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drawings/drawing9.xml" ContentType="application/vnd.openxmlformats-officedocument.drawing+xml"/>
  <Override PartName="/xl/comments6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omments12.xml" ContentType="application/vnd.openxmlformats-officedocument.spreadsheetml.comments+xml"/>
  <Override PartName="/xl/drawings/drawing18.xml" ContentType="application/vnd.openxmlformats-officedocument.drawing+xml"/>
  <Override PartName="/xl/comments13.xml" ContentType="application/vnd.openxmlformats-officedocument.spreadsheetml.comments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omments14.xml" ContentType="application/vnd.openxmlformats-officedocument.spreadsheetml.comment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omments15.xml" ContentType="application/vnd.openxmlformats-officedocument.spreadsheetml.comments+xml"/>
  <Override PartName="/xl/drawings/drawing61.xml" ContentType="application/vnd.openxmlformats-officedocument.drawing+xml"/>
  <Override PartName="/xl/comments16.xml" ContentType="application/vnd.openxmlformats-officedocument.spreadsheetml.comments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aepenergy.sharepoint.com/sites/RegulatoryServices/Formula Rates/Transmission Formula Rates/West OpCos - SPP OATT Attach H-4/Rate Year 2024/True Up (ATRR)/Templates (Working)/WS F updated/As Filed/"/>
    </mc:Choice>
  </mc:AlternateContent>
  <xr:revisionPtr revIDLastSave="2" documentId="8_{CE26584F-1BBA-44A2-83B9-7FDF32E50E6B}" xr6:coauthVersionLast="47" xr6:coauthVersionMax="47" xr10:uidLastSave="{803CAD67-8738-4FE8-8101-4EE6E959B6E4}"/>
  <bookViews>
    <workbookView xWindow="52680" yWindow="-120" windowWidth="24240" windowHeight="13020" tabRatio="838" xr2:uid="{00000000-000D-0000-FFFF-FFFF00000000}"/>
  </bookViews>
  <sheets>
    <sheet name="SWE.Sch.11.Rates" sheetId="36" r:id="rId1"/>
    <sheet name="SWE.WS.F.BPU.ATRR.Projected" sheetId="1" r:id="rId2"/>
    <sheet name="SWE.WS.G.BPU.ATRR.True-up" sheetId="2" r:id="rId3"/>
    <sheet name="S.001" sheetId="3" r:id="rId4"/>
    <sheet name="S.002" sheetId="17" r:id="rId5"/>
    <sheet name="S.003" sheetId="18" r:id="rId6"/>
    <sheet name="S.004" sheetId="19" r:id="rId7"/>
    <sheet name="S.005" sheetId="20" r:id="rId8"/>
    <sheet name="S.006" sheetId="21" r:id="rId9"/>
    <sheet name="S.007" sheetId="22" r:id="rId10"/>
    <sheet name="S.008" sheetId="23" r:id="rId11"/>
    <sheet name="S.009" sheetId="24" r:id="rId12"/>
    <sheet name="S.010" sheetId="25" r:id="rId13"/>
    <sheet name="S.011" sheetId="26" r:id="rId14"/>
    <sheet name="S.012" sheetId="27" r:id="rId15"/>
    <sheet name="S.013" sheetId="28" r:id="rId16"/>
    <sheet name="S.014" sheetId="29" r:id="rId17"/>
    <sheet name="S.015" sheetId="30" r:id="rId18"/>
    <sheet name="S.016" sheetId="31" r:id="rId19"/>
    <sheet name="S.017" sheetId="32" r:id="rId20"/>
    <sheet name="S.018" sheetId="33" r:id="rId21"/>
    <sheet name="S.019" sheetId="34" r:id="rId22"/>
    <sheet name="S.020" sheetId="35" r:id="rId23"/>
    <sheet name="S.021" sheetId="39" r:id="rId24"/>
    <sheet name="S.022" sheetId="41" r:id="rId25"/>
    <sheet name="S.023" sheetId="42" r:id="rId26"/>
    <sheet name="S.024" sheetId="43" r:id="rId27"/>
    <sheet name="S.025" sheetId="44" r:id="rId28"/>
    <sheet name="S.026" sheetId="45" r:id="rId29"/>
    <sheet name="S.027" sheetId="46" r:id="rId30"/>
    <sheet name="S.028" sheetId="53" r:id="rId31"/>
    <sheet name="S.029" sheetId="54" r:id="rId32"/>
    <sheet name="S.030" sheetId="55" r:id="rId33"/>
    <sheet name="S.031" sheetId="56" r:id="rId34"/>
    <sheet name="S.032" sheetId="57" r:id="rId35"/>
    <sheet name="S.033" sheetId="58" r:id="rId36"/>
    <sheet name="S.034" sheetId="59" r:id="rId37"/>
    <sheet name="S.035" sheetId="61" r:id="rId38"/>
    <sheet name="S.036" sheetId="63" r:id="rId39"/>
    <sheet name="S.037" sheetId="62" r:id="rId40"/>
    <sheet name="S.038" sheetId="60" r:id="rId41"/>
    <sheet name="S.039" sheetId="64" r:id="rId42"/>
    <sheet name="S.040" sheetId="65" r:id="rId43"/>
    <sheet name="S.041" sheetId="66" r:id="rId44"/>
    <sheet name="S.042" sheetId="67" r:id="rId45"/>
    <sheet name="S.043" sheetId="68" r:id="rId46"/>
    <sheet name="S.044" sheetId="69" r:id="rId47"/>
    <sheet name="S.045" sheetId="70" r:id="rId48"/>
    <sheet name="S.046" sheetId="71" r:id="rId49"/>
    <sheet name="S.047" sheetId="72" r:id="rId50"/>
    <sheet name="S.048" sheetId="73" r:id="rId51"/>
    <sheet name="S.049" sheetId="74" r:id="rId52"/>
    <sheet name="S.050" sheetId="75" r:id="rId53"/>
    <sheet name="S.051" sheetId="76" r:id="rId54"/>
    <sheet name="S.052" sheetId="77" r:id="rId55"/>
    <sheet name="S.053" sheetId="78" r:id="rId56"/>
    <sheet name="S.054" sheetId="79" r:id="rId57"/>
    <sheet name="S.055" sheetId="80" r:id="rId58"/>
    <sheet name="S.056" sheetId="81" r:id="rId59"/>
    <sheet name="S.057" sheetId="82" r:id="rId60"/>
    <sheet name="S.058" sheetId="83" r:id="rId61"/>
    <sheet name="S.059" sheetId="84" r:id="rId62"/>
    <sheet name="S.060" sheetId="85" r:id="rId63"/>
    <sheet name="S.061" sheetId="86" r:id="rId64"/>
    <sheet name="S.062" sheetId="87" r:id="rId65"/>
    <sheet name="S.063" sheetId="88" r:id="rId66"/>
    <sheet name="S.064" sheetId="89" r:id="rId67"/>
    <sheet name="S.065" sheetId="90" r:id="rId68"/>
    <sheet name="S.066" sheetId="91" r:id="rId69"/>
    <sheet name="S.067" sheetId="92" r:id="rId70"/>
    <sheet name="S.068" sheetId="93" r:id="rId71"/>
    <sheet name="S.069" sheetId="94" r:id="rId72"/>
    <sheet name="S.070" sheetId="95" r:id="rId73"/>
    <sheet name="S.071" sheetId="96" r:id="rId74"/>
    <sheet name="S.072" sheetId="97" r:id="rId75"/>
    <sheet name="S.073" sheetId="98" r:id="rId76"/>
    <sheet name="S.074" sheetId="99" r:id="rId77"/>
    <sheet name="S.075" sheetId="13" r:id="rId78"/>
    <sheet name="S.076" sheetId="102" r:id="rId79"/>
    <sheet name="S.077" sheetId="101" r:id="rId80"/>
    <sheet name="S.xyz - blank" sheetId="100" r:id="rId81"/>
  </sheets>
  <definedNames>
    <definedName name="_NPh1">#REF!</definedName>
    <definedName name="ActExcessAmt">#REF!</definedName>
    <definedName name="ActGrTaxAmt">#REF!</definedName>
    <definedName name="ActKWHExcess">#REF!</definedName>
    <definedName name="ActKWHNotUsed">#REF!</definedName>
    <definedName name="ActKWHRes">#REF!</definedName>
    <definedName name="ActKWHSubTot">#REF!</definedName>
    <definedName name="ActKWHTot">#REF!</definedName>
    <definedName name="ActNotUsedAmt">#REF!</definedName>
    <definedName name="ActResAmt">#REF!</definedName>
    <definedName name="ActSubTotAmt">#REF!</definedName>
    <definedName name="ActTotAmt">#REF!</definedName>
    <definedName name="AdminChg">#REF!</definedName>
    <definedName name="AEP">#REF!</definedName>
    <definedName name="allocator">#REF!</definedName>
    <definedName name="allocators">#REF!</definedName>
    <definedName name="allocatorsSWP">#REF!</definedName>
    <definedName name="allocatorSWP1">#REF!</definedName>
    <definedName name="APCO">#REF!</definedName>
    <definedName name="AVRGPWRFCTR">#REF!</definedName>
    <definedName name="B1HRSCRMO">#REF!</definedName>
    <definedName name="B2HRSCRMO">#REF!</definedName>
    <definedName name="BASERATECHG">#REF!</definedName>
    <definedName name="BILLKWH">#REF!</definedName>
    <definedName name="BIRPCCHG">#REF!</definedName>
    <definedName name="BIRPDCHG1">#REF!</definedName>
    <definedName name="BIRPDCHG2">#REF!</definedName>
    <definedName name="BIRPECHG1">#REF!</definedName>
    <definedName name="BIRPECHGB1">#REF!</definedName>
    <definedName name="BIRPECHGB2">#REF!</definedName>
    <definedName name="BIRPECHGB3">#REF!</definedName>
    <definedName name="BIRPECHGW">#REF!</definedName>
    <definedName name="BIRPKWH1">#REF!</definedName>
    <definedName name="BIRPKWHB1">#REF!</definedName>
    <definedName name="BIRPKWHB2">#REF!</definedName>
    <definedName name="BIRPKWHB3">#REF!</definedName>
    <definedName name="BIRPKWHWH">#REF!</definedName>
    <definedName name="BIRPMECHG1">#REF!</definedName>
    <definedName name="BIRPOFKWH">#REF!</definedName>
    <definedName name="BIRPOPKWH">#REF!</definedName>
    <definedName name="BIRPP1EC">#REF!</definedName>
    <definedName name="BIRPP2EC">#REF!</definedName>
    <definedName name="BIRPP3EC">#REF!</definedName>
    <definedName name="BIRPP4EC">#REF!</definedName>
    <definedName name="BIRPP5EC">#REF!</definedName>
    <definedName name="BIRPPDMDCHG">#REF!</definedName>
    <definedName name="BIRPRCHG">#REF!</definedName>
    <definedName name="BIRPXKVA">#REF!</definedName>
    <definedName name="BIRPXKVAPCT">#REF!</definedName>
    <definedName name="BIRPXOFKW">#REF!</definedName>
    <definedName name="BKUPKWH">#REF!</definedName>
    <definedName name="BLDAMNT">#REF!</definedName>
    <definedName name="BLDDMND">#REF!</definedName>
    <definedName name="BLDKWH">#REF!</definedName>
    <definedName name="BLDOPDMND">#REF!</definedName>
    <definedName name="BLNGKWB4EDR">#REF!</definedName>
    <definedName name="BLNGKWH">#REF!</definedName>
    <definedName name="BLNGKWHTTL">#REF!</definedName>
    <definedName name="BndBlkKwh1">#REF!</definedName>
    <definedName name="BndBlkKwh2">#REF!</definedName>
    <definedName name="BndBlkKwh3">#REF!</definedName>
    <definedName name="BndBlkKwhChg1">#REF!</definedName>
    <definedName name="BndBlkKwhChg2">#REF!</definedName>
    <definedName name="BndBlkKwhChg3">#REF!</definedName>
    <definedName name="BndBlkKwhChgT">#REF!</definedName>
    <definedName name="BndBlkKwhChgW">#REF!</definedName>
    <definedName name="BndBlkKwhT">#REF!</definedName>
    <definedName name="BndBlkKwhW">#REF!</definedName>
    <definedName name="BndCustChg">#REF!</definedName>
    <definedName name="BndDmdChg1">#REF!</definedName>
    <definedName name="BndDmdChg2">#REF!</definedName>
    <definedName name="BndExcsKvaPct">#REF!</definedName>
    <definedName name="BndMEChg">#REF!</definedName>
    <definedName name="BndOffPkKwh">#REF!</definedName>
    <definedName name="BndOnPkKwh">#REF!</definedName>
    <definedName name="BndPL1Chg">#REF!</definedName>
    <definedName name="BndPL2Chg">#REF!</definedName>
    <definedName name="BndPL3Chg">#REF!</definedName>
    <definedName name="BndPL4Chg">#REF!</definedName>
    <definedName name="BndPL5Chg">#REF!</definedName>
    <definedName name="BndReactiveChg">#REF!</definedName>
    <definedName name="BndXOfpKvaChg">#REF!</definedName>
    <definedName name="BndXOfpKwChg">#REF!</definedName>
    <definedName name="BTTrueUp">#REF!</definedName>
    <definedName name="BUNCCHG">#REF!</definedName>
    <definedName name="BUNDCHG1">#REF!</definedName>
    <definedName name="BUNDCHG2">#REF!</definedName>
    <definedName name="BUNECHG1">#REF!</definedName>
    <definedName name="BUNECHGB1">#REF!</definedName>
    <definedName name="BUNECHGB2">#REF!</definedName>
    <definedName name="BUNECHGB3">#REF!</definedName>
    <definedName name="BUNECHGW">#REF!</definedName>
    <definedName name="BUNKWH1">#REF!</definedName>
    <definedName name="BUNKWHB1">#REF!</definedName>
    <definedName name="BUNKWHB2">#REF!</definedName>
    <definedName name="BUNKWHB3">#REF!</definedName>
    <definedName name="BUNKWHWH">#REF!</definedName>
    <definedName name="BUNMECHG1">#REF!</definedName>
    <definedName name="BUNOFKWH">#REF!</definedName>
    <definedName name="BUNOPKWH">#REF!</definedName>
    <definedName name="BUNP1EC">#REF!</definedName>
    <definedName name="BUNP2EC">#REF!</definedName>
    <definedName name="BUNP3EC">#REF!</definedName>
    <definedName name="BUNP4EC">#REF!</definedName>
    <definedName name="BUNP5EC">#REF!</definedName>
    <definedName name="BUNPDMDCHG">#REF!</definedName>
    <definedName name="BUNRCHG">#REF!</definedName>
    <definedName name="BUNXKVA">#REF!</definedName>
    <definedName name="BUNXKVAPCT">#REF!</definedName>
    <definedName name="BUNXOFKW">#REF!</definedName>
    <definedName name="CALCPFCC">#REF!</definedName>
    <definedName name="CAPDEFA">#REF!</definedName>
    <definedName name="CBLKWH">#REF!</definedName>
    <definedName name="City">#REF!</definedName>
    <definedName name="CNTRCTDMND">#REF!</definedName>
    <definedName name="CoPhoneLine">#REF!</definedName>
    <definedName name="CRMOINTRPTHRS">#REF!</definedName>
    <definedName name="CRNTMOBTKWH">#REF!</definedName>
    <definedName name="CRNTMOFPKHRS">#REF!</definedName>
    <definedName name="CRNTMONPKHRS">#REF!</definedName>
    <definedName name="CRTLBLONPKHRS">#REF!</definedName>
    <definedName name="CRTLBLONPKKWH">#REF!</definedName>
    <definedName name="CSTMRCHG">#REF!</definedName>
    <definedName name="CurMoAddr1">#REF!</definedName>
    <definedName name="CurMoAddr2">#REF!</definedName>
    <definedName name="CurMoBTDetail">#REF!</definedName>
    <definedName name="CurMoBuyThrgh_Sheet">#REF!</definedName>
    <definedName name="CurMoCityStZip">#REF!</definedName>
    <definedName name="CurMoCustName">#REF!</definedName>
    <definedName name="CurMoExcessAmt">#REF!</definedName>
    <definedName name="CurMoGrTaxAmt">#REF!</definedName>
    <definedName name="CurMoKWHExcess">#REF!</definedName>
    <definedName name="CurMoKWHNotUsed">#REF!</definedName>
    <definedName name="CurMoKWHRes">#REF!</definedName>
    <definedName name="CurMoKWHSubTot">#REF!</definedName>
    <definedName name="CurMoKWHTot">#REF!</definedName>
    <definedName name="CurMoMtrMult">#REF!</definedName>
    <definedName name="CurMoNotUsedAmt">#REF!</definedName>
    <definedName name="CurMoResAmt">#REF!</definedName>
    <definedName name="CurMoSubTotAmt">#REF!</definedName>
    <definedName name="CurMoTotAmt">#REF!</definedName>
    <definedName name="CurrYear">#REF!</definedName>
    <definedName name="CustAddr1">#REF!</definedName>
    <definedName name="CustAddr2">#REF!</definedName>
    <definedName name="CustCityStZip">#REF!</definedName>
    <definedName name="CustName2">#REF!</definedName>
    <definedName name="CustTable">#REF!</definedName>
    <definedName name="DetailTotCbl">#REF!</definedName>
    <definedName name="DetailTotChg">#REF!</definedName>
    <definedName name="DetailTotKw">#REF!</definedName>
    <definedName name="DetailTotMargin">#REF!</definedName>
    <definedName name="DIRPCCHG">#REF!</definedName>
    <definedName name="DIRPDCHG1">#REF!</definedName>
    <definedName name="DIRPDCHG2">#REF!</definedName>
    <definedName name="DIRPECHG1">#REF!</definedName>
    <definedName name="DIRPECHGB1">#REF!</definedName>
    <definedName name="DIRPECHGB2">#REF!</definedName>
    <definedName name="DIRPECHGB3">#REF!</definedName>
    <definedName name="DIRPMECHG1">#REF!</definedName>
    <definedName name="DIRPMINDC">#REF!</definedName>
    <definedName name="DIRPMINEC">#REF!</definedName>
    <definedName name="DIRPOFKVA">#REF!</definedName>
    <definedName name="DIRPOFKW">#REF!</definedName>
    <definedName name="DIRPOFKWH">#REF!</definedName>
    <definedName name="DIRPOPKWH">#REF!</definedName>
    <definedName name="DIRPP1EC">#REF!</definedName>
    <definedName name="DIRPP2EC">#REF!</definedName>
    <definedName name="DIRPP3EC">#REF!</definedName>
    <definedName name="DIRPP4EC">#REF!</definedName>
    <definedName name="DIRPP5EC">#REF!</definedName>
    <definedName name="DIRPRCHG">#REF!</definedName>
    <definedName name="DisBlkKwhChg1">#REF!</definedName>
    <definedName name="DisBlkKwhChg2">#REF!</definedName>
    <definedName name="DisBlkKwhChg3">#REF!</definedName>
    <definedName name="DisBlkKwhChgT">#REF!</definedName>
    <definedName name="DisCustChg">#REF!</definedName>
    <definedName name="DisDmdChg1">#REF!</definedName>
    <definedName name="DisDmdChg2">#REF!</definedName>
    <definedName name="DisMEChg">#REF!</definedName>
    <definedName name="DisMinDChg">#REF!</definedName>
    <definedName name="DisMinEChg">#REF!</definedName>
    <definedName name="DisOffPkKwh">#REF!</definedName>
    <definedName name="DisOnPkKwh">#REF!</definedName>
    <definedName name="DisPL1Chg">#REF!</definedName>
    <definedName name="DisPL2Chg">#REF!</definedName>
    <definedName name="DisPL3Chg">#REF!</definedName>
    <definedName name="DisPL4Chg">#REF!</definedName>
    <definedName name="DisPL5Chg">#REF!</definedName>
    <definedName name="DisReactiveChg">#REF!</definedName>
    <definedName name="DisXOfpKvaChg">#REF!</definedName>
    <definedName name="DisXOfpKwChg">#REF!</definedName>
    <definedName name="DSTCCHG">#REF!</definedName>
    <definedName name="DSTDCHG1">#REF!</definedName>
    <definedName name="DSTDCHG2">#REF!</definedName>
    <definedName name="DSTECHG1">#REF!</definedName>
    <definedName name="DSTECHGB1">#REF!</definedName>
    <definedName name="DSTECHGB2">#REF!</definedName>
    <definedName name="DSTECHGB3">#REF!</definedName>
    <definedName name="DSTMECHG1">#REF!</definedName>
    <definedName name="DSTMINDC">#REF!</definedName>
    <definedName name="DSTMINEC">#REF!</definedName>
    <definedName name="DSTOFKWH">#REF!</definedName>
    <definedName name="DSTOPKWH">#REF!</definedName>
    <definedName name="DSTP1EC">#REF!</definedName>
    <definedName name="DSTP2EC">#REF!</definedName>
    <definedName name="DSTP3EC">#REF!</definedName>
    <definedName name="DSTP4EC">#REF!</definedName>
    <definedName name="DSTP5EC">#REF!</definedName>
    <definedName name="DSTRCHG">#REF!</definedName>
    <definedName name="DSTXOFKVA">#REF!</definedName>
    <definedName name="DSTXOFKW">#REF!</definedName>
    <definedName name="EDRBASE">#REF!</definedName>
    <definedName name="EDRDATE">#REF!</definedName>
    <definedName name="EDRDSCNT">#REF!</definedName>
    <definedName name="EDRLVLPCT">#REF!</definedName>
    <definedName name="EDRTYPE">#REF!</definedName>
    <definedName name="EffDate">#REF!</definedName>
    <definedName name="ELKMCGN1">#REF!</definedName>
    <definedName name="ELKMCGN2">#REF!</definedName>
    <definedName name="ENDDTM">#REF!</definedName>
    <definedName name="ENDTIME">#REF!</definedName>
    <definedName name="EstExcessAmt">#REF!</definedName>
    <definedName name="EstGrTaxAmt">#REF!</definedName>
    <definedName name="EstKWHExcess">#REF!</definedName>
    <definedName name="EstKWHNotUsed">#REF!</definedName>
    <definedName name="EstKWHRes">#REF!</definedName>
    <definedName name="EstKWHSubTot">#REF!</definedName>
    <definedName name="EstKWHTot">#REF!</definedName>
    <definedName name="EstNotUsedAmt">#REF!</definedName>
    <definedName name="EstResAmt">#REF!</definedName>
    <definedName name="EstSubTotAmt">#REF!</definedName>
    <definedName name="EstTotAmt">#REF!</definedName>
    <definedName name="EXCSKVACHG">#REF!</definedName>
    <definedName name="EXCSKVADMND">#REF!</definedName>
    <definedName name="EXCSKVAR">#REF!</definedName>
    <definedName name="FIRMKWH">#REF!</definedName>
    <definedName name="FIRSTDAY">#REF!</definedName>
    <definedName name="FRMCPCT">#REF!</definedName>
    <definedName name="FUELCHG">#REF!</definedName>
    <definedName name="FUELRATE">#REF!</definedName>
    <definedName name="GenBlkKwhChg1">#REF!</definedName>
    <definedName name="GenBlkKwhChg2">#REF!</definedName>
    <definedName name="GenBlkKwhChg3">#REF!</definedName>
    <definedName name="GenBlkKwhChgT">#REF!</definedName>
    <definedName name="GENCCHG">#REF!</definedName>
    <definedName name="GenCustChg">#REF!</definedName>
    <definedName name="GENDCHG1">#REF!</definedName>
    <definedName name="GENDCHG2">#REF!</definedName>
    <definedName name="GenDmdChg1">#REF!</definedName>
    <definedName name="GenDmdChg2">#REF!</definedName>
    <definedName name="GENECHG1">#REF!</definedName>
    <definedName name="GENECHGB1">#REF!</definedName>
    <definedName name="GENECHGB2">#REF!</definedName>
    <definedName name="GENECHGB3">#REF!</definedName>
    <definedName name="GenMEChg">#REF!</definedName>
    <definedName name="GENMECHG1">#REF!</definedName>
    <definedName name="GENMINDC">#REF!</definedName>
    <definedName name="GenMinDChg">#REF!</definedName>
    <definedName name="GENMINEC">#REF!</definedName>
    <definedName name="GenMinEChg">#REF!</definedName>
    <definedName name="GenOffPkKwh">#REF!</definedName>
    <definedName name="GENOFKWH">#REF!</definedName>
    <definedName name="GenOnPkKwh">#REF!</definedName>
    <definedName name="GENOPKWH">#REF!</definedName>
    <definedName name="GENP1EC">#REF!</definedName>
    <definedName name="GENP2EC">#REF!</definedName>
    <definedName name="GENP3EC">#REF!</definedName>
    <definedName name="GENP4EC">#REF!</definedName>
    <definedName name="GENP5EC">#REF!</definedName>
    <definedName name="GenPL1Chg">#REF!</definedName>
    <definedName name="GenPL2Chg">#REF!</definedName>
    <definedName name="GenPL3Chg">#REF!</definedName>
    <definedName name="GenPL4Chg">#REF!</definedName>
    <definedName name="GenPL5Chg">#REF!</definedName>
    <definedName name="GENRCHG">#REF!</definedName>
    <definedName name="GenReactiveChg">#REF!</definedName>
    <definedName name="GENXOFKVA">#REF!</definedName>
    <definedName name="GENXOFKW">#REF!</definedName>
    <definedName name="GenXOfpKvaChg">#REF!</definedName>
    <definedName name="GenXOfpKwChg">#REF!</definedName>
    <definedName name="GIRPCCHG">#REF!</definedName>
    <definedName name="GIRPDCHG1">#REF!</definedName>
    <definedName name="GIRPDCHG2">#REF!</definedName>
    <definedName name="GIRPECHG1">#REF!</definedName>
    <definedName name="GIRPECHGB1">#REF!</definedName>
    <definedName name="GIRPECHGB2">#REF!</definedName>
    <definedName name="GIRPECHGB3">#REF!</definedName>
    <definedName name="GIRPMECHG1">#REF!</definedName>
    <definedName name="GIRPMINDC">#REF!</definedName>
    <definedName name="GIRPMINEC">#REF!</definedName>
    <definedName name="GIRPOFKVA">#REF!</definedName>
    <definedName name="GIRPOFKW">#REF!</definedName>
    <definedName name="GIRPOFKWH">#REF!</definedName>
    <definedName name="GIRPOPKWH">#REF!</definedName>
    <definedName name="GIRPP1EC">#REF!</definedName>
    <definedName name="GIRPP2EC">#REF!</definedName>
    <definedName name="GIRPP3EC">#REF!</definedName>
    <definedName name="GIRPP4EC">#REF!</definedName>
    <definedName name="GIRPP5EC">#REF!</definedName>
    <definedName name="GIRPRCHG">#REF!</definedName>
    <definedName name="HIPREKW">#REF!</definedName>
    <definedName name="HRCRDKW">#REF!</definedName>
    <definedName name="HRCRDKWDT">#REF!</definedName>
    <definedName name="HRCRDKWTM">#REF!</definedName>
    <definedName name="HROFPKDT">#REF!</definedName>
    <definedName name="HROFPKKW">#REF!</definedName>
    <definedName name="HROFPKTM">#REF!</definedName>
    <definedName name="HRONPKDT">#REF!</definedName>
    <definedName name="HRONPKKW">#REF!</definedName>
    <definedName name="HRONPKTM">#REF!</definedName>
    <definedName name="IMCO">#REF!</definedName>
    <definedName name="InterruptCapacity">#REF!</definedName>
    <definedName name="InterruptOfpCapacity">#REF!</definedName>
    <definedName name="InterruptType">#REF!</definedName>
    <definedName name="INTRPBLCAP">#REF!</definedName>
    <definedName name="Invdetails">#REF!</definedName>
    <definedName name="KWCHG">#REF!</definedName>
    <definedName name="KWH1NOCMM">#REF!</definedName>
    <definedName name="KWH3NOCMM">#REF!</definedName>
    <definedName name="KWHCHG">#REF!</definedName>
    <definedName name="LASTDAY">#REF!</definedName>
    <definedName name="LASTFUEL">#REF!</definedName>
    <definedName name="LASTMSRR">#REF!</definedName>
    <definedName name="LASTPFCC">#REF!</definedName>
    <definedName name="LDFCTR">#REF!</definedName>
    <definedName name="LRCREDIT">#REF!</definedName>
    <definedName name="MACC1">#REF!</definedName>
    <definedName name="MACC2">#REF!</definedName>
    <definedName name="MAINTHRSCRMO">#REF!</definedName>
    <definedName name="MAINTKWH">#REF!</definedName>
    <definedName name="MinBillDem">#REF!</definedName>
    <definedName name="MinBillDem2">#REF!</definedName>
    <definedName name="MinBillDmd">#REF!</definedName>
    <definedName name="MSRRBLD">#REF!</definedName>
    <definedName name="MSRRCHG">#REF!</definedName>
    <definedName name="MTRMLTPLR1">#REF!</definedName>
    <definedName name="MTRMLTPLR2">#REF!</definedName>
    <definedName name="NETMRGCHG">#REF!</definedName>
    <definedName name="NODAYSINPRD">#REF!</definedName>
    <definedName name="NODELPOINTS">#REF!</definedName>
    <definedName name="NP_h1">#REF!</definedName>
    <definedName name="NvsASD">"V2006-12-31"</definedName>
    <definedName name="NvsAutoDrillOk">"VN"</definedName>
    <definedName name="NvsElapsedTime">0.000231481484661344</definedName>
    <definedName name="NvsEndTime">39091.5909490741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"%,X,RZF..,CNF.."</definedName>
    <definedName name="NvsPanelBusUnit">"V100"</definedName>
    <definedName name="NvsPanelEffdt">"V2004-06-30"</definedName>
    <definedName name="NvsPanelSetid">"VAEP"</definedName>
    <definedName name="NvsReqBU">"VX999"</definedName>
    <definedName name="NvsReqBUOnly">"VN"</definedName>
    <definedName name="NvsTransLed">"VN"</definedName>
    <definedName name="NvsTreeASD">"V2099-01-01"</definedName>
    <definedName name="NvsValTbl.ACCOUNT">"GL_ACCOUNT_TBL"</definedName>
    <definedName name="NvsValTbl.AEP_STATE_JURIS">"AEP_ST_JD_TBL"</definedName>
    <definedName name="NvsValTbl.CURRENCY_CD">"CURRENCY_CD_TBL"</definedName>
    <definedName name="OFPCBLKW">#REF!</definedName>
    <definedName name="OFPKBILLKWH">#REF!</definedName>
    <definedName name="OFPKCGNKWH">#REF!</definedName>
    <definedName name="OFPKCNTRCTCPCT">#REF!</definedName>
    <definedName name="OFPKDMPKWH">#REF!</definedName>
    <definedName name="OFPKDSCRKWH">#REF!</definedName>
    <definedName name="OFPKDT">#REF!</definedName>
    <definedName name="OFPKEXCSKW">#REF!</definedName>
    <definedName name="OFPKINCRKWH">#REF!</definedName>
    <definedName name="OFPKKVADT">#REF!</definedName>
    <definedName name="OFPKKVATM">#REF!</definedName>
    <definedName name="OFPKKVW">#REF!</definedName>
    <definedName name="OFPKKW">#REF!</definedName>
    <definedName name="OFPKKWH1NOCMM">#REF!</definedName>
    <definedName name="OFPKKWH3NOCMM">#REF!</definedName>
    <definedName name="OFPKRCRDKWH">#REF!</definedName>
    <definedName name="OFPKTM">#REF!</definedName>
    <definedName name="OFPXCSKW">#REF!</definedName>
    <definedName name="OFPXCSKWDT">#REF!</definedName>
    <definedName name="OFPXCSKWH">#REF!</definedName>
    <definedName name="OFPXCSKWTM">#REF!</definedName>
    <definedName name="ONPKBILLKWH">#REF!</definedName>
    <definedName name="ONPKCAPB">#REF!</definedName>
    <definedName name="ONPKCGNKWH">#REF!</definedName>
    <definedName name="ONPKCNTRCTCPCT">#REF!</definedName>
    <definedName name="ONPKDMPKWH">#REF!</definedName>
    <definedName name="ONPKDSCRKWH">#REF!</definedName>
    <definedName name="ONPKDT">#REF!</definedName>
    <definedName name="ONPKINCRKWH">#REF!</definedName>
    <definedName name="ONPKKVA">#REF!</definedName>
    <definedName name="ONPKKVADT">#REF!</definedName>
    <definedName name="ONPKKVATM">#REF!</definedName>
    <definedName name="ONPKKW">#REF!</definedName>
    <definedName name="ONPKKWH1NOCMM">#REF!</definedName>
    <definedName name="ONPKKWH3NOCMM">#REF!</definedName>
    <definedName name="ONPKRCRDKWH">#REF!</definedName>
    <definedName name="ONPKTM">#REF!</definedName>
    <definedName name="OPCBLKW">#REF!</definedName>
    <definedName name="OPCO">#REF!</definedName>
    <definedName name="OPXCSKW">#REF!</definedName>
    <definedName name="OPXCSKWDT">#REF!</definedName>
    <definedName name="OPXCSKWH">#REF!</definedName>
    <definedName name="OPXCSKWTM">#REF!</definedName>
    <definedName name="OTHRTRNSKWH">#REF!</definedName>
    <definedName name="P1PENPERC">#REF!</definedName>
    <definedName name="P2PENPERC">#REF!</definedName>
    <definedName name="PeakDemandChg">#REF!</definedName>
    <definedName name="PenaltyDays">#REF!</definedName>
    <definedName name="PenaltyPct">#REF!</definedName>
    <definedName name="PENDAYS">#REF!</definedName>
    <definedName name="PENDAYS2">#REF!</definedName>
    <definedName name="PFCC">#REF!</definedName>
    <definedName name="PKKVAR">#REF!</definedName>
    <definedName name="PKKVARDATE">#REF!</definedName>
    <definedName name="PKKVARTIME">#REF!</definedName>
    <definedName name="PLVLKWH1">#REF!</definedName>
    <definedName name="PLVLKWH1A">#REF!</definedName>
    <definedName name="PLVLKWH2">#REF!</definedName>
    <definedName name="PLVLKWH23A">#REF!</definedName>
    <definedName name="PLVLKWH25">#REF!</definedName>
    <definedName name="PLVLKWH2A">#REF!</definedName>
    <definedName name="PLVLKWH3">#REF!</definedName>
    <definedName name="PLVLKWH3A">#REF!</definedName>
    <definedName name="PLVLKWH4">#REF!</definedName>
    <definedName name="PLVLKWH4A">#REF!</definedName>
    <definedName name="PRICEDESIG">#REF!</definedName>
    <definedName name="PriMoAddr1">#REF!</definedName>
    <definedName name="PriMoAddr2">#REF!</definedName>
    <definedName name="PriMoBTDetail">#REF!</definedName>
    <definedName name="PriMoBuyThrgh_Sheet">#REF!</definedName>
    <definedName name="PriMoCityStZip">#REF!</definedName>
    <definedName name="PriMoCustName">#REF!</definedName>
    <definedName name="PriMoMtrMult">#REF!</definedName>
    <definedName name="_xlnm.Print_Area" localSheetId="3">S.001!$A$1:$P$165</definedName>
    <definedName name="_xlnm.Print_Area" localSheetId="4">S.002!$A$1:$P$165</definedName>
    <definedName name="_xlnm.Print_Area" localSheetId="5">S.003!$A$1:$P$165</definedName>
    <definedName name="_xlnm.Print_Area" localSheetId="6">S.004!$A$1:$P$165</definedName>
    <definedName name="_xlnm.Print_Area" localSheetId="7">S.005!$A$1:$P$165</definedName>
    <definedName name="_xlnm.Print_Area" localSheetId="8">S.006!$A$1:$P$165</definedName>
    <definedName name="_xlnm.Print_Area" localSheetId="9">S.007!$A$1:$P$165</definedName>
    <definedName name="_xlnm.Print_Area" localSheetId="10">S.008!$A$1:$P$165</definedName>
    <definedName name="_xlnm.Print_Area" localSheetId="11">S.009!$A$1:$P$165</definedName>
    <definedName name="_xlnm.Print_Area" localSheetId="12">S.010!$A$1:$P$165</definedName>
    <definedName name="_xlnm.Print_Area" localSheetId="13">S.011!$A$1:$P$165</definedName>
    <definedName name="_xlnm.Print_Area" localSheetId="14">S.012!$A$1:$P$165</definedName>
    <definedName name="_xlnm.Print_Area" localSheetId="15">S.013!$A$1:$P$165</definedName>
    <definedName name="_xlnm.Print_Area" localSheetId="16">S.014!$A$1:$P$165</definedName>
    <definedName name="_xlnm.Print_Area" localSheetId="17">S.015!$A$1:$P$165</definedName>
    <definedName name="_xlnm.Print_Area" localSheetId="18">S.016!$A$1:$P$165</definedName>
    <definedName name="_xlnm.Print_Area" localSheetId="19">S.017!$A$1:$P$165</definedName>
    <definedName name="_xlnm.Print_Area" localSheetId="20">S.018!$A$1:$P$165</definedName>
    <definedName name="_xlnm.Print_Area" localSheetId="21">S.019!$A$1:$P$165</definedName>
    <definedName name="_xlnm.Print_Area" localSheetId="22">S.020!$A$1:$P$165</definedName>
    <definedName name="_xlnm.Print_Area" localSheetId="23">S.021!$A$1:$P$165</definedName>
    <definedName name="_xlnm.Print_Area" localSheetId="24">S.022!$A$1:$P$165</definedName>
    <definedName name="_xlnm.Print_Area" localSheetId="25">S.023!$A$1:$P$165</definedName>
    <definedName name="_xlnm.Print_Area" localSheetId="26">S.024!$A$1:$P$165</definedName>
    <definedName name="_xlnm.Print_Area" localSheetId="27">S.025!$A$1:$P$165</definedName>
    <definedName name="_xlnm.Print_Area" localSheetId="28">S.026!$A$1:$P$165</definedName>
    <definedName name="_xlnm.Print_Area" localSheetId="29">S.027!$A$1:$P$165</definedName>
    <definedName name="_xlnm.Print_Area" localSheetId="30">S.028!$A$1:$P$165</definedName>
    <definedName name="_xlnm.Print_Area" localSheetId="31">S.029!$A$1:$P$165</definedName>
    <definedName name="_xlnm.Print_Area" localSheetId="32">S.030!$A$1:$P$165</definedName>
    <definedName name="_xlnm.Print_Area" localSheetId="33">S.031!$A$1:$P$165</definedName>
    <definedName name="_xlnm.Print_Area" localSheetId="34">S.032!$A$1:$P$165</definedName>
    <definedName name="_xlnm.Print_Area" localSheetId="35">S.033!$A$1:$P$165</definedName>
    <definedName name="_xlnm.Print_Area" localSheetId="36">S.034!$A$1:$P$165</definedName>
    <definedName name="_xlnm.Print_Area" localSheetId="37">S.035!$A$1:$P$165</definedName>
    <definedName name="_xlnm.Print_Area" localSheetId="38">S.036!$A$1:$P$165</definedName>
    <definedName name="_xlnm.Print_Area" localSheetId="39">S.037!$A$1:$P$165</definedName>
    <definedName name="_xlnm.Print_Area" localSheetId="40">S.038!$A$1:$P$165</definedName>
    <definedName name="_xlnm.Print_Area" localSheetId="41">S.039!$A$1:$P$165</definedName>
    <definedName name="_xlnm.Print_Area" localSheetId="42">S.040!$A$1:$P$165</definedName>
    <definedName name="_xlnm.Print_Area" localSheetId="43">S.041!$A$1:$P$165</definedName>
    <definedName name="_xlnm.Print_Area" localSheetId="44">S.042!$A$1:$P$165</definedName>
    <definedName name="_xlnm.Print_Area" localSheetId="45">S.043!$A$1:$P$165</definedName>
    <definedName name="_xlnm.Print_Area" localSheetId="46">S.044!$A$1:$P$165</definedName>
    <definedName name="_xlnm.Print_Area" localSheetId="47">S.045!$A$1:$P$165</definedName>
    <definedName name="_xlnm.Print_Area" localSheetId="48">S.046!$A$1:$P$165</definedName>
    <definedName name="_xlnm.Print_Area" localSheetId="49">S.047!$A$1:$P$165</definedName>
    <definedName name="_xlnm.Print_Area" localSheetId="50">S.048!$A$1:$P$165</definedName>
    <definedName name="_xlnm.Print_Area" localSheetId="51">S.049!$A$1:$P$165</definedName>
    <definedName name="_xlnm.Print_Area" localSheetId="52">S.050!$A$1:$P$165</definedName>
    <definedName name="_xlnm.Print_Area" localSheetId="53">S.051!$A$1:$P$165</definedName>
    <definedName name="_xlnm.Print_Area" localSheetId="54">S.052!$A$1:$P$165</definedName>
    <definedName name="_xlnm.Print_Area" localSheetId="55">S.053!$A$1:$P$165</definedName>
    <definedName name="_xlnm.Print_Area" localSheetId="56">S.054!$A$1:$P$165</definedName>
    <definedName name="_xlnm.Print_Area" localSheetId="57">S.055!$A$1:$P$165</definedName>
    <definedName name="_xlnm.Print_Area" localSheetId="58">S.056!$A$1:$P$165</definedName>
    <definedName name="_xlnm.Print_Area" localSheetId="59">S.057!$A$1:$P$165</definedName>
    <definedName name="_xlnm.Print_Area" localSheetId="60">S.058!$A$1:$P$165</definedName>
    <definedName name="_xlnm.Print_Area" localSheetId="61">S.059!$A$1:$P$165</definedName>
    <definedName name="_xlnm.Print_Area" localSheetId="62">S.060!$A$1:$P$165</definedName>
    <definedName name="_xlnm.Print_Area" localSheetId="63">S.061!$A$1:$P$165</definedName>
    <definedName name="_xlnm.Print_Area" localSheetId="64">S.062!$A$1:$P$165</definedName>
    <definedName name="_xlnm.Print_Area" localSheetId="65">S.063!$A$1:$P$165</definedName>
    <definedName name="_xlnm.Print_Area" localSheetId="66">S.064!$A$1:$P$165</definedName>
    <definedName name="_xlnm.Print_Area" localSheetId="67">S.065!$A$1:$P$165</definedName>
    <definedName name="_xlnm.Print_Area" localSheetId="68">S.066!$A$1:$P$165</definedName>
    <definedName name="_xlnm.Print_Area" localSheetId="69">S.067!$A$1:$P$165</definedName>
    <definedName name="_xlnm.Print_Area" localSheetId="77">S.075!$A$1:$P$165</definedName>
    <definedName name="_xlnm.Print_Area" localSheetId="78">S.076!$A$1:$P$165</definedName>
    <definedName name="_xlnm.Print_Area" localSheetId="79">S.077!$A$1:$P$165</definedName>
    <definedName name="_xlnm.Print_Area" localSheetId="80">'S.xyz - blank'!$A$1:$P$165</definedName>
    <definedName name="_xlnm.Print_Area" localSheetId="0">'SWE.Sch.11.Rates'!$A$1:$T$98</definedName>
    <definedName name="_xlnm.Print_Area" localSheetId="1">'SWE.WS.F.BPU.ATRR.Projected'!$A$1:$O$93</definedName>
    <definedName name="_xlnm.Print_Area" localSheetId="2">'SWE.WS.G.BPU.ATRR.True-up'!$A$1:$P$96</definedName>
    <definedName name="_xlnm.Print_Titles" localSheetId="36">S.034!#REF!</definedName>
    <definedName name="_xlnm.Print_Titles" localSheetId="37">S.035!#REF!</definedName>
    <definedName name="_xlnm.Print_Titles" localSheetId="38">S.036!#REF!</definedName>
    <definedName name="_xlnm.Print_Titles" localSheetId="39">S.037!#REF!</definedName>
    <definedName name="_xlnm.Print_Titles" localSheetId="40">S.038!#REF!</definedName>
    <definedName name="_xlnm.Print_Titles" localSheetId="41">S.039!#REF!</definedName>
    <definedName name="_xlnm.Print_Titles" localSheetId="42">S.040!#REF!</definedName>
    <definedName name="_xlnm.Print_Titles" localSheetId="43">S.041!#REF!</definedName>
    <definedName name="_xlnm.Print_Titles" localSheetId="44">S.042!#REF!</definedName>
    <definedName name="_xlnm.Print_Titles" localSheetId="45">S.043!#REF!</definedName>
    <definedName name="_xlnm.Print_Titles" localSheetId="46">S.044!#REF!</definedName>
    <definedName name="_xlnm.Print_Titles" localSheetId="47">S.045!#REF!</definedName>
    <definedName name="_xlnm.Print_Titles" localSheetId="48">S.046!#REF!</definedName>
    <definedName name="_xlnm.Print_Titles" localSheetId="49">S.047!#REF!</definedName>
    <definedName name="_xlnm.Print_Titles" localSheetId="50">S.048!#REF!</definedName>
    <definedName name="_xlnm.Print_Titles" localSheetId="51">S.049!#REF!</definedName>
    <definedName name="_xlnm.Print_Titles" localSheetId="52">S.050!#REF!</definedName>
    <definedName name="_xlnm.Print_Titles" localSheetId="53">S.051!#REF!</definedName>
    <definedName name="_xlnm.Print_Titles" localSheetId="54">S.052!#REF!</definedName>
    <definedName name="_xlnm.Print_Titles" localSheetId="55">S.053!#REF!</definedName>
    <definedName name="_xlnm.Print_Titles" localSheetId="56">S.054!#REF!</definedName>
    <definedName name="_xlnm.Print_Titles" localSheetId="57">S.055!#REF!</definedName>
    <definedName name="_xlnm.Print_Titles" localSheetId="58">S.056!#REF!</definedName>
    <definedName name="_xlnm.Print_Titles" localSheetId="59">S.057!#REF!</definedName>
    <definedName name="_xlnm.Print_Titles" localSheetId="60">S.058!#REF!</definedName>
    <definedName name="_xlnm.Print_Titles" localSheetId="61">S.059!#REF!</definedName>
    <definedName name="_xlnm.Print_Titles" localSheetId="62">S.060!#REF!</definedName>
    <definedName name="_xlnm.Print_Titles" localSheetId="63">S.061!#REF!</definedName>
    <definedName name="_xlnm.Print_Titles" localSheetId="64">S.062!#REF!</definedName>
    <definedName name="_xlnm.Print_Titles" localSheetId="65">S.063!#REF!</definedName>
    <definedName name="_xlnm.Print_Titles" localSheetId="66">S.064!#REF!</definedName>
    <definedName name="_xlnm.Print_Titles" localSheetId="67">S.065!#REF!</definedName>
    <definedName name="_xlnm.Print_Titles" localSheetId="68">S.066!#REF!</definedName>
    <definedName name="_xlnm.Print_Titles" localSheetId="69">S.067!#REF!</definedName>
    <definedName name="_xlnm.Print_Titles" localSheetId="77">S.075!#REF!</definedName>
    <definedName name="_xlnm.Print_Titles" localSheetId="78">S.076!#REF!</definedName>
    <definedName name="_xlnm.Print_Titles" localSheetId="79">S.077!#REF!</definedName>
    <definedName name="_xlnm.Print_Titles" localSheetId="80">'S.xyz - blank'!#REF!</definedName>
    <definedName name="_xlnm.Print_Titles" localSheetId="0">'SWE.Sch.11.Rates'!$1:$17</definedName>
    <definedName name="_xlnm.Print_Titles" localSheetId="1">'SWE.WS.F.BPU.ATRR.Projected'!$1:$6</definedName>
    <definedName name="_xlnm.Print_Titles" localSheetId="2">'SWE.WS.G.BPU.ATRR.True-up'!$1:$5</definedName>
    <definedName name="PRVCNT">#REF!</definedName>
    <definedName name="PRVDATE">#REF!</definedName>
    <definedName name="PRVFUEL">#REF!</definedName>
    <definedName name="PRVKW">#REF!</definedName>
    <definedName name="PRVKWH">#REF!</definedName>
    <definedName name="PRVMSRR">#REF!</definedName>
    <definedName name="PRVPFCC">#REF!</definedName>
    <definedName name="PSOallocatorsP">#REF!</definedName>
    <definedName name="PVHIOFPCBL">#REF!</definedName>
    <definedName name="PVHIOPCBL">#REF!</definedName>
    <definedName name="RatchetFactor">#REF!</definedName>
    <definedName name="RCRDRID">#REF!</definedName>
    <definedName name="RCTVHRS">#REF!</definedName>
    <definedName name="RDRBLK1C">#REF!</definedName>
    <definedName name="RDRBLK1Q">#REF!</definedName>
    <definedName name="RDRBLK2C">#REF!</definedName>
    <definedName name="RDRBLK2Q">#REF!</definedName>
    <definedName name="RDRBLK3C">#REF!</definedName>
    <definedName name="RDRBLK3Q">#REF!</definedName>
    <definedName name="RDRBLKTC">#REF!</definedName>
    <definedName name="RDRBLKTC1">#REF!</definedName>
    <definedName name="RDRBLKTC10">#REF!</definedName>
    <definedName name="RDRBLKTC11">#REF!</definedName>
    <definedName name="RDRBLKTC12">#REF!</definedName>
    <definedName name="RDRBLKTC13">#REF!</definedName>
    <definedName name="RDRBLKTC14">#REF!</definedName>
    <definedName name="RDRBLKTC15">#REF!</definedName>
    <definedName name="RDRBLKTC16">#REF!</definedName>
    <definedName name="RDRBLKTC17">#REF!</definedName>
    <definedName name="RDRBLKTC18">#REF!</definedName>
    <definedName name="RDRBLKTC19">#REF!</definedName>
    <definedName name="RDRBLKTC2">#REF!</definedName>
    <definedName name="RDRBLKTC20">#REF!</definedName>
    <definedName name="RDRBLKTC3">#REF!</definedName>
    <definedName name="RDRBLKTC4">#REF!</definedName>
    <definedName name="RDRBLKTC5">#REF!</definedName>
    <definedName name="RDRBLKTC6">#REF!</definedName>
    <definedName name="RDRBLKTC7">#REF!</definedName>
    <definedName name="RDRBLKTC8">#REF!</definedName>
    <definedName name="RDRBLKTC9">#REF!</definedName>
    <definedName name="RDRBLKTQ">#REF!</definedName>
    <definedName name="RDRCODE">#REF!</definedName>
    <definedName name="RDRCYCLE">#REF!</definedName>
    <definedName name="RDRDATE">#REF!</definedName>
    <definedName name="RDRNAME">#REF!</definedName>
    <definedName name="RDRRATEB">#REF!</definedName>
    <definedName name="RDRRATEB1">#REF!</definedName>
    <definedName name="RDRRATEB10">#REF!</definedName>
    <definedName name="RDRRATEB11">#REF!</definedName>
    <definedName name="RDRRATEB12">#REF!</definedName>
    <definedName name="RDRRATEB13">#REF!</definedName>
    <definedName name="RDRRATEB14">#REF!</definedName>
    <definedName name="RDRRATEB15">#REF!</definedName>
    <definedName name="RDRRATEB16">#REF!</definedName>
    <definedName name="RDRRATEB17">#REF!</definedName>
    <definedName name="RDRRATEB18">#REF!</definedName>
    <definedName name="RDRRATEB19">#REF!</definedName>
    <definedName name="RDRRATEB2">#REF!</definedName>
    <definedName name="RDRRATEB20">#REF!</definedName>
    <definedName name="RDRRATEB3">#REF!</definedName>
    <definedName name="RDRRATEB4">#REF!</definedName>
    <definedName name="RDRRATEB5">#REF!</definedName>
    <definedName name="RDRRATEB6">#REF!</definedName>
    <definedName name="RDRRATEB7">#REF!</definedName>
    <definedName name="RDRRATEB8">#REF!</definedName>
    <definedName name="RDRRATEB9">#REF!</definedName>
    <definedName name="RDRRATED">#REF!</definedName>
    <definedName name="RDRRATED1">#REF!</definedName>
    <definedName name="RDRRATED10">#REF!</definedName>
    <definedName name="RDRRATED11">#REF!</definedName>
    <definedName name="RDRRATED12">#REF!</definedName>
    <definedName name="RDRRATED13">#REF!</definedName>
    <definedName name="RDRRATED14">#REF!</definedName>
    <definedName name="RDRRATED15">#REF!</definedName>
    <definedName name="RDRRATED16">#REF!</definedName>
    <definedName name="RDRRATED17">#REF!</definedName>
    <definedName name="RDRRATED18">#REF!</definedName>
    <definedName name="RDRRATED19">#REF!</definedName>
    <definedName name="RDRRATED2">#REF!</definedName>
    <definedName name="RDRRATED20">#REF!</definedName>
    <definedName name="RDRRATED3">#REF!</definedName>
    <definedName name="RDRRATED4">#REF!</definedName>
    <definedName name="RDRRATED5">#REF!</definedName>
    <definedName name="RDRRATED6">#REF!</definedName>
    <definedName name="RDRRATED7">#REF!</definedName>
    <definedName name="RDRRATED8">#REF!</definedName>
    <definedName name="RDRRATED9">#REF!</definedName>
    <definedName name="RDRRATEG">#REF!</definedName>
    <definedName name="RDRRATEG1">#REF!</definedName>
    <definedName name="RDRRATEG10">#REF!</definedName>
    <definedName name="RDRRATEG11">#REF!</definedName>
    <definedName name="RDRRATEG12">#REF!</definedName>
    <definedName name="RDRRATEG13">#REF!</definedName>
    <definedName name="RDRRATEG14">#REF!</definedName>
    <definedName name="RDRRATEG15">#REF!</definedName>
    <definedName name="RDRRATEG16">#REF!</definedName>
    <definedName name="RDRRATEG17">#REF!</definedName>
    <definedName name="RDRRATEG18">#REF!</definedName>
    <definedName name="RDRRATEG19">#REF!</definedName>
    <definedName name="RDRRATEG2">#REF!</definedName>
    <definedName name="RDRRATEG20">#REF!</definedName>
    <definedName name="RDRRATEG3">#REF!</definedName>
    <definedName name="RDRRATEG4">#REF!</definedName>
    <definedName name="RDRRATEG5">#REF!</definedName>
    <definedName name="RDRRATEG6">#REF!</definedName>
    <definedName name="RDRRATEG7">#REF!</definedName>
    <definedName name="RDRRATEG8">#REF!</definedName>
    <definedName name="RDRRATEG9">#REF!</definedName>
    <definedName name="RDRRATET">#REF!</definedName>
    <definedName name="RDRRATET1">#REF!</definedName>
    <definedName name="RDRRATET10">#REF!</definedName>
    <definedName name="RDRRATET11">#REF!</definedName>
    <definedName name="RDRRATET12">#REF!</definedName>
    <definedName name="RDRRATET13">#REF!</definedName>
    <definedName name="RDRRATET14">#REF!</definedName>
    <definedName name="RDRRATET15">#REF!</definedName>
    <definedName name="RDRRATET16">#REF!</definedName>
    <definedName name="RDRRATET17">#REF!</definedName>
    <definedName name="RDRRATET18">#REF!</definedName>
    <definedName name="RDRRATET19">#REF!</definedName>
    <definedName name="RDRRATET2">#REF!</definedName>
    <definedName name="RDRRATET20">#REF!</definedName>
    <definedName name="RDRRATET3">#REF!</definedName>
    <definedName name="RDRRATET4">#REF!</definedName>
    <definedName name="RDRRATET5">#REF!</definedName>
    <definedName name="RDRRATET6">#REF!</definedName>
    <definedName name="RDRRATET7">#REF!</definedName>
    <definedName name="RDRRATET8">#REF!</definedName>
    <definedName name="RDRRATET9">#REF!</definedName>
    <definedName name="RDRTYPE">#REF!</definedName>
    <definedName name="RDRUNITS">#REF!</definedName>
    <definedName name="_xlnm.Recorder">#REF!</definedName>
    <definedName name="Reserved_Section">#REF!</definedName>
    <definedName name="RIDERS">#REF!</definedName>
    <definedName name="RKVAHRDNG">#REF!</definedName>
    <definedName name="RTCHTCNTRCTCPCT">#REF!</definedName>
    <definedName name="RTCHTFCTR">#REF!</definedName>
    <definedName name="RTCHTFCTR2">#REF!</definedName>
    <definedName name="RTCHTHIPREVKW">#REF!</definedName>
    <definedName name="RTP_Detail">#REF!</definedName>
    <definedName name="RTPLRKW">#REF!</definedName>
    <definedName name="SDI">#REF!</definedName>
    <definedName name="SHLDRPKKW">#REF!</definedName>
    <definedName name="SHLDRPKKWDT">#REF!</definedName>
    <definedName name="SHLDRPKKWTM">#REF!</definedName>
    <definedName name="SHRDTRNSKWH">#REF!</definedName>
    <definedName name="SRPLSKWH">#REF!</definedName>
    <definedName name="STARTDTM">#REF!</definedName>
    <definedName name="State">#REF!</definedName>
    <definedName name="STDKW">#REF!</definedName>
    <definedName name="STDKWDT">#REF!</definedName>
    <definedName name="STDKWTM">#REF!</definedName>
    <definedName name="STRTTIME">#REF!</definedName>
    <definedName name="SWPallocatorsH">#REF!</definedName>
    <definedName name="SWPallocatorsP">#REF!</definedName>
    <definedName name="SYSPKKW">#REF!</definedName>
    <definedName name="SYSPKKWDT">#REF!</definedName>
    <definedName name="SYSPKKWTM">#REF!</definedName>
    <definedName name="TARIFF1">#REF!</definedName>
    <definedName name="TARIFF2">#REF!</definedName>
    <definedName name="TariffCode">#REF!</definedName>
    <definedName name="TariffLongName">#REF!</definedName>
    <definedName name="TariffShortName">#REF!</definedName>
    <definedName name="TAXDATE">#REF!</definedName>
    <definedName name="TAXES">#REF!</definedName>
    <definedName name="TAXNAME">#REF!</definedName>
    <definedName name="TAXRATE">#REF!</definedName>
    <definedName name="TAXTYPE">#REF!</definedName>
    <definedName name="TCst">#REF!</definedName>
    <definedName name="TCst1">#REF!</definedName>
    <definedName name="TIRPCCHG">#REF!</definedName>
    <definedName name="TIRPDCHG1">#REF!</definedName>
    <definedName name="TIRPDCHG2">#REF!</definedName>
    <definedName name="TIRPECHG1">#REF!</definedName>
    <definedName name="TIRPECHGB1">#REF!</definedName>
    <definedName name="TIRPECHGB2">#REF!</definedName>
    <definedName name="TIRPECHGB3">#REF!</definedName>
    <definedName name="TIRPMECHG1">#REF!</definedName>
    <definedName name="TIRPMINDC">#REF!</definedName>
    <definedName name="TIRPMINEC">#REF!</definedName>
    <definedName name="TIRPOFKVA">#REF!</definedName>
    <definedName name="TIRPOFKW">#REF!</definedName>
    <definedName name="TIRPOFKWH">#REF!</definedName>
    <definedName name="TIRPOPKWH">#REF!</definedName>
    <definedName name="TIRPP1EC">#REF!</definedName>
    <definedName name="TIRPP2EC">#REF!</definedName>
    <definedName name="TIRPP3EC">#REF!</definedName>
    <definedName name="TIRPP4EC">#REF!</definedName>
    <definedName name="TIRPP5EC">#REF!</definedName>
    <definedName name="TIRPRCHG">#REF!</definedName>
    <definedName name="TLsFctr">#REF!</definedName>
    <definedName name="TRCRDKWH">#REF!</definedName>
    <definedName name="TRCRDKWH2P">#REF!</definedName>
    <definedName name="TRFDATE1">#REF!</definedName>
    <definedName name="TRFDATE2">#REF!</definedName>
    <definedName name="TRFNAME1">#REF!</definedName>
    <definedName name="TRFNAME2">#REF!</definedName>
    <definedName name="TRFSHORTNM1">#REF!</definedName>
    <definedName name="TRFSHORTNM2">#REF!</definedName>
    <definedName name="TrnBlkKwhChg1">#REF!</definedName>
    <definedName name="TrnBlkKwhChg2">#REF!</definedName>
    <definedName name="TrnBlkKwhChg3">#REF!</definedName>
    <definedName name="TrnBlkKwhChgT">#REF!</definedName>
    <definedName name="TRNCCHG">#REF!</definedName>
    <definedName name="TrnCustChg">#REF!</definedName>
    <definedName name="TRNDCHG1">#REF!</definedName>
    <definedName name="TRNDCHG2">#REF!</definedName>
    <definedName name="TrnDmdChg1">#REF!</definedName>
    <definedName name="TrnDmdChg2">#REF!</definedName>
    <definedName name="TRNECHG1">#REF!</definedName>
    <definedName name="TRNECHGB1">#REF!</definedName>
    <definedName name="TRNECHGB2">#REF!</definedName>
    <definedName name="TRNECHGB3">#REF!</definedName>
    <definedName name="TrnMEChg">#REF!</definedName>
    <definedName name="TRNMECHG1">#REF!</definedName>
    <definedName name="TRNMINDC">#REF!</definedName>
    <definedName name="TrnMinDChg">#REF!</definedName>
    <definedName name="TRNMINEC">#REF!</definedName>
    <definedName name="TrnMinEChg">#REF!</definedName>
    <definedName name="TrnOffPkKwh">#REF!</definedName>
    <definedName name="TRNOFKWH">#REF!</definedName>
    <definedName name="TrnOnPkKwh">#REF!</definedName>
    <definedName name="TRNOPKWH">#REF!</definedName>
    <definedName name="TRNP1EC">#REF!</definedName>
    <definedName name="TRNP2EC">#REF!</definedName>
    <definedName name="TRNP3EC">#REF!</definedName>
    <definedName name="TRNP4EC">#REF!</definedName>
    <definedName name="TRNP5EC">#REF!</definedName>
    <definedName name="TrnPL1Chg">#REF!</definedName>
    <definedName name="TrnPL2Chg">#REF!</definedName>
    <definedName name="TrnPL3Chg">#REF!</definedName>
    <definedName name="TrnPL4Chg">#REF!</definedName>
    <definedName name="TrnPL5Chg">#REF!</definedName>
    <definedName name="TRNRCHG">#REF!</definedName>
    <definedName name="TrnReactiveChg">#REF!</definedName>
    <definedName name="TRNSKWTOFPK">#REF!</definedName>
    <definedName name="TRNSKWTONPK">#REF!</definedName>
    <definedName name="TRNXOFKVA">#REF!</definedName>
    <definedName name="TRNXOFKW">#REF!</definedName>
    <definedName name="TrnXOfpKvaChg">#REF!</definedName>
    <definedName name="TrnXOfpKwChg">#REF!</definedName>
    <definedName name="TTLBSRATETTL">#REF!</definedName>
    <definedName name="TTLCOGENKWH">#REF!</definedName>
    <definedName name="UNBUNDIND">#REF!</definedName>
    <definedName name="Zip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91" i="13" l="1"/>
  <c r="E91" i="99"/>
  <c r="E91" i="98"/>
  <c r="E91" i="97"/>
  <c r="E91" i="96"/>
  <c r="E91" i="95"/>
  <c r="E91" i="93"/>
  <c r="E91" i="92"/>
  <c r="E91" i="91"/>
  <c r="E91" i="90"/>
  <c r="E91" i="89"/>
  <c r="E91" i="88"/>
  <c r="E91" i="87"/>
  <c r="E91" i="84"/>
  <c r="E91" i="83"/>
  <c r="E91" i="82"/>
  <c r="E91" i="81"/>
  <c r="F91" i="80"/>
  <c r="E91" i="80"/>
  <c r="E91" i="79"/>
  <c r="E91" i="78"/>
  <c r="F91" i="77"/>
  <c r="E91" i="77"/>
  <c r="E91" i="76"/>
  <c r="E91" i="75"/>
  <c r="F91" i="74"/>
  <c r="E91" i="73"/>
  <c r="E91" i="72"/>
  <c r="F91" i="71"/>
  <c r="F91" i="70"/>
  <c r="F91" i="69"/>
  <c r="E91" i="68"/>
  <c r="E91" i="67"/>
  <c r="E91" i="66"/>
  <c r="E91" i="65"/>
  <c r="E91" i="64"/>
  <c r="F91" i="60"/>
  <c r="F91" i="62"/>
  <c r="E91" i="62"/>
  <c r="F91" i="63"/>
  <c r="F91" i="61"/>
  <c r="F91" i="59"/>
  <c r="F91" i="58"/>
  <c r="E91" i="58"/>
  <c r="F91" i="57"/>
  <c r="E91" i="57"/>
  <c r="F91" i="56"/>
  <c r="E91" i="56"/>
  <c r="F91" i="55"/>
  <c r="E91" i="55"/>
  <c r="D91" i="55"/>
  <c r="F91" i="54"/>
  <c r="F91" i="53"/>
  <c r="F91" i="46"/>
  <c r="F91" i="45"/>
  <c r="E91" i="45"/>
  <c r="F91" i="44"/>
  <c r="E91" i="44"/>
  <c r="F91" i="43"/>
  <c r="E91" i="43"/>
  <c r="F91" i="42"/>
  <c r="E91" i="42"/>
  <c r="F91" i="41"/>
  <c r="E91" i="41"/>
  <c r="F91" i="39"/>
  <c r="F91" i="34"/>
  <c r="E91" i="34"/>
  <c r="F91" i="32"/>
  <c r="E91" i="32"/>
  <c r="F91" i="31"/>
  <c r="E91" i="31"/>
  <c r="F91" i="30"/>
  <c r="E91" i="30"/>
  <c r="F91" i="29"/>
  <c r="E91" i="29"/>
  <c r="F91" i="28"/>
  <c r="E91" i="28"/>
  <c r="F91" i="27"/>
  <c r="E91" i="27"/>
  <c r="F91" i="26"/>
  <c r="E91" i="26"/>
  <c r="F91" i="25"/>
  <c r="E91" i="25"/>
  <c r="F91" i="24"/>
  <c r="F91" i="23"/>
  <c r="E91" i="23"/>
  <c r="F91" i="22"/>
  <c r="F91" i="21"/>
  <c r="F91" i="20"/>
  <c r="E91" i="20"/>
  <c r="F91" i="19"/>
  <c r="E91" i="19"/>
  <c r="F91" i="18"/>
  <c r="E91" i="18"/>
  <c r="F91" i="17"/>
  <c r="E91" i="17"/>
  <c r="F91" i="3"/>
  <c r="E91" i="3"/>
  <c r="P6" i="101" l="1"/>
  <c r="P1" i="101"/>
  <c r="P1" i="102"/>
  <c r="P1" i="13"/>
  <c r="P1" i="99"/>
  <c r="P1" i="98"/>
  <c r="P1" i="97"/>
  <c r="P1" i="96"/>
  <c r="P1" i="95"/>
  <c r="P1" i="94"/>
  <c r="P1" i="93"/>
  <c r="P1" i="92"/>
  <c r="P1" i="91"/>
  <c r="P1" i="90"/>
  <c r="P1" i="89"/>
  <c r="P1" i="88"/>
  <c r="P1" i="87"/>
  <c r="P1" i="86"/>
  <c r="P1" i="85"/>
  <c r="P1" i="84"/>
  <c r="P1" i="83"/>
  <c r="P1" i="82"/>
  <c r="P1" i="81"/>
  <c r="P1" i="80"/>
  <c r="P1" i="79"/>
  <c r="P1" i="78"/>
  <c r="P1" i="77"/>
  <c r="P1" i="76"/>
  <c r="P1" i="75"/>
  <c r="P1" i="74"/>
  <c r="P1" i="73"/>
  <c r="P1" i="72"/>
  <c r="P1" i="71"/>
  <c r="P1" i="70"/>
  <c r="P1" i="69"/>
  <c r="P1" i="68"/>
  <c r="P1" i="67"/>
  <c r="P1" i="66"/>
  <c r="P1" i="65"/>
  <c r="P1" i="64"/>
  <c r="P1" i="60"/>
  <c r="P1" i="62"/>
  <c r="P1" i="63"/>
  <c r="P1" i="61"/>
  <c r="P1" i="59"/>
  <c r="P1" i="58"/>
  <c r="P1" i="57"/>
  <c r="P1" i="56"/>
  <c r="P1" i="55"/>
  <c r="P1" i="54"/>
  <c r="P1" i="53"/>
  <c r="P1" i="46"/>
  <c r="P1" i="45"/>
  <c r="P1" i="44"/>
  <c r="P1" i="43"/>
  <c r="P1" i="42"/>
  <c r="P1" i="41"/>
  <c r="P1" i="39"/>
  <c r="P1" i="35"/>
  <c r="P1" i="34"/>
  <c r="P1" i="33"/>
  <c r="P1" i="32"/>
  <c r="P1" i="31"/>
  <c r="P1" i="30"/>
  <c r="P1" i="29"/>
  <c r="P1" i="28"/>
  <c r="P1" i="27"/>
  <c r="P1" i="26"/>
  <c r="P1" i="25"/>
  <c r="P1" i="24"/>
  <c r="P1" i="23"/>
  <c r="P1" i="22"/>
  <c r="P1" i="21"/>
  <c r="P1" i="20"/>
  <c r="P1" i="19"/>
  <c r="P1" i="18"/>
  <c r="P1" i="17"/>
  <c r="P1" i="3"/>
  <c r="U96" i="36" l="1"/>
  <c r="P96" i="36"/>
  <c r="O96" i="36"/>
  <c r="N96" i="36"/>
  <c r="P94" i="36"/>
  <c r="P93" i="36"/>
  <c r="P92" i="36"/>
  <c r="W94" i="36"/>
  <c r="W93" i="36"/>
  <c r="W92" i="36"/>
  <c r="E91" i="101"/>
  <c r="N106" i="101"/>
  <c r="O106" i="101" s="1"/>
  <c r="L106" i="101"/>
  <c r="M106" i="101" s="1"/>
  <c r="O105" i="101"/>
  <c r="P105" i="101" s="1"/>
  <c r="N105" i="101"/>
  <c r="L105" i="101"/>
  <c r="M105" i="101" s="1"/>
  <c r="N104" i="101"/>
  <c r="O104" i="101" s="1"/>
  <c r="L104" i="101"/>
  <c r="M104" i="101" s="1"/>
  <c r="N103" i="101"/>
  <c r="O103" i="101" s="1"/>
  <c r="P103" i="101" s="1"/>
  <c r="M103" i="101"/>
  <c r="L103" i="101"/>
  <c r="N102" i="101"/>
  <c r="O102" i="101" s="1"/>
  <c r="P102" i="101" s="1"/>
  <c r="M102" i="101"/>
  <c r="L102" i="101"/>
  <c r="O101" i="101"/>
  <c r="P101" i="101" s="1"/>
  <c r="N101" i="101"/>
  <c r="L101" i="101"/>
  <c r="M101" i="101" s="1"/>
  <c r="O100" i="101"/>
  <c r="N100" i="101"/>
  <c r="L100" i="101"/>
  <c r="M100" i="101" s="1"/>
  <c r="P100" i="101" s="1"/>
  <c r="N99" i="101"/>
  <c r="O99" i="101" s="1"/>
  <c r="P99" i="101" s="1"/>
  <c r="M99" i="101"/>
  <c r="L99" i="101"/>
  <c r="M107" i="101"/>
  <c r="O107" i="101"/>
  <c r="M25" i="101"/>
  <c r="N25" i="101" s="1"/>
  <c r="K25" i="101"/>
  <c r="L25" i="101" s="1"/>
  <c r="M24" i="101"/>
  <c r="N24" i="101" s="1"/>
  <c r="K24" i="101"/>
  <c r="L24" i="101" s="1"/>
  <c r="M23" i="101"/>
  <c r="N23" i="101" s="1"/>
  <c r="K23" i="101"/>
  <c r="L23" i="101" s="1"/>
  <c r="M22" i="101"/>
  <c r="N22" i="101" s="1"/>
  <c r="K22" i="101"/>
  <c r="L22" i="101" s="1"/>
  <c r="M21" i="101"/>
  <c r="N21" i="101" s="1"/>
  <c r="K21" i="101"/>
  <c r="L21" i="101" s="1"/>
  <c r="M20" i="101"/>
  <c r="N20" i="101" s="1"/>
  <c r="L20" i="101"/>
  <c r="K20" i="101"/>
  <c r="M19" i="101"/>
  <c r="N19" i="101" s="1"/>
  <c r="K19" i="101"/>
  <c r="L19" i="101" s="1"/>
  <c r="M18" i="101"/>
  <c r="N18" i="101" s="1"/>
  <c r="K18" i="101"/>
  <c r="L18" i="101" s="1"/>
  <c r="M17" i="101"/>
  <c r="N17" i="101" s="1"/>
  <c r="K17" i="101"/>
  <c r="L17" i="101" s="1"/>
  <c r="D8" i="101"/>
  <c r="D90" i="101" s="1"/>
  <c r="E91" i="102"/>
  <c r="P154" i="102"/>
  <c r="O154" i="102"/>
  <c r="M154" i="102"/>
  <c r="J154" i="102"/>
  <c r="P153" i="102"/>
  <c r="O153" i="102"/>
  <c r="M153" i="102"/>
  <c r="J153" i="102"/>
  <c r="P152" i="102"/>
  <c r="O152" i="102"/>
  <c r="M152" i="102"/>
  <c r="J152" i="102"/>
  <c r="P151" i="102"/>
  <c r="O151" i="102"/>
  <c r="M151" i="102"/>
  <c r="J151" i="102"/>
  <c r="P150" i="102"/>
  <c r="O150" i="102"/>
  <c r="M150" i="102"/>
  <c r="J150" i="102"/>
  <c r="P149" i="102"/>
  <c r="O149" i="102"/>
  <c r="M149" i="102"/>
  <c r="J149" i="102"/>
  <c r="P148" i="102"/>
  <c r="O148" i="102"/>
  <c r="M148" i="102"/>
  <c r="J148" i="102"/>
  <c r="P147" i="102"/>
  <c r="O147" i="102"/>
  <c r="M147" i="102"/>
  <c r="J147" i="102"/>
  <c r="P146" i="102"/>
  <c r="O146" i="102"/>
  <c r="M146" i="102"/>
  <c r="J146" i="102"/>
  <c r="P145" i="102"/>
  <c r="O145" i="102"/>
  <c r="M145" i="102"/>
  <c r="J145" i="102"/>
  <c r="P144" i="102"/>
  <c r="O144" i="102"/>
  <c r="M144" i="102"/>
  <c r="J144" i="102"/>
  <c r="P143" i="102"/>
  <c r="O143" i="102"/>
  <c r="M143" i="102"/>
  <c r="J143" i="102"/>
  <c r="P142" i="102"/>
  <c r="O142" i="102"/>
  <c r="M142" i="102"/>
  <c r="J142" i="102"/>
  <c r="P141" i="102"/>
  <c r="O141" i="102"/>
  <c r="M141" i="102"/>
  <c r="J141" i="102"/>
  <c r="P140" i="102"/>
  <c r="O140" i="102"/>
  <c r="M140" i="102"/>
  <c r="J140" i="102"/>
  <c r="P139" i="102"/>
  <c r="O139" i="102"/>
  <c r="M139" i="102"/>
  <c r="J139" i="102"/>
  <c r="P138" i="102"/>
  <c r="O138" i="102"/>
  <c r="M138" i="102"/>
  <c r="J138" i="102"/>
  <c r="P137" i="102"/>
  <c r="O137" i="102"/>
  <c r="M137" i="102"/>
  <c r="J137" i="102"/>
  <c r="P136" i="102"/>
  <c r="O136" i="102"/>
  <c r="M136" i="102"/>
  <c r="J136" i="102"/>
  <c r="P135" i="102"/>
  <c r="O135" i="102"/>
  <c r="M135" i="102"/>
  <c r="J135" i="102"/>
  <c r="P134" i="102"/>
  <c r="O134" i="102"/>
  <c r="M134" i="102"/>
  <c r="J134" i="102"/>
  <c r="P133" i="102"/>
  <c r="O133" i="102"/>
  <c r="M133" i="102"/>
  <c r="J133" i="102"/>
  <c r="P132" i="102"/>
  <c r="O132" i="102"/>
  <c r="M132" i="102"/>
  <c r="J132" i="102"/>
  <c r="P131" i="102"/>
  <c r="O131" i="102"/>
  <c r="M131" i="102"/>
  <c r="J131" i="102"/>
  <c r="O130" i="102"/>
  <c r="M130" i="102"/>
  <c r="O129" i="102"/>
  <c r="M129" i="102"/>
  <c r="O128" i="102"/>
  <c r="M128" i="102"/>
  <c r="O127" i="102"/>
  <c r="M127" i="102"/>
  <c r="O126" i="102"/>
  <c r="M126" i="102"/>
  <c r="O125" i="102"/>
  <c r="M125" i="102"/>
  <c r="O124" i="102"/>
  <c r="M124" i="102"/>
  <c r="O123" i="102"/>
  <c r="M123" i="102"/>
  <c r="O122" i="102"/>
  <c r="M122" i="102"/>
  <c r="O121" i="102"/>
  <c r="M121" i="102"/>
  <c r="O120" i="102"/>
  <c r="M120" i="102"/>
  <c r="O119" i="102"/>
  <c r="M119" i="102"/>
  <c r="O118" i="102"/>
  <c r="M118" i="102"/>
  <c r="O117" i="102"/>
  <c r="M117" i="102"/>
  <c r="O116" i="102"/>
  <c r="M116" i="102"/>
  <c r="O115" i="102"/>
  <c r="M115" i="102"/>
  <c r="O114" i="102"/>
  <c r="M114" i="102"/>
  <c r="O113" i="102"/>
  <c r="M113" i="102"/>
  <c r="O112" i="102"/>
  <c r="M112" i="102"/>
  <c r="O111" i="102"/>
  <c r="M111" i="102"/>
  <c r="O110" i="102"/>
  <c r="M110" i="102"/>
  <c r="O109" i="102"/>
  <c r="M109" i="102"/>
  <c r="O108" i="102"/>
  <c r="M108" i="102"/>
  <c r="O107" i="102"/>
  <c r="M107" i="102"/>
  <c r="O106" i="102"/>
  <c r="M106" i="102"/>
  <c r="O105" i="102"/>
  <c r="M105" i="102"/>
  <c r="O104" i="102"/>
  <c r="M104" i="102"/>
  <c r="O103" i="102"/>
  <c r="M103" i="102"/>
  <c r="O102" i="102"/>
  <c r="M102" i="102"/>
  <c r="O101" i="102"/>
  <c r="M101" i="102"/>
  <c r="O100" i="102"/>
  <c r="M100" i="102"/>
  <c r="O99" i="102"/>
  <c r="M99" i="102"/>
  <c r="D96" i="102"/>
  <c r="L93" i="102"/>
  <c r="J93" i="102"/>
  <c r="D91" i="102"/>
  <c r="D89" i="102"/>
  <c r="N72" i="102"/>
  <c r="L72" i="102"/>
  <c r="N71" i="102"/>
  <c r="L71" i="102"/>
  <c r="N70" i="102"/>
  <c r="L70" i="102"/>
  <c r="N69" i="102"/>
  <c r="L69" i="102"/>
  <c r="N68" i="102"/>
  <c r="L68" i="102"/>
  <c r="N67" i="102"/>
  <c r="L67" i="102"/>
  <c r="N66" i="102"/>
  <c r="L66" i="102"/>
  <c r="N65" i="102"/>
  <c r="L65" i="102"/>
  <c r="N64" i="102"/>
  <c r="L64" i="102"/>
  <c r="N63" i="102"/>
  <c r="L63" i="102"/>
  <c r="N62" i="102"/>
  <c r="L62" i="102"/>
  <c r="N61" i="102"/>
  <c r="L61" i="102"/>
  <c r="N60" i="102"/>
  <c r="L60" i="102"/>
  <c r="N59" i="102"/>
  <c r="L59" i="102"/>
  <c r="N58" i="102"/>
  <c r="L58" i="102"/>
  <c r="N57" i="102"/>
  <c r="L57" i="102"/>
  <c r="N56" i="102"/>
  <c r="L56" i="102"/>
  <c r="N55" i="102"/>
  <c r="L55" i="102"/>
  <c r="N54" i="102"/>
  <c r="L54" i="102"/>
  <c r="N53" i="102"/>
  <c r="L53" i="102"/>
  <c r="N52" i="102"/>
  <c r="L52" i="102"/>
  <c r="N51" i="102"/>
  <c r="L51" i="102"/>
  <c r="N50" i="102"/>
  <c r="L50" i="102"/>
  <c r="N49" i="102"/>
  <c r="L49" i="102"/>
  <c r="N48" i="102"/>
  <c r="L48" i="102"/>
  <c r="N47" i="102"/>
  <c r="L47" i="102"/>
  <c r="N46" i="102"/>
  <c r="L46" i="102"/>
  <c r="N45" i="102"/>
  <c r="L45" i="102"/>
  <c r="N44" i="102"/>
  <c r="L44" i="102"/>
  <c r="N43" i="102"/>
  <c r="L43" i="102"/>
  <c r="N42" i="102"/>
  <c r="L42" i="102"/>
  <c r="N41" i="102"/>
  <c r="L41" i="102"/>
  <c r="N40" i="102"/>
  <c r="L40" i="102"/>
  <c r="N39" i="102"/>
  <c r="L39" i="102"/>
  <c r="N38" i="102"/>
  <c r="L38" i="102"/>
  <c r="N37" i="102"/>
  <c r="L37" i="102"/>
  <c r="N36" i="102"/>
  <c r="L36" i="102"/>
  <c r="N35" i="102"/>
  <c r="L35" i="102"/>
  <c r="N34" i="102"/>
  <c r="L34" i="102"/>
  <c r="N33" i="102"/>
  <c r="L33" i="102"/>
  <c r="N32" i="102"/>
  <c r="L32" i="102"/>
  <c r="N31" i="102"/>
  <c r="L31" i="102"/>
  <c r="N30" i="102"/>
  <c r="L30" i="102"/>
  <c r="N29" i="102"/>
  <c r="L29" i="102"/>
  <c r="N28" i="102"/>
  <c r="L28" i="102"/>
  <c r="N27" i="102"/>
  <c r="L27" i="102"/>
  <c r="N26" i="102"/>
  <c r="L26" i="102"/>
  <c r="N25" i="102"/>
  <c r="L25" i="102"/>
  <c r="N24" i="102"/>
  <c r="L24" i="102"/>
  <c r="N23" i="102"/>
  <c r="L23" i="102"/>
  <c r="N22" i="102"/>
  <c r="L22" i="102"/>
  <c r="N21" i="102"/>
  <c r="L21" i="102"/>
  <c r="N20" i="102"/>
  <c r="L20" i="102"/>
  <c r="N19" i="102"/>
  <c r="L19" i="102"/>
  <c r="N18" i="102"/>
  <c r="L18" i="102"/>
  <c r="C17" i="102"/>
  <c r="K11" i="102"/>
  <c r="I11" i="102"/>
  <c r="D8" i="102"/>
  <c r="D90" i="102" s="1"/>
  <c r="P83" i="102"/>
  <c r="P154" i="101"/>
  <c r="O154" i="101"/>
  <c r="M154" i="101"/>
  <c r="J154" i="101"/>
  <c r="P153" i="101"/>
  <c r="O153" i="101"/>
  <c r="M153" i="101"/>
  <c r="J153" i="101"/>
  <c r="P152" i="101"/>
  <c r="O152" i="101"/>
  <c r="M152" i="101"/>
  <c r="J152" i="101"/>
  <c r="P151" i="101"/>
  <c r="O151" i="101"/>
  <c r="M151" i="101"/>
  <c r="J151" i="101"/>
  <c r="P150" i="101"/>
  <c r="O150" i="101"/>
  <c r="M150" i="101"/>
  <c r="J150" i="101"/>
  <c r="P149" i="101"/>
  <c r="O149" i="101"/>
  <c r="M149" i="101"/>
  <c r="J149" i="101"/>
  <c r="P148" i="101"/>
  <c r="O148" i="101"/>
  <c r="M148" i="101"/>
  <c r="J148" i="101"/>
  <c r="P147" i="101"/>
  <c r="O147" i="101"/>
  <c r="M147" i="101"/>
  <c r="J147" i="101"/>
  <c r="P146" i="101"/>
  <c r="O146" i="101"/>
  <c r="M146" i="101"/>
  <c r="J146" i="101"/>
  <c r="P145" i="101"/>
  <c r="O145" i="101"/>
  <c r="M145" i="101"/>
  <c r="J145" i="101"/>
  <c r="P144" i="101"/>
  <c r="O144" i="101"/>
  <c r="M144" i="101"/>
  <c r="J144" i="101"/>
  <c r="P143" i="101"/>
  <c r="O143" i="101"/>
  <c r="M143" i="101"/>
  <c r="J143" i="101"/>
  <c r="P142" i="101"/>
  <c r="O142" i="101"/>
  <c r="M142" i="101"/>
  <c r="J142" i="101"/>
  <c r="P141" i="101"/>
  <c r="O141" i="101"/>
  <c r="M141" i="101"/>
  <c r="J141" i="101"/>
  <c r="P140" i="101"/>
  <c r="O140" i="101"/>
  <c r="M140" i="101"/>
  <c r="J140" i="101"/>
  <c r="P139" i="101"/>
  <c r="O139" i="101"/>
  <c r="M139" i="101"/>
  <c r="J139" i="101"/>
  <c r="P138" i="101"/>
  <c r="O138" i="101"/>
  <c r="M138" i="101"/>
  <c r="J138" i="101"/>
  <c r="P137" i="101"/>
  <c r="O137" i="101"/>
  <c r="M137" i="101"/>
  <c r="J137" i="101"/>
  <c r="P136" i="101"/>
  <c r="O136" i="101"/>
  <c r="M136" i="101"/>
  <c r="J136" i="101"/>
  <c r="P135" i="101"/>
  <c r="O135" i="101"/>
  <c r="M135" i="101"/>
  <c r="J135" i="101"/>
  <c r="P134" i="101"/>
  <c r="O134" i="101"/>
  <c r="M134" i="101"/>
  <c r="J134" i="101"/>
  <c r="P133" i="101"/>
  <c r="O133" i="101"/>
  <c r="M133" i="101"/>
  <c r="J133" i="101"/>
  <c r="P132" i="101"/>
  <c r="O132" i="101"/>
  <c r="M132" i="101"/>
  <c r="J132" i="101"/>
  <c r="P131" i="101"/>
  <c r="O131" i="101"/>
  <c r="M131" i="101"/>
  <c r="J131" i="101"/>
  <c r="O130" i="101"/>
  <c r="M130" i="101"/>
  <c r="O129" i="101"/>
  <c r="M129" i="101"/>
  <c r="O128" i="101"/>
  <c r="M128" i="101"/>
  <c r="O127" i="101"/>
  <c r="M127" i="101"/>
  <c r="O126" i="101"/>
  <c r="M126" i="101"/>
  <c r="O125" i="101"/>
  <c r="M125" i="101"/>
  <c r="O124" i="101"/>
  <c r="M124" i="101"/>
  <c r="O123" i="101"/>
  <c r="M123" i="101"/>
  <c r="O122" i="101"/>
  <c r="M122" i="101"/>
  <c r="O121" i="101"/>
  <c r="M121" i="101"/>
  <c r="O120" i="101"/>
  <c r="M120" i="101"/>
  <c r="O119" i="101"/>
  <c r="M119" i="101"/>
  <c r="O118" i="101"/>
  <c r="M118" i="101"/>
  <c r="O117" i="101"/>
  <c r="M117" i="101"/>
  <c r="O116" i="101"/>
  <c r="M116" i="101"/>
  <c r="O115" i="101"/>
  <c r="M115" i="101"/>
  <c r="O114" i="101"/>
  <c r="M114" i="101"/>
  <c r="O113" i="101"/>
  <c r="M113" i="101"/>
  <c r="O112" i="101"/>
  <c r="M112" i="101"/>
  <c r="O111" i="101"/>
  <c r="M111" i="101"/>
  <c r="O110" i="101"/>
  <c r="M110" i="101"/>
  <c r="O109" i="101"/>
  <c r="M109" i="101"/>
  <c r="O108" i="101"/>
  <c r="M108" i="101"/>
  <c r="D96" i="101"/>
  <c r="L93" i="101"/>
  <c r="J93" i="101"/>
  <c r="D91" i="101"/>
  <c r="D89" i="101"/>
  <c r="N72" i="101"/>
  <c r="L72" i="101"/>
  <c r="N71" i="101"/>
  <c r="L71" i="101"/>
  <c r="N70" i="101"/>
  <c r="L70" i="101"/>
  <c r="N69" i="101"/>
  <c r="L69" i="101"/>
  <c r="N68" i="101"/>
  <c r="L68" i="101"/>
  <c r="N67" i="101"/>
  <c r="L67" i="101"/>
  <c r="N66" i="101"/>
  <c r="L66" i="101"/>
  <c r="N65" i="101"/>
  <c r="L65" i="101"/>
  <c r="N64" i="101"/>
  <c r="L64" i="101"/>
  <c r="N63" i="101"/>
  <c r="L63" i="101"/>
  <c r="N62" i="101"/>
  <c r="L62" i="101"/>
  <c r="N61" i="101"/>
  <c r="L61" i="101"/>
  <c r="N60" i="101"/>
  <c r="L60" i="101"/>
  <c r="N59" i="101"/>
  <c r="L59" i="101"/>
  <c r="N58" i="101"/>
  <c r="L58" i="101"/>
  <c r="N57" i="101"/>
  <c r="L57" i="101"/>
  <c r="N56" i="101"/>
  <c r="L56" i="101"/>
  <c r="N55" i="101"/>
  <c r="L55" i="101"/>
  <c r="N54" i="101"/>
  <c r="L54" i="101"/>
  <c r="N53" i="101"/>
  <c r="L53" i="101"/>
  <c r="N52" i="101"/>
  <c r="L52" i="101"/>
  <c r="N51" i="101"/>
  <c r="L51" i="101"/>
  <c r="N50" i="101"/>
  <c r="L50" i="101"/>
  <c r="N49" i="101"/>
  <c r="L49" i="101"/>
  <c r="N48" i="101"/>
  <c r="L48" i="101"/>
  <c r="N47" i="101"/>
  <c r="L47" i="101"/>
  <c r="N46" i="101"/>
  <c r="L46" i="101"/>
  <c r="N45" i="101"/>
  <c r="L45" i="101"/>
  <c r="N44" i="101"/>
  <c r="L44" i="101"/>
  <c r="N43" i="101"/>
  <c r="L43" i="101"/>
  <c r="N42" i="101"/>
  <c r="L42" i="101"/>
  <c r="N41" i="101"/>
  <c r="L41" i="101"/>
  <c r="N40" i="101"/>
  <c r="L40" i="101"/>
  <c r="N39" i="101"/>
  <c r="L39" i="101"/>
  <c r="N38" i="101"/>
  <c r="L38" i="101"/>
  <c r="N37" i="101"/>
  <c r="L37" i="101"/>
  <c r="N36" i="101"/>
  <c r="L36" i="101"/>
  <c r="N35" i="101"/>
  <c r="L35" i="101"/>
  <c r="N34" i="101"/>
  <c r="L34" i="101"/>
  <c r="N33" i="101"/>
  <c r="L33" i="101"/>
  <c r="N32" i="101"/>
  <c r="L32" i="101"/>
  <c r="N31" i="101"/>
  <c r="L31" i="101"/>
  <c r="N30" i="101"/>
  <c r="L30" i="101"/>
  <c r="N29" i="101"/>
  <c r="L29" i="101"/>
  <c r="N28" i="101"/>
  <c r="L28" i="101"/>
  <c r="N27" i="101"/>
  <c r="L27" i="101"/>
  <c r="N26" i="101"/>
  <c r="L26" i="101"/>
  <c r="C17" i="101"/>
  <c r="K11" i="101"/>
  <c r="I11" i="101"/>
  <c r="P83" i="101"/>
  <c r="P154" i="100"/>
  <c r="O154" i="100"/>
  <c r="M154" i="100"/>
  <c r="J154" i="100"/>
  <c r="P153" i="100"/>
  <c r="O153" i="100"/>
  <c r="M153" i="100"/>
  <c r="J153" i="100"/>
  <c r="P152" i="100"/>
  <c r="O152" i="100"/>
  <c r="M152" i="100"/>
  <c r="J152" i="100"/>
  <c r="P151" i="100"/>
  <c r="O151" i="100"/>
  <c r="M151" i="100"/>
  <c r="J151" i="100"/>
  <c r="P150" i="100"/>
  <c r="O150" i="100"/>
  <c r="M150" i="100"/>
  <c r="J150" i="100"/>
  <c r="P149" i="100"/>
  <c r="O149" i="100"/>
  <c r="M149" i="100"/>
  <c r="J149" i="100"/>
  <c r="P148" i="100"/>
  <c r="O148" i="100"/>
  <c r="M148" i="100"/>
  <c r="J148" i="100"/>
  <c r="P147" i="100"/>
  <c r="O147" i="100"/>
  <c r="M147" i="100"/>
  <c r="J147" i="100"/>
  <c r="P146" i="100"/>
  <c r="O146" i="100"/>
  <c r="M146" i="100"/>
  <c r="J146" i="100"/>
  <c r="P145" i="100"/>
  <c r="O145" i="100"/>
  <c r="M145" i="100"/>
  <c r="J145" i="100"/>
  <c r="P144" i="100"/>
  <c r="O144" i="100"/>
  <c r="M144" i="100"/>
  <c r="J144" i="100"/>
  <c r="P143" i="100"/>
  <c r="O143" i="100"/>
  <c r="M143" i="100"/>
  <c r="J143" i="100"/>
  <c r="P142" i="100"/>
  <c r="O142" i="100"/>
  <c r="M142" i="100"/>
  <c r="J142" i="100"/>
  <c r="P141" i="100"/>
  <c r="O141" i="100"/>
  <c r="M141" i="100"/>
  <c r="J141" i="100"/>
  <c r="P140" i="100"/>
  <c r="O140" i="100"/>
  <c r="M140" i="100"/>
  <c r="J140" i="100"/>
  <c r="P139" i="100"/>
  <c r="O139" i="100"/>
  <c r="M139" i="100"/>
  <c r="J139" i="100"/>
  <c r="P138" i="100"/>
  <c r="O138" i="100"/>
  <c r="M138" i="100"/>
  <c r="J138" i="100"/>
  <c r="P137" i="100"/>
  <c r="O137" i="100"/>
  <c r="M137" i="100"/>
  <c r="J137" i="100"/>
  <c r="P136" i="100"/>
  <c r="O136" i="100"/>
  <c r="M136" i="100"/>
  <c r="J136" i="100"/>
  <c r="P135" i="100"/>
  <c r="O135" i="100"/>
  <c r="M135" i="100"/>
  <c r="J135" i="100"/>
  <c r="P134" i="100"/>
  <c r="O134" i="100"/>
  <c r="M134" i="100"/>
  <c r="J134" i="100"/>
  <c r="P133" i="100"/>
  <c r="O133" i="100"/>
  <c r="M133" i="100"/>
  <c r="J133" i="100"/>
  <c r="P132" i="100"/>
  <c r="O132" i="100"/>
  <c r="M132" i="100"/>
  <c r="J132" i="100"/>
  <c r="P131" i="100"/>
  <c r="O131" i="100"/>
  <c r="M131" i="100"/>
  <c r="J131" i="100"/>
  <c r="O130" i="100"/>
  <c r="M130" i="100"/>
  <c r="O129" i="100"/>
  <c r="M129" i="100"/>
  <c r="O128" i="100"/>
  <c r="M128" i="100"/>
  <c r="O127" i="100"/>
  <c r="M127" i="100"/>
  <c r="O126" i="100"/>
  <c r="M126" i="100"/>
  <c r="O125" i="100"/>
  <c r="M125" i="100"/>
  <c r="O124" i="100"/>
  <c r="M124" i="100"/>
  <c r="O123" i="100"/>
  <c r="M123" i="100"/>
  <c r="O122" i="100"/>
  <c r="M122" i="100"/>
  <c r="O121" i="100"/>
  <c r="M121" i="100"/>
  <c r="O120" i="100"/>
  <c r="M120" i="100"/>
  <c r="O119" i="100"/>
  <c r="M119" i="100"/>
  <c r="O118" i="100"/>
  <c r="M118" i="100"/>
  <c r="O117" i="100"/>
  <c r="M117" i="100"/>
  <c r="O116" i="100"/>
  <c r="M116" i="100"/>
  <c r="O115" i="100"/>
  <c r="M115" i="100"/>
  <c r="O114" i="100"/>
  <c r="M114" i="100"/>
  <c r="O113" i="100"/>
  <c r="M113" i="100"/>
  <c r="O112" i="100"/>
  <c r="M112" i="100"/>
  <c r="O111" i="100"/>
  <c r="M111" i="100"/>
  <c r="O110" i="100"/>
  <c r="M110" i="100"/>
  <c r="O109" i="100"/>
  <c r="M109" i="100"/>
  <c r="O108" i="100"/>
  <c r="M108" i="100"/>
  <c r="O107" i="100"/>
  <c r="M107" i="100"/>
  <c r="O106" i="100"/>
  <c r="M106" i="100"/>
  <c r="O105" i="100"/>
  <c r="M105" i="100"/>
  <c r="O104" i="100"/>
  <c r="M104" i="100"/>
  <c r="O103" i="100"/>
  <c r="M103" i="100"/>
  <c r="O102" i="100"/>
  <c r="M102" i="100"/>
  <c r="O101" i="100"/>
  <c r="M101" i="100"/>
  <c r="O100" i="100"/>
  <c r="M100" i="100"/>
  <c r="O99" i="100"/>
  <c r="M99" i="100"/>
  <c r="D96" i="100"/>
  <c r="L93" i="100"/>
  <c r="J93" i="100"/>
  <c r="D91" i="100"/>
  <c r="D90" i="100"/>
  <c r="D89" i="100"/>
  <c r="N72" i="100"/>
  <c r="L72" i="100"/>
  <c r="N71" i="100"/>
  <c r="L71" i="100"/>
  <c r="N70" i="100"/>
  <c r="L70" i="100"/>
  <c r="N69" i="100"/>
  <c r="L69" i="100"/>
  <c r="N68" i="100"/>
  <c r="L68" i="100"/>
  <c r="N67" i="100"/>
  <c r="L67" i="100"/>
  <c r="N66" i="100"/>
  <c r="L66" i="100"/>
  <c r="N65" i="100"/>
  <c r="L65" i="100"/>
  <c r="N64" i="100"/>
  <c r="L64" i="100"/>
  <c r="N63" i="100"/>
  <c r="L63" i="100"/>
  <c r="N62" i="100"/>
  <c r="L62" i="100"/>
  <c r="N61" i="100"/>
  <c r="L61" i="100"/>
  <c r="N60" i="100"/>
  <c r="L60" i="100"/>
  <c r="N59" i="100"/>
  <c r="L59" i="100"/>
  <c r="N58" i="100"/>
  <c r="L58" i="100"/>
  <c r="N57" i="100"/>
  <c r="L57" i="100"/>
  <c r="N56" i="100"/>
  <c r="O56" i="100" s="1"/>
  <c r="L56" i="100"/>
  <c r="N55" i="100"/>
  <c r="L55" i="100"/>
  <c r="N54" i="100"/>
  <c r="L54" i="100"/>
  <c r="N53" i="100"/>
  <c r="L53" i="100"/>
  <c r="N52" i="100"/>
  <c r="L52" i="100"/>
  <c r="N51" i="100"/>
  <c r="L51" i="100"/>
  <c r="N50" i="100"/>
  <c r="L50" i="100"/>
  <c r="N49" i="100"/>
  <c r="L49" i="100"/>
  <c r="N48" i="100"/>
  <c r="O48" i="100" s="1"/>
  <c r="L48" i="100"/>
  <c r="N47" i="100"/>
  <c r="L47" i="100"/>
  <c r="N46" i="100"/>
  <c r="L46" i="100"/>
  <c r="N45" i="100"/>
  <c r="L45" i="100"/>
  <c r="N44" i="100"/>
  <c r="L44" i="100"/>
  <c r="N43" i="100"/>
  <c r="L43" i="100"/>
  <c r="N42" i="100"/>
  <c r="L42" i="100"/>
  <c r="N41" i="100"/>
  <c r="L41" i="100"/>
  <c r="N40" i="100"/>
  <c r="L40" i="100"/>
  <c r="N39" i="100"/>
  <c r="L39" i="100"/>
  <c r="N38" i="100"/>
  <c r="O38" i="100" s="1"/>
  <c r="L38" i="100"/>
  <c r="N37" i="100"/>
  <c r="L37" i="100"/>
  <c r="N36" i="100"/>
  <c r="L36" i="100"/>
  <c r="N35" i="100"/>
  <c r="L35" i="100"/>
  <c r="N34" i="100"/>
  <c r="L34" i="100"/>
  <c r="N33" i="100"/>
  <c r="L33" i="100"/>
  <c r="N32" i="100"/>
  <c r="L32" i="100"/>
  <c r="N31" i="100"/>
  <c r="L31" i="100"/>
  <c r="N30" i="100"/>
  <c r="L30" i="100"/>
  <c r="N29" i="100"/>
  <c r="L29" i="100"/>
  <c r="N28" i="100"/>
  <c r="L28" i="100"/>
  <c r="N27" i="100"/>
  <c r="L27" i="100"/>
  <c r="N26" i="100"/>
  <c r="L26" i="100"/>
  <c r="N25" i="100"/>
  <c r="L25" i="100"/>
  <c r="N24" i="100"/>
  <c r="O24" i="100" s="1"/>
  <c r="L24" i="100"/>
  <c r="N23" i="100"/>
  <c r="L23" i="100"/>
  <c r="N22" i="100"/>
  <c r="L22" i="100"/>
  <c r="N21" i="100"/>
  <c r="L21" i="100"/>
  <c r="N20" i="100"/>
  <c r="L20" i="100"/>
  <c r="N19" i="100"/>
  <c r="L19" i="100"/>
  <c r="N18" i="100"/>
  <c r="L18" i="100"/>
  <c r="N17" i="100"/>
  <c r="L17" i="100"/>
  <c r="E17" i="100"/>
  <c r="C17" i="100"/>
  <c r="C18" i="100" s="1"/>
  <c r="C19" i="100" s="1"/>
  <c r="C20" i="100" s="1"/>
  <c r="C21" i="100" s="1"/>
  <c r="C22" i="100" s="1"/>
  <c r="C23" i="100" s="1"/>
  <c r="C24" i="100" s="1"/>
  <c r="C25" i="100" s="1"/>
  <c r="C26" i="100" s="1"/>
  <c r="C27" i="100" s="1"/>
  <c r="C28" i="100" s="1"/>
  <c r="C29" i="100" s="1"/>
  <c r="C30" i="100" s="1"/>
  <c r="C31" i="100" s="1"/>
  <c r="C32" i="100" s="1"/>
  <c r="C33" i="100" s="1"/>
  <c r="C34" i="100" s="1"/>
  <c r="C35" i="100" s="1"/>
  <c r="C36" i="100" s="1"/>
  <c r="C37" i="100" s="1"/>
  <c r="C38" i="100" s="1"/>
  <c r="C39" i="100" s="1"/>
  <c r="C40" i="100" s="1"/>
  <c r="C41" i="100" s="1"/>
  <c r="C42" i="100" s="1"/>
  <c r="C43" i="100" s="1"/>
  <c r="C44" i="100" s="1"/>
  <c r="I14" i="100"/>
  <c r="K11" i="100"/>
  <c r="I11" i="100"/>
  <c r="D8" i="100"/>
  <c r="P1" i="100"/>
  <c r="P83" i="100" s="1"/>
  <c r="E91" i="94"/>
  <c r="E91" i="86"/>
  <c r="E91" i="85"/>
  <c r="O25" i="101" l="1"/>
  <c r="O21" i="101"/>
  <c r="O20" i="101"/>
  <c r="O48" i="101"/>
  <c r="P124" i="100"/>
  <c r="P119" i="100"/>
  <c r="P123" i="100"/>
  <c r="P118" i="100"/>
  <c r="P126" i="100"/>
  <c r="P122" i="100"/>
  <c r="P102" i="100"/>
  <c r="P125" i="100"/>
  <c r="P100" i="100"/>
  <c r="P104" i="100"/>
  <c r="P108" i="100"/>
  <c r="P112" i="100"/>
  <c r="P116" i="100"/>
  <c r="P128" i="100"/>
  <c r="P101" i="100"/>
  <c r="P109" i="100"/>
  <c r="P121" i="100"/>
  <c r="P105" i="100"/>
  <c r="P117" i="100"/>
  <c r="O21" i="100"/>
  <c r="O29" i="100"/>
  <c r="O37" i="100"/>
  <c r="O45" i="100"/>
  <c r="O53" i="100"/>
  <c r="O61" i="100"/>
  <c r="O37" i="101"/>
  <c r="O41" i="101"/>
  <c r="O49" i="101"/>
  <c r="O53" i="101"/>
  <c r="O65" i="101"/>
  <c r="O44" i="100"/>
  <c r="O36" i="100"/>
  <c r="O60" i="100"/>
  <c r="O41" i="102"/>
  <c r="O63" i="100"/>
  <c r="O72" i="100"/>
  <c r="O68" i="101"/>
  <c r="O40" i="100"/>
  <c r="O69" i="100"/>
  <c r="O18" i="100"/>
  <c r="O26" i="100"/>
  <c r="O19" i="100"/>
  <c r="O23" i="100"/>
  <c r="O31" i="100"/>
  <c r="O35" i="100"/>
  <c r="O47" i="100"/>
  <c r="O62" i="100"/>
  <c r="O70" i="100"/>
  <c r="P99" i="100"/>
  <c r="P103" i="100"/>
  <c r="P107" i="100"/>
  <c r="P111" i="100"/>
  <c r="P115" i="100"/>
  <c r="P130" i="100"/>
  <c r="O20" i="100"/>
  <c r="O52" i="100"/>
  <c r="O59" i="100"/>
  <c r="P127" i="100"/>
  <c r="P120" i="100"/>
  <c r="P113" i="100"/>
  <c r="P110" i="100"/>
  <c r="P129" i="100"/>
  <c r="O70" i="101"/>
  <c r="O27" i="102"/>
  <c r="O26" i="101"/>
  <c r="O43" i="102"/>
  <c r="O65" i="102"/>
  <c r="O69" i="102"/>
  <c r="O62" i="101"/>
  <c r="O58" i="101"/>
  <c r="O39" i="102"/>
  <c r="O47" i="102"/>
  <c r="O63" i="102"/>
  <c r="O68" i="102"/>
  <c r="O72" i="102"/>
  <c r="O35" i="101"/>
  <c r="O67" i="101"/>
  <c r="O71" i="101"/>
  <c r="O30" i="101"/>
  <c r="O42" i="101"/>
  <c r="O19" i="101"/>
  <c r="O17" i="101"/>
  <c r="O22" i="101"/>
  <c r="P104" i="101"/>
  <c r="P106" i="101"/>
  <c r="P107" i="101"/>
  <c r="P108" i="101"/>
  <c r="P122" i="101"/>
  <c r="O23" i="101"/>
  <c r="O18" i="101"/>
  <c r="O24" i="101"/>
  <c r="O34" i="101"/>
  <c r="O38" i="101"/>
  <c r="O61" i="101"/>
  <c r="P109" i="101"/>
  <c r="P113" i="101"/>
  <c r="P117" i="101"/>
  <c r="P121" i="101"/>
  <c r="P125" i="101"/>
  <c r="P129" i="101"/>
  <c r="O31" i="101"/>
  <c r="O39" i="101"/>
  <c r="O46" i="101"/>
  <c r="O50" i="101"/>
  <c r="O54" i="101"/>
  <c r="O51" i="101"/>
  <c r="O69" i="101"/>
  <c r="O43" i="101"/>
  <c r="O36" i="101"/>
  <c r="O40" i="101"/>
  <c r="O28" i="101"/>
  <c r="O47" i="101"/>
  <c r="O27" i="101"/>
  <c r="O45" i="101"/>
  <c r="O59" i="101"/>
  <c r="O66" i="101"/>
  <c r="O72" i="101"/>
  <c r="O56" i="101"/>
  <c r="P126" i="101"/>
  <c r="O32" i="101"/>
  <c r="O57" i="101"/>
  <c r="O64" i="101"/>
  <c r="P111" i="101"/>
  <c r="P115" i="101"/>
  <c r="P119" i="101"/>
  <c r="P123" i="101"/>
  <c r="P127" i="101"/>
  <c r="O29" i="101"/>
  <c r="O33" i="101"/>
  <c r="P116" i="101"/>
  <c r="P99" i="102"/>
  <c r="P103" i="102"/>
  <c r="P107" i="102"/>
  <c r="P111" i="102"/>
  <c r="P115" i="102"/>
  <c r="P119" i="102"/>
  <c r="P123" i="102"/>
  <c r="P127" i="102"/>
  <c r="O22" i="102"/>
  <c r="O38" i="102"/>
  <c r="O50" i="102"/>
  <c r="O54" i="102"/>
  <c r="O55" i="102"/>
  <c r="O35" i="102"/>
  <c r="O59" i="102"/>
  <c r="O61" i="102"/>
  <c r="O67" i="102"/>
  <c r="O33" i="102"/>
  <c r="O52" i="102"/>
  <c r="P101" i="102"/>
  <c r="P105" i="102"/>
  <c r="P109" i="102"/>
  <c r="P113" i="102"/>
  <c r="P121" i="102"/>
  <c r="P125" i="102"/>
  <c r="P129" i="102"/>
  <c r="O62" i="102"/>
  <c r="O66" i="102"/>
  <c r="O51" i="102"/>
  <c r="O70" i="102"/>
  <c r="O24" i="102"/>
  <c r="O40" i="102"/>
  <c r="O26" i="102"/>
  <c r="O30" i="102"/>
  <c r="O45" i="102"/>
  <c r="O57" i="102"/>
  <c r="O19" i="102"/>
  <c r="O23" i="102"/>
  <c r="O46" i="102"/>
  <c r="O21" i="102"/>
  <c r="O31" i="102"/>
  <c r="O48" i="102"/>
  <c r="O28" i="102"/>
  <c r="O42" i="102"/>
  <c r="O49" i="102"/>
  <c r="O56" i="102"/>
  <c r="P100" i="102"/>
  <c r="P104" i="102"/>
  <c r="P108" i="102"/>
  <c r="P112" i="102"/>
  <c r="P116" i="102"/>
  <c r="P120" i="102"/>
  <c r="P124" i="102"/>
  <c r="P128" i="102"/>
  <c r="O18" i="102"/>
  <c r="O25" i="102"/>
  <c r="O32" i="102"/>
  <c r="O53" i="102"/>
  <c r="O71" i="102"/>
  <c r="O29" i="102"/>
  <c r="O64" i="102"/>
  <c r="P117" i="102"/>
  <c r="O37" i="102"/>
  <c r="O58" i="102"/>
  <c r="P102" i="102"/>
  <c r="P106" i="102"/>
  <c r="P110" i="102"/>
  <c r="P114" i="102"/>
  <c r="P118" i="102"/>
  <c r="P122" i="102"/>
  <c r="P126" i="102"/>
  <c r="P130" i="102"/>
  <c r="O34" i="102"/>
  <c r="C18" i="102"/>
  <c r="C19" i="102" s="1"/>
  <c r="C20" i="102" s="1"/>
  <c r="C21" i="102" s="1"/>
  <c r="C22" i="102" s="1"/>
  <c r="C23" i="102" s="1"/>
  <c r="C24" i="102" s="1"/>
  <c r="C25" i="102" s="1"/>
  <c r="C26" i="102" s="1"/>
  <c r="C27" i="102" s="1"/>
  <c r="C28" i="102" s="1"/>
  <c r="C29" i="102" s="1"/>
  <c r="C30" i="102" s="1"/>
  <c r="C31" i="102" s="1"/>
  <c r="C32" i="102" s="1"/>
  <c r="C33" i="102" s="1"/>
  <c r="C34" i="102" s="1"/>
  <c r="C35" i="102" s="1"/>
  <c r="C36" i="102" s="1"/>
  <c r="C37" i="102" s="1"/>
  <c r="C38" i="102" s="1"/>
  <c r="C39" i="102" s="1"/>
  <c r="C40" i="102" s="1"/>
  <c r="C41" i="102" s="1"/>
  <c r="C42" i="102" s="1"/>
  <c r="C43" i="102" s="1"/>
  <c r="C44" i="102" s="1"/>
  <c r="C45" i="102" s="1"/>
  <c r="C46" i="102" s="1"/>
  <c r="C47" i="102" s="1"/>
  <c r="C48" i="102" s="1"/>
  <c r="C49" i="102" s="1"/>
  <c r="C50" i="102" s="1"/>
  <c r="C51" i="102" s="1"/>
  <c r="C52" i="102" s="1"/>
  <c r="C53" i="102" s="1"/>
  <c r="C54" i="102" s="1"/>
  <c r="C55" i="102" s="1"/>
  <c r="C56" i="102" s="1"/>
  <c r="C57" i="102" s="1"/>
  <c r="C58" i="102" s="1"/>
  <c r="C59" i="102" s="1"/>
  <c r="C60" i="102" s="1"/>
  <c r="C61" i="102" s="1"/>
  <c r="C62" i="102" s="1"/>
  <c r="C63" i="102" s="1"/>
  <c r="C64" i="102" s="1"/>
  <c r="C65" i="102" s="1"/>
  <c r="C66" i="102" s="1"/>
  <c r="C67" i="102" s="1"/>
  <c r="C68" i="102" s="1"/>
  <c r="C69" i="102" s="1"/>
  <c r="C70" i="102" s="1"/>
  <c r="C71" i="102" s="1"/>
  <c r="C72" i="102" s="1"/>
  <c r="O36" i="102"/>
  <c r="O60" i="102"/>
  <c r="O20" i="102"/>
  <c r="O44" i="102"/>
  <c r="O60" i="101"/>
  <c r="O44" i="101"/>
  <c r="O55" i="101"/>
  <c r="C18" i="101"/>
  <c r="C19" i="101" s="1"/>
  <c r="C20" i="101" s="1"/>
  <c r="C21" i="101" s="1"/>
  <c r="C22" i="101" s="1"/>
  <c r="C23" i="101" s="1"/>
  <c r="C24" i="101" s="1"/>
  <c r="C25" i="101" s="1"/>
  <c r="C26" i="101" s="1"/>
  <c r="C27" i="101" s="1"/>
  <c r="C28" i="101" s="1"/>
  <c r="C29" i="101" s="1"/>
  <c r="C30" i="101" s="1"/>
  <c r="C31" i="101" s="1"/>
  <c r="C32" i="101" s="1"/>
  <c r="C33" i="101" s="1"/>
  <c r="C34" i="101" s="1"/>
  <c r="C35" i="101" s="1"/>
  <c r="C36" i="101" s="1"/>
  <c r="C37" i="101" s="1"/>
  <c r="C38" i="101" s="1"/>
  <c r="C39" i="101" s="1"/>
  <c r="C40" i="101" s="1"/>
  <c r="C41" i="101" s="1"/>
  <c r="C42" i="101" s="1"/>
  <c r="C43" i="101" s="1"/>
  <c r="C44" i="101" s="1"/>
  <c r="O52" i="101"/>
  <c r="O63" i="101"/>
  <c r="P120" i="101"/>
  <c r="P124" i="101"/>
  <c r="P110" i="101"/>
  <c r="P118" i="101"/>
  <c r="P112" i="101"/>
  <c r="P128" i="101"/>
  <c r="P114" i="101"/>
  <c r="P130" i="101"/>
  <c r="O39" i="100"/>
  <c r="O43" i="100"/>
  <c r="O58" i="100"/>
  <c r="O64" i="100"/>
  <c r="O68" i="100"/>
  <c r="O46" i="100"/>
  <c r="O22" i="100"/>
  <c r="O55" i="100"/>
  <c r="O65" i="100"/>
  <c r="O32" i="100"/>
  <c r="O17" i="100"/>
  <c r="O28" i="100"/>
  <c r="O67" i="100"/>
  <c r="C45" i="100"/>
  <c r="C46" i="100" s="1"/>
  <c r="C47" i="100" s="1"/>
  <c r="C48" i="100" s="1"/>
  <c r="C49" i="100" s="1"/>
  <c r="C50" i="100" s="1"/>
  <c r="C51" i="100" s="1"/>
  <c r="C52" i="100" s="1"/>
  <c r="C53" i="100" s="1"/>
  <c r="C54" i="100" s="1"/>
  <c r="C55" i="100" s="1"/>
  <c r="C56" i="100" s="1"/>
  <c r="C57" i="100" s="1"/>
  <c r="C58" i="100" s="1"/>
  <c r="C59" i="100" s="1"/>
  <c r="C60" i="100" s="1"/>
  <c r="C61" i="100" s="1"/>
  <c r="C62" i="100" s="1"/>
  <c r="C63" i="100" s="1"/>
  <c r="C64" i="100" s="1"/>
  <c r="C65" i="100" s="1"/>
  <c r="C66" i="100" s="1"/>
  <c r="C67" i="100" s="1"/>
  <c r="C68" i="100" s="1"/>
  <c r="C69" i="100" s="1"/>
  <c r="C70" i="100" s="1"/>
  <c r="C71" i="100" s="1"/>
  <c r="C72" i="100" s="1"/>
  <c r="O33" i="100"/>
  <c r="O54" i="100"/>
  <c r="O34" i="100"/>
  <c r="P106" i="100"/>
  <c r="O57" i="100"/>
  <c r="O27" i="100"/>
  <c r="O30" i="100"/>
  <c r="O51" i="100"/>
  <c r="O49" i="100"/>
  <c r="P114" i="100"/>
  <c r="O25" i="100"/>
  <c r="O42" i="100"/>
  <c r="O50" i="100"/>
  <c r="F17" i="100"/>
  <c r="O41" i="100"/>
  <c r="O66" i="100"/>
  <c r="O71" i="100"/>
  <c r="C99" i="102" l="1"/>
  <c r="D99" i="102" s="1"/>
  <c r="C45" i="101"/>
  <c r="C46" i="101" s="1"/>
  <c r="C47" i="101" s="1"/>
  <c r="C48" i="101" s="1"/>
  <c r="C49" i="101" s="1"/>
  <c r="C50" i="101" s="1"/>
  <c r="C51" i="101" s="1"/>
  <c r="C52" i="101" s="1"/>
  <c r="C53" i="101" s="1"/>
  <c r="C54" i="101" s="1"/>
  <c r="C55" i="101" s="1"/>
  <c r="C56" i="101" s="1"/>
  <c r="C57" i="101" s="1"/>
  <c r="C58" i="101" s="1"/>
  <c r="C59" i="101" s="1"/>
  <c r="C60" i="101" s="1"/>
  <c r="C61" i="101" s="1"/>
  <c r="C62" i="101" s="1"/>
  <c r="C63" i="101" s="1"/>
  <c r="C64" i="101" s="1"/>
  <c r="C65" i="101" s="1"/>
  <c r="C66" i="101" s="1"/>
  <c r="C67" i="101" s="1"/>
  <c r="C68" i="101" s="1"/>
  <c r="C69" i="101" s="1"/>
  <c r="C70" i="101" s="1"/>
  <c r="C71" i="101" s="1"/>
  <c r="C72" i="101" s="1"/>
  <c r="D18" i="100"/>
  <c r="P103" i="99"/>
  <c r="O103" i="99"/>
  <c r="N103" i="99"/>
  <c r="M103" i="99"/>
  <c r="L103" i="99"/>
  <c r="M22" i="99"/>
  <c r="N22" i="99" s="1"/>
  <c r="O22" i="99" s="1"/>
  <c r="K22" i="99"/>
  <c r="L22" i="99" s="1"/>
  <c r="N103" i="98"/>
  <c r="O103" i="98" s="1"/>
  <c r="P103" i="98" s="1"/>
  <c r="M103" i="98"/>
  <c r="L103" i="98"/>
  <c r="M22" i="98"/>
  <c r="N22" i="98" s="1"/>
  <c r="K22" i="98"/>
  <c r="L22" i="98" s="1"/>
  <c r="O103" i="97"/>
  <c r="P103" i="97" s="1"/>
  <c r="N103" i="97"/>
  <c r="M103" i="97"/>
  <c r="L103" i="97"/>
  <c r="M22" i="97"/>
  <c r="N22" i="97" s="1"/>
  <c r="K22" i="97"/>
  <c r="L22" i="97" s="1"/>
  <c r="N104" i="96"/>
  <c r="O104" i="96" s="1"/>
  <c r="P104" i="96" s="1"/>
  <c r="L104" i="96"/>
  <c r="M104" i="96" s="1"/>
  <c r="N23" i="96"/>
  <c r="M23" i="96"/>
  <c r="K23" i="96"/>
  <c r="L23" i="96" s="1"/>
  <c r="N104" i="95"/>
  <c r="O104" i="95" s="1"/>
  <c r="L104" i="95"/>
  <c r="M104" i="95" s="1"/>
  <c r="M23" i="95"/>
  <c r="N23" i="95" s="1"/>
  <c r="K23" i="95"/>
  <c r="L23" i="95" s="1"/>
  <c r="N105" i="94"/>
  <c r="O105" i="94" s="1"/>
  <c r="L105" i="94"/>
  <c r="M105" i="94" s="1"/>
  <c r="M24" i="94"/>
  <c r="N24" i="94" s="1"/>
  <c r="K24" i="94"/>
  <c r="L24" i="94" s="1"/>
  <c r="O104" i="93"/>
  <c r="N104" i="93"/>
  <c r="L104" i="93"/>
  <c r="M104" i="93" s="1"/>
  <c r="M23" i="93"/>
  <c r="N23" i="93" s="1"/>
  <c r="K23" i="93"/>
  <c r="L23" i="93" s="1"/>
  <c r="O105" i="92"/>
  <c r="P105" i="92" s="1"/>
  <c r="N105" i="92"/>
  <c r="L105" i="92"/>
  <c r="M105" i="92" s="1"/>
  <c r="M24" i="92"/>
  <c r="N24" i="92" s="1"/>
  <c r="K24" i="92"/>
  <c r="L24" i="92" s="1"/>
  <c r="O105" i="91"/>
  <c r="P105" i="91" s="1"/>
  <c r="N105" i="91"/>
  <c r="L105" i="91"/>
  <c r="M105" i="91" s="1"/>
  <c r="M24" i="91"/>
  <c r="N24" i="91" s="1"/>
  <c r="K24" i="91"/>
  <c r="L24" i="91" s="1"/>
  <c r="N105" i="90"/>
  <c r="M105" i="90"/>
  <c r="L105" i="90"/>
  <c r="M24" i="90"/>
  <c r="N24" i="90" s="1"/>
  <c r="K24" i="90"/>
  <c r="L24" i="90" s="1"/>
  <c r="N105" i="89"/>
  <c r="O105" i="89" s="1"/>
  <c r="P105" i="89" s="1"/>
  <c r="M105" i="89"/>
  <c r="L105" i="89"/>
  <c r="L104" i="89"/>
  <c r="M104" i="89"/>
  <c r="N104" i="89"/>
  <c r="O104" i="89"/>
  <c r="P104" i="89" s="1"/>
  <c r="M24" i="89"/>
  <c r="N24" i="89" s="1"/>
  <c r="O24" i="89" s="1"/>
  <c r="K24" i="89"/>
  <c r="L24" i="89" s="1"/>
  <c r="N105" i="88"/>
  <c r="O105" i="88" s="1"/>
  <c r="L105" i="88"/>
  <c r="M105" i="88" s="1"/>
  <c r="M24" i="88"/>
  <c r="N24" i="88" s="1"/>
  <c r="K24" i="88"/>
  <c r="L24" i="88" s="1"/>
  <c r="N105" i="87"/>
  <c r="O105" i="87" s="1"/>
  <c r="P105" i="87" s="1"/>
  <c r="L105" i="87"/>
  <c r="M105" i="87" s="1"/>
  <c r="M24" i="87"/>
  <c r="N24" i="87" s="1"/>
  <c r="K24" i="87"/>
  <c r="L24" i="87" s="1"/>
  <c r="N106" i="86"/>
  <c r="O106" i="86" s="1"/>
  <c r="L106" i="86"/>
  <c r="M106" i="86" s="1"/>
  <c r="M25" i="86"/>
  <c r="N25" i="86" s="1"/>
  <c r="K25" i="86"/>
  <c r="L25" i="86" s="1"/>
  <c r="N106" i="85"/>
  <c r="O106" i="85" s="1"/>
  <c r="P106" i="85" s="1"/>
  <c r="M106" i="85"/>
  <c r="L106" i="85"/>
  <c r="M25" i="85"/>
  <c r="N25" i="85" s="1"/>
  <c r="K25" i="85"/>
  <c r="L25" i="85" s="1"/>
  <c r="N105" i="84"/>
  <c r="O105" i="84" s="1"/>
  <c r="P105" i="84" s="1"/>
  <c r="M105" i="84"/>
  <c r="L105" i="84"/>
  <c r="M25" i="84"/>
  <c r="N25" i="84" s="1"/>
  <c r="O25" i="84" s="1"/>
  <c r="K25" i="84"/>
  <c r="L25" i="84" s="1"/>
  <c r="N106" i="83"/>
  <c r="O106" i="83" s="1"/>
  <c r="P106" i="83" s="1"/>
  <c r="L106" i="83"/>
  <c r="M106" i="83" s="1"/>
  <c r="M25" i="83"/>
  <c r="N25" i="83" s="1"/>
  <c r="O25" i="83" s="1"/>
  <c r="K25" i="83"/>
  <c r="L25" i="83" s="1"/>
  <c r="N106" i="82"/>
  <c r="O106" i="82" s="1"/>
  <c r="P106" i="82" s="1"/>
  <c r="L106" i="82"/>
  <c r="M106" i="82" s="1"/>
  <c r="M25" i="82"/>
  <c r="N25" i="82" s="1"/>
  <c r="O25" i="82" s="1"/>
  <c r="K25" i="82"/>
  <c r="L25" i="82" s="1"/>
  <c r="N106" i="81"/>
  <c r="O106" i="81" s="1"/>
  <c r="P106" i="81" s="1"/>
  <c r="L106" i="81"/>
  <c r="M106" i="81" s="1"/>
  <c r="M25" i="81"/>
  <c r="N25" i="81" s="1"/>
  <c r="K25" i="81"/>
  <c r="L25" i="81" s="1"/>
  <c r="N106" i="80"/>
  <c r="O106" i="80" s="1"/>
  <c r="P106" i="80" s="1"/>
  <c r="L106" i="80"/>
  <c r="M106" i="80" s="1"/>
  <c r="M25" i="80"/>
  <c r="N25" i="80" s="1"/>
  <c r="K25" i="80"/>
  <c r="L25" i="80" s="1"/>
  <c r="N107" i="79"/>
  <c r="O107" i="79" s="1"/>
  <c r="P107" i="79" s="1"/>
  <c r="L107" i="79"/>
  <c r="M107" i="79" s="1"/>
  <c r="M26" i="79"/>
  <c r="N26" i="79" s="1"/>
  <c r="O26" i="79" s="1"/>
  <c r="K26" i="79"/>
  <c r="L26" i="79" s="1"/>
  <c r="N107" i="78"/>
  <c r="O107" i="78" s="1"/>
  <c r="L107" i="78"/>
  <c r="M107" i="78" s="1"/>
  <c r="M26" i="78"/>
  <c r="N26" i="78" s="1"/>
  <c r="K26" i="78"/>
  <c r="L26" i="78" s="1"/>
  <c r="N107" i="77"/>
  <c r="O107" i="77" s="1"/>
  <c r="L107" i="77"/>
  <c r="M107" i="77" s="1"/>
  <c r="M26" i="77"/>
  <c r="N26" i="77" s="1"/>
  <c r="O26" i="77" s="1"/>
  <c r="K26" i="77"/>
  <c r="L26" i="77" s="1"/>
  <c r="N107" i="76"/>
  <c r="O107" i="76" s="1"/>
  <c r="P107" i="76" s="1"/>
  <c r="L107" i="76"/>
  <c r="M107" i="76" s="1"/>
  <c r="N26" i="76"/>
  <c r="M26" i="76"/>
  <c r="K26" i="76"/>
  <c r="L26" i="76" s="1"/>
  <c r="O107" i="75"/>
  <c r="P107" i="75" s="1"/>
  <c r="N107" i="75"/>
  <c r="L107" i="75"/>
  <c r="M107" i="75" s="1"/>
  <c r="M26" i="75"/>
  <c r="N26" i="75" s="1"/>
  <c r="K26" i="75"/>
  <c r="L26" i="75" s="1"/>
  <c r="N112" i="74"/>
  <c r="O112" i="74" s="1"/>
  <c r="P112" i="74" s="1"/>
  <c r="L112" i="74"/>
  <c r="M112" i="74" s="1"/>
  <c r="M31" i="74"/>
  <c r="N31" i="74" s="1"/>
  <c r="O31" i="74" s="1"/>
  <c r="K31" i="74"/>
  <c r="L31" i="74" s="1"/>
  <c r="N112" i="73"/>
  <c r="O112" i="73" s="1"/>
  <c r="L112" i="73"/>
  <c r="M112" i="73" s="1"/>
  <c r="N31" i="73"/>
  <c r="M31" i="73"/>
  <c r="K31" i="73"/>
  <c r="L31" i="73" s="1"/>
  <c r="N110" i="72"/>
  <c r="O110" i="72" s="1"/>
  <c r="P110" i="72" s="1"/>
  <c r="L110" i="72"/>
  <c r="M110" i="72" s="1"/>
  <c r="M29" i="72"/>
  <c r="N29" i="72" s="1"/>
  <c r="O29" i="72" s="1"/>
  <c r="K29" i="72"/>
  <c r="L29" i="72" s="1"/>
  <c r="N114" i="71"/>
  <c r="O114" i="71" s="1"/>
  <c r="L114" i="71"/>
  <c r="M114" i="71" s="1"/>
  <c r="M33" i="71"/>
  <c r="N33" i="71" s="1"/>
  <c r="K33" i="71"/>
  <c r="L33" i="71" s="1"/>
  <c r="N115" i="70"/>
  <c r="O115" i="70" s="1"/>
  <c r="P115" i="70" s="1"/>
  <c r="L115" i="70"/>
  <c r="M115" i="70" s="1"/>
  <c r="M34" i="70"/>
  <c r="N34" i="70" s="1"/>
  <c r="K34" i="70"/>
  <c r="L34" i="70" s="1"/>
  <c r="O115" i="69"/>
  <c r="N115" i="69"/>
  <c r="L115" i="69"/>
  <c r="M115" i="69" s="1"/>
  <c r="M34" i="69"/>
  <c r="N34" i="69" s="1"/>
  <c r="K34" i="69"/>
  <c r="L34" i="69" s="1"/>
  <c r="O108" i="68"/>
  <c r="N108" i="68"/>
  <c r="M108" i="68"/>
  <c r="L108" i="68"/>
  <c r="M27" i="68"/>
  <c r="N27" i="68" s="1"/>
  <c r="O27" i="68" s="1"/>
  <c r="K27" i="68"/>
  <c r="L27" i="68" s="1"/>
  <c r="O108" i="67"/>
  <c r="P108" i="67" s="1"/>
  <c r="N108" i="67"/>
  <c r="M108" i="67"/>
  <c r="L108" i="67"/>
  <c r="M27" i="67"/>
  <c r="N27" i="67" s="1"/>
  <c r="K27" i="67"/>
  <c r="L27" i="67" s="1"/>
  <c r="N108" i="66"/>
  <c r="O108" i="66" s="1"/>
  <c r="P108" i="66" s="1"/>
  <c r="L108" i="66"/>
  <c r="M108" i="66" s="1"/>
  <c r="M27" i="66"/>
  <c r="N27" i="66" s="1"/>
  <c r="K27" i="66"/>
  <c r="L27" i="66" s="1"/>
  <c r="O108" i="65"/>
  <c r="N108" i="65"/>
  <c r="L108" i="65"/>
  <c r="M108" i="65" s="1"/>
  <c r="M27" i="65"/>
  <c r="N27" i="65" s="1"/>
  <c r="O27" i="65" s="1"/>
  <c r="K27" i="65"/>
  <c r="L27" i="65" s="1"/>
  <c r="N109" i="64"/>
  <c r="O109" i="64" s="1"/>
  <c r="L109" i="64"/>
  <c r="M109" i="64" s="1"/>
  <c r="M28" i="64"/>
  <c r="N28" i="64" s="1"/>
  <c r="K28" i="64"/>
  <c r="L28" i="64" s="1"/>
  <c r="N109" i="60"/>
  <c r="O109" i="60" s="1"/>
  <c r="P109" i="60" s="1"/>
  <c r="L109" i="60"/>
  <c r="M109" i="60" s="1"/>
  <c r="M28" i="60"/>
  <c r="N28" i="60" s="1"/>
  <c r="K28" i="60"/>
  <c r="L28" i="60" s="1"/>
  <c r="N109" i="62"/>
  <c r="O109" i="62" s="1"/>
  <c r="P109" i="62" s="1"/>
  <c r="L109" i="62"/>
  <c r="M109" i="62" s="1"/>
  <c r="M28" i="62"/>
  <c r="N28" i="62" s="1"/>
  <c r="O28" i="62" s="1"/>
  <c r="K28" i="62"/>
  <c r="L28" i="62" s="1"/>
  <c r="N109" i="63"/>
  <c r="O109" i="63" s="1"/>
  <c r="P109" i="63" s="1"/>
  <c r="L109" i="63"/>
  <c r="M109" i="63" s="1"/>
  <c r="M28" i="63"/>
  <c r="N28" i="63" s="1"/>
  <c r="K28" i="63"/>
  <c r="L28" i="63" s="1"/>
  <c r="M28" i="61"/>
  <c r="N28" i="61" s="1"/>
  <c r="O28" i="61" s="1"/>
  <c r="K28" i="61"/>
  <c r="L28" i="61" s="1"/>
  <c r="N109" i="61"/>
  <c r="O109" i="61" s="1"/>
  <c r="P109" i="61" s="1"/>
  <c r="L109" i="61"/>
  <c r="M109" i="61" s="1"/>
  <c r="N109" i="59"/>
  <c r="O109" i="59" s="1"/>
  <c r="P109" i="59" s="1"/>
  <c r="M109" i="59"/>
  <c r="L109" i="59"/>
  <c r="M28" i="59"/>
  <c r="N28" i="59" s="1"/>
  <c r="K28" i="59"/>
  <c r="L28" i="59" s="1"/>
  <c r="N110" i="58"/>
  <c r="O110" i="58" s="1"/>
  <c r="P110" i="58" s="1"/>
  <c r="M110" i="58"/>
  <c r="L110" i="58"/>
  <c r="M29" i="58"/>
  <c r="N29" i="58" s="1"/>
  <c r="K29" i="58"/>
  <c r="L29" i="58" s="1"/>
  <c r="N110" i="57"/>
  <c r="O110" i="57" s="1"/>
  <c r="P110" i="57" s="1"/>
  <c r="L110" i="57"/>
  <c r="M110" i="57" s="1"/>
  <c r="M29" i="57"/>
  <c r="N29" i="57" s="1"/>
  <c r="K29" i="57"/>
  <c r="L29" i="57" s="1"/>
  <c r="N110" i="56"/>
  <c r="O110" i="56" s="1"/>
  <c r="L110" i="56"/>
  <c r="M110" i="56" s="1"/>
  <c r="N29" i="56"/>
  <c r="M29" i="56"/>
  <c r="K29" i="56"/>
  <c r="L29" i="56" s="1"/>
  <c r="N110" i="55"/>
  <c r="O110" i="55" s="1"/>
  <c r="P110" i="55" s="1"/>
  <c r="M110" i="55"/>
  <c r="L110" i="55"/>
  <c r="M29" i="55"/>
  <c r="N29" i="55" s="1"/>
  <c r="K29" i="55"/>
  <c r="L29" i="55" s="1"/>
  <c r="N110" i="54"/>
  <c r="O110" i="54" s="1"/>
  <c r="P110" i="54" s="1"/>
  <c r="L110" i="54"/>
  <c r="M110" i="54" s="1"/>
  <c r="M29" i="54"/>
  <c r="N29" i="54" s="1"/>
  <c r="K29" i="54"/>
  <c r="L29" i="54" s="1"/>
  <c r="N110" i="53"/>
  <c r="O110" i="53" s="1"/>
  <c r="P110" i="53" s="1"/>
  <c r="M110" i="53"/>
  <c r="L110" i="53"/>
  <c r="M29" i="53"/>
  <c r="N29" i="53" s="1"/>
  <c r="K29" i="53"/>
  <c r="L29" i="53" s="1"/>
  <c r="O110" i="46"/>
  <c r="N110" i="46"/>
  <c r="L110" i="46"/>
  <c r="M110" i="46" s="1"/>
  <c r="M29" i="46"/>
  <c r="N29" i="46" s="1"/>
  <c r="O29" i="46" s="1"/>
  <c r="K29" i="46"/>
  <c r="L29" i="46" s="1"/>
  <c r="N111" i="45"/>
  <c r="O111" i="45" s="1"/>
  <c r="P111" i="45" s="1"/>
  <c r="M111" i="45"/>
  <c r="L111" i="45"/>
  <c r="M30" i="45"/>
  <c r="N30" i="45" s="1"/>
  <c r="K30" i="45"/>
  <c r="L30" i="45" s="1"/>
  <c r="N112" i="44"/>
  <c r="O112" i="44" s="1"/>
  <c r="L112" i="44"/>
  <c r="M112" i="44" s="1"/>
  <c r="M31" i="44"/>
  <c r="N31" i="44" s="1"/>
  <c r="O31" i="44" s="1"/>
  <c r="K31" i="44"/>
  <c r="L31" i="44" s="1"/>
  <c r="O112" i="43"/>
  <c r="N112" i="43"/>
  <c r="L112" i="43"/>
  <c r="M112" i="43" s="1"/>
  <c r="M31" i="43"/>
  <c r="N31" i="43" s="1"/>
  <c r="K31" i="43"/>
  <c r="L31" i="43" s="1"/>
  <c r="N112" i="42"/>
  <c r="O112" i="42" s="1"/>
  <c r="P112" i="42" s="1"/>
  <c r="M112" i="42"/>
  <c r="L112" i="42"/>
  <c r="M31" i="42"/>
  <c r="N31" i="42" s="1"/>
  <c r="K31" i="42"/>
  <c r="L31" i="42" s="1"/>
  <c r="O112" i="41"/>
  <c r="N112" i="41"/>
  <c r="L112" i="41"/>
  <c r="M112" i="41" s="1"/>
  <c r="M31" i="41"/>
  <c r="N31" i="41" s="1"/>
  <c r="O31" i="41" s="1"/>
  <c r="K31" i="41"/>
  <c r="L31" i="41" s="1"/>
  <c r="N112" i="39"/>
  <c r="O112" i="39" s="1"/>
  <c r="P112" i="39" s="1"/>
  <c r="L112" i="39"/>
  <c r="M112" i="39" s="1"/>
  <c r="M31" i="39"/>
  <c r="N31" i="39" s="1"/>
  <c r="K31" i="39"/>
  <c r="L31" i="39" s="1"/>
  <c r="N114" i="34"/>
  <c r="O114" i="34" s="1"/>
  <c r="P114" i="34" s="1"/>
  <c r="L114" i="34"/>
  <c r="M114" i="34" s="1"/>
  <c r="M33" i="34"/>
  <c r="N33" i="34" s="1"/>
  <c r="K33" i="34"/>
  <c r="L33" i="34" s="1"/>
  <c r="N114" i="32"/>
  <c r="O114" i="32" s="1"/>
  <c r="P114" i="32" s="1"/>
  <c r="L114" i="32"/>
  <c r="M114" i="32" s="1"/>
  <c r="M33" i="32"/>
  <c r="N33" i="32" s="1"/>
  <c r="K33" i="32"/>
  <c r="L33" i="32" s="1"/>
  <c r="N114" i="31"/>
  <c r="O114" i="31" s="1"/>
  <c r="L114" i="31"/>
  <c r="M114" i="31" s="1"/>
  <c r="M33" i="31"/>
  <c r="N33" i="31" s="1"/>
  <c r="O33" i="31" s="1"/>
  <c r="K33" i="31"/>
  <c r="L33" i="31" s="1"/>
  <c r="O115" i="30"/>
  <c r="N115" i="30"/>
  <c r="L115" i="30"/>
  <c r="M115" i="30" s="1"/>
  <c r="M34" i="30"/>
  <c r="N34" i="30" s="1"/>
  <c r="O34" i="30" s="1"/>
  <c r="K34" i="30"/>
  <c r="L34" i="30" s="1"/>
  <c r="N115" i="29"/>
  <c r="O115" i="29" s="1"/>
  <c r="P115" i="29" s="1"/>
  <c r="M115" i="29"/>
  <c r="L115" i="29"/>
  <c r="M34" i="29"/>
  <c r="N34" i="29" s="1"/>
  <c r="K34" i="29"/>
  <c r="L34" i="29" s="1"/>
  <c r="N116" i="28"/>
  <c r="O116" i="28" s="1"/>
  <c r="P116" i="28" s="1"/>
  <c r="L116" i="28"/>
  <c r="M116" i="28" s="1"/>
  <c r="M35" i="28"/>
  <c r="N35" i="28" s="1"/>
  <c r="O35" i="28" s="1"/>
  <c r="K35" i="28"/>
  <c r="L35" i="28" s="1"/>
  <c r="O115" i="27"/>
  <c r="P115" i="27" s="1"/>
  <c r="N115" i="27"/>
  <c r="L115" i="27"/>
  <c r="M115" i="27" s="1"/>
  <c r="M34" i="27"/>
  <c r="N34" i="27" s="1"/>
  <c r="K34" i="27"/>
  <c r="L34" i="27" s="1"/>
  <c r="N114" i="24"/>
  <c r="O114" i="24" s="1"/>
  <c r="L114" i="24"/>
  <c r="M114" i="24" s="1"/>
  <c r="M33" i="24"/>
  <c r="N33" i="24" s="1"/>
  <c r="K33" i="24"/>
  <c r="L33" i="24" s="1"/>
  <c r="N114" i="23"/>
  <c r="O114" i="23" s="1"/>
  <c r="P114" i="23" s="1"/>
  <c r="L114" i="23"/>
  <c r="M114" i="23" s="1"/>
  <c r="M33" i="23"/>
  <c r="N33" i="23" s="1"/>
  <c r="K33" i="23"/>
  <c r="L33" i="23" s="1"/>
  <c r="N113" i="22"/>
  <c r="O113" i="22" s="1"/>
  <c r="P113" i="22" s="1"/>
  <c r="L113" i="22"/>
  <c r="M113" i="22" s="1"/>
  <c r="M32" i="22"/>
  <c r="N32" i="22" s="1"/>
  <c r="O32" i="22" s="1"/>
  <c r="K32" i="22"/>
  <c r="L32" i="22" s="1"/>
  <c r="N113" i="21"/>
  <c r="O113" i="21" s="1"/>
  <c r="L113" i="21"/>
  <c r="M113" i="21" s="1"/>
  <c r="M32" i="21"/>
  <c r="N32" i="21" s="1"/>
  <c r="K32" i="21"/>
  <c r="L32" i="21" s="1"/>
  <c r="N113" i="20"/>
  <c r="O113" i="20" s="1"/>
  <c r="P113" i="20" s="1"/>
  <c r="L113" i="20"/>
  <c r="M113" i="20" s="1"/>
  <c r="M32" i="20"/>
  <c r="N32" i="20" s="1"/>
  <c r="K32" i="20"/>
  <c r="L32" i="20" s="1"/>
  <c r="N113" i="19"/>
  <c r="O113" i="19" s="1"/>
  <c r="P113" i="19" s="1"/>
  <c r="L113" i="19"/>
  <c r="M113" i="19" s="1"/>
  <c r="M32" i="19"/>
  <c r="N32" i="19" s="1"/>
  <c r="O32" i="19" s="1"/>
  <c r="K32" i="19"/>
  <c r="L32" i="19" s="1"/>
  <c r="N113" i="18"/>
  <c r="O113" i="18" s="1"/>
  <c r="P113" i="18" s="1"/>
  <c r="L113" i="18"/>
  <c r="M113" i="18" s="1"/>
  <c r="M32" i="18"/>
  <c r="N32" i="18" s="1"/>
  <c r="O32" i="18" s="1"/>
  <c r="K32" i="18"/>
  <c r="L32" i="18" s="1"/>
  <c r="O113" i="17"/>
  <c r="N113" i="17"/>
  <c r="L113" i="17"/>
  <c r="M113" i="17" s="1"/>
  <c r="M32" i="17"/>
  <c r="N32" i="17" s="1"/>
  <c r="O32" i="17" s="1"/>
  <c r="K32" i="17"/>
  <c r="L32" i="17" s="1"/>
  <c r="O23" i="93" l="1"/>
  <c r="O24" i="91"/>
  <c r="O33" i="71"/>
  <c r="O34" i="69"/>
  <c r="O28" i="60"/>
  <c r="O30" i="45"/>
  <c r="O33" i="32"/>
  <c r="O34" i="27"/>
  <c r="O33" i="24"/>
  <c r="O32" i="21"/>
  <c r="C100" i="102"/>
  <c r="C101" i="102" s="1"/>
  <c r="C102" i="102" s="1"/>
  <c r="C103" i="102" s="1"/>
  <c r="C104" i="102" s="1"/>
  <c r="C105" i="102" s="1"/>
  <c r="C106" i="102" s="1"/>
  <c r="C107" i="102" s="1"/>
  <c r="C108" i="102" s="1"/>
  <c r="C109" i="102" s="1"/>
  <c r="C110" i="102" s="1"/>
  <c r="C111" i="102" s="1"/>
  <c r="C112" i="102" s="1"/>
  <c r="C113" i="102" s="1"/>
  <c r="C114" i="102" s="1"/>
  <c r="C115" i="102" s="1"/>
  <c r="C116" i="102" s="1"/>
  <c r="C117" i="102" s="1"/>
  <c r="C118" i="102" s="1"/>
  <c r="C119" i="102" s="1"/>
  <c r="C120" i="102" s="1"/>
  <c r="C121" i="102" s="1"/>
  <c r="C122" i="102" s="1"/>
  <c r="C123" i="102" s="1"/>
  <c r="C124" i="102" s="1"/>
  <c r="C125" i="102" s="1"/>
  <c r="C126" i="102" s="1"/>
  <c r="I17" i="101"/>
  <c r="B18" i="101"/>
  <c r="B18" i="100"/>
  <c r="E18" i="100"/>
  <c r="O22" i="98"/>
  <c r="O22" i="97"/>
  <c r="O23" i="96"/>
  <c r="P104" i="95"/>
  <c r="O23" i="95"/>
  <c r="P105" i="94"/>
  <c r="O24" i="94"/>
  <c r="P104" i="93"/>
  <c r="O24" i="92"/>
  <c r="O24" i="90"/>
  <c r="P105" i="88"/>
  <c r="O24" i="88"/>
  <c r="O24" i="87"/>
  <c r="P106" i="86"/>
  <c r="O25" i="86"/>
  <c r="O25" i="85"/>
  <c r="O25" i="81"/>
  <c r="O25" i="80"/>
  <c r="P107" i="78"/>
  <c r="O26" i="78"/>
  <c r="P107" i="77"/>
  <c r="O26" i="76"/>
  <c r="O26" i="75"/>
  <c r="P112" i="73"/>
  <c r="O31" i="73"/>
  <c r="O34" i="70"/>
  <c r="P115" i="69"/>
  <c r="O27" i="67"/>
  <c r="O27" i="66"/>
  <c r="P108" i="65"/>
  <c r="P109" i="64"/>
  <c r="O28" i="64"/>
  <c r="O28" i="63"/>
  <c r="O28" i="59"/>
  <c r="O29" i="58"/>
  <c r="O29" i="57"/>
  <c r="P110" i="56"/>
  <c r="O29" i="56"/>
  <c r="O29" i="55"/>
  <c r="O29" i="54"/>
  <c r="O29" i="53"/>
  <c r="P110" i="46"/>
  <c r="P112" i="44"/>
  <c r="P112" i="43"/>
  <c r="O31" i="43"/>
  <c r="O31" i="42"/>
  <c r="P112" i="41"/>
  <c r="O31" i="39"/>
  <c r="O33" i="34"/>
  <c r="P114" i="31"/>
  <c r="P115" i="30"/>
  <c r="O34" i="29"/>
  <c r="P114" i="24"/>
  <c r="O33" i="23"/>
  <c r="P113" i="21"/>
  <c r="O32" i="20"/>
  <c r="P113" i="17"/>
  <c r="C127" i="102" l="1"/>
  <c r="C128" i="102" s="1"/>
  <c r="C129" i="102" s="1"/>
  <c r="C130" i="102" s="1"/>
  <c r="C131" i="102" s="1"/>
  <c r="C132" i="102" s="1"/>
  <c r="C133" i="102" s="1"/>
  <c r="C134" i="102" s="1"/>
  <c r="C135" i="102" s="1"/>
  <c r="C136" i="102" s="1"/>
  <c r="C137" i="102" s="1"/>
  <c r="C138" i="102" s="1"/>
  <c r="C139" i="102" s="1"/>
  <c r="C140" i="102" s="1"/>
  <c r="C141" i="102" s="1"/>
  <c r="C142" i="102" s="1"/>
  <c r="C143" i="102" s="1"/>
  <c r="C144" i="102" s="1"/>
  <c r="C145" i="102" s="1"/>
  <c r="C146" i="102" s="1"/>
  <c r="C147" i="102" s="1"/>
  <c r="C148" i="102" s="1"/>
  <c r="C149" i="102" s="1"/>
  <c r="C150" i="102" s="1"/>
  <c r="C151" i="102" s="1"/>
  <c r="C152" i="102" s="1"/>
  <c r="C153" i="102" s="1"/>
  <c r="C154" i="102" s="1"/>
  <c r="B100" i="101"/>
  <c r="F18" i="100"/>
  <c r="I35" i="28"/>
  <c r="I18" i="101" l="1"/>
  <c r="B19" i="101"/>
  <c r="I19" i="101"/>
  <c r="J99" i="101"/>
  <c r="D19" i="100"/>
  <c r="N113" i="3"/>
  <c r="O113" i="3" s="1"/>
  <c r="P113" i="3" s="1"/>
  <c r="L113" i="3"/>
  <c r="M113" i="3" s="1"/>
  <c r="M32" i="3"/>
  <c r="N32" i="3" s="1"/>
  <c r="O32" i="3" s="1"/>
  <c r="K32" i="3"/>
  <c r="L32" i="3" s="1"/>
  <c r="H3" i="36"/>
  <c r="I13" i="36"/>
  <c r="J96" i="36"/>
  <c r="K93" i="36" l="1"/>
  <c r="L93" i="36" s="1"/>
  <c r="K94" i="36"/>
  <c r="L94" i="36" s="1"/>
  <c r="K92" i="36"/>
  <c r="L92" i="36" s="1"/>
  <c r="B101" i="101"/>
  <c r="B19" i="100"/>
  <c r="E19" i="100"/>
  <c r="B20" i="101" l="1"/>
  <c r="J100" i="101"/>
  <c r="F19" i="100"/>
  <c r="D94" i="99"/>
  <c r="D94" i="98"/>
  <c r="D94" i="96"/>
  <c r="D93" i="96"/>
  <c r="D94" i="95"/>
  <c r="D93" i="95"/>
  <c r="D94" i="94"/>
  <c r="D93" i="94"/>
  <c r="D94" i="93"/>
  <c r="D93" i="93"/>
  <c r="D94" i="86"/>
  <c r="D93" i="86"/>
  <c r="D93" i="69"/>
  <c r="D93" i="60"/>
  <c r="D93" i="62"/>
  <c r="D93" i="63"/>
  <c r="D92" i="35"/>
  <c r="I20" i="101" l="1"/>
  <c r="B102" i="101"/>
  <c r="D20" i="100"/>
  <c r="E20" i="100" s="1"/>
  <c r="J101" i="101" l="1"/>
  <c r="B21" i="101"/>
  <c r="F20" i="100"/>
  <c r="B20" i="100"/>
  <c r="D92" i="99"/>
  <c r="D92" i="98"/>
  <c r="D92" i="97"/>
  <c r="D92" i="96"/>
  <c r="D92" i="95"/>
  <c r="D92" i="94"/>
  <c r="D92" i="93"/>
  <c r="D92" i="92"/>
  <c r="D92" i="91"/>
  <c r="D92" i="90"/>
  <c r="D92" i="89"/>
  <c r="D92" i="88"/>
  <c r="D92" i="87"/>
  <c r="D92" i="85"/>
  <c r="D92" i="84"/>
  <c r="D92" i="83"/>
  <c r="D92" i="82"/>
  <c r="D92" i="81"/>
  <c r="D92" i="80"/>
  <c r="D92" i="79"/>
  <c r="D92" i="78"/>
  <c r="D92" i="77"/>
  <c r="D92" i="76"/>
  <c r="D92" i="75"/>
  <c r="D92" i="74"/>
  <c r="D92" i="73"/>
  <c r="D92" i="72"/>
  <c r="D92" i="71"/>
  <c r="D92" i="70"/>
  <c r="D92" i="69"/>
  <c r="D92" i="68"/>
  <c r="D92" i="67"/>
  <c r="D92" i="66"/>
  <c r="D92" i="55"/>
  <c r="D92" i="46"/>
  <c r="D92" i="39"/>
  <c r="D92" i="34"/>
  <c r="D92" i="32"/>
  <c r="D92" i="29"/>
  <c r="D92" i="28"/>
  <c r="D92" i="27"/>
  <c r="D92" i="24"/>
  <c r="D92" i="23"/>
  <c r="D92" i="22"/>
  <c r="D92" i="20"/>
  <c r="D92" i="19"/>
  <c r="D92" i="18"/>
  <c r="D92" i="17"/>
  <c r="D92" i="3"/>
  <c r="I21" i="101" l="1"/>
  <c r="B103" i="101"/>
  <c r="D21" i="100"/>
  <c r="M21" i="99"/>
  <c r="K21" i="99"/>
  <c r="L21" i="99" s="1"/>
  <c r="M21" i="98"/>
  <c r="K21" i="98"/>
  <c r="L21" i="98" s="1"/>
  <c r="M21" i="97"/>
  <c r="K21" i="97"/>
  <c r="L21" i="97" s="1"/>
  <c r="M22" i="96"/>
  <c r="K22" i="96"/>
  <c r="L22" i="96" s="1"/>
  <c r="M22" i="95"/>
  <c r="K22" i="95"/>
  <c r="L22" i="95" s="1"/>
  <c r="M23" i="94"/>
  <c r="K23" i="94"/>
  <c r="L23" i="94" s="1"/>
  <c r="M22" i="93"/>
  <c r="K22" i="93"/>
  <c r="L22" i="93" s="1"/>
  <c r="M23" i="92"/>
  <c r="K23" i="92"/>
  <c r="L23" i="92" s="1"/>
  <c r="M23" i="91"/>
  <c r="K23" i="91"/>
  <c r="L23" i="91" s="1"/>
  <c r="M23" i="90"/>
  <c r="K23" i="90"/>
  <c r="L23" i="90" s="1"/>
  <c r="M23" i="89"/>
  <c r="K23" i="89"/>
  <c r="L23" i="89" s="1"/>
  <c r="M23" i="88"/>
  <c r="K23" i="88"/>
  <c r="L23" i="88" s="1"/>
  <c r="M23" i="87"/>
  <c r="K23" i="87"/>
  <c r="L23" i="87" s="1"/>
  <c r="M24" i="86"/>
  <c r="K24" i="86"/>
  <c r="L24" i="86" s="1"/>
  <c r="M24" i="85"/>
  <c r="K24" i="85"/>
  <c r="L24" i="85" s="1"/>
  <c r="M24" i="84"/>
  <c r="K24" i="84"/>
  <c r="L24" i="84" s="1"/>
  <c r="M24" i="83"/>
  <c r="K24" i="83"/>
  <c r="L24" i="83" s="1"/>
  <c r="M24" i="82"/>
  <c r="K24" i="82"/>
  <c r="L24" i="82" s="1"/>
  <c r="M24" i="81"/>
  <c r="K24" i="81"/>
  <c r="L24" i="81" s="1"/>
  <c r="M24" i="80"/>
  <c r="K24" i="80"/>
  <c r="L24" i="80" s="1"/>
  <c r="M25" i="79"/>
  <c r="K25" i="79"/>
  <c r="L25" i="79" s="1"/>
  <c r="M25" i="78"/>
  <c r="K25" i="78"/>
  <c r="L25" i="78" s="1"/>
  <c r="M25" i="77"/>
  <c r="K25" i="77"/>
  <c r="L25" i="77" s="1"/>
  <c r="M25" i="76"/>
  <c r="K25" i="76"/>
  <c r="L25" i="76" s="1"/>
  <c r="M25" i="75"/>
  <c r="K25" i="75"/>
  <c r="L25" i="75" s="1"/>
  <c r="M30" i="74"/>
  <c r="K30" i="74"/>
  <c r="L30" i="74" s="1"/>
  <c r="M30" i="73"/>
  <c r="K30" i="73"/>
  <c r="L30" i="73" s="1"/>
  <c r="M28" i="72"/>
  <c r="K28" i="72"/>
  <c r="L28" i="72" s="1"/>
  <c r="M32" i="71"/>
  <c r="K32" i="71"/>
  <c r="L32" i="71" s="1"/>
  <c r="M33" i="70"/>
  <c r="K33" i="70"/>
  <c r="L33" i="70" s="1"/>
  <c r="M33" i="69"/>
  <c r="K33" i="69"/>
  <c r="L33" i="69" s="1"/>
  <c r="M26" i="68"/>
  <c r="K26" i="68"/>
  <c r="L26" i="68" s="1"/>
  <c r="M26" i="67"/>
  <c r="K26" i="67"/>
  <c r="L26" i="67" s="1"/>
  <c r="M26" i="66"/>
  <c r="K26" i="66"/>
  <c r="L26" i="66" s="1"/>
  <c r="M26" i="65"/>
  <c r="K26" i="65"/>
  <c r="L26" i="65" s="1"/>
  <c r="M27" i="64"/>
  <c r="K27" i="64"/>
  <c r="L27" i="64" s="1"/>
  <c r="M27" i="60"/>
  <c r="K27" i="60"/>
  <c r="L27" i="60" s="1"/>
  <c r="M27" i="62"/>
  <c r="K27" i="62"/>
  <c r="L27" i="62" s="1"/>
  <c r="M27" i="63"/>
  <c r="K27" i="63"/>
  <c r="L27" i="63" s="1"/>
  <c r="M27" i="61"/>
  <c r="K27" i="61"/>
  <c r="L27" i="61" s="1"/>
  <c r="M27" i="59"/>
  <c r="K27" i="59"/>
  <c r="L27" i="59" s="1"/>
  <c r="M28" i="58"/>
  <c r="K28" i="58"/>
  <c r="L28" i="58" s="1"/>
  <c r="M28" i="57"/>
  <c r="K28" i="57"/>
  <c r="L28" i="57" s="1"/>
  <c r="M28" i="56"/>
  <c r="K28" i="56"/>
  <c r="L28" i="56" s="1"/>
  <c r="M28" i="55"/>
  <c r="K28" i="55"/>
  <c r="L28" i="55" s="1"/>
  <c r="M28" i="54"/>
  <c r="K28" i="54"/>
  <c r="L28" i="54" s="1"/>
  <c r="M28" i="53"/>
  <c r="K28" i="53"/>
  <c r="L28" i="53" s="1"/>
  <c r="M28" i="46"/>
  <c r="K28" i="46"/>
  <c r="L28" i="46" s="1"/>
  <c r="M29" i="45"/>
  <c r="K29" i="45"/>
  <c r="L29" i="45" s="1"/>
  <c r="M30" i="44"/>
  <c r="K30" i="44"/>
  <c r="L30" i="44" s="1"/>
  <c r="M30" i="43"/>
  <c r="K30" i="43"/>
  <c r="L30" i="43" s="1"/>
  <c r="M30" i="42"/>
  <c r="K30" i="42"/>
  <c r="L30" i="42" s="1"/>
  <c r="M30" i="41"/>
  <c r="K30" i="41"/>
  <c r="L30" i="41" s="1"/>
  <c r="M30" i="39"/>
  <c r="K30" i="39"/>
  <c r="L30" i="39" s="1"/>
  <c r="M32" i="34"/>
  <c r="K32" i="34"/>
  <c r="L32" i="34" s="1"/>
  <c r="M32" i="32"/>
  <c r="K32" i="32"/>
  <c r="L32" i="32" s="1"/>
  <c r="M32" i="31"/>
  <c r="K32" i="31"/>
  <c r="L32" i="31" s="1"/>
  <c r="M33" i="30"/>
  <c r="K33" i="30"/>
  <c r="L33" i="30" s="1"/>
  <c r="M33" i="29"/>
  <c r="K33" i="29"/>
  <c r="L33" i="29" s="1"/>
  <c r="M34" i="28"/>
  <c r="K34" i="28"/>
  <c r="L34" i="28" s="1"/>
  <c r="M33" i="27"/>
  <c r="K33" i="27"/>
  <c r="L33" i="27" s="1"/>
  <c r="M32" i="24"/>
  <c r="K32" i="24"/>
  <c r="L32" i="24" s="1"/>
  <c r="M32" i="23"/>
  <c r="K32" i="23"/>
  <c r="L32" i="23" s="1"/>
  <c r="M31" i="22"/>
  <c r="K31" i="22"/>
  <c r="L31" i="22" s="1"/>
  <c r="M31" i="21"/>
  <c r="K31" i="21"/>
  <c r="L31" i="21" s="1"/>
  <c r="M31" i="20"/>
  <c r="K31" i="20"/>
  <c r="L31" i="20" s="1"/>
  <c r="M31" i="19"/>
  <c r="K31" i="19"/>
  <c r="L31" i="19" s="1"/>
  <c r="M31" i="18"/>
  <c r="K31" i="18"/>
  <c r="L31" i="18" s="1"/>
  <c r="M31" i="17"/>
  <c r="K31" i="17"/>
  <c r="L31" i="17" s="1"/>
  <c r="M31" i="3"/>
  <c r="K31" i="3"/>
  <c r="L31" i="3" s="1"/>
  <c r="J102" i="101" l="1"/>
  <c r="B22" i="101"/>
  <c r="B21" i="100"/>
  <c r="E21" i="100"/>
  <c r="F21" i="100" s="1"/>
  <c r="N102" i="99"/>
  <c r="O102" i="99" s="1"/>
  <c r="L102" i="99"/>
  <c r="M102" i="99" s="1"/>
  <c r="N102" i="98"/>
  <c r="O102" i="98" s="1"/>
  <c r="L102" i="98"/>
  <c r="M102" i="98" s="1"/>
  <c r="N102" i="97"/>
  <c r="O102" i="97" s="1"/>
  <c r="L102" i="97"/>
  <c r="M102" i="97" s="1"/>
  <c r="N103" i="96"/>
  <c r="O103" i="96" s="1"/>
  <c r="L103" i="96"/>
  <c r="M103" i="96" s="1"/>
  <c r="N103" i="95"/>
  <c r="O103" i="95" s="1"/>
  <c r="L103" i="95"/>
  <c r="M103" i="95" s="1"/>
  <c r="N104" i="94"/>
  <c r="O104" i="94" s="1"/>
  <c r="L104" i="94"/>
  <c r="M104" i="94" s="1"/>
  <c r="N103" i="93"/>
  <c r="O103" i="93" s="1"/>
  <c r="L103" i="93"/>
  <c r="M103" i="93" s="1"/>
  <c r="N104" i="92"/>
  <c r="O104" i="92" s="1"/>
  <c r="L104" i="92"/>
  <c r="M104" i="92" s="1"/>
  <c r="N104" i="91"/>
  <c r="O104" i="91" s="1"/>
  <c r="L104" i="91"/>
  <c r="M104" i="91" s="1"/>
  <c r="N104" i="90"/>
  <c r="O104" i="90" s="1"/>
  <c r="L104" i="90"/>
  <c r="M104" i="90" s="1"/>
  <c r="N104" i="88"/>
  <c r="O104" i="88" s="1"/>
  <c r="L104" i="88"/>
  <c r="M104" i="88" s="1"/>
  <c r="N104" i="87"/>
  <c r="O104" i="87" s="1"/>
  <c r="L104" i="87"/>
  <c r="M104" i="87" s="1"/>
  <c r="N105" i="86"/>
  <c r="O105" i="86" s="1"/>
  <c r="L105" i="86"/>
  <c r="M105" i="86" s="1"/>
  <c r="N105" i="85"/>
  <c r="O105" i="85" s="1"/>
  <c r="L105" i="85"/>
  <c r="M105" i="85" s="1"/>
  <c r="N104" i="84"/>
  <c r="O104" i="84" s="1"/>
  <c r="L104" i="84"/>
  <c r="M104" i="84" s="1"/>
  <c r="N105" i="83"/>
  <c r="O105" i="83" s="1"/>
  <c r="L105" i="83"/>
  <c r="M105" i="83" s="1"/>
  <c r="N105" i="82"/>
  <c r="O105" i="82" s="1"/>
  <c r="L105" i="82"/>
  <c r="M105" i="82" s="1"/>
  <c r="N105" i="81"/>
  <c r="O105" i="81" s="1"/>
  <c r="L105" i="81"/>
  <c r="M105" i="81" s="1"/>
  <c r="N105" i="80"/>
  <c r="O105" i="80" s="1"/>
  <c r="L105" i="80"/>
  <c r="M105" i="80" s="1"/>
  <c r="N106" i="79"/>
  <c r="O106" i="79" s="1"/>
  <c r="L106" i="79"/>
  <c r="M106" i="79" s="1"/>
  <c r="N106" i="78"/>
  <c r="O106" i="78" s="1"/>
  <c r="L106" i="78"/>
  <c r="M106" i="78" s="1"/>
  <c r="N106" i="77"/>
  <c r="O106" i="77" s="1"/>
  <c r="L106" i="77"/>
  <c r="M106" i="77" s="1"/>
  <c r="N106" i="76"/>
  <c r="O106" i="76" s="1"/>
  <c r="L106" i="76"/>
  <c r="M106" i="76" s="1"/>
  <c r="N106" i="75"/>
  <c r="O106" i="75" s="1"/>
  <c r="L106" i="75"/>
  <c r="M106" i="75" s="1"/>
  <c r="N111" i="74"/>
  <c r="O111" i="74" s="1"/>
  <c r="L111" i="74"/>
  <c r="M111" i="74" s="1"/>
  <c r="N111" i="73"/>
  <c r="O111" i="73" s="1"/>
  <c r="L111" i="73"/>
  <c r="M111" i="73" s="1"/>
  <c r="N109" i="72"/>
  <c r="O109" i="72" s="1"/>
  <c r="L109" i="72"/>
  <c r="M109" i="72" s="1"/>
  <c r="N113" i="71"/>
  <c r="O113" i="71" s="1"/>
  <c r="L113" i="71"/>
  <c r="M113" i="71" s="1"/>
  <c r="N114" i="70"/>
  <c r="O114" i="70" s="1"/>
  <c r="L114" i="70"/>
  <c r="M114" i="70" s="1"/>
  <c r="N114" i="69"/>
  <c r="O114" i="69" s="1"/>
  <c r="L114" i="69"/>
  <c r="M114" i="69" s="1"/>
  <c r="N107" i="68"/>
  <c r="O107" i="68" s="1"/>
  <c r="L107" i="68"/>
  <c r="M107" i="68" s="1"/>
  <c r="N107" i="67"/>
  <c r="O107" i="67" s="1"/>
  <c r="L107" i="67"/>
  <c r="M107" i="67" s="1"/>
  <c r="N107" i="66"/>
  <c r="O107" i="66" s="1"/>
  <c r="L107" i="66"/>
  <c r="M107" i="66" s="1"/>
  <c r="N107" i="65"/>
  <c r="O107" i="65" s="1"/>
  <c r="L107" i="65"/>
  <c r="M107" i="65" s="1"/>
  <c r="N108" i="64"/>
  <c r="O108" i="64" s="1"/>
  <c r="L108" i="64"/>
  <c r="M108" i="64" s="1"/>
  <c r="N108" i="60"/>
  <c r="O108" i="60" s="1"/>
  <c r="L108" i="60"/>
  <c r="M108" i="60" s="1"/>
  <c r="N108" i="62"/>
  <c r="O108" i="62" s="1"/>
  <c r="L108" i="62"/>
  <c r="M108" i="62" s="1"/>
  <c r="N108" i="63"/>
  <c r="O108" i="63" s="1"/>
  <c r="L108" i="63"/>
  <c r="M108" i="63" s="1"/>
  <c r="N108" i="61"/>
  <c r="O108" i="61" s="1"/>
  <c r="L108" i="61"/>
  <c r="M108" i="61" s="1"/>
  <c r="N108" i="59"/>
  <c r="O108" i="59" s="1"/>
  <c r="L108" i="59"/>
  <c r="M108" i="59" s="1"/>
  <c r="N109" i="58"/>
  <c r="O109" i="58" s="1"/>
  <c r="L109" i="58"/>
  <c r="M109" i="58" s="1"/>
  <c r="N109" i="57"/>
  <c r="O109" i="57" s="1"/>
  <c r="L109" i="57"/>
  <c r="M109" i="57" s="1"/>
  <c r="N109" i="56"/>
  <c r="O109" i="56" s="1"/>
  <c r="L109" i="56"/>
  <c r="M109" i="56" s="1"/>
  <c r="N109" i="55"/>
  <c r="O109" i="55" s="1"/>
  <c r="L109" i="55"/>
  <c r="M109" i="55" s="1"/>
  <c r="N109" i="54"/>
  <c r="O109" i="54" s="1"/>
  <c r="L109" i="54"/>
  <c r="M109" i="54" s="1"/>
  <c r="N109" i="53"/>
  <c r="O109" i="53" s="1"/>
  <c r="L109" i="53"/>
  <c r="M109" i="53" s="1"/>
  <c r="N109" i="46"/>
  <c r="O109" i="46" s="1"/>
  <c r="L109" i="46"/>
  <c r="M109" i="46" s="1"/>
  <c r="N110" i="45"/>
  <c r="O110" i="45" s="1"/>
  <c r="L110" i="45"/>
  <c r="M110" i="45" s="1"/>
  <c r="N111" i="44"/>
  <c r="O111" i="44" s="1"/>
  <c r="L111" i="44"/>
  <c r="M111" i="44" s="1"/>
  <c r="N111" i="43"/>
  <c r="O111" i="43" s="1"/>
  <c r="L111" i="43"/>
  <c r="M111" i="43" s="1"/>
  <c r="N111" i="42"/>
  <c r="O111" i="42" s="1"/>
  <c r="L111" i="42"/>
  <c r="M111" i="42" s="1"/>
  <c r="N111" i="41"/>
  <c r="O111" i="41" s="1"/>
  <c r="L111" i="41"/>
  <c r="M111" i="41" s="1"/>
  <c r="N111" i="39"/>
  <c r="O111" i="39" s="1"/>
  <c r="L111" i="39"/>
  <c r="M111" i="39" s="1"/>
  <c r="N113" i="34"/>
  <c r="O113" i="34" s="1"/>
  <c r="L113" i="34"/>
  <c r="M113" i="34" s="1"/>
  <c r="N113" i="32"/>
  <c r="O113" i="32" s="1"/>
  <c r="L113" i="32"/>
  <c r="M113" i="32" s="1"/>
  <c r="N113" i="31"/>
  <c r="O113" i="31" s="1"/>
  <c r="L113" i="31"/>
  <c r="M113" i="31" s="1"/>
  <c r="N114" i="30"/>
  <c r="O114" i="30" s="1"/>
  <c r="L114" i="30"/>
  <c r="M114" i="30" s="1"/>
  <c r="N114" i="29"/>
  <c r="O114" i="29" s="1"/>
  <c r="L114" i="29"/>
  <c r="M114" i="29" s="1"/>
  <c r="N115" i="28"/>
  <c r="O115" i="28" s="1"/>
  <c r="L115" i="28"/>
  <c r="M115" i="28" s="1"/>
  <c r="N114" i="27"/>
  <c r="O114" i="27" s="1"/>
  <c r="L114" i="27"/>
  <c r="M114" i="27" s="1"/>
  <c r="N113" i="24"/>
  <c r="O113" i="24" s="1"/>
  <c r="L113" i="24"/>
  <c r="M113" i="24" s="1"/>
  <c r="N113" i="23"/>
  <c r="O113" i="23" s="1"/>
  <c r="L113" i="23"/>
  <c r="M113" i="23" s="1"/>
  <c r="N112" i="22"/>
  <c r="O112" i="22" s="1"/>
  <c r="L112" i="22"/>
  <c r="M112" i="22" s="1"/>
  <c r="N112" i="21"/>
  <c r="O112" i="21" s="1"/>
  <c r="L112" i="21"/>
  <c r="M112" i="21" s="1"/>
  <c r="N112" i="20"/>
  <c r="O112" i="20" s="1"/>
  <c r="L112" i="20"/>
  <c r="M112" i="20" s="1"/>
  <c r="N112" i="19"/>
  <c r="O112" i="19" s="1"/>
  <c r="L112" i="19"/>
  <c r="M112" i="19" s="1"/>
  <c r="N112" i="18"/>
  <c r="O112" i="18" s="1"/>
  <c r="L112" i="18"/>
  <c r="M112" i="18" s="1"/>
  <c r="N112" i="17"/>
  <c r="O112" i="17" s="1"/>
  <c r="L112" i="17"/>
  <c r="M112" i="17" s="1"/>
  <c r="N112" i="3"/>
  <c r="O112" i="3" s="1"/>
  <c r="L112" i="3"/>
  <c r="M112" i="3" s="1"/>
  <c r="I22" i="101" l="1"/>
  <c r="B104" i="101"/>
  <c r="D22" i="100"/>
  <c r="E22" i="100" s="1"/>
  <c r="P102" i="97"/>
  <c r="P109" i="46"/>
  <c r="P112" i="22"/>
  <c r="P106" i="78"/>
  <c r="P114" i="29"/>
  <c r="P106" i="75"/>
  <c r="P104" i="91"/>
  <c r="P109" i="57"/>
  <c r="P108" i="63"/>
  <c r="P113" i="34"/>
  <c r="P108" i="64"/>
  <c r="P107" i="68"/>
  <c r="P109" i="54"/>
  <c r="P105" i="80"/>
  <c r="P112" i="19"/>
  <c r="P111" i="42"/>
  <c r="P108" i="60"/>
  <c r="P107" i="67"/>
  <c r="P109" i="72"/>
  <c r="P112" i="20"/>
  <c r="P111" i="39"/>
  <c r="P112" i="21"/>
  <c r="P113" i="32"/>
  <c r="P111" i="41"/>
  <c r="P106" i="77"/>
  <c r="P105" i="83"/>
  <c r="P111" i="43"/>
  <c r="P105" i="82"/>
  <c r="P112" i="17"/>
  <c r="P112" i="18"/>
  <c r="P110" i="45"/>
  <c r="P108" i="61"/>
  <c r="P113" i="71"/>
  <c r="P111" i="74"/>
  <c r="P106" i="76"/>
  <c r="P114" i="30"/>
  <c r="P115" i="28"/>
  <c r="P111" i="44"/>
  <c r="P108" i="59"/>
  <c r="P108" i="62"/>
  <c r="P107" i="66"/>
  <c r="P113" i="31"/>
  <c r="P102" i="98"/>
  <c r="P113" i="24"/>
  <c r="P105" i="86"/>
  <c r="P103" i="95"/>
  <c r="P102" i="99"/>
  <c r="P103" i="96"/>
  <c r="P104" i="94"/>
  <c r="P103" i="93"/>
  <c r="P104" i="92"/>
  <c r="P104" i="90"/>
  <c r="P104" i="88"/>
  <c r="P104" i="87"/>
  <c r="P105" i="85"/>
  <c r="P104" i="84"/>
  <c r="P105" i="81"/>
  <c r="P106" i="79"/>
  <c r="P111" i="73"/>
  <c r="P114" i="70"/>
  <c r="P114" i="69"/>
  <c r="P107" i="65"/>
  <c r="P109" i="58"/>
  <c r="P109" i="56"/>
  <c r="P109" i="55"/>
  <c r="P109" i="53"/>
  <c r="P114" i="27"/>
  <c r="P113" i="23"/>
  <c r="P112" i="3"/>
  <c r="N101" i="99"/>
  <c r="L101" i="99"/>
  <c r="M101" i="99" s="1"/>
  <c r="M20" i="99"/>
  <c r="K20" i="99"/>
  <c r="L20" i="99" s="1"/>
  <c r="N101" i="98"/>
  <c r="L101" i="98"/>
  <c r="M101" i="98" s="1"/>
  <c r="M20" i="98"/>
  <c r="K20" i="98"/>
  <c r="L20" i="98" s="1"/>
  <c r="N101" i="97"/>
  <c r="L101" i="97"/>
  <c r="M101" i="97" s="1"/>
  <c r="M20" i="97"/>
  <c r="K20" i="97"/>
  <c r="L20" i="97" s="1"/>
  <c r="N102" i="96"/>
  <c r="L102" i="96"/>
  <c r="M102" i="96" s="1"/>
  <c r="M21" i="96"/>
  <c r="K21" i="96"/>
  <c r="L21" i="96" s="1"/>
  <c r="N102" i="95"/>
  <c r="L102" i="95"/>
  <c r="M102" i="95" s="1"/>
  <c r="M21" i="95"/>
  <c r="K21" i="95"/>
  <c r="L21" i="95" s="1"/>
  <c r="N103" i="94"/>
  <c r="L103" i="94"/>
  <c r="M103" i="94" s="1"/>
  <c r="M22" i="94"/>
  <c r="K22" i="94"/>
  <c r="L22" i="94" s="1"/>
  <c r="N102" i="93"/>
  <c r="L102" i="93"/>
  <c r="M102" i="93" s="1"/>
  <c r="M21" i="93"/>
  <c r="K21" i="93"/>
  <c r="L21" i="93" s="1"/>
  <c r="N103" i="92"/>
  <c r="L103" i="92"/>
  <c r="M103" i="92" s="1"/>
  <c r="M22" i="92"/>
  <c r="K22" i="92"/>
  <c r="L22" i="92" s="1"/>
  <c r="N103" i="91"/>
  <c r="L103" i="91"/>
  <c r="M103" i="91" s="1"/>
  <c r="M22" i="91"/>
  <c r="K22" i="91"/>
  <c r="L22" i="91" s="1"/>
  <c r="N103" i="90"/>
  <c r="L103" i="90"/>
  <c r="M103" i="90" s="1"/>
  <c r="M22" i="90"/>
  <c r="K22" i="90"/>
  <c r="L22" i="90" s="1"/>
  <c r="N103" i="89"/>
  <c r="L103" i="89"/>
  <c r="M103" i="89" s="1"/>
  <c r="M22" i="89"/>
  <c r="K22" i="89"/>
  <c r="L22" i="89" s="1"/>
  <c r="N103" i="88"/>
  <c r="L103" i="88"/>
  <c r="M103" i="88" s="1"/>
  <c r="M22" i="88"/>
  <c r="K22" i="88"/>
  <c r="L22" i="88" s="1"/>
  <c r="N103" i="87"/>
  <c r="L103" i="87"/>
  <c r="M103" i="87" s="1"/>
  <c r="M22" i="87"/>
  <c r="K22" i="87"/>
  <c r="L22" i="87" s="1"/>
  <c r="N104" i="86"/>
  <c r="L104" i="86"/>
  <c r="M104" i="86" s="1"/>
  <c r="M23" i="86"/>
  <c r="K23" i="86"/>
  <c r="L23" i="86" s="1"/>
  <c r="N104" i="85"/>
  <c r="L104" i="85"/>
  <c r="M104" i="85" s="1"/>
  <c r="M23" i="85"/>
  <c r="K23" i="85"/>
  <c r="L23" i="85" s="1"/>
  <c r="N103" i="84"/>
  <c r="L103" i="84"/>
  <c r="M103" i="84" s="1"/>
  <c r="M23" i="84"/>
  <c r="K23" i="84"/>
  <c r="L23" i="84" s="1"/>
  <c r="N104" i="83"/>
  <c r="L104" i="83"/>
  <c r="M104" i="83" s="1"/>
  <c r="M23" i="83"/>
  <c r="K23" i="83"/>
  <c r="L23" i="83" s="1"/>
  <c r="N104" i="82"/>
  <c r="L104" i="82"/>
  <c r="M104" i="82" s="1"/>
  <c r="M23" i="82"/>
  <c r="K23" i="82"/>
  <c r="L23" i="82" s="1"/>
  <c r="N104" i="81"/>
  <c r="L104" i="81"/>
  <c r="M104" i="81" s="1"/>
  <c r="M23" i="81"/>
  <c r="K23" i="81"/>
  <c r="L23" i="81" s="1"/>
  <c r="N104" i="80"/>
  <c r="L104" i="80"/>
  <c r="M104" i="80" s="1"/>
  <c r="M23" i="80"/>
  <c r="K23" i="80"/>
  <c r="L23" i="80" s="1"/>
  <c r="N105" i="79"/>
  <c r="L105" i="79"/>
  <c r="M105" i="79" s="1"/>
  <c r="M24" i="79"/>
  <c r="K24" i="79"/>
  <c r="L24" i="79" s="1"/>
  <c r="N105" i="78"/>
  <c r="L105" i="78"/>
  <c r="M105" i="78" s="1"/>
  <c r="M24" i="78"/>
  <c r="K24" i="78"/>
  <c r="L24" i="78" s="1"/>
  <c r="N105" i="77"/>
  <c r="L105" i="77"/>
  <c r="M105" i="77" s="1"/>
  <c r="M24" i="77"/>
  <c r="K24" i="77"/>
  <c r="L24" i="77" s="1"/>
  <c r="N105" i="76"/>
  <c r="L105" i="76"/>
  <c r="M105" i="76" s="1"/>
  <c r="M24" i="76"/>
  <c r="K24" i="76"/>
  <c r="L24" i="76" s="1"/>
  <c r="N105" i="75"/>
  <c r="L105" i="75"/>
  <c r="M105" i="75" s="1"/>
  <c r="M24" i="75"/>
  <c r="K24" i="75"/>
  <c r="L24" i="75" s="1"/>
  <c r="N110" i="74"/>
  <c r="L110" i="74"/>
  <c r="M110" i="74" s="1"/>
  <c r="M29" i="74"/>
  <c r="K29" i="74"/>
  <c r="L29" i="74" s="1"/>
  <c r="N110" i="73"/>
  <c r="L110" i="73"/>
  <c r="M110" i="73" s="1"/>
  <c r="M29" i="73"/>
  <c r="K29" i="73"/>
  <c r="L29" i="73" s="1"/>
  <c r="N108" i="72"/>
  <c r="L108" i="72"/>
  <c r="M108" i="72" s="1"/>
  <c r="M27" i="72"/>
  <c r="K27" i="72"/>
  <c r="L27" i="72" s="1"/>
  <c r="N112" i="71"/>
  <c r="L112" i="71"/>
  <c r="M112" i="71" s="1"/>
  <c r="M31" i="71"/>
  <c r="K31" i="71"/>
  <c r="L31" i="71" s="1"/>
  <c r="N113" i="70"/>
  <c r="L113" i="70"/>
  <c r="M113" i="70" s="1"/>
  <c r="M32" i="70"/>
  <c r="K32" i="70"/>
  <c r="L32" i="70" s="1"/>
  <c r="N113" i="69"/>
  <c r="L113" i="69"/>
  <c r="M113" i="69" s="1"/>
  <c r="M32" i="69"/>
  <c r="K32" i="69"/>
  <c r="L32" i="69" s="1"/>
  <c r="N106" i="68"/>
  <c r="L106" i="68"/>
  <c r="M106" i="68" s="1"/>
  <c r="M25" i="68"/>
  <c r="K25" i="68"/>
  <c r="L25" i="68" s="1"/>
  <c r="N106" i="67"/>
  <c r="L106" i="67"/>
  <c r="M106" i="67" s="1"/>
  <c r="M25" i="67"/>
  <c r="K25" i="67"/>
  <c r="L25" i="67" s="1"/>
  <c r="N106" i="66"/>
  <c r="L106" i="66"/>
  <c r="M106" i="66" s="1"/>
  <c r="M25" i="66"/>
  <c r="K25" i="66"/>
  <c r="L25" i="66" s="1"/>
  <c r="N106" i="65"/>
  <c r="L106" i="65"/>
  <c r="M106" i="65" s="1"/>
  <c r="M25" i="65"/>
  <c r="K25" i="65"/>
  <c r="L25" i="65" s="1"/>
  <c r="N107" i="64"/>
  <c r="L107" i="64"/>
  <c r="M107" i="64" s="1"/>
  <c r="M26" i="64"/>
  <c r="K26" i="64"/>
  <c r="L26" i="64" s="1"/>
  <c r="N107" i="60"/>
  <c r="L107" i="60"/>
  <c r="M107" i="60" s="1"/>
  <c r="M26" i="60"/>
  <c r="K26" i="60"/>
  <c r="L26" i="60" s="1"/>
  <c r="N107" i="62"/>
  <c r="L107" i="62"/>
  <c r="M107" i="62" s="1"/>
  <c r="M26" i="62"/>
  <c r="K26" i="62"/>
  <c r="L26" i="62" s="1"/>
  <c r="N107" i="63"/>
  <c r="L107" i="63"/>
  <c r="M107" i="63" s="1"/>
  <c r="M26" i="63"/>
  <c r="K26" i="63"/>
  <c r="L26" i="63" s="1"/>
  <c r="N107" i="61"/>
  <c r="L107" i="61"/>
  <c r="M107" i="61" s="1"/>
  <c r="M26" i="61"/>
  <c r="K26" i="61"/>
  <c r="L26" i="61" s="1"/>
  <c r="N107" i="59"/>
  <c r="L107" i="59"/>
  <c r="M107" i="59" s="1"/>
  <c r="M26" i="59"/>
  <c r="K26" i="59"/>
  <c r="L26" i="59" s="1"/>
  <c r="N108" i="58"/>
  <c r="L108" i="58"/>
  <c r="M108" i="58" s="1"/>
  <c r="M27" i="58"/>
  <c r="K27" i="58"/>
  <c r="L27" i="58" s="1"/>
  <c r="N108" i="57"/>
  <c r="L108" i="57"/>
  <c r="M108" i="57" s="1"/>
  <c r="M27" i="57"/>
  <c r="K27" i="57"/>
  <c r="L27" i="57" s="1"/>
  <c r="N108" i="56"/>
  <c r="L108" i="56"/>
  <c r="M108" i="56" s="1"/>
  <c r="M27" i="56"/>
  <c r="K27" i="56"/>
  <c r="L27" i="56" s="1"/>
  <c r="N108" i="55"/>
  <c r="L108" i="55"/>
  <c r="M108" i="55" s="1"/>
  <c r="M27" i="55"/>
  <c r="K27" i="55"/>
  <c r="L27" i="55" s="1"/>
  <c r="N108" i="54"/>
  <c r="L108" i="54"/>
  <c r="M108" i="54" s="1"/>
  <c r="M27" i="54"/>
  <c r="K27" i="54"/>
  <c r="L27" i="54" s="1"/>
  <c r="N108" i="53"/>
  <c r="L108" i="53"/>
  <c r="M108" i="53" s="1"/>
  <c r="M27" i="53"/>
  <c r="K27" i="53"/>
  <c r="L27" i="53" s="1"/>
  <c r="N108" i="46"/>
  <c r="L108" i="46"/>
  <c r="M108" i="46" s="1"/>
  <c r="M27" i="46"/>
  <c r="K27" i="46"/>
  <c r="L27" i="46" s="1"/>
  <c r="N109" i="45"/>
  <c r="L109" i="45"/>
  <c r="M109" i="45" s="1"/>
  <c r="M28" i="45"/>
  <c r="K28" i="45"/>
  <c r="L28" i="45" s="1"/>
  <c r="N110" i="44"/>
  <c r="L110" i="44"/>
  <c r="M110" i="44" s="1"/>
  <c r="M29" i="44"/>
  <c r="K29" i="44"/>
  <c r="L29" i="44" s="1"/>
  <c r="N110" i="43"/>
  <c r="L110" i="43"/>
  <c r="M110" i="43" s="1"/>
  <c r="M29" i="43"/>
  <c r="K29" i="43"/>
  <c r="L29" i="43" s="1"/>
  <c r="N110" i="42"/>
  <c r="L110" i="42"/>
  <c r="M110" i="42" s="1"/>
  <c r="M29" i="42"/>
  <c r="K29" i="42"/>
  <c r="L29" i="42" s="1"/>
  <c r="N110" i="41"/>
  <c r="L110" i="41"/>
  <c r="M110" i="41" s="1"/>
  <c r="M29" i="41"/>
  <c r="K29" i="41"/>
  <c r="L29" i="41" s="1"/>
  <c r="N110" i="39"/>
  <c r="L110" i="39"/>
  <c r="M110" i="39" s="1"/>
  <c r="M29" i="39"/>
  <c r="K29" i="39"/>
  <c r="L29" i="39" s="1"/>
  <c r="N112" i="34"/>
  <c r="L112" i="34"/>
  <c r="M112" i="34" s="1"/>
  <c r="M31" i="34"/>
  <c r="K31" i="34"/>
  <c r="L31" i="34" s="1"/>
  <c r="N112" i="32"/>
  <c r="L112" i="32"/>
  <c r="M112" i="32" s="1"/>
  <c r="M31" i="32"/>
  <c r="K31" i="32"/>
  <c r="L31" i="32" s="1"/>
  <c r="N112" i="31"/>
  <c r="L112" i="31"/>
  <c r="M112" i="31" s="1"/>
  <c r="M31" i="31"/>
  <c r="K31" i="31"/>
  <c r="L31" i="31" s="1"/>
  <c r="N113" i="30"/>
  <c r="L113" i="30"/>
  <c r="M113" i="30" s="1"/>
  <c r="N113" i="29"/>
  <c r="L113" i="29"/>
  <c r="M113" i="29" s="1"/>
  <c r="N114" i="28"/>
  <c r="L114" i="28"/>
  <c r="M114" i="28" s="1"/>
  <c r="N113" i="27"/>
  <c r="L113" i="27"/>
  <c r="M113" i="27" s="1"/>
  <c r="M32" i="27"/>
  <c r="K32" i="27"/>
  <c r="L32" i="27" s="1"/>
  <c r="N112" i="24"/>
  <c r="L112" i="24"/>
  <c r="M112" i="24" s="1"/>
  <c r="M31" i="24"/>
  <c r="K31" i="24"/>
  <c r="L31" i="24" s="1"/>
  <c r="N112" i="23"/>
  <c r="L112" i="23"/>
  <c r="M112" i="23" s="1"/>
  <c r="N111" i="22"/>
  <c r="L111" i="22"/>
  <c r="M111" i="22" s="1"/>
  <c r="M30" i="22"/>
  <c r="K30" i="22"/>
  <c r="L30" i="22" s="1"/>
  <c r="N111" i="21"/>
  <c r="L111" i="21"/>
  <c r="M111" i="21" s="1"/>
  <c r="M30" i="21"/>
  <c r="K30" i="21"/>
  <c r="L30" i="21" s="1"/>
  <c r="N111" i="20"/>
  <c r="L111" i="20"/>
  <c r="M111" i="20" s="1"/>
  <c r="M30" i="20"/>
  <c r="K30" i="20"/>
  <c r="L30" i="20" s="1"/>
  <c r="N111" i="19"/>
  <c r="L111" i="19"/>
  <c r="M111" i="19" s="1"/>
  <c r="N111" i="18"/>
  <c r="L111" i="18"/>
  <c r="M111" i="18" s="1"/>
  <c r="N111" i="17"/>
  <c r="L111" i="17"/>
  <c r="M111" i="17" s="1"/>
  <c r="N111" i="3"/>
  <c r="L111" i="3"/>
  <c r="M111" i="3" s="1"/>
  <c r="J103" i="101" l="1"/>
  <c r="B23" i="101"/>
  <c r="F22" i="100"/>
  <c r="B22" i="100"/>
  <c r="N100" i="99"/>
  <c r="L100" i="99"/>
  <c r="M100" i="99" s="1"/>
  <c r="M19" i="99"/>
  <c r="K19" i="99"/>
  <c r="L19" i="99" s="1"/>
  <c r="N100" i="98"/>
  <c r="L100" i="98"/>
  <c r="M100" i="98" s="1"/>
  <c r="M19" i="98"/>
  <c r="K19" i="98"/>
  <c r="L19" i="98" s="1"/>
  <c r="N100" i="97"/>
  <c r="L100" i="97"/>
  <c r="M100" i="97" s="1"/>
  <c r="M19" i="97"/>
  <c r="K19" i="97"/>
  <c r="L19" i="97" s="1"/>
  <c r="N101" i="96"/>
  <c r="L101" i="96"/>
  <c r="M101" i="96" s="1"/>
  <c r="M20" i="96"/>
  <c r="K20" i="96"/>
  <c r="L20" i="96" s="1"/>
  <c r="N101" i="95"/>
  <c r="L101" i="95"/>
  <c r="M101" i="95" s="1"/>
  <c r="M20" i="95"/>
  <c r="K20" i="95"/>
  <c r="L20" i="95" s="1"/>
  <c r="N102" i="94"/>
  <c r="L102" i="94"/>
  <c r="M102" i="94" s="1"/>
  <c r="M21" i="94"/>
  <c r="K21" i="94"/>
  <c r="L21" i="94" s="1"/>
  <c r="N101" i="93"/>
  <c r="L101" i="93"/>
  <c r="M101" i="93" s="1"/>
  <c r="M20" i="93"/>
  <c r="K20" i="93"/>
  <c r="L20" i="93" s="1"/>
  <c r="N102" i="92"/>
  <c r="L102" i="92"/>
  <c r="M102" i="92" s="1"/>
  <c r="M21" i="92"/>
  <c r="K21" i="92"/>
  <c r="L21" i="92" s="1"/>
  <c r="N102" i="91"/>
  <c r="L102" i="91"/>
  <c r="M102" i="91" s="1"/>
  <c r="M21" i="91"/>
  <c r="K21" i="91"/>
  <c r="L21" i="91" s="1"/>
  <c r="N102" i="90"/>
  <c r="L102" i="90"/>
  <c r="M102" i="90" s="1"/>
  <c r="M21" i="90"/>
  <c r="K21" i="90"/>
  <c r="L21" i="90" s="1"/>
  <c r="N102" i="89"/>
  <c r="L102" i="89"/>
  <c r="M102" i="89" s="1"/>
  <c r="M21" i="89"/>
  <c r="K21" i="89"/>
  <c r="L21" i="89" s="1"/>
  <c r="N102" i="88"/>
  <c r="L102" i="88"/>
  <c r="M102" i="88" s="1"/>
  <c r="M21" i="88"/>
  <c r="K21" i="88"/>
  <c r="L21" i="88" s="1"/>
  <c r="N102" i="87"/>
  <c r="L102" i="87"/>
  <c r="M102" i="87" s="1"/>
  <c r="M21" i="87"/>
  <c r="K21" i="87"/>
  <c r="L21" i="87" s="1"/>
  <c r="N103" i="86"/>
  <c r="L103" i="86"/>
  <c r="M103" i="86" s="1"/>
  <c r="M22" i="86"/>
  <c r="K22" i="86"/>
  <c r="L22" i="86" s="1"/>
  <c r="N103" i="85"/>
  <c r="L103" i="85"/>
  <c r="M103" i="85" s="1"/>
  <c r="M22" i="85"/>
  <c r="K22" i="85"/>
  <c r="L22" i="85" s="1"/>
  <c r="N102" i="84"/>
  <c r="L102" i="84"/>
  <c r="M102" i="84" s="1"/>
  <c r="M22" i="84"/>
  <c r="K22" i="84"/>
  <c r="L22" i="84" s="1"/>
  <c r="N103" i="83"/>
  <c r="L103" i="83"/>
  <c r="M103" i="83" s="1"/>
  <c r="M22" i="83"/>
  <c r="K22" i="83"/>
  <c r="L22" i="83" s="1"/>
  <c r="N103" i="82"/>
  <c r="L103" i="82"/>
  <c r="M103" i="82" s="1"/>
  <c r="M22" i="82"/>
  <c r="K22" i="82"/>
  <c r="L22" i="82" s="1"/>
  <c r="N103" i="81"/>
  <c r="L103" i="81"/>
  <c r="M103" i="81" s="1"/>
  <c r="M22" i="81"/>
  <c r="K22" i="81"/>
  <c r="L22" i="81" s="1"/>
  <c r="N103" i="80"/>
  <c r="L103" i="80"/>
  <c r="M103" i="80" s="1"/>
  <c r="M22" i="80"/>
  <c r="K22" i="80"/>
  <c r="L22" i="80" s="1"/>
  <c r="N104" i="79"/>
  <c r="L104" i="79"/>
  <c r="M104" i="79" s="1"/>
  <c r="M23" i="79"/>
  <c r="K23" i="79"/>
  <c r="L23" i="79" s="1"/>
  <c r="N104" i="78"/>
  <c r="L104" i="78"/>
  <c r="M104" i="78" s="1"/>
  <c r="M23" i="78"/>
  <c r="K23" i="78"/>
  <c r="L23" i="78" s="1"/>
  <c r="N104" i="77"/>
  <c r="L104" i="77"/>
  <c r="M104" i="77" s="1"/>
  <c r="M23" i="77"/>
  <c r="K23" i="77"/>
  <c r="L23" i="77" s="1"/>
  <c r="N104" i="76"/>
  <c r="L104" i="76"/>
  <c r="M104" i="76" s="1"/>
  <c r="M23" i="76"/>
  <c r="K23" i="76"/>
  <c r="L23" i="76" s="1"/>
  <c r="N104" i="75"/>
  <c r="L104" i="75"/>
  <c r="M104" i="75" s="1"/>
  <c r="M23" i="75"/>
  <c r="K23" i="75"/>
  <c r="L23" i="75" s="1"/>
  <c r="N109" i="74"/>
  <c r="L109" i="74"/>
  <c r="M109" i="74" s="1"/>
  <c r="M28" i="74"/>
  <c r="K28" i="74"/>
  <c r="L28" i="74" s="1"/>
  <c r="N109" i="73"/>
  <c r="L109" i="73"/>
  <c r="M109" i="73" s="1"/>
  <c r="M28" i="73"/>
  <c r="K28" i="73"/>
  <c r="L28" i="73" s="1"/>
  <c r="N107" i="72"/>
  <c r="L107" i="72"/>
  <c r="M107" i="72" s="1"/>
  <c r="M26" i="72"/>
  <c r="K26" i="72"/>
  <c r="L26" i="72" s="1"/>
  <c r="N111" i="71"/>
  <c r="L111" i="71"/>
  <c r="M111" i="71" s="1"/>
  <c r="M30" i="71"/>
  <c r="K30" i="71"/>
  <c r="L30" i="71" s="1"/>
  <c r="N112" i="70"/>
  <c r="L112" i="70"/>
  <c r="M112" i="70" s="1"/>
  <c r="M31" i="70"/>
  <c r="K31" i="70"/>
  <c r="L31" i="70" s="1"/>
  <c r="N112" i="69"/>
  <c r="L112" i="69"/>
  <c r="M112" i="69" s="1"/>
  <c r="M31" i="69"/>
  <c r="K31" i="69"/>
  <c r="L31" i="69" s="1"/>
  <c r="N105" i="68"/>
  <c r="L105" i="68"/>
  <c r="M105" i="68" s="1"/>
  <c r="M24" i="68"/>
  <c r="K24" i="68"/>
  <c r="L24" i="68" s="1"/>
  <c r="N105" i="67"/>
  <c r="L105" i="67"/>
  <c r="M105" i="67" s="1"/>
  <c r="M24" i="67"/>
  <c r="K24" i="67"/>
  <c r="L24" i="67" s="1"/>
  <c r="N105" i="66"/>
  <c r="L105" i="66"/>
  <c r="M105" i="66" s="1"/>
  <c r="M24" i="66"/>
  <c r="K24" i="66"/>
  <c r="L24" i="66" s="1"/>
  <c r="N105" i="65"/>
  <c r="L105" i="65"/>
  <c r="M105" i="65" s="1"/>
  <c r="M24" i="65"/>
  <c r="K24" i="65"/>
  <c r="L24" i="65" s="1"/>
  <c r="N106" i="64"/>
  <c r="L106" i="64"/>
  <c r="M106" i="64" s="1"/>
  <c r="M25" i="64"/>
  <c r="K25" i="64"/>
  <c r="L25" i="64" s="1"/>
  <c r="N106" i="60"/>
  <c r="L106" i="60"/>
  <c r="M106" i="60" s="1"/>
  <c r="M25" i="60"/>
  <c r="K25" i="60"/>
  <c r="L25" i="60" s="1"/>
  <c r="N106" i="62"/>
  <c r="L106" i="62"/>
  <c r="M106" i="62" s="1"/>
  <c r="M25" i="62"/>
  <c r="K25" i="62"/>
  <c r="L25" i="62" s="1"/>
  <c r="N106" i="63"/>
  <c r="L106" i="63"/>
  <c r="M106" i="63" s="1"/>
  <c r="M25" i="63"/>
  <c r="K25" i="63"/>
  <c r="L25" i="63" s="1"/>
  <c r="N106" i="61"/>
  <c r="L106" i="61"/>
  <c r="M106" i="61" s="1"/>
  <c r="M25" i="61"/>
  <c r="K25" i="61"/>
  <c r="L25" i="61" s="1"/>
  <c r="N106" i="59"/>
  <c r="L106" i="59"/>
  <c r="M106" i="59" s="1"/>
  <c r="M25" i="59"/>
  <c r="K25" i="59"/>
  <c r="L25" i="59" s="1"/>
  <c r="N107" i="58"/>
  <c r="L107" i="58"/>
  <c r="M107" i="58" s="1"/>
  <c r="M26" i="58"/>
  <c r="K26" i="58"/>
  <c r="L26" i="58" s="1"/>
  <c r="N107" i="57"/>
  <c r="L107" i="57"/>
  <c r="M107" i="57" s="1"/>
  <c r="M26" i="57"/>
  <c r="K26" i="57"/>
  <c r="L26" i="57" s="1"/>
  <c r="N107" i="56"/>
  <c r="L107" i="56"/>
  <c r="M107" i="56" s="1"/>
  <c r="M26" i="56"/>
  <c r="K26" i="56"/>
  <c r="L26" i="56" s="1"/>
  <c r="N107" i="55"/>
  <c r="L107" i="55"/>
  <c r="M107" i="55" s="1"/>
  <c r="M26" i="55"/>
  <c r="K26" i="55"/>
  <c r="L26" i="55" s="1"/>
  <c r="N107" i="54"/>
  <c r="L107" i="54"/>
  <c r="M107" i="54" s="1"/>
  <c r="M26" i="54"/>
  <c r="K26" i="54"/>
  <c r="L26" i="54" s="1"/>
  <c r="N107" i="53"/>
  <c r="L107" i="53"/>
  <c r="M107" i="53" s="1"/>
  <c r="M26" i="53"/>
  <c r="K26" i="53"/>
  <c r="L26" i="53" s="1"/>
  <c r="N107" i="46"/>
  <c r="L107" i="46"/>
  <c r="M107" i="46" s="1"/>
  <c r="M26" i="46"/>
  <c r="K26" i="46"/>
  <c r="L26" i="46" s="1"/>
  <c r="N108" i="45"/>
  <c r="L108" i="45"/>
  <c r="M108" i="45" s="1"/>
  <c r="M27" i="45"/>
  <c r="K27" i="45"/>
  <c r="L27" i="45" s="1"/>
  <c r="N109" i="44"/>
  <c r="L109" i="44"/>
  <c r="M109" i="44" s="1"/>
  <c r="M28" i="44"/>
  <c r="K28" i="44"/>
  <c r="L28" i="44" s="1"/>
  <c r="N109" i="43"/>
  <c r="L109" i="43"/>
  <c r="M109" i="43" s="1"/>
  <c r="M28" i="43"/>
  <c r="K28" i="43"/>
  <c r="L28" i="43" s="1"/>
  <c r="N109" i="42"/>
  <c r="L109" i="42"/>
  <c r="M109" i="42" s="1"/>
  <c r="M28" i="42"/>
  <c r="K28" i="42"/>
  <c r="L28" i="42" s="1"/>
  <c r="N109" i="41"/>
  <c r="L109" i="41"/>
  <c r="M109" i="41" s="1"/>
  <c r="M28" i="41"/>
  <c r="K28" i="41"/>
  <c r="L28" i="41" s="1"/>
  <c r="N109" i="39"/>
  <c r="L109" i="39"/>
  <c r="M109" i="39" s="1"/>
  <c r="M28" i="39"/>
  <c r="K28" i="39"/>
  <c r="L28" i="39" s="1"/>
  <c r="N111" i="34"/>
  <c r="L111" i="34"/>
  <c r="M111" i="34" s="1"/>
  <c r="M30" i="34"/>
  <c r="K30" i="34"/>
  <c r="L30" i="34" s="1"/>
  <c r="N111" i="32"/>
  <c r="L111" i="32"/>
  <c r="M111" i="32" s="1"/>
  <c r="M30" i="32"/>
  <c r="K30" i="32"/>
  <c r="L30" i="32" s="1"/>
  <c r="N111" i="31"/>
  <c r="L111" i="31"/>
  <c r="M111" i="31" s="1"/>
  <c r="M30" i="31"/>
  <c r="K30" i="31"/>
  <c r="L30" i="31" s="1"/>
  <c r="N112" i="30"/>
  <c r="L112" i="30"/>
  <c r="M112" i="30" s="1"/>
  <c r="M31" i="30"/>
  <c r="K31" i="30"/>
  <c r="L31" i="30" s="1"/>
  <c r="N112" i="29"/>
  <c r="L112" i="29"/>
  <c r="M112" i="29" s="1"/>
  <c r="M31" i="29"/>
  <c r="K31" i="29"/>
  <c r="L31" i="29" s="1"/>
  <c r="N113" i="28"/>
  <c r="L113" i="28"/>
  <c r="M113" i="28" s="1"/>
  <c r="M32" i="28"/>
  <c r="K32" i="28"/>
  <c r="L32" i="28" s="1"/>
  <c r="N112" i="27"/>
  <c r="L112" i="27"/>
  <c r="M112" i="27" s="1"/>
  <c r="M31" i="27"/>
  <c r="K31" i="27"/>
  <c r="L31" i="27" s="1"/>
  <c r="N111" i="24"/>
  <c r="L111" i="24"/>
  <c r="M111" i="24" s="1"/>
  <c r="M30" i="24"/>
  <c r="K30" i="24"/>
  <c r="L30" i="24" s="1"/>
  <c r="N111" i="23"/>
  <c r="L111" i="23"/>
  <c r="M111" i="23" s="1"/>
  <c r="M30" i="23"/>
  <c r="K30" i="23"/>
  <c r="L30" i="23" s="1"/>
  <c r="N110" i="22"/>
  <c r="L110" i="22"/>
  <c r="M110" i="22" s="1"/>
  <c r="M29" i="22"/>
  <c r="K29" i="22"/>
  <c r="L29" i="22" s="1"/>
  <c r="N110" i="21"/>
  <c r="L110" i="21"/>
  <c r="M110" i="21" s="1"/>
  <c r="M29" i="21"/>
  <c r="K29" i="21"/>
  <c r="L29" i="21" s="1"/>
  <c r="N110" i="20"/>
  <c r="L110" i="20"/>
  <c r="M110" i="20" s="1"/>
  <c r="M29" i="20"/>
  <c r="K29" i="20"/>
  <c r="L29" i="20" s="1"/>
  <c r="N110" i="19"/>
  <c r="L110" i="19"/>
  <c r="M110" i="19" s="1"/>
  <c r="M29" i="19"/>
  <c r="K29" i="19"/>
  <c r="L29" i="19" s="1"/>
  <c r="N110" i="18"/>
  <c r="L110" i="18"/>
  <c r="M110" i="18" s="1"/>
  <c r="M29" i="18"/>
  <c r="K29" i="18"/>
  <c r="L29" i="18" s="1"/>
  <c r="N110" i="17"/>
  <c r="L110" i="17"/>
  <c r="M110" i="17" s="1"/>
  <c r="M29" i="17"/>
  <c r="K29" i="17"/>
  <c r="L29" i="17" s="1"/>
  <c r="N110" i="3"/>
  <c r="L110" i="3"/>
  <c r="M110" i="3" s="1"/>
  <c r="M29" i="3"/>
  <c r="K29" i="3"/>
  <c r="L29" i="3" s="1"/>
  <c r="I23" i="101" l="1"/>
  <c r="B105" i="101"/>
  <c r="D23" i="100"/>
  <c r="E23" i="100" s="1"/>
  <c r="T14" i="36"/>
  <c r="J104" i="101" l="1"/>
  <c r="B24" i="101"/>
  <c r="B23" i="100"/>
  <c r="F23" i="100"/>
  <c r="N101" i="94"/>
  <c r="L101" i="94"/>
  <c r="M101" i="94" s="1"/>
  <c r="M20" i="94"/>
  <c r="K20" i="94"/>
  <c r="L20" i="94" s="1"/>
  <c r="N102" i="86"/>
  <c r="L102" i="86"/>
  <c r="M102" i="86" s="1"/>
  <c r="I24" i="101" l="1"/>
  <c r="B106" i="101"/>
  <c r="D24" i="100"/>
  <c r="E24" i="100" s="1"/>
  <c r="M21" i="86"/>
  <c r="K21" i="86"/>
  <c r="L21" i="86" s="1"/>
  <c r="N99" i="97"/>
  <c r="L99" i="97"/>
  <c r="M99" i="97" s="1"/>
  <c r="N100" i="93"/>
  <c r="L100" i="93"/>
  <c r="M100" i="93" s="1"/>
  <c r="N101" i="92"/>
  <c r="L101" i="92"/>
  <c r="M101" i="92" s="1"/>
  <c r="N101" i="91"/>
  <c r="L101" i="91"/>
  <c r="M101" i="91" s="1"/>
  <c r="N101" i="90"/>
  <c r="L101" i="90"/>
  <c r="M101" i="90" s="1"/>
  <c r="N101" i="89"/>
  <c r="L101" i="89"/>
  <c r="M101" i="89" s="1"/>
  <c r="N101" i="88"/>
  <c r="L101" i="88"/>
  <c r="M101" i="88" s="1"/>
  <c r="N101" i="87"/>
  <c r="L101" i="87"/>
  <c r="M101" i="87" s="1"/>
  <c r="N101" i="86"/>
  <c r="L101" i="86"/>
  <c r="M101" i="86" s="1"/>
  <c r="N102" i="83"/>
  <c r="L102" i="83"/>
  <c r="M102" i="83" s="1"/>
  <c r="N102" i="82"/>
  <c r="L102" i="82"/>
  <c r="M102" i="82" s="1"/>
  <c r="N102" i="81"/>
  <c r="L102" i="81"/>
  <c r="M102" i="81" s="1"/>
  <c r="N102" i="80"/>
  <c r="L102" i="80"/>
  <c r="M102" i="80" s="1"/>
  <c r="N103" i="79"/>
  <c r="L103" i="79"/>
  <c r="M103" i="79" s="1"/>
  <c r="N103" i="78"/>
  <c r="L103" i="78"/>
  <c r="M103" i="78" s="1"/>
  <c r="N103" i="77"/>
  <c r="L103" i="77"/>
  <c r="M103" i="77" s="1"/>
  <c r="N103" i="76"/>
  <c r="L103" i="76"/>
  <c r="M103" i="76" s="1"/>
  <c r="N103" i="75"/>
  <c r="L103" i="75"/>
  <c r="M103" i="75" s="1"/>
  <c r="N108" i="73"/>
  <c r="L108" i="73"/>
  <c r="M108" i="73" s="1"/>
  <c r="N106" i="72"/>
  <c r="L106" i="72"/>
  <c r="M106" i="72" s="1"/>
  <c r="N110" i="71"/>
  <c r="L110" i="71"/>
  <c r="M110" i="71" s="1"/>
  <c r="N111" i="70"/>
  <c r="L111" i="70"/>
  <c r="M111" i="70" s="1"/>
  <c r="N111" i="69"/>
  <c r="L111" i="69"/>
  <c r="M111" i="69" s="1"/>
  <c r="N104" i="68"/>
  <c r="L104" i="68"/>
  <c r="M104" i="68" s="1"/>
  <c r="N104" i="67"/>
  <c r="L104" i="67"/>
  <c r="M104" i="67" s="1"/>
  <c r="N104" i="66"/>
  <c r="L104" i="66"/>
  <c r="M104" i="66" s="1"/>
  <c r="N104" i="65"/>
  <c r="L104" i="65"/>
  <c r="M104" i="65" s="1"/>
  <c r="N105" i="64"/>
  <c r="L105" i="64"/>
  <c r="M105" i="64" s="1"/>
  <c r="N105" i="60"/>
  <c r="L105" i="60"/>
  <c r="M105" i="60" s="1"/>
  <c r="N105" i="62"/>
  <c r="L105" i="62"/>
  <c r="M105" i="62" s="1"/>
  <c r="N105" i="63"/>
  <c r="L105" i="63"/>
  <c r="M105" i="63" s="1"/>
  <c r="N105" i="61"/>
  <c r="L105" i="61"/>
  <c r="M105" i="61" s="1"/>
  <c r="N101" i="84"/>
  <c r="L101" i="84"/>
  <c r="M101" i="84" s="1"/>
  <c r="N102" i="85"/>
  <c r="L102" i="85"/>
  <c r="M102" i="85" s="1"/>
  <c r="N105" i="59"/>
  <c r="L105" i="59"/>
  <c r="M105" i="59" s="1"/>
  <c r="J105" i="101" l="1"/>
  <c r="B25" i="101"/>
  <c r="B24" i="100"/>
  <c r="F24" i="100"/>
  <c r="N106" i="58"/>
  <c r="L106" i="58"/>
  <c r="M106" i="58" s="1"/>
  <c r="N106" i="57"/>
  <c r="L106" i="57"/>
  <c r="M106" i="57" s="1"/>
  <c r="N106" i="56"/>
  <c r="L106" i="56"/>
  <c r="M106" i="56" s="1"/>
  <c r="N106" i="55"/>
  <c r="L106" i="55"/>
  <c r="M106" i="55" s="1"/>
  <c r="N106" i="54"/>
  <c r="L106" i="54"/>
  <c r="M106" i="54" s="1"/>
  <c r="N106" i="53"/>
  <c r="L106" i="53"/>
  <c r="M106" i="53" s="1"/>
  <c r="N106" i="46"/>
  <c r="L106" i="46"/>
  <c r="M106" i="46" s="1"/>
  <c r="N107" i="45"/>
  <c r="L107" i="45"/>
  <c r="M107" i="45" s="1"/>
  <c r="N108" i="44"/>
  <c r="L108" i="44"/>
  <c r="M108" i="44" s="1"/>
  <c r="N108" i="43"/>
  <c r="L108" i="43"/>
  <c r="M108" i="43" s="1"/>
  <c r="N108" i="42"/>
  <c r="L108" i="42"/>
  <c r="M108" i="42" s="1"/>
  <c r="N108" i="41"/>
  <c r="L108" i="41"/>
  <c r="M108" i="41" s="1"/>
  <c r="N108" i="39"/>
  <c r="L108" i="39"/>
  <c r="M108" i="39" s="1"/>
  <c r="N110" i="34"/>
  <c r="L110" i="34"/>
  <c r="M110" i="34" s="1"/>
  <c r="N110" i="32"/>
  <c r="L110" i="32"/>
  <c r="M110" i="32" s="1"/>
  <c r="N110" i="31"/>
  <c r="L110" i="31"/>
  <c r="M110" i="31" s="1"/>
  <c r="N111" i="30"/>
  <c r="L111" i="30"/>
  <c r="M111" i="30" s="1"/>
  <c r="N111" i="29"/>
  <c r="L111" i="29"/>
  <c r="M111" i="29" s="1"/>
  <c r="N112" i="28"/>
  <c r="L112" i="28"/>
  <c r="M112" i="28" s="1"/>
  <c r="N111" i="27"/>
  <c r="L111" i="27"/>
  <c r="M111" i="27" s="1"/>
  <c r="N110" i="24"/>
  <c r="L110" i="24"/>
  <c r="M110" i="24" s="1"/>
  <c r="N110" i="23"/>
  <c r="L110" i="23"/>
  <c r="M110" i="23" s="1"/>
  <c r="N109" i="22"/>
  <c r="L109" i="22"/>
  <c r="M109" i="22" s="1"/>
  <c r="N109" i="21"/>
  <c r="L109" i="21"/>
  <c r="M109" i="21" s="1"/>
  <c r="D26" i="101" l="1"/>
  <c r="I25" i="101"/>
  <c r="D25" i="100"/>
  <c r="E25" i="100" s="1"/>
  <c r="N109" i="20"/>
  <c r="L109" i="20"/>
  <c r="M109" i="20" s="1"/>
  <c r="N109" i="19"/>
  <c r="L109" i="19"/>
  <c r="M109" i="19" s="1"/>
  <c r="N109" i="18"/>
  <c r="L109" i="18"/>
  <c r="M109" i="18" s="1"/>
  <c r="N109" i="17"/>
  <c r="L109" i="17"/>
  <c r="M109" i="17" s="1"/>
  <c r="N109" i="3"/>
  <c r="L109" i="3"/>
  <c r="M109" i="3" s="1"/>
  <c r="N108" i="74"/>
  <c r="L108" i="74"/>
  <c r="M108" i="74" s="1"/>
  <c r="N107" i="74"/>
  <c r="L107" i="74"/>
  <c r="M107" i="74" s="1"/>
  <c r="M27" i="74"/>
  <c r="K27" i="74"/>
  <c r="L27" i="74" s="1"/>
  <c r="J106" i="101" l="1"/>
  <c r="B26" i="101"/>
  <c r="F25" i="100"/>
  <c r="B25" i="100"/>
  <c r="M18" i="99"/>
  <c r="K18" i="99"/>
  <c r="L18" i="99" s="1"/>
  <c r="M17" i="99"/>
  <c r="K17" i="99"/>
  <c r="L17" i="99" s="1"/>
  <c r="M18" i="98"/>
  <c r="K18" i="98"/>
  <c r="L18" i="98" s="1"/>
  <c r="M17" i="98"/>
  <c r="K17" i="98"/>
  <c r="L17" i="98" s="1"/>
  <c r="M18" i="97"/>
  <c r="K18" i="97"/>
  <c r="L18" i="97" s="1"/>
  <c r="M17" i="97"/>
  <c r="K17" i="97"/>
  <c r="L17" i="97" s="1"/>
  <c r="M19" i="96"/>
  <c r="K19" i="96"/>
  <c r="L19" i="96" s="1"/>
  <c r="M19" i="95"/>
  <c r="K19" i="95"/>
  <c r="L19" i="95" s="1"/>
  <c r="M19" i="94"/>
  <c r="K19" i="94"/>
  <c r="L19" i="94" s="1"/>
  <c r="M19" i="93"/>
  <c r="K19" i="93"/>
  <c r="L19" i="93" s="1"/>
  <c r="M20" i="92"/>
  <c r="K20" i="92"/>
  <c r="L20" i="92" s="1"/>
  <c r="M20" i="91"/>
  <c r="K20" i="91"/>
  <c r="L20" i="91" s="1"/>
  <c r="M20" i="90"/>
  <c r="K20" i="90"/>
  <c r="L20" i="90" s="1"/>
  <c r="M20" i="89"/>
  <c r="K20" i="89"/>
  <c r="L20" i="89" s="1"/>
  <c r="M20" i="88"/>
  <c r="K20" i="88"/>
  <c r="L20" i="88" s="1"/>
  <c r="M20" i="87"/>
  <c r="K20" i="87"/>
  <c r="L20" i="87" s="1"/>
  <c r="M20" i="86"/>
  <c r="K20" i="86"/>
  <c r="L20" i="86" s="1"/>
  <c r="M21" i="85"/>
  <c r="K21" i="85"/>
  <c r="L21" i="85" s="1"/>
  <c r="M21" i="84"/>
  <c r="K21" i="84"/>
  <c r="L21" i="84" s="1"/>
  <c r="M21" i="83"/>
  <c r="K21" i="83"/>
  <c r="L21" i="83" s="1"/>
  <c r="M21" i="82"/>
  <c r="K21" i="82"/>
  <c r="L21" i="82" s="1"/>
  <c r="M21" i="81"/>
  <c r="K21" i="81"/>
  <c r="L21" i="81" s="1"/>
  <c r="M21" i="80"/>
  <c r="K21" i="80"/>
  <c r="L21" i="80" s="1"/>
  <c r="M22" i="79"/>
  <c r="K22" i="79"/>
  <c r="L22" i="79" s="1"/>
  <c r="M22" i="78"/>
  <c r="K22" i="78"/>
  <c r="L22" i="78" s="1"/>
  <c r="M22" i="77"/>
  <c r="K22" i="77"/>
  <c r="L22" i="77" s="1"/>
  <c r="M22" i="76"/>
  <c r="K22" i="76"/>
  <c r="L22" i="76" s="1"/>
  <c r="M22" i="75"/>
  <c r="K22" i="75"/>
  <c r="L22" i="75" s="1"/>
  <c r="M26" i="74"/>
  <c r="K26" i="74"/>
  <c r="L26" i="74" s="1"/>
  <c r="M27" i="73"/>
  <c r="K27" i="73"/>
  <c r="L27" i="73" s="1"/>
  <c r="M25" i="72"/>
  <c r="K25" i="72"/>
  <c r="L25" i="72" s="1"/>
  <c r="M29" i="71"/>
  <c r="K29" i="71"/>
  <c r="L29" i="71" s="1"/>
  <c r="M30" i="70"/>
  <c r="K30" i="70"/>
  <c r="L30" i="70" s="1"/>
  <c r="M30" i="69"/>
  <c r="K30" i="69"/>
  <c r="L30" i="69" s="1"/>
  <c r="M23" i="68"/>
  <c r="K23" i="68"/>
  <c r="L23" i="68" s="1"/>
  <c r="M23" i="67"/>
  <c r="K23" i="67"/>
  <c r="L23" i="67" s="1"/>
  <c r="M23" i="66"/>
  <c r="K23" i="66"/>
  <c r="L23" i="66" s="1"/>
  <c r="M23" i="65"/>
  <c r="K23" i="65"/>
  <c r="L23" i="65" s="1"/>
  <c r="M24" i="64"/>
  <c r="K24" i="64"/>
  <c r="L24" i="64" s="1"/>
  <c r="M24" i="60"/>
  <c r="K24" i="60"/>
  <c r="L24" i="60" s="1"/>
  <c r="M24" i="62"/>
  <c r="K24" i="62"/>
  <c r="L24" i="62" s="1"/>
  <c r="M24" i="63"/>
  <c r="K24" i="63"/>
  <c r="L24" i="63" s="1"/>
  <c r="M24" i="61"/>
  <c r="K24" i="61"/>
  <c r="L24" i="61" s="1"/>
  <c r="M24" i="59"/>
  <c r="K24" i="59"/>
  <c r="L24" i="59" s="1"/>
  <c r="M25" i="58"/>
  <c r="K25" i="58"/>
  <c r="L25" i="58" s="1"/>
  <c r="M25" i="57"/>
  <c r="K25" i="57"/>
  <c r="L25" i="57" s="1"/>
  <c r="M25" i="56"/>
  <c r="K25" i="56"/>
  <c r="L25" i="56" s="1"/>
  <c r="M25" i="55"/>
  <c r="K25" i="55"/>
  <c r="L25" i="55" s="1"/>
  <c r="M25" i="54"/>
  <c r="K25" i="54"/>
  <c r="L25" i="54" s="1"/>
  <c r="M25" i="53"/>
  <c r="K25" i="53"/>
  <c r="L25" i="53" s="1"/>
  <c r="M25" i="46"/>
  <c r="K25" i="46"/>
  <c r="L25" i="46" s="1"/>
  <c r="M26" i="45"/>
  <c r="K26" i="45"/>
  <c r="L26" i="45" s="1"/>
  <c r="M27" i="44"/>
  <c r="K27" i="44"/>
  <c r="L27" i="44" s="1"/>
  <c r="M27" i="43"/>
  <c r="K27" i="43"/>
  <c r="L27" i="43" s="1"/>
  <c r="M27" i="42"/>
  <c r="K27" i="42"/>
  <c r="L27" i="42" s="1"/>
  <c r="M27" i="41"/>
  <c r="K27" i="41"/>
  <c r="L27" i="41" s="1"/>
  <c r="M27" i="39"/>
  <c r="K27" i="39"/>
  <c r="L27" i="39" s="1"/>
  <c r="M29" i="34"/>
  <c r="K29" i="34"/>
  <c r="L29" i="34" s="1"/>
  <c r="M29" i="32"/>
  <c r="K29" i="32"/>
  <c r="L29" i="32" s="1"/>
  <c r="M29" i="31"/>
  <c r="K29" i="31"/>
  <c r="L29" i="31" s="1"/>
  <c r="M30" i="30"/>
  <c r="K30" i="30"/>
  <c r="L30" i="30" s="1"/>
  <c r="M30" i="29"/>
  <c r="K30" i="29"/>
  <c r="L30" i="29" s="1"/>
  <c r="M31" i="28"/>
  <c r="K31" i="28"/>
  <c r="L31" i="28" s="1"/>
  <c r="M30" i="27"/>
  <c r="K30" i="27"/>
  <c r="L30" i="27" s="1"/>
  <c r="M29" i="24"/>
  <c r="K29" i="24"/>
  <c r="L29" i="24" s="1"/>
  <c r="M29" i="23"/>
  <c r="K29" i="23"/>
  <c r="L29" i="23" s="1"/>
  <c r="M28" i="22"/>
  <c r="K28" i="22"/>
  <c r="L28" i="22" s="1"/>
  <c r="M28" i="21"/>
  <c r="K28" i="21"/>
  <c r="L28" i="21" s="1"/>
  <c r="M28" i="20"/>
  <c r="K28" i="20"/>
  <c r="L28" i="20" s="1"/>
  <c r="M28" i="19"/>
  <c r="K28" i="19"/>
  <c r="L28" i="19" s="1"/>
  <c r="D26" i="100" l="1"/>
  <c r="E26" i="100"/>
  <c r="M28" i="18"/>
  <c r="K28" i="18"/>
  <c r="L28" i="18" s="1"/>
  <c r="M28" i="17"/>
  <c r="K28" i="17"/>
  <c r="L28" i="17" s="1"/>
  <c r="M28" i="3"/>
  <c r="K28" i="3"/>
  <c r="L28" i="3" s="1"/>
  <c r="B26" i="100" l="1"/>
  <c r="F26" i="100"/>
  <c r="W91" i="36"/>
  <c r="W90" i="36"/>
  <c r="W89" i="36"/>
  <c r="P91" i="36"/>
  <c r="P83" i="99"/>
  <c r="P154" i="99"/>
  <c r="O154" i="99"/>
  <c r="M154" i="99"/>
  <c r="J154" i="99"/>
  <c r="P153" i="99"/>
  <c r="O153" i="99"/>
  <c r="M153" i="99"/>
  <c r="J153" i="99"/>
  <c r="P152" i="99"/>
  <c r="O152" i="99"/>
  <c r="M152" i="99"/>
  <c r="J152" i="99"/>
  <c r="P151" i="99"/>
  <c r="O151" i="99"/>
  <c r="M151" i="99"/>
  <c r="J151" i="99"/>
  <c r="P150" i="99"/>
  <c r="O150" i="99"/>
  <c r="M150" i="99"/>
  <c r="J150" i="99"/>
  <c r="P149" i="99"/>
  <c r="O149" i="99"/>
  <c r="M149" i="99"/>
  <c r="J149" i="99"/>
  <c r="P148" i="99"/>
  <c r="O148" i="99"/>
  <c r="M148" i="99"/>
  <c r="J148" i="99"/>
  <c r="P147" i="99"/>
  <c r="O147" i="99"/>
  <c r="M147" i="99"/>
  <c r="J147" i="99"/>
  <c r="P146" i="99"/>
  <c r="O146" i="99"/>
  <c r="M146" i="99"/>
  <c r="J146" i="99"/>
  <c r="P145" i="99"/>
  <c r="O145" i="99"/>
  <c r="M145" i="99"/>
  <c r="J145" i="99"/>
  <c r="P144" i="99"/>
  <c r="O144" i="99"/>
  <c r="M144" i="99"/>
  <c r="J144" i="99"/>
  <c r="P143" i="99"/>
  <c r="O143" i="99"/>
  <c r="M143" i="99"/>
  <c r="J143" i="99"/>
  <c r="P142" i="99"/>
  <c r="O142" i="99"/>
  <c r="M142" i="99"/>
  <c r="J142" i="99"/>
  <c r="P141" i="99"/>
  <c r="O141" i="99"/>
  <c r="M141" i="99"/>
  <c r="J141" i="99"/>
  <c r="P140" i="99"/>
  <c r="O140" i="99"/>
  <c r="M140" i="99"/>
  <c r="J140" i="99"/>
  <c r="P139" i="99"/>
  <c r="O139" i="99"/>
  <c r="M139" i="99"/>
  <c r="J139" i="99"/>
  <c r="P138" i="99"/>
  <c r="O138" i="99"/>
  <c r="M138" i="99"/>
  <c r="J138" i="99"/>
  <c r="P137" i="99"/>
  <c r="O137" i="99"/>
  <c r="M137" i="99"/>
  <c r="J137" i="99"/>
  <c r="P136" i="99"/>
  <c r="O136" i="99"/>
  <c r="M136" i="99"/>
  <c r="J136" i="99"/>
  <c r="P135" i="99"/>
  <c r="O135" i="99"/>
  <c r="M135" i="99"/>
  <c r="J135" i="99"/>
  <c r="P134" i="99"/>
  <c r="O134" i="99"/>
  <c r="M134" i="99"/>
  <c r="J134" i="99"/>
  <c r="P133" i="99"/>
  <c r="O133" i="99"/>
  <c r="M133" i="99"/>
  <c r="J133" i="99"/>
  <c r="P132" i="99"/>
  <c r="O132" i="99"/>
  <c r="M132" i="99"/>
  <c r="J132" i="99"/>
  <c r="P131" i="99"/>
  <c r="O131" i="99"/>
  <c r="M131" i="99"/>
  <c r="J131" i="99"/>
  <c r="O130" i="99"/>
  <c r="M130" i="99"/>
  <c r="O129" i="99"/>
  <c r="M129" i="99"/>
  <c r="O128" i="99"/>
  <c r="M128" i="99"/>
  <c r="O127" i="99"/>
  <c r="M127" i="99"/>
  <c r="O126" i="99"/>
  <c r="M126" i="99"/>
  <c r="O125" i="99"/>
  <c r="M125" i="99"/>
  <c r="O124" i="99"/>
  <c r="M124" i="99"/>
  <c r="O123" i="99"/>
  <c r="M123" i="99"/>
  <c r="O122" i="99"/>
  <c r="M122" i="99"/>
  <c r="O121" i="99"/>
  <c r="M121" i="99"/>
  <c r="O120" i="99"/>
  <c r="M120" i="99"/>
  <c r="O119" i="99"/>
  <c r="M119" i="99"/>
  <c r="O118" i="99"/>
  <c r="M118" i="99"/>
  <c r="O117" i="99"/>
  <c r="M117" i="99"/>
  <c r="O116" i="99"/>
  <c r="M116" i="99"/>
  <c r="O115" i="99"/>
  <c r="M115" i="99"/>
  <c r="O114" i="99"/>
  <c r="M114" i="99"/>
  <c r="O113" i="99"/>
  <c r="M113" i="99"/>
  <c r="O112" i="99"/>
  <c r="M112" i="99"/>
  <c r="O111" i="99"/>
  <c r="M111" i="99"/>
  <c r="O110" i="99"/>
  <c r="M110" i="99"/>
  <c r="O109" i="99"/>
  <c r="M109" i="99"/>
  <c r="O108" i="99"/>
  <c r="M108" i="99"/>
  <c r="O107" i="99"/>
  <c r="M107" i="99"/>
  <c r="O106" i="99"/>
  <c r="M106" i="99"/>
  <c r="O105" i="99"/>
  <c r="M105" i="99"/>
  <c r="O104" i="99"/>
  <c r="M104" i="99"/>
  <c r="O101" i="99"/>
  <c r="O100" i="99"/>
  <c r="D96" i="99"/>
  <c r="L93" i="99"/>
  <c r="J93" i="99"/>
  <c r="D93" i="99"/>
  <c r="D91" i="99"/>
  <c r="D89" i="99"/>
  <c r="N72" i="99"/>
  <c r="L72" i="99"/>
  <c r="N71" i="99"/>
  <c r="L71" i="99"/>
  <c r="N70" i="99"/>
  <c r="L70" i="99"/>
  <c r="N69" i="99"/>
  <c r="L69" i="99"/>
  <c r="N68" i="99"/>
  <c r="L68" i="99"/>
  <c r="N67" i="99"/>
  <c r="L67" i="99"/>
  <c r="N66" i="99"/>
  <c r="L66" i="99"/>
  <c r="N65" i="99"/>
  <c r="L65" i="99"/>
  <c r="N64" i="99"/>
  <c r="L64" i="99"/>
  <c r="N63" i="99"/>
  <c r="L63" i="99"/>
  <c r="N62" i="99"/>
  <c r="L62" i="99"/>
  <c r="N61" i="99"/>
  <c r="L61" i="99"/>
  <c r="N60" i="99"/>
  <c r="L60" i="99"/>
  <c r="N59" i="99"/>
  <c r="L59" i="99"/>
  <c r="N58" i="99"/>
  <c r="L58" i="99"/>
  <c r="N57" i="99"/>
  <c r="L57" i="99"/>
  <c r="N56" i="99"/>
  <c r="L56" i="99"/>
  <c r="N55" i="99"/>
  <c r="L55" i="99"/>
  <c r="N54" i="99"/>
  <c r="L54" i="99"/>
  <c r="N53" i="99"/>
  <c r="L53" i="99"/>
  <c r="N52" i="99"/>
  <c r="L52" i="99"/>
  <c r="N51" i="99"/>
  <c r="L51" i="99"/>
  <c r="N50" i="99"/>
  <c r="L50" i="99"/>
  <c r="N49" i="99"/>
  <c r="L49" i="99"/>
  <c r="N48" i="99"/>
  <c r="L48" i="99"/>
  <c r="N47" i="99"/>
  <c r="L47" i="99"/>
  <c r="N46" i="99"/>
  <c r="L46" i="99"/>
  <c r="N45" i="99"/>
  <c r="L45" i="99"/>
  <c r="N44" i="99"/>
  <c r="L44" i="99"/>
  <c r="N43" i="99"/>
  <c r="L43" i="99"/>
  <c r="N42" i="99"/>
  <c r="L42" i="99"/>
  <c r="N41" i="99"/>
  <c r="L41" i="99"/>
  <c r="N40" i="99"/>
  <c r="L40" i="99"/>
  <c r="N39" i="99"/>
  <c r="L39" i="99"/>
  <c r="N38" i="99"/>
  <c r="L38" i="99"/>
  <c r="N37" i="99"/>
  <c r="L37" i="99"/>
  <c r="N36" i="99"/>
  <c r="L36" i="99"/>
  <c r="N35" i="99"/>
  <c r="L35" i="99"/>
  <c r="N34" i="99"/>
  <c r="L34" i="99"/>
  <c r="N33" i="99"/>
  <c r="L33" i="99"/>
  <c r="N32" i="99"/>
  <c r="L32" i="99"/>
  <c r="N31" i="99"/>
  <c r="L31" i="99"/>
  <c r="N30" i="99"/>
  <c r="L30" i="99"/>
  <c r="N29" i="99"/>
  <c r="L29" i="99"/>
  <c r="N28" i="99"/>
  <c r="L28" i="99"/>
  <c r="N27" i="99"/>
  <c r="L27" i="99"/>
  <c r="N26" i="99"/>
  <c r="L26" i="99"/>
  <c r="N25" i="99"/>
  <c r="L25" i="99"/>
  <c r="N24" i="99"/>
  <c r="L24" i="99"/>
  <c r="N23" i="99"/>
  <c r="L23" i="99"/>
  <c r="N21" i="99"/>
  <c r="N20" i="99"/>
  <c r="N19" i="99"/>
  <c r="N18" i="99"/>
  <c r="N17" i="99"/>
  <c r="I17" i="99"/>
  <c r="C17" i="99"/>
  <c r="C18" i="99" s="1"/>
  <c r="C19" i="99" s="1"/>
  <c r="C20" i="99" s="1"/>
  <c r="C21" i="99" s="1"/>
  <c r="C22" i="99" s="1"/>
  <c r="C23" i="99" s="1"/>
  <c r="C24" i="99" s="1"/>
  <c r="C25" i="99" s="1"/>
  <c r="C26" i="99" s="1"/>
  <c r="C27" i="99" s="1"/>
  <c r="C28" i="99" s="1"/>
  <c r="C29" i="99" s="1"/>
  <c r="C30" i="99" s="1"/>
  <c r="C31" i="99" s="1"/>
  <c r="C32" i="99" s="1"/>
  <c r="C33" i="99" s="1"/>
  <c r="C34" i="99" s="1"/>
  <c r="C35" i="99" s="1"/>
  <c r="C36" i="99" s="1"/>
  <c r="C37" i="99" s="1"/>
  <c r="C38" i="99" s="1"/>
  <c r="C39" i="99" s="1"/>
  <c r="C40" i="99" s="1"/>
  <c r="C41" i="99" s="1"/>
  <c r="C42" i="99" s="1"/>
  <c r="C43" i="99" s="1"/>
  <c r="C44" i="99" s="1"/>
  <c r="K11" i="99"/>
  <c r="I11" i="99"/>
  <c r="D8" i="99"/>
  <c r="D90" i="99" s="1"/>
  <c r="D93" i="74"/>
  <c r="D27" i="100" l="1"/>
  <c r="E27" i="100"/>
  <c r="O23" i="99"/>
  <c r="O43" i="99"/>
  <c r="O49" i="99"/>
  <c r="O26" i="99"/>
  <c r="O28" i="99"/>
  <c r="O31" i="99"/>
  <c r="O30" i="99"/>
  <c r="O32" i="99"/>
  <c r="O34" i="99"/>
  <c r="O38" i="99"/>
  <c r="O44" i="99"/>
  <c r="O46" i="99"/>
  <c r="O48" i="99"/>
  <c r="O19" i="99"/>
  <c r="O53" i="99"/>
  <c r="O55" i="99"/>
  <c r="O57" i="99"/>
  <c r="O61" i="99"/>
  <c r="O65" i="99"/>
  <c r="O69" i="99"/>
  <c r="O71" i="99"/>
  <c r="P106" i="99"/>
  <c r="P108" i="99"/>
  <c r="P112" i="99"/>
  <c r="P116" i="99"/>
  <c r="P104" i="99"/>
  <c r="P113" i="99"/>
  <c r="P115" i="99"/>
  <c r="P100" i="99"/>
  <c r="O27" i="99"/>
  <c r="O58" i="99"/>
  <c r="O62" i="99"/>
  <c r="O18" i="99"/>
  <c r="O20" i="99"/>
  <c r="O37" i="99"/>
  <c r="O41" i="99"/>
  <c r="O45" i="99"/>
  <c r="O51" i="99"/>
  <c r="O25" i="99"/>
  <c r="O60" i="99"/>
  <c r="O64" i="99"/>
  <c r="O42" i="99"/>
  <c r="P101" i="99"/>
  <c r="P110" i="99"/>
  <c r="P117" i="99"/>
  <c r="P121" i="99"/>
  <c r="P123" i="99"/>
  <c r="P125" i="99"/>
  <c r="P127" i="99"/>
  <c r="P129" i="99"/>
  <c r="P105" i="99"/>
  <c r="P107" i="99"/>
  <c r="P114" i="99"/>
  <c r="P109" i="99"/>
  <c r="P111" i="99"/>
  <c r="P118" i="99"/>
  <c r="P122" i="99"/>
  <c r="P124" i="99"/>
  <c r="P126" i="99"/>
  <c r="P128" i="99"/>
  <c r="P130" i="99"/>
  <c r="O21" i="99"/>
  <c r="O24" i="99"/>
  <c r="O29" i="99"/>
  <c r="O36" i="99"/>
  <c r="O50" i="99"/>
  <c r="O52" i="99"/>
  <c r="O68" i="99"/>
  <c r="O33" i="99"/>
  <c r="O35" i="99"/>
  <c r="O40" i="99"/>
  <c r="O54" i="99"/>
  <c r="O56" i="99"/>
  <c r="O70" i="99"/>
  <c r="O72" i="99"/>
  <c r="O66" i="99"/>
  <c r="O39" i="99"/>
  <c r="O67" i="99"/>
  <c r="C45" i="99"/>
  <c r="C46" i="99" s="1"/>
  <c r="C47" i="99" s="1"/>
  <c r="C48" i="99" s="1"/>
  <c r="C49" i="99" s="1"/>
  <c r="C50" i="99" s="1"/>
  <c r="C51" i="99" s="1"/>
  <c r="C52" i="99" s="1"/>
  <c r="C53" i="99" s="1"/>
  <c r="C54" i="99" s="1"/>
  <c r="C55" i="99" s="1"/>
  <c r="C56" i="99" s="1"/>
  <c r="C57" i="99" s="1"/>
  <c r="C58" i="99" s="1"/>
  <c r="C59" i="99" s="1"/>
  <c r="C60" i="99" s="1"/>
  <c r="C61" i="99" s="1"/>
  <c r="C62" i="99" s="1"/>
  <c r="C63" i="99" s="1"/>
  <c r="C64" i="99" s="1"/>
  <c r="C65" i="99" s="1"/>
  <c r="C66" i="99" s="1"/>
  <c r="C67" i="99" s="1"/>
  <c r="C68" i="99" s="1"/>
  <c r="C69" i="99" s="1"/>
  <c r="C70" i="99" s="1"/>
  <c r="C71" i="99" s="1"/>
  <c r="C72" i="99" s="1"/>
  <c r="O17" i="99"/>
  <c r="O47" i="99"/>
  <c r="O59" i="99"/>
  <c r="B18" i="99"/>
  <c r="O63" i="99"/>
  <c r="C99" i="99"/>
  <c r="P119" i="99"/>
  <c r="P120" i="99"/>
  <c r="M18" i="96"/>
  <c r="K18" i="96"/>
  <c r="L18" i="96" s="1"/>
  <c r="M18" i="95"/>
  <c r="K18" i="95"/>
  <c r="L18" i="95" s="1"/>
  <c r="M18" i="94"/>
  <c r="K18" i="94"/>
  <c r="L18" i="94" s="1"/>
  <c r="M18" i="93"/>
  <c r="K18" i="93"/>
  <c r="L18" i="93" s="1"/>
  <c r="M19" i="92"/>
  <c r="K19" i="92"/>
  <c r="L19" i="92" s="1"/>
  <c r="M19" i="91"/>
  <c r="K19" i="91"/>
  <c r="L19" i="91" s="1"/>
  <c r="M19" i="90"/>
  <c r="K19" i="90"/>
  <c r="L19" i="90" s="1"/>
  <c r="M19" i="89"/>
  <c r="K19" i="89"/>
  <c r="L19" i="89" s="1"/>
  <c r="M19" i="88"/>
  <c r="K19" i="88"/>
  <c r="L19" i="88" s="1"/>
  <c r="M19" i="87"/>
  <c r="K19" i="87"/>
  <c r="L19" i="87" s="1"/>
  <c r="M19" i="86"/>
  <c r="K19" i="86"/>
  <c r="L19" i="86" s="1"/>
  <c r="M20" i="85"/>
  <c r="K20" i="85"/>
  <c r="L20" i="85" s="1"/>
  <c r="M20" i="84"/>
  <c r="K20" i="84"/>
  <c r="L20" i="84" s="1"/>
  <c r="M20" i="83"/>
  <c r="K20" i="83"/>
  <c r="L20" i="83" s="1"/>
  <c r="M20" i="82"/>
  <c r="K20" i="82"/>
  <c r="L20" i="82" s="1"/>
  <c r="M20" i="81"/>
  <c r="K20" i="81"/>
  <c r="L20" i="81" s="1"/>
  <c r="M20" i="80"/>
  <c r="K20" i="80"/>
  <c r="L20" i="80" s="1"/>
  <c r="M21" i="79"/>
  <c r="K21" i="79"/>
  <c r="L21" i="79" s="1"/>
  <c r="M21" i="78"/>
  <c r="K21" i="78"/>
  <c r="L21" i="78" s="1"/>
  <c r="M21" i="77"/>
  <c r="K21" i="77"/>
  <c r="L21" i="77" s="1"/>
  <c r="M21" i="76"/>
  <c r="K21" i="76"/>
  <c r="L21" i="76" s="1"/>
  <c r="M21" i="75"/>
  <c r="K21" i="75"/>
  <c r="L21" i="75" s="1"/>
  <c r="M25" i="74"/>
  <c r="K25" i="74"/>
  <c r="L25" i="74" s="1"/>
  <c r="M26" i="73"/>
  <c r="K26" i="73"/>
  <c r="L26" i="73" s="1"/>
  <c r="M24" i="72"/>
  <c r="K24" i="72"/>
  <c r="L24" i="72" s="1"/>
  <c r="M28" i="71"/>
  <c r="K28" i="71"/>
  <c r="L28" i="71" s="1"/>
  <c r="M29" i="70"/>
  <c r="K29" i="70"/>
  <c r="L29" i="70" s="1"/>
  <c r="M29" i="69"/>
  <c r="K29" i="69"/>
  <c r="L29" i="69" s="1"/>
  <c r="M22" i="68"/>
  <c r="K22" i="68"/>
  <c r="L22" i="68" s="1"/>
  <c r="M22" i="67"/>
  <c r="K22" i="67"/>
  <c r="L22" i="67" s="1"/>
  <c r="M22" i="66"/>
  <c r="K22" i="66"/>
  <c r="L22" i="66" s="1"/>
  <c r="M22" i="65"/>
  <c r="K22" i="65"/>
  <c r="L22" i="65" s="1"/>
  <c r="M23" i="64"/>
  <c r="K23" i="64"/>
  <c r="L23" i="64" s="1"/>
  <c r="M23" i="60"/>
  <c r="K23" i="60"/>
  <c r="L23" i="60" s="1"/>
  <c r="M23" i="62"/>
  <c r="K23" i="62"/>
  <c r="L23" i="62" s="1"/>
  <c r="M23" i="63"/>
  <c r="K23" i="63"/>
  <c r="L23" i="63" s="1"/>
  <c r="M23" i="61"/>
  <c r="K23" i="61"/>
  <c r="L23" i="61" s="1"/>
  <c r="M23" i="59"/>
  <c r="K23" i="59"/>
  <c r="L23" i="59" s="1"/>
  <c r="M24" i="58"/>
  <c r="K24" i="58"/>
  <c r="L24" i="58" s="1"/>
  <c r="M24" i="57"/>
  <c r="K24" i="57"/>
  <c r="L24" i="57" s="1"/>
  <c r="M24" i="56"/>
  <c r="K24" i="56"/>
  <c r="L24" i="56" s="1"/>
  <c r="M24" i="55"/>
  <c r="K24" i="55"/>
  <c r="L24" i="55" s="1"/>
  <c r="M24" i="54"/>
  <c r="K24" i="54"/>
  <c r="L24" i="54" s="1"/>
  <c r="M24" i="53"/>
  <c r="K24" i="53"/>
  <c r="L24" i="53" s="1"/>
  <c r="M24" i="46"/>
  <c r="K24" i="46"/>
  <c r="L24" i="46" s="1"/>
  <c r="M25" i="45"/>
  <c r="K25" i="45"/>
  <c r="L25" i="45" s="1"/>
  <c r="M26" i="44"/>
  <c r="K26" i="44"/>
  <c r="L26" i="44" s="1"/>
  <c r="M26" i="43"/>
  <c r="K26" i="43"/>
  <c r="L26" i="43" s="1"/>
  <c r="M26" i="42"/>
  <c r="K26" i="42"/>
  <c r="L26" i="42" s="1"/>
  <c r="L1048576" i="42"/>
  <c r="M1048576" i="42" s="1"/>
  <c r="M26" i="41"/>
  <c r="K26" i="41"/>
  <c r="L26" i="41" s="1"/>
  <c r="M26" i="39"/>
  <c r="K26" i="39"/>
  <c r="L26" i="39" s="1"/>
  <c r="M28" i="34"/>
  <c r="K28" i="34"/>
  <c r="L28" i="34" s="1"/>
  <c r="M28" i="32"/>
  <c r="K28" i="32"/>
  <c r="L28" i="32" s="1"/>
  <c r="M28" i="31"/>
  <c r="K28" i="31"/>
  <c r="L28" i="31" s="1"/>
  <c r="M29" i="30"/>
  <c r="K29" i="30"/>
  <c r="L29" i="30" s="1"/>
  <c r="M29" i="29"/>
  <c r="N29" i="29" s="1"/>
  <c r="K29" i="29"/>
  <c r="L29" i="29" s="1"/>
  <c r="M30" i="28"/>
  <c r="K30" i="28"/>
  <c r="L30" i="28" s="1"/>
  <c r="M29" i="27"/>
  <c r="K29" i="27"/>
  <c r="L29" i="27" s="1"/>
  <c r="M28" i="24"/>
  <c r="K28" i="24"/>
  <c r="L28" i="24" s="1"/>
  <c r="M28" i="23"/>
  <c r="K28" i="23"/>
  <c r="L28" i="23" s="1"/>
  <c r="M27" i="22"/>
  <c r="K27" i="22"/>
  <c r="L27" i="22" s="1"/>
  <c r="M27" i="21"/>
  <c r="K27" i="21"/>
  <c r="L27" i="21" s="1"/>
  <c r="M27" i="20"/>
  <c r="K27" i="20"/>
  <c r="L27" i="20" s="1"/>
  <c r="M27" i="19"/>
  <c r="K27" i="19"/>
  <c r="L27" i="19" s="1"/>
  <c r="M27" i="18"/>
  <c r="K27" i="18"/>
  <c r="L27" i="18" s="1"/>
  <c r="M27" i="17"/>
  <c r="K27" i="17"/>
  <c r="L27" i="17" s="1"/>
  <c r="M27" i="3"/>
  <c r="K27" i="3"/>
  <c r="L27" i="3" s="1"/>
  <c r="M16" i="2"/>
  <c r="D94" i="97"/>
  <c r="D93" i="98"/>
  <c r="D93" i="97"/>
  <c r="N99" i="96"/>
  <c r="L99" i="96"/>
  <c r="M99" i="96" s="1"/>
  <c r="N99" i="95"/>
  <c r="L99" i="95"/>
  <c r="M99" i="95" s="1"/>
  <c r="N99" i="94"/>
  <c r="L99" i="94"/>
  <c r="M99" i="94" s="1"/>
  <c r="N99" i="93"/>
  <c r="L99" i="93"/>
  <c r="M99" i="93" s="1"/>
  <c r="N100" i="92"/>
  <c r="L100" i="92"/>
  <c r="M100" i="92" s="1"/>
  <c r="N100" i="91"/>
  <c r="L100" i="91"/>
  <c r="M100" i="91" s="1"/>
  <c r="N100" i="90"/>
  <c r="L100" i="90"/>
  <c r="M100" i="90" s="1"/>
  <c r="N100" i="89"/>
  <c r="L100" i="89"/>
  <c r="M100" i="89" s="1"/>
  <c r="N100" i="88"/>
  <c r="L100" i="88"/>
  <c r="M100" i="88" s="1"/>
  <c r="N100" i="87"/>
  <c r="L100" i="87"/>
  <c r="M100" i="87" s="1"/>
  <c r="N100" i="86"/>
  <c r="L100" i="86"/>
  <c r="M100" i="86" s="1"/>
  <c r="N101" i="85"/>
  <c r="L101" i="85"/>
  <c r="M101" i="85" s="1"/>
  <c r="N100" i="84"/>
  <c r="O100" i="84" s="1"/>
  <c r="L100" i="84"/>
  <c r="M100" i="84" s="1"/>
  <c r="N101" i="83"/>
  <c r="L101" i="83"/>
  <c r="M101" i="83" s="1"/>
  <c r="N101" i="82"/>
  <c r="O101" i="82" s="1"/>
  <c r="L101" i="82"/>
  <c r="M101" i="82" s="1"/>
  <c r="N101" i="81"/>
  <c r="O101" i="81" s="1"/>
  <c r="L101" i="81"/>
  <c r="M101" i="81" s="1"/>
  <c r="N101" i="80"/>
  <c r="O101" i="80" s="1"/>
  <c r="L101" i="80"/>
  <c r="M101" i="80" s="1"/>
  <c r="N102" i="79"/>
  <c r="O102" i="79" s="1"/>
  <c r="L102" i="79"/>
  <c r="M102" i="79" s="1"/>
  <c r="N102" i="78"/>
  <c r="O102" i="78" s="1"/>
  <c r="L102" i="78"/>
  <c r="M102" i="78" s="1"/>
  <c r="N102" i="77"/>
  <c r="O102" i="77" s="1"/>
  <c r="L102" i="77"/>
  <c r="M102" i="77" s="1"/>
  <c r="N102" i="76"/>
  <c r="O102" i="76" s="1"/>
  <c r="L102" i="76"/>
  <c r="M102" i="76" s="1"/>
  <c r="N102" i="75"/>
  <c r="O102" i="75" s="1"/>
  <c r="L102" i="75"/>
  <c r="M102" i="75" s="1"/>
  <c r="N106" i="74"/>
  <c r="O106" i="74" s="1"/>
  <c r="L106" i="74"/>
  <c r="M106" i="74" s="1"/>
  <c r="N107" i="73"/>
  <c r="O107" i="73" s="1"/>
  <c r="L107" i="73"/>
  <c r="M107" i="73" s="1"/>
  <c r="N105" i="72"/>
  <c r="O105" i="72" s="1"/>
  <c r="L105" i="72"/>
  <c r="M105" i="72" s="1"/>
  <c r="N109" i="71"/>
  <c r="O109" i="71" s="1"/>
  <c r="L109" i="71"/>
  <c r="M109" i="71" s="1"/>
  <c r="N110" i="70"/>
  <c r="O110" i="70" s="1"/>
  <c r="L110" i="70"/>
  <c r="M110" i="70" s="1"/>
  <c r="N110" i="69"/>
  <c r="O110" i="69" s="1"/>
  <c r="L110" i="69"/>
  <c r="M110" i="69" s="1"/>
  <c r="N103" i="68"/>
  <c r="O103" i="68" s="1"/>
  <c r="L103" i="68"/>
  <c r="M103" i="68" s="1"/>
  <c r="N103" i="67"/>
  <c r="L103" i="67"/>
  <c r="M103" i="67" s="1"/>
  <c r="N103" i="66"/>
  <c r="O103" i="66" s="1"/>
  <c r="L103" i="66"/>
  <c r="M103" i="66" s="1"/>
  <c r="N103" i="65"/>
  <c r="O103" i="65" s="1"/>
  <c r="L103" i="65"/>
  <c r="M103" i="65" s="1"/>
  <c r="N104" i="64"/>
  <c r="L104" i="64"/>
  <c r="M104" i="64" s="1"/>
  <c r="N104" i="60"/>
  <c r="L104" i="60"/>
  <c r="M104" i="60" s="1"/>
  <c r="N104" i="62"/>
  <c r="L104" i="62"/>
  <c r="M104" i="62" s="1"/>
  <c r="N104" i="63"/>
  <c r="L104" i="63"/>
  <c r="M104" i="63" s="1"/>
  <c r="N104" i="61"/>
  <c r="L104" i="61"/>
  <c r="M104" i="61" s="1"/>
  <c r="N104" i="59"/>
  <c r="L104" i="59"/>
  <c r="M104" i="59" s="1"/>
  <c r="N105" i="58"/>
  <c r="L105" i="58"/>
  <c r="M105" i="58" s="1"/>
  <c r="N105" i="57"/>
  <c r="L105" i="57"/>
  <c r="M105" i="57" s="1"/>
  <c r="N105" i="56"/>
  <c r="L105" i="56"/>
  <c r="M105" i="56" s="1"/>
  <c r="N105" i="55"/>
  <c r="L105" i="55"/>
  <c r="M105" i="55" s="1"/>
  <c r="N105" i="54"/>
  <c r="L105" i="54"/>
  <c r="M105" i="54" s="1"/>
  <c r="N105" i="53"/>
  <c r="L105" i="53"/>
  <c r="M105" i="53" s="1"/>
  <c r="N105" i="46"/>
  <c r="L105" i="46"/>
  <c r="M105" i="46" s="1"/>
  <c r="N106" i="45"/>
  <c r="L106" i="45"/>
  <c r="M106" i="45" s="1"/>
  <c r="N107" i="44"/>
  <c r="L107" i="44"/>
  <c r="M107" i="44" s="1"/>
  <c r="N107" i="43"/>
  <c r="L107" i="43"/>
  <c r="M107" i="43" s="1"/>
  <c r="N107" i="42"/>
  <c r="L107" i="42"/>
  <c r="M107" i="42" s="1"/>
  <c r="N1048576" i="42"/>
  <c r="N107" i="41"/>
  <c r="L107" i="41"/>
  <c r="M107" i="41" s="1"/>
  <c r="N107" i="39"/>
  <c r="L107" i="39"/>
  <c r="M107" i="39" s="1"/>
  <c r="N109" i="34"/>
  <c r="O109" i="34" s="1"/>
  <c r="L109" i="34"/>
  <c r="M109" i="34" s="1"/>
  <c r="N109" i="32"/>
  <c r="O109" i="32" s="1"/>
  <c r="L109" i="32"/>
  <c r="M109" i="32" s="1"/>
  <c r="N109" i="31"/>
  <c r="O109" i="31" s="1"/>
  <c r="L109" i="31"/>
  <c r="M109" i="31" s="1"/>
  <c r="N110" i="30"/>
  <c r="O110" i="30" s="1"/>
  <c r="L110" i="30"/>
  <c r="M110" i="30" s="1"/>
  <c r="N110" i="29"/>
  <c r="O110" i="29" s="1"/>
  <c r="L110" i="29"/>
  <c r="M110" i="29" s="1"/>
  <c r="N111" i="28"/>
  <c r="O111" i="28" s="1"/>
  <c r="L111" i="28"/>
  <c r="M111" i="28" s="1"/>
  <c r="N110" i="27"/>
  <c r="O110" i="27" s="1"/>
  <c r="L110" i="27"/>
  <c r="M110" i="27" s="1"/>
  <c r="N109" i="24"/>
  <c r="O109" i="24" s="1"/>
  <c r="L109" i="24"/>
  <c r="M109" i="24" s="1"/>
  <c r="N109" i="23"/>
  <c r="O109" i="23" s="1"/>
  <c r="L109" i="23"/>
  <c r="M109" i="23" s="1"/>
  <c r="N108" i="22"/>
  <c r="O108" i="22" s="1"/>
  <c r="L108" i="22"/>
  <c r="M108" i="22" s="1"/>
  <c r="N108" i="21"/>
  <c r="O108" i="21" s="1"/>
  <c r="L108" i="21"/>
  <c r="M108" i="21" s="1"/>
  <c r="N108" i="20"/>
  <c r="O108" i="20" s="1"/>
  <c r="L108" i="20"/>
  <c r="M108" i="20" s="1"/>
  <c r="N108" i="19"/>
  <c r="O108" i="19" s="1"/>
  <c r="L108" i="19"/>
  <c r="M108" i="19" s="1"/>
  <c r="N108" i="18"/>
  <c r="O108" i="18" s="1"/>
  <c r="L108" i="18"/>
  <c r="M108" i="18" s="1"/>
  <c r="N108" i="17"/>
  <c r="O108" i="17" s="1"/>
  <c r="L108" i="17"/>
  <c r="M108" i="17" s="1"/>
  <c r="N108" i="3"/>
  <c r="O108" i="3" s="1"/>
  <c r="L108" i="3"/>
  <c r="M108" i="3" s="1"/>
  <c r="P90" i="36"/>
  <c r="P89" i="36"/>
  <c r="J92" i="99" l="1"/>
  <c r="M87" i="99" s="1"/>
  <c r="J92" i="102"/>
  <c r="L86" i="102" s="1"/>
  <c r="J92" i="100"/>
  <c r="J92" i="101"/>
  <c r="F27" i="100"/>
  <c r="B27" i="100"/>
  <c r="P108" i="19"/>
  <c r="P103" i="65"/>
  <c r="P100" i="84"/>
  <c r="P109" i="71"/>
  <c r="P101" i="82"/>
  <c r="P110" i="30"/>
  <c r="P102" i="75"/>
  <c r="P109" i="23"/>
  <c r="P110" i="29"/>
  <c r="P109" i="34"/>
  <c r="P110" i="27"/>
  <c r="P109" i="31"/>
  <c r="P103" i="68"/>
  <c r="P109" i="24"/>
  <c r="P108" i="17"/>
  <c r="P108" i="22"/>
  <c r="P111" i="28"/>
  <c r="P109" i="32"/>
  <c r="P103" i="66"/>
  <c r="P110" i="69"/>
  <c r="P108" i="18"/>
  <c r="C100" i="99"/>
  <c r="C101" i="99" s="1"/>
  <c r="C102" i="99" s="1"/>
  <c r="C103" i="99" s="1"/>
  <c r="C104" i="99" s="1"/>
  <c r="C105" i="99" s="1"/>
  <c r="C106" i="99" s="1"/>
  <c r="C107" i="99" s="1"/>
  <c r="C108" i="99" s="1"/>
  <c r="C109" i="99" s="1"/>
  <c r="C110" i="99" s="1"/>
  <c r="C111" i="99" s="1"/>
  <c r="C112" i="99" s="1"/>
  <c r="C113" i="99" s="1"/>
  <c r="C114" i="99" s="1"/>
  <c r="C115" i="99" s="1"/>
  <c r="C116" i="99" s="1"/>
  <c r="C117" i="99" s="1"/>
  <c r="C118" i="99" s="1"/>
  <c r="C119" i="99" s="1"/>
  <c r="C120" i="99" s="1"/>
  <c r="C121" i="99" s="1"/>
  <c r="C122" i="99" s="1"/>
  <c r="C123" i="99" s="1"/>
  <c r="C124" i="99" s="1"/>
  <c r="C125" i="99" s="1"/>
  <c r="C126" i="99" s="1"/>
  <c r="I17" i="97"/>
  <c r="L86" i="99" l="1"/>
  <c r="L86" i="101"/>
  <c r="M87" i="101"/>
  <c r="N87" i="101"/>
  <c r="N87" i="99"/>
  <c r="O87" i="99" s="1"/>
  <c r="N87" i="100"/>
  <c r="L86" i="100"/>
  <c r="M87" i="100"/>
  <c r="D28" i="100"/>
  <c r="E28" i="100" s="1"/>
  <c r="C127" i="99"/>
  <c r="C128" i="99" s="1"/>
  <c r="C129" i="99" s="1"/>
  <c r="C130" i="99" s="1"/>
  <c r="C131" i="99" s="1"/>
  <c r="C132" i="99" s="1"/>
  <c r="C133" i="99" s="1"/>
  <c r="C134" i="99" s="1"/>
  <c r="C135" i="99" s="1"/>
  <c r="C136" i="99" s="1"/>
  <c r="C137" i="99" s="1"/>
  <c r="C138" i="99" s="1"/>
  <c r="C139" i="99" s="1"/>
  <c r="C140" i="99" s="1"/>
  <c r="C141" i="99" s="1"/>
  <c r="C142" i="99" s="1"/>
  <c r="C143" i="99" s="1"/>
  <c r="C144" i="99" s="1"/>
  <c r="C145" i="99" s="1"/>
  <c r="C146" i="99" s="1"/>
  <c r="C147" i="99" s="1"/>
  <c r="C148" i="99" s="1"/>
  <c r="C149" i="99" s="1"/>
  <c r="C150" i="99" s="1"/>
  <c r="C151" i="99" s="1"/>
  <c r="C152" i="99" s="1"/>
  <c r="C153" i="99" s="1"/>
  <c r="C154" i="99" s="1"/>
  <c r="P154" i="98"/>
  <c r="O154" i="98"/>
  <c r="M154" i="98"/>
  <c r="J154" i="98"/>
  <c r="P153" i="98"/>
  <c r="O153" i="98"/>
  <c r="M153" i="98"/>
  <c r="J153" i="98"/>
  <c r="P152" i="98"/>
  <c r="O152" i="98"/>
  <c r="M152" i="98"/>
  <c r="J152" i="98"/>
  <c r="P151" i="98"/>
  <c r="O151" i="98"/>
  <c r="M151" i="98"/>
  <c r="J151" i="98"/>
  <c r="P150" i="98"/>
  <c r="O150" i="98"/>
  <c r="M150" i="98"/>
  <c r="J150" i="98"/>
  <c r="P149" i="98"/>
  <c r="O149" i="98"/>
  <c r="M149" i="98"/>
  <c r="J149" i="98"/>
  <c r="P148" i="98"/>
  <c r="O148" i="98"/>
  <c r="M148" i="98"/>
  <c r="J148" i="98"/>
  <c r="P147" i="98"/>
  <c r="O147" i="98"/>
  <c r="M147" i="98"/>
  <c r="J147" i="98"/>
  <c r="P146" i="98"/>
  <c r="O146" i="98"/>
  <c r="M146" i="98"/>
  <c r="J146" i="98"/>
  <c r="P145" i="98"/>
  <c r="O145" i="98"/>
  <c r="M145" i="98"/>
  <c r="J145" i="98"/>
  <c r="P144" i="98"/>
  <c r="O144" i="98"/>
  <c r="M144" i="98"/>
  <c r="J144" i="98"/>
  <c r="P143" i="98"/>
  <c r="O143" i="98"/>
  <c r="M143" i="98"/>
  <c r="J143" i="98"/>
  <c r="P142" i="98"/>
  <c r="O142" i="98"/>
  <c r="M142" i="98"/>
  <c r="J142" i="98"/>
  <c r="P141" i="98"/>
  <c r="O141" i="98"/>
  <c r="M141" i="98"/>
  <c r="J141" i="98"/>
  <c r="P140" i="98"/>
  <c r="O140" i="98"/>
  <c r="M140" i="98"/>
  <c r="J140" i="98"/>
  <c r="P139" i="98"/>
  <c r="O139" i="98"/>
  <c r="M139" i="98"/>
  <c r="J139" i="98"/>
  <c r="P138" i="98"/>
  <c r="O138" i="98"/>
  <c r="M138" i="98"/>
  <c r="J138" i="98"/>
  <c r="P137" i="98"/>
  <c r="O137" i="98"/>
  <c r="M137" i="98"/>
  <c r="J137" i="98"/>
  <c r="P136" i="98"/>
  <c r="O136" i="98"/>
  <c r="M136" i="98"/>
  <c r="J136" i="98"/>
  <c r="P135" i="98"/>
  <c r="O135" i="98"/>
  <c r="M135" i="98"/>
  <c r="J135" i="98"/>
  <c r="P134" i="98"/>
  <c r="O134" i="98"/>
  <c r="M134" i="98"/>
  <c r="J134" i="98"/>
  <c r="P133" i="98"/>
  <c r="O133" i="98"/>
  <c r="M133" i="98"/>
  <c r="J133" i="98"/>
  <c r="P132" i="98"/>
  <c r="O132" i="98"/>
  <c r="M132" i="98"/>
  <c r="J132" i="98"/>
  <c r="P131" i="98"/>
  <c r="O131" i="98"/>
  <c r="M131" i="98"/>
  <c r="J131" i="98"/>
  <c r="O130" i="98"/>
  <c r="M130" i="98"/>
  <c r="O129" i="98"/>
  <c r="M129" i="98"/>
  <c r="O128" i="98"/>
  <c r="M128" i="98"/>
  <c r="O127" i="98"/>
  <c r="M127" i="98"/>
  <c r="O126" i="98"/>
  <c r="M126" i="98"/>
  <c r="O125" i="98"/>
  <c r="M125" i="98"/>
  <c r="O124" i="98"/>
  <c r="M124" i="98"/>
  <c r="O123" i="98"/>
  <c r="M123" i="98"/>
  <c r="O122" i="98"/>
  <c r="M122" i="98"/>
  <c r="O121" i="98"/>
  <c r="M121" i="98"/>
  <c r="O120" i="98"/>
  <c r="M120" i="98"/>
  <c r="O119" i="98"/>
  <c r="M119" i="98"/>
  <c r="O118" i="98"/>
  <c r="M118" i="98"/>
  <c r="O117" i="98"/>
  <c r="M117" i="98"/>
  <c r="O116" i="98"/>
  <c r="M116" i="98"/>
  <c r="O115" i="98"/>
  <c r="M115" i="98"/>
  <c r="O114" i="98"/>
  <c r="M114" i="98"/>
  <c r="O113" i="98"/>
  <c r="M113" i="98"/>
  <c r="O112" i="98"/>
  <c r="M112" i="98"/>
  <c r="O111" i="98"/>
  <c r="M111" i="98"/>
  <c r="O110" i="98"/>
  <c r="M110" i="98"/>
  <c r="O109" i="98"/>
  <c r="M109" i="98"/>
  <c r="O108" i="98"/>
  <c r="M108" i="98"/>
  <c r="O107" i="98"/>
  <c r="M107" i="98"/>
  <c r="O106" i="98"/>
  <c r="M106" i="98"/>
  <c r="O105" i="98"/>
  <c r="M105" i="98"/>
  <c r="O104" i="98"/>
  <c r="M104" i="98"/>
  <c r="O101" i="98"/>
  <c r="O100" i="98"/>
  <c r="C99" i="98"/>
  <c r="C100" i="98" s="1"/>
  <c r="C101" i="98" s="1"/>
  <c r="C102" i="98" s="1"/>
  <c r="C103" i="98" s="1"/>
  <c r="C104" i="98" s="1"/>
  <c r="C105" i="98" s="1"/>
  <c r="C106" i="98" s="1"/>
  <c r="C107" i="98" s="1"/>
  <c r="C108" i="98" s="1"/>
  <c r="C109" i="98" s="1"/>
  <c r="C110" i="98" s="1"/>
  <c r="C111" i="98" s="1"/>
  <c r="C112" i="98" s="1"/>
  <c r="C113" i="98" s="1"/>
  <c r="C114" i="98" s="1"/>
  <c r="C115" i="98" s="1"/>
  <c r="C116" i="98" s="1"/>
  <c r="C117" i="98" s="1"/>
  <c r="C118" i="98" s="1"/>
  <c r="C119" i="98" s="1"/>
  <c r="C120" i="98" s="1"/>
  <c r="C121" i="98" s="1"/>
  <c r="C122" i="98" s="1"/>
  <c r="C123" i="98" s="1"/>
  <c r="C124" i="98" s="1"/>
  <c r="C125" i="98" s="1"/>
  <c r="C126" i="98" s="1"/>
  <c r="D96" i="98"/>
  <c r="L93" i="98"/>
  <c r="J93" i="98"/>
  <c r="J92" i="98"/>
  <c r="L86" i="98" s="1"/>
  <c r="D91" i="98"/>
  <c r="D89" i="98"/>
  <c r="N72" i="98"/>
  <c r="L72" i="98"/>
  <c r="N71" i="98"/>
  <c r="L71" i="98"/>
  <c r="N70" i="98"/>
  <c r="L70" i="98"/>
  <c r="N69" i="98"/>
  <c r="L69" i="98"/>
  <c r="N68" i="98"/>
  <c r="L68" i="98"/>
  <c r="N67" i="98"/>
  <c r="L67" i="98"/>
  <c r="N66" i="98"/>
  <c r="L66" i="98"/>
  <c r="N65" i="98"/>
  <c r="L65" i="98"/>
  <c r="N64" i="98"/>
  <c r="L64" i="98"/>
  <c r="N63" i="98"/>
  <c r="L63" i="98"/>
  <c r="N62" i="98"/>
  <c r="L62" i="98"/>
  <c r="N61" i="98"/>
  <c r="L61" i="98"/>
  <c r="N60" i="98"/>
  <c r="L60" i="98"/>
  <c r="N59" i="98"/>
  <c r="L59" i="98"/>
  <c r="N58" i="98"/>
  <c r="L58" i="98"/>
  <c r="N57" i="98"/>
  <c r="L57" i="98"/>
  <c r="N56" i="98"/>
  <c r="L56" i="98"/>
  <c r="N55" i="98"/>
  <c r="L55" i="98"/>
  <c r="N54" i="98"/>
  <c r="L54" i="98"/>
  <c r="N53" i="98"/>
  <c r="L53" i="98"/>
  <c r="N52" i="98"/>
  <c r="L52" i="98"/>
  <c r="N51" i="98"/>
  <c r="L51" i="98"/>
  <c r="N50" i="98"/>
  <c r="L50" i="98"/>
  <c r="N49" i="98"/>
  <c r="L49" i="98"/>
  <c r="N48" i="98"/>
  <c r="L48" i="98"/>
  <c r="N47" i="98"/>
  <c r="L47" i="98"/>
  <c r="N46" i="98"/>
  <c r="L46" i="98"/>
  <c r="N45" i="98"/>
  <c r="L45" i="98"/>
  <c r="N44" i="98"/>
  <c r="L44" i="98"/>
  <c r="N43" i="98"/>
  <c r="L43" i="98"/>
  <c r="N42" i="98"/>
  <c r="L42" i="98"/>
  <c r="N41" i="98"/>
  <c r="L41" i="98"/>
  <c r="N40" i="98"/>
  <c r="L40" i="98"/>
  <c r="N39" i="98"/>
  <c r="L39" i="98"/>
  <c r="N38" i="98"/>
  <c r="L38" i="98"/>
  <c r="N37" i="98"/>
  <c r="L37" i="98"/>
  <c r="N36" i="98"/>
  <c r="L36" i="98"/>
  <c r="N35" i="98"/>
  <c r="L35" i="98"/>
  <c r="N34" i="98"/>
  <c r="L34" i="98"/>
  <c r="N33" i="98"/>
  <c r="L33" i="98"/>
  <c r="N32" i="98"/>
  <c r="L32" i="98"/>
  <c r="N31" i="98"/>
  <c r="L31" i="98"/>
  <c r="N30" i="98"/>
  <c r="L30" i="98"/>
  <c r="N29" i="98"/>
  <c r="L29" i="98"/>
  <c r="N28" i="98"/>
  <c r="L28" i="98"/>
  <c r="N27" i="98"/>
  <c r="L27" i="98"/>
  <c r="N26" i="98"/>
  <c r="L26" i="98"/>
  <c r="N25" i="98"/>
  <c r="L25" i="98"/>
  <c r="N24" i="98"/>
  <c r="L24" i="98"/>
  <c r="N23" i="98"/>
  <c r="L23" i="98"/>
  <c r="N21" i="98"/>
  <c r="N20" i="98"/>
  <c r="N19" i="98"/>
  <c r="N18" i="98"/>
  <c r="N17" i="98"/>
  <c r="I17" i="98"/>
  <c r="C17" i="98"/>
  <c r="C18" i="98" s="1"/>
  <c r="C19" i="98" s="1"/>
  <c r="C20" i="98" s="1"/>
  <c r="C21" i="98" s="1"/>
  <c r="C22" i="98" s="1"/>
  <c r="C23" i="98" s="1"/>
  <c r="C24" i="98" s="1"/>
  <c r="C25" i="98" s="1"/>
  <c r="C26" i="98" s="1"/>
  <c r="C27" i="98" s="1"/>
  <c r="C28" i="98" s="1"/>
  <c r="C29" i="98" s="1"/>
  <c r="C30" i="98" s="1"/>
  <c r="C31" i="98" s="1"/>
  <c r="C32" i="98" s="1"/>
  <c r="C33" i="98" s="1"/>
  <c r="C34" i="98" s="1"/>
  <c r="C35" i="98" s="1"/>
  <c r="C36" i="98" s="1"/>
  <c r="C37" i="98" s="1"/>
  <c r="C38" i="98" s="1"/>
  <c r="C39" i="98" s="1"/>
  <c r="C40" i="98" s="1"/>
  <c r="C41" i="98" s="1"/>
  <c r="C42" i="98" s="1"/>
  <c r="C43" i="98" s="1"/>
  <c r="C44" i="98" s="1"/>
  <c r="K11" i="98"/>
  <c r="I11" i="98"/>
  <c r="D8" i="98"/>
  <c r="D90" i="98" s="1"/>
  <c r="P83" i="98"/>
  <c r="P154" i="97"/>
  <c r="O154" i="97"/>
  <c r="M154" i="97"/>
  <c r="J154" i="97"/>
  <c r="P153" i="97"/>
  <c r="O153" i="97"/>
  <c r="M153" i="97"/>
  <c r="J153" i="97"/>
  <c r="P152" i="97"/>
  <c r="O152" i="97"/>
  <c r="M152" i="97"/>
  <c r="J152" i="97"/>
  <c r="P151" i="97"/>
  <c r="O151" i="97"/>
  <c r="M151" i="97"/>
  <c r="J151" i="97"/>
  <c r="P150" i="97"/>
  <c r="O150" i="97"/>
  <c r="M150" i="97"/>
  <c r="J150" i="97"/>
  <c r="P149" i="97"/>
  <c r="O149" i="97"/>
  <c r="M149" i="97"/>
  <c r="J149" i="97"/>
  <c r="P148" i="97"/>
  <c r="O148" i="97"/>
  <c r="M148" i="97"/>
  <c r="J148" i="97"/>
  <c r="P147" i="97"/>
  <c r="O147" i="97"/>
  <c r="M147" i="97"/>
  <c r="J147" i="97"/>
  <c r="P146" i="97"/>
  <c r="O146" i="97"/>
  <c r="M146" i="97"/>
  <c r="J146" i="97"/>
  <c r="P145" i="97"/>
  <c r="O145" i="97"/>
  <c r="M145" i="97"/>
  <c r="J145" i="97"/>
  <c r="P144" i="97"/>
  <c r="O144" i="97"/>
  <c r="M144" i="97"/>
  <c r="J144" i="97"/>
  <c r="P143" i="97"/>
  <c r="O143" i="97"/>
  <c r="M143" i="97"/>
  <c r="J143" i="97"/>
  <c r="P142" i="97"/>
  <c r="O142" i="97"/>
  <c r="M142" i="97"/>
  <c r="J142" i="97"/>
  <c r="P141" i="97"/>
  <c r="O141" i="97"/>
  <c r="M141" i="97"/>
  <c r="J141" i="97"/>
  <c r="P140" i="97"/>
  <c r="O140" i="97"/>
  <c r="M140" i="97"/>
  <c r="J140" i="97"/>
  <c r="P139" i="97"/>
  <c r="O139" i="97"/>
  <c r="M139" i="97"/>
  <c r="J139" i="97"/>
  <c r="P138" i="97"/>
  <c r="O138" i="97"/>
  <c r="M138" i="97"/>
  <c r="J138" i="97"/>
  <c r="P137" i="97"/>
  <c r="O137" i="97"/>
  <c r="M137" i="97"/>
  <c r="J137" i="97"/>
  <c r="P136" i="97"/>
  <c r="O136" i="97"/>
  <c r="M136" i="97"/>
  <c r="J136" i="97"/>
  <c r="P135" i="97"/>
  <c r="O135" i="97"/>
  <c r="M135" i="97"/>
  <c r="J135" i="97"/>
  <c r="P134" i="97"/>
  <c r="O134" i="97"/>
  <c r="M134" i="97"/>
  <c r="J134" i="97"/>
  <c r="P133" i="97"/>
  <c r="O133" i="97"/>
  <c r="M133" i="97"/>
  <c r="J133" i="97"/>
  <c r="P132" i="97"/>
  <c r="O132" i="97"/>
  <c r="M132" i="97"/>
  <c r="J132" i="97"/>
  <c r="P131" i="97"/>
  <c r="O131" i="97"/>
  <c r="M131" i="97"/>
  <c r="J131" i="97"/>
  <c r="O130" i="97"/>
  <c r="M130" i="97"/>
  <c r="O129" i="97"/>
  <c r="M129" i="97"/>
  <c r="O128" i="97"/>
  <c r="M128" i="97"/>
  <c r="O127" i="97"/>
  <c r="M127" i="97"/>
  <c r="O126" i="97"/>
  <c r="M126" i="97"/>
  <c r="O125" i="97"/>
  <c r="M125" i="97"/>
  <c r="O124" i="97"/>
  <c r="M124" i="97"/>
  <c r="O123" i="97"/>
  <c r="M123" i="97"/>
  <c r="O122" i="97"/>
  <c r="M122" i="97"/>
  <c r="O121" i="97"/>
  <c r="M121" i="97"/>
  <c r="O120" i="97"/>
  <c r="M120" i="97"/>
  <c r="O119" i="97"/>
  <c r="M119" i="97"/>
  <c r="O118" i="97"/>
  <c r="M118" i="97"/>
  <c r="O117" i="97"/>
  <c r="M117" i="97"/>
  <c r="O116" i="97"/>
  <c r="M116" i="97"/>
  <c r="O115" i="97"/>
  <c r="M115" i="97"/>
  <c r="O114" i="97"/>
  <c r="M114" i="97"/>
  <c r="O113" i="97"/>
  <c r="M113" i="97"/>
  <c r="O112" i="97"/>
  <c r="M112" i="97"/>
  <c r="O111" i="97"/>
  <c r="M111" i="97"/>
  <c r="O110" i="97"/>
  <c r="M110" i="97"/>
  <c r="O109" i="97"/>
  <c r="M109" i="97"/>
  <c r="O108" i="97"/>
  <c r="M108" i="97"/>
  <c r="O107" i="97"/>
  <c r="M107" i="97"/>
  <c r="O106" i="97"/>
  <c r="M106" i="97"/>
  <c r="O105" i="97"/>
  <c r="M105" i="97"/>
  <c r="O104" i="97"/>
  <c r="M104" i="97"/>
  <c r="O101" i="97"/>
  <c r="O100" i="97"/>
  <c r="O99" i="97"/>
  <c r="C99" i="97"/>
  <c r="D96" i="97"/>
  <c r="L93" i="97"/>
  <c r="J93" i="97"/>
  <c r="J92" i="97"/>
  <c r="L86" i="97" s="1"/>
  <c r="D91" i="97"/>
  <c r="D89" i="97"/>
  <c r="N72" i="97"/>
  <c r="L72" i="97"/>
  <c r="N71" i="97"/>
  <c r="L71" i="97"/>
  <c r="N70" i="97"/>
  <c r="L70" i="97"/>
  <c r="N69" i="97"/>
  <c r="L69" i="97"/>
  <c r="N68" i="97"/>
  <c r="L68" i="97"/>
  <c r="N67" i="97"/>
  <c r="L67" i="97"/>
  <c r="N66" i="97"/>
  <c r="L66" i="97"/>
  <c r="N65" i="97"/>
  <c r="L65" i="97"/>
  <c r="N64" i="97"/>
  <c r="L64" i="97"/>
  <c r="N63" i="97"/>
  <c r="L63" i="97"/>
  <c r="N62" i="97"/>
  <c r="L62" i="97"/>
  <c r="N61" i="97"/>
  <c r="L61" i="97"/>
  <c r="N60" i="97"/>
  <c r="L60" i="97"/>
  <c r="N59" i="97"/>
  <c r="L59" i="97"/>
  <c r="N58" i="97"/>
  <c r="L58" i="97"/>
  <c r="N57" i="97"/>
  <c r="L57" i="97"/>
  <c r="N56" i="97"/>
  <c r="L56" i="97"/>
  <c r="N55" i="97"/>
  <c r="L55" i="97"/>
  <c r="N54" i="97"/>
  <c r="L54" i="97"/>
  <c r="N53" i="97"/>
  <c r="L53" i="97"/>
  <c r="N52" i="97"/>
  <c r="L52" i="97"/>
  <c r="N51" i="97"/>
  <c r="L51" i="97"/>
  <c r="N50" i="97"/>
  <c r="L50" i="97"/>
  <c r="N49" i="97"/>
  <c r="L49" i="97"/>
  <c r="N48" i="97"/>
  <c r="L48" i="97"/>
  <c r="N47" i="97"/>
  <c r="L47" i="97"/>
  <c r="N46" i="97"/>
  <c r="L46" i="97"/>
  <c r="N45" i="97"/>
  <c r="L45" i="97"/>
  <c r="N44" i="97"/>
  <c r="L44" i="97"/>
  <c r="N43" i="97"/>
  <c r="L43" i="97"/>
  <c r="N42" i="97"/>
  <c r="L42" i="97"/>
  <c r="N41" i="97"/>
  <c r="L41" i="97"/>
  <c r="N40" i="97"/>
  <c r="L40" i="97"/>
  <c r="N39" i="97"/>
  <c r="L39" i="97"/>
  <c r="N38" i="97"/>
  <c r="L38" i="97"/>
  <c r="N37" i="97"/>
  <c r="L37" i="97"/>
  <c r="N36" i="97"/>
  <c r="L36" i="97"/>
  <c r="N35" i="97"/>
  <c r="L35" i="97"/>
  <c r="N34" i="97"/>
  <c r="L34" i="97"/>
  <c r="N33" i="97"/>
  <c r="L33" i="97"/>
  <c r="N32" i="97"/>
  <c r="L32" i="97"/>
  <c r="N31" i="97"/>
  <c r="L31" i="97"/>
  <c r="N30" i="97"/>
  <c r="L30" i="97"/>
  <c r="N29" i="97"/>
  <c r="L29" i="97"/>
  <c r="N28" i="97"/>
  <c r="L28" i="97"/>
  <c r="N27" i="97"/>
  <c r="L27" i="97"/>
  <c r="N26" i="97"/>
  <c r="L26" i="97"/>
  <c r="N25" i="97"/>
  <c r="L25" i="97"/>
  <c r="N24" i="97"/>
  <c r="L24" i="97"/>
  <c r="N23" i="97"/>
  <c r="L23" i="97"/>
  <c r="N21" i="97"/>
  <c r="N20" i="97"/>
  <c r="N19" i="97"/>
  <c r="N17" i="97"/>
  <c r="C17" i="97"/>
  <c r="C18" i="97" s="1"/>
  <c r="C19" i="97" s="1"/>
  <c r="C20" i="97" s="1"/>
  <c r="C21" i="97" s="1"/>
  <c r="C22" i="97" s="1"/>
  <c r="C23" i="97" s="1"/>
  <c r="C24" i="97" s="1"/>
  <c r="C25" i="97" s="1"/>
  <c r="C26" i="97" s="1"/>
  <c r="C27" i="97" s="1"/>
  <c r="C28" i="97" s="1"/>
  <c r="C29" i="97" s="1"/>
  <c r="C30" i="97" s="1"/>
  <c r="C31" i="97" s="1"/>
  <c r="C32" i="97" s="1"/>
  <c r="C33" i="97" s="1"/>
  <c r="C34" i="97" s="1"/>
  <c r="C35" i="97" s="1"/>
  <c r="C36" i="97" s="1"/>
  <c r="C37" i="97" s="1"/>
  <c r="C38" i="97" s="1"/>
  <c r="C39" i="97" s="1"/>
  <c r="C40" i="97" s="1"/>
  <c r="C41" i="97" s="1"/>
  <c r="C42" i="97" s="1"/>
  <c r="C43" i="97" s="1"/>
  <c r="C44" i="97" s="1"/>
  <c r="K11" i="97"/>
  <c r="I11" i="97"/>
  <c r="D8" i="97"/>
  <c r="D90" i="97" s="1"/>
  <c r="P83" i="97"/>
  <c r="O87" i="100" l="1"/>
  <c r="O87" i="101"/>
  <c r="F28" i="100"/>
  <c r="B28" i="100"/>
  <c r="O71" i="98"/>
  <c r="P101" i="98"/>
  <c r="P105" i="98"/>
  <c r="B19" i="99"/>
  <c r="I18" i="99"/>
  <c r="O34" i="98"/>
  <c r="O52" i="98"/>
  <c r="O42" i="98"/>
  <c r="O23" i="98"/>
  <c r="O27" i="98"/>
  <c r="O58" i="98"/>
  <c r="O60" i="98"/>
  <c r="O68" i="98"/>
  <c r="O32" i="98"/>
  <c r="O39" i="98"/>
  <c r="O43" i="98"/>
  <c r="O45" i="98"/>
  <c r="O47" i="98"/>
  <c r="O23" i="97"/>
  <c r="O40" i="98"/>
  <c r="O51" i="98"/>
  <c r="O64" i="98"/>
  <c r="O20" i="98"/>
  <c r="O35" i="98"/>
  <c r="O46" i="98"/>
  <c r="O53" i="98"/>
  <c r="O55" i="98"/>
  <c r="O59" i="98"/>
  <c r="O72" i="98"/>
  <c r="O19" i="98"/>
  <c r="O30" i="98"/>
  <c r="O36" i="98"/>
  <c r="O50" i="98"/>
  <c r="O56" i="98"/>
  <c r="O61" i="98"/>
  <c r="O63" i="98"/>
  <c r="O67" i="98"/>
  <c r="O21" i="98"/>
  <c r="O24" i="98"/>
  <c r="O26" i="98"/>
  <c r="O28" i="98"/>
  <c r="O31" i="98"/>
  <c r="O48" i="98"/>
  <c r="O66" i="98"/>
  <c r="O69" i="98"/>
  <c r="O18" i="98"/>
  <c r="O25" i="98"/>
  <c r="O44" i="98"/>
  <c r="O48" i="97"/>
  <c r="O50" i="97"/>
  <c r="O56" i="97"/>
  <c r="O60" i="97"/>
  <c r="O64" i="97"/>
  <c r="O68" i="97"/>
  <c r="O25" i="97"/>
  <c r="O27" i="97"/>
  <c r="O31" i="97"/>
  <c r="O35" i="97"/>
  <c r="O39" i="97"/>
  <c r="O19" i="97"/>
  <c r="O72" i="97"/>
  <c r="O41" i="97"/>
  <c r="O43" i="97"/>
  <c r="O47" i="97"/>
  <c r="O61" i="97"/>
  <c r="O63" i="97"/>
  <c r="O17" i="97"/>
  <c r="O32" i="97"/>
  <c r="O34" i="97"/>
  <c r="O58" i="97"/>
  <c r="O62" i="97"/>
  <c r="O66" i="97"/>
  <c r="O71" i="97"/>
  <c r="O20" i="97"/>
  <c r="O29" i="97"/>
  <c r="O36" i="97"/>
  <c r="O38" i="97"/>
  <c r="O45" i="97"/>
  <c r="O65" i="97"/>
  <c r="O67" i="97"/>
  <c r="O24" i="97"/>
  <c r="O26" i="97"/>
  <c r="O40" i="97"/>
  <c r="O42" i="97"/>
  <c r="O49" i="97"/>
  <c r="O51" i="97"/>
  <c r="O53" i="97"/>
  <c r="O55" i="97"/>
  <c r="O69" i="97"/>
  <c r="O28" i="97"/>
  <c r="O30" i="97"/>
  <c r="O44" i="97"/>
  <c r="O46" i="97"/>
  <c r="O52" i="97"/>
  <c r="O54" i="97"/>
  <c r="O57" i="97"/>
  <c r="O59" i="97"/>
  <c r="O70" i="97"/>
  <c r="C100" i="97"/>
  <c r="C101" i="97" s="1"/>
  <c r="C102" i="97" s="1"/>
  <c r="C103" i="97" s="1"/>
  <c r="C104" i="97" s="1"/>
  <c r="C105" i="97" s="1"/>
  <c r="C106" i="97" s="1"/>
  <c r="C107" i="97" s="1"/>
  <c r="C108" i="97" s="1"/>
  <c r="C109" i="97" s="1"/>
  <c r="C110" i="97" s="1"/>
  <c r="C111" i="97" s="1"/>
  <c r="C112" i="97" s="1"/>
  <c r="C113" i="97" s="1"/>
  <c r="C114" i="97" s="1"/>
  <c r="C115" i="97" s="1"/>
  <c r="C116" i="97" s="1"/>
  <c r="C117" i="97" s="1"/>
  <c r="C118" i="97" s="1"/>
  <c r="C119" i="97" s="1"/>
  <c r="C120" i="97" s="1"/>
  <c r="C121" i="97" s="1"/>
  <c r="C122" i="97" s="1"/>
  <c r="C123" i="97" s="1"/>
  <c r="C124" i="97" s="1"/>
  <c r="C125" i="97" s="1"/>
  <c r="C126" i="97" s="1"/>
  <c r="C127" i="97" s="1"/>
  <c r="C128" i="97" s="1"/>
  <c r="C129" i="97" s="1"/>
  <c r="C130" i="97" s="1"/>
  <c r="C131" i="97" s="1"/>
  <c r="C132" i="97" s="1"/>
  <c r="C133" i="97" s="1"/>
  <c r="C134" i="97" s="1"/>
  <c r="C135" i="97" s="1"/>
  <c r="C136" i="97" s="1"/>
  <c r="C137" i="97" s="1"/>
  <c r="C138" i="97" s="1"/>
  <c r="C139" i="97" s="1"/>
  <c r="C140" i="97" s="1"/>
  <c r="C141" i="97" s="1"/>
  <c r="C142" i="97" s="1"/>
  <c r="C143" i="97" s="1"/>
  <c r="C144" i="97" s="1"/>
  <c r="C145" i="97" s="1"/>
  <c r="C146" i="97" s="1"/>
  <c r="C147" i="97" s="1"/>
  <c r="C148" i="97" s="1"/>
  <c r="C149" i="97" s="1"/>
  <c r="C150" i="97" s="1"/>
  <c r="C151" i="97" s="1"/>
  <c r="C152" i="97" s="1"/>
  <c r="C153" i="97" s="1"/>
  <c r="C154" i="97" s="1"/>
  <c r="P105" i="97"/>
  <c r="P107" i="97"/>
  <c r="P109" i="97"/>
  <c r="P111" i="97"/>
  <c r="P119" i="97"/>
  <c r="P123" i="97"/>
  <c r="P100" i="98"/>
  <c r="P104" i="98"/>
  <c r="P106" i="98"/>
  <c r="P110" i="98"/>
  <c r="P114" i="98"/>
  <c r="P116" i="98"/>
  <c r="P118" i="98"/>
  <c r="P104" i="97"/>
  <c r="P106" i="97"/>
  <c r="P108" i="97"/>
  <c r="P110" i="97"/>
  <c r="P122" i="97"/>
  <c r="P107" i="98"/>
  <c r="P109" i="98"/>
  <c r="P111" i="98"/>
  <c r="P113" i="98"/>
  <c r="P115" i="98"/>
  <c r="P117" i="98"/>
  <c r="P122" i="98"/>
  <c r="P126" i="98"/>
  <c r="P130" i="98"/>
  <c r="P108" i="98"/>
  <c r="P112" i="98"/>
  <c r="P113" i="97"/>
  <c r="P115" i="97"/>
  <c r="P117" i="97"/>
  <c r="P126" i="97"/>
  <c r="P130" i="97"/>
  <c r="P99" i="97"/>
  <c r="P112" i="97"/>
  <c r="P114" i="97"/>
  <c r="P116" i="97"/>
  <c r="P118" i="97"/>
  <c r="P127" i="97"/>
  <c r="P127" i="98"/>
  <c r="O17" i="98"/>
  <c r="M87" i="98"/>
  <c r="C45" i="98"/>
  <c r="C46" i="98" s="1"/>
  <c r="C47" i="98" s="1"/>
  <c r="C48" i="98" s="1"/>
  <c r="C49" i="98" s="1"/>
  <c r="C50" i="98" s="1"/>
  <c r="C51" i="98" s="1"/>
  <c r="C52" i="98" s="1"/>
  <c r="C53" i="98" s="1"/>
  <c r="C54" i="98" s="1"/>
  <c r="C55" i="98" s="1"/>
  <c r="C56" i="98" s="1"/>
  <c r="C57" i="98" s="1"/>
  <c r="C58" i="98" s="1"/>
  <c r="C59" i="98" s="1"/>
  <c r="C60" i="98" s="1"/>
  <c r="C61" i="98" s="1"/>
  <c r="C62" i="98" s="1"/>
  <c r="C63" i="98" s="1"/>
  <c r="C64" i="98" s="1"/>
  <c r="C65" i="98" s="1"/>
  <c r="C66" i="98" s="1"/>
  <c r="C67" i="98" s="1"/>
  <c r="C68" i="98" s="1"/>
  <c r="C69" i="98" s="1"/>
  <c r="C70" i="98" s="1"/>
  <c r="C71" i="98" s="1"/>
  <c r="C72" i="98" s="1"/>
  <c r="O37" i="98"/>
  <c r="C127" i="98"/>
  <c r="C128" i="98" s="1"/>
  <c r="C129" i="98" s="1"/>
  <c r="C130" i="98" s="1"/>
  <c r="C131" i="98" s="1"/>
  <c r="C132" i="98" s="1"/>
  <c r="C133" i="98" s="1"/>
  <c r="C134" i="98" s="1"/>
  <c r="C135" i="98" s="1"/>
  <c r="C136" i="98" s="1"/>
  <c r="C137" i="98" s="1"/>
  <c r="C138" i="98" s="1"/>
  <c r="C139" i="98" s="1"/>
  <c r="C140" i="98" s="1"/>
  <c r="C141" i="98" s="1"/>
  <c r="C142" i="98" s="1"/>
  <c r="C143" i="98" s="1"/>
  <c r="C144" i="98" s="1"/>
  <c r="C145" i="98" s="1"/>
  <c r="C146" i="98" s="1"/>
  <c r="C147" i="98" s="1"/>
  <c r="C148" i="98" s="1"/>
  <c r="C149" i="98" s="1"/>
  <c r="C150" i="98" s="1"/>
  <c r="C151" i="98" s="1"/>
  <c r="C152" i="98" s="1"/>
  <c r="C153" i="98" s="1"/>
  <c r="C154" i="98" s="1"/>
  <c r="B18" i="98"/>
  <c r="O29" i="98"/>
  <c r="O38" i="98"/>
  <c r="O33" i="98"/>
  <c r="O49" i="98"/>
  <c r="O54" i="98"/>
  <c r="O57" i="98"/>
  <c r="O62" i="98"/>
  <c r="O65" i="98"/>
  <c r="O70" i="98"/>
  <c r="P119" i="98"/>
  <c r="O41" i="98"/>
  <c r="N87" i="98"/>
  <c r="P123" i="98"/>
  <c r="P120" i="98"/>
  <c r="P124" i="98"/>
  <c r="P128" i="98"/>
  <c r="P121" i="98"/>
  <c r="P125" i="98"/>
  <c r="P129" i="98"/>
  <c r="M87" i="97"/>
  <c r="N87" i="97"/>
  <c r="C45" i="97"/>
  <c r="C46" i="97" s="1"/>
  <c r="C47" i="97" s="1"/>
  <c r="C48" i="97" s="1"/>
  <c r="C49" i="97" s="1"/>
  <c r="C50" i="97" s="1"/>
  <c r="C51" i="97" s="1"/>
  <c r="C52" i="97" s="1"/>
  <c r="C53" i="97" s="1"/>
  <c r="C54" i="97" s="1"/>
  <c r="C55" i="97" s="1"/>
  <c r="C56" i="97" s="1"/>
  <c r="C57" i="97" s="1"/>
  <c r="C58" i="97" s="1"/>
  <c r="C59" i="97" s="1"/>
  <c r="C60" i="97" s="1"/>
  <c r="C61" i="97" s="1"/>
  <c r="C62" i="97" s="1"/>
  <c r="C63" i="97" s="1"/>
  <c r="C64" i="97" s="1"/>
  <c r="C65" i="97" s="1"/>
  <c r="C66" i="97" s="1"/>
  <c r="C67" i="97" s="1"/>
  <c r="C68" i="97" s="1"/>
  <c r="C69" i="97" s="1"/>
  <c r="C70" i="97" s="1"/>
  <c r="C71" i="97" s="1"/>
  <c r="C72" i="97" s="1"/>
  <c r="O21" i="97"/>
  <c r="O37" i="97"/>
  <c r="O33" i="97"/>
  <c r="B18" i="97"/>
  <c r="P101" i="97"/>
  <c r="P100" i="97"/>
  <c r="P120" i="97"/>
  <c r="P124" i="97"/>
  <c r="P128" i="97"/>
  <c r="P121" i="97"/>
  <c r="P125" i="97"/>
  <c r="P129" i="97"/>
  <c r="D29" i="100" l="1"/>
  <c r="E29" i="100"/>
  <c r="O87" i="98"/>
  <c r="B19" i="98"/>
  <c r="N18" i="97"/>
  <c r="O18" i="97" s="1"/>
  <c r="O87" i="97"/>
  <c r="B29" i="100" l="1"/>
  <c r="F29" i="100"/>
  <c r="I18" i="98"/>
  <c r="B19" i="97"/>
  <c r="I18" i="97"/>
  <c r="D30" i="100" l="1"/>
  <c r="E30" i="100"/>
  <c r="E36" i="1"/>
  <c r="E35" i="1"/>
  <c r="C36" i="1"/>
  <c r="C35" i="1"/>
  <c r="I103" i="36"/>
  <c r="B30" i="100" l="1"/>
  <c r="F30" i="100"/>
  <c r="C36" i="2"/>
  <c r="C35" i="2"/>
  <c r="D31" i="100" l="1"/>
  <c r="E31" i="100"/>
  <c r="E36" i="2"/>
  <c r="E35" i="2"/>
  <c r="B31" i="100" l="1"/>
  <c r="F31" i="100"/>
  <c r="M17" i="96"/>
  <c r="N17" i="96" s="1"/>
  <c r="K17" i="96"/>
  <c r="L17" i="96" s="1"/>
  <c r="M17" i="95"/>
  <c r="N17" i="95" s="1"/>
  <c r="K17" i="95"/>
  <c r="L17" i="95" s="1"/>
  <c r="M17" i="94"/>
  <c r="N17" i="94" s="1"/>
  <c r="K17" i="94"/>
  <c r="L17" i="94" s="1"/>
  <c r="M17" i="93"/>
  <c r="N17" i="93" s="1"/>
  <c r="K17" i="93"/>
  <c r="L17" i="93" s="1"/>
  <c r="N99" i="92"/>
  <c r="O99" i="92" s="1"/>
  <c r="L99" i="92"/>
  <c r="M99" i="92" s="1"/>
  <c r="M18" i="92"/>
  <c r="N18" i="92" s="1"/>
  <c r="K18" i="92"/>
  <c r="L18" i="92" s="1"/>
  <c r="N99" i="91"/>
  <c r="O99" i="91" s="1"/>
  <c r="L99" i="91"/>
  <c r="M99" i="91" s="1"/>
  <c r="M18" i="91"/>
  <c r="N18" i="91" s="1"/>
  <c r="K18" i="91"/>
  <c r="L18" i="91" s="1"/>
  <c r="N99" i="90"/>
  <c r="O99" i="90" s="1"/>
  <c r="L99" i="90"/>
  <c r="M99" i="90" s="1"/>
  <c r="M18" i="90"/>
  <c r="N18" i="90" s="1"/>
  <c r="K18" i="90"/>
  <c r="L18" i="90" s="1"/>
  <c r="N99" i="89"/>
  <c r="O99" i="89" s="1"/>
  <c r="L99" i="89"/>
  <c r="M99" i="89" s="1"/>
  <c r="M18" i="89"/>
  <c r="N18" i="89" s="1"/>
  <c r="K18" i="89"/>
  <c r="L18" i="89" s="1"/>
  <c r="N99" i="88"/>
  <c r="O99" i="88" s="1"/>
  <c r="L99" i="88"/>
  <c r="M99" i="88" s="1"/>
  <c r="M18" i="88"/>
  <c r="N18" i="88" s="1"/>
  <c r="K18" i="88"/>
  <c r="L18" i="88" s="1"/>
  <c r="N99" i="87"/>
  <c r="O99" i="87" s="1"/>
  <c r="L99" i="87"/>
  <c r="M99" i="87" s="1"/>
  <c r="M18" i="87"/>
  <c r="N18" i="87" s="1"/>
  <c r="K18" i="87"/>
  <c r="L18" i="87" s="1"/>
  <c r="N99" i="86"/>
  <c r="O99" i="86" s="1"/>
  <c r="L99" i="86"/>
  <c r="M99" i="86" s="1"/>
  <c r="M18" i="86"/>
  <c r="N18" i="86" s="1"/>
  <c r="K18" i="86"/>
  <c r="L18" i="86" s="1"/>
  <c r="N100" i="85"/>
  <c r="O100" i="85" s="1"/>
  <c r="L100" i="85"/>
  <c r="M100" i="85" s="1"/>
  <c r="M19" i="85"/>
  <c r="N19" i="85" s="1"/>
  <c r="K19" i="85"/>
  <c r="L19" i="85" s="1"/>
  <c r="N99" i="84"/>
  <c r="O99" i="84" s="1"/>
  <c r="L99" i="84"/>
  <c r="M99" i="84" s="1"/>
  <c r="M19" i="84"/>
  <c r="N19" i="84" s="1"/>
  <c r="K19" i="84"/>
  <c r="L19" i="84" s="1"/>
  <c r="N100" i="83"/>
  <c r="O100" i="83" s="1"/>
  <c r="L100" i="83"/>
  <c r="M100" i="83" s="1"/>
  <c r="M19" i="83"/>
  <c r="N19" i="83" s="1"/>
  <c r="K19" i="83"/>
  <c r="L19" i="83" s="1"/>
  <c r="N100" i="82"/>
  <c r="O100" i="82" s="1"/>
  <c r="L100" i="82"/>
  <c r="M100" i="82" s="1"/>
  <c r="M19" i="82"/>
  <c r="N19" i="82" s="1"/>
  <c r="K19" i="82"/>
  <c r="L19" i="82" s="1"/>
  <c r="N100" i="81"/>
  <c r="O100" i="81" s="1"/>
  <c r="L100" i="81"/>
  <c r="M100" i="81" s="1"/>
  <c r="M19" i="81"/>
  <c r="N19" i="81" s="1"/>
  <c r="K19" i="81"/>
  <c r="L19" i="81" s="1"/>
  <c r="N100" i="80"/>
  <c r="O100" i="80" s="1"/>
  <c r="L100" i="80"/>
  <c r="M100" i="80" s="1"/>
  <c r="M19" i="80"/>
  <c r="N19" i="80" s="1"/>
  <c r="K19" i="80"/>
  <c r="L19" i="80" s="1"/>
  <c r="N101" i="79"/>
  <c r="O101" i="79" s="1"/>
  <c r="L101" i="79"/>
  <c r="M101" i="79" s="1"/>
  <c r="M20" i="79"/>
  <c r="N20" i="79" s="1"/>
  <c r="K20" i="79"/>
  <c r="L20" i="79" s="1"/>
  <c r="N101" i="78"/>
  <c r="O101" i="78" s="1"/>
  <c r="L101" i="78"/>
  <c r="M101" i="78" s="1"/>
  <c r="M20" i="78"/>
  <c r="N20" i="78" s="1"/>
  <c r="K20" i="78"/>
  <c r="L20" i="78" s="1"/>
  <c r="N101" i="77"/>
  <c r="O101" i="77" s="1"/>
  <c r="L101" i="77"/>
  <c r="M101" i="77" s="1"/>
  <c r="M20" i="77"/>
  <c r="N20" i="77" s="1"/>
  <c r="K20" i="77"/>
  <c r="L20" i="77" s="1"/>
  <c r="M20" i="76"/>
  <c r="N20" i="76" s="1"/>
  <c r="K20" i="76"/>
  <c r="L20" i="76" s="1"/>
  <c r="N101" i="76"/>
  <c r="O101" i="76" s="1"/>
  <c r="L101" i="76"/>
  <c r="M101" i="76" s="1"/>
  <c r="N101" i="75"/>
  <c r="O101" i="75" s="1"/>
  <c r="L101" i="75"/>
  <c r="M101" i="75" s="1"/>
  <c r="M20" i="75"/>
  <c r="N20" i="75" s="1"/>
  <c r="K20" i="75"/>
  <c r="L20" i="75" s="1"/>
  <c r="N105" i="74"/>
  <c r="O105" i="74" s="1"/>
  <c r="L105" i="74"/>
  <c r="M105" i="74" s="1"/>
  <c r="M24" i="74"/>
  <c r="N24" i="74" s="1"/>
  <c r="K24" i="74"/>
  <c r="L24" i="74" s="1"/>
  <c r="N106" i="73"/>
  <c r="O106" i="73" s="1"/>
  <c r="L106" i="73"/>
  <c r="M106" i="73" s="1"/>
  <c r="M25" i="73"/>
  <c r="N25" i="73" s="1"/>
  <c r="K25" i="73"/>
  <c r="L25" i="73" s="1"/>
  <c r="N104" i="72"/>
  <c r="O104" i="72" s="1"/>
  <c r="L104" i="72"/>
  <c r="M104" i="72" s="1"/>
  <c r="M23" i="72"/>
  <c r="N23" i="72" s="1"/>
  <c r="K23" i="72"/>
  <c r="L23" i="72" s="1"/>
  <c r="N108" i="71"/>
  <c r="O108" i="71" s="1"/>
  <c r="L108" i="71"/>
  <c r="M108" i="71" s="1"/>
  <c r="M27" i="71"/>
  <c r="N27" i="71" s="1"/>
  <c r="K27" i="71"/>
  <c r="L27" i="71" s="1"/>
  <c r="N109" i="70"/>
  <c r="O109" i="70" s="1"/>
  <c r="L109" i="70"/>
  <c r="M109" i="70" s="1"/>
  <c r="M28" i="70"/>
  <c r="N28" i="70" s="1"/>
  <c r="K28" i="70"/>
  <c r="L28" i="70" s="1"/>
  <c r="N109" i="69"/>
  <c r="O109" i="69" s="1"/>
  <c r="L109" i="69"/>
  <c r="M109" i="69" s="1"/>
  <c r="M28" i="69"/>
  <c r="N28" i="69" s="1"/>
  <c r="K28" i="69"/>
  <c r="L28" i="69" s="1"/>
  <c r="N102" i="68"/>
  <c r="O102" i="68" s="1"/>
  <c r="L102" i="68"/>
  <c r="M102" i="68" s="1"/>
  <c r="M21" i="68"/>
  <c r="N21" i="68" s="1"/>
  <c r="K21" i="68"/>
  <c r="L21" i="68" s="1"/>
  <c r="N102" i="67"/>
  <c r="O102" i="67" s="1"/>
  <c r="L102" i="67"/>
  <c r="M102" i="67" s="1"/>
  <c r="M21" i="67"/>
  <c r="N21" i="67" s="1"/>
  <c r="K21" i="67"/>
  <c r="L21" i="67" s="1"/>
  <c r="N102" i="66"/>
  <c r="O102" i="66" s="1"/>
  <c r="L102" i="66"/>
  <c r="M102" i="66" s="1"/>
  <c r="M21" i="66"/>
  <c r="N21" i="66" s="1"/>
  <c r="K21" i="66"/>
  <c r="L21" i="66" s="1"/>
  <c r="N102" i="65"/>
  <c r="O102" i="65" s="1"/>
  <c r="L102" i="65"/>
  <c r="M102" i="65" s="1"/>
  <c r="M21" i="65"/>
  <c r="N21" i="65" s="1"/>
  <c r="K21" i="65"/>
  <c r="L21" i="65" s="1"/>
  <c r="N103" i="64"/>
  <c r="O103" i="64" s="1"/>
  <c r="L103" i="64"/>
  <c r="M103" i="64" s="1"/>
  <c r="M22" i="64"/>
  <c r="N22" i="64" s="1"/>
  <c r="K22" i="64"/>
  <c r="L22" i="64" s="1"/>
  <c r="N103" i="60"/>
  <c r="O103" i="60" s="1"/>
  <c r="L103" i="60"/>
  <c r="M103" i="60" s="1"/>
  <c r="M22" i="60"/>
  <c r="N22" i="60" s="1"/>
  <c r="K22" i="60"/>
  <c r="L22" i="60" s="1"/>
  <c r="N103" i="62"/>
  <c r="O103" i="62" s="1"/>
  <c r="L103" i="62"/>
  <c r="M103" i="62" s="1"/>
  <c r="M22" i="62"/>
  <c r="N22" i="62" s="1"/>
  <c r="K22" i="62"/>
  <c r="L22" i="62" s="1"/>
  <c r="N103" i="63"/>
  <c r="O103" i="63" s="1"/>
  <c r="L103" i="63"/>
  <c r="M103" i="63" s="1"/>
  <c r="M22" i="63"/>
  <c r="N22" i="63" s="1"/>
  <c r="K22" i="63"/>
  <c r="L22" i="63" s="1"/>
  <c r="N103" i="61"/>
  <c r="O103" i="61" s="1"/>
  <c r="L103" i="61"/>
  <c r="M103" i="61" s="1"/>
  <c r="M22" i="61"/>
  <c r="N22" i="61" s="1"/>
  <c r="K22" i="61"/>
  <c r="L22" i="61" s="1"/>
  <c r="N103" i="59"/>
  <c r="O103" i="59" s="1"/>
  <c r="L103" i="59"/>
  <c r="M103" i="59" s="1"/>
  <c r="M22" i="59"/>
  <c r="N22" i="59" s="1"/>
  <c r="K22" i="59"/>
  <c r="L22" i="59" s="1"/>
  <c r="N104" i="58"/>
  <c r="O104" i="58" s="1"/>
  <c r="L104" i="58"/>
  <c r="M104" i="58" s="1"/>
  <c r="M23" i="58"/>
  <c r="N23" i="58" s="1"/>
  <c r="K23" i="58"/>
  <c r="L23" i="58" s="1"/>
  <c r="N104" i="57"/>
  <c r="O104" i="57" s="1"/>
  <c r="L104" i="57"/>
  <c r="M104" i="57" s="1"/>
  <c r="M23" i="57"/>
  <c r="N23" i="57" s="1"/>
  <c r="K23" i="57"/>
  <c r="L23" i="57" s="1"/>
  <c r="N104" i="56"/>
  <c r="O104" i="56" s="1"/>
  <c r="L104" i="56"/>
  <c r="M104" i="56" s="1"/>
  <c r="M23" i="56"/>
  <c r="N23" i="56" s="1"/>
  <c r="K23" i="56"/>
  <c r="L23" i="56" s="1"/>
  <c r="N104" i="55"/>
  <c r="O104" i="55" s="1"/>
  <c r="L104" i="55"/>
  <c r="M104" i="55" s="1"/>
  <c r="M23" i="55"/>
  <c r="N23" i="55" s="1"/>
  <c r="K23" i="55"/>
  <c r="L23" i="55" s="1"/>
  <c r="N104" i="54"/>
  <c r="O104" i="54" s="1"/>
  <c r="L104" i="54"/>
  <c r="M104" i="54" s="1"/>
  <c r="M23" i="54"/>
  <c r="N23" i="54" s="1"/>
  <c r="K23" i="54"/>
  <c r="L23" i="54" s="1"/>
  <c r="N104" i="53"/>
  <c r="O104" i="53" s="1"/>
  <c r="L104" i="53"/>
  <c r="M104" i="53" s="1"/>
  <c r="M23" i="53"/>
  <c r="N23" i="53" s="1"/>
  <c r="K23" i="53"/>
  <c r="L23" i="53" s="1"/>
  <c r="N104" i="46"/>
  <c r="O104" i="46" s="1"/>
  <c r="L104" i="46"/>
  <c r="M104" i="46" s="1"/>
  <c r="M23" i="46"/>
  <c r="N23" i="46" s="1"/>
  <c r="K23" i="46"/>
  <c r="L23" i="46" s="1"/>
  <c r="N105" i="45"/>
  <c r="O105" i="45" s="1"/>
  <c r="L105" i="45"/>
  <c r="M105" i="45" s="1"/>
  <c r="M24" i="45"/>
  <c r="N24" i="45" s="1"/>
  <c r="K24" i="45"/>
  <c r="L24" i="45" s="1"/>
  <c r="N106" i="44"/>
  <c r="O106" i="44" s="1"/>
  <c r="L106" i="44"/>
  <c r="M106" i="44" s="1"/>
  <c r="M25" i="44"/>
  <c r="N25" i="44" s="1"/>
  <c r="K25" i="44"/>
  <c r="L25" i="44" s="1"/>
  <c r="N106" i="43"/>
  <c r="O106" i="43" s="1"/>
  <c r="L106" i="43"/>
  <c r="M106" i="43" s="1"/>
  <c r="M25" i="43"/>
  <c r="N25" i="43" s="1"/>
  <c r="K25" i="43"/>
  <c r="L25" i="43" s="1"/>
  <c r="N106" i="42"/>
  <c r="O106" i="42" s="1"/>
  <c r="L106" i="42"/>
  <c r="M106" i="42" s="1"/>
  <c r="M25" i="42"/>
  <c r="N25" i="42" s="1"/>
  <c r="K25" i="42"/>
  <c r="L25" i="42" s="1"/>
  <c r="N106" i="41"/>
  <c r="O106" i="41" s="1"/>
  <c r="L106" i="41"/>
  <c r="M106" i="41" s="1"/>
  <c r="M25" i="41"/>
  <c r="N25" i="41" s="1"/>
  <c r="K25" i="41"/>
  <c r="L25" i="41" s="1"/>
  <c r="N106" i="39"/>
  <c r="O106" i="39" s="1"/>
  <c r="L106" i="39"/>
  <c r="M106" i="39" s="1"/>
  <c r="M25" i="39"/>
  <c r="N25" i="39" s="1"/>
  <c r="K25" i="39"/>
  <c r="L25" i="39" s="1"/>
  <c r="N108" i="34"/>
  <c r="O108" i="34" s="1"/>
  <c r="L108" i="34"/>
  <c r="M108" i="34" s="1"/>
  <c r="M27" i="34"/>
  <c r="N27" i="34" s="1"/>
  <c r="K27" i="34"/>
  <c r="L27" i="34" s="1"/>
  <c r="N108" i="32"/>
  <c r="O108" i="32" s="1"/>
  <c r="L108" i="32"/>
  <c r="M108" i="32" s="1"/>
  <c r="M27" i="32"/>
  <c r="N27" i="32" s="1"/>
  <c r="K27" i="32"/>
  <c r="L27" i="32" s="1"/>
  <c r="N108" i="31"/>
  <c r="O108" i="31" s="1"/>
  <c r="L108" i="31"/>
  <c r="M108" i="31" s="1"/>
  <c r="M27" i="31"/>
  <c r="N27" i="31" s="1"/>
  <c r="K27" i="31"/>
  <c r="L27" i="31" s="1"/>
  <c r="N109" i="30"/>
  <c r="O109" i="30" s="1"/>
  <c r="L109" i="30"/>
  <c r="M109" i="30" s="1"/>
  <c r="M28" i="30"/>
  <c r="N28" i="30" s="1"/>
  <c r="K28" i="30"/>
  <c r="L28" i="30" s="1"/>
  <c r="N109" i="29"/>
  <c r="O109" i="29" s="1"/>
  <c r="L109" i="29"/>
  <c r="M109" i="29" s="1"/>
  <c r="M28" i="29"/>
  <c r="N28" i="29" s="1"/>
  <c r="K28" i="29"/>
  <c r="L28" i="29" s="1"/>
  <c r="N110" i="28"/>
  <c r="O110" i="28" s="1"/>
  <c r="L110" i="28"/>
  <c r="M110" i="28" s="1"/>
  <c r="M29" i="28"/>
  <c r="N29" i="28" s="1"/>
  <c r="K29" i="28"/>
  <c r="L29" i="28" s="1"/>
  <c r="N109" i="27"/>
  <c r="O109" i="27" s="1"/>
  <c r="L109" i="27"/>
  <c r="M109" i="27" s="1"/>
  <c r="M28" i="27"/>
  <c r="N28" i="27" s="1"/>
  <c r="K28" i="27"/>
  <c r="L28" i="27" s="1"/>
  <c r="N108" i="24"/>
  <c r="O108" i="24" s="1"/>
  <c r="L108" i="24"/>
  <c r="M108" i="24" s="1"/>
  <c r="M27" i="24"/>
  <c r="N27" i="24" s="1"/>
  <c r="K27" i="24"/>
  <c r="L27" i="24" s="1"/>
  <c r="N108" i="23"/>
  <c r="O108" i="23" s="1"/>
  <c r="L108" i="23"/>
  <c r="M108" i="23" s="1"/>
  <c r="M27" i="23"/>
  <c r="N27" i="23" s="1"/>
  <c r="K27" i="23"/>
  <c r="L27" i="23" s="1"/>
  <c r="N107" i="22"/>
  <c r="O107" i="22" s="1"/>
  <c r="L107" i="22"/>
  <c r="M107" i="22" s="1"/>
  <c r="M26" i="22"/>
  <c r="N26" i="22" s="1"/>
  <c r="K26" i="22"/>
  <c r="L26" i="22" s="1"/>
  <c r="N107" i="21"/>
  <c r="O107" i="21" s="1"/>
  <c r="L107" i="21"/>
  <c r="M107" i="21" s="1"/>
  <c r="M26" i="21"/>
  <c r="N26" i="21" s="1"/>
  <c r="K26" i="21"/>
  <c r="L26" i="21" s="1"/>
  <c r="N107" i="20"/>
  <c r="O107" i="20" s="1"/>
  <c r="L107" i="20"/>
  <c r="M107" i="20" s="1"/>
  <c r="M26" i="20"/>
  <c r="N26" i="20" s="1"/>
  <c r="K26" i="20"/>
  <c r="L26" i="20" s="1"/>
  <c r="N107" i="19"/>
  <c r="O107" i="19" s="1"/>
  <c r="L107" i="19"/>
  <c r="M107" i="19" s="1"/>
  <c r="M26" i="19"/>
  <c r="N26" i="19" s="1"/>
  <c r="K26" i="19"/>
  <c r="L26" i="19" s="1"/>
  <c r="N107" i="18"/>
  <c r="O107" i="18" s="1"/>
  <c r="L107" i="18"/>
  <c r="M107" i="18" s="1"/>
  <c r="M26" i="18"/>
  <c r="N26" i="18" s="1"/>
  <c r="K26" i="18"/>
  <c r="L26" i="18" s="1"/>
  <c r="N107" i="17"/>
  <c r="O107" i="17" s="1"/>
  <c r="L107" i="17"/>
  <c r="M107" i="17" s="1"/>
  <c r="M26" i="17"/>
  <c r="N26" i="17" s="1"/>
  <c r="K26" i="17"/>
  <c r="L26" i="17" s="1"/>
  <c r="N107" i="3"/>
  <c r="O107" i="3" s="1"/>
  <c r="L107" i="3"/>
  <c r="M107" i="3" s="1"/>
  <c r="M26" i="3"/>
  <c r="N26" i="3" s="1"/>
  <c r="K26" i="3"/>
  <c r="L26" i="3" s="1"/>
  <c r="W88" i="36"/>
  <c r="P88" i="36"/>
  <c r="W87" i="36"/>
  <c r="P87" i="36"/>
  <c r="W86" i="36"/>
  <c r="P86" i="36"/>
  <c r="W85" i="36"/>
  <c r="P85" i="36"/>
  <c r="P154" i="96"/>
  <c r="O154" i="96"/>
  <c r="M154" i="96"/>
  <c r="J154" i="96"/>
  <c r="P153" i="96"/>
  <c r="O153" i="96"/>
  <c r="M153" i="96"/>
  <c r="J153" i="96"/>
  <c r="P152" i="96"/>
  <c r="O152" i="96"/>
  <c r="M152" i="96"/>
  <c r="J152" i="96"/>
  <c r="P151" i="96"/>
  <c r="O151" i="96"/>
  <c r="M151" i="96"/>
  <c r="J151" i="96"/>
  <c r="P150" i="96"/>
  <c r="O150" i="96"/>
  <c r="M150" i="96"/>
  <c r="J150" i="96"/>
  <c r="P149" i="96"/>
  <c r="O149" i="96"/>
  <c r="M149" i="96"/>
  <c r="J149" i="96"/>
  <c r="P148" i="96"/>
  <c r="O148" i="96"/>
  <c r="M148" i="96"/>
  <c r="J148" i="96"/>
  <c r="P147" i="96"/>
  <c r="O147" i="96"/>
  <c r="M147" i="96"/>
  <c r="J147" i="96"/>
  <c r="P146" i="96"/>
  <c r="O146" i="96"/>
  <c r="M146" i="96"/>
  <c r="J146" i="96"/>
  <c r="P145" i="96"/>
  <c r="O145" i="96"/>
  <c r="M145" i="96"/>
  <c r="J145" i="96"/>
  <c r="P144" i="96"/>
  <c r="O144" i="96"/>
  <c r="M144" i="96"/>
  <c r="J144" i="96"/>
  <c r="P143" i="96"/>
  <c r="O143" i="96"/>
  <c r="M143" i="96"/>
  <c r="J143" i="96"/>
  <c r="P142" i="96"/>
  <c r="O142" i="96"/>
  <c r="M142" i="96"/>
  <c r="J142" i="96"/>
  <c r="P141" i="96"/>
  <c r="O141" i="96"/>
  <c r="M141" i="96"/>
  <c r="J141" i="96"/>
  <c r="P140" i="96"/>
  <c r="O140" i="96"/>
  <c r="M140" i="96"/>
  <c r="J140" i="96"/>
  <c r="P139" i="96"/>
  <c r="O139" i="96"/>
  <c r="M139" i="96"/>
  <c r="J139" i="96"/>
  <c r="P138" i="96"/>
  <c r="O138" i="96"/>
  <c r="M138" i="96"/>
  <c r="J138" i="96"/>
  <c r="P137" i="96"/>
  <c r="O137" i="96"/>
  <c r="M137" i="96"/>
  <c r="J137" i="96"/>
  <c r="P136" i="96"/>
  <c r="O136" i="96"/>
  <c r="M136" i="96"/>
  <c r="J136" i="96"/>
  <c r="P135" i="96"/>
  <c r="O135" i="96"/>
  <c r="M135" i="96"/>
  <c r="J135" i="96"/>
  <c r="P134" i="96"/>
  <c r="O134" i="96"/>
  <c r="M134" i="96"/>
  <c r="J134" i="96"/>
  <c r="P133" i="96"/>
  <c r="O133" i="96"/>
  <c r="M133" i="96"/>
  <c r="J133" i="96"/>
  <c r="P132" i="96"/>
  <c r="O132" i="96"/>
  <c r="M132" i="96"/>
  <c r="J132" i="96"/>
  <c r="P131" i="96"/>
  <c r="O131" i="96"/>
  <c r="M131" i="96"/>
  <c r="J131" i="96"/>
  <c r="O130" i="96"/>
  <c r="M130" i="96"/>
  <c r="O129" i="96"/>
  <c r="M129" i="96"/>
  <c r="O128" i="96"/>
  <c r="M128" i="96"/>
  <c r="O127" i="96"/>
  <c r="M127" i="96"/>
  <c r="O126" i="96"/>
  <c r="M126" i="96"/>
  <c r="O125" i="96"/>
  <c r="M125" i="96"/>
  <c r="O124" i="96"/>
  <c r="M124" i="96"/>
  <c r="O123" i="96"/>
  <c r="M123" i="96"/>
  <c r="O122" i="96"/>
  <c r="M122" i="96"/>
  <c r="O121" i="96"/>
  <c r="M121" i="96"/>
  <c r="O120" i="96"/>
  <c r="M120" i="96"/>
  <c r="O119" i="96"/>
  <c r="M119" i="96"/>
  <c r="O118" i="96"/>
  <c r="M118" i="96"/>
  <c r="O117" i="96"/>
  <c r="M117" i="96"/>
  <c r="O116" i="96"/>
  <c r="M116" i="96"/>
  <c r="O115" i="96"/>
  <c r="M115" i="96"/>
  <c r="O114" i="96"/>
  <c r="M114" i="96"/>
  <c r="O113" i="96"/>
  <c r="M113" i="96"/>
  <c r="O112" i="96"/>
  <c r="M112" i="96"/>
  <c r="O111" i="96"/>
  <c r="M111" i="96"/>
  <c r="O110" i="96"/>
  <c r="M110" i="96"/>
  <c r="O109" i="96"/>
  <c r="M109" i="96"/>
  <c r="O108" i="96"/>
  <c r="M108" i="96"/>
  <c r="O107" i="96"/>
  <c r="M107" i="96"/>
  <c r="O106" i="96"/>
  <c r="M106" i="96"/>
  <c r="O105" i="96"/>
  <c r="M105" i="96"/>
  <c r="O102" i="96"/>
  <c r="O101" i="96"/>
  <c r="O99" i="96"/>
  <c r="D96" i="96"/>
  <c r="L93" i="96"/>
  <c r="J93" i="96"/>
  <c r="D91" i="96"/>
  <c r="D89" i="96"/>
  <c r="N72" i="96"/>
  <c r="L72" i="96"/>
  <c r="N71" i="96"/>
  <c r="L71" i="96"/>
  <c r="N70" i="96"/>
  <c r="L70" i="96"/>
  <c r="N69" i="96"/>
  <c r="L69" i="96"/>
  <c r="N68" i="96"/>
  <c r="L68" i="96"/>
  <c r="N67" i="96"/>
  <c r="L67" i="96"/>
  <c r="N66" i="96"/>
  <c r="L66" i="96"/>
  <c r="N65" i="96"/>
  <c r="L65" i="96"/>
  <c r="N64" i="96"/>
  <c r="L64" i="96"/>
  <c r="N63" i="96"/>
  <c r="L63" i="96"/>
  <c r="N62" i="96"/>
  <c r="L62" i="96"/>
  <c r="N61" i="96"/>
  <c r="L61" i="96"/>
  <c r="N60" i="96"/>
  <c r="L60" i="96"/>
  <c r="N59" i="96"/>
  <c r="L59" i="96"/>
  <c r="N58" i="96"/>
  <c r="L58" i="96"/>
  <c r="N57" i="96"/>
  <c r="L57" i="96"/>
  <c r="N56" i="96"/>
  <c r="L56" i="96"/>
  <c r="N55" i="96"/>
  <c r="L55" i="96"/>
  <c r="N54" i="96"/>
  <c r="L54" i="96"/>
  <c r="N53" i="96"/>
  <c r="L53" i="96"/>
  <c r="N52" i="96"/>
  <c r="L52" i="96"/>
  <c r="N51" i="96"/>
  <c r="L51" i="96"/>
  <c r="N50" i="96"/>
  <c r="L50" i="96"/>
  <c r="N49" i="96"/>
  <c r="L49" i="96"/>
  <c r="N48" i="96"/>
  <c r="L48" i="96"/>
  <c r="N47" i="96"/>
  <c r="L47" i="96"/>
  <c r="N46" i="96"/>
  <c r="L46" i="96"/>
  <c r="N45" i="96"/>
  <c r="L45" i="96"/>
  <c r="N44" i="96"/>
  <c r="L44" i="96"/>
  <c r="N43" i="96"/>
  <c r="L43" i="96"/>
  <c r="N42" i="96"/>
  <c r="L42" i="96"/>
  <c r="N41" i="96"/>
  <c r="L41" i="96"/>
  <c r="N40" i="96"/>
  <c r="L40" i="96"/>
  <c r="N39" i="96"/>
  <c r="L39" i="96"/>
  <c r="N38" i="96"/>
  <c r="L38" i="96"/>
  <c r="N37" i="96"/>
  <c r="L37" i="96"/>
  <c r="N36" i="96"/>
  <c r="L36" i="96"/>
  <c r="N35" i="96"/>
  <c r="L35" i="96"/>
  <c r="N34" i="96"/>
  <c r="L34" i="96"/>
  <c r="N33" i="96"/>
  <c r="L33" i="96"/>
  <c r="N32" i="96"/>
  <c r="L32" i="96"/>
  <c r="N31" i="96"/>
  <c r="L31" i="96"/>
  <c r="N30" i="96"/>
  <c r="L30" i="96"/>
  <c r="N29" i="96"/>
  <c r="L29" i="96"/>
  <c r="N28" i="96"/>
  <c r="L28" i="96"/>
  <c r="N27" i="96"/>
  <c r="L27" i="96"/>
  <c r="N26" i="96"/>
  <c r="L26" i="96"/>
  <c r="N25" i="96"/>
  <c r="L25" i="96"/>
  <c r="N24" i="96"/>
  <c r="L24" i="96"/>
  <c r="N22" i="96"/>
  <c r="N21" i="96"/>
  <c r="N20" i="96"/>
  <c r="N19" i="96"/>
  <c r="N18" i="96"/>
  <c r="O18" i="96" s="1"/>
  <c r="C17" i="96"/>
  <c r="C18" i="96" s="1"/>
  <c r="C19" i="96" s="1"/>
  <c r="C20" i="96" s="1"/>
  <c r="C21" i="96" s="1"/>
  <c r="C22" i="96" s="1"/>
  <c r="C23" i="96" s="1"/>
  <c r="C24" i="96" s="1"/>
  <c r="C25" i="96" s="1"/>
  <c r="C26" i="96" s="1"/>
  <c r="C27" i="96" s="1"/>
  <c r="C28" i="96" s="1"/>
  <c r="C29" i="96" s="1"/>
  <c r="C30" i="96" s="1"/>
  <c r="C31" i="96" s="1"/>
  <c r="C32" i="96" s="1"/>
  <c r="C33" i="96" s="1"/>
  <c r="C34" i="96" s="1"/>
  <c r="C35" i="96" s="1"/>
  <c r="C36" i="96" s="1"/>
  <c r="C37" i="96" s="1"/>
  <c r="C38" i="96" s="1"/>
  <c r="C39" i="96" s="1"/>
  <c r="C40" i="96" s="1"/>
  <c r="C41" i="96" s="1"/>
  <c r="C42" i="96" s="1"/>
  <c r="C43" i="96" s="1"/>
  <c r="C44" i="96" s="1"/>
  <c r="C45" i="96" s="1"/>
  <c r="C46" i="96" s="1"/>
  <c r="C47" i="96" s="1"/>
  <c r="C48" i="96" s="1"/>
  <c r="C49" i="96" s="1"/>
  <c r="C50" i="96" s="1"/>
  <c r="C51" i="96" s="1"/>
  <c r="C52" i="96" s="1"/>
  <c r="C53" i="96" s="1"/>
  <c r="C54" i="96" s="1"/>
  <c r="C55" i="96" s="1"/>
  <c r="C56" i="96" s="1"/>
  <c r="C57" i="96" s="1"/>
  <c r="C58" i="96" s="1"/>
  <c r="C59" i="96" s="1"/>
  <c r="C60" i="96" s="1"/>
  <c r="C61" i="96" s="1"/>
  <c r="C62" i="96" s="1"/>
  <c r="C63" i="96" s="1"/>
  <c r="C64" i="96" s="1"/>
  <c r="C65" i="96" s="1"/>
  <c r="C66" i="96" s="1"/>
  <c r="C67" i="96" s="1"/>
  <c r="C68" i="96" s="1"/>
  <c r="C69" i="96" s="1"/>
  <c r="C70" i="96" s="1"/>
  <c r="C71" i="96" s="1"/>
  <c r="C72" i="96" s="1"/>
  <c r="K11" i="96"/>
  <c r="I11" i="96"/>
  <c r="D8" i="96"/>
  <c r="D90" i="96" s="1"/>
  <c r="P83" i="96"/>
  <c r="P154" i="95"/>
  <c r="O154" i="95"/>
  <c r="M154" i="95"/>
  <c r="J154" i="95"/>
  <c r="P153" i="95"/>
  <c r="O153" i="95"/>
  <c r="M153" i="95"/>
  <c r="J153" i="95"/>
  <c r="P152" i="95"/>
  <c r="O152" i="95"/>
  <c r="M152" i="95"/>
  <c r="J152" i="95"/>
  <c r="P151" i="95"/>
  <c r="O151" i="95"/>
  <c r="M151" i="95"/>
  <c r="J151" i="95"/>
  <c r="P150" i="95"/>
  <c r="O150" i="95"/>
  <c r="M150" i="95"/>
  <c r="J150" i="95"/>
  <c r="P149" i="95"/>
  <c r="O149" i="95"/>
  <c r="M149" i="95"/>
  <c r="J149" i="95"/>
  <c r="P148" i="95"/>
  <c r="O148" i="95"/>
  <c r="M148" i="95"/>
  <c r="J148" i="95"/>
  <c r="P147" i="95"/>
  <c r="O147" i="95"/>
  <c r="M147" i="95"/>
  <c r="J147" i="95"/>
  <c r="P146" i="95"/>
  <c r="O146" i="95"/>
  <c r="M146" i="95"/>
  <c r="J146" i="95"/>
  <c r="P145" i="95"/>
  <c r="O145" i="95"/>
  <c r="M145" i="95"/>
  <c r="J145" i="95"/>
  <c r="P144" i="95"/>
  <c r="O144" i="95"/>
  <c r="M144" i="95"/>
  <c r="J144" i="95"/>
  <c r="P143" i="95"/>
  <c r="O143" i="95"/>
  <c r="M143" i="95"/>
  <c r="J143" i="95"/>
  <c r="P142" i="95"/>
  <c r="O142" i="95"/>
  <c r="M142" i="95"/>
  <c r="J142" i="95"/>
  <c r="P141" i="95"/>
  <c r="O141" i="95"/>
  <c r="M141" i="95"/>
  <c r="J141" i="95"/>
  <c r="P140" i="95"/>
  <c r="O140" i="95"/>
  <c r="M140" i="95"/>
  <c r="J140" i="95"/>
  <c r="P139" i="95"/>
  <c r="O139" i="95"/>
  <c r="M139" i="95"/>
  <c r="J139" i="95"/>
  <c r="P138" i="95"/>
  <c r="O138" i="95"/>
  <c r="M138" i="95"/>
  <c r="J138" i="95"/>
  <c r="P137" i="95"/>
  <c r="O137" i="95"/>
  <c r="M137" i="95"/>
  <c r="J137" i="95"/>
  <c r="P136" i="95"/>
  <c r="O136" i="95"/>
  <c r="M136" i="95"/>
  <c r="J136" i="95"/>
  <c r="P135" i="95"/>
  <c r="O135" i="95"/>
  <c r="M135" i="95"/>
  <c r="J135" i="95"/>
  <c r="P134" i="95"/>
  <c r="O134" i="95"/>
  <c r="M134" i="95"/>
  <c r="J134" i="95"/>
  <c r="P133" i="95"/>
  <c r="O133" i="95"/>
  <c r="M133" i="95"/>
  <c r="J133" i="95"/>
  <c r="P132" i="95"/>
  <c r="O132" i="95"/>
  <c r="M132" i="95"/>
  <c r="J132" i="95"/>
  <c r="P131" i="95"/>
  <c r="O131" i="95"/>
  <c r="M131" i="95"/>
  <c r="J131" i="95"/>
  <c r="O130" i="95"/>
  <c r="M130" i="95"/>
  <c r="O129" i="95"/>
  <c r="M129" i="95"/>
  <c r="O128" i="95"/>
  <c r="M128" i="95"/>
  <c r="O127" i="95"/>
  <c r="M127" i="95"/>
  <c r="O126" i="95"/>
  <c r="M126" i="95"/>
  <c r="O125" i="95"/>
  <c r="M125" i="95"/>
  <c r="O124" i="95"/>
  <c r="M124" i="95"/>
  <c r="O123" i="95"/>
  <c r="M123" i="95"/>
  <c r="O122" i="95"/>
  <c r="M122" i="95"/>
  <c r="O121" i="95"/>
  <c r="M121" i="95"/>
  <c r="O120" i="95"/>
  <c r="M120" i="95"/>
  <c r="O119" i="95"/>
  <c r="M119" i="95"/>
  <c r="O118" i="95"/>
  <c r="M118" i="95"/>
  <c r="O117" i="95"/>
  <c r="M117" i="95"/>
  <c r="O116" i="95"/>
  <c r="M116" i="95"/>
  <c r="O115" i="95"/>
  <c r="M115" i="95"/>
  <c r="O114" i="95"/>
  <c r="M114" i="95"/>
  <c r="O113" i="95"/>
  <c r="M113" i="95"/>
  <c r="O112" i="95"/>
  <c r="M112" i="95"/>
  <c r="O111" i="95"/>
  <c r="M111" i="95"/>
  <c r="O110" i="95"/>
  <c r="M110" i="95"/>
  <c r="O109" i="95"/>
  <c r="M109" i="95"/>
  <c r="O108" i="95"/>
  <c r="M108" i="95"/>
  <c r="O107" i="95"/>
  <c r="M107" i="95"/>
  <c r="O106" i="95"/>
  <c r="M106" i="95"/>
  <c r="O105" i="95"/>
  <c r="M105" i="95"/>
  <c r="O102" i="95"/>
  <c r="O101" i="95"/>
  <c r="O99" i="95"/>
  <c r="P99" i="95" s="1"/>
  <c r="D96" i="95"/>
  <c r="L93" i="95"/>
  <c r="J93" i="95"/>
  <c r="D91" i="95"/>
  <c r="D89" i="95"/>
  <c r="N72" i="95"/>
  <c r="L72" i="95"/>
  <c r="N71" i="95"/>
  <c r="L71" i="95"/>
  <c r="N70" i="95"/>
  <c r="L70" i="95"/>
  <c r="N69" i="95"/>
  <c r="L69" i="95"/>
  <c r="N68" i="95"/>
  <c r="L68" i="95"/>
  <c r="N67" i="95"/>
  <c r="L67" i="95"/>
  <c r="N66" i="95"/>
  <c r="L66" i="95"/>
  <c r="N65" i="95"/>
  <c r="L65" i="95"/>
  <c r="N64" i="95"/>
  <c r="L64" i="95"/>
  <c r="N63" i="95"/>
  <c r="L63" i="95"/>
  <c r="N62" i="95"/>
  <c r="L62" i="95"/>
  <c r="N61" i="95"/>
  <c r="L61" i="95"/>
  <c r="N60" i="95"/>
  <c r="L60" i="95"/>
  <c r="N59" i="95"/>
  <c r="L59" i="95"/>
  <c r="N58" i="95"/>
  <c r="L58" i="95"/>
  <c r="N57" i="95"/>
  <c r="L57" i="95"/>
  <c r="N56" i="95"/>
  <c r="L56" i="95"/>
  <c r="N55" i="95"/>
  <c r="L55" i="95"/>
  <c r="N54" i="95"/>
  <c r="L54" i="95"/>
  <c r="N53" i="95"/>
  <c r="L53" i="95"/>
  <c r="N52" i="95"/>
  <c r="L52" i="95"/>
  <c r="N51" i="95"/>
  <c r="L51" i="95"/>
  <c r="N50" i="95"/>
  <c r="L50" i="95"/>
  <c r="N49" i="95"/>
  <c r="L49" i="95"/>
  <c r="N48" i="95"/>
  <c r="L48" i="95"/>
  <c r="N47" i="95"/>
  <c r="L47" i="95"/>
  <c r="N46" i="95"/>
  <c r="L46" i="95"/>
  <c r="N45" i="95"/>
  <c r="L45" i="95"/>
  <c r="N44" i="95"/>
  <c r="L44" i="95"/>
  <c r="N43" i="95"/>
  <c r="L43" i="95"/>
  <c r="N42" i="95"/>
  <c r="L42" i="95"/>
  <c r="N41" i="95"/>
  <c r="L41" i="95"/>
  <c r="N40" i="95"/>
  <c r="L40" i="95"/>
  <c r="N39" i="95"/>
  <c r="L39" i="95"/>
  <c r="N38" i="95"/>
  <c r="L38" i="95"/>
  <c r="N37" i="95"/>
  <c r="L37" i="95"/>
  <c r="N36" i="95"/>
  <c r="L36" i="95"/>
  <c r="N35" i="95"/>
  <c r="L35" i="95"/>
  <c r="N34" i="95"/>
  <c r="L34" i="95"/>
  <c r="N33" i="95"/>
  <c r="L33" i="95"/>
  <c r="N32" i="95"/>
  <c r="L32" i="95"/>
  <c r="N31" i="95"/>
  <c r="L31" i="95"/>
  <c r="N30" i="95"/>
  <c r="L30" i="95"/>
  <c r="N29" i="95"/>
  <c r="L29" i="95"/>
  <c r="N28" i="95"/>
  <c r="L28" i="95"/>
  <c r="N27" i="95"/>
  <c r="L27" i="95"/>
  <c r="N26" i="95"/>
  <c r="L26" i="95"/>
  <c r="N25" i="95"/>
  <c r="L25" i="95"/>
  <c r="N24" i="95"/>
  <c r="L24" i="95"/>
  <c r="N22" i="95"/>
  <c r="N21" i="95"/>
  <c r="N20" i="95"/>
  <c r="N19" i="95"/>
  <c r="N18" i="95"/>
  <c r="C17" i="95"/>
  <c r="C18" i="95" s="1"/>
  <c r="C19" i="95" s="1"/>
  <c r="C20" i="95" s="1"/>
  <c r="C21" i="95" s="1"/>
  <c r="C22" i="95" s="1"/>
  <c r="C23" i="95" s="1"/>
  <c r="C24" i="95" s="1"/>
  <c r="C25" i="95" s="1"/>
  <c r="C26" i="95" s="1"/>
  <c r="C27" i="95" s="1"/>
  <c r="C28" i="95" s="1"/>
  <c r="C29" i="95" s="1"/>
  <c r="C30" i="95" s="1"/>
  <c r="C31" i="95" s="1"/>
  <c r="C32" i="95" s="1"/>
  <c r="C33" i="95" s="1"/>
  <c r="C34" i="95" s="1"/>
  <c r="C35" i="95" s="1"/>
  <c r="C36" i="95" s="1"/>
  <c r="C37" i="95" s="1"/>
  <c r="C38" i="95" s="1"/>
  <c r="C39" i="95" s="1"/>
  <c r="C40" i="95" s="1"/>
  <c r="C41" i="95" s="1"/>
  <c r="C42" i="95" s="1"/>
  <c r="C43" i="95" s="1"/>
  <c r="C44" i="95" s="1"/>
  <c r="C45" i="95" s="1"/>
  <c r="C46" i="95" s="1"/>
  <c r="C47" i="95" s="1"/>
  <c r="C48" i="95" s="1"/>
  <c r="C49" i="95" s="1"/>
  <c r="C50" i="95" s="1"/>
  <c r="C51" i="95" s="1"/>
  <c r="C52" i="95" s="1"/>
  <c r="C53" i="95" s="1"/>
  <c r="C54" i="95" s="1"/>
  <c r="C55" i="95" s="1"/>
  <c r="C56" i="95" s="1"/>
  <c r="C57" i="95" s="1"/>
  <c r="C58" i="95" s="1"/>
  <c r="C59" i="95" s="1"/>
  <c r="C60" i="95" s="1"/>
  <c r="C61" i="95" s="1"/>
  <c r="C62" i="95" s="1"/>
  <c r="C63" i="95" s="1"/>
  <c r="C64" i="95" s="1"/>
  <c r="C65" i="95" s="1"/>
  <c r="C66" i="95" s="1"/>
  <c r="C67" i="95" s="1"/>
  <c r="C68" i="95" s="1"/>
  <c r="C69" i="95" s="1"/>
  <c r="C70" i="95" s="1"/>
  <c r="C71" i="95" s="1"/>
  <c r="C72" i="95" s="1"/>
  <c r="K11" i="95"/>
  <c r="I11" i="95"/>
  <c r="D8" i="95"/>
  <c r="D90" i="95" s="1"/>
  <c r="P83" i="95"/>
  <c r="P154" i="94"/>
  <c r="O154" i="94"/>
  <c r="M154" i="94"/>
  <c r="J154" i="94"/>
  <c r="P153" i="94"/>
  <c r="O153" i="94"/>
  <c r="M153" i="94"/>
  <c r="J153" i="94"/>
  <c r="P152" i="94"/>
  <c r="O152" i="94"/>
  <c r="M152" i="94"/>
  <c r="J152" i="94"/>
  <c r="P151" i="94"/>
  <c r="O151" i="94"/>
  <c r="M151" i="94"/>
  <c r="J151" i="94"/>
  <c r="P150" i="94"/>
  <c r="O150" i="94"/>
  <c r="M150" i="94"/>
  <c r="J150" i="94"/>
  <c r="P149" i="94"/>
  <c r="O149" i="94"/>
  <c r="M149" i="94"/>
  <c r="J149" i="94"/>
  <c r="P148" i="94"/>
  <c r="O148" i="94"/>
  <c r="M148" i="94"/>
  <c r="J148" i="94"/>
  <c r="P147" i="94"/>
  <c r="O147" i="94"/>
  <c r="M147" i="94"/>
  <c r="J147" i="94"/>
  <c r="P146" i="94"/>
  <c r="O146" i="94"/>
  <c r="M146" i="94"/>
  <c r="J146" i="94"/>
  <c r="P145" i="94"/>
  <c r="O145" i="94"/>
  <c r="M145" i="94"/>
  <c r="J145" i="94"/>
  <c r="P144" i="94"/>
  <c r="O144" i="94"/>
  <c r="M144" i="94"/>
  <c r="J144" i="94"/>
  <c r="P143" i="94"/>
  <c r="O143" i="94"/>
  <c r="M143" i="94"/>
  <c r="J143" i="94"/>
  <c r="P142" i="94"/>
  <c r="O142" i="94"/>
  <c r="M142" i="94"/>
  <c r="J142" i="94"/>
  <c r="P141" i="94"/>
  <c r="O141" i="94"/>
  <c r="M141" i="94"/>
  <c r="J141" i="94"/>
  <c r="P140" i="94"/>
  <c r="O140" i="94"/>
  <c r="M140" i="94"/>
  <c r="J140" i="94"/>
  <c r="P139" i="94"/>
  <c r="O139" i="94"/>
  <c r="M139" i="94"/>
  <c r="J139" i="94"/>
  <c r="P138" i="94"/>
  <c r="O138" i="94"/>
  <c r="M138" i="94"/>
  <c r="J138" i="94"/>
  <c r="P137" i="94"/>
  <c r="O137" i="94"/>
  <c r="M137" i="94"/>
  <c r="J137" i="94"/>
  <c r="P136" i="94"/>
  <c r="O136" i="94"/>
  <c r="M136" i="94"/>
  <c r="J136" i="94"/>
  <c r="P135" i="94"/>
  <c r="O135" i="94"/>
  <c r="M135" i="94"/>
  <c r="J135" i="94"/>
  <c r="P134" i="94"/>
  <c r="O134" i="94"/>
  <c r="M134" i="94"/>
  <c r="J134" i="94"/>
  <c r="P133" i="94"/>
  <c r="O133" i="94"/>
  <c r="M133" i="94"/>
  <c r="J133" i="94"/>
  <c r="P132" i="94"/>
  <c r="O132" i="94"/>
  <c r="M132" i="94"/>
  <c r="J132" i="94"/>
  <c r="P131" i="94"/>
  <c r="O131" i="94"/>
  <c r="M131" i="94"/>
  <c r="J131" i="94"/>
  <c r="O130" i="94"/>
  <c r="M130" i="94"/>
  <c r="O129" i="94"/>
  <c r="M129" i="94"/>
  <c r="O128" i="94"/>
  <c r="M128" i="94"/>
  <c r="O127" i="94"/>
  <c r="M127" i="94"/>
  <c r="O126" i="94"/>
  <c r="M126" i="94"/>
  <c r="O125" i="94"/>
  <c r="M125" i="94"/>
  <c r="O124" i="94"/>
  <c r="M124" i="94"/>
  <c r="O123" i="94"/>
  <c r="M123" i="94"/>
  <c r="O122" i="94"/>
  <c r="M122" i="94"/>
  <c r="O121" i="94"/>
  <c r="M121" i="94"/>
  <c r="O120" i="94"/>
  <c r="M120" i="94"/>
  <c r="O119" i="94"/>
  <c r="M119" i="94"/>
  <c r="O118" i="94"/>
  <c r="M118" i="94"/>
  <c r="O117" i="94"/>
  <c r="M117" i="94"/>
  <c r="O116" i="94"/>
  <c r="M116" i="94"/>
  <c r="O115" i="94"/>
  <c r="M115" i="94"/>
  <c r="O114" i="94"/>
  <c r="M114" i="94"/>
  <c r="O113" i="94"/>
  <c r="M113" i="94"/>
  <c r="O112" i="94"/>
  <c r="M112" i="94"/>
  <c r="O111" i="94"/>
  <c r="M111" i="94"/>
  <c r="O110" i="94"/>
  <c r="M110" i="94"/>
  <c r="O109" i="94"/>
  <c r="M109" i="94"/>
  <c r="O108" i="94"/>
  <c r="M108" i="94"/>
  <c r="O107" i="94"/>
  <c r="M107" i="94"/>
  <c r="O106" i="94"/>
  <c r="M106" i="94"/>
  <c r="O103" i="94"/>
  <c r="O102" i="94"/>
  <c r="O101" i="94"/>
  <c r="O99" i="94"/>
  <c r="D96" i="94"/>
  <c r="L93" i="94"/>
  <c r="J93" i="94"/>
  <c r="D91" i="94"/>
  <c r="D89" i="94"/>
  <c r="N72" i="94"/>
  <c r="L72" i="94"/>
  <c r="N71" i="94"/>
  <c r="L71" i="94"/>
  <c r="N70" i="94"/>
  <c r="L70" i="94"/>
  <c r="N69" i="94"/>
  <c r="L69" i="94"/>
  <c r="N68" i="94"/>
  <c r="L68" i="94"/>
  <c r="N67" i="94"/>
  <c r="L67" i="94"/>
  <c r="N66" i="94"/>
  <c r="L66" i="94"/>
  <c r="N65" i="94"/>
  <c r="L65" i="94"/>
  <c r="N64" i="94"/>
  <c r="L64" i="94"/>
  <c r="N63" i="94"/>
  <c r="L63" i="94"/>
  <c r="N62" i="94"/>
  <c r="L62" i="94"/>
  <c r="N61" i="94"/>
  <c r="L61" i="94"/>
  <c r="N60" i="94"/>
  <c r="L60" i="94"/>
  <c r="N59" i="94"/>
  <c r="L59" i="94"/>
  <c r="N58" i="94"/>
  <c r="L58" i="94"/>
  <c r="N57" i="94"/>
  <c r="L57" i="94"/>
  <c r="N56" i="94"/>
  <c r="L56" i="94"/>
  <c r="N55" i="94"/>
  <c r="L55" i="94"/>
  <c r="N54" i="94"/>
  <c r="L54" i="94"/>
  <c r="N53" i="94"/>
  <c r="L53" i="94"/>
  <c r="N52" i="94"/>
  <c r="L52" i="94"/>
  <c r="N51" i="94"/>
  <c r="L51" i="94"/>
  <c r="N50" i="94"/>
  <c r="L50" i="94"/>
  <c r="N49" i="94"/>
  <c r="L49" i="94"/>
  <c r="N48" i="94"/>
  <c r="L48" i="94"/>
  <c r="N47" i="94"/>
  <c r="L47" i="94"/>
  <c r="N46" i="94"/>
  <c r="L46" i="94"/>
  <c r="N45" i="94"/>
  <c r="L45" i="94"/>
  <c r="N44" i="94"/>
  <c r="L44" i="94"/>
  <c r="N43" i="94"/>
  <c r="L43" i="94"/>
  <c r="N42" i="94"/>
  <c r="L42" i="94"/>
  <c r="N41" i="94"/>
  <c r="L41" i="94"/>
  <c r="N40" i="94"/>
  <c r="L40" i="94"/>
  <c r="N39" i="94"/>
  <c r="L39" i="94"/>
  <c r="N38" i="94"/>
  <c r="L38" i="94"/>
  <c r="N37" i="94"/>
  <c r="L37" i="94"/>
  <c r="N36" i="94"/>
  <c r="L36" i="94"/>
  <c r="N35" i="94"/>
  <c r="L35" i="94"/>
  <c r="N34" i="94"/>
  <c r="L34" i="94"/>
  <c r="N33" i="94"/>
  <c r="L33" i="94"/>
  <c r="N32" i="94"/>
  <c r="L32" i="94"/>
  <c r="N31" i="94"/>
  <c r="L31" i="94"/>
  <c r="N30" i="94"/>
  <c r="L30" i="94"/>
  <c r="N29" i="94"/>
  <c r="L29" i="94"/>
  <c r="N28" i="94"/>
  <c r="L28" i="94"/>
  <c r="N27" i="94"/>
  <c r="L27" i="94"/>
  <c r="N26" i="94"/>
  <c r="L26" i="94"/>
  <c r="N25" i="94"/>
  <c r="L25" i="94"/>
  <c r="N23" i="94"/>
  <c r="N22" i="94"/>
  <c r="N21" i="94"/>
  <c r="N20" i="94"/>
  <c r="N19" i="94"/>
  <c r="N18" i="94"/>
  <c r="O18" i="94" s="1"/>
  <c r="C17" i="94"/>
  <c r="C18" i="94" s="1"/>
  <c r="C19" i="94" s="1"/>
  <c r="C20" i="94" s="1"/>
  <c r="C21" i="94" s="1"/>
  <c r="C22" i="94" s="1"/>
  <c r="C23" i="94" s="1"/>
  <c r="C24" i="94" s="1"/>
  <c r="C25" i="94" s="1"/>
  <c r="C26" i="94" s="1"/>
  <c r="C27" i="94" s="1"/>
  <c r="C28" i="94" s="1"/>
  <c r="C29" i="94" s="1"/>
  <c r="C30" i="94" s="1"/>
  <c r="C31" i="94" s="1"/>
  <c r="C32" i="94" s="1"/>
  <c r="C33" i="94" s="1"/>
  <c r="C34" i="94" s="1"/>
  <c r="C35" i="94" s="1"/>
  <c r="C36" i="94" s="1"/>
  <c r="C37" i="94" s="1"/>
  <c r="C38" i="94" s="1"/>
  <c r="C39" i="94" s="1"/>
  <c r="C40" i="94" s="1"/>
  <c r="C41" i="94" s="1"/>
  <c r="C42" i="94" s="1"/>
  <c r="C43" i="94" s="1"/>
  <c r="C44" i="94" s="1"/>
  <c r="C45" i="94" s="1"/>
  <c r="C46" i="94" s="1"/>
  <c r="C47" i="94" s="1"/>
  <c r="C48" i="94" s="1"/>
  <c r="C49" i="94" s="1"/>
  <c r="C50" i="94" s="1"/>
  <c r="C51" i="94" s="1"/>
  <c r="C52" i="94" s="1"/>
  <c r="C53" i="94" s="1"/>
  <c r="C54" i="94" s="1"/>
  <c r="C55" i="94" s="1"/>
  <c r="C56" i="94" s="1"/>
  <c r="C57" i="94" s="1"/>
  <c r="C58" i="94" s="1"/>
  <c r="C59" i="94" s="1"/>
  <c r="C60" i="94" s="1"/>
  <c r="C61" i="94" s="1"/>
  <c r="C62" i="94" s="1"/>
  <c r="C63" i="94" s="1"/>
  <c r="C64" i="94" s="1"/>
  <c r="C65" i="94" s="1"/>
  <c r="C66" i="94" s="1"/>
  <c r="C67" i="94" s="1"/>
  <c r="C68" i="94" s="1"/>
  <c r="C69" i="94" s="1"/>
  <c r="C70" i="94" s="1"/>
  <c r="C71" i="94" s="1"/>
  <c r="C72" i="94" s="1"/>
  <c r="K11" i="94"/>
  <c r="I11" i="94"/>
  <c r="D8" i="94"/>
  <c r="D90" i="94" s="1"/>
  <c r="P83" i="94"/>
  <c r="P154" i="93"/>
  <c r="O154" i="93"/>
  <c r="M154" i="93"/>
  <c r="J154" i="93"/>
  <c r="P153" i="93"/>
  <c r="O153" i="93"/>
  <c r="M153" i="93"/>
  <c r="J153" i="93"/>
  <c r="P152" i="93"/>
  <c r="O152" i="93"/>
  <c r="M152" i="93"/>
  <c r="J152" i="93"/>
  <c r="P151" i="93"/>
  <c r="O151" i="93"/>
  <c r="M151" i="93"/>
  <c r="J151" i="93"/>
  <c r="P150" i="93"/>
  <c r="O150" i="93"/>
  <c r="M150" i="93"/>
  <c r="J150" i="93"/>
  <c r="P149" i="93"/>
  <c r="O149" i="93"/>
  <c r="M149" i="93"/>
  <c r="J149" i="93"/>
  <c r="P148" i="93"/>
  <c r="O148" i="93"/>
  <c r="M148" i="93"/>
  <c r="J148" i="93"/>
  <c r="P147" i="93"/>
  <c r="O147" i="93"/>
  <c r="M147" i="93"/>
  <c r="J147" i="93"/>
  <c r="P146" i="93"/>
  <c r="O146" i="93"/>
  <c r="M146" i="93"/>
  <c r="J146" i="93"/>
  <c r="P145" i="93"/>
  <c r="O145" i="93"/>
  <c r="M145" i="93"/>
  <c r="J145" i="93"/>
  <c r="P144" i="93"/>
  <c r="O144" i="93"/>
  <c r="M144" i="93"/>
  <c r="J144" i="93"/>
  <c r="P143" i="93"/>
  <c r="O143" i="93"/>
  <c r="M143" i="93"/>
  <c r="J143" i="93"/>
  <c r="P142" i="93"/>
  <c r="O142" i="93"/>
  <c r="M142" i="93"/>
  <c r="J142" i="93"/>
  <c r="P141" i="93"/>
  <c r="O141" i="93"/>
  <c r="M141" i="93"/>
  <c r="J141" i="93"/>
  <c r="P140" i="93"/>
  <c r="O140" i="93"/>
  <c r="M140" i="93"/>
  <c r="J140" i="93"/>
  <c r="P139" i="93"/>
  <c r="O139" i="93"/>
  <c r="M139" i="93"/>
  <c r="J139" i="93"/>
  <c r="P138" i="93"/>
  <c r="O138" i="93"/>
  <c r="M138" i="93"/>
  <c r="J138" i="93"/>
  <c r="P137" i="93"/>
  <c r="O137" i="93"/>
  <c r="M137" i="93"/>
  <c r="J137" i="93"/>
  <c r="P136" i="93"/>
  <c r="O136" i="93"/>
  <c r="M136" i="93"/>
  <c r="J136" i="93"/>
  <c r="P135" i="93"/>
  <c r="O135" i="93"/>
  <c r="M135" i="93"/>
  <c r="J135" i="93"/>
  <c r="P134" i="93"/>
  <c r="O134" i="93"/>
  <c r="M134" i="93"/>
  <c r="J134" i="93"/>
  <c r="P133" i="93"/>
  <c r="O133" i="93"/>
  <c r="M133" i="93"/>
  <c r="J133" i="93"/>
  <c r="P132" i="93"/>
  <c r="O132" i="93"/>
  <c r="M132" i="93"/>
  <c r="J132" i="93"/>
  <c r="P131" i="93"/>
  <c r="O131" i="93"/>
  <c r="M131" i="93"/>
  <c r="J131" i="93"/>
  <c r="O130" i="93"/>
  <c r="M130" i="93"/>
  <c r="O129" i="93"/>
  <c r="M129" i="93"/>
  <c r="O128" i="93"/>
  <c r="M128" i="93"/>
  <c r="O127" i="93"/>
  <c r="M127" i="93"/>
  <c r="O126" i="93"/>
  <c r="M126" i="93"/>
  <c r="O125" i="93"/>
  <c r="M125" i="93"/>
  <c r="O124" i="93"/>
  <c r="M124" i="93"/>
  <c r="O123" i="93"/>
  <c r="M123" i="93"/>
  <c r="O122" i="93"/>
  <c r="M122" i="93"/>
  <c r="O121" i="93"/>
  <c r="M121" i="93"/>
  <c r="O120" i="93"/>
  <c r="M120" i="93"/>
  <c r="O119" i="93"/>
  <c r="M119" i="93"/>
  <c r="O118" i="93"/>
  <c r="M118" i="93"/>
  <c r="O117" i="93"/>
  <c r="M117" i="93"/>
  <c r="O116" i="93"/>
  <c r="M116" i="93"/>
  <c r="O115" i="93"/>
  <c r="M115" i="93"/>
  <c r="O114" i="93"/>
  <c r="M114" i="93"/>
  <c r="O113" i="93"/>
  <c r="M113" i="93"/>
  <c r="O112" i="93"/>
  <c r="M112" i="93"/>
  <c r="O111" i="93"/>
  <c r="M111" i="93"/>
  <c r="O110" i="93"/>
  <c r="M110" i="93"/>
  <c r="O109" i="93"/>
  <c r="M109" i="93"/>
  <c r="O108" i="93"/>
  <c r="M108" i="93"/>
  <c r="O107" i="93"/>
  <c r="M107" i="93"/>
  <c r="O106" i="93"/>
  <c r="M106" i="93"/>
  <c r="O105" i="93"/>
  <c r="M105" i="93"/>
  <c r="O102" i="93"/>
  <c r="O101" i="93"/>
  <c r="O100" i="93"/>
  <c r="O99" i="93"/>
  <c r="D96" i="93"/>
  <c r="L93" i="93"/>
  <c r="J93" i="93"/>
  <c r="D91" i="93"/>
  <c r="D89" i="93"/>
  <c r="N72" i="93"/>
  <c r="L72" i="93"/>
  <c r="N71" i="93"/>
  <c r="L71" i="93"/>
  <c r="N70" i="93"/>
  <c r="L70" i="93"/>
  <c r="N69" i="93"/>
  <c r="L69" i="93"/>
  <c r="N68" i="93"/>
  <c r="L68" i="93"/>
  <c r="N67" i="93"/>
  <c r="L67" i="93"/>
  <c r="N66" i="93"/>
  <c r="L66" i="93"/>
  <c r="N65" i="93"/>
  <c r="L65" i="93"/>
  <c r="N64" i="93"/>
  <c r="L64" i="93"/>
  <c r="N63" i="93"/>
  <c r="L63" i="93"/>
  <c r="N62" i="93"/>
  <c r="L62" i="93"/>
  <c r="N61" i="93"/>
  <c r="L61" i="93"/>
  <c r="N60" i="93"/>
  <c r="L60" i="93"/>
  <c r="N59" i="93"/>
  <c r="L59" i="93"/>
  <c r="N58" i="93"/>
  <c r="L58" i="93"/>
  <c r="N57" i="93"/>
  <c r="L57" i="93"/>
  <c r="N56" i="93"/>
  <c r="L56" i="93"/>
  <c r="N55" i="93"/>
  <c r="L55" i="93"/>
  <c r="N54" i="93"/>
  <c r="L54" i="93"/>
  <c r="N53" i="93"/>
  <c r="L53" i="93"/>
  <c r="N52" i="93"/>
  <c r="L52" i="93"/>
  <c r="N51" i="93"/>
  <c r="L51" i="93"/>
  <c r="N50" i="93"/>
  <c r="L50" i="93"/>
  <c r="N49" i="93"/>
  <c r="L49" i="93"/>
  <c r="N48" i="93"/>
  <c r="L48" i="93"/>
  <c r="N47" i="93"/>
  <c r="L47" i="93"/>
  <c r="N46" i="93"/>
  <c r="L46" i="93"/>
  <c r="N45" i="93"/>
  <c r="L45" i="93"/>
  <c r="N44" i="93"/>
  <c r="L44" i="93"/>
  <c r="N43" i="93"/>
  <c r="L43" i="93"/>
  <c r="N42" i="93"/>
  <c r="L42" i="93"/>
  <c r="N41" i="93"/>
  <c r="L41" i="93"/>
  <c r="N40" i="93"/>
  <c r="L40" i="93"/>
  <c r="N39" i="93"/>
  <c r="L39" i="93"/>
  <c r="N38" i="93"/>
  <c r="L38" i="93"/>
  <c r="N37" i="93"/>
  <c r="L37" i="93"/>
  <c r="N36" i="93"/>
  <c r="L36" i="93"/>
  <c r="N35" i="93"/>
  <c r="L35" i="93"/>
  <c r="N34" i="93"/>
  <c r="L34" i="93"/>
  <c r="N33" i="93"/>
  <c r="L33" i="93"/>
  <c r="N32" i="93"/>
  <c r="L32" i="93"/>
  <c r="N31" i="93"/>
  <c r="L31" i="93"/>
  <c r="N30" i="93"/>
  <c r="L30" i="93"/>
  <c r="N29" i="93"/>
  <c r="L29" i="93"/>
  <c r="N28" i="93"/>
  <c r="L28" i="93"/>
  <c r="N27" i="93"/>
  <c r="L27" i="93"/>
  <c r="N26" i="93"/>
  <c r="L26" i="93"/>
  <c r="N25" i="93"/>
  <c r="L25" i="93"/>
  <c r="N24" i="93"/>
  <c r="L24" i="93"/>
  <c r="N22" i="93"/>
  <c r="N21" i="93"/>
  <c r="N20" i="93"/>
  <c r="N19" i="93"/>
  <c r="N18" i="93"/>
  <c r="C17" i="93"/>
  <c r="C18" i="93" s="1"/>
  <c r="C19" i="93" s="1"/>
  <c r="C20" i="93" s="1"/>
  <c r="C21" i="93" s="1"/>
  <c r="C22" i="93" s="1"/>
  <c r="C23" i="93" s="1"/>
  <c r="C24" i="93" s="1"/>
  <c r="C25" i="93" s="1"/>
  <c r="C26" i="93" s="1"/>
  <c r="C27" i="93" s="1"/>
  <c r="C28" i="93" s="1"/>
  <c r="C29" i="93" s="1"/>
  <c r="C30" i="93" s="1"/>
  <c r="C31" i="93" s="1"/>
  <c r="C32" i="93" s="1"/>
  <c r="C33" i="93" s="1"/>
  <c r="C34" i="93" s="1"/>
  <c r="C35" i="93" s="1"/>
  <c r="C36" i="93" s="1"/>
  <c r="C37" i="93" s="1"/>
  <c r="C38" i="93" s="1"/>
  <c r="C39" i="93" s="1"/>
  <c r="C40" i="93" s="1"/>
  <c r="C41" i="93" s="1"/>
  <c r="C42" i="93" s="1"/>
  <c r="C43" i="93" s="1"/>
  <c r="C44" i="93" s="1"/>
  <c r="C45" i="93" s="1"/>
  <c r="C46" i="93" s="1"/>
  <c r="C47" i="93" s="1"/>
  <c r="C48" i="93" s="1"/>
  <c r="C49" i="93" s="1"/>
  <c r="C50" i="93" s="1"/>
  <c r="C51" i="93" s="1"/>
  <c r="C52" i="93" s="1"/>
  <c r="C53" i="93" s="1"/>
  <c r="C54" i="93" s="1"/>
  <c r="C55" i="93" s="1"/>
  <c r="C56" i="93" s="1"/>
  <c r="C57" i="93" s="1"/>
  <c r="C58" i="93" s="1"/>
  <c r="C59" i="93" s="1"/>
  <c r="C60" i="93" s="1"/>
  <c r="C61" i="93" s="1"/>
  <c r="C62" i="93" s="1"/>
  <c r="C63" i="93" s="1"/>
  <c r="C64" i="93" s="1"/>
  <c r="C65" i="93" s="1"/>
  <c r="C66" i="93" s="1"/>
  <c r="C67" i="93" s="1"/>
  <c r="C68" i="93" s="1"/>
  <c r="C69" i="93" s="1"/>
  <c r="C70" i="93" s="1"/>
  <c r="C71" i="93" s="1"/>
  <c r="C72" i="93" s="1"/>
  <c r="K11" i="93"/>
  <c r="I11" i="93"/>
  <c r="D8" i="93"/>
  <c r="D90" i="93" s="1"/>
  <c r="P83" i="93"/>
  <c r="M17" i="92"/>
  <c r="N17" i="92" s="1"/>
  <c r="K17" i="92"/>
  <c r="L17" i="92" s="1"/>
  <c r="M17" i="91"/>
  <c r="N17" i="91" s="1"/>
  <c r="K17" i="91"/>
  <c r="L17" i="91" s="1"/>
  <c r="M17" i="90"/>
  <c r="N17" i="90" s="1"/>
  <c r="K17" i="90"/>
  <c r="L17" i="90" s="1"/>
  <c r="M17" i="89"/>
  <c r="N17" i="89" s="1"/>
  <c r="K17" i="89"/>
  <c r="L17" i="89" s="1"/>
  <c r="M17" i="88"/>
  <c r="N17" i="88" s="1"/>
  <c r="K17" i="88"/>
  <c r="L17" i="88" s="1"/>
  <c r="M17" i="87"/>
  <c r="N17" i="87" s="1"/>
  <c r="K17" i="87"/>
  <c r="L17" i="87" s="1"/>
  <c r="M17" i="86"/>
  <c r="N17" i="86" s="1"/>
  <c r="K17" i="86"/>
  <c r="L17" i="86" s="1"/>
  <c r="N99" i="85"/>
  <c r="O99" i="85" s="1"/>
  <c r="L99" i="85"/>
  <c r="M99" i="85" s="1"/>
  <c r="M18" i="85"/>
  <c r="N18" i="85" s="1"/>
  <c r="K18" i="85"/>
  <c r="L18" i="85" s="1"/>
  <c r="M18" i="84"/>
  <c r="N18" i="84" s="1"/>
  <c r="K18" i="84"/>
  <c r="L18" i="84" s="1"/>
  <c r="K18" i="83"/>
  <c r="L18" i="83" s="1"/>
  <c r="M18" i="83"/>
  <c r="N18" i="83" s="1"/>
  <c r="N99" i="83"/>
  <c r="O99" i="83" s="1"/>
  <c r="L99" i="83"/>
  <c r="M99" i="83" s="1"/>
  <c r="N99" i="82"/>
  <c r="O99" i="82" s="1"/>
  <c r="L99" i="82"/>
  <c r="M99" i="82" s="1"/>
  <c r="M18" i="82"/>
  <c r="N18" i="82" s="1"/>
  <c r="K18" i="82"/>
  <c r="L18" i="82" s="1"/>
  <c r="N99" i="81"/>
  <c r="O99" i="81" s="1"/>
  <c r="N99" i="80"/>
  <c r="O99" i="80" s="1"/>
  <c r="L99" i="80"/>
  <c r="M99" i="80" s="1"/>
  <c r="L99" i="81"/>
  <c r="M99" i="81" s="1"/>
  <c r="M18" i="81"/>
  <c r="N18" i="81" s="1"/>
  <c r="K18" i="81"/>
  <c r="L18" i="81" s="1"/>
  <c r="M18" i="80"/>
  <c r="N18" i="80" s="1"/>
  <c r="K18" i="80"/>
  <c r="L18" i="80" s="1"/>
  <c r="N100" i="79"/>
  <c r="O100" i="79" s="1"/>
  <c r="L100" i="79"/>
  <c r="M100" i="79" s="1"/>
  <c r="M19" i="79"/>
  <c r="N19" i="79" s="1"/>
  <c r="K19" i="79"/>
  <c r="L19" i="79" s="1"/>
  <c r="N100" i="78"/>
  <c r="O100" i="78" s="1"/>
  <c r="L100" i="78"/>
  <c r="M100" i="78" s="1"/>
  <c r="M19" i="78"/>
  <c r="N19" i="78" s="1"/>
  <c r="K19" i="78"/>
  <c r="L19" i="78" s="1"/>
  <c r="N100" i="77"/>
  <c r="O100" i="77" s="1"/>
  <c r="L100" i="77"/>
  <c r="M100" i="77" s="1"/>
  <c r="M19" i="77"/>
  <c r="N19" i="77" s="1"/>
  <c r="K19" i="77"/>
  <c r="L19" i="77" s="1"/>
  <c r="N100" i="76"/>
  <c r="O100" i="76" s="1"/>
  <c r="L100" i="76"/>
  <c r="M100" i="76" s="1"/>
  <c r="M19" i="76"/>
  <c r="N19" i="76" s="1"/>
  <c r="K19" i="76"/>
  <c r="L19" i="76" s="1"/>
  <c r="N100" i="75"/>
  <c r="O100" i="75" s="1"/>
  <c r="L100" i="75"/>
  <c r="M100" i="75" s="1"/>
  <c r="M19" i="75"/>
  <c r="N19" i="75" s="1"/>
  <c r="K19" i="75"/>
  <c r="L19" i="75" s="1"/>
  <c r="N104" i="74"/>
  <c r="O104" i="74" s="1"/>
  <c r="L104" i="74"/>
  <c r="M104" i="74" s="1"/>
  <c r="M23" i="74"/>
  <c r="N23" i="74" s="1"/>
  <c r="K23" i="74"/>
  <c r="L23" i="74" s="1"/>
  <c r="N105" i="73"/>
  <c r="O105" i="73" s="1"/>
  <c r="L105" i="73"/>
  <c r="M105" i="73" s="1"/>
  <c r="M24" i="73"/>
  <c r="N24" i="73" s="1"/>
  <c r="K24" i="73"/>
  <c r="L24" i="73" s="1"/>
  <c r="N103" i="72"/>
  <c r="O103" i="72" s="1"/>
  <c r="L103" i="72"/>
  <c r="M103" i="72" s="1"/>
  <c r="M22" i="72"/>
  <c r="N22" i="72" s="1"/>
  <c r="K22" i="72"/>
  <c r="L22" i="72" s="1"/>
  <c r="N107" i="71"/>
  <c r="O107" i="71" s="1"/>
  <c r="L107" i="71"/>
  <c r="M107" i="71" s="1"/>
  <c r="M26" i="71"/>
  <c r="N26" i="71" s="1"/>
  <c r="K26" i="71"/>
  <c r="L26" i="71" s="1"/>
  <c r="N108" i="70"/>
  <c r="O108" i="70" s="1"/>
  <c r="L108" i="70"/>
  <c r="M108" i="70" s="1"/>
  <c r="M27" i="70"/>
  <c r="N27" i="70" s="1"/>
  <c r="K27" i="70"/>
  <c r="L27" i="70" s="1"/>
  <c r="N108" i="69"/>
  <c r="O108" i="69" s="1"/>
  <c r="L108" i="69"/>
  <c r="M108" i="69" s="1"/>
  <c r="M27" i="69"/>
  <c r="N27" i="69" s="1"/>
  <c r="K27" i="69"/>
  <c r="L27" i="69" s="1"/>
  <c r="N101" i="68"/>
  <c r="O101" i="68" s="1"/>
  <c r="L101" i="68"/>
  <c r="M101" i="68" s="1"/>
  <c r="M20" i="68"/>
  <c r="N20" i="68" s="1"/>
  <c r="K20" i="68"/>
  <c r="L20" i="68" s="1"/>
  <c r="N101" i="67"/>
  <c r="O101" i="67" s="1"/>
  <c r="L101" i="67"/>
  <c r="M101" i="67" s="1"/>
  <c r="M20" i="67"/>
  <c r="N20" i="67" s="1"/>
  <c r="K20" i="67"/>
  <c r="L20" i="67" s="1"/>
  <c r="N101" i="66"/>
  <c r="O101" i="66" s="1"/>
  <c r="L101" i="66"/>
  <c r="M101" i="66" s="1"/>
  <c r="M20" i="66"/>
  <c r="N20" i="66" s="1"/>
  <c r="K20" i="66"/>
  <c r="L20" i="66" s="1"/>
  <c r="N101" i="65"/>
  <c r="O101" i="65" s="1"/>
  <c r="L101" i="65"/>
  <c r="M101" i="65" s="1"/>
  <c r="M20" i="65"/>
  <c r="N20" i="65" s="1"/>
  <c r="K20" i="65"/>
  <c r="L20" i="65" s="1"/>
  <c r="N102" i="64"/>
  <c r="O102" i="64" s="1"/>
  <c r="L102" i="64"/>
  <c r="M102" i="64" s="1"/>
  <c r="M21" i="64"/>
  <c r="N21" i="64" s="1"/>
  <c r="K21" i="64"/>
  <c r="L21" i="64" s="1"/>
  <c r="N102" i="60"/>
  <c r="O102" i="60" s="1"/>
  <c r="L102" i="60"/>
  <c r="M102" i="60" s="1"/>
  <c r="M21" i="60"/>
  <c r="N21" i="60" s="1"/>
  <c r="K21" i="60"/>
  <c r="L21" i="60" s="1"/>
  <c r="N102" i="62"/>
  <c r="O102" i="62" s="1"/>
  <c r="L102" i="62"/>
  <c r="M102" i="62" s="1"/>
  <c r="M21" i="62"/>
  <c r="N21" i="62" s="1"/>
  <c r="K21" i="62"/>
  <c r="L21" i="62" s="1"/>
  <c r="N102" i="63"/>
  <c r="O102" i="63" s="1"/>
  <c r="L102" i="63"/>
  <c r="M102" i="63" s="1"/>
  <c r="M21" i="63"/>
  <c r="N21" i="63" s="1"/>
  <c r="K21" i="63"/>
  <c r="L21" i="63" s="1"/>
  <c r="N102" i="61"/>
  <c r="O102" i="61" s="1"/>
  <c r="L102" i="61"/>
  <c r="M102" i="61" s="1"/>
  <c r="M21" i="61"/>
  <c r="N21" i="61" s="1"/>
  <c r="K21" i="61"/>
  <c r="L21" i="61" s="1"/>
  <c r="N102" i="59"/>
  <c r="O102" i="59" s="1"/>
  <c r="L102" i="59"/>
  <c r="M102" i="59" s="1"/>
  <c r="M21" i="59"/>
  <c r="N21" i="59" s="1"/>
  <c r="K21" i="59"/>
  <c r="L21" i="59" s="1"/>
  <c r="N103" i="58"/>
  <c r="O103" i="58" s="1"/>
  <c r="L103" i="58"/>
  <c r="M103" i="58" s="1"/>
  <c r="M22" i="58"/>
  <c r="N22" i="58" s="1"/>
  <c r="K22" i="58"/>
  <c r="L22" i="58" s="1"/>
  <c r="N103" i="57"/>
  <c r="O103" i="57" s="1"/>
  <c r="L103" i="57"/>
  <c r="M103" i="57" s="1"/>
  <c r="M22" i="57"/>
  <c r="N22" i="57" s="1"/>
  <c r="K22" i="57"/>
  <c r="L22" i="57" s="1"/>
  <c r="N103" i="56"/>
  <c r="O103" i="56" s="1"/>
  <c r="L103" i="56"/>
  <c r="M103" i="56" s="1"/>
  <c r="M22" i="56"/>
  <c r="N22" i="56" s="1"/>
  <c r="K22" i="56"/>
  <c r="L22" i="56" s="1"/>
  <c r="N103" i="55"/>
  <c r="O103" i="55" s="1"/>
  <c r="L103" i="55"/>
  <c r="M103" i="55" s="1"/>
  <c r="M22" i="55"/>
  <c r="N22" i="55" s="1"/>
  <c r="K22" i="55"/>
  <c r="L22" i="55" s="1"/>
  <c r="N103" i="54"/>
  <c r="O103" i="54" s="1"/>
  <c r="L103" i="54"/>
  <c r="M103" i="54" s="1"/>
  <c r="M22" i="54"/>
  <c r="N22" i="54" s="1"/>
  <c r="K22" i="54"/>
  <c r="L22" i="54" s="1"/>
  <c r="N103" i="53"/>
  <c r="O103" i="53" s="1"/>
  <c r="L103" i="53"/>
  <c r="M103" i="53" s="1"/>
  <c r="M22" i="53"/>
  <c r="N22" i="53" s="1"/>
  <c r="K22" i="53"/>
  <c r="L22" i="53" s="1"/>
  <c r="N103" i="46"/>
  <c r="O103" i="46" s="1"/>
  <c r="L103" i="46"/>
  <c r="M103" i="46" s="1"/>
  <c r="M22" i="46"/>
  <c r="N22" i="46" s="1"/>
  <c r="K22" i="46"/>
  <c r="L22" i="46" s="1"/>
  <c r="N104" i="45"/>
  <c r="O104" i="45" s="1"/>
  <c r="L104" i="45"/>
  <c r="M104" i="45" s="1"/>
  <c r="M23" i="45"/>
  <c r="N23" i="45" s="1"/>
  <c r="K23" i="45"/>
  <c r="L23" i="45" s="1"/>
  <c r="N105" i="44"/>
  <c r="O105" i="44" s="1"/>
  <c r="L105" i="44"/>
  <c r="M105" i="44" s="1"/>
  <c r="M24" i="44"/>
  <c r="N24" i="44" s="1"/>
  <c r="K24" i="44"/>
  <c r="L24" i="44" s="1"/>
  <c r="N105" i="43"/>
  <c r="O105" i="43" s="1"/>
  <c r="L105" i="43"/>
  <c r="M105" i="43" s="1"/>
  <c r="M24" i="43"/>
  <c r="N24" i="43" s="1"/>
  <c r="K24" i="43"/>
  <c r="L24" i="43" s="1"/>
  <c r="N105" i="42"/>
  <c r="O105" i="42" s="1"/>
  <c r="L105" i="42"/>
  <c r="M105" i="42" s="1"/>
  <c r="M24" i="42"/>
  <c r="N24" i="42" s="1"/>
  <c r="K24" i="42"/>
  <c r="L24" i="42" s="1"/>
  <c r="N105" i="41"/>
  <c r="O105" i="41" s="1"/>
  <c r="L105" i="41"/>
  <c r="M105" i="41" s="1"/>
  <c r="M24" i="41"/>
  <c r="N24" i="41" s="1"/>
  <c r="K24" i="41"/>
  <c r="L24" i="41" s="1"/>
  <c r="N105" i="39"/>
  <c r="O105" i="39" s="1"/>
  <c r="L105" i="39"/>
  <c r="M105" i="39" s="1"/>
  <c r="M24" i="39"/>
  <c r="N24" i="39" s="1"/>
  <c r="K24" i="39"/>
  <c r="L24" i="39" s="1"/>
  <c r="N107" i="34"/>
  <c r="O107" i="34" s="1"/>
  <c r="L107" i="34"/>
  <c r="M107" i="34" s="1"/>
  <c r="M26" i="34"/>
  <c r="N26" i="34" s="1"/>
  <c r="K26" i="34"/>
  <c r="L26" i="34" s="1"/>
  <c r="N107" i="32"/>
  <c r="O107" i="32" s="1"/>
  <c r="L107" i="32"/>
  <c r="M107" i="32" s="1"/>
  <c r="M26" i="32"/>
  <c r="N26" i="32" s="1"/>
  <c r="K26" i="32"/>
  <c r="L26" i="32" s="1"/>
  <c r="N107" i="31"/>
  <c r="O107" i="31" s="1"/>
  <c r="L107" i="31"/>
  <c r="M107" i="31" s="1"/>
  <c r="M26" i="31"/>
  <c r="N26" i="31" s="1"/>
  <c r="K26" i="31"/>
  <c r="L26" i="31" s="1"/>
  <c r="N108" i="30"/>
  <c r="O108" i="30" s="1"/>
  <c r="L108" i="30"/>
  <c r="M108" i="30" s="1"/>
  <c r="M27" i="30"/>
  <c r="N27" i="30" s="1"/>
  <c r="K27" i="30"/>
  <c r="L27" i="30" s="1"/>
  <c r="M19" i="29"/>
  <c r="N19" i="29" s="1"/>
  <c r="K19" i="29"/>
  <c r="L19" i="29" s="1"/>
  <c r="N108" i="29"/>
  <c r="O108" i="29" s="1"/>
  <c r="L108" i="29"/>
  <c r="M108" i="29" s="1"/>
  <c r="M27" i="29"/>
  <c r="N27" i="29" s="1"/>
  <c r="K27" i="29"/>
  <c r="L27" i="29" s="1"/>
  <c r="N109" i="28"/>
  <c r="O109" i="28" s="1"/>
  <c r="L109" i="28"/>
  <c r="M109" i="28" s="1"/>
  <c r="M28" i="28"/>
  <c r="N28" i="28" s="1"/>
  <c r="K28" i="28"/>
  <c r="L28" i="28" s="1"/>
  <c r="N108" i="27"/>
  <c r="O108" i="27" s="1"/>
  <c r="L108" i="27"/>
  <c r="M108" i="27" s="1"/>
  <c r="M27" i="27"/>
  <c r="N27" i="27" s="1"/>
  <c r="K27" i="27"/>
  <c r="L27" i="27" s="1"/>
  <c r="N107" i="24"/>
  <c r="O107" i="24" s="1"/>
  <c r="L107" i="24"/>
  <c r="M107" i="24" s="1"/>
  <c r="M26" i="24"/>
  <c r="N26" i="24" s="1"/>
  <c r="K26" i="24"/>
  <c r="L26" i="24" s="1"/>
  <c r="N107" i="23"/>
  <c r="O107" i="23" s="1"/>
  <c r="L107" i="23"/>
  <c r="M107" i="23" s="1"/>
  <c r="M26" i="23"/>
  <c r="N26" i="23" s="1"/>
  <c r="K26" i="23"/>
  <c r="L26" i="23" s="1"/>
  <c r="N106" i="22"/>
  <c r="O106" i="22" s="1"/>
  <c r="L106" i="22"/>
  <c r="M106" i="22" s="1"/>
  <c r="M25" i="22"/>
  <c r="N25" i="22" s="1"/>
  <c r="K25" i="22"/>
  <c r="L25" i="22" s="1"/>
  <c r="N106" i="21"/>
  <c r="O106" i="21" s="1"/>
  <c r="L106" i="21"/>
  <c r="M106" i="21" s="1"/>
  <c r="M25" i="21"/>
  <c r="N25" i="21" s="1"/>
  <c r="K25" i="21"/>
  <c r="L25" i="21" s="1"/>
  <c r="N106" i="20"/>
  <c r="O106" i="20" s="1"/>
  <c r="L106" i="20"/>
  <c r="M106" i="20" s="1"/>
  <c r="M25" i="20"/>
  <c r="N25" i="20" s="1"/>
  <c r="K25" i="20"/>
  <c r="L25" i="20" s="1"/>
  <c r="N106" i="19"/>
  <c r="O106" i="19" s="1"/>
  <c r="L106" i="19"/>
  <c r="M106" i="19" s="1"/>
  <c r="M25" i="19"/>
  <c r="N25" i="19" s="1"/>
  <c r="K25" i="19"/>
  <c r="L25" i="19" s="1"/>
  <c r="N106" i="18"/>
  <c r="O106" i="18" s="1"/>
  <c r="L106" i="18"/>
  <c r="M106" i="18" s="1"/>
  <c r="M25" i="18"/>
  <c r="N25" i="18" s="1"/>
  <c r="K25" i="18"/>
  <c r="L25" i="18" s="1"/>
  <c r="N106" i="17"/>
  <c r="O106" i="17" s="1"/>
  <c r="L106" i="17"/>
  <c r="M106" i="17" s="1"/>
  <c r="M25" i="17"/>
  <c r="N25" i="17" s="1"/>
  <c r="K25" i="17"/>
  <c r="L25" i="17" s="1"/>
  <c r="N106" i="3"/>
  <c r="O106" i="3" s="1"/>
  <c r="L106" i="3"/>
  <c r="M106" i="3" s="1"/>
  <c r="M25" i="3"/>
  <c r="N25" i="3" s="1"/>
  <c r="K25" i="3"/>
  <c r="L25" i="3" s="1"/>
  <c r="W77" i="36"/>
  <c r="W78" i="36"/>
  <c r="W79" i="36"/>
  <c r="W80" i="36"/>
  <c r="W81" i="36"/>
  <c r="W82" i="36"/>
  <c r="W83" i="36"/>
  <c r="W84" i="36"/>
  <c r="F66" i="2"/>
  <c r="C66" i="2"/>
  <c r="P84" i="36"/>
  <c r="P83" i="36"/>
  <c r="P82" i="36"/>
  <c r="P81" i="36"/>
  <c r="P80" i="36"/>
  <c r="P79" i="36"/>
  <c r="P78" i="36"/>
  <c r="P77" i="36"/>
  <c r="M17" i="85"/>
  <c r="N17" i="85" s="1"/>
  <c r="K17" i="85"/>
  <c r="L17" i="85" s="1"/>
  <c r="C17" i="85"/>
  <c r="C18" i="85" s="1"/>
  <c r="C19" i="85" s="1"/>
  <c r="C20" i="85" s="1"/>
  <c r="C21" i="85" s="1"/>
  <c r="C22" i="85" s="1"/>
  <c r="C23" i="85" s="1"/>
  <c r="C24" i="85" s="1"/>
  <c r="C25" i="85" s="1"/>
  <c r="C26" i="85" s="1"/>
  <c r="C27" i="85" s="1"/>
  <c r="C28" i="85" s="1"/>
  <c r="C29" i="85" s="1"/>
  <c r="C30" i="85" s="1"/>
  <c r="C31" i="85" s="1"/>
  <c r="C32" i="85" s="1"/>
  <c r="C33" i="85" s="1"/>
  <c r="C34" i="85" s="1"/>
  <c r="C35" i="85" s="1"/>
  <c r="C36" i="85" s="1"/>
  <c r="C37" i="85" s="1"/>
  <c r="C38" i="85" s="1"/>
  <c r="C39" i="85" s="1"/>
  <c r="C40" i="85" s="1"/>
  <c r="C41" i="85" s="1"/>
  <c r="C42" i="85" s="1"/>
  <c r="C43" i="85" s="1"/>
  <c r="C44" i="85" s="1"/>
  <c r="C17" i="86"/>
  <c r="C18" i="86" s="1"/>
  <c r="C19" i="86" s="1"/>
  <c r="C20" i="86" s="1"/>
  <c r="C21" i="86" s="1"/>
  <c r="C22" i="86" s="1"/>
  <c r="C23" i="86" s="1"/>
  <c r="C24" i="86" s="1"/>
  <c r="C25" i="86" s="1"/>
  <c r="C26" i="86" s="1"/>
  <c r="C27" i="86" s="1"/>
  <c r="C28" i="86" s="1"/>
  <c r="C29" i="86" s="1"/>
  <c r="C30" i="86" s="1"/>
  <c r="C31" i="86" s="1"/>
  <c r="C32" i="86" s="1"/>
  <c r="C33" i="86" s="1"/>
  <c r="C34" i="86" s="1"/>
  <c r="C35" i="86" s="1"/>
  <c r="C36" i="86" s="1"/>
  <c r="C37" i="86" s="1"/>
  <c r="C38" i="86" s="1"/>
  <c r="C39" i="86" s="1"/>
  <c r="C40" i="86" s="1"/>
  <c r="C41" i="86" s="1"/>
  <c r="C42" i="86" s="1"/>
  <c r="C43" i="86" s="1"/>
  <c r="C44" i="86" s="1"/>
  <c r="C45" i="86" s="1"/>
  <c r="C46" i="86" s="1"/>
  <c r="C47" i="86" s="1"/>
  <c r="C48" i="86" s="1"/>
  <c r="C49" i="86" s="1"/>
  <c r="C50" i="86" s="1"/>
  <c r="C51" i="86" s="1"/>
  <c r="C52" i="86" s="1"/>
  <c r="C53" i="86" s="1"/>
  <c r="C54" i="86" s="1"/>
  <c r="C55" i="86" s="1"/>
  <c r="C56" i="86" s="1"/>
  <c r="C57" i="86" s="1"/>
  <c r="C58" i="86" s="1"/>
  <c r="C59" i="86" s="1"/>
  <c r="C60" i="86" s="1"/>
  <c r="C61" i="86" s="1"/>
  <c r="C62" i="86" s="1"/>
  <c r="C63" i="86" s="1"/>
  <c r="C64" i="86" s="1"/>
  <c r="C65" i="86" s="1"/>
  <c r="C66" i="86" s="1"/>
  <c r="C67" i="86" s="1"/>
  <c r="C68" i="86" s="1"/>
  <c r="C69" i="86" s="1"/>
  <c r="C70" i="86" s="1"/>
  <c r="C71" i="86" s="1"/>
  <c r="C72" i="86" s="1"/>
  <c r="C17" i="87"/>
  <c r="C18" i="87" s="1"/>
  <c r="C19" i="87" s="1"/>
  <c r="C20" i="87" s="1"/>
  <c r="C21" i="87" s="1"/>
  <c r="C22" i="87" s="1"/>
  <c r="C23" i="87" s="1"/>
  <c r="C24" i="87" s="1"/>
  <c r="C25" i="87" s="1"/>
  <c r="C26" i="87" s="1"/>
  <c r="C27" i="87" s="1"/>
  <c r="C28" i="87" s="1"/>
  <c r="C29" i="87" s="1"/>
  <c r="C30" i="87" s="1"/>
  <c r="C31" i="87" s="1"/>
  <c r="C32" i="87" s="1"/>
  <c r="C33" i="87" s="1"/>
  <c r="C34" i="87" s="1"/>
  <c r="C35" i="87" s="1"/>
  <c r="C36" i="87" s="1"/>
  <c r="C37" i="87" s="1"/>
  <c r="C38" i="87" s="1"/>
  <c r="C39" i="87" s="1"/>
  <c r="C40" i="87" s="1"/>
  <c r="C41" i="87" s="1"/>
  <c r="C42" i="87" s="1"/>
  <c r="C43" i="87" s="1"/>
  <c r="C44" i="87" s="1"/>
  <c r="C45" i="87" s="1"/>
  <c r="C46" i="87" s="1"/>
  <c r="C47" i="87" s="1"/>
  <c r="C48" i="87" s="1"/>
  <c r="C49" i="87" s="1"/>
  <c r="C50" i="87" s="1"/>
  <c r="C51" i="87" s="1"/>
  <c r="C52" i="87" s="1"/>
  <c r="C53" i="87" s="1"/>
  <c r="C54" i="87" s="1"/>
  <c r="C55" i="87" s="1"/>
  <c r="C56" i="87" s="1"/>
  <c r="C57" i="87" s="1"/>
  <c r="C58" i="87" s="1"/>
  <c r="C59" i="87" s="1"/>
  <c r="C60" i="87" s="1"/>
  <c r="C61" i="87" s="1"/>
  <c r="C62" i="87" s="1"/>
  <c r="C63" i="87" s="1"/>
  <c r="C64" i="87" s="1"/>
  <c r="C65" i="87" s="1"/>
  <c r="C66" i="87" s="1"/>
  <c r="C67" i="87" s="1"/>
  <c r="C68" i="87" s="1"/>
  <c r="C69" i="87" s="1"/>
  <c r="C70" i="87" s="1"/>
  <c r="C71" i="87" s="1"/>
  <c r="C72" i="87" s="1"/>
  <c r="C17" i="88"/>
  <c r="C18" i="88" s="1"/>
  <c r="C19" i="88" s="1"/>
  <c r="C20" i="88" s="1"/>
  <c r="C21" i="88" s="1"/>
  <c r="C22" i="88" s="1"/>
  <c r="C23" i="88" s="1"/>
  <c r="C24" i="88" s="1"/>
  <c r="C25" i="88" s="1"/>
  <c r="C26" i="88" s="1"/>
  <c r="C27" i="88" s="1"/>
  <c r="C28" i="88" s="1"/>
  <c r="C29" i="88" s="1"/>
  <c r="C30" i="88" s="1"/>
  <c r="C31" i="88" s="1"/>
  <c r="C32" i="88" s="1"/>
  <c r="C33" i="88" s="1"/>
  <c r="C34" i="88" s="1"/>
  <c r="C35" i="88" s="1"/>
  <c r="C36" i="88" s="1"/>
  <c r="C37" i="88" s="1"/>
  <c r="C38" i="88" s="1"/>
  <c r="C39" i="88" s="1"/>
  <c r="C40" i="88" s="1"/>
  <c r="C41" i="88" s="1"/>
  <c r="C42" i="88" s="1"/>
  <c r="C43" i="88" s="1"/>
  <c r="C44" i="88" s="1"/>
  <c r="C45" i="88" s="1"/>
  <c r="C46" i="88" s="1"/>
  <c r="C47" i="88" s="1"/>
  <c r="C48" i="88" s="1"/>
  <c r="C49" i="88" s="1"/>
  <c r="C50" i="88" s="1"/>
  <c r="C51" i="88" s="1"/>
  <c r="C52" i="88" s="1"/>
  <c r="C53" i="88" s="1"/>
  <c r="C54" i="88" s="1"/>
  <c r="C55" i="88" s="1"/>
  <c r="C56" i="88" s="1"/>
  <c r="C57" i="88" s="1"/>
  <c r="C58" i="88" s="1"/>
  <c r="C59" i="88" s="1"/>
  <c r="C60" i="88" s="1"/>
  <c r="C61" i="88" s="1"/>
  <c r="C62" i="88" s="1"/>
  <c r="C63" i="88" s="1"/>
  <c r="C64" i="88" s="1"/>
  <c r="C65" i="88" s="1"/>
  <c r="C66" i="88" s="1"/>
  <c r="C67" i="88" s="1"/>
  <c r="C68" i="88" s="1"/>
  <c r="C69" i="88" s="1"/>
  <c r="C70" i="88" s="1"/>
  <c r="C71" i="88" s="1"/>
  <c r="C72" i="88" s="1"/>
  <c r="C17" i="89"/>
  <c r="C18" i="89" s="1"/>
  <c r="C19" i="89" s="1"/>
  <c r="C20" i="89" s="1"/>
  <c r="C21" i="89" s="1"/>
  <c r="C22" i="89" s="1"/>
  <c r="C23" i="89" s="1"/>
  <c r="C24" i="89" s="1"/>
  <c r="C25" i="89" s="1"/>
  <c r="C26" i="89" s="1"/>
  <c r="C27" i="89" s="1"/>
  <c r="C28" i="89" s="1"/>
  <c r="C29" i="89" s="1"/>
  <c r="C30" i="89" s="1"/>
  <c r="C31" i="89" s="1"/>
  <c r="C32" i="89" s="1"/>
  <c r="C33" i="89" s="1"/>
  <c r="C34" i="89" s="1"/>
  <c r="C35" i="89" s="1"/>
  <c r="C36" i="89" s="1"/>
  <c r="C37" i="89" s="1"/>
  <c r="C38" i="89" s="1"/>
  <c r="C39" i="89" s="1"/>
  <c r="C40" i="89" s="1"/>
  <c r="C41" i="89" s="1"/>
  <c r="C42" i="89" s="1"/>
  <c r="C43" i="89" s="1"/>
  <c r="C44" i="89" s="1"/>
  <c r="C45" i="89" s="1"/>
  <c r="C46" i="89" s="1"/>
  <c r="C47" i="89" s="1"/>
  <c r="C48" i="89" s="1"/>
  <c r="C49" i="89" s="1"/>
  <c r="C50" i="89" s="1"/>
  <c r="C51" i="89" s="1"/>
  <c r="C52" i="89" s="1"/>
  <c r="C53" i="89" s="1"/>
  <c r="C54" i="89" s="1"/>
  <c r="C55" i="89" s="1"/>
  <c r="C56" i="89" s="1"/>
  <c r="C57" i="89" s="1"/>
  <c r="C58" i="89" s="1"/>
  <c r="C59" i="89" s="1"/>
  <c r="C60" i="89" s="1"/>
  <c r="C61" i="89" s="1"/>
  <c r="C62" i="89" s="1"/>
  <c r="C63" i="89" s="1"/>
  <c r="C64" i="89" s="1"/>
  <c r="C65" i="89" s="1"/>
  <c r="C66" i="89" s="1"/>
  <c r="C67" i="89" s="1"/>
  <c r="C68" i="89" s="1"/>
  <c r="C69" i="89" s="1"/>
  <c r="C70" i="89" s="1"/>
  <c r="C71" i="89" s="1"/>
  <c r="C72" i="89" s="1"/>
  <c r="C17" i="90"/>
  <c r="C18" i="90" s="1"/>
  <c r="C19" i="90" s="1"/>
  <c r="C20" i="90" s="1"/>
  <c r="C21" i="90" s="1"/>
  <c r="C22" i="90" s="1"/>
  <c r="C23" i="90" s="1"/>
  <c r="C24" i="90" s="1"/>
  <c r="C25" i="90" s="1"/>
  <c r="C26" i="90" s="1"/>
  <c r="C27" i="90" s="1"/>
  <c r="C28" i="90" s="1"/>
  <c r="C29" i="90" s="1"/>
  <c r="C30" i="90" s="1"/>
  <c r="C31" i="90" s="1"/>
  <c r="C32" i="90" s="1"/>
  <c r="C33" i="90" s="1"/>
  <c r="C34" i="90" s="1"/>
  <c r="C35" i="90" s="1"/>
  <c r="C36" i="90" s="1"/>
  <c r="C37" i="90" s="1"/>
  <c r="C38" i="90" s="1"/>
  <c r="C39" i="90" s="1"/>
  <c r="C40" i="90" s="1"/>
  <c r="C41" i="90" s="1"/>
  <c r="C42" i="90" s="1"/>
  <c r="C43" i="90" s="1"/>
  <c r="C44" i="90" s="1"/>
  <c r="C45" i="90" s="1"/>
  <c r="C46" i="90" s="1"/>
  <c r="C47" i="90" s="1"/>
  <c r="C48" i="90" s="1"/>
  <c r="C49" i="90" s="1"/>
  <c r="C50" i="90" s="1"/>
  <c r="C51" i="90" s="1"/>
  <c r="C52" i="90" s="1"/>
  <c r="C53" i="90" s="1"/>
  <c r="C54" i="90" s="1"/>
  <c r="C55" i="90" s="1"/>
  <c r="C56" i="90" s="1"/>
  <c r="C57" i="90" s="1"/>
  <c r="C58" i="90" s="1"/>
  <c r="C59" i="90" s="1"/>
  <c r="C60" i="90" s="1"/>
  <c r="C61" i="90" s="1"/>
  <c r="C62" i="90" s="1"/>
  <c r="C63" i="90" s="1"/>
  <c r="C64" i="90" s="1"/>
  <c r="C65" i="90" s="1"/>
  <c r="C66" i="90" s="1"/>
  <c r="C67" i="90" s="1"/>
  <c r="C68" i="90" s="1"/>
  <c r="C69" i="90" s="1"/>
  <c r="C70" i="90" s="1"/>
  <c r="C71" i="90" s="1"/>
  <c r="C72" i="90" s="1"/>
  <c r="C17" i="91"/>
  <c r="C18" i="91" s="1"/>
  <c r="C19" i="91" s="1"/>
  <c r="C20" i="91" s="1"/>
  <c r="C21" i="91" s="1"/>
  <c r="C22" i="91" s="1"/>
  <c r="C23" i="91" s="1"/>
  <c r="C24" i="91" s="1"/>
  <c r="C25" i="91" s="1"/>
  <c r="C26" i="91" s="1"/>
  <c r="C27" i="91" s="1"/>
  <c r="C28" i="91" s="1"/>
  <c r="C29" i="91" s="1"/>
  <c r="C30" i="91" s="1"/>
  <c r="C31" i="91" s="1"/>
  <c r="C32" i="91" s="1"/>
  <c r="C33" i="91" s="1"/>
  <c r="C34" i="91" s="1"/>
  <c r="C35" i="91" s="1"/>
  <c r="C36" i="91" s="1"/>
  <c r="C37" i="91" s="1"/>
  <c r="C38" i="91" s="1"/>
  <c r="C39" i="91" s="1"/>
  <c r="C40" i="91" s="1"/>
  <c r="C41" i="91" s="1"/>
  <c r="C42" i="91" s="1"/>
  <c r="C43" i="91" s="1"/>
  <c r="C44" i="91" s="1"/>
  <c r="C45" i="91" s="1"/>
  <c r="C46" i="91" s="1"/>
  <c r="C47" i="91" s="1"/>
  <c r="C48" i="91" s="1"/>
  <c r="C49" i="91" s="1"/>
  <c r="C50" i="91" s="1"/>
  <c r="C51" i="91" s="1"/>
  <c r="C52" i="91" s="1"/>
  <c r="C53" i="91" s="1"/>
  <c r="C54" i="91" s="1"/>
  <c r="C55" i="91" s="1"/>
  <c r="C56" i="91" s="1"/>
  <c r="C57" i="91" s="1"/>
  <c r="C58" i="91" s="1"/>
  <c r="C59" i="91" s="1"/>
  <c r="C60" i="91" s="1"/>
  <c r="C61" i="91" s="1"/>
  <c r="C62" i="91" s="1"/>
  <c r="C63" i="91" s="1"/>
  <c r="C64" i="91" s="1"/>
  <c r="C65" i="91" s="1"/>
  <c r="C66" i="91" s="1"/>
  <c r="C67" i="91" s="1"/>
  <c r="C68" i="91" s="1"/>
  <c r="C69" i="91" s="1"/>
  <c r="C70" i="91" s="1"/>
  <c r="C71" i="91" s="1"/>
  <c r="C72" i="91" s="1"/>
  <c r="C17" i="92"/>
  <c r="C18" i="92" s="1"/>
  <c r="C19" i="92" s="1"/>
  <c r="C20" i="92" s="1"/>
  <c r="C21" i="92" s="1"/>
  <c r="C22" i="92" s="1"/>
  <c r="C23" i="92" s="1"/>
  <c r="C24" i="92" s="1"/>
  <c r="C25" i="92" s="1"/>
  <c r="C26" i="92" s="1"/>
  <c r="C27" i="92" s="1"/>
  <c r="C28" i="92" s="1"/>
  <c r="C29" i="92" s="1"/>
  <c r="C30" i="92" s="1"/>
  <c r="C31" i="92" s="1"/>
  <c r="C32" i="92" s="1"/>
  <c r="C33" i="92" s="1"/>
  <c r="C34" i="92" s="1"/>
  <c r="C35" i="92" s="1"/>
  <c r="C36" i="92" s="1"/>
  <c r="C37" i="92" s="1"/>
  <c r="C38" i="92" s="1"/>
  <c r="C39" i="92" s="1"/>
  <c r="C40" i="92" s="1"/>
  <c r="C41" i="92" s="1"/>
  <c r="C42" i="92" s="1"/>
  <c r="C43" i="92" s="1"/>
  <c r="C44" i="92" s="1"/>
  <c r="C45" i="92" s="1"/>
  <c r="C46" i="92" s="1"/>
  <c r="C47" i="92" s="1"/>
  <c r="C48" i="92" s="1"/>
  <c r="C49" i="92" s="1"/>
  <c r="C50" i="92" s="1"/>
  <c r="C51" i="92" s="1"/>
  <c r="C52" i="92" s="1"/>
  <c r="C53" i="92" s="1"/>
  <c r="C54" i="92" s="1"/>
  <c r="C55" i="92" s="1"/>
  <c r="C56" i="92" s="1"/>
  <c r="C57" i="92" s="1"/>
  <c r="C58" i="92" s="1"/>
  <c r="C59" i="92" s="1"/>
  <c r="C60" i="92" s="1"/>
  <c r="C61" i="92" s="1"/>
  <c r="C62" i="92" s="1"/>
  <c r="C63" i="92" s="1"/>
  <c r="C64" i="92" s="1"/>
  <c r="C65" i="92" s="1"/>
  <c r="C66" i="92" s="1"/>
  <c r="C67" i="92" s="1"/>
  <c r="C68" i="92" s="1"/>
  <c r="C69" i="92" s="1"/>
  <c r="C70" i="92" s="1"/>
  <c r="C71" i="92" s="1"/>
  <c r="C72" i="92" s="1"/>
  <c r="C17" i="13"/>
  <c r="C18" i="13" s="1"/>
  <c r="C19" i="13" s="1"/>
  <c r="C20" i="13" s="1"/>
  <c r="C21" i="13" s="1"/>
  <c r="C22" i="13" s="1"/>
  <c r="C23" i="13" s="1"/>
  <c r="C24" i="13" s="1"/>
  <c r="C25" i="13" s="1"/>
  <c r="C26" i="13" s="1"/>
  <c r="C27" i="13" s="1"/>
  <c r="C28" i="13" s="1"/>
  <c r="C29" i="13" s="1"/>
  <c r="C30" i="13" s="1"/>
  <c r="C31" i="13" s="1"/>
  <c r="C32" i="13" s="1"/>
  <c r="C33" i="13" s="1"/>
  <c r="C34" i="13" s="1"/>
  <c r="C35" i="13" s="1"/>
  <c r="C36" i="13" s="1"/>
  <c r="C37" i="13" s="1"/>
  <c r="C38" i="13" s="1"/>
  <c r="C39" i="13" s="1"/>
  <c r="C40" i="13" s="1"/>
  <c r="C41" i="13" s="1"/>
  <c r="C42" i="13" s="1"/>
  <c r="C43" i="13" s="1"/>
  <c r="C44" i="13" s="1"/>
  <c r="C45" i="13" s="1"/>
  <c r="C46" i="13" s="1"/>
  <c r="C47" i="13" s="1"/>
  <c r="C48" i="13" s="1"/>
  <c r="C49" i="13" s="1"/>
  <c r="C50" i="13" s="1"/>
  <c r="C51" i="13" s="1"/>
  <c r="C52" i="13" s="1"/>
  <c r="C53" i="13" s="1"/>
  <c r="C54" i="13" s="1"/>
  <c r="C55" i="13" s="1"/>
  <c r="C56" i="13" s="1"/>
  <c r="C57" i="13" s="1"/>
  <c r="C58" i="13" s="1"/>
  <c r="C59" i="13" s="1"/>
  <c r="C60" i="13" s="1"/>
  <c r="C61" i="13" s="1"/>
  <c r="C62" i="13" s="1"/>
  <c r="C63" i="13" s="1"/>
  <c r="C64" i="13" s="1"/>
  <c r="C65" i="13" s="1"/>
  <c r="C66" i="13" s="1"/>
  <c r="C67" i="13" s="1"/>
  <c r="C68" i="13" s="1"/>
  <c r="C69" i="13" s="1"/>
  <c r="C70" i="13" s="1"/>
  <c r="C71" i="13" s="1"/>
  <c r="C72" i="13" s="1"/>
  <c r="W76" i="36"/>
  <c r="P76" i="36"/>
  <c r="P83" i="92"/>
  <c r="P83" i="91"/>
  <c r="P83" i="90"/>
  <c r="P83" i="89"/>
  <c r="P83" i="88"/>
  <c r="P83" i="87"/>
  <c r="P83" i="86"/>
  <c r="P83" i="85"/>
  <c r="P83" i="84"/>
  <c r="P154" i="92"/>
  <c r="O154" i="92"/>
  <c r="M154" i="92"/>
  <c r="J154" i="92"/>
  <c r="P153" i="92"/>
  <c r="O153" i="92"/>
  <c r="M153" i="92"/>
  <c r="J153" i="92"/>
  <c r="P152" i="92"/>
  <c r="O152" i="92"/>
  <c r="M152" i="92"/>
  <c r="J152" i="92"/>
  <c r="P151" i="92"/>
  <c r="O151" i="92"/>
  <c r="M151" i="92"/>
  <c r="J151" i="92"/>
  <c r="P150" i="92"/>
  <c r="O150" i="92"/>
  <c r="M150" i="92"/>
  <c r="J150" i="92"/>
  <c r="P149" i="92"/>
  <c r="O149" i="92"/>
  <c r="M149" i="92"/>
  <c r="J149" i="92"/>
  <c r="P148" i="92"/>
  <c r="O148" i="92"/>
  <c r="M148" i="92"/>
  <c r="J148" i="92"/>
  <c r="P147" i="92"/>
  <c r="O147" i="92"/>
  <c r="M147" i="92"/>
  <c r="J147" i="92"/>
  <c r="P146" i="92"/>
  <c r="O146" i="92"/>
  <c r="M146" i="92"/>
  <c r="J146" i="92"/>
  <c r="P145" i="92"/>
  <c r="O145" i="92"/>
  <c r="M145" i="92"/>
  <c r="J145" i="92"/>
  <c r="P144" i="92"/>
  <c r="O144" i="92"/>
  <c r="M144" i="92"/>
  <c r="J144" i="92"/>
  <c r="P143" i="92"/>
  <c r="O143" i="92"/>
  <c r="M143" i="92"/>
  <c r="J143" i="92"/>
  <c r="P142" i="92"/>
  <c r="O142" i="92"/>
  <c r="M142" i="92"/>
  <c r="J142" i="92"/>
  <c r="P141" i="92"/>
  <c r="O141" i="92"/>
  <c r="M141" i="92"/>
  <c r="J141" i="92"/>
  <c r="P140" i="92"/>
  <c r="O140" i="92"/>
  <c r="M140" i="92"/>
  <c r="J140" i="92"/>
  <c r="P139" i="92"/>
  <c r="O139" i="92"/>
  <c r="M139" i="92"/>
  <c r="J139" i="92"/>
  <c r="P138" i="92"/>
  <c r="O138" i="92"/>
  <c r="M138" i="92"/>
  <c r="J138" i="92"/>
  <c r="P137" i="92"/>
  <c r="O137" i="92"/>
  <c r="M137" i="92"/>
  <c r="J137" i="92"/>
  <c r="P136" i="92"/>
  <c r="O136" i="92"/>
  <c r="M136" i="92"/>
  <c r="J136" i="92"/>
  <c r="P135" i="92"/>
  <c r="O135" i="92"/>
  <c r="M135" i="92"/>
  <c r="J135" i="92"/>
  <c r="P134" i="92"/>
  <c r="O134" i="92"/>
  <c r="M134" i="92"/>
  <c r="J134" i="92"/>
  <c r="P133" i="92"/>
  <c r="O133" i="92"/>
  <c r="M133" i="92"/>
  <c r="J133" i="92"/>
  <c r="P132" i="92"/>
  <c r="O132" i="92"/>
  <c r="M132" i="92"/>
  <c r="J132" i="92"/>
  <c r="P131" i="92"/>
  <c r="O131" i="92"/>
  <c r="M131" i="92"/>
  <c r="J131" i="92"/>
  <c r="O130" i="92"/>
  <c r="M130" i="92"/>
  <c r="O129" i="92"/>
  <c r="M129" i="92"/>
  <c r="O128" i="92"/>
  <c r="M128" i="92"/>
  <c r="O127" i="92"/>
  <c r="M127" i="92"/>
  <c r="O126" i="92"/>
  <c r="M126" i="92"/>
  <c r="O125" i="92"/>
  <c r="M125" i="92"/>
  <c r="O124" i="92"/>
  <c r="M124" i="92"/>
  <c r="O123" i="92"/>
  <c r="M123" i="92"/>
  <c r="O122" i="92"/>
  <c r="M122" i="92"/>
  <c r="O121" i="92"/>
  <c r="M121" i="92"/>
  <c r="O120" i="92"/>
  <c r="M120" i="92"/>
  <c r="O119" i="92"/>
  <c r="M119" i="92"/>
  <c r="O118" i="92"/>
  <c r="M118" i="92"/>
  <c r="O117" i="92"/>
  <c r="M117" i="92"/>
  <c r="O116" i="92"/>
  <c r="M116" i="92"/>
  <c r="O115" i="92"/>
  <c r="M115" i="92"/>
  <c r="O114" i="92"/>
  <c r="M114" i="92"/>
  <c r="O113" i="92"/>
  <c r="M113" i="92"/>
  <c r="O112" i="92"/>
  <c r="M112" i="92"/>
  <c r="O111" i="92"/>
  <c r="M111" i="92"/>
  <c r="O110" i="92"/>
  <c r="M110" i="92"/>
  <c r="O109" i="92"/>
  <c r="M109" i="92"/>
  <c r="O108" i="92"/>
  <c r="M108" i="92"/>
  <c r="O107" i="92"/>
  <c r="M107" i="92"/>
  <c r="O106" i="92"/>
  <c r="M106" i="92"/>
  <c r="O103" i="92"/>
  <c r="O102" i="92"/>
  <c r="O101" i="92"/>
  <c r="O100" i="92"/>
  <c r="D96" i="92"/>
  <c r="L93" i="92"/>
  <c r="J93" i="92"/>
  <c r="D91" i="92"/>
  <c r="D89" i="92"/>
  <c r="N72" i="92"/>
  <c r="L72" i="92"/>
  <c r="N71" i="92"/>
  <c r="L71" i="92"/>
  <c r="N70" i="92"/>
  <c r="L70" i="92"/>
  <c r="N69" i="92"/>
  <c r="L69" i="92"/>
  <c r="N68" i="92"/>
  <c r="L68" i="92"/>
  <c r="N67" i="92"/>
  <c r="L67" i="92"/>
  <c r="N66" i="92"/>
  <c r="L66" i="92"/>
  <c r="N65" i="92"/>
  <c r="L65" i="92"/>
  <c r="N64" i="92"/>
  <c r="L64" i="92"/>
  <c r="N63" i="92"/>
  <c r="L63" i="92"/>
  <c r="N62" i="92"/>
  <c r="L62" i="92"/>
  <c r="N61" i="92"/>
  <c r="L61" i="92"/>
  <c r="N60" i="92"/>
  <c r="L60" i="92"/>
  <c r="N59" i="92"/>
  <c r="L59" i="92"/>
  <c r="N58" i="92"/>
  <c r="L58" i="92"/>
  <c r="N57" i="92"/>
  <c r="L57" i="92"/>
  <c r="N56" i="92"/>
  <c r="L56" i="92"/>
  <c r="N55" i="92"/>
  <c r="L55" i="92"/>
  <c r="N54" i="92"/>
  <c r="L54" i="92"/>
  <c r="N53" i="92"/>
  <c r="L53" i="92"/>
  <c r="N52" i="92"/>
  <c r="L52" i="92"/>
  <c r="N51" i="92"/>
  <c r="L51" i="92"/>
  <c r="N50" i="92"/>
  <c r="L50" i="92"/>
  <c r="N49" i="92"/>
  <c r="L49" i="92"/>
  <c r="N48" i="92"/>
  <c r="L48" i="92"/>
  <c r="N47" i="92"/>
  <c r="L47" i="92"/>
  <c r="N46" i="92"/>
  <c r="L46" i="92"/>
  <c r="N45" i="92"/>
  <c r="L45" i="92"/>
  <c r="N44" i="92"/>
  <c r="L44" i="92"/>
  <c r="N43" i="92"/>
  <c r="L43" i="92"/>
  <c r="N42" i="92"/>
  <c r="L42" i="92"/>
  <c r="N41" i="92"/>
  <c r="L41" i="92"/>
  <c r="N40" i="92"/>
  <c r="L40" i="92"/>
  <c r="N39" i="92"/>
  <c r="L39" i="92"/>
  <c r="N38" i="92"/>
  <c r="L38" i="92"/>
  <c r="N37" i="92"/>
  <c r="L37" i="92"/>
  <c r="N36" i="92"/>
  <c r="L36" i="92"/>
  <c r="N35" i="92"/>
  <c r="L35" i="92"/>
  <c r="N34" i="92"/>
  <c r="L34" i="92"/>
  <c r="N33" i="92"/>
  <c r="L33" i="92"/>
  <c r="N32" i="92"/>
  <c r="L32" i="92"/>
  <c r="N31" i="92"/>
  <c r="L31" i="92"/>
  <c r="N30" i="92"/>
  <c r="L30" i="92"/>
  <c r="N29" i="92"/>
  <c r="L29" i="92"/>
  <c r="N28" i="92"/>
  <c r="L28" i="92"/>
  <c r="N27" i="92"/>
  <c r="L27" i="92"/>
  <c r="N26" i="92"/>
  <c r="L26" i="92"/>
  <c r="N25" i="92"/>
  <c r="L25" i="92"/>
  <c r="N23" i="92"/>
  <c r="N22" i="92"/>
  <c r="N21" i="92"/>
  <c r="N20" i="92"/>
  <c r="N19" i="92"/>
  <c r="O19" i="92" s="1"/>
  <c r="K11" i="92"/>
  <c r="I11" i="92"/>
  <c r="D8" i="92"/>
  <c r="D90" i="92" s="1"/>
  <c r="P154" i="91"/>
  <c r="O154" i="91"/>
  <c r="M154" i="91"/>
  <c r="J154" i="91"/>
  <c r="P153" i="91"/>
  <c r="O153" i="91"/>
  <c r="M153" i="91"/>
  <c r="J153" i="91"/>
  <c r="P152" i="91"/>
  <c r="O152" i="91"/>
  <c r="M152" i="91"/>
  <c r="J152" i="91"/>
  <c r="P151" i="91"/>
  <c r="O151" i="91"/>
  <c r="M151" i="91"/>
  <c r="J151" i="91"/>
  <c r="P150" i="91"/>
  <c r="O150" i="91"/>
  <c r="M150" i="91"/>
  <c r="J150" i="91"/>
  <c r="P149" i="91"/>
  <c r="O149" i="91"/>
  <c r="M149" i="91"/>
  <c r="J149" i="91"/>
  <c r="P148" i="91"/>
  <c r="O148" i="91"/>
  <c r="M148" i="91"/>
  <c r="J148" i="91"/>
  <c r="P147" i="91"/>
  <c r="O147" i="91"/>
  <c r="M147" i="91"/>
  <c r="J147" i="91"/>
  <c r="P146" i="91"/>
  <c r="O146" i="91"/>
  <c r="M146" i="91"/>
  <c r="J146" i="91"/>
  <c r="P145" i="91"/>
  <c r="O145" i="91"/>
  <c r="M145" i="91"/>
  <c r="J145" i="91"/>
  <c r="P144" i="91"/>
  <c r="O144" i="91"/>
  <c r="M144" i="91"/>
  <c r="J144" i="91"/>
  <c r="P143" i="91"/>
  <c r="O143" i="91"/>
  <c r="M143" i="91"/>
  <c r="J143" i="91"/>
  <c r="P142" i="91"/>
  <c r="O142" i="91"/>
  <c r="M142" i="91"/>
  <c r="J142" i="91"/>
  <c r="P141" i="91"/>
  <c r="O141" i="91"/>
  <c r="M141" i="91"/>
  <c r="J141" i="91"/>
  <c r="P140" i="91"/>
  <c r="O140" i="91"/>
  <c r="M140" i="91"/>
  <c r="J140" i="91"/>
  <c r="P139" i="91"/>
  <c r="O139" i="91"/>
  <c r="M139" i="91"/>
  <c r="J139" i="91"/>
  <c r="P138" i="91"/>
  <c r="O138" i="91"/>
  <c r="M138" i="91"/>
  <c r="J138" i="91"/>
  <c r="P137" i="91"/>
  <c r="O137" i="91"/>
  <c r="M137" i="91"/>
  <c r="J137" i="91"/>
  <c r="P136" i="91"/>
  <c r="O136" i="91"/>
  <c r="M136" i="91"/>
  <c r="J136" i="91"/>
  <c r="P135" i="91"/>
  <c r="O135" i="91"/>
  <c r="M135" i="91"/>
  <c r="J135" i="91"/>
  <c r="P134" i="91"/>
  <c r="O134" i="91"/>
  <c r="M134" i="91"/>
  <c r="J134" i="91"/>
  <c r="P133" i="91"/>
  <c r="O133" i="91"/>
  <c r="M133" i="91"/>
  <c r="J133" i="91"/>
  <c r="P132" i="91"/>
  <c r="O132" i="91"/>
  <c r="M132" i="91"/>
  <c r="J132" i="91"/>
  <c r="P131" i="91"/>
  <c r="O131" i="91"/>
  <c r="M131" i="91"/>
  <c r="J131" i="91"/>
  <c r="O130" i="91"/>
  <c r="M130" i="91"/>
  <c r="O129" i="91"/>
  <c r="M129" i="91"/>
  <c r="O128" i="91"/>
  <c r="M128" i="91"/>
  <c r="O127" i="91"/>
  <c r="M127" i="91"/>
  <c r="O126" i="91"/>
  <c r="M126" i="91"/>
  <c r="O125" i="91"/>
  <c r="M125" i="91"/>
  <c r="O124" i="91"/>
  <c r="M124" i="91"/>
  <c r="O123" i="91"/>
  <c r="M123" i="91"/>
  <c r="O122" i="91"/>
  <c r="M122" i="91"/>
  <c r="O121" i="91"/>
  <c r="M121" i="91"/>
  <c r="O120" i="91"/>
  <c r="M120" i="91"/>
  <c r="O119" i="91"/>
  <c r="M119" i="91"/>
  <c r="O118" i="91"/>
  <c r="M118" i="91"/>
  <c r="O117" i="91"/>
  <c r="M117" i="91"/>
  <c r="O116" i="91"/>
  <c r="M116" i="91"/>
  <c r="O115" i="91"/>
  <c r="M115" i="91"/>
  <c r="O114" i="91"/>
  <c r="M114" i="91"/>
  <c r="O113" i="91"/>
  <c r="M113" i="91"/>
  <c r="O112" i="91"/>
  <c r="M112" i="91"/>
  <c r="O111" i="91"/>
  <c r="M111" i="91"/>
  <c r="O110" i="91"/>
  <c r="M110" i="91"/>
  <c r="O109" i="91"/>
  <c r="M109" i="91"/>
  <c r="O108" i="91"/>
  <c r="M108" i="91"/>
  <c r="O107" i="91"/>
  <c r="M107" i="91"/>
  <c r="O106" i="91"/>
  <c r="M106" i="91"/>
  <c r="O103" i="91"/>
  <c r="O102" i="91"/>
  <c r="O101" i="91"/>
  <c r="O100" i="91"/>
  <c r="D96" i="91"/>
  <c r="L93" i="91"/>
  <c r="J93" i="91"/>
  <c r="D91" i="91"/>
  <c r="D89" i="91"/>
  <c r="N72" i="91"/>
  <c r="L72" i="91"/>
  <c r="N71" i="91"/>
  <c r="L71" i="91"/>
  <c r="N70" i="91"/>
  <c r="L70" i="91"/>
  <c r="N69" i="91"/>
  <c r="L69" i="91"/>
  <c r="N68" i="91"/>
  <c r="L68" i="91"/>
  <c r="N67" i="91"/>
  <c r="L67" i="91"/>
  <c r="N66" i="91"/>
  <c r="L66" i="91"/>
  <c r="N65" i="91"/>
  <c r="L65" i="91"/>
  <c r="N64" i="91"/>
  <c r="L64" i="91"/>
  <c r="N63" i="91"/>
  <c r="L63" i="91"/>
  <c r="N62" i="91"/>
  <c r="L62" i="91"/>
  <c r="N61" i="91"/>
  <c r="L61" i="91"/>
  <c r="N60" i="91"/>
  <c r="L60" i="91"/>
  <c r="N59" i="91"/>
  <c r="L59" i="91"/>
  <c r="N58" i="91"/>
  <c r="L58" i="91"/>
  <c r="N57" i="91"/>
  <c r="L57" i="91"/>
  <c r="N56" i="91"/>
  <c r="L56" i="91"/>
  <c r="N55" i="91"/>
  <c r="L55" i="91"/>
  <c r="N54" i="91"/>
  <c r="L54" i="91"/>
  <c r="N53" i="91"/>
  <c r="L53" i="91"/>
  <c r="N52" i="91"/>
  <c r="L52" i="91"/>
  <c r="N51" i="91"/>
  <c r="L51" i="91"/>
  <c r="N50" i="91"/>
  <c r="L50" i="91"/>
  <c r="N49" i="91"/>
  <c r="L49" i="91"/>
  <c r="N48" i="91"/>
  <c r="L48" i="91"/>
  <c r="N47" i="91"/>
  <c r="L47" i="91"/>
  <c r="N46" i="91"/>
  <c r="L46" i="91"/>
  <c r="N45" i="91"/>
  <c r="L45" i="91"/>
  <c r="N44" i="91"/>
  <c r="L44" i="91"/>
  <c r="N43" i="91"/>
  <c r="L43" i="91"/>
  <c r="N42" i="91"/>
  <c r="L42" i="91"/>
  <c r="N41" i="91"/>
  <c r="L41" i="91"/>
  <c r="N40" i="91"/>
  <c r="L40" i="91"/>
  <c r="N39" i="91"/>
  <c r="L39" i="91"/>
  <c r="N38" i="91"/>
  <c r="L38" i="91"/>
  <c r="N37" i="91"/>
  <c r="L37" i="91"/>
  <c r="N36" i="91"/>
  <c r="L36" i="91"/>
  <c r="N35" i="91"/>
  <c r="L35" i="91"/>
  <c r="N34" i="91"/>
  <c r="L34" i="91"/>
  <c r="N33" i="91"/>
  <c r="L33" i="91"/>
  <c r="N32" i="91"/>
  <c r="L32" i="91"/>
  <c r="N31" i="91"/>
  <c r="L31" i="91"/>
  <c r="N30" i="91"/>
  <c r="L30" i="91"/>
  <c r="N29" i="91"/>
  <c r="L29" i="91"/>
  <c r="N28" i="91"/>
  <c r="L28" i="91"/>
  <c r="N27" i="91"/>
  <c r="L27" i="91"/>
  <c r="N26" i="91"/>
  <c r="L26" i="91"/>
  <c r="N25" i="91"/>
  <c r="L25" i="91"/>
  <c r="N23" i="91"/>
  <c r="N22" i="91"/>
  <c r="N21" i="91"/>
  <c r="N20" i="91"/>
  <c r="N19" i="91"/>
  <c r="O19" i="91" s="1"/>
  <c r="K11" i="91"/>
  <c r="I11" i="91"/>
  <c r="D8" i="91"/>
  <c r="D90" i="91" s="1"/>
  <c r="P154" i="90"/>
  <c r="O154" i="90"/>
  <c r="M154" i="90"/>
  <c r="J154" i="90"/>
  <c r="P153" i="90"/>
  <c r="O153" i="90"/>
  <c r="M153" i="90"/>
  <c r="J153" i="90"/>
  <c r="P152" i="90"/>
  <c r="O152" i="90"/>
  <c r="M152" i="90"/>
  <c r="J152" i="90"/>
  <c r="P151" i="90"/>
  <c r="O151" i="90"/>
  <c r="M151" i="90"/>
  <c r="J151" i="90"/>
  <c r="P150" i="90"/>
  <c r="O150" i="90"/>
  <c r="M150" i="90"/>
  <c r="J150" i="90"/>
  <c r="P149" i="90"/>
  <c r="O149" i="90"/>
  <c r="M149" i="90"/>
  <c r="J149" i="90"/>
  <c r="P148" i="90"/>
  <c r="O148" i="90"/>
  <c r="M148" i="90"/>
  <c r="J148" i="90"/>
  <c r="P147" i="90"/>
  <c r="O147" i="90"/>
  <c r="M147" i="90"/>
  <c r="J147" i="90"/>
  <c r="P146" i="90"/>
  <c r="O146" i="90"/>
  <c r="M146" i="90"/>
  <c r="J146" i="90"/>
  <c r="P145" i="90"/>
  <c r="O145" i="90"/>
  <c r="M145" i="90"/>
  <c r="J145" i="90"/>
  <c r="P144" i="90"/>
  <c r="O144" i="90"/>
  <c r="M144" i="90"/>
  <c r="J144" i="90"/>
  <c r="P143" i="90"/>
  <c r="O143" i="90"/>
  <c r="M143" i="90"/>
  <c r="J143" i="90"/>
  <c r="P142" i="90"/>
  <c r="O142" i="90"/>
  <c r="M142" i="90"/>
  <c r="J142" i="90"/>
  <c r="P141" i="90"/>
  <c r="O141" i="90"/>
  <c r="M141" i="90"/>
  <c r="J141" i="90"/>
  <c r="P140" i="90"/>
  <c r="O140" i="90"/>
  <c r="M140" i="90"/>
  <c r="J140" i="90"/>
  <c r="P139" i="90"/>
  <c r="O139" i="90"/>
  <c r="M139" i="90"/>
  <c r="J139" i="90"/>
  <c r="P138" i="90"/>
  <c r="O138" i="90"/>
  <c r="M138" i="90"/>
  <c r="J138" i="90"/>
  <c r="P137" i="90"/>
  <c r="O137" i="90"/>
  <c r="M137" i="90"/>
  <c r="J137" i="90"/>
  <c r="P136" i="90"/>
  <c r="O136" i="90"/>
  <c r="M136" i="90"/>
  <c r="J136" i="90"/>
  <c r="P135" i="90"/>
  <c r="O135" i="90"/>
  <c r="M135" i="90"/>
  <c r="J135" i="90"/>
  <c r="P134" i="90"/>
  <c r="O134" i="90"/>
  <c r="M134" i="90"/>
  <c r="J134" i="90"/>
  <c r="P133" i="90"/>
  <c r="O133" i="90"/>
  <c r="M133" i="90"/>
  <c r="J133" i="90"/>
  <c r="P132" i="90"/>
  <c r="O132" i="90"/>
  <c r="M132" i="90"/>
  <c r="J132" i="90"/>
  <c r="P131" i="90"/>
  <c r="O131" i="90"/>
  <c r="M131" i="90"/>
  <c r="J131" i="90"/>
  <c r="O130" i="90"/>
  <c r="M130" i="90"/>
  <c r="O129" i="90"/>
  <c r="M129" i="90"/>
  <c r="O128" i="90"/>
  <c r="M128" i="90"/>
  <c r="O127" i="90"/>
  <c r="M127" i="90"/>
  <c r="O126" i="90"/>
  <c r="M126" i="90"/>
  <c r="O125" i="90"/>
  <c r="M125" i="90"/>
  <c r="O124" i="90"/>
  <c r="M124" i="90"/>
  <c r="O123" i="90"/>
  <c r="M123" i="90"/>
  <c r="O122" i="90"/>
  <c r="M122" i="90"/>
  <c r="O121" i="90"/>
  <c r="M121" i="90"/>
  <c r="O120" i="90"/>
  <c r="M120" i="90"/>
  <c r="O119" i="90"/>
  <c r="M119" i="90"/>
  <c r="O118" i="90"/>
  <c r="M118" i="90"/>
  <c r="O117" i="90"/>
  <c r="M117" i="90"/>
  <c r="O116" i="90"/>
  <c r="M116" i="90"/>
  <c r="O115" i="90"/>
  <c r="M115" i="90"/>
  <c r="O114" i="90"/>
  <c r="M114" i="90"/>
  <c r="O113" i="90"/>
  <c r="M113" i="90"/>
  <c r="O112" i="90"/>
  <c r="M112" i="90"/>
  <c r="O111" i="90"/>
  <c r="M111" i="90"/>
  <c r="O110" i="90"/>
  <c r="M110" i="90"/>
  <c r="O109" i="90"/>
  <c r="M109" i="90"/>
  <c r="O108" i="90"/>
  <c r="M108" i="90"/>
  <c r="O107" i="90"/>
  <c r="M107" i="90"/>
  <c r="O106" i="90"/>
  <c r="M106" i="90"/>
  <c r="O105" i="90"/>
  <c r="O103" i="90"/>
  <c r="O102" i="90"/>
  <c r="O101" i="90"/>
  <c r="O100" i="90"/>
  <c r="D96" i="90"/>
  <c r="L93" i="90"/>
  <c r="J93" i="90"/>
  <c r="D91" i="90"/>
  <c r="D89" i="90"/>
  <c r="N72" i="90"/>
  <c r="L72" i="90"/>
  <c r="N71" i="90"/>
  <c r="L71" i="90"/>
  <c r="N70" i="90"/>
  <c r="L70" i="90"/>
  <c r="N69" i="90"/>
  <c r="L69" i="90"/>
  <c r="N68" i="90"/>
  <c r="L68" i="90"/>
  <c r="N67" i="90"/>
  <c r="L67" i="90"/>
  <c r="N66" i="90"/>
  <c r="L66" i="90"/>
  <c r="N65" i="90"/>
  <c r="L65" i="90"/>
  <c r="N64" i="90"/>
  <c r="L64" i="90"/>
  <c r="N63" i="90"/>
  <c r="L63" i="90"/>
  <c r="N62" i="90"/>
  <c r="L62" i="90"/>
  <c r="N61" i="90"/>
  <c r="L61" i="90"/>
  <c r="N60" i="90"/>
  <c r="L60" i="90"/>
  <c r="N59" i="90"/>
  <c r="L59" i="90"/>
  <c r="N58" i="90"/>
  <c r="L58" i="90"/>
  <c r="N57" i="90"/>
  <c r="L57" i="90"/>
  <c r="N56" i="90"/>
  <c r="L56" i="90"/>
  <c r="N55" i="90"/>
  <c r="L55" i="90"/>
  <c r="N54" i="90"/>
  <c r="L54" i="90"/>
  <c r="N53" i="90"/>
  <c r="L53" i="90"/>
  <c r="N52" i="90"/>
  <c r="L52" i="90"/>
  <c r="N51" i="90"/>
  <c r="L51" i="90"/>
  <c r="N50" i="90"/>
  <c r="L50" i="90"/>
  <c r="N49" i="90"/>
  <c r="L49" i="90"/>
  <c r="N48" i="90"/>
  <c r="L48" i="90"/>
  <c r="N47" i="90"/>
  <c r="L47" i="90"/>
  <c r="N46" i="90"/>
  <c r="L46" i="90"/>
  <c r="N45" i="90"/>
  <c r="L45" i="90"/>
  <c r="N44" i="90"/>
  <c r="L44" i="90"/>
  <c r="N43" i="90"/>
  <c r="L43" i="90"/>
  <c r="N42" i="90"/>
  <c r="L42" i="90"/>
  <c r="N41" i="90"/>
  <c r="L41" i="90"/>
  <c r="N40" i="90"/>
  <c r="L40" i="90"/>
  <c r="N39" i="90"/>
  <c r="L39" i="90"/>
  <c r="N38" i="90"/>
  <c r="L38" i="90"/>
  <c r="N37" i="90"/>
  <c r="L37" i="90"/>
  <c r="N36" i="90"/>
  <c r="L36" i="90"/>
  <c r="N35" i="90"/>
  <c r="L35" i="90"/>
  <c r="N34" i="90"/>
  <c r="L34" i="90"/>
  <c r="N33" i="90"/>
  <c r="L33" i="90"/>
  <c r="N32" i="90"/>
  <c r="L32" i="90"/>
  <c r="N31" i="90"/>
  <c r="L31" i="90"/>
  <c r="N30" i="90"/>
  <c r="L30" i="90"/>
  <c r="N29" i="90"/>
  <c r="L29" i="90"/>
  <c r="N28" i="90"/>
  <c r="L28" i="90"/>
  <c r="N27" i="90"/>
  <c r="L27" i="90"/>
  <c r="N26" i="90"/>
  <c r="L26" i="90"/>
  <c r="N25" i="90"/>
  <c r="L25" i="90"/>
  <c r="N23" i="90"/>
  <c r="N22" i="90"/>
  <c r="N21" i="90"/>
  <c r="N20" i="90"/>
  <c r="N19" i="90"/>
  <c r="O19" i="90" s="1"/>
  <c r="K11" i="90"/>
  <c r="I11" i="90"/>
  <c r="D8" i="90"/>
  <c r="D90" i="90" s="1"/>
  <c r="P154" i="89"/>
  <c r="O154" i="89"/>
  <c r="M154" i="89"/>
  <c r="J154" i="89"/>
  <c r="P153" i="89"/>
  <c r="O153" i="89"/>
  <c r="M153" i="89"/>
  <c r="J153" i="89"/>
  <c r="P152" i="89"/>
  <c r="O152" i="89"/>
  <c r="M152" i="89"/>
  <c r="J152" i="89"/>
  <c r="P151" i="89"/>
  <c r="O151" i="89"/>
  <c r="M151" i="89"/>
  <c r="J151" i="89"/>
  <c r="P150" i="89"/>
  <c r="O150" i="89"/>
  <c r="M150" i="89"/>
  <c r="J150" i="89"/>
  <c r="P149" i="89"/>
  <c r="O149" i="89"/>
  <c r="M149" i="89"/>
  <c r="J149" i="89"/>
  <c r="P148" i="89"/>
  <c r="O148" i="89"/>
  <c r="M148" i="89"/>
  <c r="J148" i="89"/>
  <c r="P147" i="89"/>
  <c r="O147" i="89"/>
  <c r="M147" i="89"/>
  <c r="J147" i="89"/>
  <c r="P146" i="89"/>
  <c r="O146" i="89"/>
  <c r="M146" i="89"/>
  <c r="J146" i="89"/>
  <c r="P145" i="89"/>
  <c r="O145" i="89"/>
  <c r="M145" i="89"/>
  <c r="J145" i="89"/>
  <c r="P144" i="89"/>
  <c r="O144" i="89"/>
  <c r="M144" i="89"/>
  <c r="J144" i="89"/>
  <c r="P143" i="89"/>
  <c r="O143" i="89"/>
  <c r="M143" i="89"/>
  <c r="J143" i="89"/>
  <c r="P142" i="89"/>
  <c r="O142" i="89"/>
  <c r="M142" i="89"/>
  <c r="J142" i="89"/>
  <c r="P141" i="89"/>
  <c r="O141" i="89"/>
  <c r="M141" i="89"/>
  <c r="J141" i="89"/>
  <c r="P140" i="89"/>
  <c r="O140" i="89"/>
  <c r="M140" i="89"/>
  <c r="J140" i="89"/>
  <c r="P139" i="89"/>
  <c r="O139" i="89"/>
  <c r="M139" i="89"/>
  <c r="J139" i="89"/>
  <c r="P138" i="89"/>
  <c r="O138" i="89"/>
  <c r="M138" i="89"/>
  <c r="J138" i="89"/>
  <c r="P137" i="89"/>
  <c r="O137" i="89"/>
  <c r="M137" i="89"/>
  <c r="J137" i="89"/>
  <c r="P136" i="89"/>
  <c r="O136" i="89"/>
  <c r="M136" i="89"/>
  <c r="J136" i="89"/>
  <c r="P135" i="89"/>
  <c r="O135" i="89"/>
  <c r="M135" i="89"/>
  <c r="J135" i="89"/>
  <c r="P134" i="89"/>
  <c r="O134" i="89"/>
  <c r="M134" i="89"/>
  <c r="J134" i="89"/>
  <c r="P133" i="89"/>
  <c r="O133" i="89"/>
  <c r="M133" i="89"/>
  <c r="J133" i="89"/>
  <c r="P132" i="89"/>
  <c r="O132" i="89"/>
  <c r="M132" i="89"/>
  <c r="J132" i="89"/>
  <c r="P131" i="89"/>
  <c r="O131" i="89"/>
  <c r="M131" i="89"/>
  <c r="J131" i="89"/>
  <c r="O130" i="89"/>
  <c r="M130" i="89"/>
  <c r="O129" i="89"/>
  <c r="M129" i="89"/>
  <c r="O128" i="89"/>
  <c r="M128" i="89"/>
  <c r="O127" i="89"/>
  <c r="M127" i="89"/>
  <c r="O126" i="89"/>
  <c r="M126" i="89"/>
  <c r="O125" i="89"/>
  <c r="M125" i="89"/>
  <c r="O124" i="89"/>
  <c r="M124" i="89"/>
  <c r="O123" i="89"/>
  <c r="M123" i="89"/>
  <c r="O122" i="89"/>
  <c r="M122" i="89"/>
  <c r="O121" i="89"/>
  <c r="M121" i="89"/>
  <c r="O120" i="89"/>
  <c r="M120" i="89"/>
  <c r="O119" i="89"/>
  <c r="M119" i="89"/>
  <c r="O118" i="89"/>
  <c r="M118" i="89"/>
  <c r="O117" i="89"/>
  <c r="M117" i="89"/>
  <c r="O116" i="89"/>
  <c r="M116" i="89"/>
  <c r="O115" i="89"/>
  <c r="M115" i="89"/>
  <c r="O114" i="89"/>
  <c r="M114" i="89"/>
  <c r="O113" i="89"/>
  <c r="M113" i="89"/>
  <c r="O112" i="89"/>
  <c r="M112" i="89"/>
  <c r="O111" i="89"/>
  <c r="M111" i="89"/>
  <c r="O110" i="89"/>
  <c r="M110" i="89"/>
  <c r="O109" i="89"/>
  <c r="M109" i="89"/>
  <c r="O108" i="89"/>
  <c r="M108" i="89"/>
  <c r="O107" i="89"/>
  <c r="M107" i="89"/>
  <c r="O106" i="89"/>
  <c r="M106" i="89"/>
  <c r="O103" i="89"/>
  <c r="O102" i="89"/>
  <c r="O101" i="89"/>
  <c r="O100" i="89"/>
  <c r="D96" i="89"/>
  <c r="L93" i="89"/>
  <c r="J93" i="89"/>
  <c r="D91" i="89"/>
  <c r="D89" i="89"/>
  <c r="N72" i="89"/>
  <c r="L72" i="89"/>
  <c r="N71" i="89"/>
  <c r="L71" i="89"/>
  <c r="N70" i="89"/>
  <c r="L70" i="89"/>
  <c r="N69" i="89"/>
  <c r="L69" i="89"/>
  <c r="N68" i="89"/>
  <c r="L68" i="89"/>
  <c r="N67" i="89"/>
  <c r="L67" i="89"/>
  <c r="N66" i="89"/>
  <c r="L66" i="89"/>
  <c r="N65" i="89"/>
  <c r="L65" i="89"/>
  <c r="N64" i="89"/>
  <c r="L64" i="89"/>
  <c r="N63" i="89"/>
  <c r="L63" i="89"/>
  <c r="N62" i="89"/>
  <c r="L62" i="89"/>
  <c r="N61" i="89"/>
  <c r="L61" i="89"/>
  <c r="N60" i="89"/>
  <c r="L60" i="89"/>
  <c r="N59" i="89"/>
  <c r="L59" i="89"/>
  <c r="N58" i="89"/>
  <c r="L58" i="89"/>
  <c r="N57" i="89"/>
  <c r="L57" i="89"/>
  <c r="N56" i="89"/>
  <c r="L56" i="89"/>
  <c r="N55" i="89"/>
  <c r="L55" i="89"/>
  <c r="N54" i="89"/>
  <c r="L54" i="89"/>
  <c r="N53" i="89"/>
  <c r="L53" i="89"/>
  <c r="N52" i="89"/>
  <c r="L52" i="89"/>
  <c r="N51" i="89"/>
  <c r="L51" i="89"/>
  <c r="N50" i="89"/>
  <c r="L50" i="89"/>
  <c r="N49" i="89"/>
  <c r="L49" i="89"/>
  <c r="N48" i="89"/>
  <c r="L48" i="89"/>
  <c r="N47" i="89"/>
  <c r="L47" i="89"/>
  <c r="N46" i="89"/>
  <c r="L46" i="89"/>
  <c r="N45" i="89"/>
  <c r="L45" i="89"/>
  <c r="N44" i="89"/>
  <c r="L44" i="89"/>
  <c r="N43" i="89"/>
  <c r="L43" i="89"/>
  <c r="N42" i="89"/>
  <c r="L42" i="89"/>
  <c r="N41" i="89"/>
  <c r="L41" i="89"/>
  <c r="N40" i="89"/>
  <c r="L40" i="89"/>
  <c r="N39" i="89"/>
  <c r="L39" i="89"/>
  <c r="N38" i="89"/>
  <c r="L38" i="89"/>
  <c r="N37" i="89"/>
  <c r="L37" i="89"/>
  <c r="N36" i="89"/>
  <c r="L36" i="89"/>
  <c r="N35" i="89"/>
  <c r="L35" i="89"/>
  <c r="N34" i="89"/>
  <c r="L34" i="89"/>
  <c r="N33" i="89"/>
  <c r="L33" i="89"/>
  <c r="N32" i="89"/>
  <c r="L32" i="89"/>
  <c r="N31" i="89"/>
  <c r="L31" i="89"/>
  <c r="N30" i="89"/>
  <c r="L30" i="89"/>
  <c r="N29" i="89"/>
  <c r="L29" i="89"/>
  <c r="N28" i="89"/>
  <c r="L28" i="89"/>
  <c r="N27" i="89"/>
  <c r="L27" i="89"/>
  <c r="N26" i="89"/>
  <c r="L26" i="89"/>
  <c r="N25" i="89"/>
  <c r="L25" i="89"/>
  <c r="N23" i="89"/>
  <c r="N22" i="89"/>
  <c r="N21" i="89"/>
  <c r="N20" i="89"/>
  <c r="N19" i="89"/>
  <c r="O19" i="89" s="1"/>
  <c r="K11" i="89"/>
  <c r="I11" i="89"/>
  <c r="D8" i="89"/>
  <c r="D90" i="89" s="1"/>
  <c r="P154" i="88"/>
  <c r="O154" i="88"/>
  <c r="M154" i="88"/>
  <c r="J154" i="88"/>
  <c r="P153" i="88"/>
  <c r="O153" i="88"/>
  <c r="M153" i="88"/>
  <c r="J153" i="88"/>
  <c r="P152" i="88"/>
  <c r="O152" i="88"/>
  <c r="M152" i="88"/>
  <c r="J152" i="88"/>
  <c r="P151" i="88"/>
  <c r="O151" i="88"/>
  <c r="M151" i="88"/>
  <c r="J151" i="88"/>
  <c r="P150" i="88"/>
  <c r="O150" i="88"/>
  <c r="M150" i="88"/>
  <c r="J150" i="88"/>
  <c r="P149" i="88"/>
  <c r="O149" i="88"/>
  <c r="M149" i="88"/>
  <c r="J149" i="88"/>
  <c r="P148" i="88"/>
  <c r="O148" i="88"/>
  <c r="M148" i="88"/>
  <c r="J148" i="88"/>
  <c r="P147" i="88"/>
  <c r="O147" i="88"/>
  <c r="M147" i="88"/>
  <c r="J147" i="88"/>
  <c r="P146" i="88"/>
  <c r="O146" i="88"/>
  <c r="M146" i="88"/>
  <c r="J146" i="88"/>
  <c r="P145" i="88"/>
  <c r="O145" i="88"/>
  <c r="M145" i="88"/>
  <c r="J145" i="88"/>
  <c r="P144" i="88"/>
  <c r="O144" i="88"/>
  <c r="M144" i="88"/>
  <c r="J144" i="88"/>
  <c r="P143" i="88"/>
  <c r="O143" i="88"/>
  <c r="M143" i="88"/>
  <c r="J143" i="88"/>
  <c r="P142" i="88"/>
  <c r="O142" i="88"/>
  <c r="M142" i="88"/>
  <c r="J142" i="88"/>
  <c r="P141" i="88"/>
  <c r="O141" i="88"/>
  <c r="M141" i="88"/>
  <c r="J141" i="88"/>
  <c r="P140" i="88"/>
  <c r="O140" i="88"/>
  <c r="M140" i="88"/>
  <c r="J140" i="88"/>
  <c r="P139" i="88"/>
  <c r="O139" i="88"/>
  <c r="M139" i="88"/>
  <c r="J139" i="88"/>
  <c r="P138" i="88"/>
  <c r="O138" i="88"/>
  <c r="M138" i="88"/>
  <c r="J138" i="88"/>
  <c r="P137" i="88"/>
  <c r="O137" i="88"/>
  <c r="M137" i="88"/>
  <c r="J137" i="88"/>
  <c r="P136" i="88"/>
  <c r="O136" i="88"/>
  <c r="M136" i="88"/>
  <c r="J136" i="88"/>
  <c r="P135" i="88"/>
  <c r="O135" i="88"/>
  <c r="M135" i="88"/>
  <c r="J135" i="88"/>
  <c r="P134" i="88"/>
  <c r="O134" i="88"/>
  <c r="M134" i="88"/>
  <c r="J134" i="88"/>
  <c r="P133" i="88"/>
  <c r="O133" i="88"/>
  <c r="M133" i="88"/>
  <c r="J133" i="88"/>
  <c r="P132" i="88"/>
  <c r="O132" i="88"/>
  <c r="M132" i="88"/>
  <c r="J132" i="88"/>
  <c r="P131" i="88"/>
  <c r="O131" i="88"/>
  <c r="M131" i="88"/>
  <c r="J131" i="88"/>
  <c r="O130" i="88"/>
  <c r="M130" i="88"/>
  <c r="O129" i="88"/>
  <c r="M129" i="88"/>
  <c r="O128" i="88"/>
  <c r="M128" i="88"/>
  <c r="O127" i="88"/>
  <c r="M127" i="88"/>
  <c r="O126" i="88"/>
  <c r="M126" i="88"/>
  <c r="O125" i="88"/>
  <c r="M125" i="88"/>
  <c r="O124" i="88"/>
  <c r="M124" i="88"/>
  <c r="O123" i="88"/>
  <c r="M123" i="88"/>
  <c r="O122" i="88"/>
  <c r="M122" i="88"/>
  <c r="O121" i="88"/>
  <c r="M121" i="88"/>
  <c r="O120" i="88"/>
  <c r="M120" i="88"/>
  <c r="O119" i="88"/>
  <c r="M119" i="88"/>
  <c r="O118" i="88"/>
  <c r="M118" i="88"/>
  <c r="O117" i="88"/>
  <c r="M117" i="88"/>
  <c r="O116" i="88"/>
  <c r="M116" i="88"/>
  <c r="O115" i="88"/>
  <c r="M115" i="88"/>
  <c r="O114" i="88"/>
  <c r="M114" i="88"/>
  <c r="O113" i="88"/>
  <c r="M113" i="88"/>
  <c r="O112" i="88"/>
  <c r="M112" i="88"/>
  <c r="O111" i="88"/>
  <c r="M111" i="88"/>
  <c r="O110" i="88"/>
  <c r="M110" i="88"/>
  <c r="O109" i="88"/>
  <c r="M109" i="88"/>
  <c r="O108" i="88"/>
  <c r="M108" i="88"/>
  <c r="O107" i="88"/>
  <c r="M107" i="88"/>
  <c r="O106" i="88"/>
  <c r="M106" i="88"/>
  <c r="O103" i="88"/>
  <c r="O102" i="88"/>
  <c r="O101" i="88"/>
  <c r="O100" i="88"/>
  <c r="D96" i="88"/>
  <c r="L93" i="88"/>
  <c r="J93" i="88"/>
  <c r="D91" i="88"/>
  <c r="D89" i="88"/>
  <c r="N72" i="88"/>
  <c r="L72" i="88"/>
  <c r="N71" i="88"/>
  <c r="L71" i="88"/>
  <c r="N70" i="88"/>
  <c r="L70" i="88"/>
  <c r="N69" i="88"/>
  <c r="L69" i="88"/>
  <c r="N68" i="88"/>
  <c r="L68" i="88"/>
  <c r="N67" i="88"/>
  <c r="L67" i="88"/>
  <c r="N66" i="88"/>
  <c r="L66" i="88"/>
  <c r="N65" i="88"/>
  <c r="L65" i="88"/>
  <c r="N64" i="88"/>
  <c r="L64" i="88"/>
  <c r="N63" i="88"/>
  <c r="L63" i="88"/>
  <c r="N62" i="88"/>
  <c r="L62" i="88"/>
  <c r="N61" i="88"/>
  <c r="L61" i="88"/>
  <c r="N60" i="88"/>
  <c r="L60" i="88"/>
  <c r="N59" i="88"/>
  <c r="L59" i="88"/>
  <c r="N58" i="88"/>
  <c r="L58" i="88"/>
  <c r="N57" i="88"/>
  <c r="L57" i="88"/>
  <c r="N56" i="88"/>
  <c r="L56" i="88"/>
  <c r="N55" i="88"/>
  <c r="L55" i="88"/>
  <c r="N54" i="88"/>
  <c r="L54" i="88"/>
  <c r="N53" i="88"/>
  <c r="L53" i="88"/>
  <c r="N52" i="88"/>
  <c r="L52" i="88"/>
  <c r="N51" i="88"/>
  <c r="L51" i="88"/>
  <c r="N50" i="88"/>
  <c r="L50" i="88"/>
  <c r="N49" i="88"/>
  <c r="L49" i="88"/>
  <c r="N48" i="88"/>
  <c r="L48" i="88"/>
  <c r="N47" i="88"/>
  <c r="L47" i="88"/>
  <c r="N46" i="88"/>
  <c r="L46" i="88"/>
  <c r="N45" i="88"/>
  <c r="L45" i="88"/>
  <c r="N44" i="88"/>
  <c r="L44" i="88"/>
  <c r="N43" i="88"/>
  <c r="L43" i="88"/>
  <c r="N42" i="88"/>
  <c r="L42" i="88"/>
  <c r="N41" i="88"/>
  <c r="L41" i="88"/>
  <c r="N40" i="88"/>
  <c r="L40" i="88"/>
  <c r="N39" i="88"/>
  <c r="L39" i="88"/>
  <c r="N38" i="88"/>
  <c r="L38" i="88"/>
  <c r="N37" i="88"/>
  <c r="L37" i="88"/>
  <c r="N36" i="88"/>
  <c r="L36" i="88"/>
  <c r="N35" i="88"/>
  <c r="L35" i="88"/>
  <c r="N34" i="88"/>
  <c r="L34" i="88"/>
  <c r="N33" i="88"/>
  <c r="L33" i="88"/>
  <c r="N32" i="88"/>
  <c r="L32" i="88"/>
  <c r="N31" i="88"/>
  <c r="L31" i="88"/>
  <c r="N30" i="88"/>
  <c r="L30" i="88"/>
  <c r="N29" i="88"/>
  <c r="L29" i="88"/>
  <c r="N28" i="88"/>
  <c r="L28" i="88"/>
  <c r="N27" i="88"/>
  <c r="L27" i="88"/>
  <c r="N26" i="88"/>
  <c r="L26" i="88"/>
  <c r="N25" i="88"/>
  <c r="L25" i="88"/>
  <c r="N23" i="88"/>
  <c r="N22" i="88"/>
  <c r="N21" i="88"/>
  <c r="N20" i="88"/>
  <c r="N19" i="88"/>
  <c r="O19" i="88" s="1"/>
  <c r="K11" i="88"/>
  <c r="I11" i="88"/>
  <c r="D8" i="88"/>
  <c r="D90" i="88" s="1"/>
  <c r="P154" i="87"/>
  <c r="O154" i="87"/>
  <c r="M154" i="87"/>
  <c r="J154" i="87"/>
  <c r="P153" i="87"/>
  <c r="O153" i="87"/>
  <c r="M153" i="87"/>
  <c r="J153" i="87"/>
  <c r="P152" i="87"/>
  <c r="O152" i="87"/>
  <c r="M152" i="87"/>
  <c r="J152" i="87"/>
  <c r="P151" i="87"/>
  <c r="O151" i="87"/>
  <c r="M151" i="87"/>
  <c r="J151" i="87"/>
  <c r="P150" i="87"/>
  <c r="O150" i="87"/>
  <c r="M150" i="87"/>
  <c r="J150" i="87"/>
  <c r="P149" i="87"/>
  <c r="O149" i="87"/>
  <c r="M149" i="87"/>
  <c r="J149" i="87"/>
  <c r="P148" i="87"/>
  <c r="O148" i="87"/>
  <c r="M148" i="87"/>
  <c r="J148" i="87"/>
  <c r="P147" i="87"/>
  <c r="O147" i="87"/>
  <c r="M147" i="87"/>
  <c r="J147" i="87"/>
  <c r="P146" i="87"/>
  <c r="O146" i="87"/>
  <c r="M146" i="87"/>
  <c r="J146" i="87"/>
  <c r="P145" i="87"/>
  <c r="O145" i="87"/>
  <c r="M145" i="87"/>
  <c r="J145" i="87"/>
  <c r="P144" i="87"/>
  <c r="O144" i="87"/>
  <c r="M144" i="87"/>
  <c r="J144" i="87"/>
  <c r="P143" i="87"/>
  <c r="O143" i="87"/>
  <c r="M143" i="87"/>
  <c r="J143" i="87"/>
  <c r="P142" i="87"/>
  <c r="O142" i="87"/>
  <c r="M142" i="87"/>
  <c r="J142" i="87"/>
  <c r="P141" i="87"/>
  <c r="O141" i="87"/>
  <c r="M141" i="87"/>
  <c r="J141" i="87"/>
  <c r="P140" i="87"/>
  <c r="O140" i="87"/>
  <c r="M140" i="87"/>
  <c r="J140" i="87"/>
  <c r="P139" i="87"/>
  <c r="O139" i="87"/>
  <c r="M139" i="87"/>
  <c r="J139" i="87"/>
  <c r="P138" i="87"/>
  <c r="O138" i="87"/>
  <c r="M138" i="87"/>
  <c r="J138" i="87"/>
  <c r="P137" i="87"/>
  <c r="O137" i="87"/>
  <c r="M137" i="87"/>
  <c r="J137" i="87"/>
  <c r="P136" i="87"/>
  <c r="O136" i="87"/>
  <c r="M136" i="87"/>
  <c r="J136" i="87"/>
  <c r="P135" i="87"/>
  <c r="O135" i="87"/>
  <c r="M135" i="87"/>
  <c r="J135" i="87"/>
  <c r="P134" i="87"/>
  <c r="O134" i="87"/>
  <c r="M134" i="87"/>
  <c r="J134" i="87"/>
  <c r="P133" i="87"/>
  <c r="O133" i="87"/>
  <c r="M133" i="87"/>
  <c r="J133" i="87"/>
  <c r="P132" i="87"/>
  <c r="O132" i="87"/>
  <c r="M132" i="87"/>
  <c r="J132" i="87"/>
  <c r="P131" i="87"/>
  <c r="O131" i="87"/>
  <c r="M131" i="87"/>
  <c r="J131" i="87"/>
  <c r="O130" i="87"/>
  <c r="M130" i="87"/>
  <c r="O129" i="87"/>
  <c r="M129" i="87"/>
  <c r="O128" i="87"/>
  <c r="M128" i="87"/>
  <c r="O127" i="87"/>
  <c r="M127" i="87"/>
  <c r="O126" i="87"/>
  <c r="M126" i="87"/>
  <c r="O125" i="87"/>
  <c r="M125" i="87"/>
  <c r="O124" i="87"/>
  <c r="M124" i="87"/>
  <c r="O123" i="87"/>
  <c r="M123" i="87"/>
  <c r="O122" i="87"/>
  <c r="M122" i="87"/>
  <c r="O121" i="87"/>
  <c r="M121" i="87"/>
  <c r="O120" i="87"/>
  <c r="M120" i="87"/>
  <c r="O119" i="87"/>
  <c r="M119" i="87"/>
  <c r="O118" i="87"/>
  <c r="M118" i="87"/>
  <c r="O117" i="87"/>
  <c r="M117" i="87"/>
  <c r="O116" i="87"/>
  <c r="M116" i="87"/>
  <c r="O115" i="87"/>
  <c r="M115" i="87"/>
  <c r="O114" i="87"/>
  <c r="M114" i="87"/>
  <c r="O113" i="87"/>
  <c r="M113" i="87"/>
  <c r="O112" i="87"/>
  <c r="M112" i="87"/>
  <c r="O111" i="87"/>
  <c r="M111" i="87"/>
  <c r="O110" i="87"/>
  <c r="M110" i="87"/>
  <c r="O109" i="87"/>
  <c r="M109" i="87"/>
  <c r="O108" i="87"/>
  <c r="M108" i="87"/>
  <c r="O107" i="87"/>
  <c r="M107" i="87"/>
  <c r="O106" i="87"/>
  <c r="M106" i="87"/>
  <c r="O103" i="87"/>
  <c r="O102" i="87"/>
  <c r="O101" i="87"/>
  <c r="O100" i="87"/>
  <c r="D96" i="87"/>
  <c r="L93" i="87"/>
  <c r="J93" i="87"/>
  <c r="D91" i="87"/>
  <c r="D89" i="87"/>
  <c r="N72" i="87"/>
  <c r="L72" i="87"/>
  <c r="N71" i="87"/>
  <c r="L71" i="87"/>
  <c r="N70" i="87"/>
  <c r="L70" i="87"/>
  <c r="N69" i="87"/>
  <c r="L69" i="87"/>
  <c r="N68" i="87"/>
  <c r="L68" i="87"/>
  <c r="N67" i="87"/>
  <c r="L67" i="87"/>
  <c r="N66" i="87"/>
  <c r="L66" i="87"/>
  <c r="N65" i="87"/>
  <c r="L65" i="87"/>
  <c r="N64" i="87"/>
  <c r="L64" i="87"/>
  <c r="N63" i="87"/>
  <c r="L63" i="87"/>
  <c r="N62" i="87"/>
  <c r="L62" i="87"/>
  <c r="N61" i="87"/>
  <c r="L61" i="87"/>
  <c r="N60" i="87"/>
  <c r="L60" i="87"/>
  <c r="N59" i="87"/>
  <c r="L59" i="87"/>
  <c r="N58" i="87"/>
  <c r="L58" i="87"/>
  <c r="N57" i="87"/>
  <c r="L57" i="87"/>
  <c r="N56" i="87"/>
  <c r="L56" i="87"/>
  <c r="N55" i="87"/>
  <c r="L55" i="87"/>
  <c r="N54" i="87"/>
  <c r="L54" i="87"/>
  <c r="N53" i="87"/>
  <c r="L53" i="87"/>
  <c r="N52" i="87"/>
  <c r="L52" i="87"/>
  <c r="N51" i="87"/>
  <c r="L51" i="87"/>
  <c r="N50" i="87"/>
  <c r="L50" i="87"/>
  <c r="N49" i="87"/>
  <c r="L49" i="87"/>
  <c r="N48" i="87"/>
  <c r="L48" i="87"/>
  <c r="N47" i="87"/>
  <c r="L47" i="87"/>
  <c r="N46" i="87"/>
  <c r="L46" i="87"/>
  <c r="N45" i="87"/>
  <c r="L45" i="87"/>
  <c r="N44" i="87"/>
  <c r="L44" i="87"/>
  <c r="N43" i="87"/>
  <c r="L43" i="87"/>
  <c r="N42" i="87"/>
  <c r="L42" i="87"/>
  <c r="N41" i="87"/>
  <c r="L41" i="87"/>
  <c r="N40" i="87"/>
  <c r="L40" i="87"/>
  <c r="N39" i="87"/>
  <c r="L39" i="87"/>
  <c r="N38" i="87"/>
  <c r="L38" i="87"/>
  <c r="N37" i="87"/>
  <c r="L37" i="87"/>
  <c r="N36" i="87"/>
  <c r="L36" i="87"/>
  <c r="N35" i="87"/>
  <c r="L35" i="87"/>
  <c r="N34" i="87"/>
  <c r="L34" i="87"/>
  <c r="N33" i="87"/>
  <c r="L33" i="87"/>
  <c r="N32" i="87"/>
  <c r="L32" i="87"/>
  <c r="N31" i="87"/>
  <c r="L31" i="87"/>
  <c r="N30" i="87"/>
  <c r="L30" i="87"/>
  <c r="N29" i="87"/>
  <c r="L29" i="87"/>
  <c r="N28" i="87"/>
  <c r="L28" i="87"/>
  <c r="N27" i="87"/>
  <c r="L27" i="87"/>
  <c r="N26" i="87"/>
  <c r="L26" i="87"/>
  <c r="N25" i="87"/>
  <c r="L25" i="87"/>
  <c r="N23" i="87"/>
  <c r="N22" i="87"/>
  <c r="N21" i="87"/>
  <c r="N20" i="87"/>
  <c r="N19" i="87"/>
  <c r="K11" i="87"/>
  <c r="I11" i="87"/>
  <c r="D8" i="87"/>
  <c r="D90" i="87" s="1"/>
  <c r="P154" i="86"/>
  <c r="O154" i="86"/>
  <c r="M154" i="86"/>
  <c r="J154" i="86"/>
  <c r="P153" i="86"/>
  <c r="O153" i="86"/>
  <c r="M153" i="86"/>
  <c r="J153" i="86"/>
  <c r="P152" i="86"/>
  <c r="O152" i="86"/>
  <c r="M152" i="86"/>
  <c r="J152" i="86"/>
  <c r="P151" i="86"/>
  <c r="O151" i="86"/>
  <c r="M151" i="86"/>
  <c r="J151" i="86"/>
  <c r="P150" i="86"/>
  <c r="O150" i="86"/>
  <c r="M150" i="86"/>
  <c r="J150" i="86"/>
  <c r="P149" i="86"/>
  <c r="O149" i="86"/>
  <c r="M149" i="86"/>
  <c r="J149" i="86"/>
  <c r="P148" i="86"/>
  <c r="O148" i="86"/>
  <c r="M148" i="86"/>
  <c r="J148" i="86"/>
  <c r="P147" i="86"/>
  <c r="O147" i="86"/>
  <c r="M147" i="86"/>
  <c r="J147" i="86"/>
  <c r="P146" i="86"/>
  <c r="O146" i="86"/>
  <c r="M146" i="86"/>
  <c r="J146" i="86"/>
  <c r="P145" i="86"/>
  <c r="O145" i="86"/>
  <c r="M145" i="86"/>
  <c r="J145" i="86"/>
  <c r="P144" i="86"/>
  <c r="O144" i="86"/>
  <c r="M144" i="86"/>
  <c r="J144" i="86"/>
  <c r="P143" i="86"/>
  <c r="O143" i="86"/>
  <c r="M143" i="86"/>
  <c r="J143" i="86"/>
  <c r="P142" i="86"/>
  <c r="O142" i="86"/>
  <c r="M142" i="86"/>
  <c r="J142" i="86"/>
  <c r="P141" i="86"/>
  <c r="O141" i="86"/>
  <c r="M141" i="86"/>
  <c r="J141" i="86"/>
  <c r="P140" i="86"/>
  <c r="O140" i="86"/>
  <c r="M140" i="86"/>
  <c r="J140" i="86"/>
  <c r="P139" i="86"/>
  <c r="O139" i="86"/>
  <c r="M139" i="86"/>
  <c r="J139" i="86"/>
  <c r="P138" i="86"/>
  <c r="O138" i="86"/>
  <c r="M138" i="86"/>
  <c r="J138" i="86"/>
  <c r="P137" i="86"/>
  <c r="O137" i="86"/>
  <c r="M137" i="86"/>
  <c r="J137" i="86"/>
  <c r="P136" i="86"/>
  <c r="O136" i="86"/>
  <c r="M136" i="86"/>
  <c r="J136" i="86"/>
  <c r="P135" i="86"/>
  <c r="O135" i="86"/>
  <c r="M135" i="86"/>
  <c r="J135" i="86"/>
  <c r="P134" i="86"/>
  <c r="O134" i="86"/>
  <c r="M134" i="86"/>
  <c r="J134" i="86"/>
  <c r="P133" i="86"/>
  <c r="O133" i="86"/>
  <c r="M133" i="86"/>
  <c r="J133" i="86"/>
  <c r="P132" i="86"/>
  <c r="O132" i="86"/>
  <c r="M132" i="86"/>
  <c r="J132" i="86"/>
  <c r="P131" i="86"/>
  <c r="O131" i="86"/>
  <c r="M131" i="86"/>
  <c r="J131" i="86"/>
  <c r="O130" i="86"/>
  <c r="M130" i="86"/>
  <c r="O129" i="86"/>
  <c r="M129" i="86"/>
  <c r="O128" i="86"/>
  <c r="M128" i="86"/>
  <c r="O127" i="86"/>
  <c r="M127" i="86"/>
  <c r="O126" i="86"/>
  <c r="M126" i="86"/>
  <c r="O125" i="86"/>
  <c r="M125" i="86"/>
  <c r="O124" i="86"/>
  <c r="M124" i="86"/>
  <c r="O123" i="86"/>
  <c r="M123" i="86"/>
  <c r="O122" i="86"/>
  <c r="M122" i="86"/>
  <c r="O121" i="86"/>
  <c r="M121" i="86"/>
  <c r="O120" i="86"/>
  <c r="M120" i="86"/>
  <c r="O119" i="86"/>
  <c r="M119" i="86"/>
  <c r="O118" i="86"/>
  <c r="M118" i="86"/>
  <c r="O117" i="86"/>
  <c r="M117" i="86"/>
  <c r="O116" i="86"/>
  <c r="M116" i="86"/>
  <c r="O115" i="86"/>
  <c r="M115" i="86"/>
  <c r="O114" i="86"/>
  <c r="M114" i="86"/>
  <c r="O113" i="86"/>
  <c r="M113" i="86"/>
  <c r="O112" i="86"/>
  <c r="M112" i="86"/>
  <c r="O111" i="86"/>
  <c r="M111" i="86"/>
  <c r="O110" i="86"/>
  <c r="M110" i="86"/>
  <c r="O109" i="86"/>
  <c r="M109" i="86"/>
  <c r="O108" i="86"/>
  <c r="M108" i="86"/>
  <c r="O107" i="86"/>
  <c r="M107" i="86"/>
  <c r="O104" i="86"/>
  <c r="O103" i="86"/>
  <c r="O102" i="86"/>
  <c r="O101" i="86"/>
  <c r="O100" i="86"/>
  <c r="D96" i="86"/>
  <c r="L93" i="86"/>
  <c r="J93" i="86"/>
  <c r="D91" i="86"/>
  <c r="D89" i="86"/>
  <c r="N72" i="86"/>
  <c r="L72" i="86"/>
  <c r="N71" i="86"/>
  <c r="L71" i="86"/>
  <c r="N70" i="86"/>
  <c r="L70" i="86"/>
  <c r="N69" i="86"/>
  <c r="L69" i="86"/>
  <c r="N68" i="86"/>
  <c r="L68" i="86"/>
  <c r="N67" i="86"/>
  <c r="L67" i="86"/>
  <c r="N66" i="86"/>
  <c r="L66" i="86"/>
  <c r="N65" i="86"/>
  <c r="L65" i="86"/>
  <c r="N64" i="86"/>
  <c r="L64" i="86"/>
  <c r="N63" i="86"/>
  <c r="L63" i="86"/>
  <c r="N62" i="86"/>
  <c r="L62" i="86"/>
  <c r="N61" i="86"/>
  <c r="L61" i="86"/>
  <c r="N60" i="86"/>
  <c r="L60" i="86"/>
  <c r="N59" i="86"/>
  <c r="L59" i="86"/>
  <c r="N58" i="86"/>
  <c r="L58" i="86"/>
  <c r="N57" i="86"/>
  <c r="L57" i="86"/>
  <c r="N56" i="86"/>
  <c r="L56" i="86"/>
  <c r="N55" i="86"/>
  <c r="L55" i="86"/>
  <c r="N54" i="86"/>
  <c r="L54" i="86"/>
  <c r="N53" i="86"/>
  <c r="L53" i="86"/>
  <c r="N52" i="86"/>
  <c r="L52" i="86"/>
  <c r="N51" i="86"/>
  <c r="L51" i="86"/>
  <c r="N50" i="86"/>
  <c r="L50" i="86"/>
  <c r="N49" i="86"/>
  <c r="L49" i="86"/>
  <c r="N48" i="86"/>
  <c r="L48" i="86"/>
  <c r="N47" i="86"/>
  <c r="L47" i="86"/>
  <c r="N46" i="86"/>
  <c r="L46" i="86"/>
  <c r="N45" i="86"/>
  <c r="L45" i="86"/>
  <c r="N44" i="86"/>
  <c r="L44" i="86"/>
  <c r="N43" i="86"/>
  <c r="L43" i="86"/>
  <c r="N42" i="86"/>
  <c r="L42" i="86"/>
  <c r="N41" i="86"/>
  <c r="L41" i="86"/>
  <c r="N40" i="86"/>
  <c r="L40" i="86"/>
  <c r="N39" i="86"/>
  <c r="L39" i="86"/>
  <c r="N38" i="86"/>
  <c r="L38" i="86"/>
  <c r="N37" i="86"/>
  <c r="L37" i="86"/>
  <c r="N36" i="86"/>
  <c r="L36" i="86"/>
  <c r="N35" i="86"/>
  <c r="L35" i="86"/>
  <c r="N34" i="86"/>
  <c r="L34" i="86"/>
  <c r="N33" i="86"/>
  <c r="L33" i="86"/>
  <c r="N32" i="86"/>
  <c r="L32" i="86"/>
  <c r="N31" i="86"/>
  <c r="L31" i="86"/>
  <c r="N30" i="86"/>
  <c r="L30" i="86"/>
  <c r="N29" i="86"/>
  <c r="L29" i="86"/>
  <c r="N28" i="86"/>
  <c r="L28" i="86"/>
  <c r="N27" i="86"/>
  <c r="L27" i="86"/>
  <c r="N26" i="86"/>
  <c r="L26" i="86"/>
  <c r="N24" i="86"/>
  <c r="N23" i="86"/>
  <c r="N22" i="86"/>
  <c r="N21" i="86"/>
  <c r="N20" i="86"/>
  <c r="O20" i="86" s="1"/>
  <c r="N19" i="86"/>
  <c r="K11" i="86"/>
  <c r="I11" i="86"/>
  <c r="D8" i="86"/>
  <c r="D90" i="86" s="1"/>
  <c r="P154" i="85"/>
  <c r="O154" i="85"/>
  <c r="M154" i="85"/>
  <c r="J154" i="85"/>
  <c r="P153" i="85"/>
  <c r="O153" i="85"/>
  <c r="M153" i="85"/>
  <c r="J153" i="85"/>
  <c r="P152" i="85"/>
  <c r="O152" i="85"/>
  <c r="M152" i="85"/>
  <c r="J152" i="85"/>
  <c r="P151" i="85"/>
  <c r="O151" i="85"/>
  <c r="M151" i="85"/>
  <c r="J151" i="85"/>
  <c r="P150" i="85"/>
  <c r="O150" i="85"/>
  <c r="M150" i="85"/>
  <c r="J150" i="85"/>
  <c r="P149" i="85"/>
  <c r="O149" i="85"/>
  <c r="M149" i="85"/>
  <c r="J149" i="85"/>
  <c r="P148" i="85"/>
  <c r="O148" i="85"/>
  <c r="M148" i="85"/>
  <c r="J148" i="85"/>
  <c r="P147" i="85"/>
  <c r="O147" i="85"/>
  <c r="M147" i="85"/>
  <c r="J147" i="85"/>
  <c r="P146" i="85"/>
  <c r="O146" i="85"/>
  <c r="M146" i="85"/>
  <c r="J146" i="85"/>
  <c r="P145" i="85"/>
  <c r="O145" i="85"/>
  <c r="M145" i="85"/>
  <c r="J145" i="85"/>
  <c r="P144" i="85"/>
  <c r="O144" i="85"/>
  <c r="M144" i="85"/>
  <c r="J144" i="85"/>
  <c r="P143" i="85"/>
  <c r="O143" i="85"/>
  <c r="M143" i="85"/>
  <c r="J143" i="85"/>
  <c r="P142" i="85"/>
  <c r="O142" i="85"/>
  <c r="M142" i="85"/>
  <c r="J142" i="85"/>
  <c r="P141" i="85"/>
  <c r="O141" i="85"/>
  <c r="M141" i="85"/>
  <c r="J141" i="85"/>
  <c r="P140" i="85"/>
  <c r="O140" i="85"/>
  <c r="M140" i="85"/>
  <c r="J140" i="85"/>
  <c r="P139" i="85"/>
  <c r="O139" i="85"/>
  <c r="M139" i="85"/>
  <c r="J139" i="85"/>
  <c r="P138" i="85"/>
  <c r="O138" i="85"/>
  <c r="M138" i="85"/>
  <c r="J138" i="85"/>
  <c r="P137" i="85"/>
  <c r="O137" i="85"/>
  <c r="M137" i="85"/>
  <c r="J137" i="85"/>
  <c r="P136" i="85"/>
  <c r="O136" i="85"/>
  <c r="M136" i="85"/>
  <c r="J136" i="85"/>
  <c r="P135" i="85"/>
  <c r="O135" i="85"/>
  <c r="M135" i="85"/>
  <c r="J135" i="85"/>
  <c r="P134" i="85"/>
  <c r="O134" i="85"/>
  <c r="M134" i="85"/>
  <c r="J134" i="85"/>
  <c r="P133" i="85"/>
  <c r="O133" i="85"/>
  <c r="M133" i="85"/>
  <c r="J133" i="85"/>
  <c r="P132" i="85"/>
  <c r="O132" i="85"/>
  <c r="M132" i="85"/>
  <c r="J132" i="85"/>
  <c r="P131" i="85"/>
  <c r="O131" i="85"/>
  <c r="M131" i="85"/>
  <c r="J131" i="85"/>
  <c r="O130" i="85"/>
  <c r="M130" i="85"/>
  <c r="O129" i="85"/>
  <c r="M129" i="85"/>
  <c r="O128" i="85"/>
  <c r="M128" i="85"/>
  <c r="O127" i="85"/>
  <c r="M127" i="85"/>
  <c r="O126" i="85"/>
  <c r="M126" i="85"/>
  <c r="O125" i="85"/>
  <c r="M125" i="85"/>
  <c r="O124" i="85"/>
  <c r="M124" i="85"/>
  <c r="O123" i="85"/>
  <c r="M123" i="85"/>
  <c r="O122" i="85"/>
  <c r="M122" i="85"/>
  <c r="O121" i="85"/>
  <c r="M121" i="85"/>
  <c r="O120" i="85"/>
  <c r="M120" i="85"/>
  <c r="O119" i="85"/>
  <c r="M119" i="85"/>
  <c r="O118" i="85"/>
  <c r="M118" i="85"/>
  <c r="O117" i="85"/>
  <c r="M117" i="85"/>
  <c r="O116" i="85"/>
  <c r="M116" i="85"/>
  <c r="O115" i="85"/>
  <c r="M115" i="85"/>
  <c r="O114" i="85"/>
  <c r="M114" i="85"/>
  <c r="O113" i="85"/>
  <c r="M113" i="85"/>
  <c r="O112" i="85"/>
  <c r="M112" i="85"/>
  <c r="O111" i="85"/>
  <c r="M111" i="85"/>
  <c r="O110" i="85"/>
  <c r="M110" i="85"/>
  <c r="O109" i="85"/>
  <c r="M109" i="85"/>
  <c r="O108" i="85"/>
  <c r="M108" i="85"/>
  <c r="O107" i="85"/>
  <c r="M107" i="85"/>
  <c r="O104" i="85"/>
  <c r="O103" i="85"/>
  <c r="O102" i="85"/>
  <c r="O101" i="85"/>
  <c r="D96" i="85"/>
  <c r="L93" i="85"/>
  <c r="J93" i="85"/>
  <c r="D91" i="85"/>
  <c r="D89" i="85"/>
  <c r="N72" i="85"/>
  <c r="L72" i="85"/>
  <c r="N71" i="85"/>
  <c r="L71" i="85"/>
  <c r="N70" i="85"/>
  <c r="L70" i="85"/>
  <c r="N69" i="85"/>
  <c r="L69" i="85"/>
  <c r="N68" i="85"/>
  <c r="L68" i="85"/>
  <c r="N67" i="85"/>
  <c r="L67" i="85"/>
  <c r="N66" i="85"/>
  <c r="L66" i="85"/>
  <c r="N65" i="85"/>
  <c r="L65" i="85"/>
  <c r="N64" i="85"/>
  <c r="L64" i="85"/>
  <c r="N63" i="85"/>
  <c r="L63" i="85"/>
  <c r="N62" i="85"/>
  <c r="L62" i="85"/>
  <c r="N61" i="85"/>
  <c r="L61" i="85"/>
  <c r="N60" i="85"/>
  <c r="L60" i="85"/>
  <c r="N59" i="85"/>
  <c r="L59" i="85"/>
  <c r="N58" i="85"/>
  <c r="L58" i="85"/>
  <c r="N57" i="85"/>
  <c r="L57" i="85"/>
  <c r="N56" i="85"/>
  <c r="L56" i="85"/>
  <c r="N55" i="85"/>
  <c r="L55" i="85"/>
  <c r="N54" i="85"/>
  <c r="L54" i="85"/>
  <c r="N53" i="85"/>
  <c r="L53" i="85"/>
  <c r="N52" i="85"/>
  <c r="L52" i="85"/>
  <c r="N51" i="85"/>
  <c r="L51" i="85"/>
  <c r="N50" i="85"/>
  <c r="L50" i="85"/>
  <c r="N49" i="85"/>
  <c r="L49" i="85"/>
  <c r="N48" i="85"/>
  <c r="L48" i="85"/>
  <c r="N47" i="85"/>
  <c r="L47" i="85"/>
  <c r="N46" i="85"/>
  <c r="L46" i="85"/>
  <c r="N45" i="85"/>
  <c r="L45" i="85"/>
  <c r="N44" i="85"/>
  <c r="L44" i="85"/>
  <c r="N43" i="85"/>
  <c r="L43" i="85"/>
  <c r="N42" i="85"/>
  <c r="L42" i="85"/>
  <c r="N41" i="85"/>
  <c r="L41" i="85"/>
  <c r="N40" i="85"/>
  <c r="L40" i="85"/>
  <c r="N39" i="85"/>
  <c r="L39" i="85"/>
  <c r="N38" i="85"/>
  <c r="L38" i="85"/>
  <c r="N37" i="85"/>
  <c r="L37" i="85"/>
  <c r="N36" i="85"/>
  <c r="L36" i="85"/>
  <c r="N35" i="85"/>
  <c r="L35" i="85"/>
  <c r="N34" i="85"/>
  <c r="L34" i="85"/>
  <c r="N33" i="85"/>
  <c r="L33" i="85"/>
  <c r="N32" i="85"/>
  <c r="L32" i="85"/>
  <c r="N31" i="85"/>
  <c r="L31" i="85"/>
  <c r="N30" i="85"/>
  <c r="L30" i="85"/>
  <c r="N29" i="85"/>
  <c r="L29" i="85"/>
  <c r="N28" i="85"/>
  <c r="L28" i="85"/>
  <c r="N27" i="85"/>
  <c r="L27" i="85"/>
  <c r="N26" i="85"/>
  <c r="L26" i="85"/>
  <c r="N24" i="85"/>
  <c r="N23" i="85"/>
  <c r="N22" i="85"/>
  <c r="N21" i="85"/>
  <c r="N20" i="85"/>
  <c r="O20" i="85" s="1"/>
  <c r="K11" i="85"/>
  <c r="I11" i="85"/>
  <c r="D8" i="85"/>
  <c r="D90" i="85" s="1"/>
  <c r="C99" i="86"/>
  <c r="C100" i="86" s="1"/>
  <c r="C101" i="86" s="1"/>
  <c r="C102" i="86" s="1"/>
  <c r="C103" i="86" s="1"/>
  <c r="C104" i="86" s="1"/>
  <c r="C105" i="86" s="1"/>
  <c r="C106" i="86" s="1"/>
  <c r="C107" i="86" s="1"/>
  <c r="C108" i="86" s="1"/>
  <c r="C109" i="86" s="1"/>
  <c r="C110" i="86" s="1"/>
  <c r="C111" i="86" s="1"/>
  <c r="C112" i="86" s="1"/>
  <c r="C113" i="86" s="1"/>
  <c r="C114" i="86" s="1"/>
  <c r="C115" i="86" s="1"/>
  <c r="C116" i="86" s="1"/>
  <c r="C117" i="86" s="1"/>
  <c r="C118" i="86" s="1"/>
  <c r="C119" i="86" s="1"/>
  <c r="C120" i="86" s="1"/>
  <c r="C121" i="86" s="1"/>
  <c r="C122" i="86" s="1"/>
  <c r="C123" i="86" s="1"/>
  <c r="C124" i="86" s="1"/>
  <c r="C125" i="86" s="1"/>
  <c r="C126" i="86" s="1"/>
  <c r="C127" i="86" s="1"/>
  <c r="C128" i="86" s="1"/>
  <c r="C129" i="86" s="1"/>
  <c r="C130" i="86" s="1"/>
  <c r="C131" i="86" s="1"/>
  <c r="C132" i="86" s="1"/>
  <c r="C133" i="86" s="1"/>
  <c r="C134" i="86" s="1"/>
  <c r="C135" i="86" s="1"/>
  <c r="C136" i="86" s="1"/>
  <c r="C137" i="86" s="1"/>
  <c r="C138" i="86" s="1"/>
  <c r="C139" i="86" s="1"/>
  <c r="C140" i="86" s="1"/>
  <c r="C141" i="86" s="1"/>
  <c r="C142" i="86" s="1"/>
  <c r="C143" i="86" s="1"/>
  <c r="C144" i="86" s="1"/>
  <c r="C145" i="86" s="1"/>
  <c r="C146" i="86" s="1"/>
  <c r="C147" i="86" s="1"/>
  <c r="C148" i="86" s="1"/>
  <c r="C149" i="86" s="1"/>
  <c r="C150" i="86" s="1"/>
  <c r="C151" i="86" s="1"/>
  <c r="C152" i="86" s="1"/>
  <c r="C153" i="86" s="1"/>
  <c r="C154" i="86" s="1"/>
  <c r="M17" i="84"/>
  <c r="N17" i="84" s="1"/>
  <c r="K17" i="84"/>
  <c r="L17" i="84" s="1"/>
  <c r="M17" i="83"/>
  <c r="N17" i="83" s="1"/>
  <c r="K17" i="83"/>
  <c r="L17" i="83" s="1"/>
  <c r="M17" i="82"/>
  <c r="N17" i="82" s="1"/>
  <c r="K17" i="82"/>
  <c r="L17" i="82" s="1"/>
  <c r="M17" i="81"/>
  <c r="N17" i="81" s="1"/>
  <c r="K17" i="81"/>
  <c r="L17" i="81" s="1"/>
  <c r="M17" i="80"/>
  <c r="N17" i="80" s="1"/>
  <c r="K17" i="80"/>
  <c r="L17" i="80" s="1"/>
  <c r="N99" i="79"/>
  <c r="O99" i="79" s="1"/>
  <c r="L99" i="79"/>
  <c r="M99" i="79" s="1"/>
  <c r="M18" i="79"/>
  <c r="N18" i="79" s="1"/>
  <c r="K18" i="79"/>
  <c r="L18" i="79" s="1"/>
  <c r="N99" i="78"/>
  <c r="O99" i="78" s="1"/>
  <c r="L99" i="78"/>
  <c r="M99" i="78" s="1"/>
  <c r="M18" i="78"/>
  <c r="N18" i="78" s="1"/>
  <c r="K18" i="78"/>
  <c r="L18" i="78" s="1"/>
  <c r="N99" i="77"/>
  <c r="O99" i="77" s="1"/>
  <c r="L99" i="77"/>
  <c r="M99" i="77" s="1"/>
  <c r="M18" i="77"/>
  <c r="N18" i="77" s="1"/>
  <c r="K18" i="77"/>
  <c r="L18" i="77" s="1"/>
  <c r="N99" i="76"/>
  <c r="O99" i="76" s="1"/>
  <c r="L99" i="76"/>
  <c r="M99" i="76" s="1"/>
  <c r="M18" i="76"/>
  <c r="N18" i="76" s="1"/>
  <c r="K18" i="76"/>
  <c r="L18" i="76" s="1"/>
  <c r="N99" i="75"/>
  <c r="O99" i="75" s="1"/>
  <c r="L99" i="75"/>
  <c r="M99" i="75" s="1"/>
  <c r="M18" i="75"/>
  <c r="N18" i="75" s="1"/>
  <c r="K18" i="75"/>
  <c r="L18" i="75" s="1"/>
  <c r="N103" i="74"/>
  <c r="O103" i="74" s="1"/>
  <c r="L103" i="74"/>
  <c r="M103" i="74" s="1"/>
  <c r="N104" i="73"/>
  <c r="O104" i="73" s="1"/>
  <c r="L104" i="73"/>
  <c r="M104" i="73" s="1"/>
  <c r="M23" i="73"/>
  <c r="N23" i="73" s="1"/>
  <c r="K23" i="73"/>
  <c r="L23" i="73" s="1"/>
  <c r="N102" i="72"/>
  <c r="O102" i="72" s="1"/>
  <c r="L102" i="72"/>
  <c r="M102" i="72" s="1"/>
  <c r="M21" i="72"/>
  <c r="N21" i="72" s="1"/>
  <c r="K21" i="72"/>
  <c r="L21" i="72" s="1"/>
  <c r="N106" i="71"/>
  <c r="O106" i="71" s="1"/>
  <c r="L106" i="71"/>
  <c r="M106" i="71" s="1"/>
  <c r="M25" i="71"/>
  <c r="N25" i="71" s="1"/>
  <c r="K25" i="71"/>
  <c r="L25" i="71" s="1"/>
  <c r="N107" i="69"/>
  <c r="O107" i="69" s="1"/>
  <c r="L107" i="69"/>
  <c r="M107" i="69" s="1"/>
  <c r="N107" i="70"/>
  <c r="O107" i="70" s="1"/>
  <c r="L107" i="70"/>
  <c r="M107" i="70" s="1"/>
  <c r="M26" i="70"/>
  <c r="N26" i="70" s="1"/>
  <c r="K26" i="70"/>
  <c r="L26" i="70" s="1"/>
  <c r="M26" i="69"/>
  <c r="N26" i="69" s="1"/>
  <c r="K26" i="69"/>
  <c r="L26" i="69" s="1"/>
  <c r="M19" i="68"/>
  <c r="N19" i="68" s="1"/>
  <c r="K19" i="68"/>
  <c r="L19" i="68" s="1"/>
  <c r="N100" i="68"/>
  <c r="O100" i="68" s="1"/>
  <c r="L100" i="68"/>
  <c r="M100" i="68" s="1"/>
  <c r="N100" i="67"/>
  <c r="O100" i="67" s="1"/>
  <c r="L100" i="67"/>
  <c r="M100" i="67" s="1"/>
  <c r="M19" i="67"/>
  <c r="N19" i="67" s="1"/>
  <c r="K19" i="67"/>
  <c r="L19" i="67" s="1"/>
  <c r="N100" i="66"/>
  <c r="O100" i="66" s="1"/>
  <c r="L100" i="66"/>
  <c r="M100" i="66" s="1"/>
  <c r="M19" i="66"/>
  <c r="N19" i="66" s="1"/>
  <c r="K19" i="66"/>
  <c r="L19" i="66" s="1"/>
  <c r="N100" i="65"/>
  <c r="O100" i="65" s="1"/>
  <c r="L100" i="65"/>
  <c r="M100" i="65" s="1"/>
  <c r="M19" i="65"/>
  <c r="N19" i="65" s="1"/>
  <c r="K19" i="65"/>
  <c r="L19" i="65" s="1"/>
  <c r="N101" i="64"/>
  <c r="O101" i="64" s="1"/>
  <c r="L101" i="64"/>
  <c r="M101" i="64" s="1"/>
  <c r="M20" i="64"/>
  <c r="N20" i="64" s="1"/>
  <c r="K20" i="64"/>
  <c r="L20" i="64" s="1"/>
  <c r="N101" i="60"/>
  <c r="O101" i="60" s="1"/>
  <c r="L101" i="60"/>
  <c r="M101" i="60" s="1"/>
  <c r="M20" i="60"/>
  <c r="N20" i="60" s="1"/>
  <c r="K20" i="60"/>
  <c r="L20" i="60" s="1"/>
  <c r="N101" i="62"/>
  <c r="O101" i="62" s="1"/>
  <c r="L101" i="62"/>
  <c r="M101" i="62" s="1"/>
  <c r="M20" i="62"/>
  <c r="N20" i="62" s="1"/>
  <c r="K20" i="62"/>
  <c r="L20" i="62" s="1"/>
  <c r="N101" i="63"/>
  <c r="O101" i="63" s="1"/>
  <c r="L101" i="63"/>
  <c r="M101" i="63" s="1"/>
  <c r="M20" i="63"/>
  <c r="N20" i="63" s="1"/>
  <c r="K20" i="63"/>
  <c r="L20" i="63" s="1"/>
  <c r="N101" i="59"/>
  <c r="O101" i="59" s="1"/>
  <c r="L101" i="59"/>
  <c r="M101" i="59" s="1"/>
  <c r="M20" i="59"/>
  <c r="N20" i="59" s="1"/>
  <c r="K20" i="59"/>
  <c r="L20" i="59" s="1"/>
  <c r="M21" i="58"/>
  <c r="N21" i="58" s="1"/>
  <c r="K21" i="58"/>
  <c r="L21" i="58" s="1"/>
  <c r="N102" i="57"/>
  <c r="O102" i="57" s="1"/>
  <c r="L102" i="57"/>
  <c r="M102" i="57" s="1"/>
  <c r="M21" i="57"/>
  <c r="N21" i="57" s="1"/>
  <c r="K21" i="57"/>
  <c r="L21" i="57" s="1"/>
  <c r="N102" i="56"/>
  <c r="O102" i="56" s="1"/>
  <c r="L102" i="56"/>
  <c r="M102" i="56" s="1"/>
  <c r="M21" i="56"/>
  <c r="N21" i="56" s="1"/>
  <c r="K21" i="56"/>
  <c r="L21" i="56" s="1"/>
  <c r="N102" i="55"/>
  <c r="O102" i="55" s="1"/>
  <c r="L102" i="55"/>
  <c r="M102" i="55" s="1"/>
  <c r="M21" i="55"/>
  <c r="N21" i="55" s="1"/>
  <c r="K21" i="55"/>
  <c r="L21" i="55" s="1"/>
  <c r="N102" i="54"/>
  <c r="O102" i="54" s="1"/>
  <c r="L102" i="54"/>
  <c r="M102" i="54" s="1"/>
  <c r="M21" i="54"/>
  <c r="N21" i="54" s="1"/>
  <c r="K21" i="54"/>
  <c r="L21" i="54" s="1"/>
  <c r="N102" i="53"/>
  <c r="O102" i="53" s="1"/>
  <c r="L102" i="53"/>
  <c r="M102" i="53" s="1"/>
  <c r="M21" i="53"/>
  <c r="N21" i="53" s="1"/>
  <c r="K21" i="53"/>
  <c r="L21" i="53" s="1"/>
  <c r="N102" i="46"/>
  <c r="O102" i="46" s="1"/>
  <c r="L102" i="46"/>
  <c r="M102" i="46" s="1"/>
  <c r="M21" i="46"/>
  <c r="N21" i="46" s="1"/>
  <c r="K21" i="46"/>
  <c r="L21" i="46" s="1"/>
  <c r="N103" i="45"/>
  <c r="O103" i="45" s="1"/>
  <c r="L103" i="45"/>
  <c r="M103" i="45" s="1"/>
  <c r="M22" i="45"/>
  <c r="N22" i="45" s="1"/>
  <c r="K22" i="45"/>
  <c r="L22" i="45" s="1"/>
  <c r="N104" i="44"/>
  <c r="O104" i="44" s="1"/>
  <c r="L104" i="44"/>
  <c r="M104" i="44" s="1"/>
  <c r="M23" i="44"/>
  <c r="N23" i="44" s="1"/>
  <c r="K23" i="44"/>
  <c r="L23" i="44" s="1"/>
  <c r="N104" i="43"/>
  <c r="O104" i="43" s="1"/>
  <c r="L104" i="43"/>
  <c r="M104" i="43" s="1"/>
  <c r="M23" i="43"/>
  <c r="N23" i="43" s="1"/>
  <c r="K23" i="43"/>
  <c r="L23" i="43" s="1"/>
  <c r="N104" i="42"/>
  <c r="O104" i="42" s="1"/>
  <c r="L104" i="42"/>
  <c r="M104" i="42" s="1"/>
  <c r="M23" i="42"/>
  <c r="N23" i="42" s="1"/>
  <c r="K23" i="42"/>
  <c r="L23" i="42" s="1"/>
  <c r="N104" i="41"/>
  <c r="O104" i="41" s="1"/>
  <c r="L104" i="41"/>
  <c r="M104" i="41" s="1"/>
  <c r="M23" i="41"/>
  <c r="N23" i="41" s="1"/>
  <c r="K23" i="41"/>
  <c r="L23" i="41" s="1"/>
  <c r="N104" i="39"/>
  <c r="O104" i="39" s="1"/>
  <c r="L104" i="39"/>
  <c r="M104" i="39" s="1"/>
  <c r="M23" i="39"/>
  <c r="N23" i="39" s="1"/>
  <c r="K23" i="39"/>
  <c r="L23" i="39" s="1"/>
  <c r="N106" i="34"/>
  <c r="O106" i="34" s="1"/>
  <c r="L106" i="34"/>
  <c r="M106" i="34" s="1"/>
  <c r="M25" i="34"/>
  <c r="N25" i="34" s="1"/>
  <c r="K25" i="34"/>
  <c r="L25" i="34" s="1"/>
  <c r="N106" i="32"/>
  <c r="O106" i="32" s="1"/>
  <c r="L106" i="32"/>
  <c r="M106" i="32" s="1"/>
  <c r="M25" i="32"/>
  <c r="N25" i="32" s="1"/>
  <c r="K25" i="32"/>
  <c r="L25" i="32" s="1"/>
  <c r="N106" i="31"/>
  <c r="O106" i="31" s="1"/>
  <c r="L106" i="31"/>
  <c r="M106" i="31" s="1"/>
  <c r="M25" i="31"/>
  <c r="N25" i="31" s="1"/>
  <c r="K25" i="31"/>
  <c r="L25" i="31" s="1"/>
  <c r="N107" i="30"/>
  <c r="O107" i="30" s="1"/>
  <c r="L107" i="30"/>
  <c r="M107" i="30" s="1"/>
  <c r="M26" i="30"/>
  <c r="N26" i="30" s="1"/>
  <c r="K26" i="30"/>
  <c r="L26" i="30" s="1"/>
  <c r="N107" i="29"/>
  <c r="O107" i="29" s="1"/>
  <c r="L107" i="29"/>
  <c r="M107" i="29" s="1"/>
  <c r="M26" i="29"/>
  <c r="N26" i="29" s="1"/>
  <c r="K26" i="29"/>
  <c r="L26" i="29" s="1"/>
  <c r="N108" i="28"/>
  <c r="O108" i="28" s="1"/>
  <c r="L108" i="28"/>
  <c r="M108" i="28" s="1"/>
  <c r="M27" i="28"/>
  <c r="N27" i="28" s="1"/>
  <c r="K27" i="28"/>
  <c r="L27" i="28" s="1"/>
  <c r="N107" i="27"/>
  <c r="O107" i="27" s="1"/>
  <c r="L107" i="27"/>
  <c r="M107" i="27" s="1"/>
  <c r="M26" i="27"/>
  <c r="N26" i="27" s="1"/>
  <c r="K26" i="27"/>
  <c r="L26" i="27" s="1"/>
  <c r="N106" i="24"/>
  <c r="O106" i="24" s="1"/>
  <c r="L106" i="24"/>
  <c r="M106" i="24" s="1"/>
  <c r="M25" i="24"/>
  <c r="N25" i="24" s="1"/>
  <c r="K25" i="24"/>
  <c r="L25" i="24" s="1"/>
  <c r="N106" i="23"/>
  <c r="O106" i="23" s="1"/>
  <c r="L106" i="23"/>
  <c r="M106" i="23" s="1"/>
  <c r="M25" i="23"/>
  <c r="N25" i="23" s="1"/>
  <c r="K25" i="23"/>
  <c r="L25" i="23" s="1"/>
  <c r="M24" i="22"/>
  <c r="N24" i="22" s="1"/>
  <c r="K24" i="22"/>
  <c r="L24" i="22" s="1"/>
  <c r="N105" i="22"/>
  <c r="O105" i="22" s="1"/>
  <c r="L105" i="22"/>
  <c r="M105" i="22" s="1"/>
  <c r="N105" i="21"/>
  <c r="O105" i="21" s="1"/>
  <c r="L105" i="21"/>
  <c r="M105" i="21" s="1"/>
  <c r="M24" i="21"/>
  <c r="N24" i="21" s="1"/>
  <c r="K24" i="21"/>
  <c r="L24" i="21" s="1"/>
  <c r="N105" i="20"/>
  <c r="O105" i="20" s="1"/>
  <c r="L105" i="20"/>
  <c r="M105" i="20" s="1"/>
  <c r="M24" i="20"/>
  <c r="N24" i="20" s="1"/>
  <c r="K24" i="20"/>
  <c r="L24" i="20" s="1"/>
  <c r="N105" i="19"/>
  <c r="O105" i="19" s="1"/>
  <c r="L105" i="19"/>
  <c r="M105" i="19" s="1"/>
  <c r="M24" i="19"/>
  <c r="N24" i="19" s="1"/>
  <c r="K24" i="19"/>
  <c r="L24" i="19" s="1"/>
  <c r="N105" i="18"/>
  <c r="O105" i="18" s="1"/>
  <c r="L105" i="18"/>
  <c r="M105" i="18" s="1"/>
  <c r="M24" i="18"/>
  <c r="N24" i="18" s="1"/>
  <c r="K24" i="18"/>
  <c r="L24" i="18" s="1"/>
  <c r="N105" i="17"/>
  <c r="O105" i="17" s="1"/>
  <c r="L105" i="17"/>
  <c r="M105" i="17" s="1"/>
  <c r="M24" i="17"/>
  <c r="N24" i="17" s="1"/>
  <c r="K24" i="17"/>
  <c r="L24" i="17" s="1"/>
  <c r="N105" i="3"/>
  <c r="O105" i="3" s="1"/>
  <c r="L105" i="3"/>
  <c r="M105" i="3" s="1"/>
  <c r="M24" i="3"/>
  <c r="N24" i="3" s="1"/>
  <c r="K24" i="3"/>
  <c r="L24" i="3" s="1"/>
  <c r="D90" i="70"/>
  <c r="D90" i="71" s="1"/>
  <c r="D90" i="72" s="1"/>
  <c r="D90" i="73" s="1"/>
  <c r="D88" i="74" s="1"/>
  <c r="P83" i="83"/>
  <c r="P83" i="82"/>
  <c r="P83" i="81"/>
  <c r="P83" i="80"/>
  <c r="B18" i="79"/>
  <c r="W75" i="36"/>
  <c r="P75" i="36"/>
  <c r="W74" i="36"/>
  <c r="P74" i="36"/>
  <c r="W73" i="36"/>
  <c r="P73" i="36"/>
  <c r="W72" i="36"/>
  <c r="P72" i="36"/>
  <c r="P154" i="84"/>
  <c r="O154" i="84"/>
  <c r="M154" i="84"/>
  <c r="J154" i="84"/>
  <c r="P153" i="84"/>
  <c r="O153" i="84"/>
  <c r="M153" i="84"/>
  <c r="J153" i="84"/>
  <c r="P152" i="84"/>
  <c r="O152" i="84"/>
  <c r="M152" i="84"/>
  <c r="J152" i="84"/>
  <c r="P151" i="84"/>
  <c r="O151" i="84"/>
  <c r="M151" i="84"/>
  <c r="J151" i="84"/>
  <c r="P150" i="84"/>
  <c r="O150" i="84"/>
  <c r="M150" i="84"/>
  <c r="J150" i="84"/>
  <c r="P149" i="84"/>
  <c r="O149" i="84"/>
  <c r="M149" i="84"/>
  <c r="J149" i="84"/>
  <c r="P148" i="84"/>
  <c r="O148" i="84"/>
  <c r="M148" i="84"/>
  <c r="J148" i="84"/>
  <c r="P147" i="84"/>
  <c r="O147" i="84"/>
  <c r="M147" i="84"/>
  <c r="J147" i="84"/>
  <c r="P146" i="84"/>
  <c r="O146" i="84"/>
  <c r="M146" i="84"/>
  <c r="J146" i="84"/>
  <c r="P145" i="84"/>
  <c r="O145" i="84"/>
  <c r="M145" i="84"/>
  <c r="J145" i="84"/>
  <c r="P144" i="84"/>
  <c r="O144" i="84"/>
  <c r="M144" i="84"/>
  <c r="J144" i="84"/>
  <c r="P143" i="84"/>
  <c r="O143" i="84"/>
  <c r="M143" i="84"/>
  <c r="J143" i="84"/>
  <c r="P142" i="84"/>
  <c r="O142" i="84"/>
  <c r="M142" i="84"/>
  <c r="J142" i="84"/>
  <c r="P141" i="84"/>
  <c r="O141" i="84"/>
  <c r="M141" i="84"/>
  <c r="J141" i="84"/>
  <c r="P140" i="84"/>
  <c r="O140" i="84"/>
  <c r="M140" i="84"/>
  <c r="J140" i="84"/>
  <c r="P139" i="84"/>
  <c r="O139" i="84"/>
  <c r="M139" i="84"/>
  <c r="J139" i="84"/>
  <c r="P138" i="84"/>
  <c r="O138" i="84"/>
  <c r="M138" i="84"/>
  <c r="J138" i="84"/>
  <c r="P137" i="84"/>
  <c r="O137" i="84"/>
  <c r="M137" i="84"/>
  <c r="J137" i="84"/>
  <c r="P136" i="84"/>
  <c r="O136" i="84"/>
  <c r="M136" i="84"/>
  <c r="J136" i="84"/>
  <c r="P135" i="84"/>
  <c r="O135" i="84"/>
  <c r="M135" i="84"/>
  <c r="J135" i="84"/>
  <c r="P134" i="84"/>
  <c r="O134" i="84"/>
  <c r="M134" i="84"/>
  <c r="J134" i="84"/>
  <c r="P133" i="84"/>
  <c r="O133" i="84"/>
  <c r="M133" i="84"/>
  <c r="J133" i="84"/>
  <c r="P132" i="84"/>
  <c r="O132" i="84"/>
  <c r="M132" i="84"/>
  <c r="J132" i="84"/>
  <c r="P131" i="84"/>
  <c r="O131" i="84"/>
  <c r="M131" i="84"/>
  <c r="J131" i="84"/>
  <c r="O130" i="84"/>
  <c r="M130" i="84"/>
  <c r="O129" i="84"/>
  <c r="M129" i="84"/>
  <c r="O128" i="84"/>
  <c r="M128" i="84"/>
  <c r="O127" i="84"/>
  <c r="M127" i="84"/>
  <c r="O126" i="84"/>
  <c r="M126" i="84"/>
  <c r="O125" i="84"/>
  <c r="M125" i="84"/>
  <c r="O124" i="84"/>
  <c r="M124" i="84"/>
  <c r="O123" i="84"/>
  <c r="M123" i="84"/>
  <c r="O122" i="84"/>
  <c r="M122" i="84"/>
  <c r="O121" i="84"/>
  <c r="M121" i="84"/>
  <c r="O120" i="84"/>
  <c r="M120" i="84"/>
  <c r="O119" i="84"/>
  <c r="M119" i="84"/>
  <c r="O118" i="84"/>
  <c r="M118" i="84"/>
  <c r="O117" i="84"/>
  <c r="M117" i="84"/>
  <c r="O116" i="84"/>
  <c r="M116" i="84"/>
  <c r="O115" i="84"/>
  <c r="M115" i="84"/>
  <c r="O114" i="84"/>
  <c r="M114" i="84"/>
  <c r="O113" i="84"/>
  <c r="M113" i="84"/>
  <c r="O112" i="84"/>
  <c r="M112" i="84"/>
  <c r="O111" i="84"/>
  <c r="M111" i="84"/>
  <c r="O110" i="84"/>
  <c r="M110" i="84"/>
  <c r="O109" i="84"/>
  <c r="M109" i="84"/>
  <c r="O108" i="84"/>
  <c r="M108" i="84"/>
  <c r="O107" i="84"/>
  <c r="M107" i="84"/>
  <c r="O106" i="84"/>
  <c r="M106" i="84"/>
  <c r="O103" i="84"/>
  <c r="O102" i="84"/>
  <c r="O101" i="84"/>
  <c r="D96" i="84"/>
  <c r="L93" i="84"/>
  <c r="J93" i="84"/>
  <c r="D91" i="84"/>
  <c r="D89" i="84"/>
  <c r="N72" i="84"/>
  <c r="L72" i="84"/>
  <c r="N71" i="84"/>
  <c r="L71" i="84"/>
  <c r="N70" i="84"/>
  <c r="L70" i="84"/>
  <c r="N69" i="84"/>
  <c r="L69" i="84"/>
  <c r="N68" i="84"/>
  <c r="L68" i="84"/>
  <c r="N67" i="84"/>
  <c r="L67" i="84"/>
  <c r="N66" i="84"/>
  <c r="L66" i="84"/>
  <c r="N65" i="84"/>
  <c r="L65" i="84"/>
  <c r="N64" i="84"/>
  <c r="L64" i="84"/>
  <c r="N63" i="84"/>
  <c r="L63" i="84"/>
  <c r="N62" i="84"/>
  <c r="L62" i="84"/>
  <c r="N61" i="84"/>
  <c r="L61" i="84"/>
  <c r="N60" i="84"/>
  <c r="L60" i="84"/>
  <c r="N59" i="84"/>
  <c r="L59" i="84"/>
  <c r="N58" i="84"/>
  <c r="L58" i="84"/>
  <c r="N57" i="84"/>
  <c r="L57" i="84"/>
  <c r="N56" i="84"/>
  <c r="L56" i="84"/>
  <c r="N55" i="84"/>
  <c r="L55" i="84"/>
  <c r="N54" i="84"/>
  <c r="L54" i="84"/>
  <c r="N53" i="84"/>
  <c r="L53" i="84"/>
  <c r="N52" i="84"/>
  <c r="L52" i="84"/>
  <c r="N51" i="84"/>
  <c r="L51" i="84"/>
  <c r="N50" i="84"/>
  <c r="L50" i="84"/>
  <c r="N49" i="84"/>
  <c r="L49" i="84"/>
  <c r="N48" i="84"/>
  <c r="L48" i="84"/>
  <c r="N47" i="84"/>
  <c r="L47" i="84"/>
  <c r="N46" i="84"/>
  <c r="L46" i="84"/>
  <c r="N45" i="84"/>
  <c r="L45" i="84"/>
  <c r="N44" i="84"/>
  <c r="L44" i="84"/>
  <c r="N43" i="84"/>
  <c r="L43" i="84"/>
  <c r="N42" i="84"/>
  <c r="L42" i="84"/>
  <c r="N41" i="84"/>
  <c r="L41" i="84"/>
  <c r="N40" i="84"/>
  <c r="L40" i="84"/>
  <c r="N39" i="84"/>
  <c r="L39" i="84"/>
  <c r="N38" i="84"/>
  <c r="L38" i="84"/>
  <c r="N37" i="84"/>
  <c r="L37" i="84"/>
  <c r="N36" i="84"/>
  <c r="L36" i="84"/>
  <c r="N35" i="84"/>
  <c r="L35" i="84"/>
  <c r="N34" i="84"/>
  <c r="L34" i="84"/>
  <c r="N33" i="84"/>
  <c r="L33" i="84"/>
  <c r="N32" i="84"/>
  <c r="L32" i="84"/>
  <c r="N31" i="84"/>
  <c r="L31" i="84"/>
  <c r="N30" i="84"/>
  <c r="L30" i="84"/>
  <c r="N29" i="84"/>
  <c r="L29" i="84"/>
  <c r="N28" i="84"/>
  <c r="L28" i="84"/>
  <c r="N27" i="84"/>
  <c r="L27" i="84"/>
  <c r="N26" i="84"/>
  <c r="L26" i="84"/>
  <c r="N24" i="84"/>
  <c r="N23" i="84"/>
  <c r="N22" i="84"/>
  <c r="N21" i="84"/>
  <c r="N20" i="84"/>
  <c r="O20" i="84" s="1"/>
  <c r="C18" i="84"/>
  <c r="C19" i="84" s="1"/>
  <c r="C20" i="84" s="1"/>
  <c r="C21" i="84" s="1"/>
  <c r="C22" i="84" s="1"/>
  <c r="C23" i="84" s="1"/>
  <c r="C24" i="84" s="1"/>
  <c r="C25" i="84" s="1"/>
  <c r="C26" i="84" s="1"/>
  <c r="C27" i="84" s="1"/>
  <c r="C28" i="84" s="1"/>
  <c r="C29" i="84" s="1"/>
  <c r="C30" i="84" s="1"/>
  <c r="C31" i="84" s="1"/>
  <c r="C32" i="84" s="1"/>
  <c r="C33" i="84" s="1"/>
  <c r="C34" i="84" s="1"/>
  <c r="C35" i="84" s="1"/>
  <c r="C36" i="84" s="1"/>
  <c r="C37" i="84" s="1"/>
  <c r="C38" i="84" s="1"/>
  <c r="C39" i="84" s="1"/>
  <c r="C40" i="84" s="1"/>
  <c r="C41" i="84" s="1"/>
  <c r="C42" i="84" s="1"/>
  <c r="C43" i="84" s="1"/>
  <c r="C44" i="84" s="1"/>
  <c r="C45" i="84" s="1"/>
  <c r="C46" i="84" s="1"/>
  <c r="C47" i="84" s="1"/>
  <c r="C48" i="84" s="1"/>
  <c r="C49" i="84" s="1"/>
  <c r="C50" i="84" s="1"/>
  <c r="C51" i="84" s="1"/>
  <c r="C52" i="84" s="1"/>
  <c r="C53" i="84" s="1"/>
  <c r="C54" i="84" s="1"/>
  <c r="C55" i="84" s="1"/>
  <c r="C56" i="84" s="1"/>
  <c r="C57" i="84" s="1"/>
  <c r="C58" i="84" s="1"/>
  <c r="C59" i="84" s="1"/>
  <c r="C60" i="84" s="1"/>
  <c r="C61" i="84" s="1"/>
  <c r="C62" i="84" s="1"/>
  <c r="C63" i="84" s="1"/>
  <c r="C64" i="84" s="1"/>
  <c r="C65" i="84" s="1"/>
  <c r="C66" i="84" s="1"/>
  <c r="C67" i="84" s="1"/>
  <c r="C68" i="84" s="1"/>
  <c r="C69" i="84" s="1"/>
  <c r="C70" i="84" s="1"/>
  <c r="C71" i="84" s="1"/>
  <c r="C72" i="84" s="1"/>
  <c r="K11" i="84"/>
  <c r="I11" i="84"/>
  <c r="D8" i="84"/>
  <c r="D90" i="84" s="1"/>
  <c r="P154" i="83"/>
  <c r="O154" i="83"/>
  <c r="M154" i="83"/>
  <c r="J154" i="83"/>
  <c r="P153" i="83"/>
  <c r="O153" i="83"/>
  <c r="M153" i="83"/>
  <c r="J153" i="83"/>
  <c r="P152" i="83"/>
  <c r="O152" i="83"/>
  <c r="M152" i="83"/>
  <c r="J152" i="83"/>
  <c r="P151" i="83"/>
  <c r="O151" i="83"/>
  <c r="M151" i="83"/>
  <c r="J151" i="83"/>
  <c r="P150" i="83"/>
  <c r="O150" i="83"/>
  <c r="M150" i="83"/>
  <c r="J150" i="83"/>
  <c r="P149" i="83"/>
  <c r="O149" i="83"/>
  <c r="M149" i="83"/>
  <c r="J149" i="83"/>
  <c r="P148" i="83"/>
  <c r="O148" i="83"/>
  <c r="M148" i="83"/>
  <c r="J148" i="83"/>
  <c r="P147" i="83"/>
  <c r="O147" i="83"/>
  <c r="M147" i="83"/>
  <c r="J147" i="83"/>
  <c r="P146" i="83"/>
  <c r="O146" i="83"/>
  <c r="M146" i="83"/>
  <c r="J146" i="83"/>
  <c r="P145" i="83"/>
  <c r="O145" i="83"/>
  <c r="M145" i="83"/>
  <c r="J145" i="83"/>
  <c r="P144" i="83"/>
  <c r="O144" i="83"/>
  <c r="M144" i="83"/>
  <c r="J144" i="83"/>
  <c r="P143" i="83"/>
  <c r="O143" i="83"/>
  <c r="M143" i="83"/>
  <c r="J143" i="83"/>
  <c r="P142" i="83"/>
  <c r="O142" i="83"/>
  <c r="M142" i="83"/>
  <c r="J142" i="83"/>
  <c r="P141" i="83"/>
  <c r="O141" i="83"/>
  <c r="M141" i="83"/>
  <c r="J141" i="83"/>
  <c r="P140" i="83"/>
  <c r="O140" i="83"/>
  <c r="M140" i="83"/>
  <c r="J140" i="83"/>
  <c r="P139" i="83"/>
  <c r="O139" i="83"/>
  <c r="M139" i="83"/>
  <c r="J139" i="83"/>
  <c r="P138" i="83"/>
  <c r="O138" i="83"/>
  <c r="M138" i="83"/>
  <c r="J138" i="83"/>
  <c r="P137" i="83"/>
  <c r="O137" i="83"/>
  <c r="M137" i="83"/>
  <c r="J137" i="83"/>
  <c r="P136" i="83"/>
  <c r="O136" i="83"/>
  <c r="M136" i="83"/>
  <c r="J136" i="83"/>
  <c r="P135" i="83"/>
  <c r="O135" i="83"/>
  <c r="M135" i="83"/>
  <c r="J135" i="83"/>
  <c r="P134" i="83"/>
  <c r="O134" i="83"/>
  <c r="M134" i="83"/>
  <c r="J134" i="83"/>
  <c r="P133" i="83"/>
  <c r="O133" i="83"/>
  <c r="M133" i="83"/>
  <c r="J133" i="83"/>
  <c r="P132" i="83"/>
  <c r="O132" i="83"/>
  <c r="M132" i="83"/>
  <c r="J132" i="83"/>
  <c r="P131" i="83"/>
  <c r="O131" i="83"/>
  <c r="M131" i="83"/>
  <c r="J131" i="83"/>
  <c r="O130" i="83"/>
  <c r="M130" i="83"/>
  <c r="O129" i="83"/>
  <c r="M129" i="83"/>
  <c r="O128" i="83"/>
  <c r="M128" i="83"/>
  <c r="O127" i="83"/>
  <c r="M127" i="83"/>
  <c r="O126" i="83"/>
  <c r="M126" i="83"/>
  <c r="O125" i="83"/>
  <c r="M125" i="83"/>
  <c r="O124" i="83"/>
  <c r="M124" i="83"/>
  <c r="O123" i="83"/>
  <c r="M123" i="83"/>
  <c r="O122" i="83"/>
  <c r="M122" i="83"/>
  <c r="O121" i="83"/>
  <c r="M121" i="83"/>
  <c r="O120" i="83"/>
  <c r="M120" i="83"/>
  <c r="O119" i="83"/>
  <c r="M119" i="83"/>
  <c r="O118" i="83"/>
  <c r="M118" i="83"/>
  <c r="O117" i="83"/>
  <c r="M117" i="83"/>
  <c r="O116" i="83"/>
  <c r="M116" i="83"/>
  <c r="O115" i="83"/>
  <c r="M115" i="83"/>
  <c r="O114" i="83"/>
  <c r="M114" i="83"/>
  <c r="O113" i="83"/>
  <c r="M113" i="83"/>
  <c r="O112" i="83"/>
  <c r="M112" i="83"/>
  <c r="O111" i="83"/>
  <c r="M111" i="83"/>
  <c r="O110" i="83"/>
  <c r="M110" i="83"/>
  <c r="O109" i="83"/>
  <c r="M109" i="83"/>
  <c r="O108" i="83"/>
  <c r="M108" i="83"/>
  <c r="O107" i="83"/>
  <c r="M107" i="83"/>
  <c r="O104" i="83"/>
  <c r="O103" i="83"/>
  <c r="O102" i="83"/>
  <c r="O101" i="83"/>
  <c r="D96" i="83"/>
  <c r="L93" i="83"/>
  <c r="J93" i="83"/>
  <c r="D91" i="83"/>
  <c r="D89" i="83"/>
  <c r="N72" i="83"/>
  <c r="L72" i="83"/>
  <c r="N71" i="83"/>
  <c r="L71" i="83"/>
  <c r="N70" i="83"/>
  <c r="L70" i="83"/>
  <c r="N69" i="83"/>
  <c r="L69" i="83"/>
  <c r="N68" i="83"/>
  <c r="L68" i="83"/>
  <c r="N67" i="83"/>
  <c r="L67" i="83"/>
  <c r="N66" i="83"/>
  <c r="L66" i="83"/>
  <c r="N65" i="83"/>
  <c r="L65" i="83"/>
  <c r="N64" i="83"/>
  <c r="L64" i="83"/>
  <c r="N63" i="83"/>
  <c r="L63" i="83"/>
  <c r="N62" i="83"/>
  <c r="L62" i="83"/>
  <c r="N61" i="83"/>
  <c r="L61" i="83"/>
  <c r="N60" i="83"/>
  <c r="L60" i="83"/>
  <c r="N59" i="83"/>
  <c r="L59" i="83"/>
  <c r="N58" i="83"/>
  <c r="L58" i="83"/>
  <c r="N57" i="83"/>
  <c r="L57" i="83"/>
  <c r="N56" i="83"/>
  <c r="L56" i="83"/>
  <c r="N55" i="83"/>
  <c r="L55" i="83"/>
  <c r="N54" i="83"/>
  <c r="L54" i="83"/>
  <c r="N53" i="83"/>
  <c r="L53" i="83"/>
  <c r="N52" i="83"/>
  <c r="L52" i="83"/>
  <c r="N51" i="83"/>
  <c r="L51" i="83"/>
  <c r="N50" i="83"/>
  <c r="L50" i="83"/>
  <c r="N49" i="83"/>
  <c r="L49" i="83"/>
  <c r="N48" i="83"/>
  <c r="L48" i="83"/>
  <c r="N47" i="83"/>
  <c r="L47" i="83"/>
  <c r="N46" i="83"/>
  <c r="L46" i="83"/>
  <c r="N45" i="83"/>
  <c r="L45" i="83"/>
  <c r="N44" i="83"/>
  <c r="L44" i="83"/>
  <c r="N43" i="83"/>
  <c r="L43" i="83"/>
  <c r="N42" i="83"/>
  <c r="L42" i="83"/>
  <c r="N41" i="83"/>
  <c r="L41" i="83"/>
  <c r="N40" i="83"/>
  <c r="L40" i="83"/>
  <c r="N39" i="83"/>
  <c r="L39" i="83"/>
  <c r="N38" i="83"/>
  <c r="L38" i="83"/>
  <c r="N37" i="83"/>
  <c r="L37" i="83"/>
  <c r="N36" i="83"/>
  <c r="L36" i="83"/>
  <c r="N35" i="83"/>
  <c r="L35" i="83"/>
  <c r="N34" i="83"/>
  <c r="L34" i="83"/>
  <c r="N33" i="83"/>
  <c r="L33" i="83"/>
  <c r="N32" i="83"/>
  <c r="L32" i="83"/>
  <c r="N31" i="83"/>
  <c r="L31" i="83"/>
  <c r="N30" i="83"/>
  <c r="L30" i="83"/>
  <c r="N29" i="83"/>
  <c r="L29" i="83"/>
  <c r="N28" i="83"/>
  <c r="L28" i="83"/>
  <c r="N27" i="83"/>
  <c r="L27" i="83"/>
  <c r="N26" i="83"/>
  <c r="L26" i="83"/>
  <c r="N24" i="83"/>
  <c r="N23" i="83"/>
  <c r="N22" i="83"/>
  <c r="N21" i="83"/>
  <c r="N20" i="83"/>
  <c r="O20" i="83" s="1"/>
  <c r="C17" i="83"/>
  <c r="C18" i="83" s="1"/>
  <c r="C19" i="83" s="1"/>
  <c r="C20" i="83" s="1"/>
  <c r="C21" i="83" s="1"/>
  <c r="C22" i="83" s="1"/>
  <c r="C23" i="83" s="1"/>
  <c r="C24" i="83" s="1"/>
  <c r="C25" i="83" s="1"/>
  <c r="C26" i="83" s="1"/>
  <c r="C27" i="83" s="1"/>
  <c r="C28" i="83" s="1"/>
  <c r="C29" i="83" s="1"/>
  <c r="C30" i="83" s="1"/>
  <c r="C31" i="83" s="1"/>
  <c r="C32" i="83" s="1"/>
  <c r="C33" i="83" s="1"/>
  <c r="C34" i="83" s="1"/>
  <c r="C35" i="83" s="1"/>
  <c r="C36" i="83" s="1"/>
  <c r="C37" i="83" s="1"/>
  <c r="C38" i="83" s="1"/>
  <c r="C39" i="83" s="1"/>
  <c r="C40" i="83" s="1"/>
  <c r="C41" i="83" s="1"/>
  <c r="C42" i="83" s="1"/>
  <c r="C43" i="83" s="1"/>
  <c r="C44" i="83" s="1"/>
  <c r="C45" i="83" s="1"/>
  <c r="C46" i="83" s="1"/>
  <c r="C47" i="83" s="1"/>
  <c r="C48" i="83" s="1"/>
  <c r="C49" i="83" s="1"/>
  <c r="C50" i="83" s="1"/>
  <c r="C51" i="83" s="1"/>
  <c r="C52" i="83" s="1"/>
  <c r="C53" i="83" s="1"/>
  <c r="C54" i="83" s="1"/>
  <c r="C55" i="83" s="1"/>
  <c r="C56" i="83" s="1"/>
  <c r="C57" i="83" s="1"/>
  <c r="C58" i="83" s="1"/>
  <c r="C59" i="83" s="1"/>
  <c r="C60" i="83" s="1"/>
  <c r="C61" i="83" s="1"/>
  <c r="C62" i="83" s="1"/>
  <c r="C63" i="83" s="1"/>
  <c r="C64" i="83" s="1"/>
  <c r="C65" i="83" s="1"/>
  <c r="C66" i="83" s="1"/>
  <c r="C67" i="83" s="1"/>
  <c r="C68" i="83" s="1"/>
  <c r="C69" i="83" s="1"/>
  <c r="C70" i="83" s="1"/>
  <c r="C71" i="83" s="1"/>
  <c r="C72" i="83" s="1"/>
  <c r="K11" i="83"/>
  <c r="I11" i="83"/>
  <c r="D8" i="83"/>
  <c r="D90" i="83" s="1"/>
  <c r="P154" i="82"/>
  <c r="O154" i="82"/>
  <c r="M154" i="82"/>
  <c r="J154" i="82"/>
  <c r="P153" i="82"/>
  <c r="O153" i="82"/>
  <c r="M153" i="82"/>
  <c r="J153" i="82"/>
  <c r="P152" i="82"/>
  <c r="O152" i="82"/>
  <c r="M152" i="82"/>
  <c r="J152" i="82"/>
  <c r="P151" i="82"/>
  <c r="O151" i="82"/>
  <c r="M151" i="82"/>
  <c r="J151" i="82"/>
  <c r="P150" i="82"/>
  <c r="O150" i="82"/>
  <c r="M150" i="82"/>
  <c r="J150" i="82"/>
  <c r="P149" i="82"/>
  <c r="O149" i="82"/>
  <c r="M149" i="82"/>
  <c r="J149" i="82"/>
  <c r="P148" i="82"/>
  <c r="O148" i="82"/>
  <c r="M148" i="82"/>
  <c r="J148" i="82"/>
  <c r="P147" i="82"/>
  <c r="O147" i="82"/>
  <c r="M147" i="82"/>
  <c r="J147" i="82"/>
  <c r="P146" i="82"/>
  <c r="O146" i="82"/>
  <c r="M146" i="82"/>
  <c r="J146" i="82"/>
  <c r="P145" i="82"/>
  <c r="O145" i="82"/>
  <c r="M145" i="82"/>
  <c r="J145" i="82"/>
  <c r="P144" i="82"/>
  <c r="O144" i="82"/>
  <c r="M144" i="82"/>
  <c r="J144" i="82"/>
  <c r="P143" i="82"/>
  <c r="O143" i="82"/>
  <c r="M143" i="82"/>
  <c r="J143" i="82"/>
  <c r="P142" i="82"/>
  <c r="O142" i="82"/>
  <c r="M142" i="82"/>
  <c r="J142" i="82"/>
  <c r="P141" i="82"/>
  <c r="O141" i="82"/>
  <c r="M141" i="82"/>
  <c r="J141" i="82"/>
  <c r="P140" i="82"/>
  <c r="O140" i="82"/>
  <c r="M140" i="82"/>
  <c r="J140" i="82"/>
  <c r="P139" i="82"/>
  <c r="O139" i="82"/>
  <c r="M139" i="82"/>
  <c r="J139" i="82"/>
  <c r="P138" i="82"/>
  <c r="O138" i="82"/>
  <c r="M138" i="82"/>
  <c r="J138" i="82"/>
  <c r="P137" i="82"/>
  <c r="O137" i="82"/>
  <c r="M137" i="82"/>
  <c r="J137" i="82"/>
  <c r="P136" i="82"/>
  <c r="O136" i="82"/>
  <c r="M136" i="82"/>
  <c r="J136" i="82"/>
  <c r="P135" i="82"/>
  <c r="O135" i="82"/>
  <c r="M135" i="82"/>
  <c r="J135" i="82"/>
  <c r="P134" i="82"/>
  <c r="O134" i="82"/>
  <c r="M134" i="82"/>
  <c r="J134" i="82"/>
  <c r="P133" i="82"/>
  <c r="O133" i="82"/>
  <c r="M133" i="82"/>
  <c r="J133" i="82"/>
  <c r="P132" i="82"/>
  <c r="O132" i="82"/>
  <c r="M132" i="82"/>
  <c r="J132" i="82"/>
  <c r="P131" i="82"/>
  <c r="O131" i="82"/>
  <c r="M131" i="82"/>
  <c r="J131" i="82"/>
  <c r="O130" i="82"/>
  <c r="M130" i="82"/>
  <c r="O129" i="82"/>
  <c r="M129" i="82"/>
  <c r="O128" i="82"/>
  <c r="M128" i="82"/>
  <c r="O127" i="82"/>
  <c r="M127" i="82"/>
  <c r="O126" i="82"/>
  <c r="M126" i="82"/>
  <c r="O125" i="82"/>
  <c r="M125" i="82"/>
  <c r="O124" i="82"/>
  <c r="M124" i="82"/>
  <c r="O123" i="82"/>
  <c r="M123" i="82"/>
  <c r="O122" i="82"/>
  <c r="M122" i="82"/>
  <c r="O121" i="82"/>
  <c r="M121" i="82"/>
  <c r="O120" i="82"/>
  <c r="M120" i="82"/>
  <c r="O119" i="82"/>
  <c r="M119" i="82"/>
  <c r="O118" i="82"/>
  <c r="M118" i="82"/>
  <c r="O117" i="82"/>
  <c r="M117" i="82"/>
  <c r="O116" i="82"/>
  <c r="M116" i="82"/>
  <c r="O115" i="82"/>
  <c r="M115" i="82"/>
  <c r="O114" i="82"/>
  <c r="M114" i="82"/>
  <c r="O113" i="82"/>
  <c r="M113" i="82"/>
  <c r="O112" i="82"/>
  <c r="M112" i="82"/>
  <c r="O111" i="82"/>
  <c r="M111" i="82"/>
  <c r="O110" i="82"/>
  <c r="M110" i="82"/>
  <c r="O109" i="82"/>
  <c r="M109" i="82"/>
  <c r="O108" i="82"/>
  <c r="M108" i="82"/>
  <c r="O107" i="82"/>
  <c r="M107" i="82"/>
  <c r="O104" i="82"/>
  <c r="O103" i="82"/>
  <c r="O102" i="82"/>
  <c r="D96" i="82"/>
  <c r="L93" i="82"/>
  <c r="J93" i="82"/>
  <c r="D91" i="82"/>
  <c r="D89" i="82"/>
  <c r="N72" i="82"/>
  <c r="L72" i="82"/>
  <c r="N71" i="82"/>
  <c r="L71" i="82"/>
  <c r="N70" i="82"/>
  <c r="L70" i="82"/>
  <c r="N69" i="82"/>
  <c r="L69" i="82"/>
  <c r="N68" i="82"/>
  <c r="L68" i="82"/>
  <c r="N67" i="82"/>
  <c r="L67" i="82"/>
  <c r="N66" i="82"/>
  <c r="L66" i="82"/>
  <c r="N65" i="82"/>
  <c r="L65" i="82"/>
  <c r="N64" i="82"/>
  <c r="L64" i="82"/>
  <c r="N63" i="82"/>
  <c r="L63" i="82"/>
  <c r="N62" i="82"/>
  <c r="L62" i="82"/>
  <c r="N61" i="82"/>
  <c r="L61" i="82"/>
  <c r="N60" i="82"/>
  <c r="L60" i="82"/>
  <c r="N59" i="82"/>
  <c r="L59" i="82"/>
  <c r="N58" i="82"/>
  <c r="L58" i="82"/>
  <c r="N57" i="82"/>
  <c r="L57" i="82"/>
  <c r="N56" i="82"/>
  <c r="L56" i="82"/>
  <c r="N55" i="82"/>
  <c r="L55" i="82"/>
  <c r="N54" i="82"/>
  <c r="L54" i="82"/>
  <c r="N53" i="82"/>
  <c r="L53" i="82"/>
  <c r="N52" i="82"/>
  <c r="L52" i="82"/>
  <c r="N51" i="82"/>
  <c r="L51" i="82"/>
  <c r="N50" i="82"/>
  <c r="L50" i="82"/>
  <c r="N49" i="82"/>
  <c r="L49" i="82"/>
  <c r="N48" i="82"/>
  <c r="L48" i="82"/>
  <c r="N47" i="82"/>
  <c r="L47" i="82"/>
  <c r="N46" i="82"/>
  <c r="L46" i="82"/>
  <c r="N45" i="82"/>
  <c r="L45" i="82"/>
  <c r="N44" i="82"/>
  <c r="L44" i="82"/>
  <c r="N43" i="82"/>
  <c r="L43" i="82"/>
  <c r="N42" i="82"/>
  <c r="L42" i="82"/>
  <c r="N41" i="82"/>
  <c r="L41" i="82"/>
  <c r="N40" i="82"/>
  <c r="L40" i="82"/>
  <c r="N39" i="82"/>
  <c r="L39" i="82"/>
  <c r="N38" i="82"/>
  <c r="L38" i="82"/>
  <c r="N37" i="82"/>
  <c r="L37" i="82"/>
  <c r="N36" i="82"/>
  <c r="L36" i="82"/>
  <c r="N35" i="82"/>
  <c r="L35" i="82"/>
  <c r="N34" i="82"/>
  <c r="L34" i="82"/>
  <c r="N33" i="82"/>
  <c r="L33" i="82"/>
  <c r="N32" i="82"/>
  <c r="L32" i="82"/>
  <c r="N31" i="82"/>
  <c r="L31" i="82"/>
  <c r="N30" i="82"/>
  <c r="L30" i="82"/>
  <c r="N29" i="82"/>
  <c r="L29" i="82"/>
  <c r="N28" i="82"/>
  <c r="L28" i="82"/>
  <c r="N27" i="82"/>
  <c r="L27" i="82"/>
  <c r="N26" i="82"/>
  <c r="L26" i="82"/>
  <c r="N24" i="82"/>
  <c r="N23" i="82"/>
  <c r="N22" i="82"/>
  <c r="N21" i="82"/>
  <c r="N20" i="82"/>
  <c r="C17" i="82"/>
  <c r="C18" i="82" s="1"/>
  <c r="C19" i="82" s="1"/>
  <c r="C20" i="82" s="1"/>
  <c r="C21" i="82" s="1"/>
  <c r="C22" i="82" s="1"/>
  <c r="C23" i="82" s="1"/>
  <c r="C24" i="82" s="1"/>
  <c r="C25" i="82" s="1"/>
  <c r="C26" i="82" s="1"/>
  <c r="C27" i="82" s="1"/>
  <c r="C28" i="82" s="1"/>
  <c r="C29" i="82" s="1"/>
  <c r="C30" i="82" s="1"/>
  <c r="C31" i="82" s="1"/>
  <c r="C32" i="82" s="1"/>
  <c r="C33" i="82" s="1"/>
  <c r="C34" i="82" s="1"/>
  <c r="C35" i="82" s="1"/>
  <c r="C36" i="82" s="1"/>
  <c r="C37" i="82" s="1"/>
  <c r="C38" i="82" s="1"/>
  <c r="C39" i="82" s="1"/>
  <c r="C40" i="82" s="1"/>
  <c r="C41" i="82" s="1"/>
  <c r="C42" i="82" s="1"/>
  <c r="C43" i="82" s="1"/>
  <c r="C44" i="82" s="1"/>
  <c r="C45" i="82" s="1"/>
  <c r="C46" i="82" s="1"/>
  <c r="C47" i="82" s="1"/>
  <c r="C48" i="82" s="1"/>
  <c r="C49" i="82" s="1"/>
  <c r="C50" i="82" s="1"/>
  <c r="C51" i="82" s="1"/>
  <c r="C52" i="82" s="1"/>
  <c r="C53" i="82" s="1"/>
  <c r="C54" i="82" s="1"/>
  <c r="C55" i="82" s="1"/>
  <c r="C56" i="82" s="1"/>
  <c r="C57" i="82" s="1"/>
  <c r="C58" i="82" s="1"/>
  <c r="C59" i="82" s="1"/>
  <c r="C60" i="82" s="1"/>
  <c r="C61" i="82" s="1"/>
  <c r="C62" i="82" s="1"/>
  <c r="C63" i="82" s="1"/>
  <c r="C64" i="82" s="1"/>
  <c r="C65" i="82" s="1"/>
  <c r="C66" i="82" s="1"/>
  <c r="C67" i="82" s="1"/>
  <c r="C68" i="82" s="1"/>
  <c r="C69" i="82" s="1"/>
  <c r="C70" i="82" s="1"/>
  <c r="C71" i="82" s="1"/>
  <c r="C72" i="82" s="1"/>
  <c r="K11" i="82"/>
  <c r="I11" i="82"/>
  <c r="D8" i="82"/>
  <c r="D90" i="82" s="1"/>
  <c r="P154" i="81"/>
  <c r="O154" i="81"/>
  <c r="M154" i="81"/>
  <c r="J154" i="81"/>
  <c r="P153" i="81"/>
  <c r="O153" i="81"/>
  <c r="M153" i="81"/>
  <c r="J153" i="81"/>
  <c r="P152" i="81"/>
  <c r="O152" i="81"/>
  <c r="M152" i="81"/>
  <c r="J152" i="81"/>
  <c r="P151" i="81"/>
  <c r="O151" i="81"/>
  <c r="M151" i="81"/>
  <c r="J151" i="81"/>
  <c r="P150" i="81"/>
  <c r="O150" i="81"/>
  <c r="M150" i="81"/>
  <c r="J150" i="81"/>
  <c r="P149" i="81"/>
  <c r="O149" i="81"/>
  <c r="M149" i="81"/>
  <c r="J149" i="81"/>
  <c r="P148" i="81"/>
  <c r="O148" i="81"/>
  <c r="M148" i="81"/>
  <c r="J148" i="81"/>
  <c r="P147" i="81"/>
  <c r="O147" i="81"/>
  <c r="M147" i="81"/>
  <c r="J147" i="81"/>
  <c r="P146" i="81"/>
  <c r="O146" i="81"/>
  <c r="M146" i="81"/>
  <c r="J146" i="81"/>
  <c r="P145" i="81"/>
  <c r="O145" i="81"/>
  <c r="M145" i="81"/>
  <c r="J145" i="81"/>
  <c r="P144" i="81"/>
  <c r="O144" i="81"/>
  <c r="M144" i="81"/>
  <c r="J144" i="81"/>
  <c r="P143" i="81"/>
  <c r="O143" i="81"/>
  <c r="M143" i="81"/>
  <c r="J143" i="81"/>
  <c r="P142" i="81"/>
  <c r="O142" i="81"/>
  <c r="M142" i="81"/>
  <c r="J142" i="81"/>
  <c r="P141" i="81"/>
  <c r="O141" i="81"/>
  <c r="M141" i="81"/>
  <c r="J141" i="81"/>
  <c r="P140" i="81"/>
  <c r="O140" i="81"/>
  <c r="M140" i="81"/>
  <c r="J140" i="81"/>
  <c r="P139" i="81"/>
  <c r="O139" i="81"/>
  <c r="M139" i="81"/>
  <c r="J139" i="81"/>
  <c r="P138" i="81"/>
  <c r="O138" i="81"/>
  <c r="M138" i="81"/>
  <c r="J138" i="81"/>
  <c r="P137" i="81"/>
  <c r="O137" i="81"/>
  <c r="M137" i="81"/>
  <c r="J137" i="81"/>
  <c r="P136" i="81"/>
  <c r="O136" i="81"/>
  <c r="M136" i="81"/>
  <c r="J136" i="81"/>
  <c r="P135" i="81"/>
  <c r="O135" i="81"/>
  <c r="M135" i="81"/>
  <c r="J135" i="81"/>
  <c r="P134" i="81"/>
  <c r="O134" i="81"/>
  <c r="M134" i="81"/>
  <c r="J134" i="81"/>
  <c r="P133" i="81"/>
  <c r="O133" i="81"/>
  <c r="M133" i="81"/>
  <c r="J133" i="81"/>
  <c r="P132" i="81"/>
  <c r="O132" i="81"/>
  <c r="M132" i="81"/>
  <c r="J132" i="81"/>
  <c r="P131" i="81"/>
  <c r="O131" i="81"/>
  <c r="M131" i="81"/>
  <c r="J131" i="81"/>
  <c r="O130" i="81"/>
  <c r="M130" i="81"/>
  <c r="O129" i="81"/>
  <c r="M129" i="81"/>
  <c r="O128" i="81"/>
  <c r="M128" i="81"/>
  <c r="O127" i="81"/>
  <c r="M127" i="81"/>
  <c r="O126" i="81"/>
  <c r="M126" i="81"/>
  <c r="O125" i="81"/>
  <c r="M125" i="81"/>
  <c r="O124" i="81"/>
  <c r="M124" i="81"/>
  <c r="O123" i="81"/>
  <c r="M123" i="81"/>
  <c r="O122" i="81"/>
  <c r="M122" i="81"/>
  <c r="O121" i="81"/>
  <c r="M121" i="81"/>
  <c r="O120" i="81"/>
  <c r="M120" i="81"/>
  <c r="O119" i="81"/>
  <c r="M119" i="81"/>
  <c r="O118" i="81"/>
  <c r="M118" i="81"/>
  <c r="O117" i="81"/>
  <c r="M117" i="81"/>
  <c r="O116" i="81"/>
  <c r="M116" i="81"/>
  <c r="O115" i="81"/>
  <c r="M115" i="81"/>
  <c r="O114" i="81"/>
  <c r="M114" i="81"/>
  <c r="O113" i="81"/>
  <c r="M113" i="81"/>
  <c r="O112" i="81"/>
  <c r="M112" i="81"/>
  <c r="O111" i="81"/>
  <c r="M111" i="81"/>
  <c r="O110" i="81"/>
  <c r="M110" i="81"/>
  <c r="O109" i="81"/>
  <c r="M109" i="81"/>
  <c r="O108" i="81"/>
  <c r="M108" i="81"/>
  <c r="O107" i="81"/>
  <c r="M107" i="81"/>
  <c r="O104" i="81"/>
  <c r="O103" i="81"/>
  <c r="O102" i="81"/>
  <c r="D96" i="81"/>
  <c r="L93" i="81"/>
  <c r="J93" i="81"/>
  <c r="D91" i="81"/>
  <c r="D89" i="81"/>
  <c r="N72" i="81"/>
  <c r="L72" i="81"/>
  <c r="N71" i="81"/>
  <c r="L71" i="81"/>
  <c r="N70" i="81"/>
  <c r="L70" i="81"/>
  <c r="N69" i="81"/>
  <c r="L69" i="81"/>
  <c r="N68" i="81"/>
  <c r="L68" i="81"/>
  <c r="N67" i="81"/>
  <c r="L67" i="81"/>
  <c r="N66" i="81"/>
  <c r="L66" i="81"/>
  <c r="N65" i="81"/>
  <c r="L65" i="81"/>
  <c r="N64" i="81"/>
  <c r="L64" i="81"/>
  <c r="N63" i="81"/>
  <c r="L63" i="81"/>
  <c r="N62" i="81"/>
  <c r="L62" i="81"/>
  <c r="N61" i="81"/>
  <c r="L61" i="81"/>
  <c r="N60" i="81"/>
  <c r="L60" i="81"/>
  <c r="N59" i="81"/>
  <c r="L59" i="81"/>
  <c r="N58" i="81"/>
  <c r="L58" i="81"/>
  <c r="N57" i="81"/>
  <c r="L57" i="81"/>
  <c r="N56" i="81"/>
  <c r="L56" i="81"/>
  <c r="N55" i="81"/>
  <c r="L55" i="81"/>
  <c r="N54" i="81"/>
  <c r="L54" i="81"/>
  <c r="N53" i="81"/>
  <c r="L53" i="81"/>
  <c r="N52" i="81"/>
  <c r="L52" i="81"/>
  <c r="N51" i="81"/>
  <c r="L51" i="81"/>
  <c r="N50" i="81"/>
  <c r="L50" i="81"/>
  <c r="N49" i="81"/>
  <c r="L49" i="81"/>
  <c r="N48" i="81"/>
  <c r="L48" i="81"/>
  <c r="N47" i="81"/>
  <c r="L47" i="81"/>
  <c r="N46" i="81"/>
  <c r="L46" i="81"/>
  <c r="N45" i="81"/>
  <c r="L45" i="81"/>
  <c r="N44" i="81"/>
  <c r="L44" i="81"/>
  <c r="N43" i="81"/>
  <c r="L43" i="81"/>
  <c r="N42" i="81"/>
  <c r="L42" i="81"/>
  <c r="N41" i="81"/>
  <c r="L41" i="81"/>
  <c r="N40" i="81"/>
  <c r="L40" i="81"/>
  <c r="N39" i="81"/>
  <c r="L39" i="81"/>
  <c r="N38" i="81"/>
  <c r="L38" i="81"/>
  <c r="N37" i="81"/>
  <c r="L37" i="81"/>
  <c r="N36" i="81"/>
  <c r="L36" i="81"/>
  <c r="N35" i="81"/>
  <c r="L35" i="81"/>
  <c r="N34" i="81"/>
  <c r="L34" i="81"/>
  <c r="N33" i="81"/>
  <c r="L33" i="81"/>
  <c r="N32" i="81"/>
  <c r="L32" i="81"/>
  <c r="N31" i="81"/>
  <c r="L31" i="81"/>
  <c r="N30" i="81"/>
  <c r="L30" i="81"/>
  <c r="N29" i="81"/>
  <c r="L29" i="81"/>
  <c r="N28" i="81"/>
  <c r="L28" i="81"/>
  <c r="N27" i="81"/>
  <c r="L27" i="81"/>
  <c r="N26" i="81"/>
  <c r="L26" i="81"/>
  <c r="N24" i="81"/>
  <c r="N23" i="81"/>
  <c r="N22" i="81"/>
  <c r="N21" i="81"/>
  <c r="N20" i="81"/>
  <c r="C17" i="81"/>
  <c r="C18" i="81" s="1"/>
  <c r="C19" i="81" s="1"/>
  <c r="C20" i="81" s="1"/>
  <c r="C21" i="81" s="1"/>
  <c r="C22" i="81" s="1"/>
  <c r="C23" i="81" s="1"/>
  <c r="C24" i="81" s="1"/>
  <c r="C25" i="81" s="1"/>
  <c r="C26" i="81" s="1"/>
  <c r="C27" i="81" s="1"/>
  <c r="C28" i="81" s="1"/>
  <c r="C29" i="81" s="1"/>
  <c r="C30" i="81" s="1"/>
  <c r="C31" i="81" s="1"/>
  <c r="C32" i="81" s="1"/>
  <c r="C33" i="81" s="1"/>
  <c r="C34" i="81" s="1"/>
  <c r="C35" i="81" s="1"/>
  <c r="C36" i="81" s="1"/>
  <c r="C37" i="81" s="1"/>
  <c r="C38" i="81" s="1"/>
  <c r="C39" i="81" s="1"/>
  <c r="C40" i="81" s="1"/>
  <c r="C41" i="81" s="1"/>
  <c r="C42" i="81" s="1"/>
  <c r="C43" i="81" s="1"/>
  <c r="C44" i="81" s="1"/>
  <c r="C45" i="81" s="1"/>
  <c r="C46" i="81" s="1"/>
  <c r="C47" i="81" s="1"/>
  <c r="C48" i="81" s="1"/>
  <c r="C49" i="81" s="1"/>
  <c r="C50" i="81" s="1"/>
  <c r="C51" i="81" s="1"/>
  <c r="C52" i="81" s="1"/>
  <c r="C53" i="81" s="1"/>
  <c r="C54" i="81" s="1"/>
  <c r="C55" i="81" s="1"/>
  <c r="C56" i="81" s="1"/>
  <c r="C57" i="81" s="1"/>
  <c r="C58" i="81" s="1"/>
  <c r="C59" i="81" s="1"/>
  <c r="C60" i="81" s="1"/>
  <c r="C61" i="81" s="1"/>
  <c r="C62" i="81" s="1"/>
  <c r="C63" i="81" s="1"/>
  <c r="C64" i="81" s="1"/>
  <c r="C65" i="81" s="1"/>
  <c r="C66" i="81" s="1"/>
  <c r="C67" i="81" s="1"/>
  <c r="C68" i="81" s="1"/>
  <c r="C69" i="81" s="1"/>
  <c r="C70" i="81" s="1"/>
  <c r="C71" i="81" s="1"/>
  <c r="C72" i="81" s="1"/>
  <c r="K11" i="81"/>
  <c r="I11" i="81"/>
  <c r="D8" i="81"/>
  <c r="D90" i="81" s="1"/>
  <c r="P154" i="80"/>
  <c r="O154" i="80"/>
  <c r="M154" i="80"/>
  <c r="J154" i="80"/>
  <c r="P153" i="80"/>
  <c r="O153" i="80"/>
  <c r="M153" i="80"/>
  <c r="J153" i="80"/>
  <c r="P152" i="80"/>
  <c r="O152" i="80"/>
  <c r="M152" i="80"/>
  <c r="J152" i="80"/>
  <c r="P151" i="80"/>
  <c r="O151" i="80"/>
  <c r="M151" i="80"/>
  <c r="J151" i="80"/>
  <c r="P150" i="80"/>
  <c r="O150" i="80"/>
  <c r="M150" i="80"/>
  <c r="J150" i="80"/>
  <c r="P149" i="80"/>
  <c r="O149" i="80"/>
  <c r="M149" i="80"/>
  <c r="J149" i="80"/>
  <c r="P148" i="80"/>
  <c r="O148" i="80"/>
  <c r="M148" i="80"/>
  <c r="J148" i="80"/>
  <c r="P147" i="80"/>
  <c r="O147" i="80"/>
  <c r="M147" i="80"/>
  <c r="J147" i="80"/>
  <c r="P146" i="80"/>
  <c r="O146" i="80"/>
  <c r="M146" i="80"/>
  <c r="J146" i="80"/>
  <c r="P145" i="80"/>
  <c r="O145" i="80"/>
  <c r="M145" i="80"/>
  <c r="J145" i="80"/>
  <c r="P144" i="80"/>
  <c r="O144" i="80"/>
  <c r="M144" i="80"/>
  <c r="J144" i="80"/>
  <c r="P143" i="80"/>
  <c r="O143" i="80"/>
  <c r="M143" i="80"/>
  <c r="J143" i="80"/>
  <c r="P142" i="80"/>
  <c r="O142" i="80"/>
  <c r="M142" i="80"/>
  <c r="J142" i="80"/>
  <c r="P141" i="80"/>
  <c r="O141" i="80"/>
  <c r="M141" i="80"/>
  <c r="J141" i="80"/>
  <c r="P140" i="80"/>
  <c r="O140" i="80"/>
  <c r="M140" i="80"/>
  <c r="J140" i="80"/>
  <c r="P139" i="80"/>
  <c r="O139" i="80"/>
  <c r="M139" i="80"/>
  <c r="J139" i="80"/>
  <c r="P138" i="80"/>
  <c r="O138" i="80"/>
  <c r="M138" i="80"/>
  <c r="J138" i="80"/>
  <c r="P137" i="80"/>
  <c r="O137" i="80"/>
  <c r="M137" i="80"/>
  <c r="J137" i="80"/>
  <c r="P136" i="80"/>
  <c r="O136" i="80"/>
  <c r="M136" i="80"/>
  <c r="J136" i="80"/>
  <c r="P135" i="80"/>
  <c r="O135" i="80"/>
  <c r="M135" i="80"/>
  <c r="J135" i="80"/>
  <c r="P134" i="80"/>
  <c r="O134" i="80"/>
  <c r="M134" i="80"/>
  <c r="J134" i="80"/>
  <c r="P133" i="80"/>
  <c r="O133" i="80"/>
  <c r="M133" i="80"/>
  <c r="J133" i="80"/>
  <c r="P132" i="80"/>
  <c r="O132" i="80"/>
  <c r="M132" i="80"/>
  <c r="J132" i="80"/>
  <c r="P131" i="80"/>
  <c r="O131" i="80"/>
  <c r="M131" i="80"/>
  <c r="J131" i="80"/>
  <c r="O130" i="80"/>
  <c r="M130" i="80"/>
  <c r="O129" i="80"/>
  <c r="M129" i="80"/>
  <c r="O128" i="80"/>
  <c r="M128" i="80"/>
  <c r="O127" i="80"/>
  <c r="M127" i="80"/>
  <c r="O126" i="80"/>
  <c r="M126" i="80"/>
  <c r="O125" i="80"/>
  <c r="M125" i="80"/>
  <c r="O124" i="80"/>
  <c r="M124" i="80"/>
  <c r="O123" i="80"/>
  <c r="M123" i="80"/>
  <c r="O122" i="80"/>
  <c r="M122" i="80"/>
  <c r="O121" i="80"/>
  <c r="M121" i="80"/>
  <c r="O120" i="80"/>
  <c r="M120" i="80"/>
  <c r="O119" i="80"/>
  <c r="M119" i="80"/>
  <c r="O118" i="80"/>
  <c r="M118" i="80"/>
  <c r="O117" i="80"/>
  <c r="M117" i="80"/>
  <c r="O116" i="80"/>
  <c r="M116" i="80"/>
  <c r="O115" i="80"/>
  <c r="M115" i="80"/>
  <c r="O114" i="80"/>
  <c r="M114" i="80"/>
  <c r="O113" i="80"/>
  <c r="M113" i="80"/>
  <c r="O112" i="80"/>
  <c r="M112" i="80"/>
  <c r="O111" i="80"/>
  <c r="M111" i="80"/>
  <c r="O110" i="80"/>
  <c r="M110" i="80"/>
  <c r="O109" i="80"/>
  <c r="M109" i="80"/>
  <c r="O108" i="80"/>
  <c r="M108" i="80"/>
  <c r="O107" i="80"/>
  <c r="M107" i="80"/>
  <c r="O104" i="80"/>
  <c r="O103" i="80"/>
  <c r="O102" i="80"/>
  <c r="D96" i="80"/>
  <c r="L93" i="80"/>
  <c r="J93" i="80"/>
  <c r="D91" i="80"/>
  <c r="D89" i="80"/>
  <c r="N72" i="80"/>
  <c r="L72" i="80"/>
  <c r="N71" i="80"/>
  <c r="L71" i="80"/>
  <c r="N70" i="80"/>
  <c r="L70" i="80"/>
  <c r="N69" i="80"/>
  <c r="L69" i="80"/>
  <c r="N68" i="80"/>
  <c r="L68" i="80"/>
  <c r="N67" i="80"/>
  <c r="L67" i="80"/>
  <c r="N66" i="80"/>
  <c r="L66" i="80"/>
  <c r="N65" i="80"/>
  <c r="L65" i="80"/>
  <c r="N64" i="80"/>
  <c r="L64" i="80"/>
  <c r="N63" i="80"/>
  <c r="L63" i="80"/>
  <c r="N62" i="80"/>
  <c r="L62" i="80"/>
  <c r="N61" i="80"/>
  <c r="L61" i="80"/>
  <c r="N60" i="80"/>
  <c r="L60" i="80"/>
  <c r="N59" i="80"/>
  <c r="L59" i="80"/>
  <c r="N58" i="80"/>
  <c r="L58" i="80"/>
  <c r="N57" i="80"/>
  <c r="L57" i="80"/>
  <c r="N56" i="80"/>
  <c r="L56" i="80"/>
  <c r="N55" i="80"/>
  <c r="L55" i="80"/>
  <c r="N54" i="80"/>
  <c r="L54" i="80"/>
  <c r="N53" i="80"/>
  <c r="L53" i="80"/>
  <c r="N52" i="80"/>
  <c r="L52" i="80"/>
  <c r="N51" i="80"/>
  <c r="L51" i="80"/>
  <c r="N50" i="80"/>
  <c r="L50" i="80"/>
  <c r="N49" i="80"/>
  <c r="L49" i="80"/>
  <c r="N48" i="80"/>
  <c r="L48" i="80"/>
  <c r="N47" i="80"/>
  <c r="L47" i="80"/>
  <c r="N46" i="80"/>
  <c r="L46" i="80"/>
  <c r="N45" i="80"/>
  <c r="L45" i="80"/>
  <c r="N44" i="80"/>
  <c r="L44" i="80"/>
  <c r="N43" i="80"/>
  <c r="L43" i="80"/>
  <c r="N42" i="80"/>
  <c r="L42" i="80"/>
  <c r="N41" i="80"/>
  <c r="L41" i="80"/>
  <c r="N40" i="80"/>
  <c r="L40" i="80"/>
  <c r="N39" i="80"/>
  <c r="L39" i="80"/>
  <c r="N38" i="80"/>
  <c r="L38" i="80"/>
  <c r="N37" i="80"/>
  <c r="L37" i="80"/>
  <c r="N36" i="80"/>
  <c r="L36" i="80"/>
  <c r="N35" i="80"/>
  <c r="L35" i="80"/>
  <c r="N34" i="80"/>
  <c r="L34" i="80"/>
  <c r="N33" i="80"/>
  <c r="L33" i="80"/>
  <c r="N32" i="80"/>
  <c r="L32" i="80"/>
  <c r="N31" i="80"/>
  <c r="L31" i="80"/>
  <c r="N30" i="80"/>
  <c r="L30" i="80"/>
  <c r="N29" i="80"/>
  <c r="L29" i="80"/>
  <c r="N28" i="80"/>
  <c r="L28" i="80"/>
  <c r="N27" i="80"/>
  <c r="L27" i="80"/>
  <c r="N26" i="80"/>
  <c r="L26" i="80"/>
  <c r="N24" i="80"/>
  <c r="N23" i="80"/>
  <c r="N22" i="80"/>
  <c r="N21" i="80"/>
  <c r="N20" i="80"/>
  <c r="O20" i="80" s="1"/>
  <c r="C17" i="80"/>
  <c r="C18" i="80" s="1"/>
  <c r="C19" i="80" s="1"/>
  <c r="C20" i="80" s="1"/>
  <c r="C21" i="80" s="1"/>
  <c r="C22" i="80" s="1"/>
  <c r="C23" i="80" s="1"/>
  <c r="C24" i="80" s="1"/>
  <c r="C25" i="80" s="1"/>
  <c r="C26" i="80" s="1"/>
  <c r="C27" i="80" s="1"/>
  <c r="C28" i="80" s="1"/>
  <c r="C29" i="80" s="1"/>
  <c r="C30" i="80" s="1"/>
  <c r="C31" i="80" s="1"/>
  <c r="C32" i="80" s="1"/>
  <c r="C33" i="80" s="1"/>
  <c r="C34" i="80" s="1"/>
  <c r="C35" i="80" s="1"/>
  <c r="C36" i="80" s="1"/>
  <c r="C37" i="80" s="1"/>
  <c r="C38" i="80" s="1"/>
  <c r="C39" i="80" s="1"/>
  <c r="C40" i="80" s="1"/>
  <c r="C41" i="80" s="1"/>
  <c r="C42" i="80" s="1"/>
  <c r="C43" i="80" s="1"/>
  <c r="C44" i="80" s="1"/>
  <c r="C45" i="80" s="1"/>
  <c r="C46" i="80" s="1"/>
  <c r="C47" i="80" s="1"/>
  <c r="C48" i="80" s="1"/>
  <c r="C49" i="80" s="1"/>
  <c r="C50" i="80" s="1"/>
  <c r="C51" i="80" s="1"/>
  <c r="C52" i="80" s="1"/>
  <c r="C53" i="80" s="1"/>
  <c r="C54" i="80" s="1"/>
  <c r="C55" i="80" s="1"/>
  <c r="C56" i="80" s="1"/>
  <c r="C57" i="80" s="1"/>
  <c r="C58" i="80" s="1"/>
  <c r="C59" i="80" s="1"/>
  <c r="C60" i="80" s="1"/>
  <c r="C61" i="80" s="1"/>
  <c r="C62" i="80" s="1"/>
  <c r="C63" i="80" s="1"/>
  <c r="C64" i="80" s="1"/>
  <c r="C65" i="80" s="1"/>
  <c r="C66" i="80" s="1"/>
  <c r="C67" i="80" s="1"/>
  <c r="C68" i="80" s="1"/>
  <c r="C69" i="80" s="1"/>
  <c r="C70" i="80" s="1"/>
  <c r="C71" i="80" s="1"/>
  <c r="C72" i="80" s="1"/>
  <c r="K11" i="80"/>
  <c r="I11" i="80"/>
  <c r="D8" i="80"/>
  <c r="D90" i="80" s="1"/>
  <c r="M17" i="79"/>
  <c r="N17" i="79" s="1"/>
  <c r="K17" i="79"/>
  <c r="L17" i="79" s="1"/>
  <c r="M17" i="78"/>
  <c r="N17" i="78" s="1"/>
  <c r="K17" i="78"/>
  <c r="L17" i="78" s="1"/>
  <c r="M17" i="77"/>
  <c r="N17" i="77" s="1"/>
  <c r="K17" i="77"/>
  <c r="L17" i="77" s="1"/>
  <c r="M17" i="76"/>
  <c r="N17" i="76" s="1"/>
  <c r="K17" i="76"/>
  <c r="L17" i="76" s="1"/>
  <c r="D94" i="74"/>
  <c r="C99" i="74"/>
  <c r="C100" i="74" s="1"/>
  <c r="C101" i="74" s="1"/>
  <c r="C102" i="74" s="1"/>
  <c r="C103" i="74" s="1"/>
  <c r="C104" i="74" s="1"/>
  <c r="C105" i="74" s="1"/>
  <c r="C106" i="74" s="1"/>
  <c r="C107" i="74" s="1"/>
  <c r="C108" i="74" s="1"/>
  <c r="C109" i="74" s="1"/>
  <c r="C110" i="74" s="1"/>
  <c r="C111" i="74" s="1"/>
  <c r="C112" i="74" s="1"/>
  <c r="C113" i="74" s="1"/>
  <c r="C114" i="74" s="1"/>
  <c r="C115" i="74" s="1"/>
  <c r="C116" i="74" s="1"/>
  <c r="C117" i="74" s="1"/>
  <c r="C118" i="74" s="1"/>
  <c r="C119" i="74" s="1"/>
  <c r="C120" i="74" s="1"/>
  <c r="C121" i="74" s="1"/>
  <c r="C122" i="74" s="1"/>
  <c r="C123" i="74" s="1"/>
  <c r="C124" i="74" s="1"/>
  <c r="C125" i="74" s="1"/>
  <c r="C126" i="74" s="1"/>
  <c r="C127" i="74" s="1"/>
  <c r="C128" i="74" s="1"/>
  <c r="C129" i="74" s="1"/>
  <c r="C130" i="74" s="1"/>
  <c r="C131" i="74" s="1"/>
  <c r="C132" i="74" s="1"/>
  <c r="C133" i="74" s="1"/>
  <c r="C134" i="74" s="1"/>
  <c r="C135" i="74" s="1"/>
  <c r="C136" i="74" s="1"/>
  <c r="C137" i="74" s="1"/>
  <c r="C138" i="74" s="1"/>
  <c r="C139" i="74" s="1"/>
  <c r="C140" i="74" s="1"/>
  <c r="C141" i="74" s="1"/>
  <c r="C142" i="74" s="1"/>
  <c r="C143" i="74" s="1"/>
  <c r="C144" i="74" s="1"/>
  <c r="C145" i="74" s="1"/>
  <c r="C146" i="74" s="1"/>
  <c r="C147" i="74" s="1"/>
  <c r="C148" i="74" s="1"/>
  <c r="C149" i="74" s="1"/>
  <c r="C150" i="74" s="1"/>
  <c r="C151" i="74" s="1"/>
  <c r="C152" i="74" s="1"/>
  <c r="C153" i="74" s="1"/>
  <c r="C154" i="74" s="1"/>
  <c r="D94" i="73"/>
  <c r="D93" i="73"/>
  <c r="C99" i="73" s="1"/>
  <c r="C100" i="73" s="1"/>
  <c r="C101" i="73" s="1"/>
  <c r="C102" i="73" s="1"/>
  <c r="C103" i="73" s="1"/>
  <c r="C104" i="73" s="1"/>
  <c r="C105" i="73" s="1"/>
  <c r="C106" i="73" s="1"/>
  <c r="C107" i="73" s="1"/>
  <c r="C108" i="73" s="1"/>
  <c r="C109" i="73" s="1"/>
  <c r="C110" i="73" s="1"/>
  <c r="C111" i="73" s="1"/>
  <c r="C112" i="73" s="1"/>
  <c r="C113" i="73" s="1"/>
  <c r="C114" i="73" s="1"/>
  <c r="C115" i="73" s="1"/>
  <c r="C116" i="73" s="1"/>
  <c r="C117" i="73" s="1"/>
  <c r="C118" i="73" s="1"/>
  <c r="C119" i="73" s="1"/>
  <c r="C120" i="73" s="1"/>
  <c r="C121" i="73" s="1"/>
  <c r="C122" i="73" s="1"/>
  <c r="C123" i="73" s="1"/>
  <c r="C124" i="73" s="1"/>
  <c r="C125" i="73" s="1"/>
  <c r="C126" i="73" s="1"/>
  <c r="C127" i="73" s="1"/>
  <c r="C128" i="73" s="1"/>
  <c r="C129" i="73" s="1"/>
  <c r="C130" i="73" s="1"/>
  <c r="C131" i="73" s="1"/>
  <c r="C132" i="73" s="1"/>
  <c r="C133" i="73" s="1"/>
  <c r="C134" i="73" s="1"/>
  <c r="C135" i="73" s="1"/>
  <c r="C136" i="73" s="1"/>
  <c r="C137" i="73" s="1"/>
  <c r="C138" i="73" s="1"/>
  <c r="C139" i="73" s="1"/>
  <c r="C140" i="73" s="1"/>
  <c r="C141" i="73" s="1"/>
  <c r="C142" i="73" s="1"/>
  <c r="C143" i="73" s="1"/>
  <c r="C144" i="73" s="1"/>
  <c r="C145" i="73" s="1"/>
  <c r="C146" i="73" s="1"/>
  <c r="C147" i="73" s="1"/>
  <c r="C148" i="73" s="1"/>
  <c r="C149" i="73" s="1"/>
  <c r="C150" i="73" s="1"/>
  <c r="C151" i="73" s="1"/>
  <c r="C152" i="73" s="1"/>
  <c r="C153" i="73" s="1"/>
  <c r="C154" i="73" s="1"/>
  <c r="M22" i="73"/>
  <c r="N22" i="73" s="1"/>
  <c r="K22" i="73"/>
  <c r="L22" i="73" s="1"/>
  <c r="D94" i="72"/>
  <c r="D93" i="72"/>
  <c r="C99" i="72" s="1"/>
  <c r="C100" i="72" s="1"/>
  <c r="C101" i="72" s="1"/>
  <c r="C102" i="72" s="1"/>
  <c r="C103" i="72" s="1"/>
  <c r="C104" i="72" s="1"/>
  <c r="C105" i="72" s="1"/>
  <c r="C106" i="72" s="1"/>
  <c r="C107" i="72" s="1"/>
  <c r="C108" i="72" s="1"/>
  <c r="C109" i="72" s="1"/>
  <c r="C110" i="72" s="1"/>
  <c r="C111" i="72" s="1"/>
  <c r="C112" i="72" s="1"/>
  <c r="C113" i="72" s="1"/>
  <c r="C114" i="72" s="1"/>
  <c r="C115" i="72" s="1"/>
  <c r="C116" i="72" s="1"/>
  <c r="C117" i="72" s="1"/>
  <c r="C118" i="72" s="1"/>
  <c r="C119" i="72" s="1"/>
  <c r="C120" i="72" s="1"/>
  <c r="C121" i="72" s="1"/>
  <c r="C122" i="72" s="1"/>
  <c r="C123" i="72" s="1"/>
  <c r="C124" i="72" s="1"/>
  <c r="C125" i="72" s="1"/>
  <c r="C126" i="72" s="1"/>
  <c r="C127" i="72" s="1"/>
  <c r="C128" i="72" s="1"/>
  <c r="C129" i="72" s="1"/>
  <c r="C130" i="72" s="1"/>
  <c r="C131" i="72" s="1"/>
  <c r="C132" i="72" s="1"/>
  <c r="C133" i="72" s="1"/>
  <c r="C134" i="72" s="1"/>
  <c r="C135" i="72" s="1"/>
  <c r="C136" i="72" s="1"/>
  <c r="C137" i="72" s="1"/>
  <c r="C138" i="72" s="1"/>
  <c r="C139" i="72" s="1"/>
  <c r="C140" i="72" s="1"/>
  <c r="C141" i="72" s="1"/>
  <c r="C142" i="72" s="1"/>
  <c r="C143" i="72" s="1"/>
  <c r="C144" i="72" s="1"/>
  <c r="C145" i="72" s="1"/>
  <c r="C146" i="72" s="1"/>
  <c r="C147" i="72" s="1"/>
  <c r="C148" i="72" s="1"/>
  <c r="C149" i="72" s="1"/>
  <c r="C150" i="72" s="1"/>
  <c r="C151" i="72" s="1"/>
  <c r="C152" i="72" s="1"/>
  <c r="C153" i="72" s="1"/>
  <c r="C154" i="72" s="1"/>
  <c r="M20" i="72"/>
  <c r="N20" i="72" s="1"/>
  <c r="K20" i="72"/>
  <c r="L20" i="72" s="1"/>
  <c r="D94" i="71"/>
  <c r="D93" i="71"/>
  <c r="C99" i="71" s="1"/>
  <c r="C100" i="71" s="1"/>
  <c r="C101" i="71" s="1"/>
  <c r="C102" i="71" s="1"/>
  <c r="C103" i="71" s="1"/>
  <c r="C104" i="71" s="1"/>
  <c r="C105" i="71" s="1"/>
  <c r="C106" i="71" s="1"/>
  <c r="C107" i="71" s="1"/>
  <c r="C108" i="71" s="1"/>
  <c r="C109" i="71" s="1"/>
  <c r="C110" i="71" s="1"/>
  <c r="C111" i="71" s="1"/>
  <c r="C112" i="71" s="1"/>
  <c r="C113" i="71" s="1"/>
  <c r="C114" i="71" s="1"/>
  <c r="C115" i="71" s="1"/>
  <c r="C116" i="71" s="1"/>
  <c r="C117" i="71" s="1"/>
  <c r="C118" i="71" s="1"/>
  <c r="C119" i="71" s="1"/>
  <c r="C120" i="71" s="1"/>
  <c r="C121" i="71" s="1"/>
  <c r="C122" i="71" s="1"/>
  <c r="C123" i="71" s="1"/>
  <c r="C124" i="71" s="1"/>
  <c r="C125" i="71" s="1"/>
  <c r="C126" i="71" s="1"/>
  <c r="C127" i="71" s="1"/>
  <c r="C128" i="71" s="1"/>
  <c r="C129" i="71" s="1"/>
  <c r="C130" i="71" s="1"/>
  <c r="C131" i="71" s="1"/>
  <c r="C132" i="71" s="1"/>
  <c r="C133" i="71" s="1"/>
  <c r="C134" i="71" s="1"/>
  <c r="C135" i="71" s="1"/>
  <c r="C136" i="71" s="1"/>
  <c r="C137" i="71" s="1"/>
  <c r="C138" i="71" s="1"/>
  <c r="C139" i="71" s="1"/>
  <c r="C140" i="71" s="1"/>
  <c r="C141" i="71" s="1"/>
  <c r="C142" i="71" s="1"/>
  <c r="C143" i="71" s="1"/>
  <c r="C144" i="71" s="1"/>
  <c r="C145" i="71" s="1"/>
  <c r="C146" i="71" s="1"/>
  <c r="C147" i="71" s="1"/>
  <c r="C148" i="71" s="1"/>
  <c r="C149" i="71" s="1"/>
  <c r="C150" i="71" s="1"/>
  <c r="C151" i="71" s="1"/>
  <c r="C152" i="71" s="1"/>
  <c r="C153" i="71" s="1"/>
  <c r="C154" i="71" s="1"/>
  <c r="M24" i="71"/>
  <c r="N24" i="71" s="1"/>
  <c r="K24" i="71"/>
  <c r="L24" i="71" s="1"/>
  <c r="D94" i="70"/>
  <c r="D93" i="70"/>
  <c r="C99" i="70" s="1"/>
  <c r="C100" i="70" s="1"/>
  <c r="C101" i="70" s="1"/>
  <c r="C102" i="70" s="1"/>
  <c r="C103" i="70" s="1"/>
  <c r="C104" i="70" s="1"/>
  <c r="C105" i="70" s="1"/>
  <c r="C106" i="70" s="1"/>
  <c r="C107" i="70" s="1"/>
  <c r="C108" i="70" s="1"/>
  <c r="C109" i="70" s="1"/>
  <c r="C110" i="70" s="1"/>
  <c r="C111" i="70" s="1"/>
  <c r="C112" i="70" s="1"/>
  <c r="C113" i="70" s="1"/>
  <c r="C114" i="70" s="1"/>
  <c r="C115" i="70" s="1"/>
  <c r="C116" i="70" s="1"/>
  <c r="C117" i="70" s="1"/>
  <c r="C118" i="70" s="1"/>
  <c r="C119" i="70" s="1"/>
  <c r="C120" i="70" s="1"/>
  <c r="C121" i="70" s="1"/>
  <c r="C122" i="70" s="1"/>
  <c r="C123" i="70" s="1"/>
  <c r="C124" i="70" s="1"/>
  <c r="C125" i="70" s="1"/>
  <c r="C126" i="70" s="1"/>
  <c r="C127" i="70" s="1"/>
  <c r="C128" i="70" s="1"/>
  <c r="C129" i="70" s="1"/>
  <c r="C130" i="70" s="1"/>
  <c r="C131" i="70" s="1"/>
  <c r="C132" i="70" s="1"/>
  <c r="C133" i="70" s="1"/>
  <c r="C134" i="70" s="1"/>
  <c r="C135" i="70" s="1"/>
  <c r="C136" i="70" s="1"/>
  <c r="C137" i="70" s="1"/>
  <c r="C138" i="70" s="1"/>
  <c r="C139" i="70" s="1"/>
  <c r="C140" i="70" s="1"/>
  <c r="C141" i="70" s="1"/>
  <c r="C142" i="70" s="1"/>
  <c r="C143" i="70" s="1"/>
  <c r="C144" i="70" s="1"/>
  <c r="C145" i="70" s="1"/>
  <c r="C146" i="70" s="1"/>
  <c r="C147" i="70" s="1"/>
  <c r="C148" i="70" s="1"/>
  <c r="C149" i="70" s="1"/>
  <c r="C150" i="70" s="1"/>
  <c r="C151" i="70" s="1"/>
  <c r="C152" i="70" s="1"/>
  <c r="C153" i="70" s="1"/>
  <c r="C154" i="70" s="1"/>
  <c r="M25" i="70"/>
  <c r="N25" i="70" s="1"/>
  <c r="K25" i="70"/>
  <c r="L25" i="70" s="1"/>
  <c r="M17" i="75"/>
  <c r="N17" i="75" s="1"/>
  <c r="K17" i="75"/>
  <c r="L17" i="75" s="1"/>
  <c r="D94" i="69"/>
  <c r="M25" i="69"/>
  <c r="N25" i="69" s="1"/>
  <c r="K25" i="69"/>
  <c r="L25" i="69" s="1"/>
  <c r="B19" i="68"/>
  <c r="N99" i="68"/>
  <c r="O99" i="68" s="1"/>
  <c r="L99" i="68"/>
  <c r="M99" i="68" s="1"/>
  <c r="M18" i="68"/>
  <c r="N18" i="68" s="1"/>
  <c r="K18" i="68"/>
  <c r="L18" i="68" s="1"/>
  <c r="B19" i="67"/>
  <c r="M18" i="67"/>
  <c r="N18" i="67" s="1"/>
  <c r="K18" i="67"/>
  <c r="L18" i="67" s="1"/>
  <c r="N99" i="66"/>
  <c r="O99" i="66" s="1"/>
  <c r="L99" i="66"/>
  <c r="M99" i="66" s="1"/>
  <c r="M18" i="66"/>
  <c r="N18" i="66" s="1"/>
  <c r="K18" i="66"/>
  <c r="L18" i="66" s="1"/>
  <c r="N99" i="65"/>
  <c r="O99" i="65" s="1"/>
  <c r="L99" i="65"/>
  <c r="M99" i="65" s="1"/>
  <c r="M18" i="65"/>
  <c r="N18" i="65" s="1"/>
  <c r="K18" i="65"/>
  <c r="L18" i="65" s="1"/>
  <c r="N100" i="64"/>
  <c r="O100" i="64" s="1"/>
  <c r="L100" i="64"/>
  <c r="M100" i="64" s="1"/>
  <c r="M19" i="64"/>
  <c r="N19" i="64" s="1"/>
  <c r="K19" i="64"/>
  <c r="L19" i="64" s="1"/>
  <c r="M19" i="60"/>
  <c r="N19" i="60" s="1"/>
  <c r="K19" i="60"/>
  <c r="L19" i="60" s="1"/>
  <c r="N100" i="60"/>
  <c r="O100" i="60" s="1"/>
  <c r="L100" i="60"/>
  <c r="M100" i="60" s="1"/>
  <c r="N100" i="62"/>
  <c r="O100" i="62" s="1"/>
  <c r="L100" i="62"/>
  <c r="M100" i="62" s="1"/>
  <c r="M19" i="62"/>
  <c r="N19" i="62" s="1"/>
  <c r="K19" i="62"/>
  <c r="L19" i="62" s="1"/>
  <c r="N100" i="63"/>
  <c r="O100" i="63" s="1"/>
  <c r="L100" i="63"/>
  <c r="M100" i="63" s="1"/>
  <c r="M19" i="63"/>
  <c r="N19" i="63" s="1"/>
  <c r="K19" i="63"/>
  <c r="L19" i="63" s="1"/>
  <c r="N101" i="61"/>
  <c r="O101" i="61" s="1"/>
  <c r="L101" i="61"/>
  <c r="M101" i="61" s="1"/>
  <c r="M20" i="61"/>
  <c r="N20" i="61" s="1"/>
  <c r="K20" i="61"/>
  <c r="L20" i="61" s="1"/>
  <c r="N100" i="61"/>
  <c r="O100" i="61" s="1"/>
  <c r="L100" i="61"/>
  <c r="M100" i="61" s="1"/>
  <c r="M19" i="61"/>
  <c r="N19" i="61" s="1"/>
  <c r="K19" i="61"/>
  <c r="L19" i="61" s="1"/>
  <c r="N100" i="59"/>
  <c r="O100" i="59" s="1"/>
  <c r="L100" i="59"/>
  <c r="M100" i="59" s="1"/>
  <c r="M19" i="59"/>
  <c r="N19" i="59" s="1"/>
  <c r="K19" i="59"/>
  <c r="L19" i="59" s="1"/>
  <c r="N101" i="58"/>
  <c r="O101" i="58" s="1"/>
  <c r="L101" i="58"/>
  <c r="M101" i="58" s="1"/>
  <c r="M20" i="58"/>
  <c r="N20" i="58" s="1"/>
  <c r="K20" i="58"/>
  <c r="L20" i="58" s="1"/>
  <c r="N101" i="57"/>
  <c r="O101" i="57" s="1"/>
  <c r="L101" i="57"/>
  <c r="M101" i="57" s="1"/>
  <c r="M20" i="57"/>
  <c r="N20" i="57" s="1"/>
  <c r="K20" i="57"/>
  <c r="L20" i="57" s="1"/>
  <c r="N101" i="56"/>
  <c r="O101" i="56" s="1"/>
  <c r="L101" i="56"/>
  <c r="M101" i="56" s="1"/>
  <c r="M20" i="56"/>
  <c r="N20" i="56" s="1"/>
  <c r="K20" i="56"/>
  <c r="L20" i="56" s="1"/>
  <c r="N101" i="55"/>
  <c r="O101" i="55" s="1"/>
  <c r="L101" i="55"/>
  <c r="M101" i="55" s="1"/>
  <c r="M20" i="55"/>
  <c r="N20" i="55" s="1"/>
  <c r="K20" i="55"/>
  <c r="L20" i="55" s="1"/>
  <c r="N101" i="54"/>
  <c r="O101" i="54" s="1"/>
  <c r="L101" i="54"/>
  <c r="M101" i="54" s="1"/>
  <c r="M20" i="54"/>
  <c r="N20" i="54" s="1"/>
  <c r="K20" i="54"/>
  <c r="L20" i="54" s="1"/>
  <c r="N101" i="53"/>
  <c r="O101" i="53" s="1"/>
  <c r="L101" i="53"/>
  <c r="M101" i="53" s="1"/>
  <c r="M20" i="53"/>
  <c r="N20" i="53" s="1"/>
  <c r="K20" i="53"/>
  <c r="L20" i="53" s="1"/>
  <c r="N101" i="46"/>
  <c r="O101" i="46" s="1"/>
  <c r="L101" i="46"/>
  <c r="M101" i="46" s="1"/>
  <c r="M20" i="46"/>
  <c r="N20" i="46" s="1"/>
  <c r="K20" i="46"/>
  <c r="L20" i="46" s="1"/>
  <c r="N102" i="45"/>
  <c r="O102" i="45" s="1"/>
  <c r="L102" i="45"/>
  <c r="M102" i="45" s="1"/>
  <c r="M21" i="45"/>
  <c r="N21" i="45" s="1"/>
  <c r="K21" i="45"/>
  <c r="L21" i="45" s="1"/>
  <c r="N103" i="44"/>
  <c r="O103" i="44" s="1"/>
  <c r="L103" i="44"/>
  <c r="M103" i="44" s="1"/>
  <c r="M22" i="44"/>
  <c r="N22" i="44" s="1"/>
  <c r="K22" i="44"/>
  <c r="L22" i="44" s="1"/>
  <c r="N103" i="43"/>
  <c r="O103" i="43" s="1"/>
  <c r="L103" i="43"/>
  <c r="M103" i="43" s="1"/>
  <c r="M22" i="43"/>
  <c r="N22" i="43" s="1"/>
  <c r="K22" i="43"/>
  <c r="L22" i="43" s="1"/>
  <c r="N103" i="42"/>
  <c r="O103" i="42" s="1"/>
  <c r="L103" i="42"/>
  <c r="M103" i="42" s="1"/>
  <c r="M22" i="42"/>
  <c r="N22" i="42" s="1"/>
  <c r="K22" i="42"/>
  <c r="L22" i="42" s="1"/>
  <c r="N103" i="41"/>
  <c r="O103" i="41" s="1"/>
  <c r="L103" i="41"/>
  <c r="M103" i="41" s="1"/>
  <c r="M22" i="41"/>
  <c r="N22" i="41" s="1"/>
  <c r="K22" i="41"/>
  <c r="L22" i="41" s="1"/>
  <c r="N103" i="39"/>
  <c r="O103" i="39" s="1"/>
  <c r="L103" i="39"/>
  <c r="M103" i="39" s="1"/>
  <c r="M22" i="39"/>
  <c r="N22" i="39" s="1"/>
  <c r="K22" i="39"/>
  <c r="L22" i="39" s="1"/>
  <c r="N105" i="34"/>
  <c r="O105" i="34" s="1"/>
  <c r="L105" i="34"/>
  <c r="M105" i="34" s="1"/>
  <c r="M24" i="34"/>
  <c r="N24" i="34" s="1"/>
  <c r="K24" i="34"/>
  <c r="L24" i="34" s="1"/>
  <c r="N105" i="32"/>
  <c r="O105" i="32" s="1"/>
  <c r="L105" i="32"/>
  <c r="M105" i="32" s="1"/>
  <c r="M24" i="32"/>
  <c r="N24" i="32" s="1"/>
  <c r="K24" i="32"/>
  <c r="L24" i="32" s="1"/>
  <c r="N105" i="31"/>
  <c r="O105" i="31" s="1"/>
  <c r="L105" i="31"/>
  <c r="M105" i="31" s="1"/>
  <c r="M24" i="31"/>
  <c r="N24" i="31" s="1"/>
  <c r="K24" i="31"/>
  <c r="L24" i="31" s="1"/>
  <c r="N106" i="30"/>
  <c r="O106" i="30" s="1"/>
  <c r="L106" i="30"/>
  <c r="M106" i="30" s="1"/>
  <c r="M25" i="30"/>
  <c r="N25" i="30" s="1"/>
  <c r="K25" i="30"/>
  <c r="L25" i="30" s="1"/>
  <c r="N106" i="29"/>
  <c r="O106" i="29" s="1"/>
  <c r="L106" i="29"/>
  <c r="M106" i="29" s="1"/>
  <c r="M25" i="29"/>
  <c r="N25" i="29" s="1"/>
  <c r="K25" i="29"/>
  <c r="L25" i="29" s="1"/>
  <c r="N107" i="28"/>
  <c r="O107" i="28" s="1"/>
  <c r="L107" i="28"/>
  <c r="M107" i="28" s="1"/>
  <c r="M26" i="28"/>
  <c r="N26" i="28" s="1"/>
  <c r="K26" i="28"/>
  <c r="L26" i="28" s="1"/>
  <c r="N106" i="27"/>
  <c r="O106" i="27" s="1"/>
  <c r="L106" i="27"/>
  <c r="M106" i="27" s="1"/>
  <c r="M25" i="27"/>
  <c r="N25" i="27" s="1"/>
  <c r="K25" i="27"/>
  <c r="L25" i="27" s="1"/>
  <c r="N105" i="24"/>
  <c r="O105" i="24" s="1"/>
  <c r="L105" i="24"/>
  <c r="M105" i="24" s="1"/>
  <c r="M24" i="24"/>
  <c r="N24" i="24" s="1"/>
  <c r="K24" i="24"/>
  <c r="L24" i="24" s="1"/>
  <c r="N105" i="23"/>
  <c r="O105" i="23" s="1"/>
  <c r="L105" i="23"/>
  <c r="M105" i="23" s="1"/>
  <c r="M24" i="23"/>
  <c r="N24" i="23" s="1"/>
  <c r="K24" i="23"/>
  <c r="L24" i="23" s="1"/>
  <c r="N104" i="22"/>
  <c r="O104" i="22" s="1"/>
  <c r="L104" i="22"/>
  <c r="M104" i="22" s="1"/>
  <c r="M23" i="22"/>
  <c r="N23" i="22" s="1"/>
  <c r="K23" i="22"/>
  <c r="L23" i="22" s="1"/>
  <c r="N104" i="21"/>
  <c r="O104" i="21" s="1"/>
  <c r="L104" i="21"/>
  <c r="M104" i="21" s="1"/>
  <c r="M23" i="21"/>
  <c r="N23" i="21" s="1"/>
  <c r="K23" i="21"/>
  <c r="L23" i="21" s="1"/>
  <c r="N104" i="20"/>
  <c r="O104" i="20" s="1"/>
  <c r="L104" i="20"/>
  <c r="M104" i="20" s="1"/>
  <c r="M23" i="20"/>
  <c r="N23" i="20" s="1"/>
  <c r="K23" i="20"/>
  <c r="L23" i="20" s="1"/>
  <c r="N104" i="19"/>
  <c r="O104" i="19" s="1"/>
  <c r="L104" i="19"/>
  <c r="M104" i="19" s="1"/>
  <c r="M23" i="19"/>
  <c r="N23" i="19" s="1"/>
  <c r="K23" i="19"/>
  <c r="L23" i="19" s="1"/>
  <c r="N104" i="18"/>
  <c r="O104" i="18" s="1"/>
  <c r="L104" i="18"/>
  <c r="M104" i="18" s="1"/>
  <c r="M23" i="18"/>
  <c r="N23" i="18" s="1"/>
  <c r="K23" i="18"/>
  <c r="L23" i="18" s="1"/>
  <c r="N104" i="17"/>
  <c r="O104" i="17" s="1"/>
  <c r="L104" i="17"/>
  <c r="M104" i="17" s="1"/>
  <c r="M23" i="17"/>
  <c r="N23" i="17" s="1"/>
  <c r="K23" i="17"/>
  <c r="L23" i="17" s="1"/>
  <c r="N104" i="3"/>
  <c r="O104" i="3" s="1"/>
  <c r="L104" i="3"/>
  <c r="M104" i="3" s="1"/>
  <c r="M23" i="3"/>
  <c r="N23" i="3" s="1"/>
  <c r="K23" i="3"/>
  <c r="L23" i="3" s="1"/>
  <c r="O105" i="69"/>
  <c r="M105" i="69"/>
  <c r="O104" i="69"/>
  <c r="M104" i="69"/>
  <c r="O103" i="69"/>
  <c r="M103" i="69"/>
  <c r="O102" i="69"/>
  <c r="M102" i="69"/>
  <c r="O101" i="69"/>
  <c r="M101" i="69"/>
  <c r="O100" i="69"/>
  <c r="M100" i="69"/>
  <c r="O99" i="69"/>
  <c r="M99" i="69"/>
  <c r="D92" i="64"/>
  <c r="D92" i="62"/>
  <c r="D92" i="63"/>
  <c r="D92" i="61"/>
  <c r="D92" i="59"/>
  <c r="D92" i="57"/>
  <c r="D92" i="21"/>
  <c r="M24" i="69"/>
  <c r="N24" i="69" s="1"/>
  <c r="K24" i="69"/>
  <c r="L24" i="69" s="1"/>
  <c r="M23" i="69"/>
  <c r="N23" i="69" s="1"/>
  <c r="K23" i="69"/>
  <c r="L23" i="69" s="1"/>
  <c r="M22" i="69"/>
  <c r="N22" i="69" s="1"/>
  <c r="K22" i="69"/>
  <c r="L22" i="69" s="1"/>
  <c r="M21" i="69"/>
  <c r="N21" i="69" s="1"/>
  <c r="K21" i="69"/>
  <c r="L21" i="69" s="1"/>
  <c r="M20" i="69"/>
  <c r="N20" i="69" s="1"/>
  <c r="K20" i="69"/>
  <c r="L20" i="69" s="1"/>
  <c r="M19" i="69"/>
  <c r="N19" i="69" s="1"/>
  <c r="K19" i="69"/>
  <c r="L19" i="69" s="1"/>
  <c r="M18" i="69"/>
  <c r="N18" i="69" s="1"/>
  <c r="K18" i="69"/>
  <c r="L18" i="69" s="1"/>
  <c r="M17" i="69"/>
  <c r="N17" i="69" s="1"/>
  <c r="K17" i="69"/>
  <c r="L17" i="69" s="1"/>
  <c r="W71" i="36"/>
  <c r="W70" i="36"/>
  <c r="W69" i="36"/>
  <c r="W68" i="36"/>
  <c r="W67" i="36"/>
  <c r="W66" i="36"/>
  <c r="W65" i="36"/>
  <c r="W64" i="36"/>
  <c r="W63" i="36"/>
  <c r="W62" i="36"/>
  <c r="W61" i="36"/>
  <c r="P71" i="36"/>
  <c r="P70" i="36"/>
  <c r="P69" i="36"/>
  <c r="P68" i="36"/>
  <c r="P67" i="36"/>
  <c r="P66" i="36"/>
  <c r="P65" i="36"/>
  <c r="P64" i="36"/>
  <c r="P63" i="36"/>
  <c r="P62" i="36"/>
  <c r="P61" i="36"/>
  <c r="P154" i="79"/>
  <c r="O154" i="79"/>
  <c r="M154" i="79"/>
  <c r="P153" i="79"/>
  <c r="O153" i="79"/>
  <c r="M153" i="79"/>
  <c r="P152" i="79"/>
  <c r="O152" i="79"/>
  <c r="M152" i="79"/>
  <c r="P151" i="79"/>
  <c r="O151" i="79"/>
  <c r="M151" i="79"/>
  <c r="P150" i="79"/>
  <c r="O150" i="79"/>
  <c r="M150" i="79"/>
  <c r="P149" i="79"/>
  <c r="O149" i="79"/>
  <c r="M149" i="79"/>
  <c r="P148" i="79"/>
  <c r="O148" i="79"/>
  <c r="M148" i="79"/>
  <c r="P147" i="79"/>
  <c r="O147" i="79"/>
  <c r="M147" i="79"/>
  <c r="P146" i="79"/>
  <c r="O146" i="79"/>
  <c r="M146" i="79"/>
  <c r="P145" i="79"/>
  <c r="O145" i="79"/>
  <c r="M145" i="79"/>
  <c r="P144" i="79"/>
  <c r="O144" i="79"/>
  <c r="M144" i="79"/>
  <c r="P143" i="79"/>
  <c r="O143" i="79"/>
  <c r="M143" i="79"/>
  <c r="P142" i="79"/>
  <c r="O142" i="79"/>
  <c r="M142" i="79"/>
  <c r="P141" i="79"/>
  <c r="O141" i="79"/>
  <c r="M141" i="79"/>
  <c r="P140" i="79"/>
  <c r="O140" i="79"/>
  <c r="M140" i="79"/>
  <c r="P139" i="79"/>
  <c r="O139" i="79"/>
  <c r="M139" i="79"/>
  <c r="P138" i="79"/>
  <c r="O138" i="79"/>
  <c r="M138" i="79"/>
  <c r="P137" i="79"/>
  <c r="O137" i="79"/>
  <c r="M137" i="79"/>
  <c r="P136" i="79"/>
  <c r="O136" i="79"/>
  <c r="M136" i="79"/>
  <c r="P135" i="79"/>
  <c r="O135" i="79"/>
  <c r="M135" i="79"/>
  <c r="P134" i="79"/>
  <c r="O134" i="79"/>
  <c r="M134" i="79"/>
  <c r="P133" i="79"/>
  <c r="O133" i="79"/>
  <c r="M133" i="79"/>
  <c r="P132" i="79"/>
  <c r="O132" i="79"/>
  <c r="M132" i="79"/>
  <c r="P131" i="79"/>
  <c r="O131" i="79"/>
  <c r="M131" i="79"/>
  <c r="O130" i="79"/>
  <c r="M130" i="79"/>
  <c r="O129" i="79"/>
  <c r="M129" i="79"/>
  <c r="O128" i="79"/>
  <c r="M128" i="79"/>
  <c r="O127" i="79"/>
  <c r="M127" i="79"/>
  <c r="O126" i="79"/>
  <c r="M126" i="79"/>
  <c r="O125" i="79"/>
  <c r="M125" i="79"/>
  <c r="O124" i="79"/>
  <c r="M124" i="79"/>
  <c r="O123" i="79"/>
  <c r="M123" i="79"/>
  <c r="O122" i="79"/>
  <c r="M122" i="79"/>
  <c r="O121" i="79"/>
  <c r="M121" i="79"/>
  <c r="O120" i="79"/>
  <c r="M120" i="79"/>
  <c r="O119" i="79"/>
  <c r="M119" i="79"/>
  <c r="O118" i="79"/>
  <c r="M118" i="79"/>
  <c r="O117" i="79"/>
  <c r="M117" i="79"/>
  <c r="O116" i="79"/>
  <c r="M116" i="79"/>
  <c r="O115" i="79"/>
  <c r="M115" i="79"/>
  <c r="O114" i="79"/>
  <c r="M114" i="79"/>
  <c r="O113" i="79"/>
  <c r="M113" i="79"/>
  <c r="O112" i="79"/>
  <c r="M112" i="79"/>
  <c r="O111" i="79"/>
  <c r="M111" i="79"/>
  <c r="O110" i="79"/>
  <c r="M110" i="79"/>
  <c r="O109" i="79"/>
  <c r="M109" i="79"/>
  <c r="O108" i="79"/>
  <c r="M108" i="79"/>
  <c r="O105" i="79"/>
  <c r="O104" i="79"/>
  <c r="O103" i="79"/>
  <c r="D96" i="79"/>
  <c r="L93" i="79"/>
  <c r="J93" i="79"/>
  <c r="D91" i="79"/>
  <c r="D89" i="79"/>
  <c r="N72" i="79"/>
  <c r="L72" i="79"/>
  <c r="N71" i="79"/>
  <c r="L71" i="79"/>
  <c r="N70" i="79"/>
  <c r="L70" i="79"/>
  <c r="N69" i="79"/>
  <c r="L69" i="79"/>
  <c r="N68" i="79"/>
  <c r="L68" i="79"/>
  <c r="N67" i="79"/>
  <c r="L67" i="79"/>
  <c r="N66" i="79"/>
  <c r="L66" i="79"/>
  <c r="N65" i="79"/>
  <c r="L65" i="79"/>
  <c r="N64" i="79"/>
  <c r="L64" i="79"/>
  <c r="N63" i="79"/>
  <c r="L63" i="79"/>
  <c r="N62" i="79"/>
  <c r="L62" i="79"/>
  <c r="N61" i="79"/>
  <c r="L61" i="79"/>
  <c r="N60" i="79"/>
  <c r="L60" i="79"/>
  <c r="N59" i="79"/>
  <c r="L59" i="79"/>
  <c r="N58" i="79"/>
  <c r="L58" i="79"/>
  <c r="N57" i="79"/>
  <c r="L57" i="79"/>
  <c r="N56" i="79"/>
  <c r="L56" i="79"/>
  <c r="N55" i="79"/>
  <c r="L55" i="79"/>
  <c r="N54" i="79"/>
  <c r="L54" i="79"/>
  <c r="N53" i="79"/>
  <c r="L53" i="79"/>
  <c r="N52" i="79"/>
  <c r="L52" i="79"/>
  <c r="N51" i="79"/>
  <c r="L51" i="79"/>
  <c r="N50" i="79"/>
  <c r="L50" i="79"/>
  <c r="N49" i="79"/>
  <c r="L49" i="79"/>
  <c r="N48" i="79"/>
  <c r="L48" i="79"/>
  <c r="N47" i="79"/>
  <c r="L47" i="79"/>
  <c r="N46" i="79"/>
  <c r="L46" i="79"/>
  <c r="N45" i="79"/>
  <c r="L45" i="79"/>
  <c r="N44" i="79"/>
  <c r="L44" i="79"/>
  <c r="N43" i="79"/>
  <c r="L43" i="79"/>
  <c r="N42" i="79"/>
  <c r="L42" i="79"/>
  <c r="N41" i="79"/>
  <c r="L41" i="79"/>
  <c r="N40" i="79"/>
  <c r="L40" i="79"/>
  <c r="N39" i="79"/>
  <c r="L39" i="79"/>
  <c r="N38" i="79"/>
  <c r="L38" i="79"/>
  <c r="N37" i="79"/>
  <c r="L37" i="79"/>
  <c r="N36" i="79"/>
  <c r="L36" i="79"/>
  <c r="N35" i="79"/>
  <c r="L35" i="79"/>
  <c r="N34" i="79"/>
  <c r="L34" i="79"/>
  <c r="N33" i="79"/>
  <c r="L33" i="79"/>
  <c r="N32" i="79"/>
  <c r="L32" i="79"/>
  <c r="N31" i="79"/>
  <c r="L31" i="79"/>
  <c r="N30" i="79"/>
  <c r="L30" i="79"/>
  <c r="N29" i="79"/>
  <c r="L29" i="79"/>
  <c r="N28" i="79"/>
  <c r="L28" i="79"/>
  <c r="N27" i="79"/>
  <c r="L27" i="79"/>
  <c r="N25" i="79"/>
  <c r="N24" i="79"/>
  <c r="N23" i="79"/>
  <c r="N22" i="79"/>
  <c r="N21" i="79"/>
  <c r="C17" i="79"/>
  <c r="C18" i="79" s="1"/>
  <c r="C19" i="79" s="1"/>
  <c r="C20" i="79" s="1"/>
  <c r="C21" i="79" s="1"/>
  <c r="C22" i="79" s="1"/>
  <c r="C23" i="79" s="1"/>
  <c r="C24" i="79" s="1"/>
  <c r="C25" i="79" s="1"/>
  <c r="C26" i="79" s="1"/>
  <c r="C27" i="79" s="1"/>
  <c r="C28" i="79" s="1"/>
  <c r="C29" i="79" s="1"/>
  <c r="C30" i="79" s="1"/>
  <c r="C31" i="79" s="1"/>
  <c r="C32" i="79" s="1"/>
  <c r="C33" i="79" s="1"/>
  <c r="C34" i="79" s="1"/>
  <c r="C35" i="79" s="1"/>
  <c r="C36" i="79" s="1"/>
  <c r="C37" i="79" s="1"/>
  <c r="C38" i="79" s="1"/>
  <c r="C39" i="79" s="1"/>
  <c r="C40" i="79" s="1"/>
  <c r="C41" i="79" s="1"/>
  <c r="C42" i="79" s="1"/>
  <c r="C43" i="79" s="1"/>
  <c r="C44" i="79" s="1"/>
  <c r="C45" i="79" s="1"/>
  <c r="C46" i="79" s="1"/>
  <c r="C47" i="79" s="1"/>
  <c r="C48" i="79" s="1"/>
  <c r="C49" i="79" s="1"/>
  <c r="C50" i="79" s="1"/>
  <c r="C51" i="79" s="1"/>
  <c r="C52" i="79" s="1"/>
  <c r="C53" i="79" s="1"/>
  <c r="C54" i="79" s="1"/>
  <c r="C55" i="79" s="1"/>
  <c r="C56" i="79" s="1"/>
  <c r="C57" i="79" s="1"/>
  <c r="C58" i="79" s="1"/>
  <c r="C59" i="79" s="1"/>
  <c r="C60" i="79" s="1"/>
  <c r="C61" i="79" s="1"/>
  <c r="C62" i="79" s="1"/>
  <c r="C63" i="79" s="1"/>
  <c r="C64" i="79" s="1"/>
  <c r="C65" i="79" s="1"/>
  <c r="C66" i="79" s="1"/>
  <c r="C67" i="79" s="1"/>
  <c r="C68" i="79" s="1"/>
  <c r="C69" i="79" s="1"/>
  <c r="C70" i="79" s="1"/>
  <c r="C71" i="79" s="1"/>
  <c r="C72" i="79" s="1"/>
  <c r="K11" i="79"/>
  <c r="I11" i="79"/>
  <c r="D8" i="79"/>
  <c r="D90" i="79" s="1"/>
  <c r="P83" i="79"/>
  <c r="P154" i="78"/>
  <c r="O154" i="78"/>
  <c r="M154" i="78"/>
  <c r="P153" i="78"/>
  <c r="O153" i="78"/>
  <c r="M153" i="78"/>
  <c r="P152" i="78"/>
  <c r="O152" i="78"/>
  <c r="M152" i="78"/>
  <c r="P151" i="78"/>
  <c r="O151" i="78"/>
  <c r="M151" i="78"/>
  <c r="P150" i="78"/>
  <c r="O150" i="78"/>
  <c r="M150" i="78"/>
  <c r="P149" i="78"/>
  <c r="O149" i="78"/>
  <c r="M149" i="78"/>
  <c r="P148" i="78"/>
  <c r="O148" i="78"/>
  <c r="M148" i="78"/>
  <c r="P147" i="78"/>
  <c r="O147" i="78"/>
  <c r="M147" i="78"/>
  <c r="P146" i="78"/>
  <c r="O146" i="78"/>
  <c r="M146" i="78"/>
  <c r="P145" i="78"/>
  <c r="O145" i="78"/>
  <c r="M145" i="78"/>
  <c r="P144" i="78"/>
  <c r="O144" i="78"/>
  <c r="M144" i="78"/>
  <c r="P143" i="78"/>
  <c r="O143" i="78"/>
  <c r="M143" i="78"/>
  <c r="P142" i="78"/>
  <c r="O142" i="78"/>
  <c r="M142" i="78"/>
  <c r="P141" i="78"/>
  <c r="O141" i="78"/>
  <c r="M141" i="78"/>
  <c r="P140" i="78"/>
  <c r="O140" i="78"/>
  <c r="M140" i="78"/>
  <c r="P139" i="78"/>
  <c r="O139" i="78"/>
  <c r="M139" i="78"/>
  <c r="P138" i="78"/>
  <c r="O138" i="78"/>
  <c r="M138" i="78"/>
  <c r="P137" i="78"/>
  <c r="O137" i="78"/>
  <c r="M137" i="78"/>
  <c r="P136" i="78"/>
  <c r="O136" i="78"/>
  <c r="M136" i="78"/>
  <c r="P135" i="78"/>
  <c r="O135" i="78"/>
  <c r="M135" i="78"/>
  <c r="P134" i="78"/>
  <c r="O134" i="78"/>
  <c r="M134" i="78"/>
  <c r="P133" i="78"/>
  <c r="O133" i="78"/>
  <c r="M133" i="78"/>
  <c r="P132" i="78"/>
  <c r="O132" i="78"/>
  <c r="M132" i="78"/>
  <c r="P131" i="78"/>
  <c r="O131" i="78"/>
  <c r="M131" i="78"/>
  <c r="O130" i="78"/>
  <c r="M130" i="78"/>
  <c r="O129" i="78"/>
  <c r="M129" i="78"/>
  <c r="O128" i="78"/>
  <c r="M128" i="78"/>
  <c r="O127" i="78"/>
  <c r="M127" i="78"/>
  <c r="O126" i="78"/>
  <c r="M126" i="78"/>
  <c r="O125" i="78"/>
  <c r="M125" i="78"/>
  <c r="O124" i="78"/>
  <c r="M124" i="78"/>
  <c r="O123" i="78"/>
  <c r="M123" i="78"/>
  <c r="O122" i="78"/>
  <c r="M122" i="78"/>
  <c r="O121" i="78"/>
  <c r="M121" i="78"/>
  <c r="O120" i="78"/>
  <c r="M120" i="78"/>
  <c r="O119" i="78"/>
  <c r="M119" i="78"/>
  <c r="O118" i="78"/>
  <c r="M118" i="78"/>
  <c r="O117" i="78"/>
  <c r="M117" i="78"/>
  <c r="O116" i="78"/>
  <c r="M116" i="78"/>
  <c r="O115" i="78"/>
  <c r="M115" i="78"/>
  <c r="O114" i="78"/>
  <c r="M114" i="78"/>
  <c r="O113" i="78"/>
  <c r="M113" i="78"/>
  <c r="O112" i="78"/>
  <c r="M112" i="78"/>
  <c r="O111" i="78"/>
  <c r="M111" i="78"/>
  <c r="O110" i="78"/>
  <c r="M110" i="78"/>
  <c r="O109" i="78"/>
  <c r="M109" i="78"/>
  <c r="O108" i="78"/>
  <c r="M108" i="78"/>
  <c r="O105" i="78"/>
  <c r="O104" i="78"/>
  <c r="O103" i="78"/>
  <c r="D96" i="78"/>
  <c r="L93" i="78"/>
  <c r="J93" i="78"/>
  <c r="D91" i="78"/>
  <c r="D89" i="78"/>
  <c r="N72" i="78"/>
  <c r="L72" i="78"/>
  <c r="N71" i="78"/>
  <c r="L71" i="78"/>
  <c r="N70" i="78"/>
  <c r="L70" i="78"/>
  <c r="N69" i="78"/>
  <c r="L69" i="78"/>
  <c r="N68" i="78"/>
  <c r="L68" i="78"/>
  <c r="N67" i="78"/>
  <c r="L67" i="78"/>
  <c r="N66" i="78"/>
  <c r="L66" i="78"/>
  <c r="N65" i="78"/>
  <c r="L65" i="78"/>
  <c r="N64" i="78"/>
  <c r="L64" i="78"/>
  <c r="N63" i="78"/>
  <c r="L63" i="78"/>
  <c r="N62" i="78"/>
  <c r="L62" i="78"/>
  <c r="N61" i="78"/>
  <c r="L61" i="78"/>
  <c r="N60" i="78"/>
  <c r="L60" i="78"/>
  <c r="N59" i="78"/>
  <c r="L59" i="78"/>
  <c r="N58" i="78"/>
  <c r="L58" i="78"/>
  <c r="N57" i="78"/>
  <c r="L57" i="78"/>
  <c r="N56" i="78"/>
  <c r="L56" i="78"/>
  <c r="N55" i="78"/>
  <c r="L55" i="78"/>
  <c r="N54" i="78"/>
  <c r="L54" i="78"/>
  <c r="N53" i="78"/>
  <c r="L53" i="78"/>
  <c r="N52" i="78"/>
  <c r="L52" i="78"/>
  <c r="N51" i="78"/>
  <c r="L51" i="78"/>
  <c r="N50" i="78"/>
  <c r="L50" i="78"/>
  <c r="N49" i="78"/>
  <c r="L49" i="78"/>
  <c r="N48" i="78"/>
  <c r="L48" i="78"/>
  <c r="N47" i="78"/>
  <c r="L47" i="78"/>
  <c r="N46" i="78"/>
  <c r="L46" i="78"/>
  <c r="N45" i="78"/>
  <c r="L45" i="78"/>
  <c r="N44" i="78"/>
  <c r="L44" i="78"/>
  <c r="N43" i="78"/>
  <c r="L43" i="78"/>
  <c r="N42" i="78"/>
  <c r="L42" i="78"/>
  <c r="N41" i="78"/>
  <c r="L41" i="78"/>
  <c r="N40" i="78"/>
  <c r="L40" i="78"/>
  <c r="N39" i="78"/>
  <c r="L39" i="78"/>
  <c r="N38" i="78"/>
  <c r="L38" i="78"/>
  <c r="N37" i="78"/>
  <c r="L37" i="78"/>
  <c r="N36" i="78"/>
  <c r="L36" i="78"/>
  <c r="N35" i="78"/>
  <c r="L35" i="78"/>
  <c r="N34" i="78"/>
  <c r="L34" i="78"/>
  <c r="N33" i="78"/>
  <c r="L33" i="78"/>
  <c r="N32" i="78"/>
  <c r="L32" i="78"/>
  <c r="N31" i="78"/>
  <c r="L31" i="78"/>
  <c r="N30" i="78"/>
  <c r="L30" i="78"/>
  <c r="N29" i="78"/>
  <c r="L29" i="78"/>
  <c r="N28" i="78"/>
  <c r="L28" i="78"/>
  <c r="N27" i="78"/>
  <c r="L27" i="78"/>
  <c r="N25" i="78"/>
  <c r="N24" i="78"/>
  <c r="N23" i="78"/>
  <c r="N22" i="78"/>
  <c r="N21" i="78"/>
  <c r="C17" i="78"/>
  <c r="C18" i="78" s="1"/>
  <c r="C19" i="78" s="1"/>
  <c r="C20" i="78" s="1"/>
  <c r="C21" i="78" s="1"/>
  <c r="C22" i="78" s="1"/>
  <c r="C23" i="78" s="1"/>
  <c r="C24" i="78" s="1"/>
  <c r="C25" i="78" s="1"/>
  <c r="C26" i="78" s="1"/>
  <c r="C27" i="78" s="1"/>
  <c r="C28" i="78" s="1"/>
  <c r="C29" i="78" s="1"/>
  <c r="C30" i="78" s="1"/>
  <c r="C31" i="78" s="1"/>
  <c r="C32" i="78" s="1"/>
  <c r="C33" i="78" s="1"/>
  <c r="C34" i="78" s="1"/>
  <c r="C35" i="78" s="1"/>
  <c r="C36" i="78" s="1"/>
  <c r="C37" i="78" s="1"/>
  <c r="C38" i="78" s="1"/>
  <c r="C39" i="78" s="1"/>
  <c r="C40" i="78" s="1"/>
  <c r="C41" i="78" s="1"/>
  <c r="C42" i="78" s="1"/>
  <c r="C43" i="78" s="1"/>
  <c r="C44" i="78" s="1"/>
  <c r="C45" i="78" s="1"/>
  <c r="C46" i="78" s="1"/>
  <c r="C47" i="78" s="1"/>
  <c r="C48" i="78" s="1"/>
  <c r="C49" i="78" s="1"/>
  <c r="C50" i="78" s="1"/>
  <c r="C51" i="78" s="1"/>
  <c r="C52" i="78" s="1"/>
  <c r="C53" i="78" s="1"/>
  <c r="C54" i="78" s="1"/>
  <c r="C55" i="78" s="1"/>
  <c r="C56" i="78" s="1"/>
  <c r="C57" i="78" s="1"/>
  <c r="C58" i="78" s="1"/>
  <c r="C59" i="78" s="1"/>
  <c r="C60" i="78" s="1"/>
  <c r="C61" i="78" s="1"/>
  <c r="C62" i="78" s="1"/>
  <c r="C63" i="78" s="1"/>
  <c r="C64" i="78" s="1"/>
  <c r="C65" i="78" s="1"/>
  <c r="C66" i="78" s="1"/>
  <c r="C67" i="78" s="1"/>
  <c r="C68" i="78" s="1"/>
  <c r="C69" i="78" s="1"/>
  <c r="C70" i="78" s="1"/>
  <c r="C71" i="78" s="1"/>
  <c r="C72" i="78" s="1"/>
  <c r="K11" i="78"/>
  <c r="I11" i="78"/>
  <c r="D8" i="78"/>
  <c r="D90" i="78" s="1"/>
  <c r="P83" i="78"/>
  <c r="P154" i="77"/>
  <c r="O154" i="77"/>
  <c r="M154" i="77"/>
  <c r="P153" i="77"/>
  <c r="O153" i="77"/>
  <c r="M153" i="77"/>
  <c r="P152" i="77"/>
  <c r="O152" i="77"/>
  <c r="M152" i="77"/>
  <c r="P151" i="77"/>
  <c r="O151" i="77"/>
  <c r="M151" i="77"/>
  <c r="P150" i="77"/>
  <c r="O150" i="77"/>
  <c r="M150" i="77"/>
  <c r="P149" i="77"/>
  <c r="O149" i="77"/>
  <c r="M149" i="77"/>
  <c r="P148" i="77"/>
  <c r="O148" i="77"/>
  <c r="M148" i="77"/>
  <c r="P147" i="77"/>
  <c r="O147" i="77"/>
  <c r="M147" i="77"/>
  <c r="P146" i="77"/>
  <c r="O146" i="77"/>
  <c r="M146" i="77"/>
  <c r="P145" i="77"/>
  <c r="O145" i="77"/>
  <c r="M145" i="77"/>
  <c r="P144" i="77"/>
  <c r="O144" i="77"/>
  <c r="M144" i="77"/>
  <c r="P143" i="77"/>
  <c r="O143" i="77"/>
  <c r="M143" i="77"/>
  <c r="P142" i="77"/>
  <c r="O142" i="77"/>
  <c r="M142" i="77"/>
  <c r="P141" i="77"/>
  <c r="O141" i="77"/>
  <c r="M141" i="77"/>
  <c r="P140" i="77"/>
  <c r="O140" i="77"/>
  <c r="M140" i="77"/>
  <c r="P139" i="77"/>
  <c r="O139" i="77"/>
  <c r="M139" i="77"/>
  <c r="P138" i="77"/>
  <c r="O138" i="77"/>
  <c r="M138" i="77"/>
  <c r="P137" i="77"/>
  <c r="O137" i="77"/>
  <c r="M137" i="77"/>
  <c r="P136" i="77"/>
  <c r="O136" i="77"/>
  <c r="M136" i="77"/>
  <c r="P135" i="77"/>
  <c r="O135" i="77"/>
  <c r="M135" i="77"/>
  <c r="P134" i="77"/>
  <c r="O134" i="77"/>
  <c r="M134" i="77"/>
  <c r="P133" i="77"/>
  <c r="O133" i="77"/>
  <c r="M133" i="77"/>
  <c r="P132" i="77"/>
  <c r="O132" i="77"/>
  <c r="M132" i="77"/>
  <c r="P131" i="77"/>
  <c r="O131" i="77"/>
  <c r="M131" i="77"/>
  <c r="O130" i="77"/>
  <c r="M130" i="77"/>
  <c r="O129" i="77"/>
  <c r="M129" i="77"/>
  <c r="O128" i="77"/>
  <c r="M128" i="77"/>
  <c r="O127" i="77"/>
  <c r="M127" i="77"/>
  <c r="O126" i="77"/>
  <c r="M126" i="77"/>
  <c r="O125" i="77"/>
  <c r="M125" i="77"/>
  <c r="O124" i="77"/>
  <c r="M124" i="77"/>
  <c r="O123" i="77"/>
  <c r="M123" i="77"/>
  <c r="O122" i="77"/>
  <c r="M122" i="77"/>
  <c r="O121" i="77"/>
  <c r="M121" i="77"/>
  <c r="O120" i="77"/>
  <c r="M120" i="77"/>
  <c r="O119" i="77"/>
  <c r="M119" i="77"/>
  <c r="O118" i="77"/>
  <c r="M118" i="77"/>
  <c r="O117" i="77"/>
  <c r="M117" i="77"/>
  <c r="O116" i="77"/>
  <c r="M116" i="77"/>
  <c r="O115" i="77"/>
  <c r="M115" i="77"/>
  <c r="O114" i="77"/>
  <c r="M114" i="77"/>
  <c r="O113" i="77"/>
  <c r="M113" i="77"/>
  <c r="O112" i="77"/>
  <c r="M112" i="77"/>
  <c r="O111" i="77"/>
  <c r="M111" i="77"/>
  <c r="O110" i="77"/>
  <c r="M110" i="77"/>
  <c r="O109" i="77"/>
  <c r="M109" i="77"/>
  <c r="O108" i="77"/>
  <c r="M108" i="77"/>
  <c r="O105" i="77"/>
  <c r="O104" i="77"/>
  <c r="O103" i="77"/>
  <c r="D96" i="77"/>
  <c r="L93" i="77"/>
  <c r="J93" i="77"/>
  <c r="D91" i="77"/>
  <c r="D89" i="77"/>
  <c r="N72" i="77"/>
  <c r="L72" i="77"/>
  <c r="N71" i="77"/>
  <c r="L71" i="77"/>
  <c r="N70" i="77"/>
  <c r="L70" i="77"/>
  <c r="N69" i="77"/>
  <c r="L69" i="77"/>
  <c r="N68" i="77"/>
  <c r="L68" i="77"/>
  <c r="N67" i="77"/>
  <c r="L67" i="77"/>
  <c r="N66" i="77"/>
  <c r="L66" i="77"/>
  <c r="N65" i="77"/>
  <c r="L65" i="77"/>
  <c r="N64" i="77"/>
  <c r="L64" i="77"/>
  <c r="N63" i="77"/>
  <c r="L63" i="77"/>
  <c r="N62" i="77"/>
  <c r="L62" i="77"/>
  <c r="N61" i="77"/>
  <c r="L61" i="77"/>
  <c r="N60" i="77"/>
  <c r="L60" i="77"/>
  <c r="N59" i="77"/>
  <c r="L59" i="77"/>
  <c r="N58" i="77"/>
  <c r="L58" i="77"/>
  <c r="N57" i="77"/>
  <c r="L57" i="77"/>
  <c r="N56" i="77"/>
  <c r="L56" i="77"/>
  <c r="N55" i="77"/>
  <c r="L55" i="77"/>
  <c r="N54" i="77"/>
  <c r="L54" i="77"/>
  <c r="N53" i="77"/>
  <c r="L53" i="77"/>
  <c r="N52" i="77"/>
  <c r="L52" i="77"/>
  <c r="N51" i="77"/>
  <c r="L51" i="77"/>
  <c r="N50" i="77"/>
  <c r="L50" i="77"/>
  <c r="N49" i="77"/>
  <c r="L49" i="77"/>
  <c r="N48" i="77"/>
  <c r="L48" i="77"/>
  <c r="N47" i="77"/>
  <c r="L47" i="77"/>
  <c r="N46" i="77"/>
  <c r="L46" i="77"/>
  <c r="N45" i="77"/>
  <c r="L45" i="77"/>
  <c r="N44" i="77"/>
  <c r="L44" i="77"/>
  <c r="N43" i="77"/>
  <c r="L43" i="77"/>
  <c r="N42" i="77"/>
  <c r="L42" i="77"/>
  <c r="N41" i="77"/>
  <c r="L41" i="77"/>
  <c r="N40" i="77"/>
  <c r="L40" i="77"/>
  <c r="N39" i="77"/>
  <c r="L39" i="77"/>
  <c r="N38" i="77"/>
  <c r="L38" i="77"/>
  <c r="N37" i="77"/>
  <c r="L37" i="77"/>
  <c r="N36" i="77"/>
  <c r="L36" i="77"/>
  <c r="N35" i="77"/>
  <c r="L35" i="77"/>
  <c r="N34" i="77"/>
  <c r="L34" i="77"/>
  <c r="N33" i="77"/>
  <c r="L33" i="77"/>
  <c r="N32" i="77"/>
  <c r="L32" i="77"/>
  <c r="N31" i="77"/>
  <c r="L31" i="77"/>
  <c r="N30" i="77"/>
  <c r="L30" i="77"/>
  <c r="N29" i="77"/>
  <c r="L29" i="77"/>
  <c r="N28" i="77"/>
  <c r="L28" i="77"/>
  <c r="N27" i="77"/>
  <c r="L27" i="77"/>
  <c r="N25" i="77"/>
  <c r="N24" i="77"/>
  <c r="N23" i="77"/>
  <c r="N22" i="77"/>
  <c r="N21" i="77"/>
  <c r="C17" i="77"/>
  <c r="C18" i="77" s="1"/>
  <c r="C19" i="77" s="1"/>
  <c r="C20" i="77" s="1"/>
  <c r="C21" i="77" s="1"/>
  <c r="C22" i="77" s="1"/>
  <c r="C23" i="77" s="1"/>
  <c r="C24" i="77" s="1"/>
  <c r="C25" i="77" s="1"/>
  <c r="C26" i="77" s="1"/>
  <c r="C27" i="77" s="1"/>
  <c r="C28" i="77" s="1"/>
  <c r="C29" i="77" s="1"/>
  <c r="C30" i="77" s="1"/>
  <c r="C31" i="77" s="1"/>
  <c r="C32" i="77" s="1"/>
  <c r="C33" i="77" s="1"/>
  <c r="C34" i="77" s="1"/>
  <c r="C35" i="77" s="1"/>
  <c r="C36" i="77" s="1"/>
  <c r="C37" i="77" s="1"/>
  <c r="C38" i="77" s="1"/>
  <c r="C39" i="77" s="1"/>
  <c r="C40" i="77" s="1"/>
  <c r="C41" i="77" s="1"/>
  <c r="C42" i="77" s="1"/>
  <c r="C43" i="77" s="1"/>
  <c r="C44" i="77" s="1"/>
  <c r="C45" i="77" s="1"/>
  <c r="C46" i="77" s="1"/>
  <c r="C47" i="77" s="1"/>
  <c r="C48" i="77" s="1"/>
  <c r="C49" i="77" s="1"/>
  <c r="C50" i="77" s="1"/>
  <c r="C51" i="77" s="1"/>
  <c r="C52" i="77" s="1"/>
  <c r="C53" i="77" s="1"/>
  <c r="C54" i="77" s="1"/>
  <c r="C55" i="77" s="1"/>
  <c r="C56" i="77" s="1"/>
  <c r="C57" i="77" s="1"/>
  <c r="C58" i="77" s="1"/>
  <c r="C59" i="77" s="1"/>
  <c r="C60" i="77" s="1"/>
  <c r="C61" i="77" s="1"/>
  <c r="C62" i="77" s="1"/>
  <c r="C63" i="77" s="1"/>
  <c r="C64" i="77" s="1"/>
  <c r="C65" i="77" s="1"/>
  <c r="C66" i="77" s="1"/>
  <c r="C67" i="77" s="1"/>
  <c r="C68" i="77" s="1"/>
  <c r="C69" i="77" s="1"/>
  <c r="C70" i="77" s="1"/>
  <c r="C71" i="77" s="1"/>
  <c r="C72" i="77" s="1"/>
  <c r="K11" i="77"/>
  <c r="I11" i="77"/>
  <c r="D8" i="77"/>
  <c r="D90" i="77" s="1"/>
  <c r="P83" i="77"/>
  <c r="P154" i="76"/>
  <c r="O154" i="76"/>
  <c r="M154" i="76"/>
  <c r="P153" i="76"/>
  <c r="O153" i="76"/>
  <c r="M153" i="76"/>
  <c r="P152" i="76"/>
  <c r="O152" i="76"/>
  <c r="M152" i="76"/>
  <c r="P151" i="76"/>
  <c r="O151" i="76"/>
  <c r="M151" i="76"/>
  <c r="P150" i="76"/>
  <c r="O150" i="76"/>
  <c r="M150" i="76"/>
  <c r="P149" i="76"/>
  <c r="O149" i="76"/>
  <c r="M149" i="76"/>
  <c r="P148" i="76"/>
  <c r="O148" i="76"/>
  <c r="M148" i="76"/>
  <c r="P147" i="76"/>
  <c r="O147" i="76"/>
  <c r="M147" i="76"/>
  <c r="P146" i="76"/>
  <c r="O146" i="76"/>
  <c r="M146" i="76"/>
  <c r="P145" i="76"/>
  <c r="O145" i="76"/>
  <c r="M145" i="76"/>
  <c r="P144" i="76"/>
  <c r="O144" i="76"/>
  <c r="M144" i="76"/>
  <c r="P143" i="76"/>
  <c r="O143" i="76"/>
  <c r="M143" i="76"/>
  <c r="P142" i="76"/>
  <c r="O142" i="76"/>
  <c r="M142" i="76"/>
  <c r="P141" i="76"/>
  <c r="O141" i="76"/>
  <c r="M141" i="76"/>
  <c r="P140" i="76"/>
  <c r="O140" i="76"/>
  <c r="M140" i="76"/>
  <c r="P139" i="76"/>
  <c r="O139" i="76"/>
  <c r="M139" i="76"/>
  <c r="P138" i="76"/>
  <c r="O138" i="76"/>
  <c r="M138" i="76"/>
  <c r="P137" i="76"/>
  <c r="O137" i="76"/>
  <c r="M137" i="76"/>
  <c r="P136" i="76"/>
  <c r="O136" i="76"/>
  <c r="M136" i="76"/>
  <c r="P135" i="76"/>
  <c r="O135" i="76"/>
  <c r="M135" i="76"/>
  <c r="P134" i="76"/>
  <c r="O134" i="76"/>
  <c r="M134" i="76"/>
  <c r="P133" i="76"/>
  <c r="O133" i="76"/>
  <c r="M133" i="76"/>
  <c r="P132" i="76"/>
  <c r="O132" i="76"/>
  <c r="M132" i="76"/>
  <c r="P131" i="76"/>
  <c r="O131" i="76"/>
  <c r="M131" i="76"/>
  <c r="O130" i="76"/>
  <c r="M130" i="76"/>
  <c r="O129" i="76"/>
  <c r="M129" i="76"/>
  <c r="O128" i="76"/>
  <c r="M128" i="76"/>
  <c r="O127" i="76"/>
  <c r="M127" i="76"/>
  <c r="O126" i="76"/>
  <c r="M126" i="76"/>
  <c r="O125" i="76"/>
  <c r="M125" i="76"/>
  <c r="O124" i="76"/>
  <c r="M124" i="76"/>
  <c r="O123" i="76"/>
  <c r="M123" i="76"/>
  <c r="O122" i="76"/>
  <c r="M122" i="76"/>
  <c r="O121" i="76"/>
  <c r="M121" i="76"/>
  <c r="O120" i="76"/>
  <c r="M120" i="76"/>
  <c r="O119" i="76"/>
  <c r="M119" i="76"/>
  <c r="O118" i="76"/>
  <c r="M118" i="76"/>
  <c r="O117" i="76"/>
  <c r="M117" i="76"/>
  <c r="O116" i="76"/>
  <c r="M116" i="76"/>
  <c r="O115" i="76"/>
  <c r="M115" i="76"/>
  <c r="O114" i="76"/>
  <c r="M114" i="76"/>
  <c r="O113" i="76"/>
  <c r="M113" i="76"/>
  <c r="O112" i="76"/>
  <c r="M112" i="76"/>
  <c r="O111" i="76"/>
  <c r="M111" i="76"/>
  <c r="O110" i="76"/>
  <c r="M110" i="76"/>
  <c r="O109" i="76"/>
  <c r="M109" i="76"/>
  <c r="O108" i="76"/>
  <c r="M108" i="76"/>
  <c r="O105" i="76"/>
  <c r="O104" i="76"/>
  <c r="O103" i="76"/>
  <c r="D96" i="76"/>
  <c r="L93" i="76"/>
  <c r="J93" i="76"/>
  <c r="D91" i="76"/>
  <c r="D89" i="76"/>
  <c r="N72" i="76"/>
  <c r="L72" i="76"/>
  <c r="N71" i="76"/>
  <c r="L71" i="76"/>
  <c r="N70" i="76"/>
  <c r="L70" i="76"/>
  <c r="N69" i="76"/>
  <c r="L69" i="76"/>
  <c r="N68" i="76"/>
  <c r="L68" i="76"/>
  <c r="N67" i="76"/>
  <c r="L67" i="76"/>
  <c r="N66" i="76"/>
  <c r="L66" i="76"/>
  <c r="N65" i="76"/>
  <c r="L65" i="76"/>
  <c r="N64" i="76"/>
  <c r="L64" i="76"/>
  <c r="N63" i="76"/>
  <c r="L63" i="76"/>
  <c r="N62" i="76"/>
  <c r="L62" i="76"/>
  <c r="N61" i="76"/>
  <c r="L61" i="76"/>
  <c r="N60" i="76"/>
  <c r="L60" i="76"/>
  <c r="N59" i="76"/>
  <c r="L59" i="76"/>
  <c r="N58" i="76"/>
  <c r="L58" i="76"/>
  <c r="N57" i="76"/>
  <c r="L57" i="76"/>
  <c r="N56" i="76"/>
  <c r="L56" i="76"/>
  <c r="N55" i="76"/>
  <c r="L55" i="76"/>
  <c r="N54" i="76"/>
  <c r="L54" i="76"/>
  <c r="N53" i="76"/>
  <c r="L53" i="76"/>
  <c r="N52" i="76"/>
  <c r="L52" i="76"/>
  <c r="N51" i="76"/>
  <c r="L51" i="76"/>
  <c r="N50" i="76"/>
  <c r="L50" i="76"/>
  <c r="N49" i="76"/>
  <c r="L49" i="76"/>
  <c r="N48" i="76"/>
  <c r="L48" i="76"/>
  <c r="N47" i="76"/>
  <c r="L47" i="76"/>
  <c r="N46" i="76"/>
  <c r="L46" i="76"/>
  <c r="N45" i="76"/>
  <c r="L45" i="76"/>
  <c r="N44" i="76"/>
  <c r="L44" i="76"/>
  <c r="N43" i="76"/>
  <c r="L43" i="76"/>
  <c r="N42" i="76"/>
  <c r="L42" i="76"/>
  <c r="N41" i="76"/>
  <c r="L41" i="76"/>
  <c r="N40" i="76"/>
  <c r="L40" i="76"/>
  <c r="N39" i="76"/>
  <c r="L39" i="76"/>
  <c r="N38" i="76"/>
  <c r="L38" i="76"/>
  <c r="N37" i="76"/>
  <c r="L37" i="76"/>
  <c r="N36" i="76"/>
  <c r="L36" i="76"/>
  <c r="N35" i="76"/>
  <c r="L35" i="76"/>
  <c r="N34" i="76"/>
  <c r="L34" i="76"/>
  <c r="N33" i="76"/>
  <c r="L33" i="76"/>
  <c r="N32" i="76"/>
  <c r="L32" i="76"/>
  <c r="N31" i="76"/>
  <c r="L31" i="76"/>
  <c r="N30" i="76"/>
  <c r="L30" i="76"/>
  <c r="N29" i="76"/>
  <c r="L29" i="76"/>
  <c r="N28" i="76"/>
  <c r="L28" i="76"/>
  <c r="N27" i="76"/>
  <c r="L27" i="76"/>
  <c r="N25" i="76"/>
  <c r="N24" i="76"/>
  <c r="N23" i="76"/>
  <c r="N22" i="76"/>
  <c r="N21" i="76"/>
  <c r="O21" i="76" s="1"/>
  <c r="C17" i="76"/>
  <c r="C18" i="76" s="1"/>
  <c r="C19" i="76" s="1"/>
  <c r="C20" i="76" s="1"/>
  <c r="C21" i="76" s="1"/>
  <c r="C22" i="76" s="1"/>
  <c r="C23" i="76" s="1"/>
  <c r="C24" i="76" s="1"/>
  <c r="C25" i="76" s="1"/>
  <c r="C26" i="76" s="1"/>
  <c r="C27" i="76" s="1"/>
  <c r="C28" i="76" s="1"/>
  <c r="C29" i="76" s="1"/>
  <c r="C30" i="76" s="1"/>
  <c r="C31" i="76" s="1"/>
  <c r="C32" i="76" s="1"/>
  <c r="C33" i="76" s="1"/>
  <c r="C34" i="76" s="1"/>
  <c r="C35" i="76" s="1"/>
  <c r="C36" i="76" s="1"/>
  <c r="C37" i="76" s="1"/>
  <c r="C38" i="76" s="1"/>
  <c r="C39" i="76" s="1"/>
  <c r="C40" i="76" s="1"/>
  <c r="C41" i="76" s="1"/>
  <c r="C42" i="76" s="1"/>
  <c r="C43" i="76" s="1"/>
  <c r="C44" i="76" s="1"/>
  <c r="C45" i="76" s="1"/>
  <c r="C46" i="76" s="1"/>
  <c r="C47" i="76" s="1"/>
  <c r="C48" i="76" s="1"/>
  <c r="C49" i="76" s="1"/>
  <c r="C50" i="76" s="1"/>
  <c r="C51" i="76" s="1"/>
  <c r="C52" i="76" s="1"/>
  <c r="C53" i="76" s="1"/>
  <c r="C54" i="76" s="1"/>
  <c r="C55" i="76" s="1"/>
  <c r="C56" i="76" s="1"/>
  <c r="C57" i="76" s="1"/>
  <c r="C58" i="76" s="1"/>
  <c r="C59" i="76" s="1"/>
  <c r="C60" i="76" s="1"/>
  <c r="C61" i="76" s="1"/>
  <c r="C62" i="76" s="1"/>
  <c r="C63" i="76" s="1"/>
  <c r="C64" i="76" s="1"/>
  <c r="C65" i="76" s="1"/>
  <c r="C66" i="76" s="1"/>
  <c r="C67" i="76" s="1"/>
  <c r="C68" i="76" s="1"/>
  <c r="C69" i="76" s="1"/>
  <c r="C70" i="76" s="1"/>
  <c r="C71" i="76" s="1"/>
  <c r="C72" i="76" s="1"/>
  <c r="K11" i="76"/>
  <c r="I11" i="76"/>
  <c r="D8" i="76"/>
  <c r="D90" i="76" s="1"/>
  <c r="P83" i="76"/>
  <c r="P154" i="75"/>
  <c r="O154" i="75"/>
  <c r="M154" i="75"/>
  <c r="P153" i="75"/>
  <c r="O153" i="75"/>
  <c r="M153" i="75"/>
  <c r="P152" i="75"/>
  <c r="O152" i="75"/>
  <c r="M152" i="75"/>
  <c r="P151" i="75"/>
  <c r="O151" i="75"/>
  <c r="M151" i="75"/>
  <c r="P150" i="75"/>
  <c r="O150" i="75"/>
  <c r="M150" i="75"/>
  <c r="P149" i="75"/>
  <c r="O149" i="75"/>
  <c r="M149" i="75"/>
  <c r="P148" i="75"/>
  <c r="O148" i="75"/>
  <c r="M148" i="75"/>
  <c r="P147" i="75"/>
  <c r="O147" i="75"/>
  <c r="M147" i="75"/>
  <c r="P146" i="75"/>
  <c r="O146" i="75"/>
  <c r="M146" i="75"/>
  <c r="P145" i="75"/>
  <c r="O145" i="75"/>
  <c r="M145" i="75"/>
  <c r="P144" i="75"/>
  <c r="O144" i="75"/>
  <c r="M144" i="75"/>
  <c r="P143" i="75"/>
  <c r="O143" i="75"/>
  <c r="M143" i="75"/>
  <c r="P142" i="75"/>
  <c r="O142" i="75"/>
  <c r="M142" i="75"/>
  <c r="P141" i="75"/>
  <c r="O141" i="75"/>
  <c r="M141" i="75"/>
  <c r="P140" i="75"/>
  <c r="O140" i="75"/>
  <c r="M140" i="75"/>
  <c r="P139" i="75"/>
  <c r="O139" i="75"/>
  <c r="M139" i="75"/>
  <c r="P138" i="75"/>
  <c r="O138" i="75"/>
  <c r="M138" i="75"/>
  <c r="P137" i="75"/>
  <c r="O137" i="75"/>
  <c r="M137" i="75"/>
  <c r="P136" i="75"/>
  <c r="O136" i="75"/>
  <c r="M136" i="75"/>
  <c r="P135" i="75"/>
  <c r="O135" i="75"/>
  <c r="M135" i="75"/>
  <c r="P134" i="75"/>
  <c r="O134" i="75"/>
  <c r="M134" i="75"/>
  <c r="P133" i="75"/>
  <c r="O133" i="75"/>
  <c r="M133" i="75"/>
  <c r="P132" i="75"/>
  <c r="O132" i="75"/>
  <c r="M132" i="75"/>
  <c r="P131" i="75"/>
  <c r="O131" i="75"/>
  <c r="M131" i="75"/>
  <c r="O130" i="75"/>
  <c r="M130" i="75"/>
  <c r="O129" i="75"/>
  <c r="M129" i="75"/>
  <c r="O128" i="75"/>
  <c r="M128" i="75"/>
  <c r="O127" i="75"/>
  <c r="M127" i="75"/>
  <c r="O126" i="75"/>
  <c r="M126" i="75"/>
  <c r="O125" i="75"/>
  <c r="M125" i="75"/>
  <c r="O124" i="75"/>
  <c r="M124" i="75"/>
  <c r="O123" i="75"/>
  <c r="M123" i="75"/>
  <c r="O122" i="75"/>
  <c r="M122" i="75"/>
  <c r="O121" i="75"/>
  <c r="M121" i="75"/>
  <c r="O120" i="75"/>
  <c r="M120" i="75"/>
  <c r="O119" i="75"/>
  <c r="M119" i="75"/>
  <c r="O118" i="75"/>
  <c r="M118" i="75"/>
  <c r="O117" i="75"/>
  <c r="M117" i="75"/>
  <c r="O116" i="75"/>
  <c r="M116" i="75"/>
  <c r="O115" i="75"/>
  <c r="M115" i="75"/>
  <c r="O114" i="75"/>
  <c r="M114" i="75"/>
  <c r="O113" i="75"/>
  <c r="M113" i="75"/>
  <c r="O112" i="75"/>
  <c r="M112" i="75"/>
  <c r="O111" i="75"/>
  <c r="M111" i="75"/>
  <c r="O110" i="75"/>
  <c r="M110" i="75"/>
  <c r="O109" i="75"/>
  <c r="M109" i="75"/>
  <c r="O108" i="75"/>
  <c r="M108" i="75"/>
  <c r="O105" i="75"/>
  <c r="O104" i="75"/>
  <c r="O103" i="75"/>
  <c r="D96" i="75"/>
  <c r="L93" i="75"/>
  <c r="J93" i="75"/>
  <c r="D91" i="75"/>
  <c r="D89" i="75"/>
  <c r="N72" i="75"/>
  <c r="L72" i="75"/>
  <c r="N71" i="75"/>
  <c r="L71" i="75"/>
  <c r="N70" i="75"/>
  <c r="L70" i="75"/>
  <c r="N69" i="75"/>
  <c r="L69" i="75"/>
  <c r="N68" i="75"/>
  <c r="L68" i="75"/>
  <c r="N67" i="75"/>
  <c r="L67" i="75"/>
  <c r="N66" i="75"/>
  <c r="L66" i="75"/>
  <c r="N65" i="75"/>
  <c r="L65" i="75"/>
  <c r="N64" i="75"/>
  <c r="L64" i="75"/>
  <c r="N63" i="75"/>
  <c r="L63" i="75"/>
  <c r="N62" i="75"/>
  <c r="L62" i="75"/>
  <c r="N61" i="75"/>
  <c r="L61" i="75"/>
  <c r="N60" i="75"/>
  <c r="L60" i="75"/>
  <c r="N59" i="75"/>
  <c r="L59" i="75"/>
  <c r="N58" i="75"/>
  <c r="L58" i="75"/>
  <c r="N57" i="75"/>
  <c r="L57" i="75"/>
  <c r="N56" i="75"/>
  <c r="L56" i="75"/>
  <c r="N55" i="75"/>
  <c r="L55" i="75"/>
  <c r="N54" i="75"/>
  <c r="L54" i="75"/>
  <c r="N53" i="75"/>
  <c r="L53" i="75"/>
  <c r="N52" i="75"/>
  <c r="L52" i="75"/>
  <c r="N51" i="75"/>
  <c r="L51" i="75"/>
  <c r="N50" i="75"/>
  <c r="L50" i="75"/>
  <c r="N49" i="75"/>
  <c r="L49" i="75"/>
  <c r="N48" i="75"/>
  <c r="L48" i="75"/>
  <c r="N47" i="75"/>
  <c r="L47" i="75"/>
  <c r="N46" i="75"/>
  <c r="L46" i="75"/>
  <c r="N45" i="75"/>
  <c r="L45" i="75"/>
  <c r="N44" i="75"/>
  <c r="L44" i="75"/>
  <c r="N43" i="75"/>
  <c r="L43" i="75"/>
  <c r="N42" i="75"/>
  <c r="L42" i="75"/>
  <c r="N41" i="75"/>
  <c r="L41" i="75"/>
  <c r="N40" i="75"/>
  <c r="L40" i="75"/>
  <c r="N39" i="75"/>
  <c r="L39" i="75"/>
  <c r="N38" i="75"/>
  <c r="L38" i="75"/>
  <c r="N37" i="75"/>
  <c r="L37" i="75"/>
  <c r="N36" i="75"/>
  <c r="L36" i="75"/>
  <c r="N35" i="75"/>
  <c r="L35" i="75"/>
  <c r="N34" i="75"/>
  <c r="L34" i="75"/>
  <c r="N33" i="75"/>
  <c r="L33" i="75"/>
  <c r="N32" i="75"/>
  <c r="L32" i="75"/>
  <c r="N31" i="75"/>
  <c r="L31" i="75"/>
  <c r="N30" i="75"/>
  <c r="L30" i="75"/>
  <c r="N29" i="75"/>
  <c r="L29" i="75"/>
  <c r="N28" i="75"/>
  <c r="L28" i="75"/>
  <c r="N27" i="75"/>
  <c r="L27" i="75"/>
  <c r="N25" i="75"/>
  <c r="N24" i="75"/>
  <c r="N23" i="75"/>
  <c r="N22" i="75"/>
  <c r="N21" i="75"/>
  <c r="C17" i="75"/>
  <c r="C18" i="75" s="1"/>
  <c r="C19" i="75" s="1"/>
  <c r="C20" i="75" s="1"/>
  <c r="C21" i="75" s="1"/>
  <c r="C22" i="75" s="1"/>
  <c r="C23" i="75" s="1"/>
  <c r="C24" i="75" s="1"/>
  <c r="C25" i="75" s="1"/>
  <c r="C26" i="75" s="1"/>
  <c r="C27" i="75" s="1"/>
  <c r="C28" i="75" s="1"/>
  <c r="C29" i="75" s="1"/>
  <c r="C30" i="75" s="1"/>
  <c r="C31" i="75" s="1"/>
  <c r="C32" i="75" s="1"/>
  <c r="C33" i="75" s="1"/>
  <c r="C34" i="75" s="1"/>
  <c r="C35" i="75" s="1"/>
  <c r="C36" i="75" s="1"/>
  <c r="C37" i="75" s="1"/>
  <c r="C38" i="75" s="1"/>
  <c r="C39" i="75" s="1"/>
  <c r="C40" i="75" s="1"/>
  <c r="C41" i="75" s="1"/>
  <c r="C42" i="75" s="1"/>
  <c r="C43" i="75" s="1"/>
  <c r="C44" i="75" s="1"/>
  <c r="C45" i="75" s="1"/>
  <c r="C46" i="75" s="1"/>
  <c r="C47" i="75" s="1"/>
  <c r="C48" i="75" s="1"/>
  <c r="C49" i="75" s="1"/>
  <c r="C50" i="75" s="1"/>
  <c r="C51" i="75" s="1"/>
  <c r="C52" i="75" s="1"/>
  <c r="C53" i="75" s="1"/>
  <c r="C54" i="75" s="1"/>
  <c r="C55" i="75" s="1"/>
  <c r="C56" i="75" s="1"/>
  <c r="C57" i="75" s="1"/>
  <c r="C58" i="75" s="1"/>
  <c r="C59" i="75" s="1"/>
  <c r="C60" i="75" s="1"/>
  <c r="C61" i="75" s="1"/>
  <c r="C62" i="75" s="1"/>
  <c r="C63" i="75" s="1"/>
  <c r="C64" i="75" s="1"/>
  <c r="C65" i="75" s="1"/>
  <c r="C66" i="75" s="1"/>
  <c r="C67" i="75" s="1"/>
  <c r="C68" i="75" s="1"/>
  <c r="C69" i="75" s="1"/>
  <c r="C70" i="75" s="1"/>
  <c r="C71" i="75" s="1"/>
  <c r="C72" i="75" s="1"/>
  <c r="K11" i="75"/>
  <c r="I11" i="75"/>
  <c r="D8" i="75"/>
  <c r="D90" i="75" s="1"/>
  <c r="P83" i="75"/>
  <c r="P154" i="74"/>
  <c r="O154" i="74"/>
  <c r="M154" i="74"/>
  <c r="P153" i="74"/>
  <c r="O153" i="74"/>
  <c r="M153" i="74"/>
  <c r="P152" i="74"/>
  <c r="O152" i="74"/>
  <c r="M152" i="74"/>
  <c r="P151" i="74"/>
  <c r="O151" i="74"/>
  <c r="M151" i="74"/>
  <c r="P150" i="74"/>
  <c r="O150" i="74"/>
  <c r="M150" i="74"/>
  <c r="P149" i="74"/>
  <c r="O149" i="74"/>
  <c r="M149" i="74"/>
  <c r="P148" i="74"/>
  <c r="O148" i="74"/>
  <c r="M148" i="74"/>
  <c r="P147" i="74"/>
  <c r="O147" i="74"/>
  <c r="M147" i="74"/>
  <c r="P146" i="74"/>
  <c r="O146" i="74"/>
  <c r="M146" i="74"/>
  <c r="P145" i="74"/>
  <c r="O145" i="74"/>
  <c r="M145" i="74"/>
  <c r="P144" i="74"/>
  <c r="O144" i="74"/>
  <c r="M144" i="74"/>
  <c r="P143" i="74"/>
  <c r="O143" i="74"/>
  <c r="M143" i="74"/>
  <c r="P142" i="74"/>
  <c r="O142" i="74"/>
  <c r="M142" i="74"/>
  <c r="P141" i="74"/>
  <c r="O141" i="74"/>
  <c r="M141" i="74"/>
  <c r="P140" i="74"/>
  <c r="O140" i="74"/>
  <c r="M140" i="74"/>
  <c r="P139" i="74"/>
  <c r="O139" i="74"/>
  <c r="M139" i="74"/>
  <c r="P138" i="74"/>
  <c r="O138" i="74"/>
  <c r="M138" i="74"/>
  <c r="P137" i="74"/>
  <c r="O137" i="74"/>
  <c r="M137" i="74"/>
  <c r="P136" i="74"/>
  <c r="O136" i="74"/>
  <c r="M136" i="74"/>
  <c r="P135" i="74"/>
  <c r="O135" i="74"/>
  <c r="M135" i="74"/>
  <c r="P134" i="74"/>
  <c r="O134" i="74"/>
  <c r="M134" i="74"/>
  <c r="P133" i="74"/>
  <c r="O133" i="74"/>
  <c r="M133" i="74"/>
  <c r="P132" i="74"/>
  <c r="O132" i="74"/>
  <c r="M132" i="74"/>
  <c r="P131" i="74"/>
  <c r="O131" i="74"/>
  <c r="M131" i="74"/>
  <c r="O130" i="74"/>
  <c r="M130" i="74"/>
  <c r="O129" i="74"/>
  <c r="M129" i="74"/>
  <c r="O128" i="74"/>
  <c r="M128" i="74"/>
  <c r="O127" i="74"/>
  <c r="M127" i="74"/>
  <c r="O126" i="74"/>
  <c r="M126" i="74"/>
  <c r="O125" i="74"/>
  <c r="M125" i="74"/>
  <c r="O124" i="74"/>
  <c r="M124" i="74"/>
  <c r="O123" i="74"/>
  <c r="M123" i="74"/>
  <c r="O122" i="74"/>
  <c r="M122" i="74"/>
  <c r="O121" i="74"/>
  <c r="M121" i="74"/>
  <c r="O120" i="74"/>
  <c r="M120" i="74"/>
  <c r="O119" i="74"/>
  <c r="M119" i="74"/>
  <c r="O118" i="74"/>
  <c r="M118" i="74"/>
  <c r="O117" i="74"/>
  <c r="M117" i="74"/>
  <c r="O116" i="74"/>
  <c r="M116" i="74"/>
  <c r="O115" i="74"/>
  <c r="M115" i="74"/>
  <c r="O114" i="74"/>
  <c r="M114" i="74"/>
  <c r="O113" i="74"/>
  <c r="M113" i="74"/>
  <c r="O110" i="74"/>
  <c r="O109" i="74"/>
  <c r="O108" i="74"/>
  <c r="O107" i="74"/>
  <c r="O102" i="74"/>
  <c r="M102" i="74"/>
  <c r="O101" i="74"/>
  <c r="M101" i="74"/>
  <c r="O100" i="74"/>
  <c r="M100" i="74"/>
  <c r="O99" i="74"/>
  <c r="M99" i="74"/>
  <c r="D96" i="74"/>
  <c r="L93" i="74"/>
  <c r="J93" i="74"/>
  <c r="D91" i="74"/>
  <c r="D89" i="74"/>
  <c r="N72" i="74"/>
  <c r="L72" i="74"/>
  <c r="N71" i="74"/>
  <c r="L71" i="74"/>
  <c r="N70" i="74"/>
  <c r="L70" i="74"/>
  <c r="N69" i="74"/>
  <c r="L69" i="74"/>
  <c r="N68" i="74"/>
  <c r="L68" i="74"/>
  <c r="N67" i="74"/>
  <c r="L67" i="74"/>
  <c r="N66" i="74"/>
  <c r="L66" i="74"/>
  <c r="N65" i="74"/>
  <c r="L65" i="74"/>
  <c r="N64" i="74"/>
  <c r="L64" i="74"/>
  <c r="N63" i="74"/>
  <c r="L63" i="74"/>
  <c r="N62" i="74"/>
  <c r="L62" i="74"/>
  <c r="N61" i="74"/>
  <c r="L61" i="74"/>
  <c r="N60" i="74"/>
  <c r="L60" i="74"/>
  <c r="N59" i="74"/>
  <c r="L59" i="74"/>
  <c r="N58" i="74"/>
  <c r="L58" i="74"/>
  <c r="N57" i="74"/>
  <c r="L57" i="74"/>
  <c r="N56" i="74"/>
  <c r="L56" i="74"/>
  <c r="N55" i="74"/>
  <c r="L55" i="74"/>
  <c r="N54" i="74"/>
  <c r="L54" i="74"/>
  <c r="N53" i="74"/>
  <c r="L53" i="74"/>
  <c r="N52" i="74"/>
  <c r="L52" i="74"/>
  <c r="N51" i="74"/>
  <c r="L51" i="74"/>
  <c r="N50" i="74"/>
  <c r="L50" i="74"/>
  <c r="N49" i="74"/>
  <c r="L49" i="74"/>
  <c r="N48" i="74"/>
  <c r="L48" i="74"/>
  <c r="N47" i="74"/>
  <c r="L47" i="74"/>
  <c r="N46" i="74"/>
  <c r="L46" i="74"/>
  <c r="N45" i="74"/>
  <c r="L45" i="74"/>
  <c r="N44" i="74"/>
  <c r="L44" i="74"/>
  <c r="N43" i="74"/>
  <c r="L43" i="74"/>
  <c r="N42" i="74"/>
  <c r="L42" i="74"/>
  <c r="N41" i="74"/>
  <c r="L41" i="74"/>
  <c r="N40" i="74"/>
  <c r="L40" i="74"/>
  <c r="N39" i="74"/>
  <c r="L39" i="74"/>
  <c r="N38" i="74"/>
  <c r="L38" i="74"/>
  <c r="N37" i="74"/>
  <c r="L37" i="74"/>
  <c r="N36" i="74"/>
  <c r="L36" i="74"/>
  <c r="N35" i="74"/>
  <c r="L35" i="74"/>
  <c r="N34" i="74"/>
  <c r="L34" i="74"/>
  <c r="N33" i="74"/>
  <c r="L33" i="74"/>
  <c r="N32" i="74"/>
  <c r="L32" i="74"/>
  <c r="N30" i="74"/>
  <c r="N29" i="74"/>
  <c r="N28" i="74"/>
  <c r="N27" i="74"/>
  <c r="N26" i="74"/>
  <c r="N25" i="74"/>
  <c r="C17" i="74"/>
  <c r="C18" i="74" s="1"/>
  <c r="C19" i="74" s="1"/>
  <c r="C20" i="74" s="1"/>
  <c r="C21" i="74" s="1"/>
  <c r="C22" i="74" s="1"/>
  <c r="C23" i="74" s="1"/>
  <c r="C24" i="74" s="1"/>
  <c r="C25" i="74" s="1"/>
  <c r="C26" i="74" s="1"/>
  <c r="C27" i="74" s="1"/>
  <c r="C28" i="74" s="1"/>
  <c r="C29" i="74" s="1"/>
  <c r="C30" i="74" s="1"/>
  <c r="C31" i="74" s="1"/>
  <c r="C32" i="74" s="1"/>
  <c r="C33" i="74" s="1"/>
  <c r="C34" i="74" s="1"/>
  <c r="C35" i="74" s="1"/>
  <c r="C36" i="74" s="1"/>
  <c r="C37" i="74" s="1"/>
  <c r="C38" i="74" s="1"/>
  <c r="C39" i="74" s="1"/>
  <c r="C40" i="74" s="1"/>
  <c r="C41" i="74" s="1"/>
  <c r="C42" i="74" s="1"/>
  <c r="C43" i="74" s="1"/>
  <c r="C44" i="74" s="1"/>
  <c r="C45" i="74" s="1"/>
  <c r="C46" i="74" s="1"/>
  <c r="C47" i="74" s="1"/>
  <c r="C48" i="74" s="1"/>
  <c r="C49" i="74" s="1"/>
  <c r="C50" i="74" s="1"/>
  <c r="C51" i="74" s="1"/>
  <c r="C52" i="74" s="1"/>
  <c r="C53" i="74" s="1"/>
  <c r="C54" i="74" s="1"/>
  <c r="C55" i="74" s="1"/>
  <c r="C56" i="74" s="1"/>
  <c r="C57" i="74" s="1"/>
  <c r="C58" i="74" s="1"/>
  <c r="C59" i="74" s="1"/>
  <c r="C60" i="74" s="1"/>
  <c r="C61" i="74" s="1"/>
  <c r="C62" i="74" s="1"/>
  <c r="C63" i="74" s="1"/>
  <c r="C64" i="74" s="1"/>
  <c r="C65" i="74" s="1"/>
  <c r="C66" i="74" s="1"/>
  <c r="C67" i="74" s="1"/>
  <c r="C68" i="74" s="1"/>
  <c r="C69" i="74" s="1"/>
  <c r="C70" i="74" s="1"/>
  <c r="C71" i="74" s="1"/>
  <c r="C72" i="74" s="1"/>
  <c r="K11" i="74"/>
  <c r="I11" i="74"/>
  <c r="D8" i="74"/>
  <c r="D90" i="74" s="1"/>
  <c r="P83" i="74"/>
  <c r="P154" i="73"/>
  <c r="O154" i="73"/>
  <c r="M154" i="73"/>
  <c r="P153" i="73"/>
  <c r="O153" i="73"/>
  <c r="M153" i="73"/>
  <c r="P152" i="73"/>
  <c r="O152" i="73"/>
  <c r="M152" i="73"/>
  <c r="P151" i="73"/>
  <c r="O151" i="73"/>
  <c r="M151" i="73"/>
  <c r="P150" i="73"/>
  <c r="O150" i="73"/>
  <c r="M150" i="73"/>
  <c r="P149" i="73"/>
  <c r="O149" i="73"/>
  <c r="M149" i="73"/>
  <c r="P148" i="73"/>
  <c r="O148" i="73"/>
  <c r="M148" i="73"/>
  <c r="P147" i="73"/>
  <c r="O147" i="73"/>
  <c r="M147" i="73"/>
  <c r="P146" i="73"/>
  <c r="O146" i="73"/>
  <c r="M146" i="73"/>
  <c r="P145" i="73"/>
  <c r="O145" i="73"/>
  <c r="M145" i="73"/>
  <c r="P144" i="73"/>
  <c r="O144" i="73"/>
  <c r="M144" i="73"/>
  <c r="P143" i="73"/>
  <c r="O143" i="73"/>
  <c r="M143" i="73"/>
  <c r="P142" i="73"/>
  <c r="O142" i="73"/>
  <c r="M142" i="73"/>
  <c r="P141" i="73"/>
  <c r="O141" i="73"/>
  <c r="M141" i="73"/>
  <c r="P140" i="73"/>
  <c r="O140" i="73"/>
  <c r="M140" i="73"/>
  <c r="P139" i="73"/>
  <c r="O139" i="73"/>
  <c r="M139" i="73"/>
  <c r="P138" i="73"/>
  <c r="O138" i="73"/>
  <c r="M138" i="73"/>
  <c r="P137" i="73"/>
  <c r="O137" i="73"/>
  <c r="M137" i="73"/>
  <c r="P136" i="73"/>
  <c r="O136" i="73"/>
  <c r="M136" i="73"/>
  <c r="P135" i="73"/>
  <c r="O135" i="73"/>
  <c r="M135" i="73"/>
  <c r="P134" i="73"/>
  <c r="O134" i="73"/>
  <c r="M134" i="73"/>
  <c r="P133" i="73"/>
  <c r="O133" i="73"/>
  <c r="M133" i="73"/>
  <c r="P132" i="73"/>
  <c r="O132" i="73"/>
  <c r="M132" i="73"/>
  <c r="P131" i="73"/>
  <c r="O131" i="73"/>
  <c r="M131" i="73"/>
  <c r="O130" i="73"/>
  <c r="M130" i="73"/>
  <c r="O129" i="73"/>
  <c r="M129" i="73"/>
  <c r="O128" i="73"/>
  <c r="M128" i="73"/>
  <c r="O127" i="73"/>
  <c r="M127" i="73"/>
  <c r="O126" i="73"/>
  <c r="M126" i="73"/>
  <c r="O125" i="73"/>
  <c r="M125" i="73"/>
  <c r="O124" i="73"/>
  <c r="M124" i="73"/>
  <c r="O123" i="73"/>
  <c r="M123" i="73"/>
  <c r="O122" i="73"/>
  <c r="M122" i="73"/>
  <c r="O121" i="73"/>
  <c r="M121" i="73"/>
  <c r="O120" i="73"/>
  <c r="M120" i="73"/>
  <c r="O119" i="73"/>
  <c r="M119" i="73"/>
  <c r="O118" i="73"/>
  <c r="M118" i="73"/>
  <c r="O117" i="73"/>
  <c r="M117" i="73"/>
  <c r="O116" i="73"/>
  <c r="M116" i="73"/>
  <c r="O115" i="73"/>
  <c r="M115" i="73"/>
  <c r="O114" i="73"/>
  <c r="M114" i="73"/>
  <c r="O113" i="73"/>
  <c r="M113" i="73"/>
  <c r="O110" i="73"/>
  <c r="O109" i="73"/>
  <c r="O108" i="73"/>
  <c r="O103" i="73"/>
  <c r="M103" i="73"/>
  <c r="O102" i="73"/>
  <c r="M102" i="73"/>
  <c r="O101" i="73"/>
  <c r="M101" i="73"/>
  <c r="O100" i="73"/>
  <c r="M100" i="73"/>
  <c r="O99" i="73"/>
  <c r="M99" i="73"/>
  <c r="D96" i="73"/>
  <c r="L93" i="73"/>
  <c r="J93" i="73"/>
  <c r="D91" i="73"/>
  <c r="D89" i="73"/>
  <c r="N72" i="73"/>
  <c r="L72" i="73"/>
  <c r="N71" i="73"/>
  <c r="L71" i="73"/>
  <c r="N70" i="73"/>
  <c r="L70" i="73"/>
  <c r="N69" i="73"/>
  <c r="L69" i="73"/>
  <c r="N68" i="73"/>
  <c r="L68" i="73"/>
  <c r="N67" i="73"/>
  <c r="L67" i="73"/>
  <c r="N66" i="73"/>
  <c r="L66" i="73"/>
  <c r="N65" i="73"/>
  <c r="L65" i="73"/>
  <c r="N64" i="73"/>
  <c r="L64" i="73"/>
  <c r="N63" i="73"/>
  <c r="L63" i="73"/>
  <c r="N62" i="73"/>
  <c r="L62" i="73"/>
  <c r="N61" i="73"/>
  <c r="L61" i="73"/>
  <c r="N60" i="73"/>
  <c r="L60" i="73"/>
  <c r="N59" i="73"/>
  <c r="L59" i="73"/>
  <c r="N58" i="73"/>
  <c r="L58" i="73"/>
  <c r="N57" i="73"/>
  <c r="L57" i="73"/>
  <c r="N56" i="73"/>
  <c r="L56" i="73"/>
  <c r="N55" i="73"/>
  <c r="L55" i="73"/>
  <c r="N54" i="73"/>
  <c r="L54" i="73"/>
  <c r="N53" i="73"/>
  <c r="L53" i="73"/>
  <c r="N52" i="73"/>
  <c r="L52" i="73"/>
  <c r="N51" i="73"/>
  <c r="L51" i="73"/>
  <c r="N50" i="73"/>
  <c r="L50" i="73"/>
  <c r="N49" i="73"/>
  <c r="L49" i="73"/>
  <c r="N48" i="73"/>
  <c r="L48" i="73"/>
  <c r="N47" i="73"/>
  <c r="L47" i="73"/>
  <c r="N46" i="73"/>
  <c r="L46" i="73"/>
  <c r="N45" i="73"/>
  <c r="L45" i="73"/>
  <c r="N44" i="73"/>
  <c r="L44" i="73"/>
  <c r="N43" i="73"/>
  <c r="L43" i="73"/>
  <c r="N42" i="73"/>
  <c r="L42" i="73"/>
  <c r="N41" i="73"/>
  <c r="L41" i="73"/>
  <c r="N40" i="73"/>
  <c r="L40" i="73"/>
  <c r="N39" i="73"/>
  <c r="L39" i="73"/>
  <c r="N38" i="73"/>
  <c r="L38" i="73"/>
  <c r="N37" i="73"/>
  <c r="L37" i="73"/>
  <c r="N36" i="73"/>
  <c r="L36" i="73"/>
  <c r="N35" i="73"/>
  <c r="L35" i="73"/>
  <c r="N34" i="73"/>
  <c r="L34" i="73"/>
  <c r="N33" i="73"/>
  <c r="L33" i="73"/>
  <c r="N32" i="73"/>
  <c r="L32" i="73"/>
  <c r="N30" i="73"/>
  <c r="N29" i="73"/>
  <c r="N28" i="73"/>
  <c r="O28" i="73" s="1"/>
  <c r="N27" i="73"/>
  <c r="N26" i="73"/>
  <c r="C17" i="73"/>
  <c r="C18" i="73" s="1"/>
  <c r="C19" i="73" s="1"/>
  <c r="C20" i="73" s="1"/>
  <c r="C21" i="73" s="1"/>
  <c r="C22" i="73" s="1"/>
  <c r="C23" i="73" s="1"/>
  <c r="C24" i="73" s="1"/>
  <c r="C25" i="73" s="1"/>
  <c r="C26" i="73" s="1"/>
  <c r="C27" i="73" s="1"/>
  <c r="C28" i="73" s="1"/>
  <c r="C29" i="73" s="1"/>
  <c r="C30" i="73" s="1"/>
  <c r="C31" i="73" s="1"/>
  <c r="C32" i="73" s="1"/>
  <c r="C33" i="73" s="1"/>
  <c r="C34" i="73" s="1"/>
  <c r="C35" i="73" s="1"/>
  <c r="C36" i="73" s="1"/>
  <c r="C37" i="73" s="1"/>
  <c r="C38" i="73" s="1"/>
  <c r="C39" i="73" s="1"/>
  <c r="C40" i="73" s="1"/>
  <c r="C41" i="73" s="1"/>
  <c r="C42" i="73" s="1"/>
  <c r="C43" i="73" s="1"/>
  <c r="C44" i="73" s="1"/>
  <c r="C45" i="73" s="1"/>
  <c r="C46" i="73" s="1"/>
  <c r="C47" i="73" s="1"/>
  <c r="C48" i="73" s="1"/>
  <c r="C49" i="73" s="1"/>
  <c r="C50" i="73" s="1"/>
  <c r="C51" i="73" s="1"/>
  <c r="C52" i="73" s="1"/>
  <c r="C53" i="73" s="1"/>
  <c r="C54" i="73" s="1"/>
  <c r="C55" i="73" s="1"/>
  <c r="C56" i="73" s="1"/>
  <c r="C57" i="73" s="1"/>
  <c r="C58" i="73" s="1"/>
  <c r="C59" i="73" s="1"/>
  <c r="C60" i="73" s="1"/>
  <c r="C61" i="73" s="1"/>
  <c r="C62" i="73" s="1"/>
  <c r="C63" i="73" s="1"/>
  <c r="C64" i="73" s="1"/>
  <c r="C65" i="73" s="1"/>
  <c r="C66" i="73" s="1"/>
  <c r="C67" i="73" s="1"/>
  <c r="C68" i="73" s="1"/>
  <c r="C69" i="73" s="1"/>
  <c r="C70" i="73" s="1"/>
  <c r="C71" i="73" s="1"/>
  <c r="C72" i="73" s="1"/>
  <c r="K11" i="73"/>
  <c r="I11" i="73"/>
  <c r="P83" i="73"/>
  <c r="P154" i="72"/>
  <c r="O154" i="72"/>
  <c r="M154" i="72"/>
  <c r="P153" i="72"/>
  <c r="O153" i="72"/>
  <c r="M153" i="72"/>
  <c r="P152" i="72"/>
  <c r="O152" i="72"/>
  <c r="M152" i="72"/>
  <c r="P151" i="72"/>
  <c r="O151" i="72"/>
  <c r="M151" i="72"/>
  <c r="P150" i="72"/>
  <c r="O150" i="72"/>
  <c r="M150" i="72"/>
  <c r="P149" i="72"/>
  <c r="O149" i="72"/>
  <c r="M149" i="72"/>
  <c r="P148" i="72"/>
  <c r="O148" i="72"/>
  <c r="M148" i="72"/>
  <c r="P147" i="72"/>
  <c r="O147" i="72"/>
  <c r="M147" i="72"/>
  <c r="P146" i="72"/>
  <c r="O146" i="72"/>
  <c r="M146" i="72"/>
  <c r="P145" i="72"/>
  <c r="O145" i="72"/>
  <c r="M145" i="72"/>
  <c r="P144" i="72"/>
  <c r="O144" i="72"/>
  <c r="M144" i="72"/>
  <c r="P143" i="72"/>
  <c r="O143" i="72"/>
  <c r="M143" i="72"/>
  <c r="P142" i="72"/>
  <c r="O142" i="72"/>
  <c r="M142" i="72"/>
  <c r="P141" i="72"/>
  <c r="O141" i="72"/>
  <c r="M141" i="72"/>
  <c r="P140" i="72"/>
  <c r="O140" i="72"/>
  <c r="M140" i="72"/>
  <c r="P139" i="72"/>
  <c r="O139" i="72"/>
  <c r="M139" i="72"/>
  <c r="P138" i="72"/>
  <c r="O138" i="72"/>
  <c r="M138" i="72"/>
  <c r="P137" i="72"/>
  <c r="O137" i="72"/>
  <c r="M137" i="72"/>
  <c r="P136" i="72"/>
  <c r="O136" i="72"/>
  <c r="M136" i="72"/>
  <c r="P135" i="72"/>
  <c r="O135" i="72"/>
  <c r="M135" i="72"/>
  <c r="P134" i="72"/>
  <c r="O134" i="72"/>
  <c r="M134" i="72"/>
  <c r="P133" i="72"/>
  <c r="O133" i="72"/>
  <c r="M133" i="72"/>
  <c r="P132" i="72"/>
  <c r="O132" i="72"/>
  <c r="M132" i="72"/>
  <c r="P131" i="72"/>
  <c r="O131" i="72"/>
  <c r="M131" i="72"/>
  <c r="O130" i="72"/>
  <c r="M130" i="72"/>
  <c r="O129" i="72"/>
  <c r="M129" i="72"/>
  <c r="O128" i="72"/>
  <c r="M128" i="72"/>
  <c r="O127" i="72"/>
  <c r="M127" i="72"/>
  <c r="O126" i="72"/>
  <c r="M126" i="72"/>
  <c r="O125" i="72"/>
  <c r="M125" i="72"/>
  <c r="O124" i="72"/>
  <c r="M124" i="72"/>
  <c r="O123" i="72"/>
  <c r="M123" i="72"/>
  <c r="O122" i="72"/>
  <c r="M122" i="72"/>
  <c r="O121" i="72"/>
  <c r="M121" i="72"/>
  <c r="O120" i="72"/>
  <c r="M120" i="72"/>
  <c r="O119" i="72"/>
  <c r="M119" i="72"/>
  <c r="O118" i="72"/>
  <c r="M118" i="72"/>
  <c r="O117" i="72"/>
  <c r="M117" i="72"/>
  <c r="O116" i="72"/>
  <c r="M116" i="72"/>
  <c r="O115" i="72"/>
  <c r="M115" i="72"/>
  <c r="O114" i="72"/>
  <c r="M114" i="72"/>
  <c r="O113" i="72"/>
  <c r="M113" i="72"/>
  <c r="O112" i="72"/>
  <c r="M112" i="72"/>
  <c r="O111" i="72"/>
  <c r="M111" i="72"/>
  <c r="O108" i="72"/>
  <c r="O107" i="72"/>
  <c r="O106" i="72"/>
  <c r="O101" i="72"/>
  <c r="M101" i="72"/>
  <c r="O100" i="72"/>
  <c r="M100" i="72"/>
  <c r="O99" i="72"/>
  <c r="M99" i="72"/>
  <c r="D96" i="72"/>
  <c r="L93" i="72"/>
  <c r="J93" i="72"/>
  <c r="D91" i="72"/>
  <c r="D89" i="72"/>
  <c r="N72" i="72"/>
  <c r="L72" i="72"/>
  <c r="N71" i="72"/>
  <c r="L71" i="72"/>
  <c r="N70" i="72"/>
  <c r="L70" i="72"/>
  <c r="N69" i="72"/>
  <c r="L69" i="72"/>
  <c r="N68" i="72"/>
  <c r="L68" i="72"/>
  <c r="N67" i="72"/>
  <c r="L67" i="72"/>
  <c r="N66" i="72"/>
  <c r="L66" i="72"/>
  <c r="N65" i="72"/>
  <c r="L65" i="72"/>
  <c r="N64" i="72"/>
  <c r="L64" i="72"/>
  <c r="N63" i="72"/>
  <c r="L63" i="72"/>
  <c r="N62" i="72"/>
  <c r="L62" i="72"/>
  <c r="N61" i="72"/>
  <c r="L61" i="72"/>
  <c r="N60" i="72"/>
  <c r="L60" i="72"/>
  <c r="N59" i="72"/>
  <c r="L59" i="72"/>
  <c r="N58" i="72"/>
  <c r="L58" i="72"/>
  <c r="N57" i="72"/>
  <c r="L57" i="72"/>
  <c r="N56" i="72"/>
  <c r="L56" i="72"/>
  <c r="N55" i="72"/>
  <c r="L55" i="72"/>
  <c r="N54" i="72"/>
  <c r="L54" i="72"/>
  <c r="N53" i="72"/>
  <c r="L53" i="72"/>
  <c r="N52" i="72"/>
  <c r="L52" i="72"/>
  <c r="N51" i="72"/>
  <c r="L51" i="72"/>
  <c r="N50" i="72"/>
  <c r="L50" i="72"/>
  <c r="N49" i="72"/>
  <c r="L49" i="72"/>
  <c r="N48" i="72"/>
  <c r="L48" i="72"/>
  <c r="N47" i="72"/>
  <c r="L47" i="72"/>
  <c r="N46" i="72"/>
  <c r="L46" i="72"/>
  <c r="N45" i="72"/>
  <c r="L45" i="72"/>
  <c r="N44" i="72"/>
  <c r="L44" i="72"/>
  <c r="N43" i="72"/>
  <c r="L43" i="72"/>
  <c r="N42" i="72"/>
  <c r="L42" i="72"/>
  <c r="N41" i="72"/>
  <c r="L41" i="72"/>
  <c r="N40" i="72"/>
  <c r="L40" i="72"/>
  <c r="N39" i="72"/>
  <c r="L39" i="72"/>
  <c r="N38" i="72"/>
  <c r="L38" i="72"/>
  <c r="N37" i="72"/>
  <c r="L37" i="72"/>
  <c r="N36" i="72"/>
  <c r="L36" i="72"/>
  <c r="N35" i="72"/>
  <c r="L35" i="72"/>
  <c r="N34" i="72"/>
  <c r="L34" i="72"/>
  <c r="N33" i="72"/>
  <c r="L33" i="72"/>
  <c r="N32" i="72"/>
  <c r="L32" i="72"/>
  <c r="N31" i="72"/>
  <c r="L31" i="72"/>
  <c r="N30" i="72"/>
  <c r="L30" i="72"/>
  <c r="N28" i="72"/>
  <c r="N27" i="72"/>
  <c r="N26" i="72"/>
  <c r="N25" i="72"/>
  <c r="N24" i="72"/>
  <c r="O24" i="72" s="1"/>
  <c r="C17" i="72"/>
  <c r="C18" i="72" s="1"/>
  <c r="C19" i="72" s="1"/>
  <c r="C20" i="72" s="1"/>
  <c r="C21" i="72" s="1"/>
  <c r="C22" i="72" s="1"/>
  <c r="C23" i="72" s="1"/>
  <c r="C24" i="72" s="1"/>
  <c r="C25" i="72" s="1"/>
  <c r="C26" i="72" s="1"/>
  <c r="C27" i="72" s="1"/>
  <c r="C28" i="72" s="1"/>
  <c r="C29" i="72" s="1"/>
  <c r="C30" i="72" s="1"/>
  <c r="C31" i="72" s="1"/>
  <c r="C32" i="72" s="1"/>
  <c r="C33" i="72" s="1"/>
  <c r="C34" i="72" s="1"/>
  <c r="C35" i="72" s="1"/>
  <c r="C36" i="72" s="1"/>
  <c r="C37" i="72" s="1"/>
  <c r="C38" i="72" s="1"/>
  <c r="C39" i="72" s="1"/>
  <c r="C40" i="72" s="1"/>
  <c r="C41" i="72" s="1"/>
  <c r="C42" i="72" s="1"/>
  <c r="C43" i="72" s="1"/>
  <c r="C44" i="72" s="1"/>
  <c r="C45" i="72" s="1"/>
  <c r="C46" i="72" s="1"/>
  <c r="C47" i="72" s="1"/>
  <c r="C48" i="72" s="1"/>
  <c r="C49" i="72" s="1"/>
  <c r="C50" i="72" s="1"/>
  <c r="C51" i="72" s="1"/>
  <c r="C52" i="72" s="1"/>
  <c r="C53" i="72" s="1"/>
  <c r="C54" i="72" s="1"/>
  <c r="C55" i="72" s="1"/>
  <c r="C56" i="72" s="1"/>
  <c r="C57" i="72" s="1"/>
  <c r="C58" i="72" s="1"/>
  <c r="C59" i="72" s="1"/>
  <c r="C60" i="72" s="1"/>
  <c r="C61" i="72" s="1"/>
  <c r="C62" i="72" s="1"/>
  <c r="C63" i="72" s="1"/>
  <c r="C64" i="72" s="1"/>
  <c r="C65" i="72" s="1"/>
  <c r="C66" i="72" s="1"/>
  <c r="C67" i="72" s="1"/>
  <c r="C68" i="72" s="1"/>
  <c r="C69" i="72" s="1"/>
  <c r="C70" i="72" s="1"/>
  <c r="C71" i="72" s="1"/>
  <c r="C72" i="72" s="1"/>
  <c r="M17" i="72"/>
  <c r="N17" i="72" s="1"/>
  <c r="K11" i="72"/>
  <c r="I11" i="72"/>
  <c r="P83" i="72"/>
  <c r="P154" i="71"/>
  <c r="O154" i="71"/>
  <c r="M154" i="71"/>
  <c r="P153" i="71"/>
  <c r="O153" i="71"/>
  <c r="M153" i="71"/>
  <c r="P152" i="71"/>
  <c r="O152" i="71"/>
  <c r="M152" i="71"/>
  <c r="P151" i="71"/>
  <c r="O151" i="71"/>
  <c r="M151" i="71"/>
  <c r="P150" i="71"/>
  <c r="O150" i="71"/>
  <c r="M150" i="71"/>
  <c r="P149" i="71"/>
  <c r="O149" i="71"/>
  <c r="M149" i="71"/>
  <c r="P148" i="71"/>
  <c r="O148" i="71"/>
  <c r="M148" i="71"/>
  <c r="P147" i="71"/>
  <c r="O147" i="71"/>
  <c r="M147" i="71"/>
  <c r="P146" i="71"/>
  <c r="O146" i="71"/>
  <c r="M146" i="71"/>
  <c r="P145" i="71"/>
  <c r="O145" i="71"/>
  <c r="M145" i="71"/>
  <c r="P144" i="71"/>
  <c r="O144" i="71"/>
  <c r="M144" i="71"/>
  <c r="P143" i="71"/>
  <c r="O143" i="71"/>
  <c r="M143" i="71"/>
  <c r="P142" i="71"/>
  <c r="O142" i="71"/>
  <c r="M142" i="71"/>
  <c r="P141" i="71"/>
  <c r="O141" i="71"/>
  <c r="M141" i="71"/>
  <c r="P140" i="71"/>
  <c r="O140" i="71"/>
  <c r="M140" i="71"/>
  <c r="P139" i="71"/>
  <c r="O139" i="71"/>
  <c r="M139" i="71"/>
  <c r="P138" i="71"/>
  <c r="O138" i="71"/>
  <c r="M138" i="71"/>
  <c r="P137" i="71"/>
  <c r="O137" i="71"/>
  <c r="M137" i="71"/>
  <c r="P136" i="71"/>
  <c r="O136" i="71"/>
  <c r="M136" i="71"/>
  <c r="P135" i="71"/>
  <c r="O135" i="71"/>
  <c r="M135" i="71"/>
  <c r="P134" i="71"/>
  <c r="O134" i="71"/>
  <c r="M134" i="71"/>
  <c r="P133" i="71"/>
  <c r="O133" i="71"/>
  <c r="M133" i="71"/>
  <c r="P132" i="71"/>
  <c r="O132" i="71"/>
  <c r="M132" i="71"/>
  <c r="P131" i="71"/>
  <c r="O131" i="71"/>
  <c r="M131" i="71"/>
  <c r="O130" i="71"/>
  <c r="M130" i="71"/>
  <c r="O129" i="71"/>
  <c r="M129" i="71"/>
  <c r="O128" i="71"/>
  <c r="M128" i="71"/>
  <c r="O127" i="71"/>
  <c r="M127" i="71"/>
  <c r="O126" i="71"/>
  <c r="M126" i="71"/>
  <c r="O125" i="71"/>
  <c r="M125" i="71"/>
  <c r="O124" i="71"/>
  <c r="M124" i="71"/>
  <c r="O123" i="71"/>
  <c r="M123" i="71"/>
  <c r="O122" i="71"/>
  <c r="M122" i="71"/>
  <c r="O121" i="71"/>
  <c r="M121" i="71"/>
  <c r="O120" i="71"/>
  <c r="M120" i="71"/>
  <c r="O119" i="71"/>
  <c r="M119" i="71"/>
  <c r="O118" i="71"/>
  <c r="M118" i="71"/>
  <c r="O117" i="71"/>
  <c r="M117" i="71"/>
  <c r="O116" i="71"/>
  <c r="M116" i="71"/>
  <c r="O115" i="71"/>
  <c r="M115" i="71"/>
  <c r="O112" i="71"/>
  <c r="O111" i="71"/>
  <c r="O110" i="71"/>
  <c r="O105" i="71"/>
  <c r="M105" i="71"/>
  <c r="O104" i="71"/>
  <c r="M104" i="71"/>
  <c r="O103" i="71"/>
  <c r="M103" i="71"/>
  <c r="O102" i="71"/>
  <c r="M102" i="71"/>
  <c r="O101" i="71"/>
  <c r="M101" i="71"/>
  <c r="O100" i="71"/>
  <c r="M100" i="71"/>
  <c r="O99" i="71"/>
  <c r="M99" i="71"/>
  <c r="D96" i="71"/>
  <c r="L93" i="71"/>
  <c r="J93" i="71"/>
  <c r="D91" i="71"/>
  <c r="D89" i="71"/>
  <c r="N72" i="71"/>
  <c r="L72" i="71"/>
  <c r="N71" i="71"/>
  <c r="L71" i="71"/>
  <c r="N70" i="71"/>
  <c r="L70" i="71"/>
  <c r="N69" i="71"/>
  <c r="L69" i="71"/>
  <c r="N68" i="71"/>
  <c r="L68" i="71"/>
  <c r="N67" i="71"/>
  <c r="L67" i="71"/>
  <c r="N66" i="71"/>
  <c r="L66" i="71"/>
  <c r="N65" i="71"/>
  <c r="L65" i="71"/>
  <c r="N64" i="71"/>
  <c r="L64" i="71"/>
  <c r="N63" i="71"/>
  <c r="L63" i="71"/>
  <c r="N62" i="71"/>
  <c r="L62" i="71"/>
  <c r="N61" i="71"/>
  <c r="L61" i="71"/>
  <c r="N60" i="71"/>
  <c r="L60" i="71"/>
  <c r="N59" i="71"/>
  <c r="L59" i="71"/>
  <c r="N58" i="71"/>
  <c r="L58" i="71"/>
  <c r="N57" i="71"/>
  <c r="L57" i="71"/>
  <c r="N56" i="71"/>
  <c r="L56" i="71"/>
  <c r="N55" i="71"/>
  <c r="L55" i="71"/>
  <c r="N54" i="71"/>
  <c r="L54" i="71"/>
  <c r="N53" i="71"/>
  <c r="L53" i="71"/>
  <c r="N52" i="71"/>
  <c r="L52" i="71"/>
  <c r="N51" i="71"/>
  <c r="L51" i="71"/>
  <c r="N50" i="71"/>
  <c r="L50" i="71"/>
  <c r="N49" i="71"/>
  <c r="L49" i="71"/>
  <c r="N48" i="71"/>
  <c r="L48" i="71"/>
  <c r="N47" i="71"/>
  <c r="L47" i="71"/>
  <c r="N46" i="71"/>
  <c r="L46" i="71"/>
  <c r="N45" i="71"/>
  <c r="L45" i="71"/>
  <c r="N44" i="71"/>
  <c r="L44" i="71"/>
  <c r="N43" i="71"/>
  <c r="L43" i="71"/>
  <c r="N42" i="71"/>
  <c r="L42" i="71"/>
  <c r="N41" i="71"/>
  <c r="L41" i="71"/>
  <c r="N40" i="71"/>
  <c r="L40" i="71"/>
  <c r="N39" i="71"/>
  <c r="L39" i="71"/>
  <c r="N38" i="71"/>
  <c r="L38" i="71"/>
  <c r="N37" i="71"/>
  <c r="L37" i="71"/>
  <c r="N36" i="71"/>
  <c r="L36" i="71"/>
  <c r="N35" i="71"/>
  <c r="L35" i="71"/>
  <c r="N34" i="71"/>
  <c r="L34" i="71"/>
  <c r="N32" i="71"/>
  <c r="N31" i="71"/>
  <c r="N30" i="71"/>
  <c r="N29" i="71"/>
  <c r="N28" i="71"/>
  <c r="O28" i="71" s="1"/>
  <c r="C17" i="71"/>
  <c r="C18" i="71" s="1"/>
  <c r="C19" i="71" s="1"/>
  <c r="C20" i="71" s="1"/>
  <c r="C21" i="71" s="1"/>
  <c r="C22" i="71" s="1"/>
  <c r="C23" i="71" s="1"/>
  <c r="C24" i="71" s="1"/>
  <c r="C25" i="71" s="1"/>
  <c r="C26" i="71" s="1"/>
  <c r="C27" i="71" s="1"/>
  <c r="C28" i="71" s="1"/>
  <c r="C29" i="71" s="1"/>
  <c r="C30" i="71" s="1"/>
  <c r="C31" i="71" s="1"/>
  <c r="C32" i="71" s="1"/>
  <c r="C33" i="71" s="1"/>
  <c r="C34" i="71" s="1"/>
  <c r="C35" i="71" s="1"/>
  <c r="C36" i="71" s="1"/>
  <c r="C37" i="71" s="1"/>
  <c r="C38" i="71" s="1"/>
  <c r="C39" i="71" s="1"/>
  <c r="C40" i="71" s="1"/>
  <c r="C41" i="71" s="1"/>
  <c r="C42" i="71" s="1"/>
  <c r="C43" i="71" s="1"/>
  <c r="C44" i="71" s="1"/>
  <c r="C45" i="71" s="1"/>
  <c r="C46" i="71" s="1"/>
  <c r="C47" i="71" s="1"/>
  <c r="C48" i="71" s="1"/>
  <c r="C49" i="71" s="1"/>
  <c r="C50" i="71" s="1"/>
  <c r="C51" i="71" s="1"/>
  <c r="C52" i="71" s="1"/>
  <c r="C53" i="71" s="1"/>
  <c r="C54" i="71" s="1"/>
  <c r="C55" i="71" s="1"/>
  <c r="C56" i="71" s="1"/>
  <c r="C57" i="71" s="1"/>
  <c r="C58" i="71" s="1"/>
  <c r="C59" i="71" s="1"/>
  <c r="C60" i="71" s="1"/>
  <c r="C61" i="71" s="1"/>
  <c r="C62" i="71" s="1"/>
  <c r="C63" i="71" s="1"/>
  <c r="C64" i="71" s="1"/>
  <c r="C65" i="71" s="1"/>
  <c r="C66" i="71" s="1"/>
  <c r="C67" i="71" s="1"/>
  <c r="C68" i="71" s="1"/>
  <c r="C69" i="71" s="1"/>
  <c r="C70" i="71" s="1"/>
  <c r="C71" i="71" s="1"/>
  <c r="C72" i="71" s="1"/>
  <c r="K11" i="71"/>
  <c r="I11" i="71"/>
  <c r="P83" i="71"/>
  <c r="P154" i="70"/>
  <c r="O154" i="70"/>
  <c r="M154" i="70"/>
  <c r="P153" i="70"/>
  <c r="O153" i="70"/>
  <c r="M153" i="70"/>
  <c r="P152" i="70"/>
  <c r="O152" i="70"/>
  <c r="M152" i="70"/>
  <c r="P151" i="70"/>
  <c r="O151" i="70"/>
  <c r="M151" i="70"/>
  <c r="P150" i="70"/>
  <c r="O150" i="70"/>
  <c r="M150" i="70"/>
  <c r="P149" i="70"/>
  <c r="O149" i="70"/>
  <c r="M149" i="70"/>
  <c r="P148" i="70"/>
  <c r="O148" i="70"/>
  <c r="M148" i="70"/>
  <c r="P147" i="70"/>
  <c r="O147" i="70"/>
  <c r="M147" i="70"/>
  <c r="P146" i="70"/>
  <c r="O146" i="70"/>
  <c r="M146" i="70"/>
  <c r="P145" i="70"/>
  <c r="O145" i="70"/>
  <c r="M145" i="70"/>
  <c r="P144" i="70"/>
  <c r="O144" i="70"/>
  <c r="M144" i="70"/>
  <c r="P143" i="70"/>
  <c r="O143" i="70"/>
  <c r="M143" i="70"/>
  <c r="P142" i="70"/>
  <c r="O142" i="70"/>
  <c r="M142" i="70"/>
  <c r="P141" i="70"/>
  <c r="O141" i="70"/>
  <c r="M141" i="70"/>
  <c r="P140" i="70"/>
  <c r="O140" i="70"/>
  <c r="M140" i="70"/>
  <c r="P139" i="70"/>
  <c r="O139" i="70"/>
  <c r="M139" i="70"/>
  <c r="P138" i="70"/>
  <c r="O138" i="70"/>
  <c r="M138" i="70"/>
  <c r="P137" i="70"/>
  <c r="O137" i="70"/>
  <c r="M137" i="70"/>
  <c r="P136" i="70"/>
  <c r="O136" i="70"/>
  <c r="M136" i="70"/>
  <c r="P135" i="70"/>
  <c r="O135" i="70"/>
  <c r="M135" i="70"/>
  <c r="P134" i="70"/>
  <c r="O134" i="70"/>
  <c r="M134" i="70"/>
  <c r="P133" i="70"/>
  <c r="O133" i="70"/>
  <c r="M133" i="70"/>
  <c r="P132" i="70"/>
  <c r="O132" i="70"/>
  <c r="M132" i="70"/>
  <c r="P131" i="70"/>
  <c r="O131" i="70"/>
  <c r="M131" i="70"/>
  <c r="O130" i="70"/>
  <c r="M130" i="70"/>
  <c r="O129" i="70"/>
  <c r="M129" i="70"/>
  <c r="O128" i="70"/>
  <c r="M128" i="70"/>
  <c r="O127" i="70"/>
  <c r="M127" i="70"/>
  <c r="O126" i="70"/>
  <c r="M126" i="70"/>
  <c r="O125" i="70"/>
  <c r="M125" i="70"/>
  <c r="O124" i="70"/>
  <c r="M124" i="70"/>
  <c r="O123" i="70"/>
  <c r="M123" i="70"/>
  <c r="O122" i="70"/>
  <c r="M122" i="70"/>
  <c r="O121" i="70"/>
  <c r="M121" i="70"/>
  <c r="O120" i="70"/>
  <c r="M120" i="70"/>
  <c r="O119" i="70"/>
  <c r="M119" i="70"/>
  <c r="O118" i="70"/>
  <c r="M118" i="70"/>
  <c r="O117" i="70"/>
  <c r="M117" i="70"/>
  <c r="O116" i="70"/>
  <c r="M116" i="70"/>
  <c r="O113" i="70"/>
  <c r="O112" i="70"/>
  <c r="O111" i="70"/>
  <c r="O106" i="70"/>
  <c r="M106" i="70"/>
  <c r="O105" i="70"/>
  <c r="M105" i="70"/>
  <c r="O104" i="70"/>
  <c r="M104" i="70"/>
  <c r="O103" i="70"/>
  <c r="M103" i="70"/>
  <c r="O102" i="70"/>
  <c r="M102" i="70"/>
  <c r="O101" i="70"/>
  <c r="M101" i="70"/>
  <c r="O100" i="70"/>
  <c r="M100" i="70"/>
  <c r="O99" i="70"/>
  <c r="M99" i="70"/>
  <c r="D96" i="70"/>
  <c r="L93" i="70"/>
  <c r="J93" i="70"/>
  <c r="D91" i="70"/>
  <c r="D89" i="70"/>
  <c r="N72" i="70"/>
  <c r="L72" i="70"/>
  <c r="N71" i="70"/>
  <c r="L71" i="70"/>
  <c r="N70" i="70"/>
  <c r="L70" i="70"/>
  <c r="N69" i="70"/>
  <c r="L69" i="70"/>
  <c r="N68" i="70"/>
  <c r="L68" i="70"/>
  <c r="N67" i="70"/>
  <c r="L67" i="70"/>
  <c r="N66" i="70"/>
  <c r="L66" i="70"/>
  <c r="N65" i="70"/>
  <c r="L65" i="70"/>
  <c r="N64" i="70"/>
  <c r="L64" i="70"/>
  <c r="N63" i="70"/>
  <c r="L63" i="70"/>
  <c r="N62" i="70"/>
  <c r="L62" i="70"/>
  <c r="N61" i="70"/>
  <c r="L61" i="70"/>
  <c r="N60" i="70"/>
  <c r="L60" i="70"/>
  <c r="N59" i="70"/>
  <c r="L59" i="70"/>
  <c r="N58" i="70"/>
  <c r="L58" i="70"/>
  <c r="N57" i="70"/>
  <c r="L57" i="70"/>
  <c r="N56" i="70"/>
  <c r="L56" i="70"/>
  <c r="N55" i="70"/>
  <c r="L55" i="70"/>
  <c r="N54" i="70"/>
  <c r="L54" i="70"/>
  <c r="N53" i="70"/>
  <c r="L53" i="70"/>
  <c r="N52" i="70"/>
  <c r="L52" i="70"/>
  <c r="N51" i="70"/>
  <c r="L51" i="70"/>
  <c r="N50" i="70"/>
  <c r="L50" i="70"/>
  <c r="N49" i="70"/>
  <c r="L49" i="70"/>
  <c r="N48" i="70"/>
  <c r="L48" i="70"/>
  <c r="N47" i="70"/>
  <c r="L47" i="70"/>
  <c r="N46" i="70"/>
  <c r="L46" i="70"/>
  <c r="N45" i="70"/>
  <c r="L45" i="70"/>
  <c r="N44" i="70"/>
  <c r="L44" i="70"/>
  <c r="N43" i="70"/>
  <c r="L43" i="70"/>
  <c r="N42" i="70"/>
  <c r="L42" i="70"/>
  <c r="N41" i="70"/>
  <c r="L41" i="70"/>
  <c r="N40" i="70"/>
  <c r="L40" i="70"/>
  <c r="N39" i="70"/>
  <c r="L39" i="70"/>
  <c r="N38" i="70"/>
  <c r="L38" i="70"/>
  <c r="N37" i="70"/>
  <c r="L37" i="70"/>
  <c r="N36" i="70"/>
  <c r="L36" i="70"/>
  <c r="N35" i="70"/>
  <c r="L35" i="70"/>
  <c r="N33" i="70"/>
  <c r="N32" i="70"/>
  <c r="N31" i="70"/>
  <c r="N30" i="70"/>
  <c r="O30" i="70" s="1"/>
  <c r="N29" i="70"/>
  <c r="O29" i="70" s="1"/>
  <c r="C17" i="70"/>
  <c r="C18" i="70" s="1"/>
  <c r="C19" i="70" s="1"/>
  <c r="C20" i="70" s="1"/>
  <c r="C21" i="70" s="1"/>
  <c r="C22" i="70" s="1"/>
  <c r="C23" i="70" s="1"/>
  <c r="C24" i="70" s="1"/>
  <c r="C25" i="70" s="1"/>
  <c r="C26" i="70" s="1"/>
  <c r="C27" i="70" s="1"/>
  <c r="C28" i="70" s="1"/>
  <c r="C29" i="70" s="1"/>
  <c r="C30" i="70" s="1"/>
  <c r="C31" i="70" s="1"/>
  <c r="C32" i="70" s="1"/>
  <c r="C33" i="70" s="1"/>
  <c r="C34" i="70" s="1"/>
  <c r="C35" i="70" s="1"/>
  <c r="C36" i="70" s="1"/>
  <c r="C37" i="70" s="1"/>
  <c r="C38" i="70" s="1"/>
  <c r="C39" i="70" s="1"/>
  <c r="C40" i="70" s="1"/>
  <c r="C41" i="70" s="1"/>
  <c r="C42" i="70" s="1"/>
  <c r="C43" i="70" s="1"/>
  <c r="C44" i="70" s="1"/>
  <c r="C45" i="70" s="1"/>
  <c r="C46" i="70" s="1"/>
  <c r="C47" i="70" s="1"/>
  <c r="C48" i="70" s="1"/>
  <c r="C49" i="70" s="1"/>
  <c r="C50" i="70" s="1"/>
  <c r="C51" i="70" s="1"/>
  <c r="C52" i="70" s="1"/>
  <c r="C53" i="70" s="1"/>
  <c r="C54" i="70" s="1"/>
  <c r="C55" i="70" s="1"/>
  <c r="C56" i="70" s="1"/>
  <c r="C57" i="70" s="1"/>
  <c r="C58" i="70" s="1"/>
  <c r="C59" i="70" s="1"/>
  <c r="C60" i="70" s="1"/>
  <c r="C61" i="70" s="1"/>
  <c r="C62" i="70" s="1"/>
  <c r="C63" i="70" s="1"/>
  <c r="C64" i="70" s="1"/>
  <c r="C65" i="70" s="1"/>
  <c r="C66" i="70" s="1"/>
  <c r="C67" i="70" s="1"/>
  <c r="C68" i="70" s="1"/>
  <c r="C69" i="70" s="1"/>
  <c r="C70" i="70" s="1"/>
  <c r="C71" i="70" s="1"/>
  <c r="C72" i="70" s="1"/>
  <c r="K11" i="70"/>
  <c r="I11" i="70"/>
  <c r="P83" i="70"/>
  <c r="D96" i="69"/>
  <c r="P154" i="69"/>
  <c r="O154" i="69"/>
  <c r="M154" i="69"/>
  <c r="P153" i="69"/>
  <c r="O153" i="69"/>
  <c r="M153" i="69"/>
  <c r="P152" i="69"/>
  <c r="O152" i="69"/>
  <c r="M152" i="69"/>
  <c r="P151" i="69"/>
  <c r="O151" i="69"/>
  <c r="M151" i="69"/>
  <c r="P150" i="69"/>
  <c r="O150" i="69"/>
  <c r="M150" i="69"/>
  <c r="P149" i="69"/>
  <c r="O149" i="69"/>
  <c r="M149" i="69"/>
  <c r="P148" i="69"/>
  <c r="O148" i="69"/>
  <c r="M148" i="69"/>
  <c r="P147" i="69"/>
  <c r="O147" i="69"/>
  <c r="M147" i="69"/>
  <c r="P146" i="69"/>
  <c r="O146" i="69"/>
  <c r="M146" i="69"/>
  <c r="P145" i="69"/>
  <c r="O145" i="69"/>
  <c r="M145" i="69"/>
  <c r="P144" i="69"/>
  <c r="O144" i="69"/>
  <c r="M144" i="69"/>
  <c r="P143" i="69"/>
  <c r="O143" i="69"/>
  <c r="M143" i="69"/>
  <c r="P142" i="69"/>
  <c r="O142" i="69"/>
  <c r="M142" i="69"/>
  <c r="P141" i="69"/>
  <c r="O141" i="69"/>
  <c r="M141" i="69"/>
  <c r="P140" i="69"/>
  <c r="O140" i="69"/>
  <c r="M140" i="69"/>
  <c r="P139" i="69"/>
  <c r="O139" i="69"/>
  <c r="M139" i="69"/>
  <c r="P138" i="69"/>
  <c r="O138" i="69"/>
  <c r="M138" i="69"/>
  <c r="P137" i="69"/>
  <c r="O137" i="69"/>
  <c r="M137" i="69"/>
  <c r="P136" i="69"/>
  <c r="O136" i="69"/>
  <c r="M136" i="69"/>
  <c r="P135" i="69"/>
  <c r="O135" i="69"/>
  <c r="M135" i="69"/>
  <c r="P134" i="69"/>
  <c r="O134" i="69"/>
  <c r="M134" i="69"/>
  <c r="P133" i="69"/>
  <c r="O133" i="69"/>
  <c r="M133" i="69"/>
  <c r="P132" i="69"/>
  <c r="O132" i="69"/>
  <c r="M132" i="69"/>
  <c r="P131" i="69"/>
  <c r="O131" i="69"/>
  <c r="M131" i="69"/>
  <c r="O130" i="69"/>
  <c r="M130" i="69"/>
  <c r="O129" i="69"/>
  <c r="M129" i="69"/>
  <c r="O128" i="69"/>
  <c r="M128" i="69"/>
  <c r="O127" i="69"/>
  <c r="M127" i="69"/>
  <c r="O126" i="69"/>
  <c r="M126" i="69"/>
  <c r="O125" i="69"/>
  <c r="M125" i="69"/>
  <c r="O124" i="69"/>
  <c r="M124" i="69"/>
  <c r="O123" i="69"/>
  <c r="M123" i="69"/>
  <c r="O122" i="69"/>
  <c r="M122" i="69"/>
  <c r="O121" i="69"/>
  <c r="M121" i="69"/>
  <c r="O120" i="69"/>
  <c r="M120" i="69"/>
  <c r="O119" i="69"/>
  <c r="M119" i="69"/>
  <c r="O118" i="69"/>
  <c r="M118" i="69"/>
  <c r="O117" i="69"/>
  <c r="M117" i="69"/>
  <c r="O116" i="69"/>
  <c r="M116" i="69"/>
  <c r="O113" i="69"/>
  <c r="O112" i="69"/>
  <c r="O111" i="69"/>
  <c r="O106" i="69"/>
  <c r="M106" i="69"/>
  <c r="L93" i="69"/>
  <c r="J93" i="69"/>
  <c r="D91" i="69"/>
  <c r="D89" i="69"/>
  <c r="N72" i="69"/>
  <c r="L72" i="69"/>
  <c r="N71" i="69"/>
  <c r="L71" i="69"/>
  <c r="N70" i="69"/>
  <c r="L70" i="69"/>
  <c r="N69" i="69"/>
  <c r="L69" i="69"/>
  <c r="N68" i="69"/>
  <c r="L68" i="69"/>
  <c r="N67" i="69"/>
  <c r="L67" i="69"/>
  <c r="N66" i="69"/>
  <c r="L66" i="69"/>
  <c r="N65" i="69"/>
  <c r="L65" i="69"/>
  <c r="N64" i="69"/>
  <c r="L64" i="69"/>
  <c r="N63" i="69"/>
  <c r="L63" i="69"/>
  <c r="N62" i="69"/>
  <c r="L62" i="69"/>
  <c r="N61" i="69"/>
  <c r="L61" i="69"/>
  <c r="N60" i="69"/>
  <c r="L60" i="69"/>
  <c r="N59" i="69"/>
  <c r="L59" i="69"/>
  <c r="N58" i="69"/>
  <c r="L58" i="69"/>
  <c r="N57" i="69"/>
  <c r="L57" i="69"/>
  <c r="N56" i="69"/>
  <c r="L56" i="69"/>
  <c r="N55" i="69"/>
  <c r="L55" i="69"/>
  <c r="N54" i="69"/>
  <c r="L54" i="69"/>
  <c r="N53" i="69"/>
  <c r="L53" i="69"/>
  <c r="N52" i="69"/>
  <c r="L52" i="69"/>
  <c r="N51" i="69"/>
  <c r="L51" i="69"/>
  <c r="N50" i="69"/>
  <c r="L50" i="69"/>
  <c r="N49" i="69"/>
  <c r="L49" i="69"/>
  <c r="N48" i="69"/>
  <c r="L48" i="69"/>
  <c r="N47" i="69"/>
  <c r="L47" i="69"/>
  <c r="N46" i="69"/>
  <c r="L46" i="69"/>
  <c r="N45" i="69"/>
  <c r="L45" i="69"/>
  <c r="N44" i="69"/>
  <c r="L44" i="69"/>
  <c r="N43" i="69"/>
  <c r="L43" i="69"/>
  <c r="N42" i="69"/>
  <c r="L42" i="69"/>
  <c r="N41" i="69"/>
  <c r="L41" i="69"/>
  <c r="N40" i="69"/>
  <c r="L40" i="69"/>
  <c r="N39" i="69"/>
  <c r="L39" i="69"/>
  <c r="N38" i="69"/>
  <c r="L38" i="69"/>
  <c r="N37" i="69"/>
  <c r="L37" i="69"/>
  <c r="N36" i="69"/>
  <c r="L36" i="69"/>
  <c r="N35" i="69"/>
  <c r="L35" i="69"/>
  <c r="N33" i="69"/>
  <c r="N32" i="69"/>
  <c r="N31" i="69"/>
  <c r="N30" i="69"/>
  <c r="N29" i="69"/>
  <c r="O29" i="69" s="1"/>
  <c r="C17" i="69"/>
  <c r="C18" i="69" s="1"/>
  <c r="C19" i="69" s="1"/>
  <c r="C20" i="69" s="1"/>
  <c r="C21" i="69" s="1"/>
  <c r="C22" i="69" s="1"/>
  <c r="C23" i="69" s="1"/>
  <c r="C24" i="69" s="1"/>
  <c r="C25" i="69" s="1"/>
  <c r="C26" i="69" s="1"/>
  <c r="C27" i="69" s="1"/>
  <c r="C28" i="69" s="1"/>
  <c r="C29" i="69" s="1"/>
  <c r="C30" i="69" s="1"/>
  <c r="C31" i="69" s="1"/>
  <c r="C32" i="69" s="1"/>
  <c r="C33" i="69" s="1"/>
  <c r="C34" i="69" s="1"/>
  <c r="C35" i="69" s="1"/>
  <c r="C36" i="69" s="1"/>
  <c r="C37" i="69" s="1"/>
  <c r="C38" i="69" s="1"/>
  <c r="C39" i="69" s="1"/>
  <c r="C40" i="69" s="1"/>
  <c r="C41" i="69" s="1"/>
  <c r="C42" i="69" s="1"/>
  <c r="C43" i="69" s="1"/>
  <c r="C44" i="69" s="1"/>
  <c r="C45" i="69" s="1"/>
  <c r="C46" i="69" s="1"/>
  <c r="C47" i="69" s="1"/>
  <c r="C48" i="69" s="1"/>
  <c r="C49" i="69" s="1"/>
  <c r="C50" i="69" s="1"/>
  <c r="C51" i="69" s="1"/>
  <c r="C52" i="69" s="1"/>
  <c r="C53" i="69" s="1"/>
  <c r="C54" i="69" s="1"/>
  <c r="C55" i="69" s="1"/>
  <c r="C56" i="69" s="1"/>
  <c r="C57" i="69" s="1"/>
  <c r="C58" i="69" s="1"/>
  <c r="C59" i="69" s="1"/>
  <c r="C60" i="69" s="1"/>
  <c r="C61" i="69" s="1"/>
  <c r="C62" i="69" s="1"/>
  <c r="C63" i="69" s="1"/>
  <c r="C64" i="69" s="1"/>
  <c r="C65" i="69" s="1"/>
  <c r="C66" i="69" s="1"/>
  <c r="C67" i="69" s="1"/>
  <c r="C68" i="69" s="1"/>
  <c r="C69" i="69" s="1"/>
  <c r="C70" i="69" s="1"/>
  <c r="C71" i="69" s="1"/>
  <c r="C72" i="69" s="1"/>
  <c r="K11" i="69"/>
  <c r="I11" i="69"/>
  <c r="P83" i="69"/>
  <c r="M17" i="68"/>
  <c r="N17" i="68" s="1"/>
  <c r="K17" i="68"/>
  <c r="L17" i="68" s="1"/>
  <c r="M17" i="67"/>
  <c r="N17" i="67" s="1"/>
  <c r="K17" i="67"/>
  <c r="L17" i="67" s="1"/>
  <c r="M17" i="66"/>
  <c r="N17" i="66" s="1"/>
  <c r="K17" i="66"/>
  <c r="L17" i="66" s="1"/>
  <c r="M17" i="65"/>
  <c r="N17" i="65" s="1"/>
  <c r="K17" i="65"/>
  <c r="L17" i="65" s="1"/>
  <c r="N99" i="64"/>
  <c r="O99" i="64" s="1"/>
  <c r="L99" i="64"/>
  <c r="M99" i="64" s="1"/>
  <c r="M18" i="64"/>
  <c r="N18" i="64" s="1"/>
  <c r="K18" i="64"/>
  <c r="L18" i="64" s="1"/>
  <c r="M17" i="64"/>
  <c r="N17" i="64" s="1"/>
  <c r="K17" i="64"/>
  <c r="L17" i="64" s="1"/>
  <c r="N99" i="60"/>
  <c r="O99" i="60" s="1"/>
  <c r="L99" i="60"/>
  <c r="M99" i="60" s="1"/>
  <c r="M18" i="60"/>
  <c r="N18" i="60" s="1"/>
  <c r="K18" i="60"/>
  <c r="L18" i="60" s="1"/>
  <c r="N99" i="62"/>
  <c r="O99" i="62" s="1"/>
  <c r="L99" i="62"/>
  <c r="M99" i="62" s="1"/>
  <c r="M18" i="62"/>
  <c r="N18" i="62" s="1"/>
  <c r="K18" i="62"/>
  <c r="L18" i="62" s="1"/>
  <c r="N99" i="63"/>
  <c r="O99" i="63" s="1"/>
  <c r="L99" i="63"/>
  <c r="M99" i="63" s="1"/>
  <c r="M18" i="63"/>
  <c r="N18" i="63" s="1"/>
  <c r="K18" i="63"/>
  <c r="L18" i="63" s="1"/>
  <c r="N99" i="61"/>
  <c r="O99" i="61" s="1"/>
  <c r="L99" i="61"/>
  <c r="M99" i="61" s="1"/>
  <c r="M18" i="61"/>
  <c r="N18" i="61" s="1"/>
  <c r="K18" i="61"/>
  <c r="L18" i="61" s="1"/>
  <c r="N99" i="59"/>
  <c r="O99" i="59" s="1"/>
  <c r="L99" i="59"/>
  <c r="M99" i="59" s="1"/>
  <c r="M18" i="59"/>
  <c r="N18" i="59" s="1"/>
  <c r="K18" i="59"/>
  <c r="L18" i="59" s="1"/>
  <c r="N100" i="58"/>
  <c r="O100" i="58" s="1"/>
  <c r="L100" i="58"/>
  <c r="M100" i="58" s="1"/>
  <c r="M19" i="58"/>
  <c r="N19" i="58" s="1"/>
  <c r="K19" i="58"/>
  <c r="L19" i="58" s="1"/>
  <c r="N100" i="57"/>
  <c r="O100" i="57" s="1"/>
  <c r="L100" i="57"/>
  <c r="M100" i="57" s="1"/>
  <c r="M19" i="57"/>
  <c r="N19" i="57" s="1"/>
  <c r="K19" i="57"/>
  <c r="L19" i="57" s="1"/>
  <c r="N100" i="56"/>
  <c r="O100" i="56" s="1"/>
  <c r="L100" i="56"/>
  <c r="M100" i="56" s="1"/>
  <c r="M19" i="56"/>
  <c r="N19" i="56" s="1"/>
  <c r="K19" i="56"/>
  <c r="L19" i="56" s="1"/>
  <c r="N100" i="55"/>
  <c r="O100" i="55" s="1"/>
  <c r="L100" i="55"/>
  <c r="M100" i="55" s="1"/>
  <c r="M19" i="55"/>
  <c r="N19" i="55" s="1"/>
  <c r="K19" i="55"/>
  <c r="L19" i="55" s="1"/>
  <c r="N100" i="54"/>
  <c r="O100" i="54" s="1"/>
  <c r="L100" i="54"/>
  <c r="M100" i="54" s="1"/>
  <c r="M19" i="54"/>
  <c r="N19" i="54" s="1"/>
  <c r="K19" i="54"/>
  <c r="L19" i="54" s="1"/>
  <c r="N100" i="53"/>
  <c r="O100" i="53" s="1"/>
  <c r="L100" i="53"/>
  <c r="M100" i="53" s="1"/>
  <c r="M19" i="53"/>
  <c r="N19" i="53" s="1"/>
  <c r="K19" i="53"/>
  <c r="L19" i="53" s="1"/>
  <c r="N100" i="46"/>
  <c r="O100" i="46" s="1"/>
  <c r="L100" i="46"/>
  <c r="M100" i="46" s="1"/>
  <c r="M19" i="46"/>
  <c r="N19" i="46" s="1"/>
  <c r="K19" i="46"/>
  <c r="L19" i="46" s="1"/>
  <c r="N101" i="45"/>
  <c r="O101" i="45" s="1"/>
  <c r="L101" i="45"/>
  <c r="M101" i="45" s="1"/>
  <c r="M20" i="45"/>
  <c r="N20" i="45" s="1"/>
  <c r="K20" i="45"/>
  <c r="L20" i="45" s="1"/>
  <c r="N102" i="44"/>
  <c r="O102" i="44" s="1"/>
  <c r="L102" i="44"/>
  <c r="M102" i="44" s="1"/>
  <c r="M21" i="44"/>
  <c r="N21" i="44" s="1"/>
  <c r="K21" i="44"/>
  <c r="L21" i="44" s="1"/>
  <c r="N102" i="43"/>
  <c r="O102" i="43" s="1"/>
  <c r="L102" i="43"/>
  <c r="M102" i="43" s="1"/>
  <c r="M21" i="43"/>
  <c r="N21" i="43" s="1"/>
  <c r="K21" i="43"/>
  <c r="L21" i="43" s="1"/>
  <c r="N102" i="42"/>
  <c r="O102" i="42" s="1"/>
  <c r="L102" i="42"/>
  <c r="M102" i="42" s="1"/>
  <c r="M21" i="42"/>
  <c r="N21" i="42" s="1"/>
  <c r="K21" i="42"/>
  <c r="L21" i="42" s="1"/>
  <c r="N102" i="41"/>
  <c r="O102" i="41" s="1"/>
  <c r="L102" i="41"/>
  <c r="M102" i="41" s="1"/>
  <c r="M21" i="41"/>
  <c r="N21" i="41" s="1"/>
  <c r="K21" i="41"/>
  <c r="L21" i="41" s="1"/>
  <c r="B102" i="39"/>
  <c r="B103" i="39"/>
  <c r="M21" i="39"/>
  <c r="N21" i="39" s="1"/>
  <c r="K21" i="39"/>
  <c r="L21" i="39" s="1"/>
  <c r="D104" i="34"/>
  <c r="B104" i="34" s="1"/>
  <c r="M23" i="34"/>
  <c r="N23" i="34" s="1"/>
  <c r="K23" i="34"/>
  <c r="L23" i="34" s="1"/>
  <c r="N104" i="32"/>
  <c r="O104" i="32" s="1"/>
  <c r="L104" i="32"/>
  <c r="M104" i="32" s="1"/>
  <c r="M23" i="32"/>
  <c r="N23" i="32" s="1"/>
  <c r="K23" i="32"/>
  <c r="L23" i="32" s="1"/>
  <c r="N104" i="31"/>
  <c r="O104" i="31" s="1"/>
  <c r="L104" i="31"/>
  <c r="M104" i="31" s="1"/>
  <c r="M23" i="31"/>
  <c r="N23" i="31" s="1"/>
  <c r="K23" i="31"/>
  <c r="L23" i="31" s="1"/>
  <c r="N105" i="30"/>
  <c r="O105" i="30" s="1"/>
  <c r="L105" i="30"/>
  <c r="M105" i="30" s="1"/>
  <c r="M24" i="30"/>
  <c r="N24" i="30" s="1"/>
  <c r="K24" i="30"/>
  <c r="L24" i="30" s="1"/>
  <c r="N105" i="29"/>
  <c r="O105" i="29" s="1"/>
  <c r="L105" i="29"/>
  <c r="M105" i="29" s="1"/>
  <c r="M24" i="29"/>
  <c r="N24" i="29" s="1"/>
  <c r="K24" i="29"/>
  <c r="L24" i="29" s="1"/>
  <c r="N106" i="28"/>
  <c r="O106" i="28" s="1"/>
  <c r="L106" i="28"/>
  <c r="M106" i="28" s="1"/>
  <c r="M25" i="28"/>
  <c r="N25" i="28" s="1"/>
  <c r="K25" i="28"/>
  <c r="L25" i="28" s="1"/>
  <c r="N105" i="27"/>
  <c r="O105" i="27" s="1"/>
  <c r="L105" i="27"/>
  <c r="M105" i="27" s="1"/>
  <c r="M24" i="27"/>
  <c r="N24" i="27" s="1"/>
  <c r="K24" i="27"/>
  <c r="L24" i="27" s="1"/>
  <c r="N104" i="24"/>
  <c r="O104" i="24" s="1"/>
  <c r="L104" i="24"/>
  <c r="M104" i="24" s="1"/>
  <c r="M23" i="24"/>
  <c r="N23" i="24" s="1"/>
  <c r="K23" i="24"/>
  <c r="L23" i="24" s="1"/>
  <c r="N104" i="23"/>
  <c r="O104" i="23" s="1"/>
  <c r="L104" i="23"/>
  <c r="M104" i="23" s="1"/>
  <c r="M23" i="23"/>
  <c r="N23" i="23" s="1"/>
  <c r="K23" i="23"/>
  <c r="L23" i="23" s="1"/>
  <c r="N103" i="22"/>
  <c r="O103" i="22" s="1"/>
  <c r="L103" i="22"/>
  <c r="M103" i="22" s="1"/>
  <c r="M22" i="22"/>
  <c r="N22" i="22" s="1"/>
  <c r="K22" i="22"/>
  <c r="L22" i="22" s="1"/>
  <c r="N103" i="21"/>
  <c r="O103" i="21" s="1"/>
  <c r="L103" i="21"/>
  <c r="M103" i="21" s="1"/>
  <c r="M22" i="21"/>
  <c r="N22" i="21" s="1"/>
  <c r="K22" i="21"/>
  <c r="L22" i="21" s="1"/>
  <c r="N103" i="20"/>
  <c r="O103" i="20" s="1"/>
  <c r="L103" i="20"/>
  <c r="M103" i="20" s="1"/>
  <c r="M22" i="20"/>
  <c r="N22" i="20" s="1"/>
  <c r="K22" i="20"/>
  <c r="L22" i="20" s="1"/>
  <c r="N103" i="19"/>
  <c r="O103" i="19" s="1"/>
  <c r="L103" i="19"/>
  <c r="M103" i="19" s="1"/>
  <c r="M22" i="19"/>
  <c r="N22" i="19" s="1"/>
  <c r="K22" i="19"/>
  <c r="L22" i="19" s="1"/>
  <c r="N103" i="18"/>
  <c r="O103" i="18" s="1"/>
  <c r="L103" i="18"/>
  <c r="M103" i="18" s="1"/>
  <c r="M22" i="18"/>
  <c r="N22" i="18" s="1"/>
  <c r="K22" i="18"/>
  <c r="L22" i="18" s="1"/>
  <c r="N103" i="17"/>
  <c r="O103" i="17" s="1"/>
  <c r="L103" i="17"/>
  <c r="M103" i="17" s="1"/>
  <c r="M22" i="17"/>
  <c r="N22" i="17" s="1"/>
  <c r="K22" i="17"/>
  <c r="L22" i="17" s="1"/>
  <c r="N103" i="3"/>
  <c r="O103" i="3" s="1"/>
  <c r="L103" i="3"/>
  <c r="M103" i="3" s="1"/>
  <c r="M22" i="3"/>
  <c r="N22" i="3" s="1"/>
  <c r="K22" i="3"/>
  <c r="L22" i="3" s="1"/>
  <c r="P83" i="65"/>
  <c r="P83" i="66"/>
  <c r="P83" i="67"/>
  <c r="P83" i="68"/>
  <c r="P83" i="64"/>
  <c r="W60" i="36"/>
  <c r="P60" i="36"/>
  <c r="W59" i="36"/>
  <c r="P59" i="36"/>
  <c r="W58" i="36"/>
  <c r="P58" i="36"/>
  <c r="W57" i="36"/>
  <c r="P57" i="36"/>
  <c r="W56" i="36"/>
  <c r="P56" i="36"/>
  <c r="P154" i="68"/>
  <c r="O154" i="68"/>
  <c r="M154" i="68"/>
  <c r="P153" i="68"/>
  <c r="O153" i="68"/>
  <c r="M153" i="68"/>
  <c r="P152" i="68"/>
  <c r="O152" i="68"/>
  <c r="M152" i="68"/>
  <c r="P151" i="68"/>
  <c r="O151" i="68"/>
  <c r="M151" i="68"/>
  <c r="P150" i="68"/>
  <c r="O150" i="68"/>
  <c r="M150" i="68"/>
  <c r="P149" i="68"/>
  <c r="O149" i="68"/>
  <c r="M149" i="68"/>
  <c r="P148" i="68"/>
  <c r="O148" i="68"/>
  <c r="M148" i="68"/>
  <c r="P147" i="68"/>
  <c r="O147" i="68"/>
  <c r="M147" i="68"/>
  <c r="P146" i="68"/>
  <c r="O146" i="68"/>
  <c r="M146" i="68"/>
  <c r="P145" i="68"/>
  <c r="O145" i="68"/>
  <c r="M145" i="68"/>
  <c r="P144" i="68"/>
  <c r="O144" i="68"/>
  <c r="M144" i="68"/>
  <c r="P143" i="68"/>
  <c r="O143" i="68"/>
  <c r="M143" i="68"/>
  <c r="P142" i="68"/>
  <c r="O142" i="68"/>
  <c r="M142" i="68"/>
  <c r="P141" i="68"/>
  <c r="O141" i="68"/>
  <c r="M141" i="68"/>
  <c r="P140" i="68"/>
  <c r="O140" i="68"/>
  <c r="M140" i="68"/>
  <c r="P139" i="68"/>
  <c r="O139" i="68"/>
  <c r="M139" i="68"/>
  <c r="P138" i="68"/>
  <c r="O138" i="68"/>
  <c r="M138" i="68"/>
  <c r="P137" i="68"/>
  <c r="O137" i="68"/>
  <c r="M137" i="68"/>
  <c r="P136" i="68"/>
  <c r="O136" i="68"/>
  <c r="M136" i="68"/>
  <c r="P135" i="68"/>
  <c r="O135" i="68"/>
  <c r="M135" i="68"/>
  <c r="P134" i="68"/>
  <c r="O134" i="68"/>
  <c r="M134" i="68"/>
  <c r="P133" i="68"/>
  <c r="O133" i="68"/>
  <c r="M133" i="68"/>
  <c r="P132" i="68"/>
  <c r="O132" i="68"/>
  <c r="M132" i="68"/>
  <c r="P131" i="68"/>
  <c r="O131" i="68"/>
  <c r="M131" i="68"/>
  <c r="O130" i="68"/>
  <c r="M130" i="68"/>
  <c r="O129" i="68"/>
  <c r="M129" i="68"/>
  <c r="O128" i="68"/>
  <c r="M128" i="68"/>
  <c r="O127" i="68"/>
  <c r="M127" i="68"/>
  <c r="O126" i="68"/>
  <c r="M126" i="68"/>
  <c r="O125" i="68"/>
  <c r="M125" i="68"/>
  <c r="O124" i="68"/>
  <c r="M124" i="68"/>
  <c r="O123" i="68"/>
  <c r="M123" i="68"/>
  <c r="O122" i="68"/>
  <c r="M122" i="68"/>
  <c r="O121" i="68"/>
  <c r="M121" i="68"/>
  <c r="O120" i="68"/>
  <c r="M120" i="68"/>
  <c r="O119" i="68"/>
  <c r="M119" i="68"/>
  <c r="O118" i="68"/>
  <c r="M118" i="68"/>
  <c r="O117" i="68"/>
  <c r="M117" i="68"/>
  <c r="O116" i="68"/>
  <c r="M116" i="68"/>
  <c r="O115" i="68"/>
  <c r="M115" i="68"/>
  <c r="O114" i="68"/>
  <c r="M114" i="68"/>
  <c r="O113" i="68"/>
  <c r="M113" i="68"/>
  <c r="O112" i="68"/>
  <c r="M112" i="68"/>
  <c r="O111" i="68"/>
  <c r="M111" i="68"/>
  <c r="O110" i="68"/>
  <c r="M110" i="68"/>
  <c r="O109" i="68"/>
  <c r="M109" i="68"/>
  <c r="O106" i="68"/>
  <c r="O105" i="68"/>
  <c r="O104" i="68"/>
  <c r="D96" i="68"/>
  <c r="L93" i="68"/>
  <c r="J93" i="68"/>
  <c r="D91" i="68"/>
  <c r="D89" i="68"/>
  <c r="N72" i="68"/>
  <c r="L72" i="68"/>
  <c r="N71" i="68"/>
  <c r="L71" i="68"/>
  <c r="N70" i="68"/>
  <c r="L70" i="68"/>
  <c r="N69" i="68"/>
  <c r="L69" i="68"/>
  <c r="N68" i="68"/>
  <c r="L68" i="68"/>
  <c r="N67" i="68"/>
  <c r="L67" i="68"/>
  <c r="N66" i="68"/>
  <c r="L66" i="68"/>
  <c r="N65" i="68"/>
  <c r="L65" i="68"/>
  <c r="N64" i="68"/>
  <c r="L64" i="68"/>
  <c r="N63" i="68"/>
  <c r="L63" i="68"/>
  <c r="N62" i="68"/>
  <c r="L62" i="68"/>
  <c r="N61" i="68"/>
  <c r="L61" i="68"/>
  <c r="N60" i="68"/>
  <c r="L60" i="68"/>
  <c r="N59" i="68"/>
  <c r="L59" i="68"/>
  <c r="N58" i="68"/>
  <c r="L58" i="68"/>
  <c r="N57" i="68"/>
  <c r="L57" i="68"/>
  <c r="N56" i="68"/>
  <c r="L56" i="68"/>
  <c r="N55" i="68"/>
  <c r="L55" i="68"/>
  <c r="N54" i="68"/>
  <c r="L54" i="68"/>
  <c r="N53" i="68"/>
  <c r="L53" i="68"/>
  <c r="N52" i="68"/>
  <c r="L52" i="68"/>
  <c r="N51" i="68"/>
  <c r="L51" i="68"/>
  <c r="N50" i="68"/>
  <c r="L50" i="68"/>
  <c r="N49" i="68"/>
  <c r="L49" i="68"/>
  <c r="N48" i="68"/>
  <c r="L48" i="68"/>
  <c r="N47" i="68"/>
  <c r="L47" i="68"/>
  <c r="N46" i="68"/>
  <c r="L46" i="68"/>
  <c r="N45" i="68"/>
  <c r="L45" i="68"/>
  <c r="N44" i="68"/>
  <c r="L44" i="68"/>
  <c r="N43" i="68"/>
  <c r="L43" i="68"/>
  <c r="N42" i="68"/>
  <c r="L42" i="68"/>
  <c r="N41" i="68"/>
  <c r="L41" i="68"/>
  <c r="N40" i="68"/>
  <c r="L40" i="68"/>
  <c r="N39" i="68"/>
  <c r="L39" i="68"/>
  <c r="N38" i="68"/>
  <c r="L38" i="68"/>
  <c r="N37" i="68"/>
  <c r="L37" i="68"/>
  <c r="N36" i="68"/>
  <c r="L36" i="68"/>
  <c r="N35" i="68"/>
  <c r="L35" i="68"/>
  <c r="N34" i="68"/>
  <c r="L34" i="68"/>
  <c r="N33" i="68"/>
  <c r="L33" i="68"/>
  <c r="N32" i="68"/>
  <c r="L32" i="68"/>
  <c r="N31" i="68"/>
  <c r="L31" i="68"/>
  <c r="N30" i="68"/>
  <c r="L30" i="68"/>
  <c r="N29" i="68"/>
  <c r="L29" i="68"/>
  <c r="N28" i="68"/>
  <c r="L28" i="68"/>
  <c r="N26" i="68"/>
  <c r="N25" i="68"/>
  <c r="N24" i="68"/>
  <c r="N23" i="68"/>
  <c r="N22" i="68"/>
  <c r="C17" i="68"/>
  <c r="C18" i="68" s="1"/>
  <c r="C19" i="68" s="1"/>
  <c r="C20" i="68" s="1"/>
  <c r="C21" i="68" s="1"/>
  <c r="C22" i="68" s="1"/>
  <c r="C23" i="68" s="1"/>
  <c r="C24" i="68" s="1"/>
  <c r="C25" i="68" s="1"/>
  <c r="C26" i="68" s="1"/>
  <c r="C27" i="68" s="1"/>
  <c r="C28" i="68" s="1"/>
  <c r="C29" i="68" s="1"/>
  <c r="C30" i="68" s="1"/>
  <c r="C31" i="68" s="1"/>
  <c r="C32" i="68" s="1"/>
  <c r="C33" i="68" s="1"/>
  <c r="C34" i="68" s="1"/>
  <c r="C35" i="68" s="1"/>
  <c r="C36" i="68" s="1"/>
  <c r="C37" i="68" s="1"/>
  <c r="C38" i="68" s="1"/>
  <c r="C39" i="68" s="1"/>
  <c r="C40" i="68" s="1"/>
  <c r="C41" i="68" s="1"/>
  <c r="C42" i="68" s="1"/>
  <c r="C43" i="68" s="1"/>
  <c r="C44" i="68" s="1"/>
  <c r="C45" i="68" s="1"/>
  <c r="C46" i="68" s="1"/>
  <c r="C47" i="68" s="1"/>
  <c r="C48" i="68" s="1"/>
  <c r="C49" i="68" s="1"/>
  <c r="C50" i="68" s="1"/>
  <c r="C51" i="68" s="1"/>
  <c r="C52" i="68" s="1"/>
  <c r="C53" i="68" s="1"/>
  <c r="C54" i="68" s="1"/>
  <c r="C55" i="68" s="1"/>
  <c r="C56" i="68" s="1"/>
  <c r="C57" i="68" s="1"/>
  <c r="C58" i="68" s="1"/>
  <c r="C59" i="68" s="1"/>
  <c r="C60" i="68" s="1"/>
  <c r="C61" i="68" s="1"/>
  <c r="C62" i="68" s="1"/>
  <c r="C63" i="68" s="1"/>
  <c r="C64" i="68" s="1"/>
  <c r="C65" i="68" s="1"/>
  <c r="C66" i="68" s="1"/>
  <c r="C67" i="68" s="1"/>
  <c r="C68" i="68" s="1"/>
  <c r="C69" i="68" s="1"/>
  <c r="C70" i="68" s="1"/>
  <c r="C71" i="68" s="1"/>
  <c r="C72" i="68" s="1"/>
  <c r="K11" i="68"/>
  <c r="I11" i="68"/>
  <c r="D8" i="68"/>
  <c r="D90" i="68" s="1"/>
  <c r="P154" i="67"/>
  <c r="O154" i="67"/>
  <c r="M154" i="67"/>
  <c r="P153" i="67"/>
  <c r="O153" i="67"/>
  <c r="M153" i="67"/>
  <c r="P152" i="67"/>
  <c r="O152" i="67"/>
  <c r="M152" i="67"/>
  <c r="P151" i="67"/>
  <c r="O151" i="67"/>
  <c r="M151" i="67"/>
  <c r="P150" i="67"/>
  <c r="O150" i="67"/>
  <c r="M150" i="67"/>
  <c r="P149" i="67"/>
  <c r="O149" i="67"/>
  <c r="M149" i="67"/>
  <c r="P148" i="67"/>
  <c r="O148" i="67"/>
  <c r="M148" i="67"/>
  <c r="P147" i="67"/>
  <c r="O147" i="67"/>
  <c r="M147" i="67"/>
  <c r="P146" i="67"/>
  <c r="O146" i="67"/>
  <c r="M146" i="67"/>
  <c r="P145" i="67"/>
  <c r="O145" i="67"/>
  <c r="M145" i="67"/>
  <c r="P144" i="67"/>
  <c r="O144" i="67"/>
  <c r="M144" i="67"/>
  <c r="P143" i="67"/>
  <c r="O143" i="67"/>
  <c r="M143" i="67"/>
  <c r="P142" i="67"/>
  <c r="O142" i="67"/>
  <c r="M142" i="67"/>
  <c r="P141" i="67"/>
  <c r="O141" i="67"/>
  <c r="M141" i="67"/>
  <c r="P140" i="67"/>
  <c r="O140" i="67"/>
  <c r="M140" i="67"/>
  <c r="P139" i="67"/>
  <c r="O139" i="67"/>
  <c r="M139" i="67"/>
  <c r="P138" i="67"/>
  <c r="O138" i="67"/>
  <c r="M138" i="67"/>
  <c r="P137" i="67"/>
  <c r="O137" i="67"/>
  <c r="M137" i="67"/>
  <c r="P136" i="67"/>
  <c r="O136" i="67"/>
  <c r="M136" i="67"/>
  <c r="P135" i="67"/>
  <c r="O135" i="67"/>
  <c r="M135" i="67"/>
  <c r="P134" i="67"/>
  <c r="O134" i="67"/>
  <c r="M134" i="67"/>
  <c r="P133" i="67"/>
  <c r="O133" i="67"/>
  <c r="M133" i="67"/>
  <c r="P132" i="67"/>
  <c r="O132" i="67"/>
  <c r="M132" i="67"/>
  <c r="P131" i="67"/>
  <c r="O131" i="67"/>
  <c r="M131" i="67"/>
  <c r="O130" i="67"/>
  <c r="M130" i="67"/>
  <c r="O129" i="67"/>
  <c r="M129" i="67"/>
  <c r="O128" i="67"/>
  <c r="M128" i="67"/>
  <c r="O127" i="67"/>
  <c r="M127" i="67"/>
  <c r="O126" i="67"/>
  <c r="M126" i="67"/>
  <c r="O125" i="67"/>
  <c r="M125" i="67"/>
  <c r="O124" i="67"/>
  <c r="M124" i="67"/>
  <c r="O123" i="67"/>
  <c r="M123" i="67"/>
  <c r="O122" i="67"/>
  <c r="M122" i="67"/>
  <c r="O121" i="67"/>
  <c r="M121" i="67"/>
  <c r="O120" i="67"/>
  <c r="M120" i="67"/>
  <c r="O119" i="67"/>
  <c r="M119" i="67"/>
  <c r="O118" i="67"/>
  <c r="M118" i="67"/>
  <c r="O117" i="67"/>
  <c r="M117" i="67"/>
  <c r="O116" i="67"/>
  <c r="M116" i="67"/>
  <c r="O115" i="67"/>
  <c r="M115" i="67"/>
  <c r="O114" i="67"/>
  <c r="M114" i="67"/>
  <c r="O113" i="67"/>
  <c r="M113" i="67"/>
  <c r="O112" i="67"/>
  <c r="M112" i="67"/>
  <c r="O111" i="67"/>
  <c r="M111" i="67"/>
  <c r="O110" i="67"/>
  <c r="M110" i="67"/>
  <c r="O109" i="67"/>
  <c r="M109" i="67"/>
  <c r="O106" i="67"/>
  <c r="O105" i="67"/>
  <c r="O104" i="67"/>
  <c r="O103" i="67"/>
  <c r="D96" i="67"/>
  <c r="L93" i="67"/>
  <c r="J93" i="67"/>
  <c r="D91" i="67"/>
  <c r="D89" i="67"/>
  <c r="N72" i="67"/>
  <c r="L72" i="67"/>
  <c r="N71" i="67"/>
  <c r="L71" i="67"/>
  <c r="N70" i="67"/>
  <c r="L70" i="67"/>
  <c r="N69" i="67"/>
  <c r="L69" i="67"/>
  <c r="N68" i="67"/>
  <c r="L68" i="67"/>
  <c r="N67" i="67"/>
  <c r="L67" i="67"/>
  <c r="N66" i="67"/>
  <c r="L66" i="67"/>
  <c r="N65" i="67"/>
  <c r="L65" i="67"/>
  <c r="N64" i="67"/>
  <c r="L64" i="67"/>
  <c r="N63" i="67"/>
  <c r="L63" i="67"/>
  <c r="N62" i="67"/>
  <c r="L62" i="67"/>
  <c r="N61" i="67"/>
  <c r="L61" i="67"/>
  <c r="N60" i="67"/>
  <c r="L60" i="67"/>
  <c r="N59" i="67"/>
  <c r="L59" i="67"/>
  <c r="N58" i="67"/>
  <c r="L58" i="67"/>
  <c r="N57" i="67"/>
  <c r="L57" i="67"/>
  <c r="N56" i="67"/>
  <c r="L56" i="67"/>
  <c r="N55" i="67"/>
  <c r="L55" i="67"/>
  <c r="N54" i="67"/>
  <c r="L54" i="67"/>
  <c r="N53" i="67"/>
  <c r="L53" i="67"/>
  <c r="N52" i="67"/>
  <c r="L52" i="67"/>
  <c r="N51" i="67"/>
  <c r="L51" i="67"/>
  <c r="N50" i="67"/>
  <c r="L50" i="67"/>
  <c r="N49" i="67"/>
  <c r="L49" i="67"/>
  <c r="N48" i="67"/>
  <c r="L48" i="67"/>
  <c r="N47" i="67"/>
  <c r="L47" i="67"/>
  <c r="N46" i="67"/>
  <c r="L46" i="67"/>
  <c r="N45" i="67"/>
  <c r="L45" i="67"/>
  <c r="N44" i="67"/>
  <c r="L44" i="67"/>
  <c r="N43" i="67"/>
  <c r="L43" i="67"/>
  <c r="N42" i="67"/>
  <c r="L42" i="67"/>
  <c r="N41" i="67"/>
  <c r="L41" i="67"/>
  <c r="N40" i="67"/>
  <c r="L40" i="67"/>
  <c r="N39" i="67"/>
  <c r="L39" i="67"/>
  <c r="N38" i="67"/>
  <c r="L38" i="67"/>
  <c r="N37" i="67"/>
  <c r="L37" i="67"/>
  <c r="N36" i="67"/>
  <c r="L36" i="67"/>
  <c r="N35" i="67"/>
  <c r="L35" i="67"/>
  <c r="N34" i="67"/>
  <c r="L34" i="67"/>
  <c r="N33" i="67"/>
  <c r="L33" i="67"/>
  <c r="N32" i="67"/>
  <c r="L32" i="67"/>
  <c r="N31" i="67"/>
  <c r="L31" i="67"/>
  <c r="N30" i="67"/>
  <c r="L30" i="67"/>
  <c r="N29" i="67"/>
  <c r="L29" i="67"/>
  <c r="N28" i="67"/>
  <c r="L28" i="67"/>
  <c r="N26" i="67"/>
  <c r="N25" i="67"/>
  <c r="N24" i="67"/>
  <c r="N23" i="67"/>
  <c r="N22" i="67"/>
  <c r="O22" i="67" s="1"/>
  <c r="C17" i="67"/>
  <c r="C18" i="67" s="1"/>
  <c r="C19" i="67" s="1"/>
  <c r="C20" i="67" s="1"/>
  <c r="C21" i="67" s="1"/>
  <c r="C22" i="67" s="1"/>
  <c r="C23" i="67" s="1"/>
  <c r="C24" i="67" s="1"/>
  <c r="C25" i="67" s="1"/>
  <c r="C26" i="67" s="1"/>
  <c r="C27" i="67" s="1"/>
  <c r="C28" i="67" s="1"/>
  <c r="C29" i="67" s="1"/>
  <c r="C30" i="67" s="1"/>
  <c r="C31" i="67" s="1"/>
  <c r="C32" i="67" s="1"/>
  <c r="C33" i="67" s="1"/>
  <c r="C34" i="67" s="1"/>
  <c r="C35" i="67" s="1"/>
  <c r="C36" i="67" s="1"/>
  <c r="C37" i="67" s="1"/>
  <c r="C38" i="67" s="1"/>
  <c r="C39" i="67" s="1"/>
  <c r="C40" i="67" s="1"/>
  <c r="C41" i="67" s="1"/>
  <c r="C42" i="67" s="1"/>
  <c r="C43" i="67" s="1"/>
  <c r="C44" i="67" s="1"/>
  <c r="C45" i="67" s="1"/>
  <c r="C46" i="67" s="1"/>
  <c r="C47" i="67" s="1"/>
  <c r="C48" i="67" s="1"/>
  <c r="C49" i="67" s="1"/>
  <c r="C50" i="67" s="1"/>
  <c r="C51" i="67" s="1"/>
  <c r="C52" i="67" s="1"/>
  <c r="C53" i="67" s="1"/>
  <c r="C54" i="67" s="1"/>
  <c r="C55" i="67" s="1"/>
  <c r="C56" i="67" s="1"/>
  <c r="C57" i="67" s="1"/>
  <c r="C58" i="67" s="1"/>
  <c r="C59" i="67" s="1"/>
  <c r="C60" i="67" s="1"/>
  <c r="C61" i="67" s="1"/>
  <c r="C62" i="67" s="1"/>
  <c r="C63" i="67" s="1"/>
  <c r="C64" i="67" s="1"/>
  <c r="C65" i="67" s="1"/>
  <c r="C66" i="67" s="1"/>
  <c r="C67" i="67" s="1"/>
  <c r="C68" i="67" s="1"/>
  <c r="C69" i="67" s="1"/>
  <c r="C70" i="67" s="1"/>
  <c r="C71" i="67" s="1"/>
  <c r="C72" i="67" s="1"/>
  <c r="K11" i="67"/>
  <c r="I11" i="67"/>
  <c r="D8" i="67"/>
  <c r="D90" i="67" s="1"/>
  <c r="P154" i="66"/>
  <c r="O154" i="66"/>
  <c r="M154" i="66"/>
  <c r="P153" i="66"/>
  <c r="O153" i="66"/>
  <c r="M153" i="66"/>
  <c r="P152" i="66"/>
  <c r="O152" i="66"/>
  <c r="M152" i="66"/>
  <c r="P151" i="66"/>
  <c r="O151" i="66"/>
  <c r="M151" i="66"/>
  <c r="P150" i="66"/>
  <c r="O150" i="66"/>
  <c r="M150" i="66"/>
  <c r="P149" i="66"/>
  <c r="O149" i="66"/>
  <c r="M149" i="66"/>
  <c r="P148" i="66"/>
  <c r="O148" i="66"/>
  <c r="M148" i="66"/>
  <c r="P147" i="66"/>
  <c r="O147" i="66"/>
  <c r="M147" i="66"/>
  <c r="P146" i="66"/>
  <c r="O146" i="66"/>
  <c r="M146" i="66"/>
  <c r="P145" i="66"/>
  <c r="O145" i="66"/>
  <c r="M145" i="66"/>
  <c r="P144" i="66"/>
  <c r="O144" i="66"/>
  <c r="M144" i="66"/>
  <c r="P143" i="66"/>
  <c r="O143" i="66"/>
  <c r="M143" i="66"/>
  <c r="P142" i="66"/>
  <c r="O142" i="66"/>
  <c r="M142" i="66"/>
  <c r="P141" i="66"/>
  <c r="O141" i="66"/>
  <c r="M141" i="66"/>
  <c r="P140" i="66"/>
  <c r="O140" i="66"/>
  <c r="M140" i="66"/>
  <c r="P139" i="66"/>
  <c r="O139" i="66"/>
  <c r="M139" i="66"/>
  <c r="P138" i="66"/>
  <c r="O138" i="66"/>
  <c r="M138" i="66"/>
  <c r="P137" i="66"/>
  <c r="O137" i="66"/>
  <c r="M137" i="66"/>
  <c r="P136" i="66"/>
  <c r="O136" i="66"/>
  <c r="M136" i="66"/>
  <c r="P135" i="66"/>
  <c r="O135" i="66"/>
  <c r="M135" i="66"/>
  <c r="P134" i="66"/>
  <c r="O134" i="66"/>
  <c r="M134" i="66"/>
  <c r="P133" i="66"/>
  <c r="O133" i="66"/>
  <c r="M133" i="66"/>
  <c r="P132" i="66"/>
  <c r="O132" i="66"/>
  <c r="M132" i="66"/>
  <c r="P131" i="66"/>
  <c r="O131" i="66"/>
  <c r="M131" i="66"/>
  <c r="O130" i="66"/>
  <c r="M130" i="66"/>
  <c r="O129" i="66"/>
  <c r="M129" i="66"/>
  <c r="O128" i="66"/>
  <c r="M128" i="66"/>
  <c r="O127" i="66"/>
  <c r="M127" i="66"/>
  <c r="O126" i="66"/>
  <c r="M126" i="66"/>
  <c r="O125" i="66"/>
  <c r="M125" i="66"/>
  <c r="O124" i="66"/>
  <c r="M124" i="66"/>
  <c r="O123" i="66"/>
  <c r="M123" i="66"/>
  <c r="O122" i="66"/>
  <c r="M122" i="66"/>
  <c r="O121" i="66"/>
  <c r="M121" i="66"/>
  <c r="O120" i="66"/>
  <c r="M120" i="66"/>
  <c r="O119" i="66"/>
  <c r="M119" i="66"/>
  <c r="O118" i="66"/>
  <c r="M118" i="66"/>
  <c r="O117" i="66"/>
  <c r="M117" i="66"/>
  <c r="O116" i="66"/>
  <c r="M116" i="66"/>
  <c r="O115" i="66"/>
  <c r="M115" i="66"/>
  <c r="O114" i="66"/>
  <c r="M114" i="66"/>
  <c r="O113" i="66"/>
  <c r="M113" i="66"/>
  <c r="O112" i="66"/>
  <c r="M112" i="66"/>
  <c r="O111" i="66"/>
  <c r="M111" i="66"/>
  <c r="O110" i="66"/>
  <c r="M110" i="66"/>
  <c r="O109" i="66"/>
  <c r="M109" i="66"/>
  <c r="O106" i="66"/>
  <c r="O105" i="66"/>
  <c r="O104" i="66"/>
  <c r="D96" i="66"/>
  <c r="L93" i="66"/>
  <c r="J93" i="66"/>
  <c r="D91" i="66"/>
  <c r="D89" i="66"/>
  <c r="N72" i="66"/>
  <c r="L72" i="66"/>
  <c r="N71" i="66"/>
  <c r="L71" i="66"/>
  <c r="N70" i="66"/>
  <c r="L70" i="66"/>
  <c r="N69" i="66"/>
  <c r="L69" i="66"/>
  <c r="N68" i="66"/>
  <c r="L68" i="66"/>
  <c r="N67" i="66"/>
  <c r="L67" i="66"/>
  <c r="N66" i="66"/>
  <c r="L66" i="66"/>
  <c r="N65" i="66"/>
  <c r="L65" i="66"/>
  <c r="N64" i="66"/>
  <c r="L64" i="66"/>
  <c r="N63" i="66"/>
  <c r="L63" i="66"/>
  <c r="N62" i="66"/>
  <c r="L62" i="66"/>
  <c r="N61" i="66"/>
  <c r="L61" i="66"/>
  <c r="N60" i="66"/>
  <c r="L60" i="66"/>
  <c r="N59" i="66"/>
  <c r="L59" i="66"/>
  <c r="N58" i="66"/>
  <c r="L58" i="66"/>
  <c r="N57" i="66"/>
  <c r="L57" i="66"/>
  <c r="N56" i="66"/>
  <c r="L56" i="66"/>
  <c r="N55" i="66"/>
  <c r="L55" i="66"/>
  <c r="N54" i="66"/>
  <c r="L54" i="66"/>
  <c r="N53" i="66"/>
  <c r="L53" i="66"/>
  <c r="N52" i="66"/>
  <c r="L52" i="66"/>
  <c r="N51" i="66"/>
  <c r="L51" i="66"/>
  <c r="N50" i="66"/>
  <c r="L50" i="66"/>
  <c r="N49" i="66"/>
  <c r="L49" i="66"/>
  <c r="N48" i="66"/>
  <c r="L48" i="66"/>
  <c r="N47" i="66"/>
  <c r="L47" i="66"/>
  <c r="N46" i="66"/>
  <c r="L46" i="66"/>
  <c r="N45" i="66"/>
  <c r="L45" i="66"/>
  <c r="N44" i="66"/>
  <c r="L44" i="66"/>
  <c r="N43" i="66"/>
  <c r="L43" i="66"/>
  <c r="N42" i="66"/>
  <c r="L42" i="66"/>
  <c r="N41" i="66"/>
  <c r="L41" i="66"/>
  <c r="N40" i="66"/>
  <c r="L40" i="66"/>
  <c r="N39" i="66"/>
  <c r="L39" i="66"/>
  <c r="N38" i="66"/>
  <c r="L38" i="66"/>
  <c r="N37" i="66"/>
  <c r="L37" i="66"/>
  <c r="N36" i="66"/>
  <c r="L36" i="66"/>
  <c r="N35" i="66"/>
  <c r="L35" i="66"/>
  <c r="N34" i="66"/>
  <c r="L34" i="66"/>
  <c r="N33" i="66"/>
  <c r="L33" i="66"/>
  <c r="N32" i="66"/>
  <c r="L32" i="66"/>
  <c r="N31" i="66"/>
  <c r="L31" i="66"/>
  <c r="N30" i="66"/>
  <c r="L30" i="66"/>
  <c r="N29" i="66"/>
  <c r="L29" i="66"/>
  <c r="N28" i="66"/>
  <c r="L28" i="66"/>
  <c r="N26" i="66"/>
  <c r="N25" i="66"/>
  <c r="N24" i="66"/>
  <c r="N23" i="66"/>
  <c r="N22" i="66"/>
  <c r="C17" i="66"/>
  <c r="C18" i="66" s="1"/>
  <c r="C19" i="66" s="1"/>
  <c r="C20" i="66" s="1"/>
  <c r="C21" i="66" s="1"/>
  <c r="C22" i="66" s="1"/>
  <c r="C23" i="66" s="1"/>
  <c r="C24" i="66" s="1"/>
  <c r="C25" i="66" s="1"/>
  <c r="C26" i="66" s="1"/>
  <c r="C27" i="66" s="1"/>
  <c r="C28" i="66" s="1"/>
  <c r="C29" i="66" s="1"/>
  <c r="C30" i="66" s="1"/>
  <c r="C31" i="66" s="1"/>
  <c r="C32" i="66" s="1"/>
  <c r="C33" i="66" s="1"/>
  <c r="C34" i="66" s="1"/>
  <c r="C35" i="66" s="1"/>
  <c r="C36" i="66" s="1"/>
  <c r="C37" i="66" s="1"/>
  <c r="C38" i="66" s="1"/>
  <c r="C39" i="66" s="1"/>
  <c r="C40" i="66" s="1"/>
  <c r="C41" i="66" s="1"/>
  <c r="C42" i="66" s="1"/>
  <c r="C43" i="66" s="1"/>
  <c r="C44" i="66" s="1"/>
  <c r="C45" i="66" s="1"/>
  <c r="C46" i="66" s="1"/>
  <c r="C47" i="66" s="1"/>
  <c r="C48" i="66" s="1"/>
  <c r="C49" i="66" s="1"/>
  <c r="C50" i="66" s="1"/>
  <c r="C51" i="66" s="1"/>
  <c r="C52" i="66" s="1"/>
  <c r="C53" i="66" s="1"/>
  <c r="C54" i="66" s="1"/>
  <c r="C55" i="66" s="1"/>
  <c r="C56" i="66" s="1"/>
  <c r="C57" i="66" s="1"/>
  <c r="C58" i="66" s="1"/>
  <c r="C59" i="66" s="1"/>
  <c r="C60" i="66" s="1"/>
  <c r="C61" i="66" s="1"/>
  <c r="C62" i="66" s="1"/>
  <c r="C63" i="66" s="1"/>
  <c r="C64" i="66" s="1"/>
  <c r="C65" i="66" s="1"/>
  <c r="C66" i="66" s="1"/>
  <c r="C67" i="66" s="1"/>
  <c r="C68" i="66" s="1"/>
  <c r="C69" i="66" s="1"/>
  <c r="C70" i="66" s="1"/>
  <c r="C71" i="66" s="1"/>
  <c r="C72" i="66" s="1"/>
  <c r="K11" i="66"/>
  <c r="I11" i="66"/>
  <c r="D8" i="66"/>
  <c r="D90" i="66" s="1"/>
  <c r="P154" i="65"/>
  <c r="O154" i="65"/>
  <c r="M154" i="65"/>
  <c r="P153" i="65"/>
  <c r="O153" i="65"/>
  <c r="M153" i="65"/>
  <c r="P152" i="65"/>
  <c r="O152" i="65"/>
  <c r="M152" i="65"/>
  <c r="P151" i="65"/>
  <c r="O151" i="65"/>
  <c r="M151" i="65"/>
  <c r="P150" i="65"/>
  <c r="O150" i="65"/>
  <c r="M150" i="65"/>
  <c r="P149" i="65"/>
  <c r="O149" i="65"/>
  <c r="M149" i="65"/>
  <c r="P148" i="65"/>
  <c r="O148" i="65"/>
  <c r="M148" i="65"/>
  <c r="P147" i="65"/>
  <c r="O147" i="65"/>
  <c r="M147" i="65"/>
  <c r="P146" i="65"/>
  <c r="O146" i="65"/>
  <c r="M146" i="65"/>
  <c r="P145" i="65"/>
  <c r="O145" i="65"/>
  <c r="M145" i="65"/>
  <c r="P144" i="65"/>
  <c r="O144" i="65"/>
  <c r="M144" i="65"/>
  <c r="P143" i="65"/>
  <c r="O143" i="65"/>
  <c r="M143" i="65"/>
  <c r="P142" i="65"/>
  <c r="O142" i="65"/>
  <c r="M142" i="65"/>
  <c r="P141" i="65"/>
  <c r="O141" i="65"/>
  <c r="M141" i="65"/>
  <c r="P140" i="65"/>
  <c r="O140" i="65"/>
  <c r="M140" i="65"/>
  <c r="P139" i="65"/>
  <c r="O139" i="65"/>
  <c r="M139" i="65"/>
  <c r="P138" i="65"/>
  <c r="O138" i="65"/>
  <c r="M138" i="65"/>
  <c r="P137" i="65"/>
  <c r="O137" i="65"/>
  <c r="M137" i="65"/>
  <c r="P136" i="65"/>
  <c r="O136" i="65"/>
  <c r="M136" i="65"/>
  <c r="P135" i="65"/>
  <c r="O135" i="65"/>
  <c r="M135" i="65"/>
  <c r="P134" i="65"/>
  <c r="O134" i="65"/>
  <c r="M134" i="65"/>
  <c r="P133" i="65"/>
  <c r="O133" i="65"/>
  <c r="M133" i="65"/>
  <c r="P132" i="65"/>
  <c r="O132" i="65"/>
  <c r="M132" i="65"/>
  <c r="P131" i="65"/>
  <c r="O131" i="65"/>
  <c r="M131" i="65"/>
  <c r="O130" i="65"/>
  <c r="M130" i="65"/>
  <c r="O129" i="65"/>
  <c r="M129" i="65"/>
  <c r="O128" i="65"/>
  <c r="M128" i="65"/>
  <c r="O127" i="65"/>
  <c r="M127" i="65"/>
  <c r="O126" i="65"/>
  <c r="M126" i="65"/>
  <c r="O125" i="65"/>
  <c r="M125" i="65"/>
  <c r="O124" i="65"/>
  <c r="M124" i="65"/>
  <c r="O123" i="65"/>
  <c r="M123" i="65"/>
  <c r="O122" i="65"/>
  <c r="M122" i="65"/>
  <c r="O121" i="65"/>
  <c r="M121" i="65"/>
  <c r="O120" i="65"/>
  <c r="M120" i="65"/>
  <c r="O119" i="65"/>
  <c r="M119" i="65"/>
  <c r="O118" i="65"/>
  <c r="M118" i="65"/>
  <c r="O117" i="65"/>
  <c r="M117" i="65"/>
  <c r="O116" i="65"/>
  <c r="M116" i="65"/>
  <c r="O115" i="65"/>
  <c r="M115" i="65"/>
  <c r="O114" i="65"/>
  <c r="M114" i="65"/>
  <c r="O113" i="65"/>
  <c r="M113" i="65"/>
  <c r="O112" i="65"/>
  <c r="M112" i="65"/>
  <c r="O111" i="65"/>
  <c r="M111" i="65"/>
  <c r="O110" i="65"/>
  <c r="M110" i="65"/>
  <c r="O109" i="65"/>
  <c r="M109" i="65"/>
  <c r="O106" i="65"/>
  <c r="O105" i="65"/>
  <c r="O104" i="65"/>
  <c r="D96" i="65"/>
  <c r="L93" i="65"/>
  <c r="J93" i="65"/>
  <c r="D91" i="65"/>
  <c r="D89" i="65"/>
  <c r="N72" i="65"/>
  <c r="L72" i="65"/>
  <c r="N71" i="65"/>
  <c r="L71" i="65"/>
  <c r="N70" i="65"/>
  <c r="L70" i="65"/>
  <c r="N69" i="65"/>
  <c r="L69" i="65"/>
  <c r="N68" i="65"/>
  <c r="L68" i="65"/>
  <c r="N67" i="65"/>
  <c r="L67" i="65"/>
  <c r="N66" i="65"/>
  <c r="L66" i="65"/>
  <c r="N65" i="65"/>
  <c r="L65" i="65"/>
  <c r="N64" i="65"/>
  <c r="L64" i="65"/>
  <c r="N63" i="65"/>
  <c r="L63" i="65"/>
  <c r="N62" i="65"/>
  <c r="L62" i="65"/>
  <c r="N61" i="65"/>
  <c r="L61" i="65"/>
  <c r="N60" i="65"/>
  <c r="L60" i="65"/>
  <c r="N59" i="65"/>
  <c r="L59" i="65"/>
  <c r="N58" i="65"/>
  <c r="L58" i="65"/>
  <c r="N57" i="65"/>
  <c r="L57" i="65"/>
  <c r="N56" i="65"/>
  <c r="L56" i="65"/>
  <c r="N55" i="65"/>
  <c r="L55" i="65"/>
  <c r="N54" i="65"/>
  <c r="L54" i="65"/>
  <c r="N53" i="65"/>
  <c r="L53" i="65"/>
  <c r="N52" i="65"/>
  <c r="L52" i="65"/>
  <c r="N51" i="65"/>
  <c r="L51" i="65"/>
  <c r="N50" i="65"/>
  <c r="L50" i="65"/>
  <c r="N49" i="65"/>
  <c r="L49" i="65"/>
  <c r="N48" i="65"/>
  <c r="L48" i="65"/>
  <c r="N47" i="65"/>
  <c r="L47" i="65"/>
  <c r="N46" i="65"/>
  <c r="L46" i="65"/>
  <c r="N45" i="65"/>
  <c r="L45" i="65"/>
  <c r="N44" i="65"/>
  <c r="L44" i="65"/>
  <c r="N43" i="65"/>
  <c r="L43" i="65"/>
  <c r="N42" i="65"/>
  <c r="L42" i="65"/>
  <c r="N41" i="65"/>
  <c r="L41" i="65"/>
  <c r="N40" i="65"/>
  <c r="L40" i="65"/>
  <c r="N39" i="65"/>
  <c r="L39" i="65"/>
  <c r="N38" i="65"/>
  <c r="L38" i="65"/>
  <c r="N37" i="65"/>
  <c r="L37" i="65"/>
  <c r="N36" i="65"/>
  <c r="L36" i="65"/>
  <c r="N35" i="65"/>
  <c r="L35" i="65"/>
  <c r="N34" i="65"/>
  <c r="L34" i="65"/>
  <c r="N33" i="65"/>
  <c r="L33" i="65"/>
  <c r="N32" i="65"/>
  <c r="L32" i="65"/>
  <c r="N31" i="65"/>
  <c r="L31" i="65"/>
  <c r="N30" i="65"/>
  <c r="L30" i="65"/>
  <c r="N29" i="65"/>
  <c r="L29" i="65"/>
  <c r="N28" i="65"/>
  <c r="L28" i="65"/>
  <c r="N26" i="65"/>
  <c r="N25" i="65"/>
  <c r="N24" i="65"/>
  <c r="N23" i="65"/>
  <c r="N22" i="65"/>
  <c r="O22" i="65" s="1"/>
  <c r="C17" i="65"/>
  <c r="C18" i="65" s="1"/>
  <c r="C19" i="65" s="1"/>
  <c r="C20" i="65" s="1"/>
  <c r="C21" i="65" s="1"/>
  <c r="C22" i="65" s="1"/>
  <c r="C23" i="65" s="1"/>
  <c r="C24" i="65" s="1"/>
  <c r="C25" i="65" s="1"/>
  <c r="C26" i="65" s="1"/>
  <c r="C27" i="65" s="1"/>
  <c r="C28" i="65" s="1"/>
  <c r="C29" i="65" s="1"/>
  <c r="C30" i="65" s="1"/>
  <c r="C31" i="65" s="1"/>
  <c r="C32" i="65" s="1"/>
  <c r="C33" i="65" s="1"/>
  <c r="C34" i="65" s="1"/>
  <c r="C35" i="65" s="1"/>
  <c r="C36" i="65" s="1"/>
  <c r="C37" i="65" s="1"/>
  <c r="C38" i="65" s="1"/>
  <c r="C39" i="65" s="1"/>
  <c r="C40" i="65" s="1"/>
  <c r="C41" i="65" s="1"/>
  <c r="C42" i="65" s="1"/>
  <c r="C43" i="65" s="1"/>
  <c r="C44" i="65" s="1"/>
  <c r="C45" i="65" s="1"/>
  <c r="C46" i="65" s="1"/>
  <c r="C47" i="65" s="1"/>
  <c r="C48" i="65" s="1"/>
  <c r="C49" i="65" s="1"/>
  <c r="C50" i="65" s="1"/>
  <c r="C51" i="65" s="1"/>
  <c r="C52" i="65" s="1"/>
  <c r="C53" i="65" s="1"/>
  <c r="C54" i="65" s="1"/>
  <c r="C55" i="65" s="1"/>
  <c r="C56" i="65" s="1"/>
  <c r="C57" i="65" s="1"/>
  <c r="C58" i="65" s="1"/>
  <c r="C59" i="65" s="1"/>
  <c r="C60" i="65" s="1"/>
  <c r="C61" i="65" s="1"/>
  <c r="C62" i="65" s="1"/>
  <c r="C63" i="65" s="1"/>
  <c r="C64" i="65" s="1"/>
  <c r="C65" i="65" s="1"/>
  <c r="C66" i="65" s="1"/>
  <c r="C67" i="65" s="1"/>
  <c r="C68" i="65" s="1"/>
  <c r="C69" i="65" s="1"/>
  <c r="C70" i="65" s="1"/>
  <c r="C71" i="65" s="1"/>
  <c r="C72" i="65" s="1"/>
  <c r="K11" i="65"/>
  <c r="I11" i="65"/>
  <c r="D8" i="65"/>
  <c r="D90" i="65" s="1"/>
  <c r="P154" i="64"/>
  <c r="O154" i="64"/>
  <c r="M154" i="64"/>
  <c r="P153" i="64"/>
  <c r="O153" i="64"/>
  <c r="M153" i="64"/>
  <c r="P152" i="64"/>
  <c r="O152" i="64"/>
  <c r="M152" i="64"/>
  <c r="P151" i="64"/>
  <c r="O151" i="64"/>
  <c r="M151" i="64"/>
  <c r="P150" i="64"/>
  <c r="O150" i="64"/>
  <c r="M150" i="64"/>
  <c r="P149" i="64"/>
  <c r="O149" i="64"/>
  <c r="M149" i="64"/>
  <c r="P148" i="64"/>
  <c r="O148" i="64"/>
  <c r="M148" i="64"/>
  <c r="P147" i="64"/>
  <c r="O147" i="64"/>
  <c r="M147" i="64"/>
  <c r="P146" i="64"/>
  <c r="O146" i="64"/>
  <c r="M146" i="64"/>
  <c r="P145" i="64"/>
  <c r="O145" i="64"/>
  <c r="M145" i="64"/>
  <c r="P144" i="64"/>
  <c r="O144" i="64"/>
  <c r="M144" i="64"/>
  <c r="P143" i="64"/>
  <c r="O143" i="64"/>
  <c r="M143" i="64"/>
  <c r="P142" i="64"/>
  <c r="O142" i="64"/>
  <c r="M142" i="64"/>
  <c r="P141" i="64"/>
  <c r="O141" i="64"/>
  <c r="M141" i="64"/>
  <c r="P140" i="64"/>
  <c r="O140" i="64"/>
  <c r="M140" i="64"/>
  <c r="P139" i="64"/>
  <c r="O139" i="64"/>
  <c r="M139" i="64"/>
  <c r="P138" i="64"/>
  <c r="O138" i="64"/>
  <c r="M138" i="64"/>
  <c r="P137" i="64"/>
  <c r="O137" i="64"/>
  <c r="M137" i="64"/>
  <c r="P136" i="64"/>
  <c r="O136" i="64"/>
  <c r="M136" i="64"/>
  <c r="P135" i="64"/>
  <c r="O135" i="64"/>
  <c r="M135" i="64"/>
  <c r="P134" i="64"/>
  <c r="O134" i="64"/>
  <c r="M134" i="64"/>
  <c r="P133" i="64"/>
  <c r="O133" i="64"/>
  <c r="M133" i="64"/>
  <c r="P132" i="64"/>
  <c r="O132" i="64"/>
  <c r="M132" i="64"/>
  <c r="P131" i="64"/>
  <c r="O131" i="64"/>
  <c r="M131" i="64"/>
  <c r="O130" i="64"/>
  <c r="M130" i="64"/>
  <c r="O129" i="64"/>
  <c r="M129" i="64"/>
  <c r="O128" i="64"/>
  <c r="M128" i="64"/>
  <c r="O127" i="64"/>
  <c r="M127" i="64"/>
  <c r="O126" i="64"/>
  <c r="M126" i="64"/>
  <c r="O125" i="64"/>
  <c r="M125" i="64"/>
  <c r="O124" i="64"/>
  <c r="M124" i="64"/>
  <c r="O123" i="64"/>
  <c r="M123" i="64"/>
  <c r="O122" i="64"/>
  <c r="M122" i="64"/>
  <c r="O121" i="64"/>
  <c r="M121" i="64"/>
  <c r="O120" i="64"/>
  <c r="M120" i="64"/>
  <c r="O119" i="64"/>
  <c r="M119" i="64"/>
  <c r="O118" i="64"/>
  <c r="M118" i="64"/>
  <c r="O117" i="64"/>
  <c r="M117" i="64"/>
  <c r="O116" i="64"/>
  <c r="M116" i="64"/>
  <c r="O115" i="64"/>
  <c r="M115" i="64"/>
  <c r="O114" i="64"/>
  <c r="M114" i="64"/>
  <c r="O113" i="64"/>
  <c r="M113" i="64"/>
  <c r="O112" i="64"/>
  <c r="M112" i="64"/>
  <c r="O111" i="64"/>
  <c r="M111" i="64"/>
  <c r="O110" i="64"/>
  <c r="M110" i="64"/>
  <c r="O107" i="64"/>
  <c r="O106" i="64"/>
  <c r="O105" i="64"/>
  <c r="O104" i="64"/>
  <c r="D96" i="64"/>
  <c r="L93" i="64"/>
  <c r="J93" i="64"/>
  <c r="D91" i="64"/>
  <c r="D89" i="64"/>
  <c r="N72" i="64"/>
  <c r="L72" i="64"/>
  <c r="N71" i="64"/>
  <c r="L71" i="64"/>
  <c r="N70" i="64"/>
  <c r="L70" i="64"/>
  <c r="N69" i="64"/>
  <c r="L69" i="64"/>
  <c r="N68" i="64"/>
  <c r="L68" i="64"/>
  <c r="N67" i="64"/>
  <c r="L67" i="64"/>
  <c r="N66" i="64"/>
  <c r="L66" i="64"/>
  <c r="N65" i="64"/>
  <c r="L65" i="64"/>
  <c r="N64" i="64"/>
  <c r="L64" i="64"/>
  <c r="N63" i="64"/>
  <c r="L63" i="64"/>
  <c r="N62" i="64"/>
  <c r="L62" i="64"/>
  <c r="N61" i="64"/>
  <c r="L61" i="64"/>
  <c r="N60" i="64"/>
  <c r="L60" i="64"/>
  <c r="N59" i="64"/>
  <c r="L59" i="64"/>
  <c r="N58" i="64"/>
  <c r="L58" i="64"/>
  <c r="N57" i="64"/>
  <c r="L57" i="64"/>
  <c r="N56" i="64"/>
  <c r="L56" i="64"/>
  <c r="N55" i="64"/>
  <c r="L55" i="64"/>
  <c r="N54" i="64"/>
  <c r="L54" i="64"/>
  <c r="N53" i="64"/>
  <c r="L53" i="64"/>
  <c r="N52" i="64"/>
  <c r="L52" i="64"/>
  <c r="N51" i="64"/>
  <c r="L51" i="64"/>
  <c r="N50" i="64"/>
  <c r="L50" i="64"/>
  <c r="N49" i="64"/>
  <c r="L49" i="64"/>
  <c r="N48" i="64"/>
  <c r="L48" i="64"/>
  <c r="N47" i="64"/>
  <c r="L47" i="64"/>
  <c r="N46" i="64"/>
  <c r="L46" i="64"/>
  <c r="N45" i="64"/>
  <c r="L45" i="64"/>
  <c r="N44" i="64"/>
  <c r="L44" i="64"/>
  <c r="N43" i="64"/>
  <c r="L43" i="64"/>
  <c r="N42" i="64"/>
  <c r="L42" i="64"/>
  <c r="N41" i="64"/>
  <c r="L41" i="64"/>
  <c r="N40" i="64"/>
  <c r="L40" i="64"/>
  <c r="N39" i="64"/>
  <c r="L39" i="64"/>
  <c r="N38" i="64"/>
  <c r="L38" i="64"/>
  <c r="N37" i="64"/>
  <c r="L37" i="64"/>
  <c r="N36" i="64"/>
  <c r="L36" i="64"/>
  <c r="N35" i="64"/>
  <c r="L35" i="64"/>
  <c r="N34" i="64"/>
  <c r="L34" i="64"/>
  <c r="N33" i="64"/>
  <c r="L33" i="64"/>
  <c r="N32" i="64"/>
  <c r="L32" i="64"/>
  <c r="N31" i="64"/>
  <c r="L31" i="64"/>
  <c r="N30" i="64"/>
  <c r="L30" i="64"/>
  <c r="N29" i="64"/>
  <c r="L29" i="64"/>
  <c r="N27" i="64"/>
  <c r="N26" i="64"/>
  <c r="N25" i="64"/>
  <c r="N24" i="64"/>
  <c r="N23" i="64"/>
  <c r="O23" i="64" s="1"/>
  <c r="C17" i="64"/>
  <c r="C18" i="64" s="1"/>
  <c r="C19" i="64" s="1"/>
  <c r="C20" i="64" s="1"/>
  <c r="C21" i="64" s="1"/>
  <c r="C22" i="64" s="1"/>
  <c r="C23" i="64" s="1"/>
  <c r="C24" i="64" s="1"/>
  <c r="C25" i="64" s="1"/>
  <c r="C26" i="64" s="1"/>
  <c r="C27" i="64" s="1"/>
  <c r="C28" i="64" s="1"/>
  <c r="C29" i="64" s="1"/>
  <c r="C30" i="64" s="1"/>
  <c r="C31" i="64" s="1"/>
  <c r="C32" i="64" s="1"/>
  <c r="C33" i="64" s="1"/>
  <c r="C34" i="64" s="1"/>
  <c r="C35" i="64" s="1"/>
  <c r="C36" i="64" s="1"/>
  <c r="C37" i="64" s="1"/>
  <c r="C38" i="64" s="1"/>
  <c r="C39" i="64" s="1"/>
  <c r="C40" i="64" s="1"/>
  <c r="C41" i="64" s="1"/>
  <c r="C42" i="64" s="1"/>
  <c r="C43" i="64" s="1"/>
  <c r="C44" i="64" s="1"/>
  <c r="C45" i="64" s="1"/>
  <c r="C46" i="64" s="1"/>
  <c r="C47" i="64" s="1"/>
  <c r="C48" i="64" s="1"/>
  <c r="C49" i="64" s="1"/>
  <c r="C50" i="64" s="1"/>
  <c r="C51" i="64" s="1"/>
  <c r="C52" i="64" s="1"/>
  <c r="C53" i="64" s="1"/>
  <c r="C54" i="64" s="1"/>
  <c r="C55" i="64" s="1"/>
  <c r="C56" i="64" s="1"/>
  <c r="C57" i="64" s="1"/>
  <c r="C58" i="64" s="1"/>
  <c r="C59" i="64" s="1"/>
  <c r="C60" i="64" s="1"/>
  <c r="C61" i="64" s="1"/>
  <c r="C62" i="64" s="1"/>
  <c r="C63" i="64" s="1"/>
  <c r="C64" i="64" s="1"/>
  <c r="C65" i="64" s="1"/>
  <c r="C66" i="64" s="1"/>
  <c r="C67" i="64" s="1"/>
  <c r="C68" i="64" s="1"/>
  <c r="C69" i="64" s="1"/>
  <c r="C70" i="64" s="1"/>
  <c r="C71" i="64" s="1"/>
  <c r="C72" i="64" s="1"/>
  <c r="K11" i="64"/>
  <c r="I11" i="64"/>
  <c r="D8" i="64"/>
  <c r="D90" i="64" s="1"/>
  <c r="D94" i="60"/>
  <c r="D92" i="60"/>
  <c r="D94" i="62"/>
  <c r="D94" i="63"/>
  <c r="D94" i="61"/>
  <c r="D93" i="61"/>
  <c r="C99" i="61" s="1"/>
  <c r="C100" i="61" s="1"/>
  <c r="C101" i="61" s="1"/>
  <c r="C102" i="61" s="1"/>
  <c r="C103" i="61" s="1"/>
  <c r="C104" i="61" s="1"/>
  <c r="C105" i="61" s="1"/>
  <c r="C106" i="61" s="1"/>
  <c r="C107" i="61" s="1"/>
  <c r="C108" i="61" s="1"/>
  <c r="C109" i="61" s="1"/>
  <c r="C110" i="61" s="1"/>
  <c r="C111" i="61" s="1"/>
  <c r="C112" i="61" s="1"/>
  <c r="C113" i="61" s="1"/>
  <c r="C114" i="61" s="1"/>
  <c r="C115" i="61" s="1"/>
  <c r="C116" i="61" s="1"/>
  <c r="C117" i="61" s="1"/>
  <c r="C118" i="61" s="1"/>
  <c r="C119" i="61" s="1"/>
  <c r="C120" i="61" s="1"/>
  <c r="C121" i="61" s="1"/>
  <c r="C122" i="61" s="1"/>
  <c r="C123" i="61" s="1"/>
  <c r="C124" i="61" s="1"/>
  <c r="C125" i="61" s="1"/>
  <c r="C126" i="61" s="1"/>
  <c r="C127" i="61" s="1"/>
  <c r="C128" i="61" s="1"/>
  <c r="C129" i="61" s="1"/>
  <c r="C130" i="61" s="1"/>
  <c r="C131" i="61" s="1"/>
  <c r="C132" i="61" s="1"/>
  <c r="C133" i="61" s="1"/>
  <c r="C134" i="61" s="1"/>
  <c r="C135" i="61" s="1"/>
  <c r="C136" i="61" s="1"/>
  <c r="C137" i="61" s="1"/>
  <c r="C138" i="61" s="1"/>
  <c r="C139" i="61" s="1"/>
  <c r="C140" i="61" s="1"/>
  <c r="C141" i="61" s="1"/>
  <c r="C142" i="61" s="1"/>
  <c r="C143" i="61" s="1"/>
  <c r="C144" i="61" s="1"/>
  <c r="C145" i="61" s="1"/>
  <c r="C146" i="61" s="1"/>
  <c r="C147" i="61" s="1"/>
  <c r="C148" i="61" s="1"/>
  <c r="C149" i="61" s="1"/>
  <c r="C150" i="61" s="1"/>
  <c r="C151" i="61" s="1"/>
  <c r="C152" i="61" s="1"/>
  <c r="C153" i="61" s="1"/>
  <c r="C154" i="61" s="1"/>
  <c r="D94" i="59"/>
  <c r="D93" i="59"/>
  <c r="C99" i="59" s="1"/>
  <c r="C100" i="59" s="1"/>
  <c r="C101" i="59" s="1"/>
  <c r="C102" i="59" s="1"/>
  <c r="C103" i="59" s="1"/>
  <c r="C104" i="59" s="1"/>
  <c r="C105" i="59" s="1"/>
  <c r="C106" i="59" s="1"/>
  <c r="C107" i="59" s="1"/>
  <c r="C108" i="59" s="1"/>
  <c r="C109" i="59" s="1"/>
  <c r="C110" i="59" s="1"/>
  <c r="C111" i="59" s="1"/>
  <c r="C112" i="59" s="1"/>
  <c r="C113" i="59" s="1"/>
  <c r="C114" i="59" s="1"/>
  <c r="C115" i="59" s="1"/>
  <c r="C116" i="59" s="1"/>
  <c r="C117" i="59" s="1"/>
  <c r="C118" i="59" s="1"/>
  <c r="C119" i="59" s="1"/>
  <c r="C120" i="59" s="1"/>
  <c r="C121" i="59" s="1"/>
  <c r="C122" i="59" s="1"/>
  <c r="C123" i="59" s="1"/>
  <c r="C124" i="59" s="1"/>
  <c r="C125" i="59" s="1"/>
  <c r="C126" i="59" s="1"/>
  <c r="C127" i="59" s="1"/>
  <c r="C128" i="59" s="1"/>
  <c r="C129" i="59" s="1"/>
  <c r="C130" i="59" s="1"/>
  <c r="C131" i="59" s="1"/>
  <c r="C132" i="59" s="1"/>
  <c r="C133" i="59" s="1"/>
  <c r="C134" i="59" s="1"/>
  <c r="C135" i="59" s="1"/>
  <c r="C136" i="59" s="1"/>
  <c r="C137" i="59" s="1"/>
  <c r="C138" i="59" s="1"/>
  <c r="C139" i="59" s="1"/>
  <c r="C140" i="59" s="1"/>
  <c r="C141" i="59" s="1"/>
  <c r="C142" i="59" s="1"/>
  <c r="C143" i="59" s="1"/>
  <c r="C144" i="59" s="1"/>
  <c r="C145" i="59" s="1"/>
  <c r="C146" i="59" s="1"/>
  <c r="C147" i="59" s="1"/>
  <c r="C148" i="59" s="1"/>
  <c r="C149" i="59" s="1"/>
  <c r="C150" i="59" s="1"/>
  <c r="C151" i="59" s="1"/>
  <c r="C152" i="59" s="1"/>
  <c r="C153" i="59" s="1"/>
  <c r="C154" i="59" s="1"/>
  <c r="M22" i="34"/>
  <c r="N22" i="34" s="1"/>
  <c r="K22" i="34"/>
  <c r="L22" i="34" s="1"/>
  <c r="M21" i="22"/>
  <c r="N21" i="22" s="1"/>
  <c r="K21" i="22"/>
  <c r="L21" i="22" s="1"/>
  <c r="M22" i="23"/>
  <c r="N22" i="23" s="1"/>
  <c r="K22" i="23"/>
  <c r="L22" i="23" s="1"/>
  <c r="M22" i="24"/>
  <c r="N22" i="24" s="1"/>
  <c r="K22" i="24"/>
  <c r="L22" i="24" s="1"/>
  <c r="M23" i="27"/>
  <c r="N23" i="27" s="1"/>
  <c r="K23" i="27"/>
  <c r="L23" i="27" s="1"/>
  <c r="M24" i="28"/>
  <c r="N24" i="28" s="1"/>
  <c r="K24" i="28"/>
  <c r="L24" i="28" s="1"/>
  <c r="M23" i="29"/>
  <c r="N23" i="29" s="1"/>
  <c r="K23" i="29"/>
  <c r="L23" i="29" s="1"/>
  <c r="M23" i="30"/>
  <c r="N23" i="30" s="1"/>
  <c r="K23" i="30"/>
  <c r="L23" i="30" s="1"/>
  <c r="M22" i="31"/>
  <c r="N22" i="31" s="1"/>
  <c r="K22" i="31"/>
  <c r="L22" i="31" s="1"/>
  <c r="M22" i="32"/>
  <c r="N22" i="32" s="1"/>
  <c r="K22" i="32"/>
  <c r="L22" i="32" s="1"/>
  <c r="M20" i="39"/>
  <c r="N20" i="39" s="1"/>
  <c r="K20" i="39"/>
  <c r="L20" i="39" s="1"/>
  <c r="M20" i="41"/>
  <c r="N20" i="41" s="1"/>
  <c r="K20" i="41"/>
  <c r="L20" i="41" s="1"/>
  <c r="M20" i="42"/>
  <c r="N20" i="42" s="1"/>
  <c r="K20" i="42"/>
  <c r="L20" i="42" s="1"/>
  <c r="M20" i="43"/>
  <c r="N20" i="43" s="1"/>
  <c r="K20" i="43"/>
  <c r="L20" i="43" s="1"/>
  <c r="M20" i="44"/>
  <c r="N20" i="44" s="1"/>
  <c r="K20" i="44"/>
  <c r="L20" i="44" s="1"/>
  <c r="M19" i="45"/>
  <c r="N19" i="45" s="1"/>
  <c r="K19" i="45"/>
  <c r="L19" i="45" s="1"/>
  <c r="M18" i="46"/>
  <c r="N18" i="46" s="1"/>
  <c r="K18" i="46"/>
  <c r="L18" i="46" s="1"/>
  <c r="M18" i="53"/>
  <c r="N18" i="53" s="1"/>
  <c r="K18" i="53"/>
  <c r="L18" i="53" s="1"/>
  <c r="M18" i="54"/>
  <c r="N18" i="54" s="1"/>
  <c r="K18" i="54"/>
  <c r="L18" i="54" s="1"/>
  <c r="M18" i="55"/>
  <c r="N18" i="55" s="1"/>
  <c r="K18" i="55"/>
  <c r="L18" i="55" s="1"/>
  <c r="M18" i="56"/>
  <c r="N18" i="56" s="1"/>
  <c r="K18" i="56"/>
  <c r="L18" i="56" s="1"/>
  <c r="M18" i="57"/>
  <c r="N18" i="57" s="1"/>
  <c r="K18" i="57"/>
  <c r="L18" i="57" s="1"/>
  <c r="M18" i="58"/>
  <c r="N18" i="58" s="1"/>
  <c r="K18" i="58"/>
  <c r="L18" i="58" s="1"/>
  <c r="M17" i="59"/>
  <c r="N17" i="59" s="1"/>
  <c r="K17" i="59"/>
  <c r="L17" i="59" s="1"/>
  <c r="M17" i="61"/>
  <c r="N17" i="61" s="1"/>
  <c r="K17" i="61"/>
  <c r="L17" i="61" s="1"/>
  <c r="M17" i="63"/>
  <c r="N17" i="63" s="1"/>
  <c r="K17" i="63"/>
  <c r="L17" i="63" s="1"/>
  <c r="M17" i="62"/>
  <c r="N17" i="62" s="1"/>
  <c r="K17" i="62"/>
  <c r="L17" i="62" s="1"/>
  <c r="M17" i="60"/>
  <c r="N17" i="60" s="1"/>
  <c r="K17" i="60"/>
  <c r="L17" i="60" s="1"/>
  <c r="N99" i="58"/>
  <c r="O99" i="58" s="1"/>
  <c r="L99" i="58"/>
  <c r="M99" i="58" s="1"/>
  <c r="N99" i="57"/>
  <c r="O99" i="57" s="1"/>
  <c r="L99" i="57"/>
  <c r="M99" i="57" s="1"/>
  <c r="N99" i="56"/>
  <c r="O99" i="56" s="1"/>
  <c r="L99" i="56"/>
  <c r="M99" i="56" s="1"/>
  <c r="N99" i="55"/>
  <c r="O99" i="55" s="1"/>
  <c r="L99" i="55"/>
  <c r="M99" i="55" s="1"/>
  <c r="N99" i="54"/>
  <c r="O99" i="54" s="1"/>
  <c r="L99" i="54"/>
  <c r="M99" i="54" s="1"/>
  <c r="N99" i="53"/>
  <c r="O99" i="53" s="1"/>
  <c r="L99" i="53"/>
  <c r="M99" i="53" s="1"/>
  <c r="N99" i="46"/>
  <c r="O99" i="46" s="1"/>
  <c r="L99" i="46"/>
  <c r="M99" i="46" s="1"/>
  <c r="N100" i="45"/>
  <c r="O100" i="45" s="1"/>
  <c r="L100" i="45"/>
  <c r="M100" i="45" s="1"/>
  <c r="N101" i="44"/>
  <c r="O101" i="44" s="1"/>
  <c r="L101" i="44"/>
  <c r="M101" i="44" s="1"/>
  <c r="N101" i="43"/>
  <c r="O101" i="43" s="1"/>
  <c r="L101" i="43"/>
  <c r="M101" i="43" s="1"/>
  <c r="N101" i="42"/>
  <c r="O101" i="42" s="1"/>
  <c r="L101" i="42"/>
  <c r="M101" i="42" s="1"/>
  <c r="N101" i="41"/>
  <c r="O101" i="41" s="1"/>
  <c r="L101" i="41"/>
  <c r="M101" i="41" s="1"/>
  <c r="N101" i="39"/>
  <c r="O101" i="39" s="1"/>
  <c r="L101" i="39"/>
  <c r="M101" i="39" s="1"/>
  <c r="N103" i="35"/>
  <c r="O103" i="35" s="1"/>
  <c r="L103" i="35"/>
  <c r="M103" i="35" s="1"/>
  <c r="N103" i="34"/>
  <c r="O103" i="34" s="1"/>
  <c r="L103" i="34"/>
  <c r="M103" i="34" s="1"/>
  <c r="N103" i="32"/>
  <c r="O103" i="32" s="1"/>
  <c r="L103" i="32"/>
  <c r="M103" i="32" s="1"/>
  <c r="N103" i="31"/>
  <c r="O103" i="31" s="1"/>
  <c r="L103" i="31"/>
  <c r="M103" i="31" s="1"/>
  <c r="N104" i="30"/>
  <c r="O104" i="30" s="1"/>
  <c r="L104" i="30"/>
  <c r="M104" i="30" s="1"/>
  <c r="N104" i="29"/>
  <c r="O104" i="29" s="1"/>
  <c r="L104" i="29"/>
  <c r="M104" i="29" s="1"/>
  <c r="N105" i="28"/>
  <c r="O105" i="28" s="1"/>
  <c r="L105" i="28"/>
  <c r="M105" i="28" s="1"/>
  <c r="N104" i="27"/>
  <c r="O104" i="27" s="1"/>
  <c r="L104" i="27"/>
  <c r="M104" i="27" s="1"/>
  <c r="N103" i="24"/>
  <c r="O103" i="24" s="1"/>
  <c r="L103" i="24"/>
  <c r="M103" i="24" s="1"/>
  <c r="N103" i="23"/>
  <c r="O103" i="23" s="1"/>
  <c r="L103" i="23"/>
  <c r="M103" i="23" s="1"/>
  <c r="N102" i="22"/>
  <c r="O102" i="22" s="1"/>
  <c r="L102" i="22"/>
  <c r="M102" i="22" s="1"/>
  <c r="N102" i="21"/>
  <c r="O102" i="21" s="1"/>
  <c r="L102" i="21"/>
  <c r="M102" i="21" s="1"/>
  <c r="M21" i="21"/>
  <c r="N21" i="21" s="1"/>
  <c r="K21" i="21"/>
  <c r="L21" i="21" s="1"/>
  <c r="M21" i="20"/>
  <c r="N21" i="20" s="1"/>
  <c r="K21" i="20"/>
  <c r="L21" i="20" s="1"/>
  <c r="N102" i="20"/>
  <c r="O102" i="20" s="1"/>
  <c r="L102" i="20"/>
  <c r="M102" i="20" s="1"/>
  <c r="N102" i="19"/>
  <c r="O102" i="19" s="1"/>
  <c r="L102" i="19"/>
  <c r="M102" i="19" s="1"/>
  <c r="M21" i="19"/>
  <c r="N21" i="19" s="1"/>
  <c r="K21" i="19"/>
  <c r="L21" i="19" s="1"/>
  <c r="N102" i="18"/>
  <c r="O102" i="18" s="1"/>
  <c r="L102" i="18"/>
  <c r="M102" i="18" s="1"/>
  <c r="M21" i="18"/>
  <c r="N21" i="18" s="1"/>
  <c r="K21" i="18"/>
  <c r="L21" i="18" s="1"/>
  <c r="N102" i="17"/>
  <c r="O102" i="17" s="1"/>
  <c r="L102" i="17"/>
  <c r="M102" i="17" s="1"/>
  <c r="M21" i="17"/>
  <c r="N21" i="17" s="1"/>
  <c r="K21" i="17"/>
  <c r="L21" i="17" s="1"/>
  <c r="N102" i="3"/>
  <c r="O102" i="3" s="1"/>
  <c r="L102" i="3"/>
  <c r="M102" i="3" s="1"/>
  <c r="M21" i="3"/>
  <c r="N21" i="3" s="1"/>
  <c r="K21" i="3"/>
  <c r="L21" i="3" s="1"/>
  <c r="Q60" i="1"/>
  <c r="Q60" i="2"/>
  <c r="Q58" i="3"/>
  <c r="Q58" i="17"/>
  <c r="Q58" i="18"/>
  <c r="Q58" i="19"/>
  <c r="Q58" i="20"/>
  <c r="Q58" i="21"/>
  <c r="Q58" i="22"/>
  <c r="Q58" i="23"/>
  <c r="Q58" i="24"/>
  <c r="Q58" i="25"/>
  <c r="Q58" i="26"/>
  <c r="Q58" i="27"/>
  <c r="Q58" i="28"/>
  <c r="Q58" i="29"/>
  <c r="Q58" i="30"/>
  <c r="Q58" i="31"/>
  <c r="Q58" i="32"/>
  <c r="Q58" i="33"/>
  <c r="Q58" i="34"/>
  <c r="Q58" i="35"/>
  <c r="Q58" i="39"/>
  <c r="Q58" i="41"/>
  <c r="Q58" i="42"/>
  <c r="Q58" i="43"/>
  <c r="Q58" i="44"/>
  <c r="Q58" i="45"/>
  <c r="Q58" i="46"/>
  <c r="Q58" i="53"/>
  <c r="Q58" i="54"/>
  <c r="Q58" i="55"/>
  <c r="Q58" i="56"/>
  <c r="Q58" i="57"/>
  <c r="Q58" i="58"/>
  <c r="Q58" i="59"/>
  <c r="Q58" i="61"/>
  <c r="Q58" i="63"/>
  <c r="Q58" i="62"/>
  <c r="Q58" i="60"/>
  <c r="P83" i="60"/>
  <c r="P83" i="62"/>
  <c r="P83" i="63"/>
  <c r="P83" i="61"/>
  <c r="P83" i="59"/>
  <c r="P83" i="58"/>
  <c r="B21" i="21"/>
  <c r="N101" i="21"/>
  <c r="O101" i="21" s="1"/>
  <c r="L101" i="21"/>
  <c r="M101" i="21" s="1"/>
  <c r="I18" i="21"/>
  <c r="I19" i="21"/>
  <c r="M20" i="21"/>
  <c r="N20" i="21" s="1"/>
  <c r="K20" i="21"/>
  <c r="L20" i="21" s="1"/>
  <c r="W55" i="36"/>
  <c r="P55" i="36"/>
  <c r="W54" i="36"/>
  <c r="P54" i="36"/>
  <c r="W53" i="36"/>
  <c r="P53" i="36"/>
  <c r="W52" i="36"/>
  <c r="P52" i="36"/>
  <c r="W51" i="36"/>
  <c r="P51" i="36"/>
  <c r="P154" i="63"/>
  <c r="O154" i="63"/>
  <c r="M154" i="63"/>
  <c r="P153" i="63"/>
  <c r="O153" i="63"/>
  <c r="M153" i="63"/>
  <c r="P152" i="63"/>
  <c r="O152" i="63"/>
  <c r="M152" i="63"/>
  <c r="P151" i="63"/>
  <c r="O151" i="63"/>
  <c r="M151" i="63"/>
  <c r="P150" i="63"/>
  <c r="O150" i="63"/>
  <c r="M150" i="63"/>
  <c r="P149" i="63"/>
  <c r="O149" i="63"/>
  <c r="M149" i="63"/>
  <c r="P148" i="63"/>
  <c r="O148" i="63"/>
  <c r="M148" i="63"/>
  <c r="P147" i="63"/>
  <c r="O147" i="63"/>
  <c r="M147" i="63"/>
  <c r="P146" i="63"/>
  <c r="O146" i="63"/>
  <c r="M146" i="63"/>
  <c r="P145" i="63"/>
  <c r="O145" i="63"/>
  <c r="M145" i="63"/>
  <c r="P144" i="63"/>
  <c r="O144" i="63"/>
  <c r="M144" i="63"/>
  <c r="P143" i="63"/>
  <c r="O143" i="63"/>
  <c r="M143" i="63"/>
  <c r="P142" i="63"/>
  <c r="O142" i="63"/>
  <c r="M142" i="63"/>
  <c r="P141" i="63"/>
  <c r="O141" i="63"/>
  <c r="M141" i="63"/>
  <c r="P140" i="63"/>
  <c r="O140" i="63"/>
  <c r="M140" i="63"/>
  <c r="P139" i="63"/>
  <c r="O139" i="63"/>
  <c r="M139" i="63"/>
  <c r="P138" i="63"/>
  <c r="O138" i="63"/>
  <c r="M138" i="63"/>
  <c r="P137" i="63"/>
  <c r="O137" i="63"/>
  <c r="M137" i="63"/>
  <c r="P136" i="63"/>
  <c r="O136" i="63"/>
  <c r="M136" i="63"/>
  <c r="P135" i="63"/>
  <c r="O135" i="63"/>
  <c r="M135" i="63"/>
  <c r="P134" i="63"/>
  <c r="O134" i="63"/>
  <c r="M134" i="63"/>
  <c r="P133" i="63"/>
  <c r="O133" i="63"/>
  <c r="M133" i="63"/>
  <c r="P132" i="63"/>
  <c r="O132" i="63"/>
  <c r="M132" i="63"/>
  <c r="P131" i="63"/>
  <c r="O131" i="63"/>
  <c r="M131" i="63"/>
  <c r="O130" i="63"/>
  <c r="M130" i="63"/>
  <c r="O129" i="63"/>
  <c r="M129" i="63"/>
  <c r="O128" i="63"/>
  <c r="M128" i="63"/>
  <c r="O127" i="63"/>
  <c r="M127" i="63"/>
  <c r="O126" i="63"/>
  <c r="M126" i="63"/>
  <c r="O125" i="63"/>
  <c r="M125" i="63"/>
  <c r="O124" i="63"/>
  <c r="M124" i="63"/>
  <c r="O123" i="63"/>
  <c r="M123" i="63"/>
  <c r="O122" i="63"/>
  <c r="M122" i="63"/>
  <c r="O121" i="63"/>
  <c r="M121" i="63"/>
  <c r="O120" i="63"/>
  <c r="M120" i="63"/>
  <c r="O119" i="63"/>
  <c r="M119" i="63"/>
  <c r="O118" i="63"/>
  <c r="M118" i="63"/>
  <c r="O117" i="63"/>
  <c r="M117" i="63"/>
  <c r="O116" i="63"/>
  <c r="M116" i="63"/>
  <c r="O115" i="63"/>
  <c r="M115" i="63"/>
  <c r="O114" i="63"/>
  <c r="M114" i="63"/>
  <c r="O113" i="63"/>
  <c r="M113" i="63"/>
  <c r="O112" i="63"/>
  <c r="M112" i="63"/>
  <c r="O111" i="63"/>
  <c r="M111" i="63"/>
  <c r="O110" i="63"/>
  <c r="M110" i="63"/>
  <c r="O107" i="63"/>
  <c r="O106" i="63"/>
  <c r="O105" i="63"/>
  <c r="O104" i="63"/>
  <c r="D96" i="63"/>
  <c r="L93" i="63"/>
  <c r="J93" i="63"/>
  <c r="D91" i="63"/>
  <c r="D89" i="63"/>
  <c r="N72" i="63"/>
  <c r="L72" i="63"/>
  <c r="N71" i="63"/>
  <c r="L71" i="63"/>
  <c r="N70" i="63"/>
  <c r="L70" i="63"/>
  <c r="N69" i="63"/>
  <c r="L69" i="63"/>
  <c r="N68" i="63"/>
  <c r="L68" i="63"/>
  <c r="N67" i="63"/>
  <c r="L67" i="63"/>
  <c r="N66" i="63"/>
  <c r="L66" i="63"/>
  <c r="N65" i="63"/>
  <c r="L65" i="63"/>
  <c r="N64" i="63"/>
  <c r="L64" i="63"/>
  <c r="N63" i="63"/>
  <c r="L63" i="63"/>
  <c r="N62" i="63"/>
  <c r="L62" i="63"/>
  <c r="N61" i="63"/>
  <c r="L61" i="63"/>
  <c r="N60" i="63"/>
  <c r="L60" i="63"/>
  <c r="N59" i="63"/>
  <c r="L59" i="63"/>
  <c r="N58" i="63"/>
  <c r="L58" i="63"/>
  <c r="N57" i="63"/>
  <c r="L57" i="63"/>
  <c r="N56" i="63"/>
  <c r="L56" i="63"/>
  <c r="N55" i="63"/>
  <c r="L55" i="63"/>
  <c r="N54" i="63"/>
  <c r="L54" i="63"/>
  <c r="N53" i="63"/>
  <c r="L53" i="63"/>
  <c r="N52" i="63"/>
  <c r="L52" i="63"/>
  <c r="N51" i="63"/>
  <c r="L51" i="63"/>
  <c r="N50" i="63"/>
  <c r="L50" i="63"/>
  <c r="N49" i="63"/>
  <c r="L49" i="63"/>
  <c r="N48" i="63"/>
  <c r="L48" i="63"/>
  <c r="N47" i="63"/>
  <c r="L47" i="63"/>
  <c r="N46" i="63"/>
  <c r="L46" i="63"/>
  <c r="N45" i="63"/>
  <c r="L45" i="63"/>
  <c r="N44" i="63"/>
  <c r="L44" i="63"/>
  <c r="N43" i="63"/>
  <c r="L43" i="63"/>
  <c r="N42" i="63"/>
  <c r="L42" i="63"/>
  <c r="N41" i="63"/>
  <c r="L41" i="63"/>
  <c r="N40" i="63"/>
  <c r="L40" i="63"/>
  <c r="N39" i="63"/>
  <c r="L39" i="63"/>
  <c r="N38" i="63"/>
  <c r="L38" i="63"/>
  <c r="N37" i="63"/>
  <c r="L37" i="63"/>
  <c r="N36" i="63"/>
  <c r="L36" i="63"/>
  <c r="N35" i="63"/>
  <c r="L35" i="63"/>
  <c r="N34" i="63"/>
  <c r="L34" i="63"/>
  <c r="N33" i="63"/>
  <c r="L33" i="63"/>
  <c r="N32" i="63"/>
  <c r="L32" i="63"/>
  <c r="N31" i="63"/>
  <c r="L31" i="63"/>
  <c r="N30" i="63"/>
  <c r="L30" i="63"/>
  <c r="N29" i="63"/>
  <c r="L29" i="63"/>
  <c r="N27" i="63"/>
  <c r="N26" i="63"/>
  <c r="N25" i="63"/>
  <c r="N24" i="63"/>
  <c r="N23" i="63"/>
  <c r="C17" i="63"/>
  <c r="C18" i="63" s="1"/>
  <c r="C19" i="63" s="1"/>
  <c r="C20" i="63" s="1"/>
  <c r="C21" i="63" s="1"/>
  <c r="C22" i="63" s="1"/>
  <c r="C23" i="63" s="1"/>
  <c r="C24" i="63" s="1"/>
  <c r="C25" i="63" s="1"/>
  <c r="C26" i="63" s="1"/>
  <c r="C27" i="63" s="1"/>
  <c r="C28" i="63" s="1"/>
  <c r="C29" i="63" s="1"/>
  <c r="C30" i="63" s="1"/>
  <c r="C31" i="63" s="1"/>
  <c r="C32" i="63" s="1"/>
  <c r="C33" i="63" s="1"/>
  <c r="C34" i="63" s="1"/>
  <c r="C35" i="63" s="1"/>
  <c r="C36" i="63" s="1"/>
  <c r="C37" i="63" s="1"/>
  <c r="C38" i="63" s="1"/>
  <c r="C39" i="63" s="1"/>
  <c r="C40" i="63" s="1"/>
  <c r="C41" i="63" s="1"/>
  <c r="C42" i="63" s="1"/>
  <c r="C43" i="63" s="1"/>
  <c r="C44" i="63" s="1"/>
  <c r="C45" i="63" s="1"/>
  <c r="C46" i="63" s="1"/>
  <c r="C47" i="63" s="1"/>
  <c r="C48" i="63" s="1"/>
  <c r="C49" i="63" s="1"/>
  <c r="C50" i="63" s="1"/>
  <c r="C51" i="63" s="1"/>
  <c r="C52" i="63" s="1"/>
  <c r="C53" i="63" s="1"/>
  <c r="C54" i="63" s="1"/>
  <c r="C55" i="63" s="1"/>
  <c r="C56" i="63" s="1"/>
  <c r="C57" i="63" s="1"/>
  <c r="C58" i="63" s="1"/>
  <c r="C59" i="63" s="1"/>
  <c r="C60" i="63" s="1"/>
  <c r="C61" i="63" s="1"/>
  <c r="C62" i="63" s="1"/>
  <c r="C63" i="63" s="1"/>
  <c r="C64" i="63" s="1"/>
  <c r="C65" i="63" s="1"/>
  <c r="C66" i="63" s="1"/>
  <c r="C67" i="63" s="1"/>
  <c r="C68" i="63" s="1"/>
  <c r="C69" i="63" s="1"/>
  <c r="C70" i="63" s="1"/>
  <c r="C71" i="63" s="1"/>
  <c r="C72" i="63" s="1"/>
  <c r="K11" i="63"/>
  <c r="I11" i="63"/>
  <c r="D8" i="63"/>
  <c r="D90" i="63" s="1"/>
  <c r="P154" i="62"/>
  <c r="O154" i="62"/>
  <c r="M154" i="62"/>
  <c r="P153" i="62"/>
  <c r="O153" i="62"/>
  <c r="M153" i="62"/>
  <c r="P152" i="62"/>
  <c r="O152" i="62"/>
  <c r="M152" i="62"/>
  <c r="P151" i="62"/>
  <c r="O151" i="62"/>
  <c r="M151" i="62"/>
  <c r="P150" i="62"/>
  <c r="O150" i="62"/>
  <c r="M150" i="62"/>
  <c r="P149" i="62"/>
  <c r="O149" i="62"/>
  <c r="M149" i="62"/>
  <c r="P148" i="62"/>
  <c r="O148" i="62"/>
  <c r="M148" i="62"/>
  <c r="P147" i="62"/>
  <c r="O147" i="62"/>
  <c r="M147" i="62"/>
  <c r="P146" i="62"/>
  <c r="O146" i="62"/>
  <c r="M146" i="62"/>
  <c r="P145" i="62"/>
  <c r="O145" i="62"/>
  <c r="M145" i="62"/>
  <c r="P144" i="62"/>
  <c r="O144" i="62"/>
  <c r="M144" i="62"/>
  <c r="P143" i="62"/>
  <c r="O143" i="62"/>
  <c r="M143" i="62"/>
  <c r="P142" i="62"/>
  <c r="O142" i="62"/>
  <c r="M142" i="62"/>
  <c r="P141" i="62"/>
  <c r="O141" i="62"/>
  <c r="M141" i="62"/>
  <c r="P140" i="62"/>
  <c r="O140" i="62"/>
  <c r="M140" i="62"/>
  <c r="P139" i="62"/>
  <c r="O139" i="62"/>
  <c r="M139" i="62"/>
  <c r="P138" i="62"/>
  <c r="O138" i="62"/>
  <c r="M138" i="62"/>
  <c r="P137" i="62"/>
  <c r="O137" i="62"/>
  <c r="M137" i="62"/>
  <c r="P136" i="62"/>
  <c r="O136" i="62"/>
  <c r="M136" i="62"/>
  <c r="P135" i="62"/>
  <c r="O135" i="62"/>
  <c r="M135" i="62"/>
  <c r="P134" i="62"/>
  <c r="O134" i="62"/>
  <c r="M134" i="62"/>
  <c r="P133" i="62"/>
  <c r="O133" i="62"/>
  <c r="M133" i="62"/>
  <c r="P132" i="62"/>
  <c r="O132" i="62"/>
  <c r="M132" i="62"/>
  <c r="P131" i="62"/>
  <c r="O131" i="62"/>
  <c r="M131" i="62"/>
  <c r="O130" i="62"/>
  <c r="M130" i="62"/>
  <c r="O129" i="62"/>
  <c r="M129" i="62"/>
  <c r="O128" i="62"/>
  <c r="M128" i="62"/>
  <c r="O127" i="62"/>
  <c r="M127" i="62"/>
  <c r="O126" i="62"/>
  <c r="M126" i="62"/>
  <c r="O125" i="62"/>
  <c r="M125" i="62"/>
  <c r="O124" i="62"/>
  <c r="M124" i="62"/>
  <c r="O123" i="62"/>
  <c r="M123" i="62"/>
  <c r="O122" i="62"/>
  <c r="M122" i="62"/>
  <c r="O121" i="62"/>
  <c r="M121" i="62"/>
  <c r="O120" i="62"/>
  <c r="M120" i="62"/>
  <c r="O119" i="62"/>
  <c r="M119" i="62"/>
  <c r="O118" i="62"/>
  <c r="M118" i="62"/>
  <c r="O117" i="62"/>
  <c r="M117" i="62"/>
  <c r="O116" i="62"/>
  <c r="M116" i="62"/>
  <c r="O115" i="62"/>
  <c r="M115" i="62"/>
  <c r="O114" i="62"/>
  <c r="M114" i="62"/>
  <c r="O113" i="62"/>
  <c r="M113" i="62"/>
  <c r="O112" i="62"/>
  <c r="M112" i="62"/>
  <c r="O111" i="62"/>
  <c r="M111" i="62"/>
  <c r="O110" i="62"/>
  <c r="M110" i="62"/>
  <c r="O107" i="62"/>
  <c r="O106" i="62"/>
  <c r="O105" i="62"/>
  <c r="O104" i="62"/>
  <c r="D96" i="62"/>
  <c r="L93" i="62"/>
  <c r="J93" i="62"/>
  <c r="D91" i="62"/>
  <c r="D89" i="62"/>
  <c r="N72" i="62"/>
  <c r="L72" i="62"/>
  <c r="N71" i="62"/>
  <c r="L71" i="62"/>
  <c r="N70" i="62"/>
  <c r="L70" i="62"/>
  <c r="N69" i="62"/>
  <c r="L69" i="62"/>
  <c r="N68" i="62"/>
  <c r="L68" i="62"/>
  <c r="N67" i="62"/>
  <c r="L67" i="62"/>
  <c r="N66" i="62"/>
  <c r="L66" i="62"/>
  <c r="N65" i="62"/>
  <c r="L65" i="62"/>
  <c r="N64" i="62"/>
  <c r="L64" i="62"/>
  <c r="N63" i="62"/>
  <c r="L63" i="62"/>
  <c r="N62" i="62"/>
  <c r="L62" i="62"/>
  <c r="N61" i="62"/>
  <c r="L61" i="62"/>
  <c r="N60" i="62"/>
  <c r="L60" i="62"/>
  <c r="N59" i="62"/>
  <c r="L59" i="62"/>
  <c r="N58" i="62"/>
  <c r="L58" i="62"/>
  <c r="N57" i="62"/>
  <c r="L57" i="62"/>
  <c r="N56" i="62"/>
  <c r="L56" i="62"/>
  <c r="N55" i="62"/>
  <c r="L55" i="62"/>
  <c r="N54" i="62"/>
  <c r="L54" i="62"/>
  <c r="N53" i="62"/>
  <c r="L53" i="62"/>
  <c r="N52" i="62"/>
  <c r="L52" i="62"/>
  <c r="N51" i="62"/>
  <c r="L51" i="62"/>
  <c r="N50" i="62"/>
  <c r="L50" i="62"/>
  <c r="N49" i="62"/>
  <c r="L49" i="62"/>
  <c r="N48" i="62"/>
  <c r="L48" i="62"/>
  <c r="N47" i="62"/>
  <c r="L47" i="62"/>
  <c r="N46" i="62"/>
  <c r="L46" i="62"/>
  <c r="N45" i="62"/>
  <c r="L45" i="62"/>
  <c r="N44" i="62"/>
  <c r="L44" i="62"/>
  <c r="N43" i="62"/>
  <c r="L43" i="62"/>
  <c r="N42" i="62"/>
  <c r="L42" i="62"/>
  <c r="N41" i="62"/>
  <c r="L41" i="62"/>
  <c r="N40" i="62"/>
  <c r="L40" i="62"/>
  <c r="N39" i="62"/>
  <c r="L39" i="62"/>
  <c r="N38" i="62"/>
  <c r="L38" i="62"/>
  <c r="N37" i="62"/>
  <c r="L37" i="62"/>
  <c r="N36" i="62"/>
  <c r="L36" i="62"/>
  <c r="N35" i="62"/>
  <c r="L35" i="62"/>
  <c r="N34" i="62"/>
  <c r="L34" i="62"/>
  <c r="N33" i="62"/>
  <c r="L33" i="62"/>
  <c r="N32" i="62"/>
  <c r="L32" i="62"/>
  <c r="N31" i="62"/>
  <c r="L31" i="62"/>
  <c r="N30" i="62"/>
  <c r="L30" i="62"/>
  <c r="N29" i="62"/>
  <c r="L29" i="62"/>
  <c r="N27" i="62"/>
  <c r="N26" i="62"/>
  <c r="N25" i="62"/>
  <c r="N24" i="62"/>
  <c r="N23" i="62"/>
  <c r="O23" i="62" s="1"/>
  <c r="C17" i="62"/>
  <c r="C18" i="62" s="1"/>
  <c r="C19" i="62" s="1"/>
  <c r="C20" i="62" s="1"/>
  <c r="C21" i="62" s="1"/>
  <c r="C22" i="62" s="1"/>
  <c r="C23" i="62" s="1"/>
  <c r="C24" i="62" s="1"/>
  <c r="C25" i="62" s="1"/>
  <c r="C26" i="62" s="1"/>
  <c r="C27" i="62" s="1"/>
  <c r="C28" i="62" s="1"/>
  <c r="C29" i="62" s="1"/>
  <c r="C30" i="62" s="1"/>
  <c r="C31" i="62" s="1"/>
  <c r="C32" i="62" s="1"/>
  <c r="C33" i="62" s="1"/>
  <c r="C34" i="62" s="1"/>
  <c r="C35" i="62" s="1"/>
  <c r="C36" i="62" s="1"/>
  <c r="C37" i="62" s="1"/>
  <c r="C38" i="62" s="1"/>
  <c r="C39" i="62" s="1"/>
  <c r="C40" i="62" s="1"/>
  <c r="C41" i="62" s="1"/>
  <c r="C42" i="62" s="1"/>
  <c r="C43" i="62" s="1"/>
  <c r="C44" i="62" s="1"/>
  <c r="C45" i="62" s="1"/>
  <c r="C46" i="62" s="1"/>
  <c r="C47" i="62" s="1"/>
  <c r="C48" i="62" s="1"/>
  <c r="C49" i="62" s="1"/>
  <c r="C50" i="62" s="1"/>
  <c r="C51" i="62" s="1"/>
  <c r="C52" i="62" s="1"/>
  <c r="C53" i="62" s="1"/>
  <c r="C54" i="62" s="1"/>
  <c r="C55" i="62" s="1"/>
  <c r="C56" i="62" s="1"/>
  <c r="C57" i="62" s="1"/>
  <c r="C58" i="62" s="1"/>
  <c r="C59" i="62" s="1"/>
  <c r="C60" i="62" s="1"/>
  <c r="C61" i="62" s="1"/>
  <c r="C62" i="62" s="1"/>
  <c r="C63" i="62" s="1"/>
  <c r="C64" i="62" s="1"/>
  <c r="C65" i="62" s="1"/>
  <c r="C66" i="62" s="1"/>
  <c r="C67" i="62" s="1"/>
  <c r="C68" i="62" s="1"/>
  <c r="C69" i="62" s="1"/>
  <c r="C70" i="62" s="1"/>
  <c r="C71" i="62" s="1"/>
  <c r="C72" i="62" s="1"/>
  <c r="K11" i="62"/>
  <c r="I11" i="62"/>
  <c r="D8" i="62"/>
  <c r="D90" i="62" s="1"/>
  <c r="P154" i="61"/>
  <c r="O154" i="61"/>
  <c r="M154" i="61"/>
  <c r="P153" i="61"/>
  <c r="O153" i="61"/>
  <c r="M153" i="61"/>
  <c r="P152" i="61"/>
  <c r="O152" i="61"/>
  <c r="M152" i="61"/>
  <c r="P151" i="61"/>
  <c r="O151" i="61"/>
  <c r="M151" i="61"/>
  <c r="P150" i="61"/>
  <c r="O150" i="61"/>
  <c r="M150" i="61"/>
  <c r="P149" i="61"/>
  <c r="O149" i="61"/>
  <c r="M149" i="61"/>
  <c r="P148" i="61"/>
  <c r="O148" i="61"/>
  <c r="M148" i="61"/>
  <c r="P147" i="61"/>
  <c r="O147" i="61"/>
  <c r="M147" i="61"/>
  <c r="P146" i="61"/>
  <c r="O146" i="61"/>
  <c r="M146" i="61"/>
  <c r="P145" i="61"/>
  <c r="O145" i="61"/>
  <c r="M145" i="61"/>
  <c r="P144" i="61"/>
  <c r="O144" i="61"/>
  <c r="M144" i="61"/>
  <c r="P143" i="61"/>
  <c r="O143" i="61"/>
  <c r="M143" i="61"/>
  <c r="P142" i="61"/>
  <c r="O142" i="61"/>
  <c r="M142" i="61"/>
  <c r="P141" i="61"/>
  <c r="O141" i="61"/>
  <c r="M141" i="61"/>
  <c r="P140" i="61"/>
  <c r="O140" i="61"/>
  <c r="M140" i="61"/>
  <c r="P139" i="61"/>
  <c r="O139" i="61"/>
  <c r="M139" i="61"/>
  <c r="P138" i="61"/>
  <c r="O138" i="61"/>
  <c r="M138" i="61"/>
  <c r="P137" i="61"/>
  <c r="O137" i="61"/>
  <c r="M137" i="61"/>
  <c r="P136" i="61"/>
  <c r="O136" i="61"/>
  <c r="M136" i="61"/>
  <c r="P135" i="61"/>
  <c r="O135" i="61"/>
  <c r="M135" i="61"/>
  <c r="P134" i="61"/>
  <c r="O134" i="61"/>
  <c r="M134" i="61"/>
  <c r="P133" i="61"/>
  <c r="O133" i="61"/>
  <c r="M133" i="61"/>
  <c r="P132" i="61"/>
  <c r="O132" i="61"/>
  <c r="M132" i="61"/>
  <c r="P131" i="61"/>
  <c r="O131" i="61"/>
  <c r="M131" i="61"/>
  <c r="O130" i="61"/>
  <c r="M130" i="61"/>
  <c r="O129" i="61"/>
  <c r="M129" i="61"/>
  <c r="O128" i="61"/>
  <c r="M128" i="61"/>
  <c r="O127" i="61"/>
  <c r="M127" i="61"/>
  <c r="O126" i="61"/>
  <c r="M126" i="61"/>
  <c r="O125" i="61"/>
  <c r="M125" i="61"/>
  <c r="O124" i="61"/>
  <c r="M124" i="61"/>
  <c r="O123" i="61"/>
  <c r="M123" i="61"/>
  <c r="O122" i="61"/>
  <c r="M122" i="61"/>
  <c r="O121" i="61"/>
  <c r="M121" i="61"/>
  <c r="O120" i="61"/>
  <c r="M120" i="61"/>
  <c r="O119" i="61"/>
  <c r="M119" i="61"/>
  <c r="O118" i="61"/>
  <c r="M118" i="61"/>
  <c r="O117" i="61"/>
  <c r="M117" i="61"/>
  <c r="O116" i="61"/>
  <c r="M116" i="61"/>
  <c r="O115" i="61"/>
  <c r="M115" i="61"/>
  <c r="O114" i="61"/>
  <c r="M114" i="61"/>
  <c r="O113" i="61"/>
  <c r="M113" i="61"/>
  <c r="O112" i="61"/>
  <c r="M112" i="61"/>
  <c r="O111" i="61"/>
  <c r="M111" i="61"/>
  <c r="O110" i="61"/>
  <c r="M110" i="61"/>
  <c r="O107" i="61"/>
  <c r="O106" i="61"/>
  <c r="O105" i="61"/>
  <c r="O104" i="61"/>
  <c r="D96" i="61"/>
  <c r="L93" i="61"/>
  <c r="J93" i="61"/>
  <c r="D91" i="61"/>
  <c r="D89" i="61"/>
  <c r="N72" i="61"/>
  <c r="L72" i="61"/>
  <c r="N71" i="61"/>
  <c r="L71" i="61"/>
  <c r="N70" i="61"/>
  <c r="L70" i="61"/>
  <c r="N69" i="61"/>
  <c r="L69" i="61"/>
  <c r="N68" i="61"/>
  <c r="L68" i="61"/>
  <c r="N67" i="61"/>
  <c r="L67" i="61"/>
  <c r="N66" i="61"/>
  <c r="L66" i="61"/>
  <c r="N65" i="61"/>
  <c r="L65" i="61"/>
  <c r="N64" i="61"/>
  <c r="L64" i="61"/>
  <c r="N63" i="61"/>
  <c r="L63" i="61"/>
  <c r="N62" i="61"/>
  <c r="L62" i="61"/>
  <c r="N61" i="61"/>
  <c r="L61" i="61"/>
  <c r="N60" i="61"/>
  <c r="L60" i="61"/>
  <c r="N59" i="61"/>
  <c r="L59" i="61"/>
  <c r="N58" i="61"/>
  <c r="L58" i="61"/>
  <c r="N57" i="61"/>
  <c r="L57" i="61"/>
  <c r="N56" i="61"/>
  <c r="L56" i="61"/>
  <c r="N55" i="61"/>
  <c r="L55" i="61"/>
  <c r="N54" i="61"/>
  <c r="L54" i="61"/>
  <c r="N53" i="61"/>
  <c r="L53" i="61"/>
  <c r="N52" i="61"/>
  <c r="L52" i="61"/>
  <c r="N51" i="61"/>
  <c r="L51" i="61"/>
  <c r="N50" i="61"/>
  <c r="L50" i="61"/>
  <c r="N49" i="61"/>
  <c r="L49" i="61"/>
  <c r="N48" i="61"/>
  <c r="L48" i="61"/>
  <c r="N47" i="61"/>
  <c r="L47" i="61"/>
  <c r="N46" i="61"/>
  <c r="L46" i="61"/>
  <c r="N45" i="61"/>
  <c r="L45" i="61"/>
  <c r="N44" i="61"/>
  <c r="L44" i="61"/>
  <c r="N43" i="61"/>
  <c r="L43" i="61"/>
  <c r="N42" i="61"/>
  <c r="L42" i="61"/>
  <c r="N41" i="61"/>
  <c r="L41" i="61"/>
  <c r="N40" i="61"/>
  <c r="L40" i="61"/>
  <c r="N39" i="61"/>
  <c r="L39" i="61"/>
  <c r="N38" i="61"/>
  <c r="L38" i="61"/>
  <c r="N37" i="61"/>
  <c r="L37" i="61"/>
  <c r="N36" i="61"/>
  <c r="L36" i="61"/>
  <c r="N35" i="61"/>
  <c r="L35" i="61"/>
  <c r="N34" i="61"/>
  <c r="L34" i="61"/>
  <c r="N33" i="61"/>
  <c r="L33" i="61"/>
  <c r="N32" i="61"/>
  <c r="L32" i="61"/>
  <c r="N31" i="61"/>
  <c r="L31" i="61"/>
  <c r="N30" i="61"/>
  <c r="L30" i="61"/>
  <c r="N29" i="61"/>
  <c r="L29" i="61"/>
  <c r="N27" i="61"/>
  <c r="N26" i="61"/>
  <c r="N25" i="61"/>
  <c r="N24" i="61"/>
  <c r="O24" i="61" s="1"/>
  <c r="N23" i="61"/>
  <c r="C17" i="61"/>
  <c r="C18" i="61" s="1"/>
  <c r="C19" i="61" s="1"/>
  <c r="C20" i="61" s="1"/>
  <c r="C21" i="61" s="1"/>
  <c r="C22" i="61" s="1"/>
  <c r="C23" i="61" s="1"/>
  <c r="C24" i="61" s="1"/>
  <c r="C25" i="61" s="1"/>
  <c r="C26" i="61" s="1"/>
  <c r="C27" i="61" s="1"/>
  <c r="C28" i="61" s="1"/>
  <c r="C29" i="61" s="1"/>
  <c r="C30" i="61" s="1"/>
  <c r="C31" i="61" s="1"/>
  <c r="C32" i="61" s="1"/>
  <c r="C33" i="61" s="1"/>
  <c r="C34" i="61" s="1"/>
  <c r="C35" i="61" s="1"/>
  <c r="C36" i="61" s="1"/>
  <c r="C37" i="61" s="1"/>
  <c r="C38" i="61" s="1"/>
  <c r="C39" i="61" s="1"/>
  <c r="C40" i="61" s="1"/>
  <c r="C41" i="61" s="1"/>
  <c r="C42" i="61" s="1"/>
  <c r="C43" i="61" s="1"/>
  <c r="C44" i="61" s="1"/>
  <c r="C45" i="61" s="1"/>
  <c r="C46" i="61" s="1"/>
  <c r="C47" i="61" s="1"/>
  <c r="C48" i="61" s="1"/>
  <c r="C49" i="61" s="1"/>
  <c r="C50" i="61" s="1"/>
  <c r="C51" i="61" s="1"/>
  <c r="C52" i="61" s="1"/>
  <c r="C53" i="61" s="1"/>
  <c r="C54" i="61" s="1"/>
  <c r="C55" i="61" s="1"/>
  <c r="C56" i="61" s="1"/>
  <c r="C57" i="61" s="1"/>
  <c r="C58" i="61" s="1"/>
  <c r="C59" i="61" s="1"/>
  <c r="C60" i="61" s="1"/>
  <c r="C61" i="61" s="1"/>
  <c r="C62" i="61" s="1"/>
  <c r="C63" i="61" s="1"/>
  <c r="C64" i="61" s="1"/>
  <c r="C65" i="61" s="1"/>
  <c r="C66" i="61" s="1"/>
  <c r="C67" i="61" s="1"/>
  <c r="C68" i="61" s="1"/>
  <c r="C69" i="61" s="1"/>
  <c r="C70" i="61" s="1"/>
  <c r="C71" i="61" s="1"/>
  <c r="C72" i="61" s="1"/>
  <c r="K11" i="61"/>
  <c r="I11" i="61"/>
  <c r="D8" i="61"/>
  <c r="D90" i="61" s="1"/>
  <c r="P154" i="60"/>
  <c r="O154" i="60"/>
  <c r="M154" i="60"/>
  <c r="P153" i="60"/>
  <c r="O153" i="60"/>
  <c r="M153" i="60"/>
  <c r="P152" i="60"/>
  <c r="O152" i="60"/>
  <c r="M152" i="60"/>
  <c r="P151" i="60"/>
  <c r="O151" i="60"/>
  <c r="M151" i="60"/>
  <c r="P150" i="60"/>
  <c r="O150" i="60"/>
  <c r="M150" i="60"/>
  <c r="P149" i="60"/>
  <c r="O149" i="60"/>
  <c r="M149" i="60"/>
  <c r="P148" i="60"/>
  <c r="O148" i="60"/>
  <c r="M148" i="60"/>
  <c r="P147" i="60"/>
  <c r="O147" i="60"/>
  <c r="M147" i="60"/>
  <c r="P146" i="60"/>
  <c r="O146" i="60"/>
  <c r="M146" i="60"/>
  <c r="P145" i="60"/>
  <c r="O145" i="60"/>
  <c r="M145" i="60"/>
  <c r="P144" i="60"/>
  <c r="O144" i="60"/>
  <c r="M144" i="60"/>
  <c r="P143" i="60"/>
  <c r="O143" i="60"/>
  <c r="M143" i="60"/>
  <c r="P142" i="60"/>
  <c r="O142" i="60"/>
  <c r="M142" i="60"/>
  <c r="P141" i="60"/>
  <c r="O141" i="60"/>
  <c r="M141" i="60"/>
  <c r="P140" i="60"/>
  <c r="O140" i="60"/>
  <c r="M140" i="60"/>
  <c r="P139" i="60"/>
  <c r="O139" i="60"/>
  <c r="M139" i="60"/>
  <c r="P138" i="60"/>
  <c r="O138" i="60"/>
  <c r="M138" i="60"/>
  <c r="P137" i="60"/>
  <c r="O137" i="60"/>
  <c r="M137" i="60"/>
  <c r="P136" i="60"/>
  <c r="O136" i="60"/>
  <c r="M136" i="60"/>
  <c r="P135" i="60"/>
  <c r="O135" i="60"/>
  <c r="M135" i="60"/>
  <c r="P134" i="60"/>
  <c r="O134" i="60"/>
  <c r="M134" i="60"/>
  <c r="P133" i="60"/>
  <c r="O133" i="60"/>
  <c r="M133" i="60"/>
  <c r="P132" i="60"/>
  <c r="O132" i="60"/>
  <c r="M132" i="60"/>
  <c r="P131" i="60"/>
  <c r="O131" i="60"/>
  <c r="M131" i="60"/>
  <c r="O130" i="60"/>
  <c r="M130" i="60"/>
  <c r="O129" i="60"/>
  <c r="M129" i="60"/>
  <c r="O128" i="60"/>
  <c r="M128" i="60"/>
  <c r="O127" i="60"/>
  <c r="M127" i="60"/>
  <c r="O126" i="60"/>
  <c r="M126" i="60"/>
  <c r="O125" i="60"/>
  <c r="M125" i="60"/>
  <c r="O124" i="60"/>
  <c r="M124" i="60"/>
  <c r="O123" i="60"/>
  <c r="M123" i="60"/>
  <c r="O122" i="60"/>
  <c r="M122" i="60"/>
  <c r="O121" i="60"/>
  <c r="M121" i="60"/>
  <c r="O120" i="60"/>
  <c r="M120" i="60"/>
  <c r="O119" i="60"/>
  <c r="M119" i="60"/>
  <c r="O118" i="60"/>
  <c r="M118" i="60"/>
  <c r="O117" i="60"/>
  <c r="M117" i="60"/>
  <c r="O116" i="60"/>
  <c r="M116" i="60"/>
  <c r="O115" i="60"/>
  <c r="M115" i="60"/>
  <c r="O114" i="60"/>
  <c r="M114" i="60"/>
  <c r="O113" i="60"/>
  <c r="M113" i="60"/>
  <c r="O112" i="60"/>
  <c r="M112" i="60"/>
  <c r="O111" i="60"/>
  <c r="M111" i="60"/>
  <c r="O110" i="60"/>
  <c r="M110" i="60"/>
  <c r="O107" i="60"/>
  <c r="O106" i="60"/>
  <c r="O105" i="60"/>
  <c r="O104" i="60"/>
  <c r="D96" i="60"/>
  <c r="L93" i="60"/>
  <c r="J93" i="60"/>
  <c r="D91" i="60"/>
  <c r="D89" i="60"/>
  <c r="N72" i="60"/>
  <c r="L72" i="60"/>
  <c r="N71" i="60"/>
  <c r="L71" i="60"/>
  <c r="N70" i="60"/>
  <c r="L70" i="60"/>
  <c r="N69" i="60"/>
  <c r="L69" i="60"/>
  <c r="N68" i="60"/>
  <c r="L68" i="60"/>
  <c r="N67" i="60"/>
  <c r="L67" i="60"/>
  <c r="N66" i="60"/>
  <c r="L66" i="60"/>
  <c r="N65" i="60"/>
  <c r="L65" i="60"/>
  <c r="N64" i="60"/>
  <c r="L64" i="60"/>
  <c r="N63" i="60"/>
  <c r="L63" i="60"/>
  <c r="N62" i="60"/>
  <c r="L62" i="60"/>
  <c r="N61" i="60"/>
  <c r="L61" i="60"/>
  <c r="N60" i="60"/>
  <c r="L60" i="60"/>
  <c r="N59" i="60"/>
  <c r="L59" i="60"/>
  <c r="N58" i="60"/>
  <c r="L58" i="60"/>
  <c r="N57" i="60"/>
  <c r="L57" i="60"/>
  <c r="N56" i="60"/>
  <c r="L56" i="60"/>
  <c r="N55" i="60"/>
  <c r="L55" i="60"/>
  <c r="N54" i="60"/>
  <c r="L54" i="60"/>
  <c r="N53" i="60"/>
  <c r="L53" i="60"/>
  <c r="N52" i="60"/>
  <c r="L52" i="60"/>
  <c r="N51" i="60"/>
  <c r="L51" i="60"/>
  <c r="N50" i="60"/>
  <c r="L50" i="60"/>
  <c r="N49" i="60"/>
  <c r="L49" i="60"/>
  <c r="N48" i="60"/>
  <c r="L48" i="60"/>
  <c r="N47" i="60"/>
  <c r="L47" i="60"/>
  <c r="N46" i="60"/>
  <c r="L46" i="60"/>
  <c r="N45" i="60"/>
  <c r="L45" i="60"/>
  <c r="N44" i="60"/>
  <c r="L44" i="60"/>
  <c r="N43" i="60"/>
  <c r="L43" i="60"/>
  <c r="N42" i="60"/>
  <c r="L42" i="60"/>
  <c r="N41" i="60"/>
  <c r="L41" i="60"/>
  <c r="N40" i="60"/>
  <c r="L40" i="60"/>
  <c r="N39" i="60"/>
  <c r="L39" i="60"/>
  <c r="N38" i="60"/>
  <c r="L38" i="60"/>
  <c r="N37" i="60"/>
  <c r="L37" i="60"/>
  <c r="N36" i="60"/>
  <c r="L36" i="60"/>
  <c r="N35" i="60"/>
  <c r="L35" i="60"/>
  <c r="N34" i="60"/>
  <c r="L34" i="60"/>
  <c r="N33" i="60"/>
  <c r="L33" i="60"/>
  <c r="N32" i="60"/>
  <c r="L32" i="60"/>
  <c r="N31" i="60"/>
  <c r="L31" i="60"/>
  <c r="N30" i="60"/>
  <c r="L30" i="60"/>
  <c r="N29" i="60"/>
  <c r="L29" i="60"/>
  <c r="N27" i="60"/>
  <c r="N26" i="60"/>
  <c r="N25" i="60"/>
  <c r="N24" i="60"/>
  <c r="N23" i="60"/>
  <c r="C17" i="60"/>
  <c r="C18" i="60" s="1"/>
  <c r="C19" i="60" s="1"/>
  <c r="C20" i="60" s="1"/>
  <c r="C21" i="60" s="1"/>
  <c r="C22" i="60" s="1"/>
  <c r="C23" i="60" s="1"/>
  <c r="C24" i="60" s="1"/>
  <c r="C25" i="60" s="1"/>
  <c r="C26" i="60" s="1"/>
  <c r="C27" i="60" s="1"/>
  <c r="C28" i="60" s="1"/>
  <c r="C29" i="60" s="1"/>
  <c r="C30" i="60" s="1"/>
  <c r="C31" i="60" s="1"/>
  <c r="C32" i="60" s="1"/>
  <c r="C33" i="60" s="1"/>
  <c r="C34" i="60" s="1"/>
  <c r="C35" i="60" s="1"/>
  <c r="C36" i="60" s="1"/>
  <c r="C37" i="60" s="1"/>
  <c r="C38" i="60" s="1"/>
  <c r="C39" i="60" s="1"/>
  <c r="C40" i="60" s="1"/>
  <c r="C41" i="60" s="1"/>
  <c r="C42" i="60" s="1"/>
  <c r="C43" i="60" s="1"/>
  <c r="C44" i="60" s="1"/>
  <c r="C45" i="60" s="1"/>
  <c r="C46" i="60" s="1"/>
  <c r="C47" i="60" s="1"/>
  <c r="C48" i="60" s="1"/>
  <c r="C49" i="60" s="1"/>
  <c r="C50" i="60" s="1"/>
  <c r="C51" i="60" s="1"/>
  <c r="C52" i="60" s="1"/>
  <c r="C53" i="60" s="1"/>
  <c r="C54" i="60" s="1"/>
  <c r="C55" i="60" s="1"/>
  <c r="C56" i="60" s="1"/>
  <c r="C57" i="60" s="1"/>
  <c r="C58" i="60" s="1"/>
  <c r="C59" i="60" s="1"/>
  <c r="C60" i="60" s="1"/>
  <c r="C61" i="60" s="1"/>
  <c r="C62" i="60" s="1"/>
  <c r="C63" i="60" s="1"/>
  <c r="C64" i="60" s="1"/>
  <c r="C65" i="60" s="1"/>
  <c r="C66" i="60" s="1"/>
  <c r="C67" i="60" s="1"/>
  <c r="C68" i="60" s="1"/>
  <c r="C69" i="60" s="1"/>
  <c r="C70" i="60" s="1"/>
  <c r="C71" i="60" s="1"/>
  <c r="C72" i="60" s="1"/>
  <c r="K11" i="60"/>
  <c r="I11" i="60"/>
  <c r="D8" i="60"/>
  <c r="D90" i="60" s="1"/>
  <c r="P154" i="59"/>
  <c r="O154" i="59"/>
  <c r="M154" i="59"/>
  <c r="P153" i="59"/>
  <c r="O153" i="59"/>
  <c r="M153" i="59"/>
  <c r="P152" i="59"/>
  <c r="O152" i="59"/>
  <c r="M152" i="59"/>
  <c r="P151" i="59"/>
  <c r="O151" i="59"/>
  <c r="M151" i="59"/>
  <c r="P150" i="59"/>
  <c r="O150" i="59"/>
  <c r="M150" i="59"/>
  <c r="P149" i="59"/>
  <c r="O149" i="59"/>
  <c r="M149" i="59"/>
  <c r="P148" i="59"/>
  <c r="O148" i="59"/>
  <c r="M148" i="59"/>
  <c r="P147" i="59"/>
  <c r="O147" i="59"/>
  <c r="M147" i="59"/>
  <c r="P146" i="59"/>
  <c r="O146" i="59"/>
  <c r="M146" i="59"/>
  <c r="P145" i="59"/>
  <c r="O145" i="59"/>
  <c r="M145" i="59"/>
  <c r="P144" i="59"/>
  <c r="O144" i="59"/>
  <c r="M144" i="59"/>
  <c r="P143" i="59"/>
  <c r="O143" i="59"/>
  <c r="M143" i="59"/>
  <c r="P142" i="59"/>
  <c r="O142" i="59"/>
  <c r="M142" i="59"/>
  <c r="P141" i="59"/>
  <c r="O141" i="59"/>
  <c r="M141" i="59"/>
  <c r="P140" i="59"/>
  <c r="O140" i="59"/>
  <c r="M140" i="59"/>
  <c r="P139" i="59"/>
  <c r="O139" i="59"/>
  <c r="M139" i="59"/>
  <c r="P138" i="59"/>
  <c r="O138" i="59"/>
  <c r="M138" i="59"/>
  <c r="P137" i="59"/>
  <c r="O137" i="59"/>
  <c r="M137" i="59"/>
  <c r="P136" i="59"/>
  <c r="O136" i="59"/>
  <c r="M136" i="59"/>
  <c r="P135" i="59"/>
  <c r="O135" i="59"/>
  <c r="M135" i="59"/>
  <c r="P134" i="59"/>
  <c r="O134" i="59"/>
  <c r="M134" i="59"/>
  <c r="P133" i="59"/>
  <c r="O133" i="59"/>
  <c r="M133" i="59"/>
  <c r="P132" i="59"/>
  <c r="O132" i="59"/>
  <c r="M132" i="59"/>
  <c r="P131" i="59"/>
  <c r="O131" i="59"/>
  <c r="M131" i="59"/>
  <c r="O130" i="59"/>
  <c r="M130" i="59"/>
  <c r="O129" i="59"/>
  <c r="M129" i="59"/>
  <c r="O128" i="59"/>
  <c r="M128" i="59"/>
  <c r="O127" i="59"/>
  <c r="M127" i="59"/>
  <c r="O126" i="59"/>
  <c r="M126" i="59"/>
  <c r="O125" i="59"/>
  <c r="M125" i="59"/>
  <c r="O124" i="59"/>
  <c r="M124" i="59"/>
  <c r="O123" i="59"/>
  <c r="M123" i="59"/>
  <c r="O122" i="59"/>
  <c r="M122" i="59"/>
  <c r="O121" i="59"/>
  <c r="M121" i="59"/>
  <c r="O120" i="59"/>
  <c r="M120" i="59"/>
  <c r="O119" i="59"/>
  <c r="M119" i="59"/>
  <c r="O118" i="59"/>
  <c r="M118" i="59"/>
  <c r="O117" i="59"/>
  <c r="M117" i="59"/>
  <c r="O116" i="59"/>
  <c r="M116" i="59"/>
  <c r="O115" i="59"/>
  <c r="M115" i="59"/>
  <c r="O114" i="59"/>
  <c r="M114" i="59"/>
  <c r="O113" i="59"/>
  <c r="M113" i="59"/>
  <c r="O112" i="59"/>
  <c r="M112" i="59"/>
  <c r="O111" i="59"/>
  <c r="M111" i="59"/>
  <c r="O110" i="59"/>
  <c r="M110" i="59"/>
  <c r="O107" i="59"/>
  <c r="O106" i="59"/>
  <c r="O105" i="59"/>
  <c r="O104" i="59"/>
  <c r="D96" i="59"/>
  <c r="L93" i="59"/>
  <c r="J93" i="59"/>
  <c r="D91" i="59"/>
  <c r="D89" i="59"/>
  <c r="N72" i="59"/>
  <c r="L72" i="59"/>
  <c r="N71" i="59"/>
  <c r="L71" i="59"/>
  <c r="N70" i="59"/>
  <c r="L70" i="59"/>
  <c r="N69" i="59"/>
  <c r="L69" i="59"/>
  <c r="N68" i="59"/>
  <c r="L68" i="59"/>
  <c r="N67" i="59"/>
  <c r="L67" i="59"/>
  <c r="N66" i="59"/>
  <c r="L66" i="59"/>
  <c r="N65" i="59"/>
  <c r="L65" i="59"/>
  <c r="N64" i="59"/>
  <c r="L64" i="59"/>
  <c r="N63" i="59"/>
  <c r="L63" i="59"/>
  <c r="N62" i="59"/>
  <c r="L62" i="59"/>
  <c r="N61" i="59"/>
  <c r="L61" i="59"/>
  <c r="N60" i="59"/>
  <c r="L60" i="59"/>
  <c r="N59" i="59"/>
  <c r="L59" i="59"/>
  <c r="N58" i="59"/>
  <c r="L58" i="59"/>
  <c r="N57" i="59"/>
  <c r="L57" i="59"/>
  <c r="N56" i="59"/>
  <c r="L56" i="59"/>
  <c r="N55" i="59"/>
  <c r="L55" i="59"/>
  <c r="N54" i="59"/>
  <c r="L54" i="59"/>
  <c r="N53" i="59"/>
  <c r="L53" i="59"/>
  <c r="N52" i="59"/>
  <c r="L52" i="59"/>
  <c r="N51" i="59"/>
  <c r="L51" i="59"/>
  <c r="N50" i="59"/>
  <c r="L50" i="59"/>
  <c r="N49" i="59"/>
  <c r="L49" i="59"/>
  <c r="N48" i="59"/>
  <c r="L48" i="59"/>
  <c r="N47" i="59"/>
  <c r="L47" i="59"/>
  <c r="N46" i="59"/>
  <c r="L46" i="59"/>
  <c r="N45" i="59"/>
  <c r="L45" i="59"/>
  <c r="N44" i="59"/>
  <c r="L44" i="59"/>
  <c r="N43" i="59"/>
  <c r="L43" i="59"/>
  <c r="N42" i="59"/>
  <c r="L42" i="59"/>
  <c r="N41" i="59"/>
  <c r="L41" i="59"/>
  <c r="N40" i="59"/>
  <c r="L40" i="59"/>
  <c r="N39" i="59"/>
  <c r="L39" i="59"/>
  <c r="N38" i="59"/>
  <c r="L38" i="59"/>
  <c r="N37" i="59"/>
  <c r="L37" i="59"/>
  <c r="N36" i="59"/>
  <c r="L36" i="59"/>
  <c r="N35" i="59"/>
  <c r="L35" i="59"/>
  <c r="N34" i="59"/>
  <c r="L34" i="59"/>
  <c r="N33" i="59"/>
  <c r="L33" i="59"/>
  <c r="N32" i="59"/>
  <c r="L32" i="59"/>
  <c r="N31" i="59"/>
  <c r="L31" i="59"/>
  <c r="N30" i="59"/>
  <c r="L30" i="59"/>
  <c r="N29" i="59"/>
  <c r="L29" i="59"/>
  <c r="N27" i="59"/>
  <c r="N26" i="59"/>
  <c r="N25" i="59"/>
  <c r="N24" i="59"/>
  <c r="N23" i="59"/>
  <c r="C17" i="59"/>
  <c r="C18" i="59" s="1"/>
  <c r="C19" i="59" s="1"/>
  <c r="C20" i="59" s="1"/>
  <c r="C21" i="59" s="1"/>
  <c r="C22" i="59" s="1"/>
  <c r="C23" i="59" s="1"/>
  <c r="C24" i="59" s="1"/>
  <c r="C25" i="59" s="1"/>
  <c r="C26" i="59" s="1"/>
  <c r="C27" i="59" s="1"/>
  <c r="C28" i="59" s="1"/>
  <c r="C29" i="59" s="1"/>
  <c r="C30" i="59" s="1"/>
  <c r="C31" i="59" s="1"/>
  <c r="C32" i="59" s="1"/>
  <c r="C33" i="59" s="1"/>
  <c r="C34" i="59" s="1"/>
  <c r="C35" i="59" s="1"/>
  <c r="C36" i="59" s="1"/>
  <c r="C37" i="59" s="1"/>
  <c r="C38" i="59" s="1"/>
  <c r="C39" i="59" s="1"/>
  <c r="C40" i="59" s="1"/>
  <c r="C41" i="59" s="1"/>
  <c r="C42" i="59" s="1"/>
  <c r="C43" i="59" s="1"/>
  <c r="C44" i="59" s="1"/>
  <c r="C45" i="59" s="1"/>
  <c r="C46" i="59" s="1"/>
  <c r="C47" i="59" s="1"/>
  <c r="C48" i="59" s="1"/>
  <c r="C49" i="59" s="1"/>
  <c r="C50" i="59" s="1"/>
  <c r="C51" i="59" s="1"/>
  <c r="C52" i="59" s="1"/>
  <c r="C53" i="59" s="1"/>
  <c r="C54" i="59" s="1"/>
  <c r="C55" i="59" s="1"/>
  <c r="C56" i="59" s="1"/>
  <c r="C57" i="59" s="1"/>
  <c r="C58" i="59" s="1"/>
  <c r="C59" i="59" s="1"/>
  <c r="C60" i="59" s="1"/>
  <c r="C61" i="59" s="1"/>
  <c r="C62" i="59" s="1"/>
  <c r="C63" i="59" s="1"/>
  <c r="C64" i="59" s="1"/>
  <c r="C65" i="59" s="1"/>
  <c r="C66" i="59" s="1"/>
  <c r="C67" i="59" s="1"/>
  <c r="C68" i="59" s="1"/>
  <c r="C69" i="59" s="1"/>
  <c r="C70" i="59" s="1"/>
  <c r="C71" i="59" s="1"/>
  <c r="C72" i="59" s="1"/>
  <c r="K11" i="59"/>
  <c r="I11" i="59"/>
  <c r="D8" i="59"/>
  <c r="D90" i="59" s="1"/>
  <c r="M17" i="58"/>
  <c r="N17" i="58" s="1"/>
  <c r="K17" i="58"/>
  <c r="L17" i="58" s="1"/>
  <c r="M17" i="57"/>
  <c r="N17" i="57" s="1"/>
  <c r="K17" i="57"/>
  <c r="L17" i="57" s="1"/>
  <c r="M17" i="56"/>
  <c r="N17" i="56" s="1"/>
  <c r="K17" i="56"/>
  <c r="L17" i="56" s="1"/>
  <c r="M17" i="55"/>
  <c r="N17" i="55" s="1"/>
  <c r="K17" i="55"/>
  <c r="L17" i="55" s="1"/>
  <c r="M17" i="54"/>
  <c r="N17" i="54" s="1"/>
  <c r="K17" i="54"/>
  <c r="L17" i="54" s="1"/>
  <c r="M17" i="53"/>
  <c r="N17" i="53" s="1"/>
  <c r="K17" i="53"/>
  <c r="L17" i="53" s="1"/>
  <c r="M17" i="46"/>
  <c r="N17" i="46" s="1"/>
  <c r="K17" i="46"/>
  <c r="L17" i="46" s="1"/>
  <c r="N99" i="45"/>
  <c r="O99" i="45" s="1"/>
  <c r="L99" i="45"/>
  <c r="M99" i="45" s="1"/>
  <c r="M18" i="45"/>
  <c r="N18" i="45" s="1"/>
  <c r="K18" i="45"/>
  <c r="L18" i="45" s="1"/>
  <c r="N100" i="44"/>
  <c r="O100" i="44" s="1"/>
  <c r="L100" i="44"/>
  <c r="M100" i="44" s="1"/>
  <c r="M19" i="44"/>
  <c r="N19" i="44" s="1"/>
  <c r="K19" i="44"/>
  <c r="L19" i="44" s="1"/>
  <c r="N100" i="43"/>
  <c r="O100" i="43" s="1"/>
  <c r="L100" i="43"/>
  <c r="M100" i="43" s="1"/>
  <c r="M19" i="43"/>
  <c r="N19" i="43" s="1"/>
  <c r="K19" i="43"/>
  <c r="L19" i="43" s="1"/>
  <c r="N100" i="42"/>
  <c r="O100" i="42" s="1"/>
  <c r="L100" i="42"/>
  <c r="M100" i="42" s="1"/>
  <c r="M19" i="42"/>
  <c r="N19" i="42" s="1"/>
  <c r="K19" i="42"/>
  <c r="L19" i="42" s="1"/>
  <c r="N100" i="41"/>
  <c r="O100" i="41" s="1"/>
  <c r="L100" i="41"/>
  <c r="M100" i="41" s="1"/>
  <c r="M19" i="41"/>
  <c r="N19" i="41" s="1"/>
  <c r="K19" i="41"/>
  <c r="L19" i="41" s="1"/>
  <c r="N100" i="39"/>
  <c r="O100" i="39" s="1"/>
  <c r="L100" i="39"/>
  <c r="M100" i="39" s="1"/>
  <c r="M19" i="39"/>
  <c r="N19" i="39" s="1"/>
  <c r="K19" i="39"/>
  <c r="L19" i="39" s="1"/>
  <c r="N102" i="34"/>
  <c r="O102" i="34" s="1"/>
  <c r="L102" i="34"/>
  <c r="M102" i="34" s="1"/>
  <c r="M21" i="34"/>
  <c r="N21" i="34" s="1"/>
  <c r="K21" i="34"/>
  <c r="L21" i="34" s="1"/>
  <c r="N102" i="32"/>
  <c r="O102" i="32" s="1"/>
  <c r="L102" i="32"/>
  <c r="M102" i="32" s="1"/>
  <c r="M21" i="32"/>
  <c r="N21" i="32" s="1"/>
  <c r="K21" i="32"/>
  <c r="L21" i="32" s="1"/>
  <c r="N102" i="31"/>
  <c r="O102" i="31" s="1"/>
  <c r="L102" i="31"/>
  <c r="M102" i="31" s="1"/>
  <c r="M21" i="31"/>
  <c r="N21" i="31" s="1"/>
  <c r="K21" i="31"/>
  <c r="L21" i="31" s="1"/>
  <c r="N103" i="30"/>
  <c r="O103" i="30" s="1"/>
  <c r="L103" i="30"/>
  <c r="M103" i="30" s="1"/>
  <c r="M22" i="30"/>
  <c r="N22" i="30" s="1"/>
  <c r="K22" i="30"/>
  <c r="L22" i="30" s="1"/>
  <c r="N103" i="29"/>
  <c r="O103" i="29" s="1"/>
  <c r="L103" i="29"/>
  <c r="M103" i="29" s="1"/>
  <c r="M22" i="29"/>
  <c r="N22" i="29" s="1"/>
  <c r="K22" i="29"/>
  <c r="L22" i="29" s="1"/>
  <c r="N104" i="28"/>
  <c r="O104" i="28" s="1"/>
  <c r="L104" i="28"/>
  <c r="M104" i="28" s="1"/>
  <c r="M23" i="28"/>
  <c r="N23" i="28" s="1"/>
  <c r="K23" i="28"/>
  <c r="L23" i="28" s="1"/>
  <c r="N103" i="27"/>
  <c r="O103" i="27" s="1"/>
  <c r="L103" i="27"/>
  <c r="M103" i="27" s="1"/>
  <c r="M22" i="27"/>
  <c r="N22" i="27" s="1"/>
  <c r="K22" i="27"/>
  <c r="L22" i="27" s="1"/>
  <c r="N102" i="24"/>
  <c r="O102" i="24" s="1"/>
  <c r="L102" i="24"/>
  <c r="M102" i="24" s="1"/>
  <c r="M21" i="24"/>
  <c r="N21" i="24" s="1"/>
  <c r="K21" i="24"/>
  <c r="L21" i="24" s="1"/>
  <c r="N102" i="23"/>
  <c r="O102" i="23" s="1"/>
  <c r="L102" i="23"/>
  <c r="M102" i="23" s="1"/>
  <c r="M21" i="23"/>
  <c r="N21" i="23" s="1"/>
  <c r="K21" i="23"/>
  <c r="L21" i="23" s="1"/>
  <c r="N101" i="22"/>
  <c r="O101" i="22" s="1"/>
  <c r="L101" i="22"/>
  <c r="M101" i="22" s="1"/>
  <c r="M20" i="22"/>
  <c r="N20" i="22" s="1"/>
  <c r="K20" i="22"/>
  <c r="L20" i="22" s="1"/>
  <c r="N101" i="20"/>
  <c r="O101" i="20" s="1"/>
  <c r="L101" i="20"/>
  <c r="M101" i="20" s="1"/>
  <c r="M20" i="20"/>
  <c r="N20" i="20" s="1"/>
  <c r="K20" i="20"/>
  <c r="L20" i="20" s="1"/>
  <c r="N101" i="19"/>
  <c r="O101" i="19" s="1"/>
  <c r="L101" i="19"/>
  <c r="M101" i="19" s="1"/>
  <c r="M20" i="19"/>
  <c r="N20" i="19" s="1"/>
  <c r="K20" i="19"/>
  <c r="L20" i="19" s="1"/>
  <c r="N101" i="18"/>
  <c r="O101" i="18" s="1"/>
  <c r="L101" i="18"/>
  <c r="M101" i="18" s="1"/>
  <c r="M20" i="18"/>
  <c r="N20" i="18" s="1"/>
  <c r="K20" i="18"/>
  <c r="L20" i="18" s="1"/>
  <c r="N101" i="17"/>
  <c r="O101" i="17" s="1"/>
  <c r="L101" i="17"/>
  <c r="M101" i="17" s="1"/>
  <c r="M20" i="17"/>
  <c r="N20" i="17" s="1"/>
  <c r="K20" i="17"/>
  <c r="L20" i="17" s="1"/>
  <c r="N101" i="3"/>
  <c r="O101" i="3" s="1"/>
  <c r="L101" i="3"/>
  <c r="M101" i="3" s="1"/>
  <c r="M20" i="3"/>
  <c r="N20" i="3" s="1"/>
  <c r="K20" i="3"/>
  <c r="L20" i="3" s="1"/>
  <c r="J96" i="35"/>
  <c r="E101" i="35" s="1"/>
  <c r="F101" i="35" s="1"/>
  <c r="E102" i="35" s="1"/>
  <c r="F102" i="35" s="1"/>
  <c r="L19" i="1"/>
  <c r="F81" i="2"/>
  <c r="F90" i="2"/>
  <c r="C17" i="3"/>
  <c r="C18" i="3" s="1"/>
  <c r="C19" i="3" s="1"/>
  <c r="C20" i="3" s="1"/>
  <c r="C21" i="3" s="1"/>
  <c r="C22" i="3" s="1"/>
  <c r="C23" i="3" s="1"/>
  <c r="C24" i="3" s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C45" i="3" s="1"/>
  <c r="C46" i="3" s="1"/>
  <c r="C47" i="3" s="1"/>
  <c r="C48" i="3" s="1"/>
  <c r="C49" i="3" s="1"/>
  <c r="C50" i="3" s="1"/>
  <c r="C51" i="3" s="1"/>
  <c r="C52" i="3" s="1"/>
  <c r="C53" i="3" s="1"/>
  <c r="C54" i="3" s="1"/>
  <c r="C55" i="3" s="1"/>
  <c r="C56" i="3" s="1"/>
  <c r="C57" i="3" s="1"/>
  <c r="C58" i="3" s="1"/>
  <c r="C59" i="3" s="1"/>
  <c r="C60" i="3" s="1"/>
  <c r="C61" i="3" s="1"/>
  <c r="C62" i="3" s="1"/>
  <c r="C63" i="3" s="1"/>
  <c r="C64" i="3" s="1"/>
  <c r="C65" i="3" s="1"/>
  <c r="C66" i="3" s="1"/>
  <c r="C67" i="3" s="1"/>
  <c r="C68" i="3" s="1"/>
  <c r="C69" i="3" s="1"/>
  <c r="C70" i="3" s="1"/>
  <c r="C71" i="3" s="1"/>
  <c r="C72" i="3" s="1"/>
  <c r="K19" i="3"/>
  <c r="L19" i="3" s="1"/>
  <c r="P18" i="36"/>
  <c r="F87" i="1"/>
  <c r="F86" i="1"/>
  <c r="F90" i="1"/>
  <c r="C17" i="17"/>
  <c r="C18" i="17" s="1"/>
  <c r="C19" i="17" s="1"/>
  <c r="C20" i="17" s="1"/>
  <c r="C21" i="17" s="1"/>
  <c r="K19" i="17"/>
  <c r="L19" i="17" s="1"/>
  <c r="P19" i="36"/>
  <c r="C17" i="18"/>
  <c r="C18" i="18" s="1"/>
  <c r="C19" i="18" s="1"/>
  <c r="C20" i="18" s="1"/>
  <c r="C21" i="18" s="1"/>
  <c r="C22" i="18" s="1"/>
  <c r="C23" i="18" s="1"/>
  <c r="C24" i="18" s="1"/>
  <c r="C25" i="18" s="1"/>
  <c r="C26" i="18" s="1"/>
  <c r="C27" i="18" s="1"/>
  <c r="C28" i="18" s="1"/>
  <c r="C29" i="18" s="1"/>
  <c r="C30" i="18" s="1"/>
  <c r="C31" i="18" s="1"/>
  <c r="C32" i="18" s="1"/>
  <c r="C33" i="18" s="1"/>
  <c r="C34" i="18" s="1"/>
  <c r="C35" i="18" s="1"/>
  <c r="C36" i="18" s="1"/>
  <c r="C37" i="18" s="1"/>
  <c r="C38" i="18" s="1"/>
  <c r="C39" i="18" s="1"/>
  <c r="C40" i="18" s="1"/>
  <c r="C41" i="18" s="1"/>
  <c r="C42" i="18" s="1"/>
  <c r="C43" i="18" s="1"/>
  <c r="C44" i="18" s="1"/>
  <c r="C45" i="18" s="1"/>
  <c r="C46" i="18" s="1"/>
  <c r="C47" i="18" s="1"/>
  <c r="C48" i="18" s="1"/>
  <c r="C49" i="18" s="1"/>
  <c r="C50" i="18" s="1"/>
  <c r="C51" i="18" s="1"/>
  <c r="C52" i="18" s="1"/>
  <c r="C53" i="18" s="1"/>
  <c r="C54" i="18" s="1"/>
  <c r="C55" i="18" s="1"/>
  <c r="C56" i="18" s="1"/>
  <c r="C57" i="18" s="1"/>
  <c r="C58" i="18" s="1"/>
  <c r="C59" i="18" s="1"/>
  <c r="C60" i="18" s="1"/>
  <c r="C61" i="18" s="1"/>
  <c r="C62" i="18" s="1"/>
  <c r="C63" i="18" s="1"/>
  <c r="C64" i="18" s="1"/>
  <c r="C65" i="18" s="1"/>
  <c r="C66" i="18" s="1"/>
  <c r="C67" i="18" s="1"/>
  <c r="C68" i="18" s="1"/>
  <c r="C69" i="18" s="1"/>
  <c r="C70" i="18" s="1"/>
  <c r="C71" i="18" s="1"/>
  <c r="C72" i="18" s="1"/>
  <c r="K19" i="18"/>
  <c r="L19" i="18" s="1"/>
  <c r="P20" i="36"/>
  <c r="C17" i="19"/>
  <c r="C18" i="19" s="1"/>
  <c r="C19" i="19" s="1"/>
  <c r="C20" i="19" s="1"/>
  <c r="C21" i="19" s="1"/>
  <c r="C22" i="19" s="1"/>
  <c r="C23" i="19" s="1"/>
  <c r="C24" i="19" s="1"/>
  <c r="C25" i="19" s="1"/>
  <c r="C26" i="19" s="1"/>
  <c r="C27" i="19" s="1"/>
  <c r="C28" i="19" s="1"/>
  <c r="C29" i="19" s="1"/>
  <c r="C30" i="19" s="1"/>
  <c r="C31" i="19" s="1"/>
  <c r="C32" i="19" s="1"/>
  <c r="C33" i="19" s="1"/>
  <c r="C34" i="19" s="1"/>
  <c r="C35" i="19" s="1"/>
  <c r="C36" i="19" s="1"/>
  <c r="C37" i="19" s="1"/>
  <c r="C38" i="19" s="1"/>
  <c r="C39" i="19" s="1"/>
  <c r="C40" i="19" s="1"/>
  <c r="C41" i="19" s="1"/>
  <c r="C42" i="19" s="1"/>
  <c r="C43" i="19" s="1"/>
  <c r="C44" i="19" s="1"/>
  <c r="C45" i="19" s="1"/>
  <c r="C46" i="19" s="1"/>
  <c r="C47" i="19" s="1"/>
  <c r="C48" i="19" s="1"/>
  <c r="C49" i="19" s="1"/>
  <c r="C50" i="19" s="1"/>
  <c r="C51" i="19" s="1"/>
  <c r="C52" i="19" s="1"/>
  <c r="C53" i="19" s="1"/>
  <c r="C54" i="19" s="1"/>
  <c r="C55" i="19" s="1"/>
  <c r="C56" i="19" s="1"/>
  <c r="C57" i="19" s="1"/>
  <c r="C58" i="19" s="1"/>
  <c r="C59" i="19" s="1"/>
  <c r="C60" i="19" s="1"/>
  <c r="C61" i="19" s="1"/>
  <c r="C62" i="19" s="1"/>
  <c r="C63" i="19" s="1"/>
  <c r="C64" i="19" s="1"/>
  <c r="C65" i="19" s="1"/>
  <c r="C66" i="19" s="1"/>
  <c r="C67" i="19" s="1"/>
  <c r="C68" i="19" s="1"/>
  <c r="C69" i="19" s="1"/>
  <c r="C70" i="19" s="1"/>
  <c r="C71" i="19" s="1"/>
  <c r="C72" i="19" s="1"/>
  <c r="K19" i="19"/>
  <c r="L19" i="19" s="1"/>
  <c r="P21" i="36"/>
  <c r="C17" i="20"/>
  <c r="C18" i="20" s="1"/>
  <c r="C19" i="20" s="1"/>
  <c r="C20" i="20" s="1"/>
  <c r="C21" i="20" s="1"/>
  <c r="C22" i="20" s="1"/>
  <c r="C23" i="20" s="1"/>
  <c r="C24" i="20" s="1"/>
  <c r="C25" i="20" s="1"/>
  <c r="C26" i="20" s="1"/>
  <c r="C27" i="20" s="1"/>
  <c r="C28" i="20" s="1"/>
  <c r="C29" i="20" s="1"/>
  <c r="C30" i="20" s="1"/>
  <c r="C31" i="20" s="1"/>
  <c r="C32" i="20" s="1"/>
  <c r="C33" i="20" s="1"/>
  <c r="C34" i="20" s="1"/>
  <c r="C35" i="20" s="1"/>
  <c r="C36" i="20" s="1"/>
  <c r="C37" i="20" s="1"/>
  <c r="C38" i="20" s="1"/>
  <c r="C39" i="20" s="1"/>
  <c r="C40" i="20" s="1"/>
  <c r="C41" i="20" s="1"/>
  <c r="C42" i="20" s="1"/>
  <c r="C43" i="20" s="1"/>
  <c r="C44" i="20" s="1"/>
  <c r="C45" i="20" s="1"/>
  <c r="C46" i="20" s="1"/>
  <c r="C47" i="20" s="1"/>
  <c r="C48" i="20" s="1"/>
  <c r="C49" i="20" s="1"/>
  <c r="C50" i="20" s="1"/>
  <c r="C51" i="20" s="1"/>
  <c r="C52" i="20" s="1"/>
  <c r="C53" i="20" s="1"/>
  <c r="C54" i="20" s="1"/>
  <c r="C55" i="20" s="1"/>
  <c r="C56" i="20" s="1"/>
  <c r="C57" i="20" s="1"/>
  <c r="C58" i="20" s="1"/>
  <c r="C59" i="20" s="1"/>
  <c r="C60" i="20" s="1"/>
  <c r="C61" i="20" s="1"/>
  <c r="C62" i="20" s="1"/>
  <c r="C63" i="20" s="1"/>
  <c r="C64" i="20" s="1"/>
  <c r="C65" i="20" s="1"/>
  <c r="C66" i="20" s="1"/>
  <c r="C67" i="20" s="1"/>
  <c r="C68" i="20" s="1"/>
  <c r="C69" i="20" s="1"/>
  <c r="C70" i="20" s="1"/>
  <c r="C71" i="20" s="1"/>
  <c r="C72" i="20" s="1"/>
  <c r="K19" i="20"/>
  <c r="L19" i="20" s="1"/>
  <c r="P22" i="36"/>
  <c r="C17" i="21"/>
  <c r="C18" i="21" s="1"/>
  <c r="C19" i="21" s="1"/>
  <c r="C20" i="21" s="1"/>
  <c r="C21" i="21" s="1"/>
  <c r="C22" i="21" s="1"/>
  <c r="C23" i="21" s="1"/>
  <c r="C24" i="21" s="1"/>
  <c r="C25" i="21" s="1"/>
  <c r="C26" i="21" s="1"/>
  <c r="C27" i="21" s="1"/>
  <c r="C28" i="21" s="1"/>
  <c r="C29" i="21" s="1"/>
  <c r="C30" i="21" s="1"/>
  <c r="C31" i="21" s="1"/>
  <c r="C32" i="21" s="1"/>
  <c r="C33" i="21" s="1"/>
  <c r="C34" i="21" s="1"/>
  <c r="C35" i="21" s="1"/>
  <c r="C36" i="21" s="1"/>
  <c r="C37" i="21" s="1"/>
  <c r="C38" i="21" s="1"/>
  <c r="C39" i="21" s="1"/>
  <c r="C40" i="21" s="1"/>
  <c r="C41" i="21" s="1"/>
  <c r="C42" i="21" s="1"/>
  <c r="C43" i="21" s="1"/>
  <c r="C44" i="21" s="1"/>
  <c r="C45" i="21" s="1"/>
  <c r="C46" i="21" s="1"/>
  <c r="C47" i="21" s="1"/>
  <c r="C48" i="21" s="1"/>
  <c r="C49" i="21" s="1"/>
  <c r="C50" i="21" s="1"/>
  <c r="C51" i="21" s="1"/>
  <c r="C52" i="21" s="1"/>
  <c r="C53" i="21" s="1"/>
  <c r="C54" i="21" s="1"/>
  <c r="C55" i="21" s="1"/>
  <c r="C56" i="21" s="1"/>
  <c r="C57" i="21" s="1"/>
  <c r="C58" i="21" s="1"/>
  <c r="C59" i="21" s="1"/>
  <c r="C60" i="21" s="1"/>
  <c r="C61" i="21" s="1"/>
  <c r="C62" i="21" s="1"/>
  <c r="C63" i="21" s="1"/>
  <c r="C64" i="21" s="1"/>
  <c r="C65" i="21" s="1"/>
  <c r="C66" i="21" s="1"/>
  <c r="C67" i="21" s="1"/>
  <c r="C68" i="21" s="1"/>
  <c r="C69" i="21" s="1"/>
  <c r="C70" i="21" s="1"/>
  <c r="C71" i="21" s="1"/>
  <c r="C72" i="21" s="1"/>
  <c r="K19" i="21"/>
  <c r="L19" i="21" s="1"/>
  <c r="P23" i="36"/>
  <c r="C17" i="22"/>
  <c r="C18" i="22" s="1"/>
  <c r="C19" i="22" s="1"/>
  <c r="C20" i="22" s="1"/>
  <c r="C21" i="22" s="1"/>
  <c r="C22" i="22" s="1"/>
  <c r="C23" i="22" s="1"/>
  <c r="C24" i="22" s="1"/>
  <c r="C25" i="22" s="1"/>
  <c r="C26" i="22" s="1"/>
  <c r="C27" i="22" s="1"/>
  <c r="C28" i="22" s="1"/>
  <c r="C29" i="22" s="1"/>
  <c r="C30" i="22" s="1"/>
  <c r="C31" i="22" s="1"/>
  <c r="C32" i="22" s="1"/>
  <c r="C33" i="22" s="1"/>
  <c r="C34" i="22" s="1"/>
  <c r="C35" i="22" s="1"/>
  <c r="C36" i="22" s="1"/>
  <c r="C37" i="22" s="1"/>
  <c r="C38" i="22" s="1"/>
  <c r="C39" i="22" s="1"/>
  <c r="C40" i="22" s="1"/>
  <c r="C41" i="22" s="1"/>
  <c r="C42" i="22" s="1"/>
  <c r="C43" i="22" s="1"/>
  <c r="C44" i="22" s="1"/>
  <c r="C45" i="22" s="1"/>
  <c r="C46" i="22" s="1"/>
  <c r="C47" i="22" s="1"/>
  <c r="C48" i="22" s="1"/>
  <c r="C49" i="22" s="1"/>
  <c r="C50" i="22" s="1"/>
  <c r="C51" i="22" s="1"/>
  <c r="C52" i="22" s="1"/>
  <c r="C53" i="22" s="1"/>
  <c r="C54" i="22" s="1"/>
  <c r="C55" i="22" s="1"/>
  <c r="C56" i="22" s="1"/>
  <c r="C57" i="22" s="1"/>
  <c r="C58" i="22" s="1"/>
  <c r="C59" i="22" s="1"/>
  <c r="C60" i="22" s="1"/>
  <c r="C61" i="22" s="1"/>
  <c r="C62" i="22" s="1"/>
  <c r="C63" i="22" s="1"/>
  <c r="C64" i="22" s="1"/>
  <c r="C65" i="22" s="1"/>
  <c r="C66" i="22" s="1"/>
  <c r="C67" i="22" s="1"/>
  <c r="C68" i="22" s="1"/>
  <c r="C69" i="22" s="1"/>
  <c r="C70" i="22" s="1"/>
  <c r="C71" i="22" s="1"/>
  <c r="C72" i="22" s="1"/>
  <c r="K19" i="22"/>
  <c r="L19" i="22" s="1"/>
  <c r="P24" i="36"/>
  <c r="C17" i="23"/>
  <c r="C18" i="23" s="1"/>
  <c r="C19" i="23" s="1"/>
  <c r="C20" i="23" s="1"/>
  <c r="C21" i="23" s="1"/>
  <c r="C22" i="23" s="1"/>
  <c r="C23" i="23" s="1"/>
  <c r="C24" i="23" s="1"/>
  <c r="C25" i="23" s="1"/>
  <c r="C26" i="23" s="1"/>
  <c r="C27" i="23" s="1"/>
  <c r="C28" i="23" s="1"/>
  <c r="C29" i="23" s="1"/>
  <c r="C30" i="23" s="1"/>
  <c r="C31" i="23" s="1"/>
  <c r="C32" i="23" s="1"/>
  <c r="C33" i="23" s="1"/>
  <c r="C34" i="23" s="1"/>
  <c r="C35" i="23" s="1"/>
  <c r="C36" i="23" s="1"/>
  <c r="C37" i="23" s="1"/>
  <c r="C38" i="23" s="1"/>
  <c r="C39" i="23" s="1"/>
  <c r="C40" i="23" s="1"/>
  <c r="C41" i="23" s="1"/>
  <c r="C42" i="23" s="1"/>
  <c r="C43" i="23" s="1"/>
  <c r="C44" i="23" s="1"/>
  <c r="C45" i="23" s="1"/>
  <c r="C46" i="23" s="1"/>
  <c r="C47" i="23" s="1"/>
  <c r="C48" i="23" s="1"/>
  <c r="C49" i="23" s="1"/>
  <c r="C50" i="23" s="1"/>
  <c r="C51" i="23" s="1"/>
  <c r="C52" i="23" s="1"/>
  <c r="C53" i="23" s="1"/>
  <c r="C54" i="23" s="1"/>
  <c r="C55" i="23" s="1"/>
  <c r="C56" i="23" s="1"/>
  <c r="C57" i="23" s="1"/>
  <c r="C58" i="23" s="1"/>
  <c r="C59" i="23" s="1"/>
  <c r="C60" i="23" s="1"/>
  <c r="C61" i="23" s="1"/>
  <c r="C62" i="23" s="1"/>
  <c r="C63" i="23" s="1"/>
  <c r="C64" i="23" s="1"/>
  <c r="C65" i="23" s="1"/>
  <c r="C66" i="23" s="1"/>
  <c r="C67" i="23" s="1"/>
  <c r="C68" i="23" s="1"/>
  <c r="C69" i="23" s="1"/>
  <c r="C70" i="23" s="1"/>
  <c r="C71" i="23" s="1"/>
  <c r="C72" i="23" s="1"/>
  <c r="K20" i="23"/>
  <c r="L20" i="23" s="1"/>
  <c r="P25" i="36"/>
  <c r="C17" i="24"/>
  <c r="C18" i="24" s="1"/>
  <c r="C19" i="24" s="1"/>
  <c r="C20" i="24" s="1"/>
  <c r="C21" i="24" s="1"/>
  <c r="C22" i="24" s="1"/>
  <c r="C23" i="24" s="1"/>
  <c r="C24" i="24" s="1"/>
  <c r="C25" i="24" s="1"/>
  <c r="C26" i="24" s="1"/>
  <c r="C27" i="24" s="1"/>
  <c r="C28" i="24" s="1"/>
  <c r="C29" i="24" s="1"/>
  <c r="C30" i="24" s="1"/>
  <c r="C31" i="24" s="1"/>
  <c r="C32" i="24" s="1"/>
  <c r="C33" i="24" s="1"/>
  <c r="C34" i="24" s="1"/>
  <c r="C35" i="24" s="1"/>
  <c r="C36" i="24" s="1"/>
  <c r="C37" i="24" s="1"/>
  <c r="C38" i="24" s="1"/>
  <c r="C39" i="24" s="1"/>
  <c r="C40" i="24" s="1"/>
  <c r="C41" i="24" s="1"/>
  <c r="C42" i="24" s="1"/>
  <c r="C43" i="24" s="1"/>
  <c r="C44" i="24" s="1"/>
  <c r="C45" i="24" s="1"/>
  <c r="C46" i="24" s="1"/>
  <c r="C47" i="24" s="1"/>
  <c r="C48" i="24" s="1"/>
  <c r="C49" i="24" s="1"/>
  <c r="C50" i="24" s="1"/>
  <c r="C51" i="24" s="1"/>
  <c r="C52" i="24" s="1"/>
  <c r="C53" i="24" s="1"/>
  <c r="C54" i="24" s="1"/>
  <c r="C55" i="24" s="1"/>
  <c r="C56" i="24" s="1"/>
  <c r="C57" i="24" s="1"/>
  <c r="C58" i="24" s="1"/>
  <c r="C59" i="24" s="1"/>
  <c r="C60" i="24" s="1"/>
  <c r="C61" i="24" s="1"/>
  <c r="C62" i="24" s="1"/>
  <c r="C63" i="24" s="1"/>
  <c r="C64" i="24" s="1"/>
  <c r="C65" i="24" s="1"/>
  <c r="C66" i="24" s="1"/>
  <c r="C67" i="24" s="1"/>
  <c r="C68" i="24" s="1"/>
  <c r="C69" i="24" s="1"/>
  <c r="C70" i="24" s="1"/>
  <c r="C71" i="24" s="1"/>
  <c r="C72" i="24" s="1"/>
  <c r="K20" i="24"/>
  <c r="L20" i="24" s="1"/>
  <c r="P26" i="36"/>
  <c r="C17" i="25"/>
  <c r="C18" i="25" s="1"/>
  <c r="C19" i="25" s="1"/>
  <c r="C20" i="25" s="1"/>
  <c r="C21" i="25" s="1"/>
  <c r="C22" i="25" s="1"/>
  <c r="C23" i="25" s="1"/>
  <c r="C24" i="25" s="1"/>
  <c r="C25" i="25" s="1"/>
  <c r="C26" i="25" s="1"/>
  <c r="C27" i="25" s="1"/>
  <c r="C28" i="25" s="1"/>
  <c r="C29" i="25" s="1"/>
  <c r="C30" i="25" s="1"/>
  <c r="C31" i="25" s="1"/>
  <c r="C32" i="25" s="1"/>
  <c r="C33" i="25" s="1"/>
  <c r="C34" i="25" s="1"/>
  <c r="C35" i="25" s="1"/>
  <c r="C36" i="25" s="1"/>
  <c r="C37" i="25" s="1"/>
  <c r="C38" i="25" s="1"/>
  <c r="C39" i="25" s="1"/>
  <c r="C40" i="25" s="1"/>
  <c r="C41" i="25" s="1"/>
  <c r="C42" i="25" s="1"/>
  <c r="C43" i="25" s="1"/>
  <c r="C44" i="25" s="1"/>
  <c r="C45" i="25" s="1"/>
  <c r="C46" i="25" s="1"/>
  <c r="C47" i="25" s="1"/>
  <c r="C48" i="25" s="1"/>
  <c r="C49" i="25" s="1"/>
  <c r="C50" i="25" s="1"/>
  <c r="C51" i="25" s="1"/>
  <c r="C52" i="25" s="1"/>
  <c r="C53" i="25" s="1"/>
  <c r="C54" i="25" s="1"/>
  <c r="C55" i="25" s="1"/>
  <c r="C56" i="25" s="1"/>
  <c r="C57" i="25" s="1"/>
  <c r="C58" i="25" s="1"/>
  <c r="C59" i="25" s="1"/>
  <c r="C60" i="25" s="1"/>
  <c r="C61" i="25" s="1"/>
  <c r="C62" i="25" s="1"/>
  <c r="C63" i="25" s="1"/>
  <c r="C64" i="25" s="1"/>
  <c r="C65" i="25" s="1"/>
  <c r="C66" i="25" s="1"/>
  <c r="C67" i="25" s="1"/>
  <c r="C68" i="25" s="1"/>
  <c r="C69" i="25" s="1"/>
  <c r="C70" i="25" s="1"/>
  <c r="C71" i="25" s="1"/>
  <c r="C72" i="25" s="1"/>
  <c r="P27" i="36"/>
  <c r="C17" i="26"/>
  <c r="C18" i="26" s="1"/>
  <c r="C19" i="26" s="1"/>
  <c r="C20" i="26" s="1"/>
  <c r="C21" i="26" s="1"/>
  <c r="C22" i="26" s="1"/>
  <c r="C23" i="26" s="1"/>
  <c r="C24" i="26" s="1"/>
  <c r="C25" i="26" s="1"/>
  <c r="C26" i="26" s="1"/>
  <c r="C27" i="26" s="1"/>
  <c r="C28" i="26" s="1"/>
  <c r="C29" i="26" s="1"/>
  <c r="C30" i="26" s="1"/>
  <c r="C31" i="26" s="1"/>
  <c r="C32" i="26" s="1"/>
  <c r="C33" i="26" s="1"/>
  <c r="C34" i="26" s="1"/>
  <c r="C35" i="26" s="1"/>
  <c r="C36" i="26" s="1"/>
  <c r="C37" i="26" s="1"/>
  <c r="C38" i="26" s="1"/>
  <c r="C39" i="26" s="1"/>
  <c r="C40" i="26" s="1"/>
  <c r="C41" i="26" s="1"/>
  <c r="C42" i="26" s="1"/>
  <c r="C43" i="26" s="1"/>
  <c r="C44" i="26" s="1"/>
  <c r="C45" i="26" s="1"/>
  <c r="C46" i="26" s="1"/>
  <c r="C47" i="26" s="1"/>
  <c r="C48" i="26" s="1"/>
  <c r="C49" i="26" s="1"/>
  <c r="C50" i="26" s="1"/>
  <c r="C51" i="26" s="1"/>
  <c r="C52" i="26" s="1"/>
  <c r="C53" i="26" s="1"/>
  <c r="C54" i="26" s="1"/>
  <c r="C55" i="26" s="1"/>
  <c r="C56" i="26" s="1"/>
  <c r="C57" i="26" s="1"/>
  <c r="C58" i="26" s="1"/>
  <c r="C59" i="26" s="1"/>
  <c r="C60" i="26" s="1"/>
  <c r="C61" i="26" s="1"/>
  <c r="C62" i="26" s="1"/>
  <c r="C63" i="26" s="1"/>
  <c r="C64" i="26" s="1"/>
  <c r="C65" i="26" s="1"/>
  <c r="C66" i="26" s="1"/>
  <c r="C67" i="26" s="1"/>
  <c r="C68" i="26" s="1"/>
  <c r="C69" i="26" s="1"/>
  <c r="C70" i="26" s="1"/>
  <c r="C71" i="26" s="1"/>
  <c r="C72" i="26" s="1"/>
  <c r="P28" i="36"/>
  <c r="C17" i="27"/>
  <c r="C18" i="27" s="1"/>
  <c r="C19" i="27" s="1"/>
  <c r="C20" i="27" s="1"/>
  <c r="C21" i="27" s="1"/>
  <c r="C22" i="27" s="1"/>
  <c r="C23" i="27" s="1"/>
  <c r="C24" i="27" s="1"/>
  <c r="C25" i="27" s="1"/>
  <c r="C26" i="27" s="1"/>
  <c r="C27" i="27" s="1"/>
  <c r="C28" i="27" s="1"/>
  <c r="C29" i="27" s="1"/>
  <c r="C30" i="27" s="1"/>
  <c r="C31" i="27" s="1"/>
  <c r="C32" i="27" s="1"/>
  <c r="C33" i="27" s="1"/>
  <c r="C34" i="27" s="1"/>
  <c r="C35" i="27" s="1"/>
  <c r="C36" i="27" s="1"/>
  <c r="C37" i="27" s="1"/>
  <c r="C38" i="27" s="1"/>
  <c r="C39" i="27" s="1"/>
  <c r="C40" i="27" s="1"/>
  <c r="C41" i="27" s="1"/>
  <c r="C42" i="27" s="1"/>
  <c r="C43" i="27" s="1"/>
  <c r="C44" i="27" s="1"/>
  <c r="C45" i="27" s="1"/>
  <c r="C46" i="27" s="1"/>
  <c r="C47" i="27" s="1"/>
  <c r="C48" i="27" s="1"/>
  <c r="C49" i="27" s="1"/>
  <c r="C50" i="27" s="1"/>
  <c r="C51" i="27" s="1"/>
  <c r="C52" i="27" s="1"/>
  <c r="C53" i="27" s="1"/>
  <c r="C54" i="27" s="1"/>
  <c r="C55" i="27" s="1"/>
  <c r="C56" i="27" s="1"/>
  <c r="C57" i="27" s="1"/>
  <c r="C58" i="27" s="1"/>
  <c r="C59" i="27" s="1"/>
  <c r="C60" i="27" s="1"/>
  <c r="C61" i="27" s="1"/>
  <c r="C62" i="27" s="1"/>
  <c r="C63" i="27" s="1"/>
  <c r="C64" i="27" s="1"/>
  <c r="C65" i="27" s="1"/>
  <c r="C66" i="27" s="1"/>
  <c r="C67" i="27" s="1"/>
  <c r="C68" i="27" s="1"/>
  <c r="C69" i="27" s="1"/>
  <c r="C70" i="27" s="1"/>
  <c r="C71" i="27" s="1"/>
  <c r="C72" i="27" s="1"/>
  <c r="K21" i="27"/>
  <c r="L21" i="27" s="1"/>
  <c r="P29" i="36"/>
  <c r="C17" i="28"/>
  <c r="C18" i="28" s="1"/>
  <c r="C19" i="28" s="1"/>
  <c r="C20" i="28" s="1"/>
  <c r="C21" i="28" s="1"/>
  <c r="C22" i="28" s="1"/>
  <c r="C23" i="28" s="1"/>
  <c r="C24" i="28" s="1"/>
  <c r="C25" i="28" s="1"/>
  <c r="C26" i="28" s="1"/>
  <c r="C27" i="28" s="1"/>
  <c r="C28" i="28" s="1"/>
  <c r="C29" i="28" s="1"/>
  <c r="C30" i="28" s="1"/>
  <c r="C31" i="28" s="1"/>
  <c r="C32" i="28" s="1"/>
  <c r="C33" i="28" s="1"/>
  <c r="C34" i="28" s="1"/>
  <c r="C35" i="28" s="1"/>
  <c r="C36" i="28" s="1"/>
  <c r="C37" i="28" s="1"/>
  <c r="C38" i="28" s="1"/>
  <c r="C39" i="28" s="1"/>
  <c r="C40" i="28" s="1"/>
  <c r="C41" i="28" s="1"/>
  <c r="C42" i="28" s="1"/>
  <c r="C43" i="28" s="1"/>
  <c r="C44" i="28" s="1"/>
  <c r="C45" i="28" s="1"/>
  <c r="C46" i="28" s="1"/>
  <c r="C47" i="28" s="1"/>
  <c r="C48" i="28" s="1"/>
  <c r="C49" i="28" s="1"/>
  <c r="C50" i="28" s="1"/>
  <c r="C51" i="28" s="1"/>
  <c r="C52" i="28" s="1"/>
  <c r="C53" i="28" s="1"/>
  <c r="C54" i="28" s="1"/>
  <c r="C55" i="28" s="1"/>
  <c r="C56" i="28" s="1"/>
  <c r="C57" i="28" s="1"/>
  <c r="C58" i="28" s="1"/>
  <c r="C59" i="28" s="1"/>
  <c r="C60" i="28" s="1"/>
  <c r="C61" i="28" s="1"/>
  <c r="C62" i="28" s="1"/>
  <c r="C63" i="28" s="1"/>
  <c r="C64" i="28" s="1"/>
  <c r="C65" i="28" s="1"/>
  <c r="C66" i="28" s="1"/>
  <c r="C67" i="28" s="1"/>
  <c r="C68" i="28" s="1"/>
  <c r="C69" i="28" s="1"/>
  <c r="C70" i="28" s="1"/>
  <c r="C71" i="28" s="1"/>
  <c r="C72" i="28" s="1"/>
  <c r="K22" i="28"/>
  <c r="L22" i="28" s="1"/>
  <c r="P30" i="36"/>
  <c r="C17" i="29"/>
  <c r="C18" i="29" s="1"/>
  <c r="C19" i="29" s="1"/>
  <c r="C20" i="29" s="1"/>
  <c r="C21" i="29" s="1"/>
  <c r="C22" i="29" s="1"/>
  <c r="C23" i="29" s="1"/>
  <c r="C24" i="29" s="1"/>
  <c r="C25" i="29" s="1"/>
  <c r="C26" i="29" s="1"/>
  <c r="C27" i="29" s="1"/>
  <c r="C28" i="29" s="1"/>
  <c r="C29" i="29" s="1"/>
  <c r="C30" i="29" s="1"/>
  <c r="C31" i="29" s="1"/>
  <c r="C32" i="29" s="1"/>
  <c r="C33" i="29" s="1"/>
  <c r="C34" i="29" s="1"/>
  <c r="C35" i="29" s="1"/>
  <c r="C36" i="29" s="1"/>
  <c r="C37" i="29" s="1"/>
  <c r="C38" i="29" s="1"/>
  <c r="C39" i="29" s="1"/>
  <c r="C40" i="29" s="1"/>
  <c r="C41" i="29" s="1"/>
  <c r="C42" i="29" s="1"/>
  <c r="C43" i="29" s="1"/>
  <c r="C44" i="29" s="1"/>
  <c r="C45" i="29" s="1"/>
  <c r="C46" i="29" s="1"/>
  <c r="C47" i="29" s="1"/>
  <c r="C48" i="29" s="1"/>
  <c r="C49" i="29" s="1"/>
  <c r="C50" i="29" s="1"/>
  <c r="C51" i="29" s="1"/>
  <c r="C52" i="29" s="1"/>
  <c r="C53" i="29" s="1"/>
  <c r="C54" i="29" s="1"/>
  <c r="C55" i="29" s="1"/>
  <c r="C56" i="29" s="1"/>
  <c r="C57" i="29" s="1"/>
  <c r="C58" i="29" s="1"/>
  <c r="C59" i="29" s="1"/>
  <c r="C60" i="29" s="1"/>
  <c r="C61" i="29" s="1"/>
  <c r="C62" i="29" s="1"/>
  <c r="C63" i="29" s="1"/>
  <c r="C64" i="29" s="1"/>
  <c r="C65" i="29" s="1"/>
  <c r="C66" i="29" s="1"/>
  <c r="C67" i="29" s="1"/>
  <c r="C68" i="29" s="1"/>
  <c r="C69" i="29" s="1"/>
  <c r="C70" i="29" s="1"/>
  <c r="C71" i="29" s="1"/>
  <c r="C72" i="29" s="1"/>
  <c r="K21" i="29"/>
  <c r="L21" i="29" s="1"/>
  <c r="P31" i="36"/>
  <c r="C17" i="30"/>
  <c r="C18" i="30" s="1"/>
  <c r="C19" i="30" s="1"/>
  <c r="C20" i="30" s="1"/>
  <c r="C21" i="30" s="1"/>
  <c r="C22" i="30" s="1"/>
  <c r="C23" i="30" s="1"/>
  <c r="C24" i="30" s="1"/>
  <c r="C25" i="30" s="1"/>
  <c r="C26" i="30" s="1"/>
  <c r="C27" i="30" s="1"/>
  <c r="C28" i="30" s="1"/>
  <c r="C29" i="30" s="1"/>
  <c r="C30" i="30" s="1"/>
  <c r="C31" i="30" s="1"/>
  <c r="C32" i="30" s="1"/>
  <c r="C33" i="30" s="1"/>
  <c r="C34" i="30" s="1"/>
  <c r="C35" i="30" s="1"/>
  <c r="C36" i="30" s="1"/>
  <c r="C37" i="30" s="1"/>
  <c r="C38" i="30" s="1"/>
  <c r="C39" i="30" s="1"/>
  <c r="C40" i="30" s="1"/>
  <c r="C41" i="30" s="1"/>
  <c r="C42" i="30" s="1"/>
  <c r="C43" i="30" s="1"/>
  <c r="C44" i="30" s="1"/>
  <c r="C45" i="30" s="1"/>
  <c r="C46" i="30" s="1"/>
  <c r="C47" i="30" s="1"/>
  <c r="C48" i="30" s="1"/>
  <c r="C49" i="30" s="1"/>
  <c r="C50" i="30" s="1"/>
  <c r="C51" i="30" s="1"/>
  <c r="C52" i="30" s="1"/>
  <c r="C53" i="30" s="1"/>
  <c r="C54" i="30" s="1"/>
  <c r="C55" i="30" s="1"/>
  <c r="C56" i="30" s="1"/>
  <c r="C57" i="30" s="1"/>
  <c r="C58" i="30" s="1"/>
  <c r="C59" i="30" s="1"/>
  <c r="C60" i="30" s="1"/>
  <c r="C61" i="30" s="1"/>
  <c r="C62" i="30" s="1"/>
  <c r="C63" i="30" s="1"/>
  <c r="C64" i="30" s="1"/>
  <c r="C65" i="30" s="1"/>
  <c r="C66" i="30" s="1"/>
  <c r="C67" i="30" s="1"/>
  <c r="C68" i="30" s="1"/>
  <c r="C69" i="30" s="1"/>
  <c r="C70" i="30" s="1"/>
  <c r="C71" i="30" s="1"/>
  <c r="C72" i="30" s="1"/>
  <c r="K21" i="30"/>
  <c r="L21" i="30" s="1"/>
  <c r="P32" i="36"/>
  <c r="C17" i="31"/>
  <c r="C18" i="31" s="1"/>
  <c r="C19" i="31" s="1"/>
  <c r="C20" i="31" s="1"/>
  <c r="C21" i="31" s="1"/>
  <c r="C22" i="31" s="1"/>
  <c r="C23" i="31" s="1"/>
  <c r="C24" i="31" s="1"/>
  <c r="C25" i="31" s="1"/>
  <c r="C26" i="31" s="1"/>
  <c r="C27" i="31" s="1"/>
  <c r="C28" i="31" s="1"/>
  <c r="C29" i="31" s="1"/>
  <c r="C30" i="31" s="1"/>
  <c r="C31" i="31" s="1"/>
  <c r="C32" i="31" s="1"/>
  <c r="C33" i="31" s="1"/>
  <c r="C34" i="31" s="1"/>
  <c r="C35" i="31" s="1"/>
  <c r="C36" i="31" s="1"/>
  <c r="C37" i="31" s="1"/>
  <c r="C38" i="31" s="1"/>
  <c r="C39" i="31" s="1"/>
  <c r="C40" i="31" s="1"/>
  <c r="C41" i="31" s="1"/>
  <c r="C42" i="31" s="1"/>
  <c r="C43" i="31" s="1"/>
  <c r="C44" i="31" s="1"/>
  <c r="C45" i="31" s="1"/>
  <c r="C46" i="31" s="1"/>
  <c r="C47" i="31" s="1"/>
  <c r="C48" i="31" s="1"/>
  <c r="C49" i="31" s="1"/>
  <c r="C50" i="31" s="1"/>
  <c r="C51" i="31" s="1"/>
  <c r="C52" i="31" s="1"/>
  <c r="C53" i="31" s="1"/>
  <c r="C54" i="31" s="1"/>
  <c r="C55" i="31" s="1"/>
  <c r="C56" i="31" s="1"/>
  <c r="C57" i="31" s="1"/>
  <c r="C58" i="31" s="1"/>
  <c r="C59" i="31" s="1"/>
  <c r="C60" i="31" s="1"/>
  <c r="C61" i="31" s="1"/>
  <c r="C62" i="31" s="1"/>
  <c r="C63" i="31" s="1"/>
  <c r="C64" i="31" s="1"/>
  <c r="C65" i="31" s="1"/>
  <c r="C66" i="31" s="1"/>
  <c r="C67" i="31" s="1"/>
  <c r="C68" i="31" s="1"/>
  <c r="C69" i="31" s="1"/>
  <c r="C70" i="31" s="1"/>
  <c r="C71" i="31" s="1"/>
  <c r="C72" i="31" s="1"/>
  <c r="K20" i="31"/>
  <c r="L20" i="31" s="1"/>
  <c r="P33" i="36"/>
  <c r="C17" i="32"/>
  <c r="C18" i="32" s="1"/>
  <c r="C19" i="32" s="1"/>
  <c r="C20" i="32" s="1"/>
  <c r="C21" i="32" s="1"/>
  <c r="C22" i="32" s="1"/>
  <c r="C23" i="32" s="1"/>
  <c r="C24" i="32" s="1"/>
  <c r="C25" i="32" s="1"/>
  <c r="C26" i="32" s="1"/>
  <c r="C27" i="32" s="1"/>
  <c r="C28" i="32" s="1"/>
  <c r="C29" i="32" s="1"/>
  <c r="C30" i="32" s="1"/>
  <c r="C31" i="32" s="1"/>
  <c r="C32" i="32" s="1"/>
  <c r="C33" i="32" s="1"/>
  <c r="C34" i="32" s="1"/>
  <c r="C35" i="32" s="1"/>
  <c r="C36" i="32" s="1"/>
  <c r="C37" i="32" s="1"/>
  <c r="C38" i="32" s="1"/>
  <c r="C39" i="32" s="1"/>
  <c r="C40" i="32" s="1"/>
  <c r="C41" i="32" s="1"/>
  <c r="C42" i="32" s="1"/>
  <c r="C43" i="32" s="1"/>
  <c r="C44" i="32" s="1"/>
  <c r="C45" i="32" s="1"/>
  <c r="C46" i="32" s="1"/>
  <c r="C47" i="32" s="1"/>
  <c r="C48" i="32" s="1"/>
  <c r="C49" i="32" s="1"/>
  <c r="C50" i="32" s="1"/>
  <c r="C51" i="32" s="1"/>
  <c r="C52" i="32" s="1"/>
  <c r="C53" i="32" s="1"/>
  <c r="C54" i="32" s="1"/>
  <c r="C55" i="32" s="1"/>
  <c r="C56" i="32" s="1"/>
  <c r="C57" i="32" s="1"/>
  <c r="C58" i="32" s="1"/>
  <c r="C59" i="32" s="1"/>
  <c r="C60" i="32" s="1"/>
  <c r="C61" i="32" s="1"/>
  <c r="C62" i="32" s="1"/>
  <c r="C63" i="32" s="1"/>
  <c r="C64" i="32" s="1"/>
  <c r="C65" i="32" s="1"/>
  <c r="C66" i="32" s="1"/>
  <c r="C67" i="32" s="1"/>
  <c r="C68" i="32" s="1"/>
  <c r="C69" i="32" s="1"/>
  <c r="C70" i="32" s="1"/>
  <c r="C71" i="32" s="1"/>
  <c r="C72" i="32" s="1"/>
  <c r="K20" i="32"/>
  <c r="L20" i="32" s="1"/>
  <c r="P34" i="36"/>
  <c r="C17" i="33"/>
  <c r="C18" i="33" s="1"/>
  <c r="C19" i="33" s="1"/>
  <c r="C20" i="33" s="1"/>
  <c r="C21" i="33" s="1"/>
  <c r="C22" i="33" s="1"/>
  <c r="C23" i="33" s="1"/>
  <c r="C24" i="33" s="1"/>
  <c r="C25" i="33" s="1"/>
  <c r="C26" i="33" s="1"/>
  <c r="C27" i="33" s="1"/>
  <c r="C28" i="33" s="1"/>
  <c r="C29" i="33" s="1"/>
  <c r="C30" i="33" s="1"/>
  <c r="C31" i="33" s="1"/>
  <c r="C32" i="33" s="1"/>
  <c r="C33" i="33" s="1"/>
  <c r="C34" i="33" s="1"/>
  <c r="C35" i="33" s="1"/>
  <c r="C36" i="33" s="1"/>
  <c r="C37" i="33" s="1"/>
  <c r="C38" i="33" s="1"/>
  <c r="C39" i="33" s="1"/>
  <c r="C40" i="33" s="1"/>
  <c r="C41" i="33" s="1"/>
  <c r="C42" i="33" s="1"/>
  <c r="C43" i="33" s="1"/>
  <c r="C44" i="33" s="1"/>
  <c r="C45" i="33" s="1"/>
  <c r="C46" i="33" s="1"/>
  <c r="C47" i="33" s="1"/>
  <c r="C48" i="33" s="1"/>
  <c r="C49" i="33" s="1"/>
  <c r="C50" i="33" s="1"/>
  <c r="C51" i="33" s="1"/>
  <c r="C52" i="33" s="1"/>
  <c r="C53" i="33" s="1"/>
  <c r="C54" i="33" s="1"/>
  <c r="C55" i="33" s="1"/>
  <c r="C56" i="33" s="1"/>
  <c r="C57" i="33" s="1"/>
  <c r="C58" i="33" s="1"/>
  <c r="C59" i="33" s="1"/>
  <c r="C60" i="33" s="1"/>
  <c r="C61" i="33" s="1"/>
  <c r="C62" i="33" s="1"/>
  <c r="C63" i="33" s="1"/>
  <c r="C64" i="33" s="1"/>
  <c r="C65" i="33" s="1"/>
  <c r="C66" i="33" s="1"/>
  <c r="C67" i="33" s="1"/>
  <c r="C68" i="33" s="1"/>
  <c r="C69" i="33" s="1"/>
  <c r="C70" i="33" s="1"/>
  <c r="C71" i="33" s="1"/>
  <c r="C72" i="33" s="1"/>
  <c r="P35" i="36"/>
  <c r="C17" i="34"/>
  <c r="C18" i="34" s="1"/>
  <c r="C19" i="34" s="1"/>
  <c r="C20" i="34" s="1"/>
  <c r="C21" i="34" s="1"/>
  <c r="C22" i="34" s="1"/>
  <c r="C23" i="34" s="1"/>
  <c r="C24" i="34" s="1"/>
  <c r="C25" i="34" s="1"/>
  <c r="C26" i="34" s="1"/>
  <c r="C27" i="34" s="1"/>
  <c r="C28" i="34" s="1"/>
  <c r="C29" i="34" s="1"/>
  <c r="C30" i="34" s="1"/>
  <c r="C31" i="34" s="1"/>
  <c r="C32" i="34" s="1"/>
  <c r="C33" i="34" s="1"/>
  <c r="C34" i="34" s="1"/>
  <c r="C35" i="34" s="1"/>
  <c r="C36" i="34" s="1"/>
  <c r="C37" i="34" s="1"/>
  <c r="C38" i="34" s="1"/>
  <c r="C39" i="34" s="1"/>
  <c r="C40" i="34" s="1"/>
  <c r="C41" i="34" s="1"/>
  <c r="C42" i="34" s="1"/>
  <c r="C43" i="34" s="1"/>
  <c r="C44" i="34" s="1"/>
  <c r="C45" i="34" s="1"/>
  <c r="C46" i="34" s="1"/>
  <c r="C47" i="34" s="1"/>
  <c r="C48" i="34" s="1"/>
  <c r="C49" i="34" s="1"/>
  <c r="C50" i="34" s="1"/>
  <c r="C51" i="34" s="1"/>
  <c r="C52" i="34" s="1"/>
  <c r="C53" i="34" s="1"/>
  <c r="C54" i="34" s="1"/>
  <c r="C55" i="34" s="1"/>
  <c r="C56" i="34" s="1"/>
  <c r="C57" i="34" s="1"/>
  <c r="C58" i="34" s="1"/>
  <c r="C59" i="34" s="1"/>
  <c r="C60" i="34" s="1"/>
  <c r="C61" i="34" s="1"/>
  <c r="C62" i="34" s="1"/>
  <c r="C63" i="34" s="1"/>
  <c r="C64" i="34" s="1"/>
  <c r="C65" i="34" s="1"/>
  <c r="C66" i="34" s="1"/>
  <c r="C67" i="34" s="1"/>
  <c r="C68" i="34" s="1"/>
  <c r="C69" i="34" s="1"/>
  <c r="C70" i="34" s="1"/>
  <c r="C71" i="34" s="1"/>
  <c r="C72" i="34" s="1"/>
  <c r="K20" i="34"/>
  <c r="L20" i="34" s="1"/>
  <c r="P36" i="36"/>
  <c r="P37" i="36"/>
  <c r="C17" i="39"/>
  <c r="C18" i="39" s="1"/>
  <c r="C19" i="39" s="1"/>
  <c r="C20" i="39" s="1"/>
  <c r="C21" i="39" s="1"/>
  <c r="C22" i="39" s="1"/>
  <c r="C23" i="39" s="1"/>
  <c r="C24" i="39" s="1"/>
  <c r="C25" i="39" s="1"/>
  <c r="C26" i="39" s="1"/>
  <c r="C27" i="39" s="1"/>
  <c r="C28" i="39" s="1"/>
  <c r="C29" i="39" s="1"/>
  <c r="C30" i="39" s="1"/>
  <c r="C31" i="39" s="1"/>
  <c r="C32" i="39" s="1"/>
  <c r="C33" i="39" s="1"/>
  <c r="C34" i="39" s="1"/>
  <c r="C35" i="39" s="1"/>
  <c r="C36" i="39" s="1"/>
  <c r="C37" i="39" s="1"/>
  <c r="C38" i="39" s="1"/>
  <c r="C39" i="39" s="1"/>
  <c r="C40" i="39" s="1"/>
  <c r="C41" i="39" s="1"/>
  <c r="C42" i="39" s="1"/>
  <c r="C43" i="39" s="1"/>
  <c r="C44" i="39" s="1"/>
  <c r="C45" i="39" s="1"/>
  <c r="C46" i="39" s="1"/>
  <c r="C47" i="39" s="1"/>
  <c r="C48" i="39" s="1"/>
  <c r="C49" i="39" s="1"/>
  <c r="C50" i="39" s="1"/>
  <c r="C51" i="39" s="1"/>
  <c r="C52" i="39" s="1"/>
  <c r="C53" i="39" s="1"/>
  <c r="C54" i="39" s="1"/>
  <c r="C55" i="39" s="1"/>
  <c r="C56" i="39" s="1"/>
  <c r="C57" i="39" s="1"/>
  <c r="C58" i="39" s="1"/>
  <c r="C59" i="39" s="1"/>
  <c r="C60" i="39" s="1"/>
  <c r="C61" i="39" s="1"/>
  <c r="C62" i="39" s="1"/>
  <c r="C63" i="39" s="1"/>
  <c r="C64" i="39" s="1"/>
  <c r="C65" i="39" s="1"/>
  <c r="C66" i="39" s="1"/>
  <c r="C67" i="39" s="1"/>
  <c r="C68" i="39" s="1"/>
  <c r="C69" i="39" s="1"/>
  <c r="C70" i="39" s="1"/>
  <c r="C71" i="39" s="1"/>
  <c r="C72" i="39" s="1"/>
  <c r="K18" i="39"/>
  <c r="L18" i="39" s="1"/>
  <c r="P38" i="36"/>
  <c r="C17" i="41"/>
  <c r="C18" i="41" s="1"/>
  <c r="C19" i="41" s="1"/>
  <c r="C20" i="41" s="1"/>
  <c r="C21" i="41" s="1"/>
  <c r="C22" i="41" s="1"/>
  <c r="C23" i="41" s="1"/>
  <c r="C24" i="41" s="1"/>
  <c r="C25" i="41" s="1"/>
  <c r="C26" i="41" s="1"/>
  <c r="C27" i="41" s="1"/>
  <c r="C28" i="41" s="1"/>
  <c r="C29" i="41" s="1"/>
  <c r="C30" i="41" s="1"/>
  <c r="C31" i="41" s="1"/>
  <c r="C32" i="41" s="1"/>
  <c r="C33" i="41" s="1"/>
  <c r="C34" i="41" s="1"/>
  <c r="C35" i="41" s="1"/>
  <c r="C36" i="41" s="1"/>
  <c r="C37" i="41" s="1"/>
  <c r="C38" i="41" s="1"/>
  <c r="C39" i="41" s="1"/>
  <c r="C40" i="41" s="1"/>
  <c r="C41" i="41" s="1"/>
  <c r="C42" i="41" s="1"/>
  <c r="C43" i="41" s="1"/>
  <c r="C44" i="41" s="1"/>
  <c r="C45" i="41" s="1"/>
  <c r="C46" i="41" s="1"/>
  <c r="C47" i="41" s="1"/>
  <c r="C48" i="41" s="1"/>
  <c r="C49" i="41" s="1"/>
  <c r="C50" i="41" s="1"/>
  <c r="C51" i="41" s="1"/>
  <c r="C52" i="41" s="1"/>
  <c r="C53" i="41" s="1"/>
  <c r="C54" i="41" s="1"/>
  <c r="C55" i="41" s="1"/>
  <c r="C56" i="41" s="1"/>
  <c r="C57" i="41" s="1"/>
  <c r="C58" i="41" s="1"/>
  <c r="C59" i="41" s="1"/>
  <c r="C60" i="41" s="1"/>
  <c r="C61" i="41" s="1"/>
  <c r="C62" i="41" s="1"/>
  <c r="C63" i="41" s="1"/>
  <c r="C64" i="41" s="1"/>
  <c r="C65" i="41" s="1"/>
  <c r="C66" i="41" s="1"/>
  <c r="C67" i="41" s="1"/>
  <c r="C68" i="41" s="1"/>
  <c r="C69" i="41" s="1"/>
  <c r="C70" i="41" s="1"/>
  <c r="C71" i="41" s="1"/>
  <c r="C72" i="41" s="1"/>
  <c r="K18" i="41"/>
  <c r="L18" i="41" s="1"/>
  <c r="P39" i="36"/>
  <c r="C17" i="42"/>
  <c r="C18" i="42" s="1"/>
  <c r="C19" i="42" s="1"/>
  <c r="C20" i="42" s="1"/>
  <c r="C21" i="42" s="1"/>
  <c r="C22" i="42" s="1"/>
  <c r="C23" i="42" s="1"/>
  <c r="C24" i="42" s="1"/>
  <c r="C25" i="42" s="1"/>
  <c r="C26" i="42" s="1"/>
  <c r="C27" i="42" s="1"/>
  <c r="C28" i="42" s="1"/>
  <c r="C29" i="42" s="1"/>
  <c r="C30" i="42" s="1"/>
  <c r="C31" i="42" s="1"/>
  <c r="C32" i="42" s="1"/>
  <c r="C33" i="42" s="1"/>
  <c r="C34" i="42" s="1"/>
  <c r="C35" i="42" s="1"/>
  <c r="C36" i="42" s="1"/>
  <c r="C37" i="42" s="1"/>
  <c r="C38" i="42" s="1"/>
  <c r="C39" i="42" s="1"/>
  <c r="C40" i="42" s="1"/>
  <c r="C41" i="42" s="1"/>
  <c r="C42" i="42" s="1"/>
  <c r="C43" i="42" s="1"/>
  <c r="C44" i="42" s="1"/>
  <c r="C45" i="42" s="1"/>
  <c r="C46" i="42" s="1"/>
  <c r="C47" i="42" s="1"/>
  <c r="C48" i="42" s="1"/>
  <c r="C49" i="42" s="1"/>
  <c r="C50" i="42" s="1"/>
  <c r="C51" i="42" s="1"/>
  <c r="C52" i="42" s="1"/>
  <c r="C53" i="42" s="1"/>
  <c r="C54" i="42" s="1"/>
  <c r="C55" i="42" s="1"/>
  <c r="C56" i="42" s="1"/>
  <c r="C57" i="42" s="1"/>
  <c r="C58" i="42" s="1"/>
  <c r="C59" i="42" s="1"/>
  <c r="C60" i="42" s="1"/>
  <c r="C61" i="42" s="1"/>
  <c r="C62" i="42" s="1"/>
  <c r="C63" i="42" s="1"/>
  <c r="C64" i="42" s="1"/>
  <c r="C65" i="42" s="1"/>
  <c r="C66" i="42" s="1"/>
  <c r="C67" i="42" s="1"/>
  <c r="C68" i="42" s="1"/>
  <c r="C69" i="42" s="1"/>
  <c r="C70" i="42" s="1"/>
  <c r="C71" i="42" s="1"/>
  <c r="C72" i="42" s="1"/>
  <c r="K18" i="42"/>
  <c r="L18" i="42" s="1"/>
  <c r="P40" i="36"/>
  <c r="C17" i="43"/>
  <c r="C18" i="43" s="1"/>
  <c r="C19" i="43" s="1"/>
  <c r="C20" i="43" s="1"/>
  <c r="C21" i="43" s="1"/>
  <c r="C22" i="43" s="1"/>
  <c r="C23" i="43" s="1"/>
  <c r="C24" i="43" s="1"/>
  <c r="C25" i="43" s="1"/>
  <c r="C26" i="43" s="1"/>
  <c r="C27" i="43" s="1"/>
  <c r="C28" i="43" s="1"/>
  <c r="C29" i="43" s="1"/>
  <c r="C30" i="43" s="1"/>
  <c r="C31" i="43" s="1"/>
  <c r="C32" i="43" s="1"/>
  <c r="C33" i="43" s="1"/>
  <c r="C34" i="43" s="1"/>
  <c r="C35" i="43" s="1"/>
  <c r="C36" i="43" s="1"/>
  <c r="C37" i="43" s="1"/>
  <c r="C38" i="43" s="1"/>
  <c r="C39" i="43" s="1"/>
  <c r="C40" i="43" s="1"/>
  <c r="C41" i="43" s="1"/>
  <c r="C42" i="43" s="1"/>
  <c r="C43" i="43" s="1"/>
  <c r="C44" i="43" s="1"/>
  <c r="C45" i="43" s="1"/>
  <c r="C46" i="43" s="1"/>
  <c r="C47" i="43" s="1"/>
  <c r="C48" i="43" s="1"/>
  <c r="C49" i="43" s="1"/>
  <c r="C50" i="43" s="1"/>
  <c r="C51" i="43" s="1"/>
  <c r="C52" i="43" s="1"/>
  <c r="C53" i="43" s="1"/>
  <c r="C54" i="43" s="1"/>
  <c r="C55" i="43" s="1"/>
  <c r="C56" i="43" s="1"/>
  <c r="C57" i="43" s="1"/>
  <c r="C58" i="43" s="1"/>
  <c r="C59" i="43" s="1"/>
  <c r="C60" i="43" s="1"/>
  <c r="C61" i="43" s="1"/>
  <c r="C62" i="43" s="1"/>
  <c r="C63" i="43" s="1"/>
  <c r="C64" i="43" s="1"/>
  <c r="C65" i="43" s="1"/>
  <c r="C66" i="43" s="1"/>
  <c r="C67" i="43" s="1"/>
  <c r="C68" i="43" s="1"/>
  <c r="C69" i="43" s="1"/>
  <c r="C70" i="43" s="1"/>
  <c r="C71" i="43" s="1"/>
  <c r="C72" i="43" s="1"/>
  <c r="K18" i="43"/>
  <c r="L18" i="43" s="1"/>
  <c r="P41" i="36"/>
  <c r="C17" i="44"/>
  <c r="C18" i="44" s="1"/>
  <c r="C19" i="44" s="1"/>
  <c r="C20" i="44" s="1"/>
  <c r="C21" i="44" s="1"/>
  <c r="C22" i="44" s="1"/>
  <c r="C23" i="44" s="1"/>
  <c r="C24" i="44" s="1"/>
  <c r="C25" i="44" s="1"/>
  <c r="C26" i="44" s="1"/>
  <c r="C27" i="44" s="1"/>
  <c r="C28" i="44" s="1"/>
  <c r="C29" i="44" s="1"/>
  <c r="C30" i="44" s="1"/>
  <c r="C31" i="44" s="1"/>
  <c r="C32" i="44" s="1"/>
  <c r="C33" i="44" s="1"/>
  <c r="C34" i="44" s="1"/>
  <c r="C35" i="44" s="1"/>
  <c r="C36" i="44" s="1"/>
  <c r="C37" i="44" s="1"/>
  <c r="C38" i="44" s="1"/>
  <c r="C39" i="44" s="1"/>
  <c r="C40" i="44" s="1"/>
  <c r="C41" i="44" s="1"/>
  <c r="C42" i="44" s="1"/>
  <c r="C43" i="44" s="1"/>
  <c r="C44" i="44" s="1"/>
  <c r="C45" i="44" s="1"/>
  <c r="C46" i="44" s="1"/>
  <c r="C47" i="44" s="1"/>
  <c r="C48" i="44" s="1"/>
  <c r="C49" i="44" s="1"/>
  <c r="C50" i="44" s="1"/>
  <c r="C51" i="44" s="1"/>
  <c r="C52" i="44" s="1"/>
  <c r="C53" i="44" s="1"/>
  <c r="C54" i="44" s="1"/>
  <c r="C55" i="44" s="1"/>
  <c r="C56" i="44" s="1"/>
  <c r="C57" i="44" s="1"/>
  <c r="C58" i="44" s="1"/>
  <c r="C59" i="44" s="1"/>
  <c r="C60" i="44" s="1"/>
  <c r="C61" i="44" s="1"/>
  <c r="C62" i="44" s="1"/>
  <c r="C63" i="44" s="1"/>
  <c r="C64" i="44" s="1"/>
  <c r="C65" i="44" s="1"/>
  <c r="C66" i="44" s="1"/>
  <c r="C67" i="44" s="1"/>
  <c r="C68" i="44" s="1"/>
  <c r="C69" i="44" s="1"/>
  <c r="C70" i="44" s="1"/>
  <c r="C71" i="44" s="1"/>
  <c r="C72" i="44" s="1"/>
  <c r="K18" i="44"/>
  <c r="L18" i="44" s="1"/>
  <c r="P42" i="36"/>
  <c r="C17" i="45"/>
  <c r="C18" i="45" s="1"/>
  <c r="C19" i="45" s="1"/>
  <c r="C20" i="45" s="1"/>
  <c r="C21" i="45" s="1"/>
  <c r="C22" i="45" s="1"/>
  <c r="C23" i="45" s="1"/>
  <c r="C24" i="45" s="1"/>
  <c r="C25" i="45" s="1"/>
  <c r="C26" i="45" s="1"/>
  <c r="C27" i="45" s="1"/>
  <c r="C28" i="45" s="1"/>
  <c r="C29" i="45" s="1"/>
  <c r="C30" i="45" s="1"/>
  <c r="C31" i="45" s="1"/>
  <c r="C32" i="45" s="1"/>
  <c r="C33" i="45" s="1"/>
  <c r="C34" i="45" s="1"/>
  <c r="C35" i="45" s="1"/>
  <c r="C36" i="45" s="1"/>
  <c r="C37" i="45" s="1"/>
  <c r="C38" i="45" s="1"/>
  <c r="C39" i="45" s="1"/>
  <c r="C40" i="45" s="1"/>
  <c r="C41" i="45" s="1"/>
  <c r="C42" i="45" s="1"/>
  <c r="C43" i="45" s="1"/>
  <c r="C44" i="45" s="1"/>
  <c r="C45" i="45" s="1"/>
  <c r="C46" i="45" s="1"/>
  <c r="C47" i="45" s="1"/>
  <c r="C48" i="45" s="1"/>
  <c r="C49" i="45" s="1"/>
  <c r="C50" i="45" s="1"/>
  <c r="C51" i="45" s="1"/>
  <c r="C52" i="45" s="1"/>
  <c r="C53" i="45" s="1"/>
  <c r="C54" i="45" s="1"/>
  <c r="C55" i="45" s="1"/>
  <c r="C56" i="45" s="1"/>
  <c r="C57" i="45" s="1"/>
  <c r="C58" i="45" s="1"/>
  <c r="C59" i="45" s="1"/>
  <c r="C60" i="45" s="1"/>
  <c r="C61" i="45" s="1"/>
  <c r="C62" i="45" s="1"/>
  <c r="C63" i="45" s="1"/>
  <c r="C64" i="45" s="1"/>
  <c r="C65" i="45" s="1"/>
  <c r="C66" i="45" s="1"/>
  <c r="C67" i="45" s="1"/>
  <c r="C68" i="45" s="1"/>
  <c r="C69" i="45" s="1"/>
  <c r="C70" i="45" s="1"/>
  <c r="C71" i="45" s="1"/>
  <c r="C72" i="45" s="1"/>
  <c r="K17" i="45"/>
  <c r="L17" i="45" s="1"/>
  <c r="P43" i="36"/>
  <c r="P44" i="36"/>
  <c r="P45" i="36"/>
  <c r="P46" i="36"/>
  <c r="P47" i="36"/>
  <c r="P48" i="36"/>
  <c r="P49" i="36"/>
  <c r="P50" i="36"/>
  <c r="W44" i="36"/>
  <c r="W45" i="36"/>
  <c r="W46" i="36"/>
  <c r="W47" i="36"/>
  <c r="W48" i="36"/>
  <c r="W49" i="36"/>
  <c r="W50" i="36"/>
  <c r="F81" i="1"/>
  <c r="C17" i="58"/>
  <c r="C18" i="58" s="1"/>
  <c r="C19" i="58" s="1"/>
  <c r="C20" i="58" s="1"/>
  <c r="C21" i="58" s="1"/>
  <c r="C22" i="58" s="1"/>
  <c r="C23" i="58" s="1"/>
  <c r="C24" i="58" s="1"/>
  <c r="C25" i="58" s="1"/>
  <c r="C26" i="58" s="1"/>
  <c r="C27" i="58" s="1"/>
  <c r="C28" i="58" s="1"/>
  <c r="C29" i="58" s="1"/>
  <c r="C30" i="58" s="1"/>
  <c r="C31" i="58" s="1"/>
  <c r="C32" i="58" s="1"/>
  <c r="C33" i="58" s="1"/>
  <c r="C34" i="58" s="1"/>
  <c r="C35" i="58" s="1"/>
  <c r="C36" i="58" s="1"/>
  <c r="C37" i="58" s="1"/>
  <c r="C38" i="58" s="1"/>
  <c r="C39" i="58" s="1"/>
  <c r="C40" i="58" s="1"/>
  <c r="C41" i="58" s="1"/>
  <c r="C42" i="58" s="1"/>
  <c r="C43" i="58" s="1"/>
  <c r="C44" i="58" s="1"/>
  <c r="C45" i="58" s="1"/>
  <c r="C46" i="58" s="1"/>
  <c r="C47" i="58" s="1"/>
  <c r="C48" i="58" s="1"/>
  <c r="C49" i="58" s="1"/>
  <c r="C50" i="58" s="1"/>
  <c r="C51" i="58" s="1"/>
  <c r="C52" i="58" s="1"/>
  <c r="C53" i="58" s="1"/>
  <c r="C54" i="58" s="1"/>
  <c r="C55" i="58" s="1"/>
  <c r="C56" i="58" s="1"/>
  <c r="C57" i="58" s="1"/>
  <c r="C58" i="58" s="1"/>
  <c r="C59" i="58" s="1"/>
  <c r="C60" i="58" s="1"/>
  <c r="C61" i="58" s="1"/>
  <c r="C62" i="58" s="1"/>
  <c r="C63" i="58" s="1"/>
  <c r="C64" i="58" s="1"/>
  <c r="C65" i="58" s="1"/>
  <c r="C66" i="58" s="1"/>
  <c r="C67" i="58" s="1"/>
  <c r="C68" i="58" s="1"/>
  <c r="C69" i="58" s="1"/>
  <c r="C70" i="58" s="1"/>
  <c r="C71" i="58" s="1"/>
  <c r="C72" i="58" s="1"/>
  <c r="C17" i="57"/>
  <c r="C18" i="57" s="1"/>
  <c r="C19" i="57" s="1"/>
  <c r="C20" i="57" s="1"/>
  <c r="C21" i="57" s="1"/>
  <c r="C22" i="57" s="1"/>
  <c r="C23" i="57" s="1"/>
  <c r="C24" i="57" s="1"/>
  <c r="C25" i="57" s="1"/>
  <c r="C26" i="57" s="1"/>
  <c r="C27" i="57" s="1"/>
  <c r="C28" i="57" s="1"/>
  <c r="C29" i="57" s="1"/>
  <c r="C30" i="57" s="1"/>
  <c r="C31" i="57" s="1"/>
  <c r="C32" i="57" s="1"/>
  <c r="C33" i="57" s="1"/>
  <c r="C34" i="57" s="1"/>
  <c r="C35" i="57" s="1"/>
  <c r="C36" i="57" s="1"/>
  <c r="C37" i="57" s="1"/>
  <c r="C38" i="57" s="1"/>
  <c r="C39" i="57" s="1"/>
  <c r="C40" i="57" s="1"/>
  <c r="C41" i="57" s="1"/>
  <c r="C42" i="57" s="1"/>
  <c r="C43" i="57" s="1"/>
  <c r="C44" i="57" s="1"/>
  <c r="C45" i="57" s="1"/>
  <c r="C46" i="57" s="1"/>
  <c r="C47" i="57" s="1"/>
  <c r="C48" i="57" s="1"/>
  <c r="C49" i="57" s="1"/>
  <c r="C50" i="57" s="1"/>
  <c r="C51" i="57" s="1"/>
  <c r="C52" i="57" s="1"/>
  <c r="C53" i="57" s="1"/>
  <c r="C54" i="57" s="1"/>
  <c r="C55" i="57" s="1"/>
  <c r="C56" i="57" s="1"/>
  <c r="C57" i="57" s="1"/>
  <c r="C58" i="57" s="1"/>
  <c r="C59" i="57" s="1"/>
  <c r="C60" i="57" s="1"/>
  <c r="C61" i="57" s="1"/>
  <c r="C62" i="57" s="1"/>
  <c r="C63" i="57" s="1"/>
  <c r="C64" i="57" s="1"/>
  <c r="C65" i="57" s="1"/>
  <c r="C66" i="57" s="1"/>
  <c r="C67" i="57" s="1"/>
  <c r="C68" i="57" s="1"/>
  <c r="C69" i="57" s="1"/>
  <c r="C70" i="57" s="1"/>
  <c r="C71" i="57" s="1"/>
  <c r="C72" i="57" s="1"/>
  <c r="C17" i="56"/>
  <c r="C18" i="56" s="1"/>
  <c r="C19" i="56" s="1"/>
  <c r="C20" i="56" s="1"/>
  <c r="C21" i="56" s="1"/>
  <c r="C22" i="56" s="1"/>
  <c r="C23" i="56" s="1"/>
  <c r="C24" i="56" s="1"/>
  <c r="C25" i="56" s="1"/>
  <c r="C26" i="56" s="1"/>
  <c r="C27" i="56" s="1"/>
  <c r="C28" i="56" s="1"/>
  <c r="C29" i="56" s="1"/>
  <c r="C30" i="56" s="1"/>
  <c r="C31" i="56" s="1"/>
  <c r="C32" i="56" s="1"/>
  <c r="C33" i="56" s="1"/>
  <c r="C34" i="56" s="1"/>
  <c r="C35" i="56" s="1"/>
  <c r="C36" i="56" s="1"/>
  <c r="C37" i="56" s="1"/>
  <c r="C38" i="56" s="1"/>
  <c r="C39" i="56" s="1"/>
  <c r="C40" i="56" s="1"/>
  <c r="C41" i="56" s="1"/>
  <c r="C42" i="56" s="1"/>
  <c r="C43" i="56" s="1"/>
  <c r="C44" i="56" s="1"/>
  <c r="C45" i="56" s="1"/>
  <c r="C46" i="56" s="1"/>
  <c r="C47" i="56" s="1"/>
  <c r="C48" i="56" s="1"/>
  <c r="C49" i="56" s="1"/>
  <c r="C50" i="56" s="1"/>
  <c r="C51" i="56" s="1"/>
  <c r="C52" i="56" s="1"/>
  <c r="C53" i="56" s="1"/>
  <c r="C54" i="56" s="1"/>
  <c r="C55" i="56" s="1"/>
  <c r="C56" i="56" s="1"/>
  <c r="C57" i="56" s="1"/>
  <c r="C58" i="56" s="1"/>
  <c r="C59" i="56" s="1"/>
  <c r="C60" i="56" s="1"/>
  <c r="C61" i="56" s="1"/>
  <c r="C62" i="56" s="1"/>
  <c r="C63" i="56" s="1"/>
  <c r="C64" i="56" s="1"/>
  <c r="C65" i="56" s="1"/>
  <c r="C66" i="56" s="1"/>
  <c r="C67" i="56" s="1"/>
  <c r="C68" i="56" s="1"/>
  <c r="C69" i="56" s="1"/>
  <c r="C70" i="56" s="1"/>
  <c r="C71" i="56" s="1"/>
  <c r="C72" i="56" s="1"/>
  <c r="C17" i="55"/>
  <c r="C18" i="55" s="1"/>
  <c r="C19" i="55" s="1"/>
  <c r="C20" i="55" s="1"/>
  <c r="C21" i="55" s="1"/>
  <c r="C22" i="55" s="1"/>
  <c r="C23" i="55" s="1"/>
  <c r="C24" i="55" s="1"/>
  <c r="C25" i="55" s="1"/>
  <c r="C26" i="55" s="1"/>
  <c r="C27" i="55" s="1"/>
  <c r="C28" i="55" s="1"/>
  <c r="C29" i="55" s="1"/>
  <c r="C30" i="55" s="1"/>
  <c r="C31" i="55" s="1"/>
  <c r="C32" i="55" s="1"/>
  <c r="C33" i="55" s="1"/>
  <c r="C34" i="55" s="1"/>
  <c r="C35" i="55" s="1"/>
  <c r="C36" i="55" s="1"/>
  <c r="C37" i="55" s="1"/>
  <c r="C38" i="55" s="1"/>
  <c r="C39" i="55" s="1"/>
  <c r="C40" i="55" s="1"/>
  <c r="C41" i="55" s="1"/>
  <c r="C42" i="55" s="1"/>
  <c r="C43" i="55" s="1"/>
  <c r="C44" i="55" s="1"/>
  <c r="C45" i="55" s="1"/>
  <c r="C46" i="55" s="1"/>
  <c r="C47" i="55" s="1"/>
  <c r="C48" i="55" s="1"/>
  <c r="C49" i="55" s="1"/>
  <c r="C50" i="55" s="1"/>
  <c r="C51" i="55" s="1"/>
  <c r="C52" i="55" s="1"/>
  <c r="C53" i="55" s="1"/>
  <c r="C54" i="55" s="1"/>
  <c r="C55" i="55" s="1"/>
  <c r="C56" i="55" s="1"/>
  <c r="C57" i="55" s="1"/>
  <c r="C58" i="55" s="1"/>
  <c r="C59" i="55" s="1"/>
  <c r="C60" i="55" s="1"/>
  <c r="C61" i="55" s="1"/>
  <c r="C62" i="55" s="1"/>
  <c r="C63" i="55" s="1"/>
  <c r="C64" i="55" s="1"/>
  <c r="C65" i="55" s="1"/>
  <c r="C66" i="55" s="1"/>
  <c r="C67" i="55" s="1"/>
  <c r="C68" i="55" s="1"/>
  <c r="C69" i="55" s="1"/>
  <c r="C70" i="55" s="1"/>
  <c r="C71" i="55" s="1"/>
  <c r="C72" i="55" s="1"/>
  <c r="C17" i="54"/>
  <c r="C18" i="54" s="1"/>
  <c r="C19" i="54" s="1"/>
  <c r="C20" i="54" s="1"/>
  <c r="C21" i="54" s="1"/>
  <c r="C22" i="54" s="1"/>
  <c r="C23" i="54" s="1"/>
  <c r="C24" i="54" s="1"/>
  <c r="C25" i="54" s="1"/>
  <c r="C26" i="54" s="1"/>
  <c r="C27" i="54" s="1"/>
  <c r="C28" i="54" s="1"/>
  <c r="C29" i="54" s="1"/>
  <c r="C30" i="54" s="1"/>
  <c r="C31" i="54" s="1"/>
  <c r="C32" i="54" s="1"/>
  <c r="C33" i="54" s="1"/>
  <c r="C34" i="54" s="1"/>
  <c r="C35" i="54" s="1"/>
  <c r="C36" i="54" s="1"/>
  <c r="C37" i="54" s="1"/>
  <c r="C38" i="54" s="1"/>
  <c r="C39" i="54" s="1"/>
  <c r="C40" i="54" s="1"/>
  <c r="C41" i="54" s="1"/>
  <c r="C42" i="54" s="1"/>
  <c r="C43" i="54" s="1"/>
  <c r="C44" i="54" s="1"/>
  <c r="C45" i="54" s="1"/>
  <c r="C46" i="54" s="1"/>
  <c r="C47" i="54" s="1"/>
  <c r="C48" i="54" s="1"/>
  <c r="C49" i="54" s="1"/>
  <c r="C50" i="54" s="1"/>
  <c r="C51" i="54" s="1"/>
  <c r="C52" i="54" s="1"/>
  <c r="C53" i="54" s="1"/>
  <c r="C54" i="54" s="1"/>
  <c r="C55" i="54" s="1"/>
  <c r="C56" i="54" s="1"/>
  <c r="C57" i="54" s="1"/>
  <c r="C58" i="54" s="1"/>
  <c r="C59" i="54" s="1"/>
  <c r="C60" i="54" s="1"/>
  <c r="C61" i="54" s="1"/>
  <c r="C62" i="54" s="1"/>
  <c r="C63" i="54" s="1"/>
  <c r="C64" i="54" s="1"/>
  <c r="C65" i="54" s="1"/>
  <c r="C66" i="54" s="1"/>
  <c r="C67" i="54" s="1"/>
  <c r="C68" i="54" s="1"/>
  <c r="C69" i="54" s="1"/>
  <c r="C70" i="54" s="1"/>
  <c r="C71" i="54" s="1"/>
  <c r="C72" i="54" s="1"/>
  <c r="C17" i="53"/>
  <c r="C18" i="53" s="1"/>
  <c r="C19" i="53" s="1"/>
  <c r="C20" i="53" s="1"/>
  <c r="C21" i="53" s="1"/>
  <c r="C22" i="53" s="1"/>
  <c r="C23" i="53" s="1"/>
  <c r="C24" i="53" s="1"/>
  <c r="C25" i="53" s="1"/>
  <c r="C26" i="53" s="1"/>
  <c r="C27" i="53" s="1"/>
  <c r="C28" i="53" s="1"/>
  <c r="C29" i="53" s="1"/>
  <c r="C30" i="53" s="1"/>
  <c r="C31" i="53" s="1"/>
  <c r="C32" i="53" s="1"/>
  <c r="C33" i="53" s="1"/>
  <c r="C34" i="53" s="1"/>
  <c r="C35" i="53" s="1"/>
  <c r="C36" i="53" s="1"/>
  <c r="C37" i="53" s="1"/>
  <c r="C38" i="53" s="1"/>
  <c r="C39" i="53" s="1"/>
  <c r="C40" i="53" s="1"/>
  <c r="C41" i="53" s="1"/>
  <c r="C42" i="53" s="1"/>
  <c r="C43" i="53" s="1"/>
  <c r="C44" i="53" s="1"/>
  <c r="C45" i="53" s="1"/>
  <c r="C46" i="53" s="1"/>
  <c r="C47" i="53" s="1"/>
  <c r="C48" i="53" s="1"/>
  <c r="C49" i="53" s="1"/>
  <c r="C50" i="53" s="1"/>
  <c r="C51" i="53" s="1"/>
  <c r="C52" i="53" s="1"/>
  <c r="C53" i="53" s="1"/>
  <c r="C54" i="53" s="1"/>
  <c r="C55" i="53" s="1"/>
  <c r="C56" i="53" s="1"/>
  <c r="C57" i="53" s="1"/>
  <c r="C58" i="53" s="1"/>
  <c r="C59" i="53" s="1"/>
  <c r="C60" i="53" s="1"/>
  <c r="C61" i="53" s="1"/>
  <c r="C62" i="53" s="1"/>
  <c r="C63" i="53" s="1"/>
  <c r="C64" i="53" s="1"/>
  <c r="C65" i="53" s="1"/>
  <c r="C66" i="53" s="1"/>
  <c r="C67" i="53" s="1"/>
  <c r="C68" i="53" s="1"/>
  <c r="C69" i="53" s="1"/>
  <c r="C70" i="53" s="1"/>
  <c r="C71" i="53" s="1"/>
  <c r="C72" i="53" s="1"/>
  <c r="C17" i="46"/>
  <c r="C18" i="46" s="1"/>
  <c r="C19" i="46" s="1"/>
  <c r="C20" i="46" s="1"/>
  <c r="C21" i="46" s="1"/>
  <c r="C22" i="46" s="1"/>
  <c r="C23" i="46" s="1"/>
  <c r="C24" i="46" s="1"/>
  <c r="C25" i="46" s="1"/>
  <c r="C26" i="46" s="1"/>
  <c r="C27" i="46" s="1"/>
  <c r="C28" i="46" s="1"/>
  <c r="C29" i="46" s="1"/>
  <c r="C30" i="46" s="1"/>
  <c r="C31" i="46" s="1"/>
  <c r="C32" i="46" s="1"/>
  <c r="C33" i="46" s="1"/>
  <c r="C34" i="46" s="1"/>
  <c r="C35" i="46" s="1"/>
  <c r="C36" i="46" s="1"/>
  <c r="C37" i="46" s="1"/>
  <c r="C38" i="46" s="1"/>
  <c r="C39" i="46" s="1"/>
  <c r="C40" i="46" s="1"/>
  <c r="C41" i="46" s="1"/>
  <c r="C42" i="46" s="1"/>
  <c r="C43" i="46" s="1"/>
  <c r="C44" i="46" s="1"/>
  <c r="C45" i="46" s="1"/>
  <c r="C46" i="46" s="1"/>
  <c r="C47" i="46" s="1"/>
  <c r="C48" i="46" s="1"/>
  <c r="C49" i="46" s="1"/>
  <c r="C50" i="46" s="1"/>
  <c r="C51" i="46" s="1"/>
  <c r="C52" i="46" s="1"/>
  <c r="C53" i="46" s="1"/>
  <c r="C54" i="46" s="1"/>
  <c r="C55" i="46" s="1"/>
  <c r="C56" i="46" s="1"/>
  <c r="C57" i="46" s="1"/>
  <c r="C58" i="46" s="1"/>
  <c r="C59" i="46" s="1"/>
  <c r="C60" i="46" s="1"/>
  <c r="C61" i="46" s="1"/>
  <c r="C62" i="46" s="1"/>
  <c r="C63" i="46" s="1"/>
  <c r="C64" i="46" s="1"/>
  <c r="C65" i="46" s="1"/>
  <c r="C66" i="46" s="1"/>
  <c r="C67" i="46" s="1"/>
  <c r="C68" i="46" s="1"/>
  <c r="C69" i="46" s="1"/>
  <c r="C70" i="46" s="1"/>
  <c r="C71" i="46" s="1"/>
  <c r="C72" i="46" s="1"/>
  <c r="O3" i="58"/>
  <c r="D8" i="58"/>
  <c r="D90" i="58" s="1"/>
  <c r="K11" i="58"/>
  <c r="N24" i="58"/>
  <c r="N25" i="58"/>
  <c r="N26" i="58"/>
  <c r="N27" i="58"/>
  <c r="N28" i="58"/>
  <c r="L30" i="58"/>
  <c r="N30" i="58"/>
  <c r="L31" i="58"/>
  <c r="N31" i="58"/>
  <c r="L32" i="58"/>
  <c r="N32" i="58"/>
  <c r="L33" i="58"/>
  <c r="N33" i="58"/>
  <c r="L34" i="58"/>
  <c r="N34" i="58"/>
  <c r="L35" i="58"/>
  <c r="N35" i="58"/>
  <c r="L36" i="58"/>
  <c r="N36" i="58"/>
  <c r="L37" i="58"/>
  <c r="N37" i="58"/>
  <c r="L38" i="58"/>
  <c r="N38" i="58"/>
  <c r="L39" i="58"/>
  <c r="N39" i="58"/>
  <c r="L40" i="58"/>
  <c r="N40" i="58"/>
  <c r="L41" i="58"/>
  <c r="N41" i="58"/>
  <c r="L42" i="58"/>
  <c r="N42" i="58"/>
  <c r="L43" i="58"/>
  <c r="N43" i="58"/>
  <c r="L44" i="58"/>
  <c r="N44" i="58"/>
  <c r="L45" i="58"/>
  <c r="N45" i="58"/>
  <c r="L46" i="58"/>
  <c r="N46" i="58"/>
  <c r="L47" i="58"/>
  <c r="N47" i="58"/>
  <c r="L48" i="58"/>
  <c r="N48" i="58"/>
  <c r="L49" i="58"/>
  <c r="N49" i="58"/>
  <c r="L50" i="58"/>
  <c r="N50" i="58"/>
  <c r="L51" i="58"/>
  <c r="N51" i="58"/>
  <c r="L52" i="58"/>
  <c r="N52" i="58"/>
  <c r="L53" i="58"/>
  <c r="N53" i="58"/>
  <c r="L54" i="58"/>
  <c r="N54" i="58"/>
  <c r="L55" i="58"/>
  <c r="N55" i="58"/>
  <c r="L56" i="58"/>
  <c r="N56" i="58"/>
  <c r="L57" i="58"/>
  <c r="N57" i="58"/>
  <c r="L58" i="58"/>
  <c r="N58" i="58"/>
  <c r="L59" i="58"/>
  <c r="N59" i="58"/>
  <c r="L60" i="58"/>
  <c r="N60" i="58"/>
  <c r="L61" i="58"/>
  <c r="N61" i="58"/>
  <c r="L62" i="58"/>
  <c r="N62" i="58"/>
  <c r="L63" i="58"/>
  <c r="N63" i="58"/>
  <c r="L64" i="58"/>
  <c r="N64" i="58"/>
  <c r="L65" i="58"/>
  <c r="N65" i="58"/>
  <c r="L66" i="58"/>
  <c r="N66" i="58"/>
  <c r="L67" i="58"/>
  <c r="N67" i="58"/>
  <c r="L68" i="58"/>
  <c r="N68" i="58"/>
  <c r="L69" i="58"/>
  <c r="N69" i="58"/>
  <c r="L70" i="58"/>
  <c r="N70" i="58"/>
  <c r="L71" i="58"/>
  <c r="N71" i="58"/>
  <c r="L72" i="58"/>
  <c r="N72" i="58"/>
  <c r="D89" i="58"/>
  <c r="D91" i="58"/>
  <c r="J93" i="58"/>
  <c r="L93" i="58"/>
  <c r="D96" i="58"/>
  <c r="O105" i="58"/>
  <c r="O106" i="58"/>
  <c r="O107" i="58"/>
  <c r="O108" i="58"/>
  <c r="M111" i="58"/>
  <c r="O111" i="58"/>
  <c r="M112" i="58"/>
  <c r="O112" i="58"/>
  <c r="M113" i="58"/>
  <c r="O113" i="58"/>
  <c r="M114" i="58"/>
  <c r="O114" i="58"/>
  <c r="M115" i="58"/>
  <c r="O115" i="58"/>
  <c r="M116" i="58"/>
  <c r="O116" i="58"/>
  <c r="M117" i="58"/>
  <c r="O117" i="58"/>
  <c r="M118" i="58"/>
  <c r="O118" i="58"/>
  <c r="M119" i="58"/>
  <c r="O119" i="58"/>
  <c r="M120" i="58"/>
  <c r="O120" i="58"/>
  <c r="M121" i="58"/>
  <c r="O121" i="58"/>
  <c r="M122" i="58"/>
  <c r="O122" i="58"/>
  <c r="M123" i="58"/>
  <c r="O123" i="58"/>
  <c r="M124" i="58"/>
  <c r="O124" i="58"/>
  <c r="M125" i="58"/>
  <c r="O125" i="58"/>
  <c r="M126" i="58"/>
  <c r="O126" i="58"/>
  <c r="M127" i="58"/>
  <c r="O127" i="58"/>
  <c r="M128" i="58"/>
  <c r="O128" i="58"/>
  <c r="M129" i="58"/>
  <c r="O129" i="58"/>
  <c r="M130" i="58"/>
  <c r="O130" i="58"/>
  <c r="M131" i="58"/>
  <c r="O131" i="58"/>
  <c r="M132" i="58"/>
  <c r="O132" i="58"/>
  <c r="M133" i="58"/>
  <c r="O133" i="58"/>
  <c r="M134" i="58"/>
  <c r="O134" i="58"/>
  <c r="M135" i="58"/>
  <c r="O135" i="58"/>
  <c r="M136" i="58"/>
  <c r="O136" i="58"/>
  <c r="M137" i="58"/>
  <c r="O137" i="58"/>
  <c r="M138" i="58"/>
  <c r="O138" i="58"/>
  <c r="M139" i="58"/>
  <c r="O139" i="58"/>
  <c r="M140" i="58"/>
  <c r="O140" i="58"/>
  <c r="M141" i="58"/>
  <c r="O141" i="58"/>
  <c r="M142" i="58"/>
  <c r="O142" i="58"/>
  <c r="M143" i="58"/>
  <c r="O143" i="58"/>
  <c r="M144" i="58"/>
  <c r="O144" i="58"/>
  <c r="M145" i="58"/>
  <c r="O145" i="58"/>
  <c r="M146" i="58"/>
  <c r="O146" i="58"/>
  <c r="M147" i="58"/>
  <c r="O147" i="58"/>
  <c r="M148" i="58"/>
  <c r="O148" i="58"/>
  <c r="M149" i="58"/>
  <c r="O149" i="58"/>
  <c r="M150" i="58"/>
  <c r="O150" i="58"/>
  <c r="M151" i="58"/>
  <c r="O151" i="58"/>
  <c r="M152" i="58"/>
  <c r="O152" i="58"/>
  <c r="M153" i="58"/>
  <c r="O153" i="58"/>
  <c r="M154" i="58"/>
  <c r="O154" i="58"/>
  <c r="P83" i="57"/>
  <c r="O3" i="57"/>
  <c r="D8" i="57"/>
  <c r="D90" i="57" s="1"/>
  <c r="K11" i="57"/>
  <c r="N24" i="57"/>
  <c r="N25" i="57"/>
  <c r="N26" i="57"/>
  <c r="N27" i="57"/>
  <c r="N28" i="57"/>
  <c r="L30" i="57"/>
  <c r="N30" i="57"/>
  <c r="L31" i="57"/>
  <c r="N31" i="57"/>
  <c r="L32" i="57"/>
  <c r="N32" i="57"/>
  <c r="L33" i="57"/>
  <c r="N33" i="57"/>
  <c r="L34" i="57"/>
  <c r="N34" i="57"/>
  <c r="L35" i="57"/>
  <c r="N35" i="57"/>
  <c r="L36" i="57"/>
  <c r="N36" i="57"/>
  <c r="L37" i="57"/>
  <c r="N37" i="57"/>
  <c r="L38" i="57"/>
  <c r="N38" i="57"/>
  <c r="L39" i="57"/>
  <c r="N39" i="57"/>
  <c r="L40" i="57"/>
  <c r="N40" i="57"/>
  <c r="L41" i="57"/>
  <c r="N41" i="57"/>
  <c r="L42" i="57"/>
  <c r="N42" i="57"/>
  <c r="L43" i="57"/>
  <c r="N43" i="57"/>
  <c r="L44" i="57"/>
  <c r="N44" i="57"/>
  <c r="L45" i="57"/>
  <c r="N45" i="57"/>
  <c r="L46" i="57"/>
  <c r="N46" i="57"/>
  <c r="L47" i="57"/>
  <c r="N47" i="57"/>
  <c r="L48" i="57"/>
  <c r="N48" i="57"/>
  <c r="L49" i="57"/>
  <c r="N49" i="57"/>
  <c r="L50" i="57"/>
  <c r="N50" i="57"/>
  <c r="L51" i="57"/>
  <c r="N51" i="57"/>
  <c r="L52" i="57"/>
  <c r="N52" i="57"/>
  <c r="L53" i="57"/>
  <c r="N53" i="57"/>
  <c r="L54" i="57"/>
  <c r="N54" i="57"/>
  <c r="L55" i="57"/>
  <c r="N55" i="57"/>
  <c r="L56" i="57"/>
  <c r="N56" i="57"/>
  <c r="L57" i="57"/>
  <c r="N57" i="57"/>
  <c r="L58" i="57"/>
  <c r="N58" i="57"/>
  <c r="L59" i="57"/>
  <c r="N59" i="57"/>
  <c r="L60" i="57"/>
  <c r="N60" i="57"/>
  <c r="L61" i="57"/>
  <c r="N61" i="57"/>
  <c r="L62" i="57"/>
  <c r="N62" i="57"/>
  <c r="L63" i="57"/>
  <c r="N63" i="57"/>
  <c r="L64" i="57"/>
  <c r="N64" i="57"/>
  <c r="L65" i="57"/>
  <c r="N65" i="57"/>
  <c r="L66" i="57"/>
  <c r="N66" i="57"/>
  <c r="L67" i="57"/>
  <c r="N67" i="57"/>
  <c r="L68" i="57"/>
  <c r="N68" i="57"/>
  <c r="L69" i="57"/>
  <c r="N69" i="57"/>
  <c r="L70" i="57"/>
  <c r="N70" i="57"/>
  <c r="L71" i="57"/>
  <c r="N71" i="57"/>
  <c r="L72" i="57"/>
  <c r="N72" i="57"/>
  <c r="D89" i="57"/>
  <c r="D91" i="57"/>
  <c r="J93" i="57"/>
  <c r="L93" i="57"/>
  <c r="D96" i="57"/>
  <c r="O105" i="57"/>
  <c r="O106" i="57"/>
  <c r="O107" i="57"/>
  <c r="O108" i="57"/>
  <c r="M111" i="57"/>
  <c r="O111" i="57"/>
  <c r="M112" i="57"/>
  <c r="O112" i="57"/>
  <c r="M113" i="57"/>
  <c r="O113" i="57"/>
  <c r="M114" i="57"/>
  <c r="O114" i="57"/>
  <c r="M115" i="57"/>
  <c r="O115" i="57"/>
  <c r="M116" i="57"/>
  <c r="O116" i="57"/>
  <c r="M117" i="57"/>
  <c r="O117" i="57"/>
  <c r="M118" i="57"/>
  <c r="O118" i="57"/>
  <c r="M119" i="57"/>
  <c r="O119" i="57"/>
  <c r="M120" i="57"/>
  <c r="O120" i="57"/>
  <c r="M121" i="57"/>
  <c r="O121" i="57"/>
  <c r="M122" i="57"/>
  <c r="O122" i="57"/>
  <c r="M123" i="57"/>
  <c r="O123" i="57"/>
  <c r="M124" i="57"/>
  <c r="O124" i="57"/>
  <c r="M125" i="57"/>
  <c r="O125" i="57"/>
  <c r="M126" i="57"/>
  <c r="O126" i="57"/>
  <c r="M127" i="57"/>
  <c r="O127" i="57"/>
  <c r="M128" i="57"/>
  <c r="O128" i="57"/>
  <c r="M129" i="57"/>
  <c r="O129" i="57"/>
  <c r="M130" i="57"/>
  <c r="O130" i="57"/>
  <c r="M131" i="57"/>
  <c r="O131" i="57"/>
  <c r="M132" i="57"/>
  <c r="O132" i="57"/>
  <c r="M133" i="57"/>
  <c r="O133" i="57"/>
  <c r="M134" i="57"/>
  <c r="O134" i="57"/>
  <c r="M135" i="57"/>
  <c r="O135" i="57"/>
  <c r="M136" i="57"/>
  <c r="O136" i="57"/>
  <c r="M137" i="57"/>
  <c r="O137" i="57"/>
  <c r="M138" i="57"/>
  <c r="O138" i="57"/>
  <c r="M139" i="57"/>
  <c r="O139" i="57"/>
  <c r="M140" i="57"/>
  <c r="O140" i="57"/>
  <c r="M141" i="57"/>
  <c r="O141" i="57"/>
  <c r="M142" i="57"/>
  <c r="O142" i="57"/>
  <c r="M143" i="57"/>
  <c r="O143" i="57"/>
  <c r="M144" i="57"/>
  <c r="O144" i="57"/>
  <c r="M145" i="57"/>
  <c r="O145" i="57"/>
  <c r="M146" i="57"/>
  <c r="O146" i="57"/>
  <c r="M147" i="57"/>
  <c r="O147" i="57"/>
  <c r="M148" i="57"/>
  <c r="O148" i="57"/>
  <c r="M149" i="57"/>
  <c r="O149" i="57"/>
  <c r="M150" i="57"/>
  <c r="O150" i="57"/>
  <c r="M151" i="57"/>
  <c r="O151" i="57"/>
  <c r="M152" i="57"/>
  <c r="O152" i="57"/>
  <c r="M153" i="57"/>
  <c r="O153" i="57"/>
  <c r="M154" i="57"/>
  <c r="O154" i="57"/>
  <c r="P83" i="56"/>
  <c r="O3" i="56"/>
  <c r="D8" i="56"/>
  <c r="D90" i="56" s="1"/>
  <c r="K11" i="56"/>
  <c r="N24" i="56"/>
  <c r="N25" i="56"/>
  <c r="N26" i="56"/>
  <c r="N27" i="56"/>
  <c r="N28" i="56"/>
  <c r="L30" i="56"/>
  <c r="N30" i="56"/>
  <c r="L31" i="56"/>
  <c r="N31" i="56"/>
  <c r="L32" i="56"/>
  <c r="N32" i="56"/>
  <c r="L33" i="56"/>
  <c r="N33" i="56"/>
  <c r="L34" i="56"/>
  <c r="N34" i="56"/>
  <c r="L35" i="56"/>
  <c r="N35" i="56"/>
  <c r="L36" i="56"/>
  <c r="N36" i="56"/>
  <c r="L37" i="56"/>
  <c r="N37" i="56"/>
  <c r="L38" i="56"/>
  <c r="N38" i="56"/>
  <c r="L39" i="56"/>
  <c r="N39" i="56"/>
  <c r="L40" i="56"/>
  <c r="N40" i="56"/>
  <c r="L41" i="56"/>
  <c r="N41" i="56"/>
  <c r="L42" i="56"/>
  <c r="N42" i="56"/>
  <c r="L43" i="56"/>
  <c r="N43" i="56"/>
  <c r="L44" i="56"/>
  <c r="N44" i="56"/>
  <c r="L45" i="56"/>
  <c r="N45" i="56"/>
  <c r="L46" i="56"/>
  <c r="N46" i="56"/>
  <c r="L47" i="56"/>
  <c r="N47" i="56"/>
  <c r="L48" i="56"/>
  <c r="N48" i="56"/>
  <c r="L49" i="56"/>
  <c r="N49" i="56"/>
  <c r="L50" i="56"/>
  <c r="N50" i="56"/>
  <c r="L51" i="56"/>
  <c r="N51" i="56"/>
  <c r="L52" i="56"/>
  <c r="N52" i="56"/>
  <c r="L53" i="56"/>
  <c r="N53" i="56"/>
  <c r="L54" i="56"/>
  <c r="N54" i="56"/>
  <c r="L55" i="56"/>
  <c r="N55" i="56"/>
  <c r="L56" i="56"/>
  <c r="N56" i="56"/>
  <c r="L57" i="56"/>
  <c r="N57" i="56"/>
  <c r="L58" i="56"/>
  <c r="N58" i="56"/>
  <c r="L59" i="56"/>
  <c r="N59" i="56"/>
  <c r="L60" i="56"/>
  <c r="N60" i="56"/>
  <c r="L61" i="56"/>
  <c r="N61" i="56"/>
  <c r="L62" i="56"/>
  <c r="N62" i="56"/>
  <c r="L63" i="56"/>
  <c r="N63" i="56"/>
  <c r="L64" i="56"/>
  <c r="N64" i="56"/>
  <c r="L65" i="56"/>
  <c r="N65" i="56"/>
  <c r="L66" i="56"/>
  <c r="N66" i="56"/>
  <c r="L67" i="56"/>
  <c r="N67" i="56"/>
  <c r="L68" i="56"/>
  <c r="N68" i="56"/>
  <c r="L69" i="56"/>
  <c r="N69" i="56"/>
  <c r="L70" i="56"/>
  <c r="N70" i="56"/>
  <c r="L71" i="56"/>
  <c r="N71" i="56"/>
  <c r="L72" i="56"/>
  <c r="N72" i="56"/>
  <c r="D89" i="56"/>
  <c r="D91" i="56"/>
  <c r="J93" i="56"/>
  <c r="L93" i="56"/>
  <c r="D96" i="56"/>
  <c r="O105" i="56"/>
  <c r="O106" i="56"/>
  <c r="O107" i="56"/>
  <c r="O108" i="56"/>
  <c r="M111" i="56"/>
  <c r="O111" i="56"/>
  <c r="M112" i="56"/>
  <c r="O112" i="56"/>
  <c r="M113" i="56"/>
  <c r="O113" i="56"/>
  <c r="M114" i="56"/>
  <c r="O114" i="56"/>
  <c r="M115" i="56"/>
  <c r="O115" i="56"/>
  <c r="M116" i="56"/>
  <c r="O116" i="56"/>
  <c r="M117" i="56"/>
  <c r="O117" i="56"/>
  <c r="M118" i="56"/>
  <c r="O118" i="56"/>
  <c r="M119" i="56"/>
  <c r="O119" i="56"/>
  <c r="M120" i="56"/>
  <c r="O120" i="56"/>
  <c r="M121" i="56"/>
  <c r="O121" i="56"/>
  <c r="M122" i="56"/>
  <c r="O122" i="56"/>
  <c r="M123" i="56"/>
  <c r="O123" i="56"/>
  <c r="M124" i="56"/>
  <c r="O124" i="56"/>
  <c r="M125" i="56"/>
  <c r="O125" i="56"/>
  <c r="M126" i="56"/>
  <c r="O126" i="56"/>
  <c r="M127" i="56"/>
  <c r="O127" i="56"/>
  <c r="M128" i="56"/>
  <c r="O128" i="56"/>
  <c r="M129" i="56"/>
  <c r="O129" i="56"/>
  <c r="M130" i="56"/>
  <c r="O130" i="56"/>
  <c r="M131" i="56"/>
  <c r="O131" i="56"/>
  <c r="M132" i="56"/>
  <c r="O132" i="56"/>
  <c r="M133" i="56"/>
  <c r="O133" i="56"/>
  <c r="M134" i="56"/>
  <c r="O134" i="56"/>
  <c r="M135" i="56"/>
  <c r="O135" i="56"/>
  <c r="M136" i="56"/>
  <c r="O136" i="56"/>
  <c r="M137" i="56"/>
  <c r="O137" i="56"/>
  <c r="M138" i="56"/>
  <c r="O138" i="56"/>
  <c r="M139" i="56"/>
  <c r="O139" i="56"/>
  <c r="M140" i="56"/>
  <c r="O140" i="56"/>
  <c r="M141" i="56"/>
  <c r="O141" i="56"/>
  <c r="M142" i="56"/>
  <c r="O142" i="56"/>
  <c r="M143" i="56"/>
  <c r="O143" i="56"/>
  <c r="M144" i="56"/>
  <c r="O144" i="56"/>
  <c r="M145" i="56"/>
  <c r="O145" i="56"/>
  <c r="M146" i="56"/>
  <c r="O146" i="56"/>
  <c r="M147" i="56"/>
  <c r="O147" i="56"/>
  <c r="M148" i="56"/>
  <c r="O148" i="56"/>
  <c r="M149" i="56"/>
  <c r="O149" i="56"/>
  <c r="M150" i="56"/>
  <c r="O150" i="56"/>
  <c r="M151" i="56"/>
  <c r="O151" i="56"/>
  <c r="M152" i="56"/>
  <c r="O152" i="56"/>
  <c r="M153" i="56"/>
  <c r="O153" i="56"/>
  <c r="M154" i="56"/>
  <c r="O154" i="56"/>
  <c r="P83" i="55"/>
  <c r="O3" i="55"/>
  <c r="D8" i="55"/>
  <c r="D90" i="55" s="1"/>
  <c r="K11" i="55"/>
  <c r="N24" i="55"/>
  <c r="N25" i="55"/>
  <c r="N26" i="55"/>
  <c r="N27" i="55"/>
  <c r="N28" i="55"/>
  <c r="L30" i="55"/>
  <c r="N30" i="55"/>
  <c r="L31" i="55"/>
  <c r="N31" i="55"/>
  <c r="L32" i="55"/>
  <c r="N32" i="55"/>
  <c r="L33" i="55"/>
  <c r="N33" i="55"/>
  <c r="L34" i="55"/>
  <c r="N34" i="55"/>
  <c r="L35" i="55"/>
  <c r="N35" i="55"/>
  <c r="L36" i="55"/>
  <c r="N36" i="55"/>
  <c r="L37" i="55"/>
  <c r="N37" i="55"/>
  <c r="L38" i="55"/>
  <c r="N38" i="55"/>
  <c r="L39" i="55"/>
  <c r="N39" i="55"/>
  <c r="L40" i="55"/>
  <c r="N40" i="55"/>
  <c r="L41" i="55"/>
  <c r="N41" i="55"/>
  <c r="L42" i="55"/>
  <c r="N42" i="55"/>
  <c r="L43" i="55"/>
  <c r="N43" i="55"/>
  <c r="L44" i="55"/>
  <c r="N44" i="55"/>
  <c r="L45" i="55"/>
  <c r="N45" i="55"/>
  <c r="L46" i="55"/>
  <c r="N46" i="55"/>
  <c r="L47" i="55"/>
  <c r="N47" i="55"/>
  <c r="L48" i="55"/>
  <c r="N48" i="55"/>
  <c r="L49" i="55"/>
  <c r="N49" i="55"/>
  <c r="L50" i="55"/>
  <c r="N50" i="55"/>
  <c r="L51" i="55"/>
  <c r="N51" i="55"/>
  <c r="L52" i="55"/>
  <c r="N52" i="55"/>
  <c r="L53" i="55"/>
  <c r="N53" i="55"/>
  <c r="L54" i="55"/>
  <c r="N54" i="55"/>
  <c r="L55" i="55"/>
  <c r="N55" i="55"/>
  <c r="L56" i="55"/>
  <c r="N56" i="55"/>
  <c r="L57" i="55"/>
  <c r="N57" i="55"/>
  <c r="L58" i="55"/>
  <c r="N58" i="55"/>
  <c r="L59" i="55"/>
  <c r="N59" i="55"/>
  <c r="L60" i="55"/>
  <c r="N60" i="55"/>
  <c r="L61" i="55"/>
  <c r="N61" i="55"/>
  <c r="L62" i="55"/>
  <c r="N62" i="55"/>
  <c r="L63" i="55"/>
  <c r="N63" i="55"/>
  <c r="L64" i="55"/>
  <c r="N64" i="55"/>
  <c r="L65" i="55"/>
  <c r="N65" i="55"/>
  <c r="L66" i="55"/>
  <c r="N66" i="55"/>
  <c r="L67" i="55"/>
  <c r="N67" i="55"/>
  <c r="L68" i="55"/>
  <c r="N68" i="55"/>
  <c r="L69" i="55"/>
  <c r="N69" i="55"/>
  <c r="L70" i="55"/>
  <c r="N70" i="55"/>
  <c r="L71" i="55"/>
  <c r="N71" i="55"/>
  <c r="L72" i="55"/>
  <c r="N72" i="55"/>
  <c r="D89" i="55"/>
  <c r="J93" i="55"/>
  <c r="L93" i="55"/>
  <c r="D96" i="55"/>
  <c r="O105" i="55"/>
  <c r="O106" i="55"/>
  <c r="O107" i="55"/>
  <c r="O108" i="55"/>
  <c r="M111" i="55"/>
  <c r="O111" i="55"/>
  <c r="M112" i="55"/>
  <c r="O112" i="55"/>
  <c r="M113" i="55"/>
  <c r="O113" i="55"/>
  <c r="M114" i="55"/>
  <c r="O114" i="55"/>
  <c r="M115" i="55"/>
  <c r="O115" i="55"/>
  <c r="M116" i="55"/>
  <c r="O116" i="55"/>
  <c r="M117" i="55"/>
  <c r="O117" i="55"/>
  <c r="M118" i="55"/>
  <c r="O118" i="55"/>
  <c r="M119" i="55"/>
  <c r="O119" i="55"/>
  <c r="M120" i="55"/>
  <c r="O120" i="55"/>
  <c r="M121" i="55"/>
  <c r="O121" i="55"/>
  <c r="M122" i="55"/>
  <c r="O122" i="55"/>
  <c r="M123" i="55"/>
  <c r="O123" i="55"/>
  <c r="M124" i="55"/>
  <c r="O124" i="55"/>
  <c r="M125" i="55"/>
  <c r="O125" i="55"/>
  <c r="M126" i="55"/>
  <c r="O126" i="55"/>
  <c r="M127" i="55"/>
  <c r="O127" i="55"/>
  <c r="M128" i="55"/>
  <c r="O128" i="55"/>
  <c r="M129" i="55"/>
  <c r="O129" i="55"/>
  <c r="M130" i="55"/>
  <c r="O130" i="55"/>
  <c r="M131" i="55"/>
  <c r="O131" i="55"/>
  <c r="M132" i="55"/>
  <c r="O132" i="55"/>
  <c r="M133" i="55"/>
  <c r="O133" i="55"/>
  <c r="M134" i="55"/>
  <c r="O134" i="55"/>
  <c r="M135" i="55"/>
  <c r="O135" i="55"/>
  <c r="M136" i="55"/>
  <c r="O136" i="55"/>
  <c r="M137" i="55"/>
  <c r="O137" i="55"/>
  <c r="M138" i="55"/>
  <c r="O138" i="55"/>
  <c r="M139" i="55"/>
  <c r="O139" i="55"/>
  <c r="M140" i="55"/>
  <c r="O140" i="55"/>
  <c r="M141" i="55"/>
  <c r="O141" i="55"/>
  <c r="M142" i="55"/>
  <c r="O142" i="55"/>
  <c r="M143" i="55"/>
  <c r="O143" i="55"/>
  <c r="M144" i="55"/>
  <c r="O144" i="55"/>
  <c r="M145" i="55"/>
  <c r="O145" i="55"/>
  <c r="M146" i="55"/>
  <c r="O146" i="55"/>
  <c r="M147" i="55"/>
  <c r="O147" i="55"/>
  <c r="M148" i="55"/>
  <c r="O148" i="55"/>
  <c r="M149" i="55"/>
  <c r="O149" i="55"/>
  <c r="M150" i="55"/>
  <c r="O150" i="55"/>
  <c r="M151" i="55"/>
  <c r="O151" i="55"/>
  <c r="M152" i="55"/>
  <c r="O152" i="55"/>
  <c r="M153" i="55"/>
  <c r="O153" i="55"/>
  <c r="M154" i="55"/>
  <c r="O154" i="55"/>
  <c r="P83" i="54"/>
  <c r="O3" i="54"/>
  <c r="D8" i="54"/>
  <c r="D90" i="54" s="1"/>
  <c r="K11" i="54"/>
  <c r="N24" i="54"/>
  <c r="N25" i="54"/>
  <c r="N26" i="54"/>
  <c r="N27" i="54"/>
  <c r="N28" i="54"/>
  <c r="L30" i="54"/>
  <c r="N30" i="54"/>
  <c r="L31" i="54"/>
  <c r="N31" i="54"/>
  <c r="L32" i="54"/>
  <c r="N32" i="54"/>
  <c r="L33" i="54"/>
  <c r="N33" i="54"/>
  <c r="L34" i="54"/>
  <c r="N34" i="54"/>
  <c r="L35" i="54"/>
  <c r="N35" i="54"/>
  <c r="L36" i="54"/>
  <c r="N36" i="54"/>
  <c r="L37" i="54"/>
  <c r="N37" i="54"/>
  <c r="L38" i="54"/>
  <c r="N38" i="54"/>
  <c r="L39" i="54"/>
  <c r="N39" i="54"/>
  <c r="L40" i="54"/>
  <c r="N40" i="54"/>
  <c r="L41" i="54"/>
  <c r="N41" i="54"/>
  <c r="L42" i="54"/>
  <c r="N42" i="54"/>
  <c r="L43" i="54"/>
  <c r="N43" i="54"/>
  <c r="L44" i="54"/>
  <c r="N44" i="54"/>
  <c r="L45" i="54"/>
  <c r="N45" i="54"/>
  <c r="L46" i="54"/>
  <c r="N46" i="54"/>
  <c r="L47" i="54"/>
  <c r="N47" i="54"/>
  <c r="L48" i="54"/>
  <c r="N48" i="54"/>
  <c r="L49" i="54"/>
  <c r="N49" i="54"/>
  <c r="L50" i="54"/>
  <c r="N50" i="54"/>
  <c r="L51" i="54"/>
  <c r="N51" i="54"/>
  <c r="L52" i="54"/>
  <c r="N52" i="54"/>
  <c r="L53" i="54"/>
  <c r="N53" i="54"/>
  <c r="L54" i="54"/>
  <c r="N54" i="54"/>
  <c r="L55" i="54"/>
  <c r="N55" i="54"/>
  <c r="L56" i="54"/>
  <c r="N56" i="54"/>
  <c r="L57" i="54"/>
  <c r="N57" i="54"/>
  <c r="L58" i="54"/>
  <c r="N58" i="54"/>
  <c r="L59" i="54"/>
  <c r="N59" i="54"/>
  <c r="L60" i="54"/>
  <c r="N60" i="54"/>
  <c r="L61" i="54"/>
  <c r="N61" i="54"/>
  <c r="L62" i="54"/>
  <c r="N62" i="54"/>
  <c r="L63" i="54"/>
  <c r="N63" i="54"/>
  <c r="L64" i="54"/>
  <c r="N64" i="54"/>
  <c r="L65" i="54"/>
  <c r="N65" i="54"/>
  <c r="L66" i="54"/>
  <c r="N66" i="54"/>
  <c r="L67" i="54"/>
  <c r="N67" i="54"/>
  <c r="L68" i="54"/>
  <c r="N68" i="54"/>
  <c r="L69" i="54"/>
  <c r="N69" i="54"/>
  <c r="L70" i="54"/>
  <c r="N70" i="54"/>
  <c r="L71" i="54"/>
  <c r="N71" i="54"/>
  <c r="L72" i="54"/>
  <c r="N72" i="54"/>
  <c r="D89" i="54"/>
  <c r="D91" i="54"/>
  <c r="J93" i="54"/>
  <c r="L93" i="54"/>
  <c r="D96" i="54"/>
  <c r="O105" i="54"/>
  <c r="O106" i="54"/>
  <c r="O107" i="54"/>
  <c r="O108" i="54"/>
  <c r="M111" i="54"/>
  <c r="O111" i="54"/>
  <c r="M112" i="54"/>
  <c r="O112" i="54"/>
  <c r="M113" i="54"/>
  <c r="O113" i="54"/>
  <c r="M114" i="54"/>
  <c r="O114" i="54"/>
  <c r="M115" i="54"/>
  <c r="O115" i="54"/>
  <c r="M116" i="54"/>
  <c r="O116" i="54"/>
  <c r="M117" i="54"/>
  <c r="O117" i="54"/>
  <c r="M118" i="54"/>
  <c r="O118" i="54"/>
  <c r="M119" i="54"/>
  <c r="O119" i="54"/>
  <c r="M120" i="54"/>
  <c r="O120" i="54"/>
  <c r="M121" i="54"/>
  <c r="O121" i="54"/>
  <c r="M122" i="54"/>
  <c r="O122" i="54"/>
  <c r="M123" i="54"/>
  <c r="O123" i="54"/>
  <c r="M124" i="54"/>
  <c r="O124" i="54"/>
  <c r="M125" i="54"/>
  <c r="O125" i="54"/>
  <c r="M126" i="54"/>
  <c r="O126" i="54"/>
  <c r="M127" i="54"/>
  <c r="O127" i="54"/>
  <c r="M128" i="54"/>
  <c r="O128" i="54"/>
  <c r="M129" i="54"/>
  <c r="O129" i="54"/>
  <c r="M130" i="54"/>
  <c r="O130" i="54"/>
  <c r="M131" i="54"/>
  <c r="O131" i="54"/>
  <c r="M132" i="54"/>
  <c r="O132" i="54"/>
  <c r="M133" i="54"/>
  <c r="O133" i="54"/>
  <c r="M134" i="54"/>
  <c r="O134" i="54"/>
  <c r="M135" i="54"/>
  <c r="O135" i="54"/>
  <c r="M136" i="54"/>
  <c r="O136" i="54"/>
  <c r="M137" i="54"/>
  <c r="O137" i="54"/>
  <c r="M138" i="54"/>
  <c r="O138" i="54"/>
  <c r="M139" i="54"/>
  <c r="O139" i="54"/>
  <c r="M140" i="54"/>
  <c r="O140" i="54"/>
  <c r="M141" i="54"/>
  <c r="O141" i="54"/>
  <c r="M142" i="54"/>
  <c r="O142" i="54"/>
  <c r="M143" i="54"/>
  <c r="O143" i="54"/>
  <c r="M144" i="54"/>
  <c r="O144" i="54"/>
  <c r="M145" i="54"/>
  <c r="O145" i="54"/>
  <c r="M146" i="54"/>
  <c r="O146" i="54"/>
  <c r="M147" i="54"/>
  <c r="O147" i="54"/>
  <c r="M148" i="54"/>
  <c r="O148" i="54"/>
  <c r="M149" i="54"/>
  <c r="O149" i="54"/>
  <c r="M150" i="54"/>
  <c r="O150" i="54"/>
  <c r="M151" i="54"/>
  <c r="O151" i="54"/>
  <c r="M152" i="54"/>
  <c r="O152" i="54"/>
  <c r="M153" i="54"/>
  <c r="O153" i="54"/>
  <c r="M154" i="54"/>
  <c r="O154" i="54"/>
  <c r="P83" i="53"/>
  <c r="O3" i="53"/>
  <c r="D8" i="53"/>
  <c r="D90" i="53" s="1"/>
  <c r="K11" i="53"/>
  <c r="N24" i="53"/>
  <c r="N25" i="53"/>
  <c r="N26" i="53"/>
  <c r="N27" i="53"/>
  <c r="N28" i="53"/>
  <c r="L30" i="53"/>
  <c r="N30" i="53"/>
  <c r="L31" i="53"/>
  <c r="N31" i="53"/>
  <c r="L32" i="53"/>
  <c r="N32" i="53"/>
  <c r="L33" i="53"/>
  <c r="N33" i="53"/>
  <c r="L34" i="53"/>
  <c r="N34" i="53"/>
  <c r="L35" i="53"/>
  <c r="N35" i="53"/>
  <c r="L36" i="53"/>
  <c r="N36" i="53"/>
  <c r="L37" i="53"/>
  <c r="N37" i="53"/>
  <c r="L38" i="53"/>
  <c r="N38" i="53"/>
  <c r="L39" i="53"/>
  <c r="N39" i="53"/>
  <c r="L40" i="53"/>
  <c r="N40" i="53"/>
  <c r="L41" i="53"/>
  <c r="N41" i="53"/>
  <c r="L42" i="53"/>
  <c r="N42" i="53"/>
  <c r="L43" i="53"/>
  <c r="N43" i="53"/>
  <c r="L44" i="53"/>
  <c r="N44" i="53"/>
  <c r="L45" i="53"/>
  <c r="N45" i="53"/>
  <c r="L46" i="53"/>
  <c r="N46" i="53"/>
  <c r="L47" i="53"/>
  <c r="N47" i="53"/>
  <c r="L48" i="53"/>
  <c r="N48" i="53"/>
  <c r="L49" i="53"/>
  <c r="N49" i="53"/>
  <c r="L50" i="53"/>
  <c r="N50" i="53"/>
  <c r="L51" i="53"/>
  <c r="N51" i="53"/>
  <c r="L52" i="53"/>
  <c r="N52" i="53"/>
  <c r="L53" i="53"/>
  <c r="N53" i="53"/>
  <c r="L54" i="53"/>
  <c r="N54" i="53"/>
  <c r="L55" i="53"/>
  <c r="N55" i="53"/>
  <c r="L56" i="53"/>
  <c r="N56" i="53"/>
  <c r="L57" i="53"/>
  <c r="N57" i="53"/>
  <c r="L58" i="53"/>
  <c r="N58" i="53"/>
  <c r="L59" i="53"/>
  <c r="N59" i="53"/>
  <c r="L60" i="53"/>
  <c r="N60" i="53"/>
  <c r="L61" i="53"/>
  <c r="N61" i="53"/>
  <c r="L62" i="53"/>
  <c r="N62" i="53"/>
  <c r="L63" i="53"/>
  <c r="N63" i="53"/>
  <c r="L64" i="53"/>
  <c r="N64" i="53"/>
  <c r="L65" i="53"/>
  <c r="N65" i="53"/>
  <c r="L66" i="53"/>
  <c r="N66" i="53"/>
  <c r="L67" i="53"/>
  <c r="N67" i="53"/>
  <c r="L68" i="53"/>
  <c r="N68" i="53"/>
  <c r="L69" i="53"/>
  <c r="N69" i="53"/>
  <c r="L70" i="53"/>
  <c r="N70" i="53"/>
  <c r="L71" i="53"/>
  <c r="N71" i="53"/>
  <c r="L72" i="53"/>
  <c r="N72" i="53"/>
  <c r="D89" i="53"/>
  <c r="D91" i="53"/>
  <c r="J93" i="53"/>
  <c r="L93" i="53"/>
  <c r="D96" i="53"/>
  <c r="O105" i="53"/>
  <c r="O106" i="53"/>
  <c r="O107" i="53"/>
  <c r="O108" i="53"/>
  <c r="M111" i="53"/>
  <c r="O111" i="53"/>
  <c r="M112" i="53"/>
  <c r="O112" i="53"/>
  <c r="M113" i="53"/>
  <c r="O113" i="53"/>
  <c r="M114" i="53"/>
  <c r="O114" i="53"/>
  <c r="M115" i="53"/>
  <c r="O115" i="53"/>
  <c r="M116" i="53"/>
  <c r="O116" i="53"/>
  <c r="M117" i="53"/>
  <c r="O117" i="53"/>
  <c r="M118" i="53"/>
  <c r="O118" i="53"/>
  <c r="M119" i="53"/>
  <c r="O119" i="53"/>
  <c r="M120" i="53"/>
  <c r="O120" i="53"/>
  <c r="M121" i="53"/>
  <c r="O121" i="53"/>
  <c r="M122" i="53"/>
  <c r="O122" i="53"/>
  <c r="M123" i="53"/>
  <c r="O123" i="53"/>
  <c r="M124" i="53"/>
  <c r="O124" i="53"/>
  <c r="M125" i="53"/>
  <c r="O125" i="53"/>
  <c r="M126" i="53"/>
  <c r="O126" i="53"/>
  <c r="M127" i="53"/>
  <c r="O127" i="53"/>
  <c r="M128" i="53"/>
  <c r="O128" i="53"/>
  <c r="M129" i="53"/>
  <c r="O129" i="53"/>
  <c r="M130" i="53"/>
  <c r="O130" i="53"/>
  <c r="M131" i="53"/>
  <c r="O131" i="53"/>
  <c r="M132" i="53"/>
  <c r="O132" i="53"/>
  <c r="M133" i="53"/>
  <c r="O133" i="53"/>
  <c r="M134" i="53"/>
  <c r="O134" i="53"/>
  <c r="M135" i="53"/>
  <c r="O135" i="53"/>
  <c r="M136" i="53"/>
  <c r="O136" i="53"/>
  <c r="M137" i="53"/>
  <c r="O137" i="53"/>
  <c r="M138" i="53"/>
  <c r="O138" i="53"/>
  <c r="M139" i="53"/>
  <c r="O139" i="53"/>
  <c r="M140" i="53"/>
  <c r="O140" i="53"/>
  <c r="M141" i="53"/>
  <c r="O141" i="53"/>
  <c r="M142" i="53"/>
  <c r="O142" i="53"/>
  <c r="M143" i="53"/>
  <c r="O143" i="53"/>
  <c r="M144" i="53"/>
  <c r="O144" i="53"/>
  <c r="M145" i="53"/>
  <c r="O145" i="53"/>
  <c r="M146" i="53"/>
  <c r="O146" i="53"/>
  <c r="M147" i="53"/>
  <c r="O147" i="53"/>
  <c r="M148" i="53"/>
  <c r="O148" i="53"/>
  <c r="M149" i="53"/>
  <c r="O149" i="53"/>
  <c r="M150" i="53"/>
  <c r="O150" i="53"/>
  <c r="M151" i="53"/>
  <c r="O151" i="53"/>
  <c r="M152" i="53"/>
  <c r="O152" i="53"/>
  <c r="M153" i="53"/>
  <c r="O153" i="53"/>
  <c r="M154" i="53"/>
  <c r="O154" i="53"/>
  <c r="N99" i="44"/>
  <c r="O99" i="44" s="1"/>
  <c r="L99" i="44"/>
  <c r="M99" i="44" s="1"/>
  <c r="N99" i="43"/>
  <c r="O99" i="43" s="1"/>
  <c r="L99" i="43"/>
  <c r="M99" i="43" s="1"/>
  <c r="N99" i="42"/>
  <c r="O99" i="42" s="1"/>
  <c r="L99" i="42"/>
  <c r="M99" i="42" s="1"/>
  <c r="N99" i="41"/>
  <c r="O99" i="41" s="1"/>
  <c r="L99" i="41"/>
  <c r="M99" i="41" s="1"/>
  <c r="N99" i="39"/>
  <c r="O99" i="39" s="1"/>
  <c r="L99" i="39"/>
  <c r="M99" i="39" s="1"/>
  <c r="N101" i="34"/>
  <c r="O101" i="34" s="1"/>
  <c r="L101" i="34"/>
  <c r="M101" i="34" s="1"/>
  <c r="N101" i="32"/>
  <c r="O101" i="32" s="1"/>
  <c r="L101" i="32"/>
  <c r="M101" i="32" s="1"/>
  <c r="N101" i="31"/>
  <c r="O101" i="31" s="1"/>
  <c r="L101" i="31"/>
  <c r="M101" i="31" s="1"/>
  <c r="N102" i="30"/>
  <c r="O102" i="30" s="1"/>
  <c r="L102" i="30"/>
  <c r="M102" i="30" s="1"/>
  <c r="N102" i="29"/>
  <c r="O102" i="29" s="1"/>
  <c r="L102" i="29"/>
  <c r="M102" i="29" s="1"/>
  <c r="N103" i="28"/>
  <c r="O103" i="28" s="1"/>
  <c r="L103" i="28"/>
  <c r="M103" i="28" s="1"/>
  <c r="N102" i="27"/>
  <c r="O102" i="27" s="1"/>
  <c r="L102" i="27"/>
  <c r="M102" i="27" s="1"/>
  <c r="N101" i="24"/>
  <c r="O101" i="24" s="1"/>
  <c r="L101" i="24"/>
  <c r="M101" i="24" s="1"/>
  <c r="N101" i="23"/>
  <c r="O101" i="23" s="1"/>
  <c r="L101" i="23"/>
  <c r="M101" i="23" s="1"/>
  <c r="N100" i="22"/>
  <c r="O100" i="22" s="1"/>
  <c r="L100" i="22"/>
  <c r="M100" i="22" s="1"/>
  <c r="N100" i="21"/>
  <c r="O100" i="21" s="1"/>
  <c r="L100" i="21"/>
  <c r="M100" i="21" s="1"/>
  <c r="N100" i="20"/>
  <c r="O100" i="20" s="1"/>
  <c r="L100" i="20"/>
  <c r="M100" i="20" s="1"/>
  <c r="N100" i="19"/>
  <c r="O100" i="19" s="1"/>
  <c r="L100" i="19"/>
  <c r="M100" i="19" s="1"/>
  <c r="N100" i="18"/>
  <c r="O100" i="18" s="1"/>
  <c r="L100" i="18"/>
  <c r="M100" i="18" s="1"/>
  <c r="N100" i="17"/>
  <c r="O100" i="17" s="1"/>
  <c r="L100" i="17"/>
  <c r="M100" i="17" s="1"/>
  <c r="N100" i="3"/>
  <c r="O100" i="3" s="1"/>
  <c r="L100" i="3"/>
  <c r="M100" i="3" s="1"/>
  <c r="M17" i="45"/>
  <c r="N17" i="45" s="1"/>
  <c r="P83" i="46"/>
  <c r="O3" i="46"/>
  <c r="D8" i="46"/>
  <c r="D90" i="46" s="1"/>
  <c r="K11" i="46"/>
  <c r="N24" i="46"/>
  <c r="O24" i="46" s="1"/>
  <c r="N25" i="46"/>
  <c r="N26" i="46"/>
  <c r="N27" i="46"/>
  <c r="N28" i="46"/>
  <c r="L30" i="46"/>
  <c r="N30" i="46"/>
  <c r="L31" i="46"/>
  <c r="N31" i="46"/>
  <c r="L32" i="46"/>
  <c r="N32" i="46"/>
  <c r="L33" i="46"/>
  <c r="N33" i="46"/>
  <c r="L34" i="46"/>
  <c r="N34" i="46"/>
  <c r="L35" i="46"/>
  <c r="N35" i="46"/>
  <c r="L36" i="46"/>
  <c r="N36" i="46"/>
  <c r="L37" i="46"/>
  <c r="N37" i="46"/>
  <c r="L38" i="46"/>
  <c r="N38" i="46"/>
  <c r="L39" i="46"/>
  <c r="N39" i="46"/>
  <c r="L40" i="46"/>
  <c r="N40" i="46"/>
  <c r="L41" i="46"/>
  <c r="N41" i="46"/>
  <c r="L42" i="46"/>
  <c r="N42" i="46"/>
  <c r="L43" i="46"/>
  <c r="N43" i="46"/>
  <c r="L44" i="46"/>
  <c r="N44" i="46"/>
  <c r="L45" i="46"/>
  <c r="N45" i="46"/>
  <c r="L46" i="46"/>
  <c r="N46" i="46"/>
  <c r="L47" i="46"/>
  <c r="N47" i="46"/>
  <c r="L48" i="46"/>
  <c r="N48" i="46"/>
  <c r="L49" i="46"/>
  <c r="N49" i="46"/>
  <c r="L50" i="46"/>
  <c r="N50" i="46"/>
  <c r="L51" i="46"/>
  <c r="N51" i="46"/>
  <c r="L52" i="46"/>
  <c r="N52" i="46"/>
  <c r="L53" i="46"/>
  <c r="N53" i="46"/>
  <c r="L54" i="46"/>
  <c r="N54" i="46"/>
  <c r="L55" i="46"/>
  <c r="N55" i="46"/>
  <c r="L56" i="46"/>
  <c r="N56" i="46"/>
  <c r="L57" i="46"/>
  <c r="N57" i="46"/>
  <c r="L58" i="46"/>
  <c r="N58" i="46"/>
  <c r="L59" i="46"/>
  <c r="N59" i="46"/>
  <c r="L60" i="46"/>
  <c r="N60" i="46"/>
  <c r="L61" i="46"/>
  <c r="N61" i="46"/>
  <c r="L62" i="46"/>
  <c r="N62" i="46"/>
  <c r="L63" i="46"/>
  <c r="N63" i="46"/>
  <c r="L64" i="46"/>
  <c r="N64" i="46"/>
  <c r="L65" i="46"/>
  <c r="N65" i="46"/>
  <c r="L66" i="46"/>
  <c r="N66" i="46"/>
  <c r="L67" i="46"/>
  <c r="N67" i="46"/>
  <c r="L68" i="46"/>
  <c r="N68" i="46"/>
  <c r="L69" i="46"/>
  <c r="N69" i="46"/>
  <c r="L70" i="46"/>
  <c r="N70" i="46"/>
  <c r="L71" i="46"/>
  <c r="N71" i="46"/>
  <c r="L72" i="46"/>
  <c r="N72" i="46"/>
  <c r="D89" i="46"/>
  <c r="D91" i="46"/>
  <c r="J93" i="46"/>
  <c r="L93" i="46"/>
  <c r="D96" i="46"/>
  <c r="O105" i="46"/>
  <c r="O106" i="46"/>
  <c r="O107" i="46"/>
  <c r="O108" i="46"/>
  <c r="M111" i="46"/>
  <c r="O111" i="46"/>
  <c r="M112" i="46"/>
  <c r="O112" i="46"/>
  <c r="M113" i="46"/>
  <c r="O113" i="46"/>
  <c r="M114" i="46"/>
  <c r="O114" i="46"/>
  <c r="M115" i="46"/>
  <c r="O115" i="46"/>
  <c r="M116" i="46"/>
  <c r="O116" i="46"/>
  <c r="M117" i="46"/>
  <c r="O117" i="46"/>
  <c r="M118" i="46"/>
  <c r="O118" i="46"/>
  <c r="M119" i="46"/>
  <c r="O119" i="46"/>
  <c r="M120" i="46"/>
  <c r="O120" i="46"/>
  <c r="M121" i="46"/>
  <c r="O121" i="46"/>
  <c r="M122" i="46"/>
  <c r="O122" i="46"/>
  <c r="M123" i="46"/>
  <c r="O123" i="46"/>
  <c r="M124" i="46"/>
  <c r="O124" i="46"/>
  <c r="M125" i="46"/>
  <c r="O125" i="46"/>
  <c r="M126" i="46"/>
  <c r="O126" i="46"/>
  <c r="M127" i="46"/>
  <c r="O127" i="46"/>
  <c r="M128" i="46"/>
  <c r="O128" i="46"/>
  <c r="M129" i="46"/>
  <c r="O129" i="46"/>
  <c r="M130" i="46"/>
  <c r="O130" i="46"/>
  <c r="M131" i="46"/>
  <c r="O131" i="46"/>
  <c r="M132" i="46"/>
  <c r="O132" i="46"/>
  <c r="M133" i="46"/>
  <c r="O133" i="46"/>
  <c r="M134" i="46"/>
  <c r="O134" i="46"/>
  <c r="M135" i="46"/>
  <c r="O135" i="46"/>
  <c r="M136" i="46"/>
  <c r="O136" i="46"/>
  <c r="M137" i="46"/>
  <c r="O137" i="46"/>
  <c r="M138" i="46"/>
  <c r="O138" i="46"/>
  <c r="M139" i="46"/>
  <c r="O139" i="46"/>
  <c r="M140" i="46"/>
  <c r="O140" i="46"/>
  <c r="M141" i="46"/>
  <c r="O141" i="46"/>
  <c r="M142" i="46"/>
  <c r="O142" i="46"/>
  <c r="M143" i="46"/>
  <c r="O143" i="46"/>
  <c r="M144" i="46"/>
  <c r="O144" i="46"/>
  <c r="M145" i="46"/>
  <c r="O145" i="46"/>
  <c r="M146" i="46"/>
  <c r="O146" i="46"/>
  <c r="M147" i="46"/>
  <c r="O147" i="46"/>
  <c r="M148" i="46"/>
  <c r="O148" i="46"/>
  <c r="M149" i="46"/>
  <c r="O149" i="46"/>
  <c r="M150" i="46"/>
  <c r="O150" i="46"/>
  <c r="M151" i="46"/>
  <c r="O151" i="46"/>
  <c r="M152" i="46"/>
  <c r="O152" i="46"/>
  <c r="M153" i="46"/>
  <c r="O153" i="46"/>
  <c r="M154" i="46"/>
  <c r="O154" i="46"/>
  <c r="M18" i="44"/>
  <c r="N18" i="44" s="1"/>
  <c r="M18" i="43"/>
  <c r="N18" i="43" s="1"/>
  <c r="M18" i="42"/>
  <c r="N18" i="42" s="1"/>
  <c r="M18" i="41"/>
  <c r="N18" i="41" s="1"/>
  <c r="M18" i="39"/>
  <c r="N18" i="39" s="1"/>
  <c r="M20" i="35"/>
  <c r="N20" i="35" s="1"/>
  <c r="K20" i="35"/>
  <c r="L20" i="35" s="1"/>
  <c r="M20" i="34"/>
  <c r="N20" i="34" s="1"/>
  <c r="M20" i="32"/>
  <c r="N20" i="32" s="1"/>
  <c r="M20" i="31"/>
  <c r="N20" i="31" s="1"/>
  <c r="M21" i="30"/>
  <c r="N21" i="30" s="1"/>
  <c r="M21" i="29"/>
  <c r="N21" i="29" s="1"/>
  <c r="M22" i="28"/>
  <c r="N22" i="28" s="1"/>
  <c r="M21" i="27"/>
  <c r="N21" i="27" s="1"/>
  <c r="M20" i="24"/>
  <c r="N20" i="24" s="1"/>
  <c r="M20" i="23"/>
  <c r="N20" i="23" s="1"/>
  <c r="M19" i="22"/>
  <c r="N19" i="22" s="1"/>
  <c r="M19" i="21"/>
  <c r="N19" i="21" s="1"/>
  <c r="M19" i="20"/>
  <c r="N19" i="20" s="1"/>
  <c r="M19" i="19"/>
  <c r="N19" i="19" s="1"/>
  <c r="M19" i="18"/>
  <c r="N19" i="18" s="1"/>
  <c r="M19" i="17"/>
  <c r="N19" i="17" s="1"/>
  <c r="M19" i="3"/>
  <c r="N19" i="3" s="1"/>
  <c r="K18" i="3"/>
  <c r="L18" i="3" s="1"/>
  <c r="K18" i="17"/>
  <c r="L18" i="17" s="1"/>
  <c r="K18" i="18"/>
  <c r="L18" i="18" s="1"/>
  <c r="K18" i="19"/>
  <c r="L18" i="19" s="1"/>
  <c r="K18" i="20"/>
  <c r="L18" i="20" s="1"/>
  <c r="K18" i="21"/>
  <c r="L18" i="21" s="1"/>
  <c r="K18" i="22"/>
  <c r="L18" i="22" s="1"/>
  <c r="K19" i="23"/>
  <c r="L19" i="23" s="1"/>
  <c r="K19" i="24"/>
  <c r="L19" i="24" s="1"/>
  <c r="K20" i="27"/>
  <c r="L20" i="27" s="1"/>
  <c r="K21" i="28"/>
  <c r="L21" i="28" s="1"/>
  <c r="K20" i="29"/>
  <c r="L20" i="29" s="1"/>
  <c r="K20" i="30"/>
  <c r="L20" i="30" s="1"/>
  <c r="K19" i="31"/>
  <c r="L19" i="31" s="1"/>
  <c r="K19" i="32"/>
  <c r="L19" i="32" s="1"/>
  <c r="K19" i="34"/>
  <c r="L19" i="34" s="1"/>
  <c r="K17" i="39"/>
  <c r="L17" i="39" s="1"/>
  <c r="K17" i="41"/>
  <c r="L17" i="41" s="1"/>
  <c r="K17" i="42"/>
  <c r="L17" i="42" s="1"/>
  <c r="K17" i="43"/>
  <c r="L17" i="43" s="1"/>
  <c r="K17" i="44"/>
  <c r="L17" i="44" s="1"/>
  <c r="W43" i="36"/>
  <c r="D17" i="25"/>
  <c r="I14" i="25"/>
  <c r="E17" i="25" s="1"/>
  <c r="D17" i="26"/>
  <c r="I14" i="26"/>
  <c r="E17" i="26" s="1"/>
  <c r="D17" i="33"/>
  <c r="I14" i="33"/>
  <c r="E17" i="33" s="1"/>
  <c r="C17" i="35"/>
  <c r="C18" i="35" s="1"/>
  <c r="C19" i="35" s="1"/>
  <c r="C20" i="35" s="1"/>
  <c r="C21" i="35" s="1"/>
  <c r="C22" i="35" s="1"/>
  <c r="C23" i="35" s="1"/>
  <c r="C24" i="35" s="1"/>
  <c r="C25" i="35" s="1"/>
  <c r="C26" i="35" s="1"/>
  <c r="C27" i="35" s="1"/>
  <c r="C28" i="35" s="1"/>
  <c r="C29" i="35" s="1"/>
  <c r="C30" i="35" s="1"/>
  <c r="C31" i="35" s="1"/>
  <c r="C32" i="35" s="1"/>
  <c r="C33" i="35" s="1"/>
  <c r="C34" i="35" s="1"/>
  <c r="C35" i="35" s="1"/>
  <c r="C36" i="35" s="1"/>
  <c r="C37" i="35" s="1"/>
  <c r="C38" i="35" s="1"/>
  <c r="C39" i="35" s="1"/>
  <c r="C40" i="35" s="1"/>
  <c r="C41" i="35" s="1"/>
  <c r="C42" i="35" s="1"/>
  <c r="C43" i="35" s="1"/>
  <c r="C44" i="35" s="1"/>
  <c r="C45" i="35" s="1"/>
  <c r="C46" i="35" s="1"/>
  <c r="C47" i="35" s="1"/>
  <c r="C48" i="35" s="1"/>
  <c r="C49" i="35" s="1"/>
  <c r="C50" i="35" s="1"/>
  <c r="C51" i="35" s="1"/>
  <c r="C52" i="35" s="1"/>
  <c r="C53" i="35" s="1"/>
  <c r="C54" i="35" s="1"/>
  <c r="C55" i="35" s="1"/>
  <c r="C56" i="35" s="1"/>
  <c r="C57" i="35" s="1"/>
  <c r="C58" i="35" s="1"/>
  <c r="C59" i="35" s="1"/>
  <c r="C60" i="35" s="1"/>
  <c r="C61" i="35" s="1"/>
  <c r="C62" i="35" s="1"/>
  <c r="C63" i="35" s="1"/>
  <c r="C64" i="35" s="1"/>
  <c r="C65" i="35" s="1"/>
  <c r="C66" i="35" s="1"/>
  <c r="C67" i="35" s="1"/>
  <c r="C68" i="35" s="1"/>
  <c r="C69" i="35" s="1"/>
  <c r="C70" i="35" s="1"/>
  <c r="C71" i="35" s="1"/>
  <c r="C72" i="35" s="1"/>
  <c r="I14" i="35"/>
  <c r="E21" i="35" s="1"/>
  <c r="F21" i="35" s="1"/>
  <c r="K19" i="35"/>
  <c r="L19" i="35" s="1"/>
  <c r="P83" i="45"/>
  <c r="O3" i="45"/>
  <c r="D8" i="45"/>
  <c r="D90" i="45" s="1"/>
  <c r="K11" i="45"/>
  <c r="B18" i="45"/>
  <c r="N25" i="45"/>
  <c r="O25" i="45" s="1"/>
  <c r="N26" i="45"/>
  <c r="N27" i="45"/>
  <c r="N28" i="45"/>
  <c r="N29" i="45"/>
  <c r="L31" i="45"/>
  <c r="N31" i="45"/>
  <c r="L32" i="45"/>
  <c r="N32" i="45"/>
  <c r="L33" i="45"/>
  <c r="N33" i="45"/>
  <c r="L34" i="45"/>
  <c r="N34" i="45"/>
  <c r="L35" i="45"/>
  <c r="N35" i="45"/>
  <c r="L36" i="45"/>
  <c r="N36" i="45"/>
  <c r="L37" i="45"/>
  <c r="N37" i="45"/>
  <c r="L38" i="45"/>
  <c r="N38" i="45"/>
  <c r="L39" i="45"/>
  <c r="N39" i="45"/>
  <c r="L40" i="45"/>
  <c r="N40" i="45"/>
  <c r="L41" i="45"/>
  <c r="N41" i="45"/>
  <c r="L42" i="45"/>
  <c r="N42" i="45"/>
  <c r="L43" i="45"/>
  <c r="N43" i="45"/>
  <c r="L44" i="45"/>
  <c r="N44" i="45"/>
  <c r="L45" i="45"/>
  <c r="N45" i="45"/>
  <c r="L46" i="45"/>
  <c r="N46" i="45"/>
  <c r="L47" i="45"/>
  <c r="N47" i="45"/>
  <c r="L48" i="45"/>
  <c r="N48" i="45"/>
  <c r="L49" i="45"/>
  <c r="N49" i="45"/>
  <c r="L50" i="45"/>
  <c r="N50" i="45"/>
  <c r="L51" i="45"/>
  <c r="N51" i="45"/>
  <c r="L52" i="45"/>
  <c r="N52" i="45"/>
  <c r="L53" i="45"/>
  <c r="N53" i="45"/>
  <c r="L54" i="45"/>
  <c r="N54" i="45"/>
  <c r="L55" i="45"/>
  <c r="N55" i="45"/>
  <c r="L56" i="45"/>
  <c r="N56" i="45"/>
  <c r="L57" i="45"/>
  <c r="N57" i="45"/>
  <c r="L58" i="45"/>
  <c r="N58" i="45"/>
  <c r="L59" i="45"/>
  <c r="N59" i="45"/>
  <c r="L60" i="45"/>
  <c r="N60" i="45"/>
  <c r="L61" i="45"/>
  <c r="N61" i="45"/>
  <c r="L62" i="45"/>
  <c r="N62" i="45"/>
  <c r="L63" i="45"/>
  <c r="N63" i="45"/>
  <c r="L64" i="45"/>
  <c r="N64" i="45"/>
  <c r="L65" i="45"/>
  <c r="N65" i="45"/>
  <c r="L66" i="45"/>
  <c r="N66" i="45"/>
  <c r="L67" i="45"/>
  <c r="N67" i="45"/>
  <c r="L68" i="45"/>
  <c r="N68" i="45"/>
  <c r="L69" i="45"/>
  <c r="N69" i="45"/>
  <c r="L70" i="45"/>
  <c r="N70" i="45"/>
  <c r="L71" i="45"/>
  <c r="N71" i="45"/>
  <c r="L72" i="45"/>
  <c r="N72" i="45"/>
  <c r="D89" i="45"/>
  <c r="D91" i="45"/>
  <c r="J93" i="45"/>
  <c r="L93" i="45"/>
  <c r="D96" i="45"/>
  <c r="O106" i="45"/>
  <c r="O107" i="45"/>
  <c r="O108" i="45"/>
  <c r="O109" i="45"/>
  <c r="M112" i="45"/>
  <c r="O112" i="45"/>
  <c r="M113" i="45"/>
  <c r="O113" i="45"/>
  <c r="M114" i="45"/>
  <c r="O114" i="45"/>
  <c r="M115" i="45"/>
  <c r="O115" i="45"/>
  <c r="M116" i="45"/>
  <c r="O116" i="45"/>
  <c r="M117" i="45"/>
  <c r="O117" i="45"/>
  <c r="M118" i="45"/>
  <c r="O118" i="45"/>
  <c r="M119" i="45"/>
  <c r="O119" i="45"/>
  <c r="M120" i="45"/>
  <c r="O120" i="45"/>
  <c r="M121" i="45"/>
  <c r="O121" i="45"/>
  <c r="M122" i="45"/>
  <c r="O122" i="45"/>
  <c r="M123" i="45"/>
  <c r="O123" i="45"/>
  <c r="M124" i="45"/>
  <c r="O124" i="45"/>
  <c r="M125" i="45"/>
  <c r="O125" i="45"/>
  <c r="M126" i="45"/>
  <c r="O126" i="45"/>
  <c r="M127" i="45"/>
  <c r="O127" i="45"/>
  <c r="M128" i="45"/>
  <c r="O128" i="45"/>
  <c r="M129" i="45"/>
  <c r="O129" i="45"/>
  <c r="M130" i="45"/>
  <c r="O130" i="45"/>
  <c r="M131" i="45"/>
  <c r="O131" i="45"/>
  <c r="M132" i="45"/>
  <c r="O132" i="45"/>
  <c r="M133" i="45"/>
  <c r="O133" i="45"/>
  <c r="M134" i="45"/>
  <c r="O134" i="45"/>
  <c r="M135" i="45"/>
  <c r="O135" i="45"/>
  <c r="M136" i="45"/>
  <c r="O136" i="45"/>
  <c r="M137" i="45"/>
  <c r="O137" i="45"/>
  <c r="M138" i="45"/>
  <c r="O138" i="45"/>
  <c r="M139" i="45"/>
  <c r="O139" i="45"/>
  <c r="M140" i="45"/>
  <c r="O140" i="45"/>
  <c r="M141" i="45"/>
  <c r="O141" i="45"/>
  <c r="M142" i="45"/>
  <c r="O142" i="45"/>
  <c r="M143" i="45"/>
  <c r="O143" i="45"/>
  <c r="M144" i="45"/>
  <c r="O144" i="45"/>
  <c r="M145" i="45"/>
  <c r="O145" i="45"/>
  <c r="M146" i="45"/>
  <c r="O146" i="45"/>
  <c r="M147" i="45"/>
  <c r="O147" i="45"/>
  <c r="M148" i="45"/>
  <c r="O148" i="45"/>
  <c r="M149" i="45"/>
  <c r="O149" i="45"/>
  <c r="M150" i="45"/>
  <c r="O150" i="45"/>
  <c r="M151" i="45"/>
  <c r="O151" i="45"/>
  <c r="M152" i="45"/>
  <c r="O152" i="45"/>
  <c r="M153" i="45"/>
  <c r="O153" i="45"/>
  <c r="M154" i="45"/>
  <c r="O154" i="45"/>
  <c r="M17" i="44"/>
  <c r="N17" i="44" s="1"/>
  <c r="M17" i="43"/>
  <c r="N17" i="43" s="1"/>
  <c r="M17" i="42"/>
  <c r="N17" i="42" s="1"/>
  <c r="M17" i="41"/>
  <c r="N17" i="41" s="1"/>
  <c r="M17" i="39"/>
  <c r="N17" i="39" s="1"/>
  <c r="N100" i="35"/>
  <c r="O100" i="35" s="1"/>
  <c r="L100" i="35"/>
  <c r="M100" i="35" s="1"/>
  <c r="M19" i="35"/>
  <c r="N19" i="35" s="1"/>
  <c r="N100" i="34"/>
  <c r="O100" i="34" s="1"/>
  <c r="L100" i="34"/>
  <c r="M100" i="34" s="1"/>
  <c r="M19" i="34"/>
  <c r="N19" i="34" s="1"/>
  <c r="N100" i="32"/>
  <c r="O100" i="32" s="1"/>
  <c r="L100" i="32"/>
  <c r="M100" i="32" s="1"/>
  <c r="M19" i="32"/>
  <c r="N19" i="32" s="1"/>
  <c r="N100" i="31"/>
  <c r="O100" i="31" s="1"/>
  <c r="L100" i="31"/>
  <c r="M100" i="31" s="1"/>
  <c r="M19" i="31"/>
  <c r="N19" i="31" s="1"/>
  <c r="N101" i="30"/>
  <c r="O101" i="30" s="1"/>
  <c r="L101" i="30"/>
  <c r="M101" i="30" s="1"/>
  <c r="M20" i="30"/>
  <c r="N20" i="30" s="1"/>
  <c r="N101" i="29"/>
  <c r="O101" i="29" s="1"/>
  <c r="L101" i="29"/>
  <c r="M101" i="29" s="1"/>
  <c r="M20" i="29"/>
  <c r="N20" i="29" s="1"/>
  <c r="N102" i="28"/>
  <c r="O102" i="28" s="1"/>
  <c r="L102" i="28"/>
  <c r="M102" i="28" s="1"/>
  <c r="M21" i="28"/>
  <c r="N21" i="28" s="1"/>
  <c r="N101" i="27"/>
  <c r="O101" i="27" s="1"/>
  <c r="L101" i="27"/>
  <c r="M101" i="27" s="1"/>
  <c r="M20" i="27"/>
  <c r="N20" i="27" s="1"/>
  <c r="N100" i="24"/>
  <c r="O100" i="24" s="1"/>
  <c r="L100" i="24"/>
  <c r="M100" i="24" s="1"/>
  <c r="M19" i="24"/>
  <c r="N19" i="24" s="1"/>
  <c r="N100" i="23"/>
  <c r="O100" i="23" s="1"/>
  <c r="L100" i="23"/>
  <c r="M100" i="23" s="1"/>
  <c r="M19" i="23"/>
  <c r="N19" i="23" s="1"/>
  <c r="N99" i="22"/>
  <c r="O99" i="22" s="1"/>
  <c r="L99" i="22"/>
  <c r="M99" i="22" s="1"/>
  <c r="M18" i="22"/>
  <c r="N18" i="22" s="1"/>
  <c r="N99" i="21"/>
  <c r="O99" i="21" s="1"/>
  <c r="L99" i="21"/>
  <c r="M99" i="21" s="1"/>
  <c r="M18" i="21"/>
  <c r="N18" i="21" s="1"/>
  <c r="N99" i="20"/>
  <c r="O99" i="20" s="1"/>
  <c r="L99" i="20"/>
  <c r="M99" i="20" s="1"/>
  <c r="M18" i="20"/>
  <c r="N18" i="20" s="1"/>
  <c r="N99" i="19"/>
  <c r="O99" i="19" s="1"/>
  <c r="L99" i="19"/>
  <c r="M99" i="19" s="1"/>
  <c r="M18" i="19"/>
  <c r="N18" i="19" s="1"/>
  <c r="N99" i="18"/>
  <c r="O99" i="18" s="1"/>
  <c r="L99" i="18"/>
  <c r="M99" i="18" s="1"/>
  <c r="M18" i="18"/>
  <c r="N18" i="18" s="1"/>
  <c r="N99" i="17"/>
  <c r="O99" i="17" s="1"/>
  <c r="L99" i="17"/>
  <c r="M99" i="17" s="1"/>
  <c r="M18" i="17"/>
  <c r="N18" i="17" s="1"/>
  <c r="N99" i="3"/>
  <c r="O99" i="3" s="1"/>
  <c r="L99" i="3"/>
  <c r="M99" i="3" s="1"/>
  <c r="M18" i="3"/>
  <c r="N18" i="3" s="1"/>
  <c r="I17" i="3"/>
  <c r="W100" i="29"/>
  <c r="W99" i="29"/>
  <c r="F99" i="27"/>
  <c r="B100" i="27" s="1"/>
  <c r="L17" i="25"/>
  <c r="D18" i="28"/>
  <c r="B18" i="28" s="1"/>
  <c r="B19" i="27"/>
  <c r="B101" i="17"/>
  <c r="B100" i="17"/>
  <c r="B101" i="18"/>
  <c r="B100" i="18"/>
  <c r="B101" i="19"/>
  <c r="B100" i="19"/>
  <c r="B101" i="20"/>
  <c r="B100" i="20"/>
  <c r="B101" i="21"/>
  <c r="B100" i="21"/>
  <c r="B101" i="22"/>
  <c r="B100" i="22"/>
  <c r="B102" i="23"/>
  <c r="B101" i="23"/>
  <c r="B100" i="23"/>
  <c r="B102" i="24"/>
  <c r="B101" i="24"/>
  <c r="B100" i="24"/>
  <c r="B103" i="27"/>
  <c r="B102" i="27"/>
  <c r="B104" i="28"/>
  <c r="B103" i="28"/>
  <c r="B102" i="28"/>
  <c r="B101" i="28"/>
  <c r="B100" i="28"/>
  <c r="B103" i="29"/>
  <c r="B102" i="29"/>
  <c r="B101" i="29"/>
  <c r="B100" i="29"/>
  <c r="B102" i="30"/>
  <c r="B101" i="30"/>
  <c r="B100" i="30"/>
  <c r="B101" i="31"/>
  <c r="B100" i="31"/>
  <c r="B102" i="32"/>
  <c r="B101" i="32"/>
  <c r="B100" i="32"/>
  <c r="B102" i="34"/>
  <c r="B101" i="34"/>
  <c r="B100" i="34"/>
  <c r="B101" i="35"/>
  <c r="B100" i="35"/>
  <c r="B100" i="39"/>
  <c r="B101" i="3"/>
  <c r="B100" i="3"/>
  <c r="B20" i="17"/>
  <c r="B19" i="17"/>
  <c r="B18" i="17"/>
  <c r="B20" i="18"/>
  <c r="B19" i="18"/>
  <c r="B18" i="18"/>
  <c r="B21" i="19"/>
  <c r="B20" i="19"/>
  <c r="B19" i="19"/>
  <c r="B18" i="19"/>
  <c r="B20" i="20"/>
  <c r="B19" i="20"/>
  <c r="B18" i="20"/>
  <c r="B20" i="21"/>
  <c r="B19" i="21"/>
  <c r="B18" i="21"/>
  <c r="B20" i="22"/>
  <c r="B19" i="22"/>
  <c r="B18" i="22"/>
  <c r="B22" i="23"/>
  <c r="B21" i="23"/>
  <c r="B20" i="23"/>
  <c r="B19" i="23"/>
  <c r="B18" i="23"/>
  <c r="B21" i="24"/>
  <c r="B20" i="24"/>
  <c r="B19" i="24"/>
  <c r="B18" i="24"/>
  <c r="B22" i="27"/>
  <c r="B21" i="27"/>
  <c r="B18" i="27"/>
  <c r="B23" i="28"/>
  <c r="B22" i="28"/>
  <c r="B21" i="28"/>
  <c r="B20" i="28"/>
  <c r="B19" i="28"/>
  <c r="B22" i="29"/>
  <c r="B21" i="29"/>
  <c r="B20" i="29"/>
  <c r="B19" i="29"/>
  <c r="B18" i="29"/>
  <c r="B23" i="30"/>
  <c r="B22" i="30"/>
  <c r="B21" i="30"/>
  <c r="B20" i="30"/>
  <c r="B19" i="30"/>
  <c r="B18" i="30"/>
  <c r="B21" i="31"/>
  <c r="B20" i="31"/>
  <c r="B19" i="31"/>
  <c r="B18" i="31"/>
  <c r="B21" i="32"/>
  <c r="B20" i="32"/>
  <c r="B19" i="32"/>
  <c r="B18" i="32"/>
  <c r="B21" i="34"/>
  <c r="B20" i="34"/>
  <c r="B19" i="34"/>
  <c r="B18" i="34"/>
  <c r="B21" i="35"/>
  <c r="B20" i="35"/>
  <c r="B19" i="35"/>
  <c r="B18" i="35"/>
  <c r="B19" i="39"/>
  <c r="B18" i="39"/>
  <c r="B19" i="41"/>
  <c r="B18" i="41"/>
  <c r="B19" i="42"/>
  <c r="B18" i="42"/>
  <c r="B19" i="43"/>
  <c r="B18" i="43"/>
  <c r="B19" i="44"/>
  <c r="B18" i="44"/>
  <c r="B20" i="3"/>
  <c r="B19" i="3"/>
  <c r="B18" i="3"/>
  <c r="D8" i="17"/>
  <c r="D90" i="17" s="1"/>
  <c r="D8" i="19"/>
  <c r="D90" i="19" s="1"/>
  <c r="D8" i="20"/>
  <c r="D90" i="20" s="1"/>
  <c r="D8" i="21"/>
  <c r="D90" i="21" s="1"/>
  <c r="D8" i="22"/>
  <c r="D90" i="22" s="1"/>
  <c r="D8" i="23"/>
  <c r="D90" i="23" s="1"/>
  <c r="D8" i="24"/>
  <c r="D90" i="24" s="1"/>
  <c r="D8" i="25"/>
  <c r="D90" i="25" s="1"/>
  <c r="D8" i="26"/>
  <c r="D90" i="26" s="1"/>
  <c r="D8" i="27"/>
  <c r="D90" i="27" s="1"/>
  <c r="D8" i="28"/>
  <c r="D90" i="28" s="1"/>
  <c r="D8" i="29"/>
  <c r="D90" i="29" s="1"/>
  <c r="D8" i="30"/>
  <c r="D90" i="30" s="1"/>
  <c r="D8" i="31"/>
  <c r="D90" i="31" s="1"/>
  <c r="D8" i="32"/>
  <c r="D90" i="32" s="1"/>
  <c r="D8" i="33"/>
  <c r="D90" i="33" s="1"/>
  <c r="D8" i="34"/>
  <c r="D90" i="34" s="1"/>
  <c r="D8" i="39"/>
  <c r="D90" i="39" s="1"/>
  <c r="D8" i="41"/>
  <c r="D90" i="41" s="1"/>
  <c r="D8" i="42"/>
  <c r="D90" i="42" s="1"/>
  <c r="D8" i="43"/>
  <c r="D90" i="43" s="1"/>
  <c r="D8" i="44"/>
  <c r="D90" i="44" s="1"/>
  <c r="D8" i="13"/>
  <c r="D90" i="13" s="1"/>
  <c r="D8" i="3"/>
  <c r="D90" i="3" s="1"/>
  <c r="D90" i="35"/>
  <c r="W42" i="36"/>
  <c r="W41" i="36"/>
  <c r="W40" i="36"/>
  <c r="W39" i="36"/>
  <c r="W38" i="36"/>
  <c r="P83" i="44"/>
  <c r="O3" i="44"/>
  <c r="K11" i="44"/>
  <c r="N26" i="44"/>
  <c r="O26" i="44" s="1"/>
  <c r="N27" i="44"/>
  <c r="N28" i="44"/>
  <c r="O28" i="44" s="1"/>
  <c r="N29" i="44"/>
  <c r="N30" i="44"/>
  <c r="L32" i="44"/>
  <c r="N32" i="44"/>
  <c r="L33" i="44"/>
  <c r="N33" i="44"/>
  <c r="L34" i="44"/>
  <c r="N34" i="44"/>
  <c r="L35" i="44"/>
  <c r="N35" i="44"/>
  <c r="L36" i="44"/>
  <c r="N36" i="44"/>
  <c r="L37" i="44"/>
  <c r="N37" i="44"/>
  <c r="L38" i="44"/>
  <c r="N38" i="44"/>
  <c r="L39" i="44"/>
  <c r="N39" i="44"/>
  <c r="L40" i="44"/>
  <c r="N40" i="44"/>
  <c r="L41" i="44"/>
  <c r="N41" i="44"/>
  <c r="L42" i="44"/>
  <c r="N42" i="44"/>
  <c r="L43" i="44"/>
  <c r="N43" i="44"/>
  <c r="L44" i="44"/>
  <c r="N44" i="44"/>
  <c r="L45" i="44"/>
  <c r="N45" i="44"/>
  <c r="L46" i="44"/>
  <c r="N46" i="44"/>
  <c r="L47" i="44"/>
  <c r="N47" i="44"/>
  <c r="L48" i="44"/>
  <c r="N48" i="44"/>
  <c r="L49" i="44"/>
  <c r="N49" i="44"/>
  <c r="L50" i="44"/>
  <c r="N50" i="44"/>
  <c r="L51" i="44"/>
  <c r="N51" i="44"/>
  <c r="L52" i="44"/>
  <c r="N52" i="44"/>
  <c r="L53" i="44"/>
  <c r="N53" i="44"/>
  <c r="L54" i="44"/>
  <c r="N54" i="44"/>
  <c r="L55" i="44"/>
  <c r="N55" i="44"/>
  <c r="L56" i="44"/>
  <c r="N56" i="44"/>
  <c r="L57" i="44"/>
  <c r="N57" i="44"/>
  <c r="L58" i="44"/>
  <c r="N58" i="44"/>
  <c r="L59" i="44"/>
  <c r="N59" i="44"/>
  <c r="L60" i="44"/>
  <c r="N60" i="44"/>
  <c r="L61" i="44"/>
  <c r="N61" i="44"/>
  <c r="L62" i="44"/>
  <c r="N62" i="44"/>
  <c r="L63" i="44"/>
  <c r="N63" i="44"/>
  <c r="L64" i="44"/>
  <c r="N64" i="44"/>
  <c r="L65" i="44"/>
  <c r="N65" i="44"/>
  <c r="L66" i="44"/>
  <c r="N66" i="44"/>
  <c r="L67" i="44"/>
  <c r="N67" i="44"/>
  <c r="L68" i="44"/>
  <c r="N68" i="44"/>
  <c r="L69" i="44"/>
  <c r="N69" i="44"/>
  <c r="L70" i="44"/>
  <c r="N70" i="44"/>
  <c r="L71" i="44"/>
  <c r="N71" i="44"/>
  <c r="L72" i="44"/>
  <c r="N72" i="44"/>
  <c r="D89" i="44"/>
  <c r="D91" i="44"/>
  <c r="J93" i="44"/>
  <c r="L93" i="44"/>
  <c r="D96" i="44"/>
  <c r="J99" i="44"/>
  <c r="O107" i="44"/>
  <c r="O108" i="44"/>
  <c r="O109" i="44"/>
  <c r="O110" i="44"/>
  <c r="M113" i="44"/>
  <c r="O113" i="44"/>
  <c r="M114" i="44"/>
  <c r="O114" i="44"/>
  <c r="M115" i="44"/>
  <c r="O115" i="44"/>
  <c r="M116" i="44"/>
  <c r="O116" i="44"/>
  <c r="M117" i="44"/>
  <c r="O117" i="44"/>
  <c r="M118" i="44"/>
  <c r="O118" i="44"/>
  <c r="M119" i="44"/>
  <c r="O119" i="44"/>
  <c r="M120" i="44"/>
  <c r="O120" i="44"/>
  <c r="M121" i="44"/>
  <c r="O121" i="44"/>
  <c r="M122" i="44"/>
  <c r="O122" i="44"/>
  <c r="M123" i="44"/>
  <c r="O123" i="44"/>
  <c r="M124" i="44"/>
  <c r="O124" i="44"/>
  <c r="M125" i="44"/>
  <c r="O125" i="44"/>
  <c r="M126" i="44"/>
  <c r="O126" i="44"/>
  <c r="M127" i="44"/>
  <c r="O127" i="44"/>
  <c r="M128" i="44"/>
  <c r="O128" i="44"/>
  <c r="M129" i="44"/>
  <c r="O129" i="44"/>
  <c r="M130" i="44"/>
  <c r="O130" i="44"/>
  <c r="M131" i="44"/>
  <c r="O131" i="44"/>
  <c r="M132" i="44"/>
  <c r="O132" i="44"/>
  <c r="M133" i="44"/>
  <c r="O133" i="44"/>
  <c r="M134" i="44"/>
  <c r="O134" i="44"/>
  <c r="M135" i="44"/>
  <c r="O135" i="44"/>
  <c r="M136" i="44"/>
  <c r="O136" i="44"/>
  <c r="M137" i="44"/>
  <c r="O137" i="44"/>
  <c r="M138" i="44"/>
  <c r="O138" i="44"/>
  <c r="M139" i="44"/>
  <c r="O139" i="44"/>
  <c r="M140" i="44"/>
  <c r="O140" i="44"/>
  <c r="M141" i="44"/>
  <c r="O141" i="44"/>
  <c r="M142" i="44"/>
  <c r="O142" i="44"/>
  <c r="M143" i="44"/>
  <c r="O143" i="44"/>
  <c r="M144" i="44"/>
  <c r="O144" i="44"/>
  <c r="M145" i="44"/>
  <c r="O145" i="44"/>
  <c r="M146" i="44"/>
  <c r="O146" i="44"/>
  <c r="M147" i="44"/>
  <c r="O147" i="44"/>
  <c r="M148" i="44"/>
  <c r="O148" i="44"/>
  <c r="M149" i="44"/>
  <c r="O149" i="44"/>
  <c r="M150" i="44"/>
  <c r="O150" i="44"/>
  <c r="M151" i="44"/>
  <c r="O151" i="44"/>
  <c r="M152" i="44"/>
  <c r="O152" i="44"/>
  <c r="M153" i="44"/>
  <c r="O153" i="44"/>
  <c r="M154" i="44"/>
  <c r="O154" i="44"/>
  <c r="P83" i="43"/>
  <c r="O3" i="43"/>
  <c r="K11" i="43"/>
  <c r="N26" i="43"/>
  <c r="N27" i="43"/>
  <c r="N28" i="43"/>
  <c r="N29" i="43"/>
  <c r="N30" i="43"/>
  <c r="L32" i="43"/>
  <c r="N32" i="43"/>
  <c r="L33" i="43"/>
  <c r="N33" i="43"/>
  <c r="L34" i="43"/>
  <c r="N34" i="43"/>
  <c r="L35" i="43"/>
  <c r="N35" i="43"/>
  <c r="L36" i="43"/>
  <c r="N36" i="43"/>
  <c r="L37" i="43"/>
  <c r="N37" i="43"/>
  <c r="L38" i="43"/>
  <c r="N38" i="43"/>
  <c r="L39" i="43"/>
  <c r="N39" i="43"/>
  <c r="L40" i="43"/>
  <c r="N40" i="43"/>
  <c r="L41" i="43"/>
  <c r="N41" i="43"/>
  <c r="L42" i="43"/>
  <c r="N42" i="43"/>
  <c r="L43" i="43"/>
  <c r="N43" i="43"/>
  <c r="L44" i="43"/>
  <c r="N44" i="43"/>
  <c r="L45" i="43"/>
  <c r="N45" i="43"/>
  <c r="L46" i="43"/>
  <c r="N46" i="43"/>
  <c r="L47" i="43"/>
  <c r="N47" i="43"/>
  <c r="L48" i="43"/>
  <c r="N48" i="43"/>
  <c r="L49" i="43"/>
  <c r="N49" i="43"/>
  <c r="L50" i="43"/>
  <c r="N50" i="43"/>
  <c r="L51" i="43"/>
  <c r="N51" i="43"/>
  <c r="L52" i="43"/>
  <c r="N52" i="43"/>
  <c r="L53" i="43"/>
  <c r="N53" i="43"/>
  <c r="L54" i="43"/>
  <c r="N54" i="43"/>
  <c r="L55" i="43"/>
  <c r="N55" i="43"/>
  <c r="L56" i="43"/>
  <c r="N56" i="43"/>
  <c r="L57" i="43"/>
  <c r="N57" i="43"/>
  <c r="L58" i="43"/>
  <c r="N58" i="43"/>
  <c r="L59" i="43"/>
  <c r="N59" i="43"/>
  <c r="L60" i="43"/>
  <c r="N60" i="43"/>
  <c r="L61" i="43"/>
  <c r="N61" i="43"/>
  <c r="L62" i="43"/>
  <c r="N62" i="43"/>
  <c r="L63" i="43"/>
  <c r="N63" i="43"/>
  <c r="L64" i="43"/>
  <c r="N64" i="43"/>
  <c r="L65" i="43"/>
  <c r="N65" i="43"/>
  <c r="L66" i="43"/>
  <c r="N66" i="43"/>
  <c r="L67" i="43"/>
  <c r="N67" i="43"/>
  <c r="L68" i="43"/>
  <c r="N68" i="43"/>
  <c r="L69" i="43"/>
  <c r="N69" i="43"/>
  <c r="L70" i="43"/>
  <c r="N70" i="43"/>
  <c r="L71" i="43"/>
  <c r="N71" i="43"/>
  <c r="L72" i="43"/>
  <c r="N72" i="43"/>
  <c r="D89" i="43"/>
  <c r="D91" i="43"/>
  <c r="J93" i="43"/>
  <c r="L93" i="43"/>
  <c r="D96" i="43"/>
  <c r="J99" i="43"/>
  <c r="O107" i="43"/>
  <c r="O108" i="43"/>
  <c r="O109" i="43"/>
  <c r="O110" i="43"/>
  <c r="M113" i="43"/>
  <c r="O113" i="43"/>
  <c r="M114" i="43"/>
  <c r="O114" i="43"/>
  <c r="M115" i="43"/>
  <c r="O115" i="43"/>
  <c r="M116" i="43"/>
  <c r="O116" i="43"/>
  <c r="M117" i="43"/>
  <c r="O117" i="43"/>
  <c r="M118" i="43"/>
  <c r="O118" i="43"/>
  <c r="M119" i="43"/>
  <c r="O119" i="43"/>
  <c r="M120" i="43"/>
  <c r="O120" i="43"/>
  <c r="M121" i="43"/>
  <c r="O121" i="43"/>
  <c r="M122" i="43"/>
  <c r="O122" i="43"/>
  <c r="M123" i="43"/>
  <c r="O123" i="43"/>
  <c r="M124" i="43"/>
  <c r="O124" i="43"/>
  <c r="M125" i="43"/>
  <c r="O125" i="43"/>
  <c r="M126" i="43"/>
  <c r="O126" i="43"/>
  <c r="M127" i="43"/>
  <c r="O127" i="43"/>
  <c r="M128" i="43"/>
  <c r="O128" i="43"/>
  <c r="M129" i="43"/>
  <c r="O129" i="43"/>
  <c r="M130" i="43"/>
  <c r="O130" i="43"/>
  <c r="M131" i="43"/>
  <c r="O131" i="43"/>
  <c r="M132" i="43"/>
  <c r="O132" i="43"/>
  <c r="M133" i="43"/>
  <c r="O133" i="43"/>
  <c r="M134" i="43"/>
  <c r="O134" i="43"/>
  <c r="M135" i="43"/>
  <c r="O135" i="43"/>
  <c r="M136" i="43"/>
  <c r="O136" i="43"/>
  <c r="M137" i="43"/>
  <c r="O137" i="43"/>
  <c r="M138" i="43"/>
  <c r="O138" i="43"/>
  <c r="M139" i="43"/>
  <c r="O139" i="43"/>
  <c r="M140" i="43"/>
  <c r="O140" i="43"/>
  <c r="M141" i="43"/>
  <c r="O141" i="43"/>
  <c r="M142" i="43"/>
  <c r="O142" i="43"/>
  <c r="M143" i="43"/>
  <c r="O143" i="43"/>
  <c r="M144" i="43"/>
  <c r="O144" i="43"/>
  <c r="M145" i="43"/>
  <c r="O145" i="43"/>
  <c r="M146" i="43"/>
  <c r="O146" i="43"/>
  <c r="M147" i="43"/>
  <c r="O147" i="43"/>
  <c r="M148" i="43"/>
  <c r="O148" i="43"/>
  <c r="M149" i="43"/>
  <c r="O149" i="43"/>
  <c r="M150" i="43"/>
  <c r="O150" i="43"/>
  <c r="M151" i="43"/>
  <c r="O151" i="43"/>
  <c r="M152" i="43"/>
  <c r="O152" i="43"/>
  <c r="M153" i="43"/>
  <c r="O153" i="43"/>
  <c r="M154" i="43"/>
  <c r="O154" i="43"/>
  <c r="P83" i="42"/>
  <c r="O3" i="42"/>
  <c r="K11" i="42"/>
  <c r="N26" i="42"/>
  <c r="O26" i="42" s="1"/>
  <c r="N27" i="42"/>
  <c r="N28" i="42"/>
  <c r="N29" i="42"/>
  <c r="N30" i="42"/>
  <c r="L32" i="42"/>
  <c r="N32" i="42"/>
  <c r="L33" i="42"/>
  <c r="N33" i="42"/>
  <c r="L34" i="42"/>
  <c r="N34" i="42"/>
  <c r="L35" i="42"/>
  <c r="N35" i="42"/>
  <c r="L36" i="42"/>
  <c r="N36" i="42"/>
  <c r="L37" i="42"/>
  <c r="N37" i="42"/>
  <c r="L38" i="42"/>
  <c r="N38" i="42"/>
  <c r="L39" i="42"/>
  <c r="N39" i="42"/>
  <c r="L40" i="42"/>
  <c r="N40" i="42"/>
  <c r="L41" i="42"/>
  <c r="N41" i="42"/>
  <c r="L42" i="42"/>
  <c r="N42" i="42"/>
  <c r="L43" i="42"/>
  <c r="N43" i="42"/>
  <c r="L44" i="42"/>
  <c r="N44" i="42"/>
  <c r="L45" i="42"/>
  <c r="N45" i="42"/>
  <c r="L46" i="42"/>
  <c r="N46" i="42"/>
  <c r="L47" i="42"/>
  <c r="N47" i="42"/>
  <c r="L48" i="42"/>
  <c r="N48" i="42"/>
  <c r="L49" i="42"/>
  <c r="N49" i="42"/>
  <c r="L50" i="42"/>
  <c r="N50" i="42"/>
  <c r="L51" i="42"/>
  <c r="N51" i="42"/>
  <c r="L52" i="42"/>
  <c r="N52" i="42"/>
  <c r="L53" i="42"/>
  <c r="N53" i="42"/>
  <c r="L54" i="42"/>
  <c r="N54" i="42"/>
  <c r="L55" i="42"/>
  <c r="N55" i="42"/>
  <c r="L56" i="42"/>
  <c r="N56" i="42"/>
  <c r="L57" i="42"/>
  <c r="N57" i="42"/>
  <c r="L58" i="42"/>
  <c r="N58" i="42"/>
  <c r="L59" i="42"/>
  <c r="N59" i="42"/>
  <c r="L60" i="42"/>
  <c r="N60" i="42"/>
  <c r="L61" i="42"/>
  <c r="N61" i="42"/>
  <c r="L62" i="42"/>
  <c r="N62" i="42"/>
  <c r="L63" i="42"/>
  <c r="N63" i="42"/>
  <c r="L64" i="42"/>
  <c r="N64" i="42"/>
  <c r="L65" i="42"/>
  <c r="N65" i="42"/>
  <c r="L66" i="42"/>
  <c r="N66" i="42"/>
  <c r="L67" i="42"/>
  <c r="N67" i="42"/>
  <c r="L68" i="42"/>
  <c r="N68" i="42"/>
  <c r="L69" i="42"/>
  <c r="N69" i="42"/>
  <c r="L70" i="42"/>
  <c r="N70" i="42"/>
  <c r="L71" i="42"/>
  <c r="N71" i="42"/>
  <c r="L72" i="42"/>
  <c r="N72" i="42"/>
  <c r="D89" i="42"/>
  <c r="D91" i="42"/>
  <c r="J93" i="42"/>
  <c r="L93" i="42"/>
  <c r="D96" i="42"/>
  <c r="J99" i="42"/>
  <c r="O107" i="42"/>
  <c r="O108" i="42"/>
  <c r="O109" i="42"/>
  <c r="O110" i="42"/>
  <c r="M113" i="42"/>
  <c r="O113" i="42"/>
  <c r="M114" i="42"/>
  <c r="O114" i="42"/>
  <c r="M115" i="42"/>
  <c r="O115" i="42"/>
  <c r="M116" i="42"/>
  <c r="O116" i="42"/>
  <c r="M117" i="42"/>
  <c r="O117" i="42"/>
  <c r="M118" i="42"/>
  <c r="O118" i="42"/>
  <c r="M119" i="42"/>
  <c r="O119" i="42"/>
  <c r="M120" i="42"/>
  <c r="O120" i="42"/>
  <c r="M121" i="42"/>
  <c r="O121" i="42"/>
  <c r="M122" i="42"/>
  <c r="O122" i="42"/>
  <c r="M123" i="42"/>
  <c r="O123" i="42"/>
  <c r="M124" i="42"/>
  <c r="O124" i="42"/>
  <c r="M125" i="42"/>
  <c r="O125" i="42"/>
  <c r="M126" i="42"/>
  <c r="O126" i="42"/>
  <c r="M127" i="42"/>
  <c r="O127" i="42"/>
  <c r="M128" i="42"/>
  <c r="O128" i="42"/>
  <c r="M129" i="42"/>
  <c r="O129" i="42"/>
  <c r="M130" i="42"/>
  <c r="O130" i="42"/>
  <c r="M131" i="42"/>
  <c r="O131" i="42"/>
  <c r="M132" i="42"/>
  <c r="O132" i="42"/>
  <c r="M133" i="42"/>
  <c r="O133" i="42"/>
  <c r="M134" i="42"/>
  <c r="O134" i="42"/>
  <c r="M135" i="42"/>
  <c r="O135" i="42"/>
  <c r="M136" i="42"/>
  <c r="O136" i="42"/>
  <c r="M137" i="42"/>
  <c r="O137" i="42"/>
  <c r="M138" i="42"/>
  <c r="O138" i="42"/>
  <c r="M139" i="42"/>
  <c r="O139" i="42"/>
  <c r="M140" i="42"/>
  <c r="O140" i="42"/>
  <c r="M141" i="42"/>
  <c r="O141" i="42"/>
  <c r="M142" i="42"/>
  <c r="O142" i="42"/>
  <c r="M143" i="42"/>
  <c r="O143" i="42"/>
  <c r="M144" i="42"/>
  <c r="O144" i="42"/>
  <c r="M145" i="42"/>
  <c r="O145" i="42"/>
  <c r="M146" i="42"/>
  <c r="O146" i="42"/>
  <c r="M147" i="42"/>
  <c r="O147" i="42"/>
  <c r="M148" i="42"/>
  <c r="O148" i="42"/>
  <c r="M149" i="42"/>
  <c r="O149" i="42"/>
  <c r="M150" i="42"/>
  <c r="O150" i="42"/>
  <c r="M151" i="42"/>
  <c r="O151" i="42"/>
  <c r="M152" i="42"/>
  <c r="O152" i="42"/>
  <c r="M153" i="42"/>
  <c r="O153" i="42"/>
  <c r="M154" i="42"/>
  <c r="O154" i="42"/>
  <c r="P83" i="41"/>
  <c r="O3" i="41"/>
  <c r="K11" i="41"/>
  <c r="N26" i="41"/>
  <c r="N27" i="41"/>
  <c r="N28" i="41"/>
  <c r="N29" i="41"/>
  <c r="N30" i="41"/>
  <c r="L32" i="41"/>
  <c r="N32" i="41"/>
  <c r="L33" i="41"/>
  <c r="N33" i="41"/>
  <c r="L34" i="41"/>
  <c r="N34" i="41"/>
  <c r="L35" i="41"/>
  <c r="N35" i="41"/>
  <c r="L36" i="41"/>
  <c r="N36" i="41"/>
  <c r="L37" i="41"/>
  <c r="N37" i="41"/>
  <c r="L38" i="41"/>
  <c r="N38" i="41"/>
  <c r="L39" i="41"/>
  <c r="N39" i="41"/>
  <c r="L40" i="41"/>
  <c r="N40" i="41"/>
  <c r="L41" i="41"/>
  <c r="N41" i="41"/>
  <c r="L42" i="41"/>
  <c r="N42" i="41"/>
  <c r="L43" i="41"/>
  <c r="N43" i="41"/>
  <c r="L44" i="41"/>
  <c r="N44" i="41"/>
  <c r="L45" i="41"/>
  <c r="N45" i="41"/>
  <c r="L46" i="41"/>
  <c r="N46" i="41"/>
  <c r="L47" i="41"/>
  <c r="N47" i="41"/>
  <c r="L48" i="41"/>
  <c r="N48" i="41"/>
  <c r="L49" i="41"/>
  <c r="N49" i="41"/>
  <c r="L50" i="41"/>
  <c r="N50" i="41"/>
  <c r="L51" i="41"/>
  <c r="N51" i="41"/>
  <c r="L52" i="41"/>
  <c r="N52" i="41"/>
  <c r="L53" i="41"/>
  <c r="N53" i="41"/>
  <c r="L54" i="41"/>
  <c r="N54" i="41"/>
  <c r="L55" i="41"/>
  <c r="N55" i="41"/>
  <c r="L56" i="41"/>
  <c r="N56" i="41"/>
  <c r="L57" i="41"/>
  <c r="N57" i="41"/>
  <c r="L58" i="41"/>
  <c r="N58" i="41"/>
  <c r="L59" i="41"/>
  <c r="N59" i="41"/>
  <c r="L60" i="41"/>
  <c r="N60" i="41"/>
  <c r="L61" i="41"/>
  <c r="N61" i="41"/>
  <c r="L62" i="41"/>
  <c r="N62" i="41"/>
  <c r="L63" i="41"/>
  <c r="N63" i="41"/>
  <c r="L64" i="41"/>
  <c r="N64" i="41"/>
  <c r="L65" i="41"/>
  <c r="N65" i="41"/>
  <c r="L66" i="41"/>
  <c r="N66" i="41"/>
  <c r="L67" i="41"/>
  <c r="N67" i="41"/>
  <c r="L68" i="41"/>
  <c r="N68" i="41"/>
  <c r="L69" i="41"/>
  <c r="N69" i="41"/>
  <c r="L70" i="41"/>
  <c r="N70" i="41"/>
  <c r="L71" i="41"/>
  <c r="N71" i="41"/>
  <c r="L72" i="41"/>
  <c r="N72" i="41"/>
  <c r="D89" i="41"/>
  <c r="D91" i="41"/>
  <c r="J93" i="41"/>
  <c r="L93" i="41"/>
  <c r="D96" i="41"/>
  <c r="J99" i="41"/>
  <c r="O107" i="41"/>
  <c r="O108" i="41"/>
  <c r="O109" i="41"/>
  <c r="O110" i="41"/>
  <c r="M113" i="41"/>
  <c r="O113" i="41"/>
  <c r="M114" i="41"/>
  <c r="O114" i="41"/>
  <c r="M115" i="41"/>
  <c r="O115" i="41"/>
  <c r="M116" i="41"/>
  <c r="O116" i="41"/>
  <c r="M117" i="41"/>
  <c r="O117" i="41"/>
  <c r="M118" i="41"/>
  <c r="O118" i="41"/>
  <c r="M119" i="41"/>
  <c r="O119" i="41"/>
  <c r="M120" i="41"/>
  <c r="O120" i="41"/>
  <c r="M121" i="41"/>
  <c r="O121" i="41"/>
  <c r="M122" i="41"/>
  <c r="O122" i="41"/>
  <c r="M123" i="41"/>
  <c r="O123" i="41"/>
  <c r="M124" i="41"/>
  <c r="O124" i="41"/>
  <c r="M125" i="41"/>
  <c r="O125" i="41"/>
  <c r="M126" i="41"/>
  <c r="O126" i="41"/>
  <c r="M127" i="41"/>
  <c r="O127" i="41"/>
  <c r="M128" i="41"/>
  <c r="O128" i="41"/>
  <c r="M129" i="41"/>
  <c r="O129" i="41"/>
  <c r="M130" i="41"/>
  <c r="O130" i="41"/>
  <c r="M131" i="41"/>
  <c r="O131" i="41"/>
  <c r="M132" i="41"/>
  <c r="O132" i="41"/>
  <c r="M133" i="41"/>
  <c r="O133" i="41"/>
  <c r="M134" i="41"/>
  <c r="O134" i="41"/>
  <c r="M135" i="41"/>
  <c r="O135" i="41"/>
  <c r="M136" i="41"/>
  <c r="O136" i="41"/>
  <c r="M137" i="41"/>
  <c r="O137" i="41"/>
  <c r="M138" i="41"/>
  <c r="O138" i="41"/>
  <c r="M139" i="41"/>
  <c r="O139" i="41"/>
  <c r="M140" i="41"/>
  <c r="O140" i="41"/>
  <c r="M141" i="41"/>
  <c r="O141" i="41"/>
  <c r="M142" i="41"/>
  <c r="O142" i="41"/>
  <c r="M143" i="41"/>
  <c r="O143" i="41"/>
  <c r="M144" i="41"/>
  <c r="O144" i="41"/>
  <c r="M145" i="41"/>
  <c r="O145" i="41"/>
  <c r="M146" i="41"/>
  <c r="O146" i="41"/>
  <c r="M147" i="41"/>
  <c r="O147" i="41"/>
  <c r="M148" i="41"/>
  <c r="O148" i="41"/>
  <c r="M149" i="41"/>
  <c r="O149" i="41"/>
  <c r="M150" i="41"/>
  <c r="O150" i="41"/>
  <c r="M151" i="41"/>
  <c r="O151" i="41"/>
  <c r="M152" i="41"/>
  <c r="O152" i="41"/>
  <c r="M153" i="41"/>
  <c r="O153" i="41"/>
  <c r="M154" i="41"/>
  <c r="O154" i="41"/>
  <c r="P83" i="39"/>
  <c r="O3" i="39"/>
  <c r="K11" i="39"/>
  <c r="N26" i="39"/>
  <c r="O26" i="39" s="1"/>
  <c r="N27" i="39"/>
  <c r="N28" i="39"/>
  <c r="N29" i="39"/>
  <c r="N30" i="39"/>
  <c r="L32" i="39"/>
  <c r="N32" i="39"/>
  <c r="L33" i="39"/>
  <c r="N33" i="39"/>
  <c r="L34" i="39"/>
  <c r="N34" i="39"/>
  <c r="L35" i="39"/>
  <c r="N35" i="39"/>
  <c r="L36" i="39"/>
  <c r="N36" i="39"/>
  <c r="L37" i="39"/>
  <c r="N37" i="39"/>
  <c r="L38" i="39"/>
  <c r="N38" i="39"/>
  <c r="L39" i="39"/>
  <c r="N39" i="39"/>
  <c r="L40" i="39"/>
  <c r="N40" i="39"/>
  <c r="L41" i="39"/>
  <c r="N41" i="39"/>
  <c r="L42" i="39"/>
  <c r="N42" i="39"/>
  <c r="L43" i="39"/>
  <c r="N43" i="39"/>
  <c r="L44" i="39"/>
  <c r="N44" i="39"/>
  <c r="L45" i="39"/>
  <c r="N45" i="39"/>
  <c r="L46" i="39"/>
  <c r="N46" i="39"/>
  <c r="L47" i="39"/>
  <c r="N47" i="39"/>
  <c r="L48" i="39"/>
  <c r="N48" i="39"/>
  <c r="L49" i="39"/>
  <c r="N49" i="39"/>
  <c r="L50" i="39"/>
  <c r="N50" i="39"/>
  <c r="L51" i="39"/>
  <c r="N51" i="39"/>
  <c r="L52" i="39"/>
  <c r="N52" i="39"/>
  <c r="L53" i="39"/>
  <c r="N53" i="39"/>
  <c r="L54" i="39"/>
  <c r="N54" i="39"/>
  <c r="L55" i="39"/>
  <c r="N55" i="39"/>
  <c r="L56" i="39"/>
  <c r="N56" i="39"/>
  <c r="L57" i="39"/>
  <c r="N57" i="39"/>
  <c r="L58" i="39"/>
  <c r="N58" i="39"/>
  <c r="L59" i="39"/>
  <c r="N59" i="39"/>
  <c r="L60" i="39"/>
  <c r="N60" i="39"/>
  <c r="L61" i="39"/>
  <c r="N61" i="39"/>
  <c r="L62" i="39"/>
  <c r="N62" i="39"/>
  <c r="L63" i="39"/>
  <c r="N63" i="39"/>
  <c r="L64" i="39"/>
  <c r="N64" i="39"/>
  <c r="L65" i="39"/>
  <c r="N65" i="39"/>
  <c r="L66" i="39"/>
  <c r="N66" i="39"/>
  <c r="L67" i="39"/>
  <c r="N67" i="39"/>
  <c r="L68" i="39"/>
  <c r="N68" i="39"/>
  <c r="L69" i="39"/>
  <c r="N69" i="39"/>
  <c r="L70" i="39"/>
  <c r="N70" i="39"/>
  <c r="L71" i="39"/>
  <c r="N71" i="39"/>
  <c r="L72" i="39"/>
  <c r="N72" i="39"/>
  <c r="D89" i="39"/>
  <c r="D91" i="39"/>
  <c r="J93" i="39"/>
  <c r="L93" i="39"/>
  <c r="D96" i="39"/>
  <c r="J99" i="39"/>
  <c r="O107" i="39"/>
  <c r="O108" i="39"/>
  <c r="O109" i="39"/>
  <c r="O110" i="39"/>
  <c r="M113" i="39"/>
  <c r="O113" i="39"/>
  <c r="M114" i="39"/>
  <c r="O114" i="39"/>
  <c r="M115" i="39"/>
  <c r="O115" i="39"/>
  <c r="M116" i="39"/>
  <c r="O116" i="39"/>
  <c r="M117" i="39"/>
  <c r="O117" i="39"/>
  <c r="M118" i="39"/>
  <c r="O118" i="39"/>
  <c r="M119" i="39"/>
  <c r="O119" i="39"/>
  <c r="M120" i="39"/>
  <c r="O120" i="39"/>
  <c r="M121" i="39"/>
  <c r="O121" i="39"/>
  <c r="M122" i="39"/>
  <c r="O122" i="39"/>
  <c r="M123" i="39"/>
  <c r="O123" i="39"/>
  <c r="M124" i="39"/>
  <c r="O124" i="39"/>
  <c r="M125" i="39"/>
  <c r="O125" i="39"/>
  <c r="M126" i="39"/>
  <c r="O126" i="39"/>
  <c r="M127" i="39"/>
  <c r="O127" i="39"/>
  <c r="M128" i="39"/>
  <c r="O128" i="39"/>
  <c r="M129" i="39"/>
  <c r="O129" i="39"/>
  <c r="M130" i="39"/>
  <c r="O130" i="39"/>
  <c r="M131" i="39"/>
  <c r="O131" i="39"/>
  <c r="M132" i="39"/>
  <c r="O132" i="39"/>
  <c r="M133" i="39"/>
  <c r="O133" i="39"/>
  <c r="M134" i="39"/>
  <c r="O134" i="39"/>
  <c r="M135" i="39"/>
  <c r="O135" i="39"/>
  <c r="M136" i="39"/>
  <c r="O136" i="39"/>
  <c r="M137" i="39"/>
  <c r="O137" i="39"/>
  <c r="M138" i="39"/>
  <c r="O138" i="39"/>
  <c r="M139" i="39"/>
  <c r="O139" i="39"/>
  <c r="M140" i="39"/>
  <c r="O140" i="39"/>
  <c r="M141" i="39"/>
  <c r="O141" i="39"/>
  <c r="M142" i="39"/>
  <c r="O142" i="39"/>
  <c r="M143" i="39"/>
  <c r="O143" i="39"/>
  <c r="M144" i="39"/>
  <c r="O144" i="39"/>
  <c r="M145" i="39"/>
  <c r="O145" i="39"/>
  <c r="M146" i="39"/>
  <c r="O146" i="39"/>
  <c r="M147" i="39"/>
  <c r="O147" i="39"/>
  <c r="M148" i="39"/>
  <c r="O148" i="39"/>
  <c r="M149" i="39"/>
  <c r="O149" i="39"/>
  <c r="M150" i="39"/>
  <c r="O150" i="39"/>
  <c r="M151" i="39"/>
  <c r="O151" i="39"/>
  <c r="M152" i="39"/>
  <c r="O152" i="39"/>
  <c r="M153" i="39"/>
  <c r="O153" i="39"/>
  <c r="M154" i="39"/>
  <c r="O154" i="39"/>
  <c r="J92" i="13"/>
  <c r="O100" i="28"/>
  <c r="O101" i="28"/>
  <c r="M100" i="28"/>
  <c r="M101" i="28"/>
  <c r="W19" i="36"/>
  <c r="W20" i="36"/>
  <c r="W21" i="36"/>
  <c r="W22" i="36"/>
  <c r="W23" i="36"/>
  <c r="W24" i="36"/>
  <c r="W25" i="36"/>
  <c r="W26" i="36"/>
  <c r="W27" i="36"/>
  <c r="W28" i="36"/>
  <c r="W29" i="36"/>
  <c r="W30" i="36"/>
  <c r="W31" i="36"/>
  <c r="W32" i="36"/>
  <c r="W33" i="36"/>
  <c r="W34" i="36"/>
  <c r="W35" i="36"/>
  <c r="W36" i="36"/>
  <c r="W37" i="36"/>
  <c r="W18" i="36"/>
  <c r="L12" i="36"/>
  <c r="P12" i="36"/>
  <c r="G12" i="36"/>
  <c r="A9" i="36" s="1"/>
  <c r="D89" i="35"/>
  <c r="P83" i="35"/>
  <c r="O3" i="35"/>
  <c r="K11" i="35"/>
  <c r="I17" i="35"/>
  <c r="L17" i="35"/>
  <c r="N17" i="35"/>
  <c r="I18" i="35"/>
  <c r="L18" i="35"/>
  <c r="N18" i="35"/>
  <c r="L21" i="35"/>
  <c r="N21" i="35"/>
  <c r="L22" i="35"/>
  <c r="N22" i="35"/>
  <c r="L23" i="35"/>
  <c r="N23" i="35"/>
  <c r="L24" i="35"/>
  <c r="N24" i="35"/>
  <c r="L25" i="35"/>
  <c r="N25" i="35"/>
  <c r="L26" i="35"/>
  <c r="N26" i="35"/>
  <c r="L27" i="35"/>
  <c r="N27" i="35"/>
  <c r="L28" i="35"/>
  <c r="N28" i="35"/>
  <c r="L29" i="35"/>
  <c r="N29" i="35"/>
  <c r="L30" i="35"/>
  <c r="N30" i="35"/>
  <c r="L31" i="35"/>
  <c r="N31" i="35"/>
  <c r="L32" i="35"/>
  <c r="N32" i="35"/>
  <c r="L33" i="35"/>
  <c r="N33" i="35"/>
  <c r="L34" i="35"/>
  <c r="N34" i="35"/>
  <c r="L35" i="35"/>
  <c r="N35" i="35"/>
  <c r="L36" i="35"/>
  <c r="N36" i="35"/>
  <c r="L37" i="35"/>
  <c r="N37" i="35"/>
  <c r="L38" i="35"/>
  <c r="N38" i="35"/>
  <c r="L39" i="35"/>
  <c r="N39" i="35"/>
  <c r="L40" i="35"/>
  <c r="N40" i="35"/>
  <c r="L41" i="35"/>
  <c r="N41" i="35"/>
  <c r="L42" i="35"/>
  <c r="N42" i="35"/>
  <c r="L43" i="35"/>
  <c r="N43" i="35"/>
  <c r="L44" i="35"/>
  <c r="N44" i="35"/>
  <c r="L45" i="35"/>
  <c r="N45" i="35"/>
  <c r="L46" i="35"/>
  <c r="N46" i="35"/>
  <c r="L47" i="35"/>
  <c r="N47" i="35"/>
  <c r="L48" i="35"/>
  <c r="N48" i="35"/>
  <c r="L49" i="35"/>
  <c r="N49" i="35"/>
  <c r="L50" i="35"/>
  <c r="N50" i="35"/>
  <c r="L51" i="35"/>
  <c r="N51" i="35"/>
  <c r="L52" i="35"/>
  <c r="N52" i="35"/>
  <c r="L53" i="35"/>
  <c r="N53" i="35"/>
  <c r="L54" i="35"/>
  <c r="N54" i="35"/>
  <c r="L55" i="35"/>
  <c r="N55" i="35"/>
  <c r="L56" i="35"/>
  <c r="N56" i="35"/>
  <c r="L57" i="35"/>
  <c r="N57" i="35"/>
  <c r="L58" i="35"/>
  <c r="N58" i="35"/>
  <c r="L59" i="35"/>
  <c r="N59" i="35"/>
  <c r="L60" i="35"/>
  <c r="N60" i="35"/>
  <c r="L61" i="35"/>
  <c r="N61" i="35"/>
  <c r="L62" i="35"/>
  <c r="N62" i="35"/>
  <c r="L63" i="35"/>
  <c r="N63" i="35"/>
  <c r="L64" i="35"/>
  <c r="N64" i="35"/>
  <c r="L65" i="35"/>
  <c r="N65" i="35"/>
  <c r="L66" i="35"/>
  <c r="N66" i="35"/>
  <c r="L67" i="35"/>
  <c r="N67" i="35"/>
  <c r="L68" i="35"/>
  <c r="N68" i="35"/>
  <c r="L69" i="35"/>
  <c r="N69" i="35"/>
  <c r="L70" i="35"/>
  <c r="N70" i="35"/>
  <c r="L71" i="35"/>
  <c r="N71" i="35"/>
  <c r="L72" i="35"/>
  <c r="N72" i="35"/>
  <c r="O87" i="35"/>
  <c r="D91" i="35"/>
  <c r="J93" i="35"/>
  <c r="L93" i="35"/>
  <c r="D96" i="35"/>
  <c r="J99" i="35"/>
  <c r="M99" i="35"/>
  <c r="O99" i="35"/>
  <c r="J100" i="35"/>
  <c r="M101" i="35"/>
  <c r="O101" i="35"/>
  <c r="M102" i="35"/>
  <c r="O102" i="35"/>
  <c r="M104" i="35"/>
  <c r="O104" i="35"/>
  <c r="M105" i="35"/>
  <c r="O105" i="35"/>
  <c r="M106" i="35"/>
  <c r="O106" i="35"/>
  <c r="M107" i="35"/>
  <c r="O107" i="35"/>
  <c r="M108" i="35"/>
  <c r="O108" i="35"/>
  <c r="M109" i="35"/>
  <c r="O109" i="35"/>
  <c r="M110" i="35"/>
  <c r="O110" i="35"/>
  <c r="M111" i="35"/>
  <c r="O111" i="35"/>
  <c r="M112" i="35"/>
  <c r="O112" i="35"/>
  <c r="M113" i="35"/>
  <c r="O113" i="35"/>
  <c r="M114" i="35"/>
  <c r="O114" i="35"/>
  <c r="M115" i="35"/>
  <c r="O115" i="35"/>
  <c r="M116" i="35"/>
  <c r="O116" i="35"/>
  <c r="M117" i="35"/>
  <c r="O117" i="35"/>
  <c r="M118" i="35"/>
  <c r="O118" i="35"/>
  <c r="M119" i="35"/>
  <c r="O119" i="35"/>
  <c r="M120" i="35"/>
  <c r="O120" i="35"/>
  <c r="M121" i="35"/>
  <c r="O121" i="35"/>
  <c r="M122" i="35"/>
  <c r="O122" i="35"/>
  <c r="M123" i="35"/>
  <c r="O123" i="35"/>
  <c r="M124" i="35"/>
  <c r="O124" i="35"/>
  <c r="M125" i="35"/>
  <c r="O125" i="35"/>
  <c r="M126" i="35"/>
  <c r="O126" i="35"/>
  <c r="M127" i="35"/>
  <c r="O127" i="35"/>
  <c r="M128" i="35"/>
  <c r="O128" i="35"/>
  <c r="M129" i="35"/>
  <c r="O129" i="35"/>
  <c r="M130" i="35"/>
  <c r="O130" i="35"/>
  <c r="M131" i="35"/>
  <c r="O131" i="35"/>
  <c r="M132" i="35"/>
  <c r="O132" i="35"/>
  <c r="M133" i="35"/>
  <c r="O133" i="35"/>
  <c r="M134" i="35"/>
  <c r="O134" i="35"/>
  <c r="M135" i="35"/>
  <c r="O135" i="35"/>
  <c r="M136" i="35"/>
  <c r="O136" i="35"/>
  <c r="M137" i="35"/>
  <c r="O137" i="35"/>
  <c r="M138" i="35"/>
  <c r="O138" i="35"/>
  <c r="M139" i="35"/>
  <c r="O139" i="35"/>
  <c r="M140" i="35"/>
  <c r="O140" i="35"/>
  <c r="M141" i="35"/>
  <c r="O141" i="35"/>
  <c r="M142" i="35"/>
  <c r="O142" i="35"/>
  <c r="M143" i="35"/>
  <c r="O143" i="35"/>
  <c r="M144" i="35"/>
  <c r="O144" i="35"/>
  <c r="M145" i="35"/>
  <c r="O145" i="35"/>
  <c r="M146" i="35"/>
  <c r="O146" i="35"/>
  <c r="M147" i="35"/>
  <c r="O147" i="35"/>
  <c r="M148" i="35"/>
  <c r="O148" i="35"/>
  <c r="M149" i="35"/>
  <c r="O149" i="35"/>
  <c r="M150" i="35"/>
  <c r="O150" i="35"/>
  <c r="M151" i="35"/>
  <c r="O151" i="35"/>
  <c r="M152" i="35"/>
  <c r="O152" i="35"/>
  <c r="M153" i="35"/>
  <c r="O153" i="35"/>
  <c r="M154" i="35"/>
  <c r="O154" i="35"/>
  <c r="M17" i="24"/>
  <c r="N17" i="24" s="1"/>
  <c r="M19" i="28"/>
  <c r="N19" i="28" s="1"/>
  <c r="M17" i="23"/>
  <c r="N17" i="23" s="1"/>
  <c r="N99" i="28"/>
  <c r="O99" i="28" s="1"/>
  <c r="L99" i="28"/>
  <c r="M99" i="28" s="1"/>
  <c r="M17" i="26"/>
  <c r="N99" i="26" s="1"/>
  <c r="L99" i="26"/>
  <c r="P83" i="26"/>
  <c r="P83" i="27"/>
  <c r="P83" i="28"/>
  <c r="P83" i="29"/>
  <c r="P83" i="30"/>
  <c r="P83" i="31"/>
  <c r="P83" i="32"/>
  <c r="P83" i="33"/>
  <c r="P83" i="34"/>
  <c r="P83" i="13"/>
  <c r="P83" i="25"/>
  <c r="P83" i="3"/>
  <c r="P83" i="17"/>
  <c r="P83" i="18"/>
  <c r="P83" i="19"/>
  <c r="P83" i="20"/>
  <c r="P83" i="21"/>
  <c r="P83" i="22"/>
  <c r="P83" i="23"/>
  <c r="P83" i="24"/>
  <c r="O3" i="34"/>
  <c r="K11" i="34"/>
  <c r="I17" i="34"/>
  <c r="L17" i="34"/>
  <c r="N17" i="34"/>
  <c r="I18" i="34"/>
  <c r="L18" i="34"/>
  <c r="N18" i="34"/>
  <c r="N28" i="34"/>
  <c r="N29" i="34"/>
  <c r="N30" i="34"/>
  <c r="N31" i="34"/>
  <c r="N32" i="34"/>
  <c r="L34" i="34"/>
  <c r="N34" i="34"/>
  <c r="L35" i="34"/>
  <c r="N35" i="34"/>
  <c r="L36" i="34"/>
  <c r="N36" i="34"/>
  <c r="L37" i="34"/>
  <c r="N37" i="34"/>
  <c r="L38" i="34"/>
  <c r="N38" i="34"/>
  <c r="L39" i="34"/>
  <c r="N39" i="34"/>
  <c r="L40" i="34"/>
  <c r="N40" i="34"/>
  <c r="L41" i="34"/>
  <c r="N41" i="34"/>
  <c r="L42" i="34"/>
  <c r="N42" i="34"/>
  <c r="L43" i="34"/>
  <c r="N43" i="34"/>
  <c r="L44" i="34"/>
  <c r="N44" i="34"/>
  <c r="L45" i="34"/>
  <c r="N45" i="34"/>
  <c r="L46" i="34"/>
  <c r="N46" i="34"/>
  <c r="L47" i="34"/>
  <c r="N47" i="34"/>
  <c r="L48" i="34"/>
  <c r="N48" i="34"/>
  <c r="L49" i="34"/>
  <c r="N49" i="34"/>
  <c r="L50" i="34"/>
  <c r="N50" i="34"/>
  <c r="L51" i="34"/>
  <c r="N51" i="34"/>
  <c r="L52" i="34"/>
  <c r="N52" i="34"/>
  <c r="L53" i="34"/>
  <c r="N53" i="34"/>
  <c r="L54" i="34"/>
  <c r="N54" i="34"/>
  <c r="L55" i="34"/>
  <c r="N55" i="34"/>
  <c r="L56" i="34"/>
  <c r="N56" i="34"/>
  <c r="L57" i="34"/>
  <c r="N57" i="34"/>
  <c r="L58" i="34"/>
  <c r="N58" i="34"/>
  <c r="L59" i="34"/>
  <c r="N59" i="34"/>
  <c r="L60" i="34"/>
  <c r="N60" i="34"/>
  <c r="L61" i="34"/>
  <c r="N61" i="34"/>
  <c r="L62" i="34"/>
  <c r="N62" i="34"/>
  <c r="L63" i="34"/>
  <c r="N63" i="34"/>
  <c r="L64" i="34"/>
  <c r="N64" i="34"/>
  <c r="L65" i="34"/>
  <c r="N65" i="34"/>
  <c r="L66" i="34"/>
  <c r="N66" i="34"/>
  <c r="L67" i="34"/>
  <c r="N67" i="34"/>
  <c r="L68" i="34"/>
  <c r="N68" i="34"/>
  <c r="L69" i="34"/>
  <c r="N69" i="34"/>
  <c r="L70" i="34"/>
  <c r="N70" i="34"/>
  <c r="L71" i="34"/>
  <c r="N71" i="34"/>
  <c r="L72" i="34"/>
  <c r="N72" i="34"/>
  <c r="D89" i="34"/>
  <c r="D91" i="34"/>
  <c r="J93" i="34"/>
  <c r="L93" i="34"/>
  <c r="D96" i="34"/>
  <c r="J99" i="34"/>
  <c r="M99" i="34"/>
  <c r="O99" i="34"/>
  <c r="J100" i="34"/>
  <c r="J101" i="34"/>
  <c r="O110" i="34"/>
  <c r="O111" i="34"/>
  <c r="O112" i="34"/>
  <c r="M115" i="34"/>
  <c r="O115" i="34"/>
  <c r="M116" i="34"/>
  <c r="O116" i="34"/>
  <c r="M117" i="34"/>
  <c r="O117" i="34"/>
  <c r="M118" i="34"/>
  <c r="O118" i="34"/>
  <c r="M119" i="34"/>
  <c r="O119" i="34"/>
  <c r="M120" i="34"/>
  <c r="O120" i="34"/>
  <c r="M121" i="34"/>
  <c r="O121" i="34"/>
  <c r="M122" i="34"/>
  <c r="O122" i="34"/>
  <c r="M123" i="34"/>
  <c r="O123" i="34"/>
  <c r="M124" i="34"/>
  <c r="O124" i="34"/>
  <c r="M125" i="34"/>
  <c r="O125" i="34"/>
  <c r="M126" i="34"/>
  <c r="O126" i="34"/>
  <c r="M127" i="34"/>
  <c r="O127" i="34"/>
  <c r="M128" i="34"/>
  <c r="O128" i="34"/>
  <c r="M129" i="34"/>
  <c r="O129" i="34"/>
  <c r="M130" i="34"/>
  <c r="O130" i="34"/>
  <c r="M131" i="34"/>
  <c r="O131" i="34"/>
  <c r="M132" i="34"/>
  <c r="O132" i="34"/>
  <c r="M133" i="34"/>
  <c r="O133" i="34"/>
  <c r="M134" i="34"/>
  <c r="O134" i="34"/>
  <c r="M135" i="34"/>
  <c r="O135" i="34"/>
  <c r="M136" i="34"/>
  <c r="O136" i="34"/>
  <c r="M137" i="34"/>
  <c r="O137" i="34"/>
  <c r="M138" i="34"/>
  <c r="O138" i="34"/>
  <c r="M139" i="34"/>
  <c r="O139" i="34"/>
  <c r="M140" i="34"/>
  <c r="O140" i="34"/>
  <c r="M141" i="34"/>
  <c r="O141" i="34"/>
  <c r="M142" i="34"/>
  <c r="O142" i="34"/>
  <c r="M143" i="34"/>
  <c r="O143" i="34"/>
  <c r="M144" i="34"/>
  <c r="O144" i="34"/>
  <c r="M145" i="34"/>
  <c r="O145" i="34"/>
  <c r="M146" i="34"/>
  <c r="O146" i="34"/>
  <c r="M147" i="34"/>
  <c r="O147" i="34"/>
  <c r="M148" i="34"/>
  <c r="O148" i="34"/>
  <c r="M149" i="34"/>
  <c r="O149" i="34"/>
  <c r="M150" i="34"/>
  <c r="O150" i="34"/>
  <c r="M151" i="34"/>
  <c r="O151" i="34"/>
  <c r="M152" i="34"/>
  <c r="O152" i="34"/>
  <c r="M153" i="34"/>
  <c r="O153" i="34"/>
  <c r="M154" i="34"/>
  <c r="O154" i="34"/>
  <c r="O3" i="33"/>
  <c r="K11" i="33"/>
  <c r="L17" i="33"/>
  <c r="N17" i="33"/>
  <c r="L18" i="33"/>
  <c r="N18" i="33"/>
  <c r="L19" i="33"/>
  <c r="N19" i="33"/>
  <c r="L20" i="33"/>
  <c r="N20" i="33"/>
  <c r="L21" i="33"/>
  <c r="N21" i="33"/>
  <c r="L22" i="33"/>
  <c r="N22" i="33"/>
  <c r="L23" i="33"/>
  <c r="N23" i="33"/>
  <c r="L24" i="33"/>
  <c r="N24" i="33"/>
  <c r="L25" i="33"/>
  <c r="N25" i="33"/>
  <c r="L26" i="33"/>
  <c r="N26" i="33"/>
  <c r="L27" i="33"/>
  <c r="N27" i="33"/>
  <c r="L28" i="33"/>
  <c r="N28" i="33"/>
  <c r="L29" i="33"/>
  <c r="N29" i="33"/>
  <c r="L30" i="33"/>
  <c r="N30" i="33"/>
  <c r="L31" i="33"/>
  <c r="N31" i="33"/>
  <c r="L32" i="33"/>
  <c r="N32" i="33"/>
  <c r="L33" i="33"/>
  <c r="N33" i="33"/>
  <c r="L34" i="33"/>
  <c r="N34" i="33"/>
  <c r="L35" i="33"/>
  <c r="N35" i="33"/>
  <c r="L36" i="33"/>
  <c r="N36" i="33"/>
  <c r="L37" i="33"/>
  <c r="N37" i="33"/>
  <c r="L38" i="33"/>
  <c r="N38" i="33"/>
  <c r="L39" i="33"/>
  <c r="N39" i="33"/>
  <c r="L40" i="33"/>
  <c r="N40" i="33"/>
  <c r="L41" i="33"/>
  <c r="N41" i="33"/>
  <c r="L42" i="33"/>
  <c r="N42" i="33"/>
  <c r="L43" i="33"/>
  <c r="N43" i="33"/>
  <c r="L44" i="33"/>
  <c r="N44" i="33"/>
  <c r="L45" i="33"/>
  <c r="N45" i="33"/>
  <c r="L46" i="33"/>
  <c r="N46" i="33"/>
  <c r="L47" i="33"/>
  <c r="N47" i="33"/>
  <c r="L48" i="33"/>
  <c r="N48" i="33"/>
  <c r="L49" i="33"/>
  <c r="N49" i="33"/>
  <c r="L50" i="33"/>
  <c r="N50" i="33"/>
  <c r="L51" i="33"/>
  <c r="N51" i="33"/>
  <c r="L52" i="33"/>
  <c r="N52" i="33"/>
  <c r="L53" i="33"/>
  <c r="N53" i="33"/>
  <c r="L54" i="33"/>
  <c r="N54" i="33"/>
  <c r="L55" i="33"/>
  <c r="N55" i="33"/>
  <c r="L56" i="33"/>
  <c r="N56" i="33"/>
  <c r="L57" i="33"/>
  <c r="N57" i="33"/>
  <c r="L58" i="33"/>
  <c r="N58" i="33"/>
  <c r="L59" i="33"/>
  <c r="N59" i="33"/>
  <c r="L60" i="33"/>
  <c r="N60" i="33"/>
  <c r="L61" i="33"/>
  <c r="N61" i="33"/>
  <c r="L62" i="33"/>
  <c r="N62" i="33"/>
  <c r="L63" i="33"/>
  <c r="N63" i="33"/>
  <c r="L64" i="33"/>
  <c r="N64" i="33"/>
  <c r="L65" i="33"/>
  <c r="N65" i="33"/>
  <c r="L66" i="33"/>
  <c r="N66" i="33"/>
  <c r="L67" i="33"/>
  <c r="N67" i="33"/>
  <c r="L68" i="33"/>
  <c r="N68" i="33"/>
  <c r="L69" i="33"/>
  <c r="N69" i="33"/>
  <c r="L70" i="33"/>
  <c r="N70" i="33"/>
  <c r="L71" i="33"/>
  <c r="N71" i="33"/>
  <c r="L72" i="33"/>
  <c r="N72" i="33"/>
  <c r="D89" i="33"/>
  <c r="D91" i="33"/>
  <c r="J93" i="33"/>
  <c r="L93" i="33"/>
  <c r="D96" i="33"/>
  <c r="M99" i="33"/>
  <c r="O99" i="33"/>
  <c r="M100" i="33"/>
  <c r="O100" i="33"/>
  <c r="M101" i="33"/>
  <c r="O101" i="33"/>
  <c r="M102" i="33"/>
  <c r="O102" i="33"/>
  <c r="M103" i="33"/>
  <c r="O103" i="33"/>
  <c r="M104" i="33"/>
  <c r="O104" i="33"/>
  <c r="M105" i="33"/>
  <c r="O105" i="33"/>
  <c r="M106" i="33"/>
  <c r="O106" i="33"/>
  <c r="M107" i="33"/>
  <c r="O107" i="33"/>
  <c r="M108" i="33"/>
  <c r="O108" i="33"/>
  <c r="M109" i="33"/>
  <c r="O109" i="33"/>
  <c r="M110" i="33"/>
  <c r="O110" i="33"/>
  <c r="M111" i="33"/>
  <c r="O111" i="33"/>
  <c r="M112" i="33"/>
  <c r="O112" i="33"/>
  <c r="M113" i="33"/>
  <c r="O113" i="33"/>
  <c r="M114" i="33"/>
  <c r="O114" i="33"/>
  <c r="M115" i="33"/>
  <c r="O115" i="33"/>
  <c r="M116" i="33"/>
  <c r="O116" i="33"/>
  <c r="M117" i="33"/>
  <c r="O117" i="33"/>
  <c r="M118" i="33"/>
  <c r="O118" i="33"/>
  <c r="M119" i="33"/>
  <c r="O119" i="33"/>
  <c r="M120" i="33"/>
  <c r="O120" i="33"/>
  <c r="M121" i="33"/>
  <c r="O121" i="33"/>
  <c r="M122" i="33"/>
  <c r="O122" i="33"/>
  <c r="M123" i="33"/>
  <c r="O123" i="33"/>
  <c r="M124" i="33"/>
  <c r="O124" i="33"/>
  <c r="M125" i="33"/>
  <c r="O125" i="33"/>
  <c r="M126" i="33"/>
  <c r="O126" i="33"/>
  <c r="M127" i="33"/>
  <c r="O127" i="33"/>
  <c r="M128" i="33"/>
  <c r="O128" i="33"/>
  <c r="M129" i="33"/>
  <c r="O129" i="33"/>
  <c r="M130" i="33"/>
  <c r="O130" i="33"/>
  <c r="M131" i="33"/>
  <c r="O131" i="33"/>
  <c r="M132" i="33"/>
  <c r="O132" i="33"/>
  <c r="M133" i="33"/>
  <c r="O133" i="33"/>
  <c r="M134" i="33"/>
  <c r="O134" i="33"/>
  <c r="M135" i="33"/>
  <c r="O135" i="33"/>
  <c r="M136" i="33"/>
  <c r="O136" i="33"/>
  <c r="M137" i="33"/>
  <c r="O137" i="33"/>
  <c r="M138" i="33"/>
  <c r="O138" i="33"/>
  <c r="M139" i="33"/>
  <c r="O139" i="33"/>
  <c r="M140" i="33"/>
  <c r="O140" i="33"/>
  <c r="M141" i="33"/>
  <c r="O141" i="33"/>
  <c r="M142" i="33"/>
  <c r="O142" i="33"/>
  <c r="M143" i="33"/>
  <c r="O143" i="33"/>
  <c r="M144" i="33"/>
  <c r="O144" i="33"/>
  <c r="M145" i="33"/>
  <c r="O145" i="33"/>
  <c r="M146" i="33"/>
  <c r="O146" i="33"/>
  <c r="M147" i="33"/>
  <c r="O147" i="33"/>
  <c r="M148" i="33"/>
  <c r="O148" i="33"/>
  <c r="M149" i="33"/>
  <c r="O149" i="33"/>
  <c r="M150" i="33"/>
  <c r="O150" i="33"/>
  <c r="M151" i="33"/>
  <c r="O151" i="33"/>
  <c r="M152" i="33"/>
  <c r="O152" i="33"/>
  <c r="M153" i="33"/>
  <c r="O153" i="33"/>
  <c r="M154" i="33"/>
  <c r="O154" i="33"/>
  <c r="O3" i="32"/>
  <c r="K11" i="32"/>
  <c r="I17" i="32"/>
  <c r="L17" i="32"/>
  <c r="N17" i="32"/>
  <c r="I18" i="32"/>
  <c r="L18" i="32"/>
  <c r="N18" i="32"/>
  <c r="N28" i="32"/>
  <c r="N29" i="32"/>
  <c r="N30" i="32"/>
  <c r="N31" i="32"/>
  <c r="N32" i="32"/>
  <c r="L34" i="32"/>
  <c r="N34" i="32"/>
  <c r="L35" i="32"/>
  <c r="N35" i="32"/>
  <c r="L36" i="32"/>
  <c r="N36" i="32"/>
  <c r="L37" i="32"/>
  <c r="N37" i="32"/>
  <c r="L38" i="32"/>
  <c r="N38" i="32"/>
  <c r="L39" i="32"/>
  <c r="N39" i="32"/>
  <c r="L40" i="32"/>
  <c r="N40" i="32"/>
  <c r="L41" i="32"/>
  <c r="N41" i="32"/>
  <c r="L42" i="32"/>
  <c r="N42" i="32"/>
  <c r="L43" i="32"/>
  <c r="N43" i="32"/>
  <c r="L44" i="32"/>
  <c r="N44" i="32"/>
  <c r="L45" i="32"/>
  <c r="N45" i="32"/>
  <c r="L46" i="32"/>
  <c r="N46" i="32"/>
  <c r="L47" i="32"/>
  <c r="N47" i="32"/>
  <c r="L48" i="32"/>
  <c r="N48" i="32"/>
  <c r="L49" i="32"/>
  <c r="N49" i="32"/>
  <c r="L50" i="32"/>
  <c r="N50" i="32"/>
  <c r="L51" i="32"/>
  <c r="N51" i="32"/>
  <c r="L52" i="32"/>
  <c r="N52" i="32"/>
  <c r="L53" i="32"/>
  <c r="N53" i="32"/>
  <c r="L54" i="32"/>
  <c r="N54" i="32"/>
  <c r="L55" i="32"/>
  <c r="N55" i="32"/>
  <c r="L56" i="32"/>
  <c r="N56" i="32"/>
  <c r="L57" i="32"/>
  <c r="N57" i="32"/>
  <c r="L58" i="32"/>
  <c r="N58" i="32"/>
  <c r="L59" i="32"/>
  <c r="N59" i="32"/>
  <c r="L60" i="32"/>
  <c r="N60" i="32"/>
  <c r="L61" i="32"/>
  <c r="N61" i="32"/>
  <c r="L62" i="32"/>
  <c r="N62" i="32"/>
  <c r="L63" i="32"/>
  <c r="N63" i="32"/>
  <c r="L64" i="32"/>
  <c r="N64" i="32"/>
  <c r="L65" i="32"/>
  <c r="N65" i="32"/>
  <c r="L66" i="32"/>
  <c r="N66" i="32"/>
  <c r="L67" i="32"/>
  <c r="N67" i="32"/>
  <c r="L68" i="32"/>
  <c r="N68" i="32"/>
  <c r="L69" i="32"/>
  <c r="N69" i="32"/>
  <c r="L70" i="32"/>
  <c r="N70" i="32"/>
  <c r="L71" i="32"/>
  <c r="N71" i="32"/>
  <c r="L72" i="32"/>
  <c r="N72" i="32"/>
  <c r="D89" i="32"/>
  <c r="D91" i="32"/>
  <c r="J93" i="32"/>
  <c r="L93" i="32"/>
  <c r="D96" i="32"/>
  <c r="J99" i="32"/>
  <c r="M99" i="32"/>
  <c r="O99" i="32"/>
  <c r="J100" i="32"/>
  <c r="J101" i="32"/>
  <c r="O110" i="32"/>
  <c r="O111" i="32"/>
  <c r="O112" i="32"/>
  <c r="M115" i="32"/>
  <c r="O115" i="32"/>
  <c r="M116" i="32"/>
  <c r="O116" i="32"/>
  <c r="M117" i="32"/>
  <c r="O117" i="32"/>
  <c r="M118" i="32"/>
  <c r="O118" i="32"/>
  <c r="M119" i="32"/>
  <c r="O119" i="32"/>
  <c r="M120" i="32"/>
  <c r="O120" i="32"/>
  <c r="M121" i="32"/>
  <c r="O121" i="32"/>
  <c r="M122" i="32"/>
  <c r="O122" i="32"/>
  <c r="M123" i="32"/>
  <c r="O123" i="32"/>
  <c r="M124" i="32"/>
  <c r="O124" i="32"/>
  <c r="M125" i="32"/>
  <c r="O125" i="32"/>
  <c r="M126" i="32"/>
  <c r="O126" i="32"/>
  <c r="M127" i="32"/>
  <c r="O127" i="32"/>
  <c r="M128" i="32"/>
  <c r="O128" i="32"/>
  <c r="M129" i="32"/>
  <c r="O129" i="32"/>
  <c r="M130" i="32"/>
  <c r="O130" i="32"/>
  <c r="M131" i="32"/>
  <c r="O131" i="32"/>
  <c r="M132" i="32"/>
  <c r="O132" i="32"/>
  <c r="M133" i="32"/>
  <c r="O133" i="32"/>
  <c r="M134" i="32"/>
  <c r="O134" i="32"/>
  <c r="M135" i="32"/>
  <c r="O135" i="32"/>
  <c r="M136" i="32"/>
  <c r="O136" i="32"/>
  <c r="M137" i="32"/>
  <c r="O137" i="32"/>
  <c r="M138" i="32"/>
  <c r="O138" i="32"/>
  <c r="M139" i="32"/>
  <c r="O139" i="32"/>
  <c r="M140" i="32"/>
  <c r="O140" i="32"/>
  <c r="M141" i="32"/>
  <c r="O141" i="32"/>
  <c r="M142" i="32"/>
  <c r="O142" i="32"/>
  <c r="M143" i="32"/>
  <c r="O143" i="32"/>
  <c r="M144" i="32"/>
  <c r="O144" i="32"/>
  <c r="M145" i="32"/>
  <c r="O145" i="32"/>
  <c r="M146" i="32"/>
  <c r="O146" i="32"/>
  <c r="M147" i="32"/>
  <c r="O147" i="32"/>
  <c r="M148" i="32"/>
  <c r="O148" i="32"/>
  <c r="M149" i="32"/>
  <c r="O149" i="32"/>
  <c r="M150" i="32"/>
  <c r="O150" i="32"/>
  <c r="M151" i="32"/>
  <c r="O151" i="32"/>
  <c r="M152" i="32"/>
  <c r="O152" i="32"/>
  <c r="M153" i="32"/>
  <c r="O153" i="32"/>
  <c r="M154" i="32"/>
  <c r="O154" i="32"/>
  <c r="O3" i="31"/>
  <c r="K11" i="31"/>
  <c r="I17" i="31"/>
  <c r="L17" i="31"/>
  <c r="N17" i="31"/>
  <c r="I18" i="31"/>
  <c r="L18" i="31"/>
  <c r="N18" i="31"/>
  <c r="N28" i="31"/>
  <c r="O28" i="31" s="1"/>
  <c r="N29" i="31"/>
  <c r="N30" i="31"/>
  <c r="N31" i="31"/>
  <c r="N32" i="31"/>
  <c r="L34" i="31"/>
  <c r="N34" i="31"/>
  <c r="L35" i="31"/>
  <c r="N35" i="31"/>
  <c r="L36" i="31"/>
  <c r="N36" i="31"/>
  <c r="L37" i="31"/>
  <c r="N37" i="31"/>
  <c r="L38" i="31"/>
  <c r="N38" i="31"/>
  <c r="L39" i="31"/>
  <c r="N39" i="31"/>
  <c r="L40" i="31"/>
  <c r="N40" i="31"/>
  <c r="L41" i="31"/>
  <c r="N41" i="31"/>
  <c r="L42" i="31"/>
  <c r="N42" i="31"/>
  <c r="L43" i="31"/>
  <c r="N43" i="31"/>
  <c r="L44" i="31"/>
  <c r="N44" i="31"/>
  <c r="L45" i="31"/>
  <c r="N45" i="31"/>
  <c r="L46" i="31"/>
  <c r="N46" i="31"/>
  <c r="L47" i="31"/>
  <c r="N47" i="31"/>
  <c r="L48" i="31"/>
  <c r="N48" i="31"/>
  <c r="L49" i="31"/>
  <c r="N49" i="31"/>
  <c r="L50" i="31"/>
  <c r="N50" i="31"/>
  <c r="L51" i="31"/>
  <c r="N51" i="31"/>
  <c r="L52" i="31"/>
  <c r="N52" i="31"/>
  <c r="L53" i="31"/>
  <c r="N53" i="31"/>
  <c r="L54" i="31"/>
  <c r="N54" i="31"/>
  <c r="L55" i="31"/>
  <c r="N55" i="31"/>
  <c r="L56" i="31"/>
  <c r="N56" i="31"/>
  <c r="L57" i="31"/>
  <c r="N57" i="31"/>
  <c r="L58" i="31"/>
  <c r="N58" i="31"/>
  <c r="L59" i="31"/>
  <c r="N59" i="31"/>
  <c r="L60" i="31"/>
  <c r="N60" i="31"/>
  <c r="L61" i="31"/>
  <c r="N61" i="31"/>
  <c r="L62" i="31"/>
  <c r="N62" i="31"/>
  <c r="L63" i="31"/>
  <c r="N63" i="31"/>
  <c r="L64" i="31"/>
  <c r="N64" i="31"/>
  <c r="L65" i="31"/>
  <c r="N65" i="31"/>
  <c r="L66" i="31"/>
  <c r="N66" i="31"/>
  <c r="L67" i="31"/>
  <c r="N67" i="31"/>
  <c r="L68" i="31"/>
  <c r="N68" i="31"/>
  <c r="L69" i="31"/>
  <c r="N69" i="31"/>
  <c r="L70" i="31"/>
  <c r="N70" i="31"/>
  <c r="L71" i="31"/>
  <c r="N71" i="31"/>
  <c r="L72" i="31"/>
  <c r="N72" i="31"/>
  <c r="D89" i="31"/>
  <c r="D91" i="31"/>
  <c r="J93" i="31"/>
  <c r="L93" i="31"/>
  <c r="D96" i="31"/>
  <c r="J99" i="31"/>
  <c r="M99" i="31"/>
  <c r="O99" i="31"/>
  <c r="J100" i="31"/>
  <c r="J101" i="31"/>
  <c r="O110" i="31"/>
  <c r="O111" i="31"/>
  <c r="O112" i="31"/>
  <c r="M115" i="31"/>
  <c r="O115" i="31"/>
  <c r="M116" i="31"/>
  <c r="O116" i="31"/>
  <c r="M117" i="31"/>
  <c r="O117" i="31"/>
  <c r="M118" i="31"/>
  <c r="O118" i="31"/>
  <c r="M119" i="31"/>
  <c r="O119" i="31"/>
  <c r="M120" i="31"/>
  <c r="O120" i="31"/>
  <c r="M121" i="31"/>
  <c r="O121" i="31"/>
  <c r="M122" i="31"/>
  <c r="O122" i="31"/>
  <c r="M123" i="31"/>
  <c r="O123" i="31"/>
  <c r="M124" i="31"/>
  <c r="O124" i="31"/>
  <c r="M125" i="31"/>
  <c r="O125" i="31"/>
  <c r="M126" i="31"/>
  <c r="O126" i="31"/>
  <c r="M127" i="31"/>
  <c r="O127" i="31"/>
  <c r="M128" i="31"/>
  <c r="O128" i="31"/>
  <c r="M129" i="31"/>
  <c r="O129" i="31"/>
  <c r="M130" i="31"/>
  <c r="O130" i="31"/>
  <c r="M131" i="31"/>
  <c r="O131" i="31"/>
  <c r="M132" i="31"/>
  <c r="O132" i="31"/>
  <c r="M133" i="31"/>
  <c r="O133" i="31"/>
  <c r="M134" i="31"/>
  <c r="O134" i="31"/>
  <c r="M135" i="31"/>
  <c r="O135" i="31"/>
  <c r="M136" i="31"/>
  <c r="O136" i="31"/>
  <c r="M137" i="31"/>
  <c r="O137" i="31"/>
  <c r="M138" i="31"/>
  <c r="O138" i="31"/>
  <c r="M139" i="31"/>
  <c r="O139" i="31"/>
  <c r="M140" i="31"/>
  <c r="O140" i="31"/>
  <c r="M141" i="31"/>
  <c r="O141" i="31"/>
  <c r="M142" i="31"/>
  <c r="O142" i="31"/>
  <c r="M143" i="31"/>
  <c r="O143" i="31"/>
  <c r="M144" i="31"/>
  <c r="O144" i="31"/>
  <c r="M145" i="31"/>
  <c r="O145" i="31"/>
  <c r="M146" i="31"/>
  <c r="O146" i="31"/>
  <c r="M147" i="31"/>
  <c r="O147" i="31"/>
  <c r="M148" i="31"/>
  <c r="O148" i="31"/>
  <c r="M149" i="31"/>
  <c r="O149" i="31"/>
  <c r="M150" i="31"/>
  <c r="O150" i="31"/>
  <c r="M151" i="31"/>
  <c r="O151" i="31"/>
  <c r="M152" i="31"/>
  <c r="O152" i="31"/>
  <c r="M153" i="31"/>
  <c r="O153" i="31"/>
  <c r="M154" i="31"/>
  <c r="O154" i="31"/>
  <c r="O3" i="30"/>
  <c r="K11" i="30"/>
  <c r="I17" i="30"/>
  <c r="L17" i="30"/>
  <c r="N17" i="30"/>
  <c r="I18" i="30"/>
  <c r="L18" i="30"/>
  <c r="N18" i="30"/>
  <c r="I19" i="30"/>
  <c r="L19" i="30"/>
  <c r="N19" i="30"/>
  <c r="N29" i="30"/>
  <c r="O29" i="30" s="1"/>
  <c r="N30" i="30"/>
  <c r="N31" i="30"/>
  <c r="N33" i="30"/>
  <c r="L35" i="30"/>
  <c r="N35" i="30"/>
  <c r="L36" i="30"/>
  <c r="N36" i="30"/>
  <c r="L37" i="30"/>
  <c r="N37" i="30"/>
  <c r="L38" i="30"/>
  <c r="N38" i="30"/>
  <c r="L39" i="30"/>
  <c r="N39" i="30"/>
  <c r="L40" i="30"/>
  <c r="N40" i="30"/>
  <c r="L41" i="30"/>
  <c r="N41" i="30"/>
  <c r="L42" i="30"/>
  <c r="N42" i="30"/>
  <c r="L43" i="30"/>
  <c r="N43" i="30"/>
  <c r="L44" i="30"/>
  <c r="N44" i="30"/>
  <c r="L45" i="30"/>
  <c r="N45" i="30"/>
  <c r="L46" i="30"/>
  <c r="N46" i="30"/>
  <c r="L47" i="30"/>
  <c r="N47" i="30"/>
  <c r="L48" i="30"/>
  <c r="N48" i="30"/>
  <c r="L49" i="30"/>
  <c r="N49" i="30"/>
  <c r="L50" i="30"/>
  <c r="N50" i="30"/>
  <c r="L51" i="30"/>
  <c r="N51" i="30"/>
  <c r="L52" i="30"/>
  <c r="N52" i="30"/>
  <c r="L53" i="30"/>
  <c r="N53" i="30"/>
  <c r="L54" i="30"/>
  <c r="N54" i="30"/>
  <c r="L55" i="30"/>
  <c r="N55" i="30"/>
  <c r="L56" i="30"/>
  <c r="N56" i="30"/>
  <c r="L57" i="30"/>
  <c r="N57" i="30"/>
  <c r="L58" i="30"/>
  <c r="N58" i="30"/>
  <c r="L59" i="30"/>
  <c r="N59" i="30"/>
  <c r="L60" i="30"/>
  <c r="N60" i="30"/>
  <c r="L61" i="30"/>
  <c r="N61" i="30"/>
  <c r="L62" i="30"/>
  <c r="N62" i="30"/>
  <c r="L63" i="30"/>
  <c r="N63" i="30"/>
  <c r="L64" i="30"/>
  <c r="N64" i="30"/>
  <c r="L65" i="30"/>
  <c r="N65" i="30"/>
  <c r="L66" i="30"/>
  <c r="N66" i="30"/>
  <c r="L67" i="30"/>
  <c r="N67" i="30"/>
  <c r="L68" i="30"/>
  <c r="N68" i="30"/>
  <c r="L69" i="30"/>
  <c r="N69" i="30"/>
  <c r="L70" i="30"/>
  <c r="N70" i="30"/>
  <c r="L71" i="30"/>
  <c r="N71" i="30"/>
  <c r="L72" i="30"/>
  <c r="N72" i="30"/>
  <c r="D89" i="30"/>
  <c r="D91" i="30"/>
  <c r="J93" i="30"/>
  <c r="L93" i="30"/>
  <c r="D96" i="30"/>
  <c r="J99" i="30"/>
  <c r="M99" i="30"/>
  <c r="O99" i="30"/>
  <c r="J100" i="30"/>
  <c r="M100" i="30"/>
  <c r="O100" i="30"/>
  <c r="J101" i="30"/>
  <c r="J102" i="30"/>
  <c r="O111" i="30"/>
  <c r="O112" i="30"/>
  <c r="O113" i="30"/>
  <c r="M116" i="30"/>
  <c r="O116" i="30"/>
  <c r="M117" i="30"/>
  <c r="O117" i="30"/>
  <c r="M118" i="30"/>
  <c r="O118" i="30"/>
  <c r="M119" i="30"/>
  <c r="O119" i="30"/>
  <c r="M120" i="30"/>
  <c r="O120" i="30"/>
  <c r="M121" i="30"/>
  <c r="O121" i="30"/>
  <c r="M122" i="30"/>
  <c r="O122" i="30"/>
  <c r="M123" i="30"/>
  <c r="O123" i="30"/>
  <c r="M124" i="30"/>
  <c r="O124" i="30"/>
  <c r="M125" i="30"/>
  <c r="O125" i="30"/>
  <c r="M126" i="30"/>
  <c r="O126" i="30"/>
  <c r="M127" i="30"/>
  <c r="O127" i="30"/>
  <c r="M128" i="30"/>
  <c r="O128" i="30"/>
  <c r="M129" i="30"/>
  <c r="O129" i="30"/>
  <c r="M130" i="30"/>
  <c r="O130" i="30"/>
  <c r="M131" i="30"/>
  <c r="O131" i="30"/>
  <c r="M132" i="30"/>
  <c r="O132" i="30"/>
  <c r="M133" i="30"/>
  <c r="O133" i="30"/>
  <c r="M134" i="30"/>
  <c r="O134" i="30"/>
  <c r="M135" i="30"/>
  <c r="O135" i="30"/>
  <c r="M136" i="30"/>
  <c r="O136" i="30"/>
  <c r="M137" i="30"/>
  <c r="O137" i="30"/>
  <c r="M138" i="30"/>
  <c r="O138" i="30"/>
  <c r="M139" i="30"/>
  <c r="O139" i="30"/>
  <c r="M140" i="30"/>
  <c r="O140" i="30"/>
  <c r="M141" i="30"/>
  <c r="O141" i="30"/>
  <c r="M142" i="30"/>
  <c r="O142" i="30"/>
  <c r="M143" i="30"/>
  <c r="O143" i="30"/>
  <c r="M144" i="30"/>
  <c r="O144" i="30"/>
  <c r="M145" i="30"/>
  <c r="O145" i="30"/>
  <c r="M146" i="30"/>
  <c r="O146" i="30"/>
  <c r="M147" i="30"/>
  <c r="O147" i="30"/>
  <c r="M148" i="30"/>
  <c r="O148" i="30"/>
  <c r="M149" i="30"/>
  <c r="O149" i="30"/>
  <c r="M150" i="30"/>
  <c r="O150" i="30"/>
  <c r="M151" i="30"/>
  <c r="O151" i="30"/>
  <c r="M152" i="30"/>
  <c r="O152" i="30"/>
  <c r="M153" i="30"/>
  <c r="O153" i="30"/>
  <c r="M154" i="30"/>
  <c r="O154" i="30"/>
  <c r="O3" i="29"/>
  <c r="K11" i="29"/>
  <c r="I17" i="29"/>
  <c r="L17" i="29"/>
  <c r="N17" i="29"/>
  <c r="I18" i="29"/>
  <c r="L18" i="29"/>
  <c r="N18" i="29"/>
  <c r="I19" i="29"/>
  <c r="O29" i="29"/>
  <c r="N30" i="29"/>
  <c r="N31" i="29"/>
  <c r="N33" i="29"/>
  <c r="L35" i="29"/>
  <c r="N35" i="29"/>
  <c r="L36" i="29"/>
  <c r="N36" i="29"/>
  <c r="L37" i="29"/>
  <c r="N37" i="29"/>
  <c r="L38" i="29"/>
  <c r="N38" i="29"/>
  <c r="L39" i="29"/>
  <c r="N39" i="29"/>
  <c r="L40" i="29"/>
  <c r="N40" i="29"/>
  <c r="L41" i="29"/>
  <c r="N41" i="29"/>
  <c r="L42" i="29"/>
  <c r="N42" i="29"/>
  <c r="L43" i="29"/>
  <c r="N43" i="29"/>
  <c r="L44" i="29"/>
  <c r="N44" i="29"/>
  <c r="L45" i="29"/>
  <c r="N45" i="29"/>
  <c r="L46" i="29"/>
  <c r="N46" i="29"/>
  <c r="L47" i="29"/>
  <c r="N47" i="29"/>
  <c r="L48" i="29"/>
  <c r="N48" i="29"/>
  <c r="L49" i="29"/>
  <c r="N49" i="29"/>
  <c r="L50" i="29"/>
  <c r="N50" i="29"/>
  <c r="L51" i="29"/>
  <c r="N51" i="29"/>
  <c r="L52" i="29"/>
  <c r="N52" i="29"/>
  <c r="L53" i="29"/>
  <c r="N53" i="29"/>
  <c r="L54" i="29"/>
  <c r="N54" i="29"/>
  <c r="L55" i="29"/>
  <c r="N55" i="29"/>
  <c r="L56" i="29"/>
  <c r="N56" i="29"/>
  <c r="L57" i="29"/>
  <c r="N57" i="29"/>
  <c r="L58" i="29"/>
  <c r="N58" i="29"/>
  <c r="L59" i="29"/>
  <c r="N59" i="29"/>
  <c r="L60" i="29"/>
  <c r="N60" i="29"/>
  <c r="L61" i="29"/>
  <c r="N61" i="29"/>
  <c r="L62" i="29"/>
  <c r="N62" i="29"/>
  <c r="L63" i="29"/>
  <c r="N63" i="29"/>
  <c r="L64" i="29"/>
  <c r="N64" i="29"/>
  <c r="L65" i="29"/>
  <c r="N65" i="29"/>
  <c r="L66" i="29"/>
  <c r="N66" i="29"/>
  <c r="L67" i="29"/>
  <c r="N67" i="29"/>
  <c r="L68" i="29"/>
  <c r="N68" i="29"/>
  <c r="L69" i="29"/>
  <c r="N69" i="29"/>
  <c r="L70" i="29"/>
  <c r="N70" i="29"/>
  <c r="L71" i="29"/>
  <c r="N71" i="29"/>
  <c r="L72" i="29"/>
  <c r="N72" i="29"/>
  <c r="D89" i="29"/>
  <c r="D91" i="29"/>
  <c r="J93" i="29"/>
  <c r="L93" i="29"/>
  <c r="D96" i="29"/>
  <c r="J99" i="29"/>
  <c r="M99" i="29"/>
  <c r="O99" i="29"/>
  <c r="J100" i="29"/>
  <c r="M100" i="29"/>
  <c r="O100" i="29"/>
  <c r="J101" i="29"/>
  <c r="J102" i="29"/>
  <c r="O111" i="29"/>
  <c r="O112" i="29"/>
  <c r="O113" i="29"/>
  <c r="M116" i="29"/>
  <c r="O116" i="29"/>
  <c r="M117" i="29"/>
  <c r="O117" i="29"/>
  <c r="M118" i="29"/>
  <c r="O118" i="29"/>
  <c r="M119" i="29"/>
  <c r="O119" i="29"/>
  <c r="M120" i="29"/>
  <c r="O120" i="29"/>
  <c r="M121" i="29"/>
  <c r="O121" i="29"/>
  <c r="M122" i="29"/>
  <c r="O122" i="29"/>
  <c r="M123" i="29"/>
  <c r="O123" i="29"/>
  <c r="M124" i="29"/>
  <c r="O124" i="29"/>
  <c r="M125" i="29"/>
  <c r="O125" i="29"/>
  <c r="M126" i="29"/>
  <c r="O126" i="29"/>
  <c r="M127" i="29"/>
  <c r="O127" i="29"/>
  <c r="M128" i="29"/>
  <c r="O128" i="29"/>
  <c r="M129" i="29"/>
  <c r="O129" i="29"/>
  <c r="M130" i="29"/>
  <c r="O130" i="29"/>
  <c r="M131" i="29"/>
  <c r="O131" i="29"/>
  <c r="M132" i="29"/>
  <c r="O132" i="29"/>
  <c r="M133" i="29"/>
  <c r="O133" i="29"/>
  <c r="M134" i="29"/>
  <c r="O134" i="29"/>
  <c r="M135" i="29"/>
  <c r="O135" i="29"/>
  <c r="M136" i="29"/>
  <c r="O136" i="29"/>
  <c r="M137" i="29"/>
  <c r="O137" i="29"/>
  <c r="M138" i="29"/>
  <c r="O138" i="29"/>
  <c r="M139" i="29"/>
  <c r="O139" i="29"/>
  <c r="M140" i="29"/>
  <c r="O140" i="29"/>
  <c r="M141" i="29"/>
  <c r="O141" i="29"/>
  <c r="M142" i="29"/>
  <c r="O142" i="29"/>
  <c r="M143" i="29"/>
  <c r="O143" i="29"/>
  <c r="M144" i="29"/>
  <c r="O144" i="29"/>
  <c r="M145" i="29"/>
  <c r="O145" i="29"/>
  <c r="M146" i="29"/>
  <c r="O146" i="29"/>
  <c r="M147" i="29"/>
  <c r="O147" i="29"/>
  <c r="M148" i="29"/>
  <c r="O148" i="29"/>
  <c r="M149" i="29"/>
  <c r="O149" i="29"/>
  <c r="M150" i="29"/>
  <c r="O150" i="29"/>
  <c r="M151" i="29"/>
  <c r="O151" i="29"/>
  <c r="M152" i="29"/>
  <c r="O152" i="29"/>
  <c r="M153" i="29"/>
  <c r="O153" i="29"/>
  <c r="M154" i="29"/>
  <c r="O154" i="29"/>
  <c r="O3" i="28"/>
  <c r="K11" i="28"/>
  <c r="I17" i="28"/>
  <c r="L17" i="28"/>
  <c r="N17" i="28"/>
  <c r="I18" i="28"/>
  <c r="L18" i="28"/>
  <c r="N18" i="28"/>
  <c r="I19" i="28"/>
  <c r="L19" i="28"/>
  <c r="I20" i="28"/>
  <c r="L20" i="28"/>
  <c r="N20" i="28"/>
  <c r="N30" i="28"/>
  <c r="N31" i="28"/>
  <c r="N32" i="28"/>
  <c r="N34" i="28"/>
  <c r="L36" i="28"/>
  <c r="N36" i="28"/>
  <c r="L37" i="28"/>
  <c r="N37" i="28"/>
  <c r="L38" i="28"/>
  <c r="N38" i="28"/>
  <c r="L39" i="28"/>
  <c r="N39" i="28"/>
  <c r="L40" i="28"/>
  <c r="N40" i="28"/>
  <c r="L41" i="28"/>
  <c r="N41" i="28"/>
  <c r="L42" i="28"/>
  <c r="N42" i="28"/>
  <c r="L43" i="28"/>
  <c r="N43" i="28"/>
  <c r="L44" i="28"/>
  <c r="N44" i="28"/>
  <c r="L45" i="28"/>
  <c r="N45" i="28"/>
  <c r="L46" i="28"/>
  <c r="N46" i="28"/>
  <c r="L47" i="28"/>
  <c r="N47" i="28"/>
  <c r="L48" i="28"/>
  <c r="N48" i="28"/>
  <c r="L49" i="28"/>
  <c r="N49" i="28"/>
  <c r="L50" i="28"/>
  <c r="N50" i="28"/>
  <c r="L51" i="28"/>
  <c r="N51" i="28"/>
  <c r="L52" i="28"/>
  <c r="N52" i="28"/>
  <c r="L53" i="28"/>
  <c r="N53" i="28"/>
  <c r="L54" i="28"/>
  <c r="N54" i="28"/>
  <c r="L55" i="28"/>
  <c r="N55" i="28"/>
  <c r="L56" i="28"/>
  <c r="N56" i="28"/>
  <c r="L57" i="28"/>
  <c r="N57" i="28"/>
  <c r="L58" i="28"/>
  <c r="N58" i="28"/>
  <c r="L59" i="28"/>
  <c r="N59" i="28"/>
  <c r="L60" i="28"/>
  <c r="N60" i="28"/>
  <c r="L61" i="28"/>
  <c r="N61" i="28"/>
  <c r="L62" i="28"/>
  <c r="N62" i="28"/>
  <c r="L63" i="28"/>
  <c r="N63" i="28"/>
  <c r="L64" i="28"/>
  <c r="N64" i="28"/>
  <c r="L65" i="28"/>
  <c r="N65" i="28"/>
  <c r="L66" i="28"/>
  <c r="N66" i="28"/>
  <c r="L67" i="28"/>
  <c r="N67" i="28"/>
  <c r="L68" i="28"/>
  <c r="N68" i="28"/>
  <c r="L69" i="28"/>
  <c r="N69" i="28"/>
  <c r="L70" i="28"/>
  <c r="N70" i="28"/>
  <c r="L71" i="28"/>
  <c r="N71" i="28"/>
  <c r="L72" i="28"/>
  <c r="N72" i="28"/>
  <c r="D89" i="28"/>
  <c r="D91" i="28"/>
  <c r="J93" i="28"/>
  <c r="L93" i="28"/>
  <c r="D96" i="28"/>
  <c r="J99" i="28"/>
  <c r="J100" i="28"/>
  <c r="J101" i="28"/>
  <c r="J102" i="28"/>
  <c r="J103" i="28"/>
  <c r="O112" i="28"/>
  <c r="O113" i="28"/>
  <c r="O114" i="28"/>
  <c r="M117" i="28"/>
  <c r="O117" i="28"/>
  <c r="M118" i="28"/>
  <c r="O118" i="28"/>
  <c r="M119" i="28"/>
  <c r="O119" i="28"/>
  <c r="M120" i="28"/>
  <c r="O120" i="28"/>
  <c r="M121" i="28"/>
  <c r="O121" i="28"/>
  <c r="M122" i="28"/>
  <c r="O122" i="28"/>
  <c r="M123" i="28"/>
  <c r="O123" i="28"/>
  <c r="M124" i="28"/>
  <c r="O124" i="28"/>
  <c r="M125" i="28"/>
  <c r="O125" i="28"/>
  <c r="M126" i="28"/>
  <c r="O126" i="28"/>
  <c r="M127" i="28"/>
  <c r="O127" i="28"/>
  <c r="M128" i="28"/>
  <c r="O128" i="28"/>
  <c r="M129" i="28"/>
  <c r="O129" i="28"/>
  <c r="M130" i="28"/>
  <c r="O130" i="28"/>
  <c r="M131" i="28"/>
  <c r="O131" i="28"/>
  <c r="M132" i="28"/>
  <c r="O132" i="28"/>
  <c r="M133" i="28"/>
  <c r="O133" i="28"/>
  <c r="M134" i="28"/>
  <c r="O134" i="28"/>
  <c r="M135" i="28"/>
  <c r="O135" i="28"/>
  <c r="M136" i="28"/>
  <c r="O136" i="28"/>
  <c r="M137" i="28"/>
  <c r="O137" i="28"/>
  <c r="M138" i="28"/>
  <c r="O138" i="28"/>
  <c r="M139" i="28"/>
  <c r="O139" i="28"/>
  <c r="M140" i="28"/>
  <c r="O140" i="28"/>
  <c r="M141" i="28"/>
  <c r="O141" i="28"/>
  <c r="M142" i="28"/>
  <c r="O142" i="28"/>
  <c r="M143" i="28"/>
  <c r="O143" i="28"/>
  <c r="M144" i="28"/>
  <c r="O144" i="28"/>
  <c r="M145" i="28"/>
  <c r="O145" i="28"/>
  <c r="M146" i="28"/>
  <c r="O146" i="28"/>
  <c r="M147" i="28"/>
  <c r="O147" i="28"/>
  <c r="M148" i="28"/>
  <c r="O148" i="28"/>
  <c r="M149" i="28"/>
  <c r="O149" i="28"/>
  <c r="M150" i="28"/>
  <c r="O150" i="28"/>
  <c r="M151" i="28"/>
  <c r="O151" i="28"/>
  <c r="M152" i="28"/>
  <c r="O152" i="28"/>
  <c r="M153" i="28"/>
  <c r="O153" i="28"/>
  <c r="M154" i="28"/>
  <c r="O154" i="28"/>
  <c r="O3" i="27"/>
  <c r="K11" i="27"/>
  <c r="I17" i="27"/>
  <c r="L17" i="27"/>
  <c r="N17" i="27"/>
  <c r="I18" i="27"/>
  <c r="L18" i="27"/>
  <c r="N18" i="27"/>
  <c r="I19" i="27"/>
  <c r="L19" i="27"/>
  <c r="N19" i="27"/>
  <c r="N29" i="27"/>
  <c r="N30" i="27"/>
  <c r="N31" i="27"/>
  <c r="N32" i="27"/>
  <c r="N33" i="27"/>
  <c r="L35" i="27"/>
  <c r="N35" i="27"/>
  <c r="L36" i="27"/>
  <c r="N36" i="27"/>
  <c r="L37" i="27"/>
  <c r="N37" i="27"/>
  <c r="L38" i="27"/>
  <c r="N38" i="27"/>
  <c r="L39" i="27"/>
  <c r="N39" i="27"/>
  <c r="L40" i="27"/>
  <c r="N40" i="27"/>
  <c r="L41" i="27"/>
  <c r="N41" i="27"/>
  <c r="L42" i="27"/>
  <c r="N42" i="27"/>
  <c r="L43" i="27"/>
  <c r="N43" i="27"/>
  <c r="L44" i="27"/>
  <c r="N44" i="27"/>
  <c r="L45" i="27"/>
  <c r="N45" i="27"/>
  <c r="L46" i="27"/>
  <c r="N46" i="27"/>
  <c r="L47" i="27"/>
  <c r="N47" i="27"/>
  <c r="L48" i="27"/>
  <c r="N48" i="27"/>
  <c r="L49" i="27"/>
  <c r="N49" i="27"/>
  <c r="L50" i="27"/>
  <c r="N50" i="27"/>
  <c r="L51" i="27"/>
  <c r="N51" i="27"/>
  <c r="L52" i="27"/>
  <c r="N52" i="27"/>
  <c r="L53" i="27"/>
  <c r="N53" i="27"/>
  <c r="L54" i="27"/>
  <c r="N54" i="27"/>
  <c r="L55" i="27"/>
  <c r="N55" i="27"/>
  <c r="L56" i="27"/>
  <c r="N56" i="27"/>
  <c r="L57" i="27"/>
  <c r="N57" i="27"/>
  <c r="L58" i="27"/>
  <c r="N58" i="27"/>
  <c r="L59" i="27"/>
  <c r="N59" i="27"/>
  <c r="L60" i="27"/>
  <c r="N60" i="27"/>
  <c r="L61" i="27"/>
  <c r="N61" i="27"/>
  <c r="L62" i="27"/>
  <c r="N62" i="27"/>
  <c r="L63" i="27"/>
  <c r="N63" i="27"/>
  <c r="L64" i="27"/>
  <c r="N64" i="27"/>
  <c r="L65" i="27"/>
  <c r="N65" i="27"/>
  <c r="L66" i="27"/>
  <c r="N66" i="27"/>
  <c r="L67" i="27"/>
  <c r="N67" i="27"/>
  <c r="L68" i="27"/>
  <c r="N68" i="27"/>
  <c r="L69" i="27"/>
  <c r="N69" i="27"/>
  <c r="L70" i="27"/>
  <c r="N70" i="27"/>
  <c r="L71" i="27"/>
  <c r="N71" i="27"/>
  <c r="L72" i="27"/>
  <c r="N72" i="27"/>
  <c r="D89" i="27"/>
  <c r="D91" i="27"/>
  <c r="J93" i="27"/>
  <c r="L93" i="27"/>
  <c r="D96" i="27"/>
  <c r="J99" i="27"/>
  <c r="M99" i="27"/>
  <c r="O99" i="27"/>
  <c r="J100" i="27"/>
  <c r="M100" i="27"/>
  <c r="O100" i="27"/>
  <c r="J101" i="27"/>
  <c r="J102" i="27"/>
  <c r="O111" i="27"/>
  <c r="O112" i="27"/>
  <c r="O113" i="27"/>
  <c r="M116" i="27"/>
  <c r="O116" i="27"/>
  <c r="M117" i="27"/>
  <c r="O117" i="27"/>
  <c r="M118" i="27"/>
  <c r="O118" i="27"/>
  <c r="M119" i="27"/>
  <c r="O119" i="27"/>
  <c r="M120" i="27"/>
  <c r="O120" i="27"/>
  <c r="M121" i="27"/>
  <c r="O121" i="27"/>
  <c r="M122" i="27"/>
  <c r="O122" i="27"/>
  <c r="M123" i="27"/>
  <c r="O123" i="27"/>
  <c r="M124" i="27"/>
  <c r="O124" i="27"/>
  <c r="M125" i="27"/>
  <c r="O125" i="27"/>
  <c r="M126" i="27"/>
  <c r="O126" i="27"/>
  <c r="M127" i="27"/>
  <c r="O127" i="27"/>
  <c r="M128" i="27"/>
  <c r="O128" i="27"/>
  <c r="M129" i="27"/>
  <c r="O129" i="27"/>
  <c r="M130" i="27"/>
  <c r="O130" i="27"/>
  <c r="M131" i="27"/>
  <c r="O131" i="27"/>
  <c r="M132" i="27"/>
  <c r="O132" i="27"/>
  <c r="M133" i="27"/>
  <c r="O133" i="27"/>
  <c r="M134" i="27"/>
  <c r="O134" i="27"/>
  <c r="M135" i="27"/>
  <c r="O135" i="27"/>
  <c r="M136" i="27"/>
  <c r="O136" i="27"/>
  <c r="M137" i="27"/>
  <c r="O137" i="27"/>
  <c r="M138" i="27"/>
  <c r="O138" i="27"/>
  <c r="M139" i="27"/>
  <c r="O139" i="27"/>
  <c r="M140" i="27"/>
  <c r="O140" i="27"/>
  <c r="M141" i="27"/>
  <c r="O141" i="27"/>
  <c r="M142" i="27"/>
  <c r="O142" i="27"/>
  <c r="M143" i="27"/>
  <c r="O143" i="27"/>
  <c r="M144" i="27"/>
  <c r="O144" i="27"/>
  <c r="M145" i="27"/>
  <c r="O145" i="27"/>
  <c r="M146" i="27"/>
  <c r="O146" i="27"/>
  <c r="M147" i="27"/>
  <c r="O147" i="27"/>
  <c r="M148" i="27"/>
  <c r="O148" i="27"/>
  <c r="M149" i="27"/>
  <c r="O149" i="27"/>
  <c r="M150" i="27"/>
  <c r="O150" i="27"/>
  <c r="M151" i="27"/>
  <c r="O151" i="27"/>
  <c r="M152" i="27"/>
  <c r="O152" i="27"/>
  <c r="M153" i="27"/>
  <c r="O153" i="27"/>
  <c r="M154" i="27"/>
  <c r="O154" i="27"/>
  <c r="O3" i="26"/>
  <c r="K11" i="26"/>
  <c r="L18" i="26"/>
  <c r="N18" i="26"/>
  <c r="L19" i="26"/>
  <c r="N19" i="26"/>
  <c r="L20" i="26"/>
  <c r="N20" i="26"/>
  <c r="L21" i="26"/>
  <c r="N21" i="26"/>
  <c r="L22" i="26"/>
  <c r="N22" i="26"/>
  <c r="L23" i="26"/>
  <c r="N23" i="26"/>
  <c r="L24" i="26"/>
  <c r="N24" i="26"/>
  <c r="L25" i="26"/>
  <c r="N25" i="26"/>
  <c r="L26" i="26"/>
  <c r="N26" i="26"/>
  <c r="L27" i="26"/>
  <c r="N27" i="26"/>
  <c r="L28" i="26"/>
  <c r="N28" i="26"/>
  <c r="L29" i="26"/>
  <c r="N29" i="26"/>
  <c r="L30" i="26"/>
  <c r="N30" i="26"/>
  <c r="L31" i="26"/>
  <c r="N31" i="26"/>
  <c r="L32" i="26"/>
  <c r="N32" i="26"/>
  <c r="L33" i="26"/>
  <c r="N33" i="26"/>
  <c r="L34" i="26"/>
  <c r="N34" i="26"/>
  <c r="L35" i="26"/>
  <c r="N35" i="26"/>
  <c r="L36" i="26"/>
  <c r="N36" i="26"/>
  <c r="L37" i="26"/>
  <c r="N37" i="26"/>
  <c r="L38" i="26"/>
  <c r="N38" i="26"/>
  <c r="L39" i="26"/>
  <c r="N39" i="26"/>
  <c r="L40" i="26"/>
  <c r="N40" i="26"/>
  <c r="L41" i="26"/>
  <c r="N41" i="26"/>
  <c r="L42" i="26"/>
  <c r="N42" i="26"/>
  <c r="L43" i="26"/>
  <c r="N43" i="26"/>
  <c r="L44" i="26"/>
  <c r="N44" i="26"/>
  <c r="L45" i="26"/>
  <c r="N45" i="26"/>
  <c r="L46" i="26"/>
  <c r="N46" i="26"/>
  <c r="L47" i="26"/>
  <c r="N47" i="26"/>
  <c r="L48" i="26"/>
  <c r="N48" i="26"/>
  <c r="L49" i="26"/>
  <c r="N49" i="26"/>
  <c r="L50" i="26"/>
  <c r="N50" i="26"/>
  <c r="L51" i="26"/>
  <c r="N51" i="26"/>
  <c r="L52" i="26"/>
  <c r="N52" i="26"/>
  <c r="L53" i="26"/>
  <c r="N53" i="26"/>
  <c r="L54" i="26"/>
  <c r="N54" i="26"/>
  <c r="L55" i="26"/>
  <c r="N55" i="26"/>
  <c r="L56" i="26"/>
  <c r="N56" i="26"/>
  <c r="L57" i="26"/>
  <c r="N57" i="26"/>
  <c r="L58" i="26"/>
  <c r="N58" i="26"/>
  <c r="L59" i="26"/>
  <c r="N59" i="26"/>
  <c r="L60" i="26"/>
  <c r="N60" i="26"/>
  <c r="L61" i="26"/>
  <c r="N61" i="26"/>
  <c r="L62" i="26"/>
  <c r="N62" i="26"/>
  <c r="L63" i="26"/>
  <c r="N63" i="26"/>
  <c r="L64" i="26"/>
  <c r="N64" i="26"/>
  <c r="L65" i="26"/>
  <c r="N65" i="26"/>
  <c r="L66" i="26"/>
  <c r="N66" i="26"/>
  <c r="L67" i="26"/>
  <c r="N67" i="26"/>
  <c r="L68" i="26"/>
  <c r="N68" i="26"/>
  <c r="L69" i="26"/>
  <c r="N69" i="26"/>
  <c r="L70" i="26"/>
  <c r="N70" i="26"/>
  <c r="L71" i="26"/>
  <c r="N71" i="26"/>
  <c r="L72" i="26"/>
  <c r="N72" i="26"/>
  <c r="D89" i="26"/>
  <c r="D91" i="26"/>
  <c r="J93" i="26"/>
  <c r="L93" i="26"/>
  <c r="D96" i="26"/>
  <c r="M100" i="26"/>
  <c r="O100" i="26"/>
  <c r="M101" i="26"/>
  <c r="O101" i="26"/>
  <c r="M102" i="26"/>
  <c r="O102" i="26"/>
  <c r="M103" i="26"/>
  <c r="O103" i="26"/>
  <c r="M104" i="26"/>
  <c r="O104" i="26"/>
  <c r="M105" i="26"/>
  <c r="O105" i="26"/>
  <c r="M106" i="26"/>
  <c r="O106" i="26"/>
  <c r="M107" i="26"/>
  <c r="O107" i="26"/>
  <c r="M108" i="26"/>
  <c r="O108" i="26"/>
  <c r="M109" i="26"/>
  <c r="O109" i="26"/>
  <c r="M110" i="26"/>
  <c r="O110" i="26"/>
  <c r="M111" i="26"/>
  <c r="O111" i="26"/>
  <c r="M112" i="26"/>
  <c r="O112" i="26"/>
  <c r="M113" i="26"/>
  <c r="O113" i="26"/>
  <c r="M114" i="26"/>
  <c r="O114" i="26"/>
  <c r="M115" i="26"/>
  <c r="O115" i="26"/>
  <c r="M116" i="26"/>
  <c r="O116" i="26"/>
  <c r="M117" i="26"/>
  <c r="O117" i="26"/>
  <c r="M118" i="26"/>
  <c r="O118" i="26"/>
  <c r="M119" i="26"/>
  <c r="O119" i="26"/>
  <c r="M120" i="26"/>
  <c r="O120" i="26"/>
  <c r="M121" i="26"/>
  <c r="O121" i="26"/>
  <c r="M122" i="26"/>
  <c r="O122" i="26"/>
  <c r="M123" i="26"/>
  <c r="O123" i="26"/>
  <c r="M124" i="26"/>
  <c r="O124" i="26"/>
  <c r="M125" i="26"/>
  <c r="O125" i="26"/>
  <c r="M126" i="26"/>
  <c r="O126" i="26"/>
  <c r="M127" i="26"/>
  <c r="O127" i="26"/>
  <c r="M128" i="26"/>
  <c r="O128" i="26"/>
  <c r="M129" i="26"/>
  <c r="O129" i="26"/>
  <c r="M130" i="26"/>
  <c r="O130" i="26"/>
  <c r="M131" i="26"/>
  <c r="O131" i="26"/>
  <c r="M132" i="26"/>
  <c r="O132" i="26"/>
  <c r="M133" i="26"/>
  <c r="O133" i="26"/>
  <c r="M134" i="26"/>
  <c r="O134" i="26"/>
  <c r="M135" i="26"/>
  <c r="O135" i="26"/>
  <c r="M136" i="26"/>
  <c r="O136" i="26"/>
  <c r="M137" i="26"/>
  <c r="O137" i="26"/>
  <c r="M138" i="26"/>
  <c r="O138" i="26"/>
  <c r="M139" i="26"/>
  <c r="O139" i="26"/>
  <c r="M140" i="26"/>
  <c r="O140" i="26"/>
  <c r="M141" i="26"/>
  <c r="O141" i="26"/>
  <c r="M142" i="26"/>
  <c r="O142" i="26"/>
  <c r="M143" i="26"/>
  <c r="O143" i="26"/>
  <c r="M144" i="26"/>
  <c r="O144" i="26"/>
  <c r="M145" i="26"/>
  <c r="O145" i="26"/>
  <c r="M146" i="26"/>
  <c r="O146" i="26"/>
  <c r="M147" i="26"/>
  <c r="O147" i="26"/>
  <c r="M148" i="26"/>
  <c r="O148" i="26"/>
  <c r="M149" i="26"/>
  <c r="O149" i="26"/>
  <c r="M150" i="26"/>
  <c r="O150" i="26"/>
  <c r="M151" i="26"/>
  <c r="O151" i="26"/>
  <c r="M152" i="26"/>
  <c r="O152" i="26"/>
  <c r="M153" i="26"/>
  <c r="O153" i="26"/>
  <c r="M154" i="26"/>
  <c r="O154" i="26"/>
  <c r="O3" i="25"/>
  <c r="K11" i="25"/>
  <c r="N17" i="25"/>
  <c r="L18" i="25"/>
  <c r="N18" i="25"/>
  <c r="L19" i="25"/>
  <c r="N19" i="25"/>
  <c r="L20" i="25"/>
  <c r="N20" i="25"/>
  <c r="L21" i="25"/>
  <c r="N21" i="25"/>
  <c r="L22" i="25"/>
  <c r="N22" i="25"/>
  <c r="L23" i="25"/>
  <c r="N23" i="25"/>
  <c r="L24" i="25"/>
  <c r="N24" i="25"/>
  <c r="L25" i="25"/>
  <c r="N25" i="25"/>
  <c r="L26" i="25"/>
  <c r="N26" i="25"/>
  <c r="L27" i="25"/>
  <c r="N27" i="25"/>
  <c r="L28" i="25"/>
  <c r="N28" i="25"/>
  <c r="L29" i="25"/>
  <c r="N29" i="25"/>
  <c r="L30" i="25"/>
  <c r="N30" i="25"/>
  <c r="L31" i="25"/>
  <c r="N31" i="25"/>
  <c r="L32" i="25"/>
  <c r="N32" i="25"/>
  <c r="L33" i="25"/>
  <c r="N33" i="25"/>
  <c r="L34" i="25"/>
  <c r="N34" i="25"/>
  <c r="L35" i="25"/>
  <c r="N35" i="25"/>
  <c r="L36" i="25"/>
  <c r="N36" i="25"/>
  <c r="L37" i="25"/>
  <c r="N37" i="25"/>
  <c r="L38" i="25"/>
  <c r="N38" i="25"/>
  <c r="L39" i="25"/>
  <c r="N39" i="25"/>
  <c r="L40" i="25"/>
  <c r="N40" i="25"/>
  <c r="L41" i="25"/>
  <c r="N41" i="25"/>
  <c r="L42" i="25"/>
  <c r="N42" i="25"/>
  <c r="L43" i="25"/>
  <c r="N43" i="25"/>
  <c r="L44" i="25"/>
  <c r="N44" i="25"/>
  <c r="L45" i="25"/>
  <c r="N45" i="25"/>
  <c r="L46" i="25"/>
  <c r="N46" i="25"/>
  <c r="L47" i="25"/>
  <c r="N47" i="25"/>
  <c r="L48" i="25"/>
  <c r="N48" i="25"/>
  <c r="L49" i="25"/>
  <c r="N49" i="25"/>
  <c r="L50" i="25"/>
  <c r="N50" i="25"/>
  <c r="L51" i="25"/>
  <c r="N51" i="25"/>
  <c r="L52" i="25"/>
  <c r="N52" i="25"/>
  <c r="L53" i="25"/>
  <c r="N53" i="25"/>
  <c r="L54" i="25"/>
  <c r="N54" i="25"/>
  <c r="L55" i="25"/>
  <c r="N55" i="25"/>
  <c r="L56" i="25"/>
  <c r="N56" i="25"/>
  <c r="L57" i="25"/>
  <c r="N57" i="25"/>
  <c r="L58" i="25"/>
  <c r="N58" i="25"/>
  <c r="L59" i="25"/>
  <c r="N59" i="25"/>
  <c r="L60" i="25"/>
  <c r="N60" i="25"/>
  <c r="L61" i="25"/>
  <c r="N61" i="25"/>
  <c r="L62" i="25"/>
  <c r="N62" i="25"/>
  <c r="L63" i="25"/>
  <c r="N63" i="25"/>
  <c r="L64" i="25"/>
  <c r="N64" i="25"/>
  <c r="L65" i="25"/>
  <c r="N65" i="25"/>
  <c r="L66" i="25"/>
  <c r="N66" i="25"/>
  <c r="L67" i="25"/>
  <c r="N67" i="25"/>
  <c r="L68" i="25"/>
  <c r="N68" i="25"/>
  <c r="L69" i="25"/>
  <c r="N69" i="25"/>
  <c r="L70" i="25"/>
  <c r="N70" i="25"/>
  <c r="L71" i="25"/>
  <c r="N71" i="25"/>
  <c r="L72" i="25"/>
  <c r="N72" i="25"/>
  <c r="D89" i="25"/>
  <c r="D91" i="25"/>
  <c r="J93" i="25"/>
  <c r="L93" i="25"/>
  <c r="D96" i="25"/>
  <c r="M99" i="25"/>
  <c r="O99" i="25"/>
  <c r="M100" i="25"/>
  <c r="O100" i="25"/>
  <c r="M101" i="25"/>
  <c r="O101" i="25"/>
  <c r="M102" i="25"/>
  <c r="O102" i="25"/>
  <c r="M103" i="25"/>
  <c r="O103" i="25"/>
  <c r="M104" i="25"/>
  <c r="O104" i="25"/>
  <c r="M105" i="25"/>
  <c r="O105" i="25"/>
  <c r="M106" i="25"/>
  <c r="O106" i="25"/>
  <c r="M107" i="25"/>
  <c r="O107" i="25"/>
  <c r="M108" i="25"/>
  <c r="O108" i="25"/>
  <c r="M109" i="25"/>
  <c r="O109" i="25"/>
  <c r="M110" i="25"/>
  <c r="O110" i="25"/>
  <c r="M111" i="25"/>
  <c r="O111" i="25"/>
  <c r="M112" i="25"/>
  <c r="O112" i="25"/>
  <c r="M113" i="25"/>
  <c r="O113" i="25"/>
  <c r="M114" i="25"/>
  <c r="O114" i="25"/>
  <c r="M115" i="25"/>
  <c r="O115" i="25"/>
  <c r="M116" i="25"/>
  <c r="O116" i="25"/>
  <c r="M117" i="25"/>
  <c r="O117" i="25"/>
  <c r="M118" i="25"/>
  <c r="O118" i="25"/>
  <c r="M119" i="25"/>
  <c r="O119" i="25"/>
  <c r="M120" i="25"/>
  <c r="O120" i="25"/>
  <c r="M121" i="25"/>
  <c r="O121" i="25"/>
  <c r="M122" i="25"/>
  <c r="O122" i="25"/>
  <c r="M123" i="25"/>
  <c r="O123" i="25"/>
  <c r="M124" i="25"/>
  <c r="O124" i="25"/>
  <c r="M125" i="25"/>
  <c r="O125" i="25"/>
  <c r="M126" i="25"/>
  <c r="O126" i="25"/>
  <c r="M127" i="25"/>
  <c r="O127" i="25"/>
  <c r="M128" i="25"/>
  <c r="O128" i="25"/>
  <c r="M129" i="25"/>
  <c r="O129" i="25"/>
  <c r="M130" i="25"/>
  <c r="O130" i="25"/>
  <c r="M131" i="25"/>
  <c r="O131" i="25"/>
  <c r="M132" i="25"/>
  <c r="O132" i="25"/>
  <c r="M133" i="25"/>
  <c r="O133" i="25"/>
  <c r="M134" i="25"/>
  <c r="O134" i="25"/>
  <c r="M135" i="25"/>
  <c r="O135" i="25"/>
  <c r="M136" i="25"/>
  <c r="O136" i="25"/>
  <c r="M137" i="25"/>
  <c r="O137" i="25"/>
  <c r="M138" i="25"/>
  <c r="O138" i="25"/>
  <c r="M139" i="25"/>
  <c r="O139" i="25"/>
  <c r="M140" i="25"/>
  <c r="O140" i="25"/>
  <c r="M141" i="25"/>
  <c r="O141" i="25"/>
  <c r="M142" i="25"/>
  <c r="O142" i="25"/>
  <c r="M143" i="25"/>
  <c r="O143" i="25"/>
  <c r="M144" i="25"/>
  <c r="O144" i="25"/>
  <c r="M145" i="25"/>
  <c r="O145" i="25"/>
  <c r="M146" i="25"/>
  <c r="O146" i="25"/>
  <c r="M147" i="25"/>
  <c r="O147" i="25"/>
  <c r="M148" i="25"/>
  <c r="O148" i="25"/>
  <c r="M149" i="25"/>
  <c r="O149" i="25"/>
  <c r="M150" i="25"/>
  <c r="O150" i="25"/>
  <c r="M151" i="25"/>
  <c r="O151" i="25"/>
  <c r="M152" i="25"/>
  <c r="O152" i="25"/>
  <c r="M153" i="25"/>
  <c r="O153" i="25"/>
  <c r="M154" i="25"/>
  <c r="O154" i="25"/>
  <c r="O3" i="24"/>
  <c r="K11" i="24"/>
  <c r="I17" i="24"/>
  <c r="L17" i="24"/>
  <c r="I18" i="24"/>
  <c r="L18" i="24"/>
  <c r="N18" i="24"/>
  <c r="N28" i="24"/>
  <c r="O28" i="24" s="1"/>
  <c r="N29" i="24"/>
  <c r="N30" i="24"/>
  <c r="N31" i="24"/>
  <c r="N32" i="24"/>
  <c r="L34" i="24"/>
  <c r="N34" i="24"/>
  <c r="L35" i="24"/>
  <c r="N35" i="24"/>
  <c r="L36" i="24"/>
  <c r="N36" i="24"/>
  <c r="L37" i="24"/>
  <c r="N37" i="24"/>
  <c r="L38" i="24"/>
  <c r="N38" i="24"/>
  <c r="L39" i="24"/>
  <c r="N39" i="24"/>
  <c r="L40" i="24"/>
  <c r="N40" i="24"/>
  <c r="L41" i="24"/>
  <c r="N41" i="24"/>
  <c r="L42" i="24"/>
  <c r="N42" i="24"/>
  <c r="L43" i="24"/>
  <c r="N43" i="24"/>
  <c r="L44" i="24"/>
  <c r="N44" i="24"/>
  <c r="L45" i="24"/>
  <c r="N45" i="24"/>
  <c r="L46" i="24"/>
  <c r="N46" i="24"/>
  <c r="L47" i="24"/>
  <c r="N47" i="24"/>
  <c r="L48" i="24"/>
  <c r="N48" i="24"/>
  <c r="L49" i="24"/>
  <c r="N49" i="24"/>
  <c r="L50" i="24"/>
  <c r="N50" i="24"/>
  <c r="L51" i="24"/>
  <c r="N51" i="24"/>
  <c r="L52" i="24"/>
  <c r="N52" i="24"/>
  <c r="L53" i="24"/>
  <c r="N53" i="24"/>
  <c r="L54" i="24"/>
  <c r="N54" i="24"/>
  <c r="L55" i="24"/>
  <c r="N55" i="24"/>
  <c r="L56" i="24"/>
  <c r="N56" i="24"/>
  <c r="L57" i="24"/>
  <c r="N57" i="24"/>
  <c r="L58" i="24"/>
  <c r="N58" i="24"/>
  <c r="L59" i="24"/>
  <c r="N59" i="24"/>
  <c r="L60" i="24"/>
  <c r="N60" i="24"/>
  <c r="L61" i="24"/>
  <c r="N61" i="24"/>
  <c r="L62" i="24"/>
  <c r="N62" i="24"/>
  <c r="L63" i="24"/>
  <c r="N63" i="24"/>
  <c r="L64" i="24"/>
  <c r="N64" i="24"/>
  <c r="L65" i="24"/>
  <c r="N65" i="24"/>
  <c r="L66" i="24"/>
  <c r="N66" i="24"/>
  <c r="L67" i="24"/>
  <c r="N67" i="24"/>
  <c r="L68" i="24"/>
  <c r="N68" i="24"/>
  <c r="L69" i="24"/>
  <c r="N69" i="24"/>
  <c r="L70" i="24"/>
  <c r="N70" i="24"/>
  <c r="L71" i="24"/>
  <c r="N71" i="24"/>
  <c r="L72" i="24"/>
  <c r="N72" i="24"/>
  <c r="D89" i="24"/>
  <c r="D91" i="24"/>
  <c r="J93" i="24"/>
  <c r="L93" i="24"/>
  <c r="D96" i="24"/>
  <c r="J99" i="24"/>
  <c r="M99" i="24"/>
  <c r="O99" i="24"/>
  <c r="J100" i="24"/>
  <c r="J101" i="24"/>
  <c r="O110" i="24"/>
  <c r="O111" i="24"/>
  <c r="O112" i="24"/>
  <c r="M115" i="24"/>
  <c r="O115" i="24"/>
  <c r="M116" i="24"/>
  <c r="O116" i="24"/>
  <c r="M117" i="24"/>
  <c r="O117" i="24"/>
  <c r="M118" i="24"/>
  <c r="O118" i="24"/>
  <c r="M119" i="24"/>
  <c r="O119" i="24"/>
  <c r="M120" i="24"/>
  <c r="O120" i="24"/>
  <c r="M121" i="24"/>
  <c r="O121" i="24"/>
  <c r="M122" i="24"/>
  <c r="O122" i="24"/>
  <c r="M123" i="24"/>
  <c r="O123" i="24"/>
  <c r="M124" i="24"/>
  <c r="O124" i="24"/>
  <c r="M125" i="24"/>
  <c r="O125" i="24"/>
  <c r="M126" i="24"/>
  <c r="O126" i="24"/>
  <c r="M127" i="24"/>
  <c r="O127" i="24"/>
  <c r="M128" i="24"/>
  <c r="O128" i="24"/>
  <c r="M129" i="24"/>
  <c r="O129" i="24"/>
  <c r="M130" i="24"/>
  <c r="O130" i="24"/>
  <c r="M131" i="24"/>
  <c r="O131" i="24"/>
  <c r="M132" i="24"/>
  <c r="O132" i="24"/>
  <c r="M133" i="24"/>
  <c r="O133" i="24"/>
  <c r="M134" i="24"/>
  <c r="O134" i="24"/>
  <c r="M135" i="24"/>
  <c r="O135" i="24"/>
  <c r="M136" i="24"/>
  <c r="O136" i="24"/>
  <c r="M137" i="24"/>
  <c r="O137" i="24"/>
  <c r="M138" i="24"/>
  <c r="O138" i="24"/>
  <c r="M139" i="24"/>
  <c r="O139" i="24"/>
  <c r="M140" i="24"/>
  <c r="O140" i="24"/>
  <c r="M141" i="24"/>
  <c r="O141" i="24"/>
  <c r="M142" i="24"/>
  <c r="O142" i="24"/>
  <c r="M143" i="24"/>
  <c r="O143" i="24"/>
  <c r="M144" i="24"/>
  <c r="O144" i="24"/>
  <c r="M145" i="24"/>
  <c r="O145" i="24"/>
  <c r="M146" i="24"/>
  <c r="O146" i="24"/>
  <c r="M147" i="24"/>
  <c r="O147" i="24"/>
  <c r="M148" i="24"/>
  <c r="O148" i="24"/>
  <c r="M149" i="24"/>
  <c r="O149" i="24"/>
  <c r="M150" i="24"/>
  <c r="O150" i="24"/>
  <c r="M151" i="24"/>
  <c r="O151" i="24"/>
  <c r="M152" i="24"/>
  <c r="O152" i="24"/>
  <c r="M153" i="24"/>
  <c r="O153" i="24"/>
  <c r="M154" i="24"/>
  <c r="O154" i="24"/>
  <c r="O3" i="23"/>
  <c r="K11" i="23"/>
  <c r="I17" i="23"/>
  <c r="L17" i="23"/>
  <c r="I18" i="23"/>
  <c r="L18" i="23"/>
  <c r="N18" i="23"/>
  <c r="N28" i="23"/>
  <c r="O28" i="23" s="1"/>
  <c r="N29" i="23"/>
  <c r="N30" i="23"/>
  <c r="N32" i="23"/>
  <c r="L34" i="23"/>
  <c r="N34" i="23"/>
  <c r="L35" i="23"/>
  <c r="N35" i="23"/>
  <c r="L36" i="23"/>
  <c r="N36" i="23"/>
  <c r="L37" i="23"/>
  <c r="N37" i="23"/>
  <c r="L38" i="23"/>
  <c r="N38" i="23"/>
  <c r="L39" i="23"/>
  <c r="N39" i="23"/>
  <c r="L40" i="23"/>
  <c r="N40" i="23"/>
  <c r="L41" i="23"/>
  <c r="N41" i="23"/>
  <c r="L42" i="23"/>
  <c r="N42" i="23"/>
  <c r="L43" i="23"/>
  <c r="N43" i="23"/>
  <c r="L44" i="23"/>
  <c r="N44" i="23"/>
  <c r="L45" i="23"/>
  <c r="N45" i="23"/>
  <c r="L46" i="23"/>
  <c r="N46" i="23"/>
  <c r="L47" i="23"/>
  <c r="N47" i="23"/>
  <c r="L48" i="23"/>
  <c r="N48" i="23"/>
  <c r="L49" i="23"/>
  <c r="N49" i="23"/>
  <c r="L50" i="23"/>
  <c r="N50" i="23"/>
  <c r="L51" i="23"/>
  <c r="N51" i="23"/>
  <c r="L52" i="23"/>
  <c r="N52" i="23"/>
  <c r="L53" i="23"/>
  <c r="N53" i="23"/>
  <c r="L54" i="23"/>
  <c r="N54" i="23"/>
  <c r="L55" i="23"/>
  <c r="N55" i="23"/>
  <c r="L56" i="23"/>
  <c r="N56" i="23"/>
  <c r="L57" i="23"/>
  <c r="N57" i="23"/>
  <c r="L58" i="23"/>
  <c r="N58" i="23"/>
  <c r="L59" i="23"/>
  <c r="N59" i="23"/>
  <c r="L60" i="23"/>
  <c r="N60" i="23"/>
  <c r="L61" i="23"/>
  <c r="N61" i="23"/>
  <c r="L62" i="23"/>
  <c r="N62" i="23"/>
  <c r="L63" i="23"/>
  <c r="N63" i="23"/>
  <c r="L64" i="23"/>
  <c r="N64" i="23"/>
  <c r="L65" i="23"/>
  <c r="N65" i="23"/>
  <c r="L66" i="23"/>
  <c r="N66" i="23"/>
  <c r="L67" i="23"/>
  <c r="N67" i="23"/>
  <c r="L68" i="23"/>
  <c r="N68" i="23"/>
  <c r="L69" i="23"/>
  <c r="N69" i="23"/>
  <c r="L70" i="23"/>
  <c r="N70" i="23"/>
  <c r="L71" i="23"/>
  <c r="N71" i="23"/>
  <c r="L72" i="23"/>
  <c r="N72" i="23"/>
  <c r="D89" i="23"/>
  <c r="D91" i="23"/>
  <c r="J93" i="23"/>
  <c r="L93" i="23"/>
  <c r="D96" i="23"/>
  <c r="J99" i="23"/>
  <c r="M99" i="23"/>
  <c r="O99" i="23"/>
  <c r="J100" i="23"/>
  <c r="J101" i="23"/>
  <c r="O110" i="23"/>
  <c r="O111" i="23"/>
  <c r="O112" i="23"/>
  <c r="M115" i="23"/>
  <c r="O115" i="23"/>
  <c r="M116" i="23"/>
  <c r="O116" i="23"/>
  <c r="M117" i="23"/>
  <c r="O117" i="23"/>
  <c r="M118" i="23"/>
  <c r="O118" i="23"/>
  <c r="M119" i="23"/>
  <c r="O119" i="23"/>
  <c r="M120" i="23"/>
  <c r="O120" i="23"/>
  <c r="M121" i="23"/>
  <c r="O121" i="23"/>
  <c r="M122" i="23"/>
  <c r="O122" i="23"/>
  <c r="M123" i="23"/>
  <c r="O123" i="23"/>
  <c r="M124" i="23"/>
  <c r="O124" i="23"/>
  <c r="M125" i="23"/>
  <c r="O125" i="23"/>
  <c r="M126" i="23"/>
  <c r="O126" i="23"/>
  <c r="M127" i="23"/>
  <c r="O127" i="23"/>
  <c r="M128" i="23"/>
  <c r="O128" i="23"/>
  <c r="M129" i="23"/>
  <c r="O129" i="23"/>
  <c r="M130" i="23"/>
  <c r="O130" i="23"/>
  <c r="M131" i="23"/>
  <c r="O131" i="23"/>
  <c r="M132" i="23"/>
  <c r="O132" i="23"/>
  <c r="M133" i="23"/>
  <c r="O133" i="23"/>
  <c r="M134" i="23"/>
  <c r="O134" i="23"/>
  <c r="M135" i="23"/>
  <c r="O135" i="23"/>
  <c r="M136" i="23"/>
  <c r="O136" i="23"/>
  <c r="M137" i="23"/>
  <c r="O137" i="23"/>
  <c r="M138" i="23"/>
  <c r="O138" i="23"/>
  <c r="M139" i="23"/>
  <c r="O139" i="23"/>
  <c r="M140" i="23"/>
  <c r="O140" i="23"/>
  <c r="M141" i="23"/>
  <c r="O141" i="23"/>
  <c r="M142" i="23"/>
  <c r="O142" i="23"/>
  <c r="M143" i="23"/>
  <c r="O143" i="23"/>
  <c r="M144" i="23"/>
  <c r="O144" i="23"/>
  <c r="M145" i="23"/>
  <c r="O145" i="23"/>
  <c r="M146" i="23"/>
  <c r="O146" i="23"/>
  <c r="M147" i="23"/>
  <c r="O147" i="23"/>
  <c r="M148" i="23"/>
  <c r="O148" i="23"/>
  <c r="M149" i="23"/>
  <c r="O149" i="23"/>
  <c r="M150" i="23"/>
  <c r="O150" i="23"/>
  <c r="M151" i="23"/>
  <c r="O151" i="23"/>
  <c r="M152" i="23"/>
  <c r="O152" i="23"/>
  <c r="M153" i="23"/>
  <c r="O153" i="23"/>
  <c r="M154" i="23"/>
  <c r="O154" i="23"/>
  <c r="O3" i="22"/>
  <c r="K11" i="22"/>
  <c r="I17" i="22"/>
  <c r="L17" i="22"/>
  <c r="N17" i="22"/>
  <c r="N27" i="22"/>
  <c r="O27" i="22" s="1"/>
  <c r="N28" i="22"/>
  <c r="N29" i="22"/>
  <c r="N30" i="22"/>
  <c r="N31" i="22"/>
  <c r="L33" i="22"/>
  <c r="N33" i="22"/>
  <c r="L34" i="22"/>
  <c r="N34" i="22"/>
  <c r="L35" i="22"/>
  <c r="N35" i="22"/>
  <c r="L36" i="22"/>
  <c r="N36" i="22"/>
  <c r="L37" i="22"/>
  <c r="N37" i="22"/>
  <c r="L38" i="22"/>
  <c r="N38" i="22"/>
  <c r="L39" i="22"/>
  <c r="N39" i="22"/>
  <c r="L40" i="22"/>
  <c r="N40" i="22"/>
  <c r="L41" i="22"/>
  <c r="N41" i="22"/>
  <c r="L42" i="22"/>
  <c r="N42" i="22"/>
  <c r="L43" i="22"/>
  <c r="N43" i="22"/>
  <c r="L44" i="22"/>
  <c r="N44" i="22"/>
  <c r="L45" i="22"/>
  <c r="N45" i="22"/>
  <c r="L46" i="22"/>
  <c r="N46" i="22"/>
  <c r="L47" i="22"/>
  <c r="N47" i="22"/>
  <c r="L48" i="22"/>
  <c r="N48" i="22"/>
  <c r="L49" i="22"/>
  <c r="N49" i="22"/>
  <c r="L50" i="22"/>
  <c r="N50" i="22"/>
  <c r="L51" i="22"/>
  <c r="N51" i="22"/>
  <c r="L52" i="22"/>
  <c r="N52" i="22"/>
  <c r="L53" i="22"/>
  <c r="N53" i="22"/>
  <c r="L54" i="22"/>
  <c r="N54" i="22"/>
  <c r="L55" i="22"/>
  <c r="N55" i="22"/>
  <c r="L56" i="22"/>
  <c r="N56" i="22"/>
  <c r="L57" i="22"/>
  <c r="N57" i="22"/>
  <c r="L58" i="22"/>
  <c r="N58" i="22"/>
  <c r="L59" i="22"/>
  <c r="N59" i="22"/>
  <c r="L60" i="22"/>
  <c r="N60" i="22"/>
  <c r="L61" i="22"/>
  <c r="N61" i="22"/>
  <c r="L62" i="22"/>
  <c r="N62" i="22"/>
  <c r="L63" i="22"/>
  <c r="N63" i="22"/>
  <c r="L64" i="22"/>
  <c r="N64" i="22"/>
  <c r="L65" i="22"/>
  <c r="N65" i="22"/>
  <c r="L66" i="22"/>
  <c r="N66" i="22"/>
  <c r="L67" i="22"/>
  <c r="N67" i="22"/>
  <c r="L68" i="22"/>
  <c r="N68" i="22"/>
  <c r="L69" i="22"/>
  <c r="N69" i="22"/>
  <c r="L70" i="22"/>
  <c r="N70" i="22"/>
  <c r="L71" i="22"/>
  <c r="N71" i="22"/>
  <c r="L72" i="22"/>
  <c r="N72" i="22"/>
  <c r="D89" i="22"/>
  <c r="D91" i="22"/>
  <c r="J93" i="22"/>
  <c r="L93" i="22"/>
  <c r="D96" i="22"/>
  <c r="J99" i="22"/>
  <c r="J100" i="22"/>
  <c r="O109" i="22"/>
  <c r="O110" i="22"/>
  <c r="O111" i="22"/>
  <c r="M114" i="22"/>
  <c r="O114" i="22"/>
  <c r="M115" i="22"/>
  <c r="O115" i="22"/>
  <c r="M116" i="22"/>
  <c r="O116" i="22"/>
  <c r="M117" i="22"/>
  <c r="O117" i="22"/>
  <c r="M118" i="22"/>
  <c r="O118" i="22"/>
  <c r="M119" i="22"/>
  <c r="O119" i="22"/>
  <c r="M120" i="22"/>
  <c r="O120" i="22"/>
  <c r="M121" i="22"/>
  <c r="O121" i="22"/>
  <c r="M122" i="22"/>
  <c r="O122" i="22"/>
  <c r="M123" i="22"/>
  <c r="O123" i="22"/>
  <c r="M124" i="22"/>
  <c r="O124" i="22"/>
  <c r="M125" i="22"/>
  <c r="O125" i="22"/>
  <c r="M126" i="22"/>
  <c r="O126" i="22"/>
  <c r="M127" i="22"/>
  <c r="O127" i="22"/>
  <c r="M128" i="22"/>
  <c r="O128" i="22"/>
  <c r="M129" i="22"/>
  <c r="O129" i="22"/>
  <c r="M130" i="22"/>
  <c r="O130" i="22"/>
  <c r="M131" i="22"/>
  <c r="O131" i="22"/>
  <c r="M132" i="22"/>
  <c r="O132" i="22"/>
  <c r="M133" i="22"/>
  <c r="O133" i="22"/>
  <c r="M134" i="22"/>
  <c r="O134" i="22"/>
  <c r="M135" i="22"/>
  <c r="O135" i="22"/>
  <c r="M136" i="22"/>
  <c r="O136" i="22"/>
  <c r="M137" i="22"/>
  <c r="O137" i="22"/>
  <c r="M138" i="22"/>
  <c r="O138" i="22"/>
  <c r="M139" i="22"/>
  <c r="O139" i="22"/>
  <c r="M140" i="22"/>
  <c r="O140" i="22"/>
  <c r="M141" i="22"/>
  <c r="O141" i="22"/>
  <c r="M142" i="22"/>
  <c r="O142" i="22"/>
  <c r="M143" i="22"/>
  <c r="O143" i="22"/>
  <c r="M144" i="22"/>
  <c r="O144" i="22"/>
  <c r="M145" i="22"/>
  <c r="O145" i="22"/>
  <c r="M146" i="22"/>
  <c r="O146" i="22"/>
  <c r="M147" i="22"/>
  <c r="O147" i="22"/>
  <c r="M148" i="22"/>
  <c r="O148" i="22"/>
  <c r="M149" i="22"/>
  <c r="O149" i="22"/>
  <c r="M150" i="22"/>
  <c r="O150" i="22"/>
  <c r="M151" i="22"/>
  <c r="O151" i="22"/>
  <c r="M152" i="22"/>
  <c r="O152" i="22"/>
  <c r="M153" i="22"/>
  <c r="O153" i="22"/>
  <c r="M154" i="22"/>
  <c r="O154" i="22"/>
  <c r="O3" i="21"/>
  <c r="K11" i="21"/>
  <c r="I17" i="21"/>
  <c r="L17" i="21"/>
  <c r="N17" i="21"/>
  <c r="N27" i="21"/>
  <c r="N28" i="21"/>
  <c r="N29" i="21"/>
  <c r="N30" i="21"/>
  <c r="N31" i="21"/>
  <c r="L33" i="21"/>
  <c r="N33" i="21"/>
  <c r="L34" i="21"/>
  <c r="N34" i="21"/>
  <c r="L35" i="21"/>
  <c r="N35" i="21"/>
  <c r="L36" i="21"/>
  <c r="N36" i="21"/>
  <c r="L37" i="21"/>
  <c r="N37" i="21"/>
  <c r="L38" i="21"/>
  <c r="N38" i="21"/>
  <c r="L39" i="21"/>
  <c r="N39" i="21"/>
  <c r="L40" i="21"/>
  <c r="N40" i="21"/>
  <c r="L41" i="21"/>
  <c r="N41" i="21"/>
  <c r="L42" i="21"/>
  <c r="N42" i="21"/>
  <c r="L43" i="21"/>
  <c r="N43" i="21"/>
  <c r="L44" i="21"/>
  <c r="N44" i="21"/>
  <c r="L45" i="21"/>
  <c r="N45" i="21"/>
  <c r="L46" i="21"/>
  <c r="N46" i="21"/>
  <c r="L47" i="21"/>
  <c r="N47" i="21"/>
  <c r="L48" i="21"/>
  <c r="N48" i="21"/>
  <c r="L49" i="21"/>
  <c r="N49" i="21"/>
  <c r="L50" i="21"/>
  <c r="N50" i="21"/>
  <c r="L51" i="21"/>
  <c r="N51" i="21"/>
  <c r="L52" i="21"/>
  <c r="N52" i="21"/>
  <c r="L53" i="21"/>
  <c r="N53" i="21"/>
  <c r="L54" i="21"/>
  <c r="N54" i="21"/>
  <c r="L55" i="21"/>
  <c r="N55" i="21"/>
  <c r="L56" i="21"/>
  <c r="N56" i="21"/>
  <c r="L57" i="21"/>
  <c r="N57" i="21"/>
  <c r="L58" i="21"/>
  <c r="N58" i="21"/>
  <c r="L59" i="21"/>
  <c r="N59" i="21"/>
  <c r="L60" i="21"/>
  <c r="N60" i="21"/>
  <c r="L61" i="21"/>
  <c r="N61" i="21"/>
  <c r="L62" i="21"/>
  <c r="N62" i="21"/>
  <c r="L63" i="21"/>
  <c r="N63" i="21"/>
  <c r="L64" i="21"/>
  <c r="N64" i="21"/>
  <c r="L65" i="21"/>
  <c r="N65" i="21"/>
  <c r="L66" i="21"/>
  <c r="N66" i="21"/>
  <c r="L67" i="21"/>
  <c r="N67" i="21"/>
  <c r="L68" i="21"/>
  <c r="N68" i="21"/>
  <c r="L69" i="21"/>
  <c r="N69" i="21"/>
  <c r="L70" i="21"/>
  <c r="N70" i="21"/>
  <c r="L71" i="21"/>
  <c r="N71" i="21"/>
  <c r="L72" i="21"/>
  <c r="N72" i="21"/>
  <c r="D89" i="21"/>
  <c r="D91" i="21"/>
  <c r="J93" i="21"/>
  <c r="L93" i="21"/>
  <c r="D96" i="21"/>
  <c r="J99" i="21"/>
  <c r="J100" i="21"/>
  <c r="O109" i="21"/>
  <c r="O110" i="21"/>
  <c r="O111" i="21"/>
  <c r="M114" i="21"/>
  <c r="O114" i="21"/>
  <c r="M115" i="21"/>
  <c r="O115" i="21"/>
  <c r="M116" i="21"/>
  <c r="O116" i="21"/>
  <c r="M117" i="21"/>
  <c r="O117" i="21"/>
  <c r="M118" i="21"/>
  <c r="O118" i="21"/>
  <c r="M119" i="21"/>
  <c r="O119" i="21"/>
  <c r="M120" i="21"/>
  <c r="O120" i="21"/>
  <c r="M121" i="21"/>
  <c r="O121" i="21"/>
  <c r="M122" i="21"/>
  <c r="O122" i="21"/>
  <c r="M123" i="21"/>
  <c r="O123" i="21"/>
  <c r="M124" i="21"/>
  <c r="O124" i="21"/>
  <c r="M125" i="21"/>
  <c r="O125" i="21"/>
  <c r="M126" i="21"/>
  <c r="O126" i="21"/>
  <c r="M127" i="21"/>
  <c r="O127" i="21"/>
  <c r="M128" i="21"/>
  <c r="O128" i="21"/>
  <c r="M129" i="21"/>
  <c r="O129" i="21"/>
  <c r="M130" i="21"/>
  <c r="O130" i="21"/>
  <c r="M131" i="21"/>
  <c r="O131" i="21"/>
  <c r="M132" i="21"/>
  <c r="O132" i="21"/>
  <c r="M133" i="21"/>
  <c r="O133" i="21"/>
  <c r="M134" i="21"/>
  <c r="O134" i="21"/>
  <c r="M135" i="21"/>
  <c r="O135" i="21"/>
  <c r="M136" i="21"/>
  <c r="O136" i="21"/>
  <c r="M137" i="21"/>
  <c r="O137" i="21"/>
  <c r="M138" i="21"/>
  <c r="O138" i="21"/>
  <c r="M139" i="21"/>
  <c r="O139" i="21"/>
  <c r="M140" i="21"/>
  <c r="O140" i="21"/>
  <c r="M141" i="21"/>
  <c r="O141" i="21"/>
  <c r="M142" i="21"/>
  <c r="O142" i="21"/>
  <c r="M143" i="21"/>
  <c r="O143" i="21"/>
  <c r="M144" i="21"/>
  <c r="O144" i="21"/>
  <c r="M145" i="21"/>
  <c r="O145" i="21"/>
  <c r="M146" i="21"/>
  <c r="O146" i="21"/>
  <c r="M147" i="21"/>
  <c r="O147" i="21"/>
  <c r="M148" i="21"/>
  <c r="O148" i="21"/>
  <c r="M149" i="21"/>
  <c r="O149" i="21"/>
  <c r="M150" i="21"/>
  <c r="O150" i="21"/>
  <c r="M151" i="21"/>
  <c r="O151" i="21"/>
  <c r="M152" i="21"/>
  <c r="O152" i="21"/>
  <c r="M153" i="21"/>
  <c r="O153" i="21"/>
  <c r="M154" i="21"/>
  <c r="O154" i="21"/>
  <c r="O3" i="20"/>
  <c r="K11" i="20"/>
  <c r="I17" i="20"/>
  <c r="L17" i="20"/>
  <c r="N17" i="20"/>
  <c r="N27" i="20"/>
  <c r="N28" i="20"/>
  <c r="N29" i="20"/>
  <c r="N30" i="20"/>
  <c r="N31" i="20"/>
  <c r="L33" i="20"/>
  <c r="N33" i="20"/>
  <c r="L34" i="20"/>
  <c r="N34" i="20"/>
  <c r="L35" i="20"/>
  <c r="N35" i="20"/>
  <c r="L36" i="20"/>
  <c r="N36" i="20"/>
  <c r="L37" i="20"/>
  <c r="N37" i="20"/>
  <c r="L38" i="20"/>
  <c r="N38" i="20"/>
  <c r="L39" i="20"/>
  <c r="N39" i="20"/>
  <c r="L40" i="20"/>
  <c r="N40" i="20"/>
  <c r="L41" i="20"/>
  <c r="N41" i="20"/>
  <c r="L42" i="20"/>
  <c r="N42" i="20"/>
  <c r="L43" i="20"/>
  <c r="N43" i="20"/>
  <c r="L44" i="20"/>
  <c r="N44" i="20"/>
  <c r="L45" i="20"/>
  <c r="N45" i="20"/>
  <c r="L46" i="20"/>
  <c r="N46" i="20"/>
  <c r="L47" i="20"/>
  <c r="N47" i="20"/>
  <c r="L48" i="20"/>
  <c r="N48" i="20"/>
  <c r="L49" i="20"/>
  <c r="N49" i="20"/>
  <c r="L50" i="20"/>
  <c r="N50" i="20"/>
  <c r="L51" i="20"/>
  <c r="N51" i="20"/>
  <c r="L52" i="20"/>
  <c r="N52" i="20"/>
  <c r="L53" i="20"/>
  <c r="N53" i="20"/>
  <c r="L54" i="20"/>
  <c r="N54" i="20"/>
  <c r="L55" i="20"/>
  <c r="N55" i="20"/>
  <c r="L56" i="20"/>
  <c r="N56" i="20"/>
  <c r="L57" i="20"/>
  <c r="N57" i="20"/>
  <c r="L58" i="20"/>
  <c r="N58" i="20"/>
  <c r="L59" i="20"/>
  <c r="N59" i="20"/>
  <c r="L60" i="20"/>
  <c r="N60" i="20"/>
  <c r="L61" i="20"/>
  <c r="N61" i="20"/>
  <c r="L62" i="20"/>
  <c r="N62" i="20"/>
  <c r="L63" i="20"/>
  <c r="N63" i="20"/>
  <c r="L64" i="20"/>
  <c r="N64" i="20"/>
  <c r="L65" i="20"/>
  <c r="N65" i="20"/>
  <c r="L66" i="20"/>
  <c r="N66" i="20"/>
  <c r="L67" i="20"/>
  <c r="N67" i="20"/>
  <c r="L68" i="20"/>
  <c r="N68" i="20"/>
  <c r="L69" i="20"/>
  <c r="N69" i="20"/>
  <c r="L70" i="20"/>
  <c r="N70" i="20"/>
  <c r="L71" i="20"/>
  <c r="N71" i="20"/>
  <c r="L72" i="20"/>
  <c r="N72" i="20"/>
  <c r="D89" i="20"/>
  <c r="D91" i="20"/>
  <c r="J93" i="20"/>
  <c r="L93" i="20"/>
  <c r="D96" i="20"/>
  <c r="J99" i="20"/>
  <c r="J100" i="20"/>
  <c r="O109" i="20"/>
  <c r="O110" i="20"/>
  <c r="O111" i="20"/>
  <c r="M114" i="20"/>
  <c r="O114" i="20"/>
  <c r="M115" i="20"/>
  <c r="O115" i="20"/>
  <c r="M116" i="20"/>
  <c r="O116" i="20"/>
  <c r="M117" i="20"/>
  <c r="O117" i="20"/>
  <c r="M118" i="20"/>
  <c r="O118" i="20"/>
  <c r="M119" i="20"/>
  <c r="O119" i="20"/>
  <c r="M120" i="20"/>
  <c r="O120" i="20"/>
  <c r="M121" i="20"/>
  <c r="O121" i="20"/>
  <c r="M122" i="20"/>
  <c r="O122" i="20"/>
  <c r="M123" i="20"/>
  <c r="O123" i="20"/>
  <c r="M124" i="20"/>
  <c r="O124" i="20"/>
  <c r="M125" i="20"/>
  <c r="O125" i="20"/>
  <c r="M126" i="20"/>
  <c r="O126" i="20"/>
  <c r="M127" i="20"/>
  <c r="O127" i="20"/>
  <c r="M128" i="20"/>
  <c r="O128" i="20"/>
  <c r="M129" i="20"/>
  <c r="O129" i="20"/>
  <c r="M130" i="20"/>
  <c r="O130" i="20"/>
  <c r="M131" i="20"/>
  <c r="O131" i="20"/>
  <c r="M132" i="20"/>
  <c r="O132" i="20"/>
  <c r="M133" i="20"/>
  <c r="O133" i="20"/>
  <c r="M134" i="20"/>
  <c r="O134" i="20"/>
  <c r="M135" i="20"/>
  <c r="O135" i="20"/>
  <c r="M136" i="20"/>
  <c r="O136" i="20"/>
  <c r="M137" i="20"/>
  <c r="O137" i="20"/>
  <c r="M138" i="20"/>
  <c r="O138" i="20"/>
  <c r="M139" i="20"/>
  <c r="O139" i="20"/>
  <c r="M140" i="20"/>
  <c r="O140" i="20"/>
  <c r="M141" i="20"/>
  <c r="O141" i="20"/>
  <c r="M142" i="20"/>
  <c r="O142" i="20"/>
  <c r="M143" i="20"/>
  <c r="O143" i="20"/>
  <c r="M144" i="20"/>
  <c r="O144" i="20"/>
  <c r="M145" i="20"/>
  <c r="O145" i="20"/>
  <c r="M146" i="20"/>
  <c r="O146" i="20"/>
  <c r="M147" i="20"/>
  <c r="O147" i="20"/>
  <c r="M148" i="20"/>
  <c r="O148" i="20"/>
  <c r="M149" i="20"/>
  <c r="O149" i="20"/>
  <c r="M150" i="20"/>
  <c r="O150" i="20"/>
  <c r="M151" i="20"/>
  <c r="O151" i="20"/>
  <c r="M152" i="20"/>
  <c r="O152" i="20"/>
  <c r="M153" i="20"/>
  <c r="O153" i="20"/>
  <c r="M154" i="20"/>
  <c r="O154" i="20"/>
  <c r="O3" i="19"/>
  <c r="K11" i="19"/>
  <c r="I17" i="19"/>
  <c r="L17" i="19"/>
  <c r="N17" i="19"/>
  <c r="N27" i="19"/>
  <c r="N28" i="19"/>
  <c r="N29" i="19"/>
  <c r="N31" i="19"/>
  <c r="L33" i="19"/>
  <c r="N33" i="19"/>
  <c r="L34" i="19"/>
  <c r="N34" i="19"/>
  <c r="L35" i="19"/>
  <c r="N35" i="19"/>
  <c r="L36" i="19"/>
  <c r="N36" i="19"/>
  <c r="L37" i="19"/>
  <c r="N37" i="19"/>
  <c r="L38" i="19"/>
  <c r="N38" i="19"/>
  <c r="L39" i="19"/>
  <c r="N39" i="19"/>
  <c r="L40" i="19"/>
  <c r="N40" i="19"/>
  <c r="L41" i="19"/>
  <c r="N41" i="19"/>
  <c r="L42" i="19"/>
  <c r="N42" i="19"/>
  <c r="L43" i="19"/>
  <c r="N43" i="19"/>
  <c r="L44" i="19"/>
  <c r="N44" i="19"/>
  <c r="L45" i="19"/>
  <c r="N45" i="19"/>
  <c r="L46" i="19"/>
  <c r="N46" i="19"/>
  <c r="L47" i="19"/>
  <c r="N47" i="19"/>
  <c r="L48" i="19"/>
  <c r="N48" i="19"/>
  <c r="L49" i="19"/>
  <c r="N49" i="19"/>
  <c r="L50" i="19"/>
  <c r="N50" i="19"/>
  <c r="L51" i="19"/>
  <c r="N51" i="19"/>
  <c r="L52" i="19"/>
  <c r="N52" i="19"/>
  <c r="L53" i="19"/>
  <c r="N53" i="19"/>
  <c r="L54" i="19"/>
  <c r="N54" i="19"/>
  <c r="L55" i="19"/>
  <c r="N55" i="19"/>
  <c r="L56" i="19"/>
  <c r="N56" i="19"/>
  <c r="L57" i="19"/>
  <c r="N57" i="19"/>
  <c r="L58" i="19"/>
  <c r="N58" i="19"/>
  <c r="L59" i="19"/>
  <c r="N59" i="19"/>
  <c r="L60" i="19"/>
  <c r="N60" i="19"/>
  <c r="L61" i="19"/>
  <c r="N61" i="19"/>
  <c r="L62" i="19"/>
  <c r="N62" i="19"/>
  <c r="L63" i="19"/>
  <c r="N63" i="19"/>
  <c r="L64" i="19"/>
  <c r="N64" i="19"/>
  <c r="L65" i="19"/>
  <c r="N65" i="19"/>
  <c r="L66" i="19"/>
  <c r="N66" i="19"/>
  <c r="L67" i="19"/>
  <c r="N67" i="19"/>
  <c r="L68" i="19"/>
  <c r="N68" i="19"/>
  <c r="L69" i="19"/>
  <c r="N69" i="19"/>
  <c r="L70" i="19"/>
  <c r="N70" i="19"/>
  <c r="L71" i="19"/>
  <c r="N71" i="19"/>
  <c r="L72" i="19"/>
  <c r="N72" i="19"/>
  <c r="D89" i="19"/>
  <c r="D91" i="19"/>
  <c r="J93" i="19"/>
  <c r="L93" i="19"/>
  <c r="D96" i="19"/>
  <c r="J99" i="19"/>
  <c r="J100" i="19"/>
  <c r="O109" i="19"/>
  <c r="O110" i="19"/>
  <c r="O111" i="19"/>
  <c r="M114" i="19"/>
  <c r="O114" i="19"/>
  <c r="M115" i="19"/>
  <c r="O115" i="19"/>
  <c r="M116" i="19"/>
  <c r="O116" i="19"/>
  <c r="M117" i="19"/>
  <c r="O117" i="19"/>
  <c r="M118" i="19"/>
  <c r="O118" i="19"/>
  <c r="M119" i="19"/>
  <c r="O119" i="19"/>
  <c r="M120" i="19"/>
  <c r="O120" i="19"/>
  <c r="M121" i="19"/>
  <c r="O121" i="19"/>
  <c r="M122" i="19"/>
  <c r="O122" i="19"/>
  <c r="M123" i="19"/>
  <c r="O123" i="19"/>
  <c r="M124" i="19"/>
  <c r="O124" i="19"/>
  <c r="M125" i="19"/>
  <c r="O125" i="19"/>
  <c r="M126" i="19"/>
  <c r="O126" i="19"/>
  <c r="M127" i="19"/>
  <c r="O127" i="19"/>
  <c r="M128" i="19"/>
  <c r="O128" i="19"/>
  <c r="M129" i="19"/>
  <c r="O129" i="19"/>
  <c r="M130" i="19"/>
  <c r="O130" i="19"/>
  <c r="M131" i="19"/>
  <c r="O131" i="19"/>
  <c r="M132" i="19"/>
  <c r="O132" i="19"/>
  <c r="M133" i="19"/>
  <c r="O133" i="19"/>
  <c r="M134" i="19"/>
  <c r="O134" i="19"/>
  <c r="M135" i="19"/>
  <c r="O135" i="19"/>
  <c r="M136" i="19"/>
  <c r="O136" i="19"/>
  <c r="M137" i="19"/>
  <c r="O137" i="19"/>
  <c r="M138" i="19"/>
  <c r="O138" i="19"/>
  <c r="M139" i="19"/>
  <c r="O139" i="19"/>
  <c r="M140" i="19"/>
  <c r="O140" i="19"/>
  <c r="M141" i="19"/>
  <c r="O141" i="19"/>
  <c r="M142" i="19"/>
  <c r="O142" i="19"/>
  <c r="M143" i="19"/>
  <c r="O143" i="19"/>
  <c r="M144" i="19"/>
  <c r="O144" i="19"/>
  <c r="M145" i="19"/>
  <c r="O145" i="19"/>
  <c r="M146" i="19"/>
  <c r="O146" i="19"/>
  <c r="M147" i="19"/>
  <c r="O147" i="19"/>
  <c r="M148" i="19"/>
  <c r="O148" i="19"/>
  <c r="M149" i="19"/>
  <c r="O149" i="19"/>
  <c r="M150" i="19"/>
  <c r="O150" i="19"/>
  <c r="M151" i="19"/>
  <c r="O151" i="19"/>
  <c r="M152" i="19"/>
  <c r="O152" i="19"/>
  <c r="M153" i="19"/>
  <c r="O153" i="19"/>
  <c r="M154" i="19"/>
  <c r="O154" i="19"/>
  <c r="O3" i="18"/>
  <c r="K11" i="18"/>
  <c r="I17" i="18"/>
  <c r="L17" i="18"/>
  <c r="N17" i="18"/>
  <c r="N27" i="18"/>
  <c r="N28" i="18"/>
  <c r="N29" i="18"/>
  <c r="N31" i="18"/>
  <c r="L33" i="18"/>
  <c r="N33" i="18"/>
  <c r="L34" i="18"/>
  <c r="N34" i="18"/>
  <c r="L35" i="18"/>
  <c r="N35" i="18"/>
  <c r="L36" i="18"/>
  <c r="N36" i="18"/>
  <c r="L37" i="18"/>
  <c r="N37" i="18"/>
  <c r="L38" i="18"/>
  <c r="N38" i="18"/>
  <c r="L39" i="18"/>
  <c r="N39" i="18"/>
  <c r="L40" i="18"/>
  <c r="N40" i="18"/>
  <c r="L41" i="18"/>
  <c r="N41" i="18"/>
  <c r="L42" i="18"/>
  <c r="N42" i="18"/>
  <c r="L43" i="18"/>
  <c r="N43" i="18"/>
  <c r="L44" i="18"/>
  <c r="N44" i="18"/>
  <c r="L45" i="18"/>
  <c r="N45" i="18"/>
  <c r="L46" i="18"/>
  <c r="N46" i="18"/>
  <c r="L47" i="18"/>
  <c r="N47" i="18"/>
  <c r="L48" i="18"/>
  <c r="N48" i="18"/>
  <c r="L49" i="18"/>
  <c r="N49" i="18"/>
  <c r="L50" i="18"/>
  <c r="N50" i="18"/>
  <c r="L51" i="18"/>
  <c r="N51" i="18"/>
  <c r="L52" i="18"/>
  <c r="N52" i="18"/>
  <c r="L53" i="18"/>
  <c r="N53" i="18"/>
  <c r="L54" i="18"/>
  <c r="N54" i="18"/>
  <c r="L55" i="18"/>
  <c r="N55" i="18"/>
  <c r="L56" i="18"/>
  <c r="N56" i="18"/>
  <c r="L57" i="18"/>
  <c r="N57" i="18"/>
  <c r="L58" i="18"/>
  <c r="N58" i="18"/>
  <c r="L59" i="18"/>
  <c r="N59" i="18"/>
  <c r="L60" i="18"/>
  <c r="N60" i="18"/>
  <c r="L61" i="18"/>
  <c r="N61" i="18"/>
  <c r="L62" i="18"/>
  <c r="N62" i="18"/>
  <c r="L63" i="18"/>
  <c r="N63" i="18"/>
  <c r="L64" i="18"/>
  <c r="N64" i="18"/>
  <c r="L65" i="18"/>
  <c r="N65" i="18"/>
  <c r="L66" i="18"/>
  <c r="N66" i="18"/>
  <c r="L67" i="18"/>
  <c r="N67" i="18"/>
  <c r="L68" i="18"/>
  <c r="N68" i="18"/>
  <c r="L69" i="18"/>
  <c r="N69" i="18"/>
  <c r="L70" i="18"/>
  <c r="N70" i="18"/>
  <c r="L71" i="18"/>
  <c r="N71" i="18"/>
  <c r="L72" i="18"/>
  <c r="N72" i="18"/>
  <c r="D89" i="18"/>
  <c r="D91" i="18"/>
  <c r="J93" i="18"/>
  <c r="L93" i="18"/>
  <c r="D96" i="18"/>
  <c r="J99" i="18"/>
  <c r="J100" i="18"/>
  <c r="O109" i="18"/>
  <c r="O110" i="18"/>
  <c r="O111" i="18"/>
  <c r="M114" i="18"/>
  <c r="O114" i="18"/>
  <c r="M115" i="18"/>
  <c r="O115" i="18"/>
  <c r="M116" i="18"/>
  <c r="O116" i="18"/>
  <c r="M117" i="18"/>
  <c r="O117" i="18"/>
  <c r="M118" i="18"/>
  <c r="O118" i="18"/>
  <c r="M119" i="18"/>
  <c r="O119" i="18"/>
  <c r="M120" i="18"/>
  <c r="O120" i="18"/>
  <c r="M121" i="18"/>
  <c r="O121" i="18"/>
  <c r="M122" i="18"/>
  <c r="O122" i="18"/>
  <c r="M123" i="18"/>
  <c r="O123" i="18"/>
  <c r="M124" i="18"/>
  <c r="O124" i="18"/>
  <c r="M125" i="18"/>
  <c r="O125" i="18"/>
  <c r="M126" i="18"/>
  <c r="O126" i="18"/>
  <c r="M127" i="18"/>
  <c r="O127" i="18"/>
  <c r="M128" i="18"/>
  <c r="O128" i="18"/>
  <c r="M129" i="18"/>
  <c r="O129" i="18"/>
  <c r="M130" i="18"/>
  <c r="O130" i="18"/>
  <c r="M131" i="18"/>
  <c r="O131" i="18"/>
  <c r="M132" i="18"/>
  <c r="O132" i="18"/>
  <c r="M133" i="18"/>
  <c r="O133" i="18"/>
  <c r="M134" i="18"/>
  <c r="O134" i="18"/>
  <c r="M135" i="18"/>
  <c r="O135" i="18"/>
  <c r="M136" i="18"/>
  <c r="O136" i="18"/>
  <c r="M137" i="18"/>
  <c r="O137" i="18"/>
  <c r="M138" i="18"/>
  <c r="O138" i="18"/>
  <c r="M139" i="18"/>
  <c r="O139" i="18"/>
  <c r="M140" i="18"/>
  <c r="O140" i="18"/>
  <c r="M141" i="18"/>
  <c r="O141" i="18"/>
  <c r="M142" i="18"/>
  <c r="O142" i="18"/>
  <c r="M143" i="18"/>
  <c r="O143" i="18"/>
  <c r="M144" i="18"/>
  <c r="O144" i="18"/>
  <c r="M145" i="18"/>
  <c r="O145" i="18"/>
  <c r="M146" i="18"/>
  <c r="O146" i="18"/>
  <c r="M147" i="18"/>
  <c r="O147" i="18"/>
  <c r="M148" i="18"/>
  <c r="O148" i="18"/>
  <c r="M149" i="18"/>
  <c r="O149" i="18"/>
  <c r="M150" i="18"/>
  <c r="O150" i="18"/>
  <c r="M151" i="18"/>
  <c r="O151" i="18"/>
  <c r="M152" i="18"/>
  <c r="O152" i="18"/>
  <c r="M153" i="18"/>
  <c r="O153" i="18"/>
  <c r="M154" i="18"/>
  <c r="O154" i="18"/>
  <c r="O3" i="17"/>
  <c r="K11" i="17"/>
  <c r="I17" i="17"/>
  <c r="L17" i="17"/>
  <c r="N17" i="17"/>
  <c r="N27" i="17"/>
  <c r="N28" i="17"/>
  <c r="O28" i="17" s="1"/>
  <c r="N29" i="17"/>
  <c r="N31" i="17"/>
  <c r="L33" i="17"/>
  <c r="N33" i="17"/>
  <c r="L34" i="17"/>
  <c r="N34" i="17"/>
  <c r="L35" i="17"/>
  <c r="N35" i="17"/>
  <c r="L36" i="17"/>
  <c r="N36" i="17"/>
  <c r="L37" i="17"/>
  <c r="N37" i="17"/>
  <c r="L38" i="17"/>
  <c r="N38" i="17"/>
  <c r="L39" i="17"/>
  <c r="N39" i="17"/>
  <c r="L40" i="17"/>
  <c r="N40" i="17"/>
  <c r="L41" i="17"/>
  <c r="N41" i="17"/>
  <c r="L42" i="17"/>
  <c r="N42" i="17"/>
  <c r="L43" i="17"/>
  <c r="N43" i="17"/>
  <c r="L44" i="17"/>
  <c r="N44" i="17"/>
  <c r="L45" i="17"/>
  <c r="N45" i="17"/>
  <c r="L46" i="17"/>
  <c r="N46" i="17"/>
  <c r="L47" i="17"/>
  <c r="N47" i="17"/>
  <c r="L48" i="17"/>
  <c r="N48" i="17"/>
  <c r="L49" i="17"/>
  <c r="N49" i="17"/>
  <c r="L50" i="17"/>
  <c r="N50" i="17"/>
  <c r="L51" i="17"/>
  <c r="N51" i="17"/>
  <c r="L52" i="17"/>
  <c r="N52" i="17"/>
  <c r="L53" i="17"/>
  <c r="N53" i="17"/>
  <c r="L54" i="17"/>
  <c r="N54" i="17"/>
  <c r="L55" i="17"/>
  <c r="N55" i="17"/>
  <c r="L56" i="17"/>
  <c r="N56" i="17"/>
  <c r="L57" i="17"/>
  <c r="N57" i="17"/>
  <c r="L58" i="17"/>
  <c r="N58" i="17"/>
  <c r="L59" i="17"/>
  <c r="N59" i="17"/>
  <c r="L60" i="17"/>
  <c r="N60" i="17"/>
  <c r="L61" i="17"/>
  <c r="N61" i="17"/>
  <c r="L62" i="17"/>
  <c r="N62" i="17"/>
  <c r="L63" i="17"/>
  <c r="N63" i="17"/>
  <c r="L64" i="17"/>
  <c r="N64" i="17"/>
  <c r="L65" i="17"/>
  <c r="N65" i="17"/>
  <c r="L66" i="17"/>
  <c r="N66" i="17"/>
  <c r="L67" i="17"/>
  <c r="N67" i="17"/>
  <c r="L68" i="17"/>
  <c r="N68" i="17"/>
  <c r="L69" i="17"/>
  <c r="N69" i="17"/>
  <c r="L70" i="17"/>
  <c r="N70" i="17"/>
  <c r="L71" i="17"/>
  <c r="N71" i="17"/>
  <c r="L72" i="17"/>
  <c r="N72" i="17"/>
  <c r="D89" i="17"/>
  <c r="D91" i="17"/>
  <c r="J93" i="17"/>
  <c r="L93" i="17"/>
  <c r="D96" i="17"/>
  <c r="J99" i="17"/>
  <c r="J100" i="17"/>
  <c r="O109" i="17"/>
  <c r="O110" i="17"/>
  <c r="O111" i="17"/>
  <c r="M114" i="17"/>
  <c r="O114" i="17"/>
  <c r="M115" i="17"/>
  <c r="O115" i="17"/>
  <c r="M116" i="17"/>
  <c r="O116" i="17"/>
  <c r="M117" i="17"/>
  <c r="O117" i="17"/>
  <c r="M118" i="17"/>
  <c r="O118" i="17"/>
  <c r="M119" i="17"/>
  <c r="O119" i="17"/>
  <c r="M120" i="17"/>
  <c r="O120" i="17"/>
  <c r="M121" i="17"/>
  <c r="O121" i="17"/>
  <c r="M122" i="17"/>
  <c r="O122" i="17"/>
  <c r="M123" i="17"/>
  <c r="O123" i="17"/>
  <c r="M124" i="17"/>
  <c r="O124" i="17"/>
  <c r="M125" i="17"/>
  <c r="O125" i="17"/>
  <c r="M126" i="17"/>
  <c r="O126" i="17"/>
  <c r="M127" i="17"/>
  <c r="O127" i="17"/>
  <c r="M128" i="17"/>
  <c r="O128" i="17"/>
  <c r="M129" i="17"/>
  <c r="O129" i="17"/>
  <c r="M130" i="17"/>
  <c r="O130" i="17"/>
  <c r="M131" i="17"/>
  <c r="O131" i="17"/>
  <c r="M132" i="17"/>
  <c r="O132" i="17"/>
  <c r="M133" i="17"/>
  <c r="O133" i="17"/>
  <c r="M134" i="17"/>
  <c r="O134" i="17"/>
  <c r="M135" i="17"/>
  <c r="O135" i="17"/>
  <c r="M136" i="17"/>
  <c r="O136" i="17"/>
  <c r="M137" i="17"/>
  <c r="O137" i="17"/>
  <c r="M138" i="17"/>
  <c r="O138" i="17"/>
  <c r="M139" i="17"/>
  <c r="O139" i="17"/>
  <c r="M140" i="17"/>
  <c r="O140" i="17"/>
  <c r="M141" i="17"/>
  <c r="O141" i="17"/>
  <c r="M142" i="17"/>
  <c r="O142" i="17"/>
  <c r="M143" i="17"/>
  <c r="O143" i="17"/>
  <c r="M144" i="17"/>
  <c r="O144" i="17"/>
  <c r="M145" i="17"/>
  <c r="O145" i="17"/>
  <c r="M146" i="17"/>
  <c r="O146" i="17"/>
  <c r="M147" i="17"/>
  <c r="O147" i="17"/>
  <c r="M148" i="17"/>
  <c r="O148" i="17"/>
  <c r="M149" i="17"/>
  <c r="O149" i="17"/>
  <c r="M150" i="17"/>
  <c r="O150" i="17"/>
  <c r="M151" i="17"/>
  <c r="O151" i="17"/>
  <c r="M152" i="17"/>
  <c r="O152" i="17"/>
  <c r="M153" i="17"/>
  <c r="O153" i="17"/>
  <c r="M154" i="17"/>
  <c r="O154" i="17"/>
  <c r="C12" i="2"/>
  <c r="C12" i="1"/>
  <c r="O3" i="3"/>
  <c r="A5" i="2"/>
  <c r="A1" i="2"/>
  <c r="F13" i="2"/>
  <c r="C8" i="2" s="1"/>
  <c r="F13" i="1"/>
  <c r="C55" i="1" s="1"/>
  <c r="C89" i="2"/>
  <c r="I11" i="13"/>
  <c r="K11" i="13"/>
  <c r="L18" i="13"/>
  <c r="N18" i="13"/>
  <c r="L19" i="13"/>
  <c r="N19" i="13"/>
  <c r="L20" i="13"/>
  <c r="N20" i="13"/>
  <c r="L21" i="13"/>
  <c r="N21" i="13"/>
  <c r="L22" i="13"/>
  <c r="N22" i="13"/>
  <c r="L23" i="13"/>
  <c r="N23" i="13"/>
  <c r="L24" i="13"/>
  <c r="N24" i="13"/>
  <c r="L25" i="13"/>
  <c r="N25" i="13"/>
  <c r="L26" i="13"/>
  <c r="N26" i="13"/>
  <c r="L27" i="13"/>
  <c r="N27" i="13"/>
  <c r="L28" i="13"/>
  <c r="N28" i="13"/>
  <c r="L29" i="13"/>
  <c r="N29" i="13"/>
  <c r="L30" i="13"/>
  <c r="N30" i="13"/>
  <c r="L31" i="13"/>
  <c r="N31" i="13"/>
  <c r="L32" i="13"/>
  <c r="N32" i="13"/>
  <c r="L33" i="13"/>
  <c r="N33" i="13"/>
  <c r="L34" i="13"/>
  <c r="N34" i="13"/>
  <c r="L35" i="13"/>
  <c r="N35" i="13"/>
  <c r="L36" i="13"/>
  <c r="N36" i="13"/>
  <c r="L37" i="13"/>
  <c r="N37" i="13"/>
  <c r="L38" i="13"/>
  <c r="N38" i="13"/>
  <c r="L39" i="13"/>
  <c r="N39" i="13"/>
  <c r="L40" i="13"/>
  <c r="N40" i="13"/>
  <c r="L41" i="13"/>
  <c r="N41" i="13"/>
  <c r="L42" i="13"/>
  <c r="N42" i="13"/>
  <c r="L43" i="13"/>
  <c r="N43" i="13"/>
  <c r="L44" i="13"/>
  <c r="N44" i="13"/>
  <c r="L45" i="13"/>
  <c r="N45" i="13"/>
  <c r="L46" i="13"/>
  <c r="N46" i="13"/>
  <c r="L47" i="13"/>
  <c r="N47" i="13"/>
  <c r="L48" i="13"/>
  <c r="N48" i="13"/>
  <c r="L49" i="13"/>
  <c r="N49" i="13"/>
  <c r="L50" i="13"/>
  <c r="N50" i="13"/>
  <c r="L51" i="13"/>
  <c r="N51" i="13"/>
  <c r="L52" i="13"/>
  <c r="N52" i="13"/>
  <c r="L53" i="13"/>
  <c r="N53" i="13"/>
  <c r="L54" i="13"/>
  <c r="N54" i="13"/>
  <c r="L55" i="13"/>
  <c r="N55" i="13"/>
  <c r="L56" i="13"/>
  <c r="N56" i="13"/>
  <c r="L57" i="13"/>
  <c r="N57" i="13"/>
  <c r="L58" i="13"/>
  <c r="N58" i="13"/>
  <c r="L59" i="13"/>
  <c r="N59" i="13"/>
  <c r="L60" i="13"/>
  <c r="N60" i="13"/>
  <c r="L61" i="13"/>
  <c r="N61" i="13"/>
  <c r="L62" i="13"/>
  <c r="N62" i="13"/>
  <c r="L63" i="13"/>
  <c r="N63" i="13"/>
  <c r="L64" i="13"/>
  <c r="N64" i="13"/>
  <c r="L65" i="13"/>
  <c r="N65" i="13"/>
  <c r="L66" i="13"/>
  <c r="N66" i="13"/>
  <c r="L67" i="13"/>
  <c r="N67" i="13"/>
  <c r="L68" i="13"/>
  <c r="N68" i="13"/>
  <c r="L69" i="13"/>
  <c r="N69" i="13"/>
  <c r="L70" i="13"/>
  <c r="N70" i="13"/>
  <c r="L71" i="13"/>
  <c r="N71" i="13"/>
  <c r="L72" i="13"/>
  <c r="N72" i="13"/>
  <c r="D89" i="13"/>
  <c r="D91" i="13"/>
  <c r="J93" i="13"/>
  <c r="L93" i="13"/>
  <c r="D96" i="13"/>
  <c r="M99" i="13"/>
  <c r="O99" i="13"/>
  <c r="M100" i="13"/>
  <c r="O100" i="13"/>
  <c r="M101" i="13"/>
  <c r="O101" i="13"/>
  <c r="M102" i="13"/>
  <c r="O102" i="13"/>
  <c r="M103" i="13"/>
  <c r="O103" i="13"/>
  <c r="M104" i="13"/>
  <c r="O104" i="13"/>
  <c r="M105" i="13"/>
  <c r="O105" i="13"/>
  <c r="M106" i="13"/>
  <c r="O106" i="13"/>
  <c r="M107" i="13"/>
  <c r="O107" i="13"/>
  <c r="M108" i="13"/>
  <c r="O108" i="13"/>
  <c r="M109" i="13"/>
  <c r="O109" i="13"/>
  <c r="M110" i="13"/>
  <c r="O110" i="13"/>
  <c r="M111" i="13"/>
  <c r="O111" i="13"/>
  <c r="M112" i="13"/>
  <c r="O112" i="13"/>
  <c r="M113" i="13"/>
  <c r="O113" i="13"/>
  <c r="M114" i="13"/>
  <c r="O114" i="13"/>
  <c r="M115" i="13"/>
  <c r="O115" i="13"/>
  <c r="M116" i="13"/>
  <c r="O116" i="13"/>
  <c r="M117" i="13"/>
  <c r="O117" i="13"/>
  <c r="M118" i="13"/>
  <c r="O118" i="13"/>
  <c r="M119" i="13"/>
  <c r="O119" i="13"/>
  <c r="M120" i="13"/>
  <c r="O120" i="13"/>
  <c r="M121" i="13"/>
  <c r="O121" i="13"/>
  <c r="M122" i="13"/>
  <c r="O122" i="13"/>
  <c r="M123" i="13"/>
  <c r="O123" i="13"/>
  <c r="M124" i="13"/>
  <c r="O124" i="13"/>
  <c r="M125" i="13"/>
  <c r="O125" i="13"/>
  <c r="M126" i="13"/>
  <c r="O126" i="13"/>
  <c r="M127" i="13"/>
  <c r="O127" i="13"/>
  <c r="M128" i="13"/>
  <c r="O128" i="13"/>
  <c r="M129" i="13"/>
  <c r="O129" i="13"/>
  <c r="M130" i="13"/>
  <c r="O130" i="13"/>
  <c r="J131" i="13"/>
  <c r="M131" i="13"/>
  <c r="O131" i="13"/>
  <c r="P131" i="13"/>
  <c r="J132" i="13"/>
  <c r="M132" i="13"/>
  <c r="O132" i="13"/>
  <c r="P132" i="13"/>
  <c r="J133" i="13"/>
  <c r="M133" i="13"/>
  <c r="O133" i="13"/>
  <c r="P133" i="13"/>
  <c r="J134" i="13"/>
  <c r="M134" i="13"/>
  <c r="O134" i="13"/>
  <c r="P134" i="13"/>
  <c r="J135" i="13"/>
  <c r="M135" i="13"/>
  <c r="O135" i="13"/>
  <c r="P135" i="13"/>
  <c r="J136" i="13"/>
  <c r="M136" i="13"/>
  <c r="O136" i="13"/>
  <c r="P136" i="13"/>
  <c r="J137" i="13"/>
  <c r="M137" i="13"/>
  <c r="O137" i="13"/>
  <c r="P137" i="13"/>
  <c r="J138" i="13"/>
  <c r="M138" i="13"/>
  <c r="O138" i="13"/>
  <c r="P138" i="13"/>
  <c r="J139" i="13"/>
  <c r="M139" i="13"/>
  <c r="O139" i="13"/>
  <c r="P139" i="13"/>
  <c r="J140" i="13"/>
  <c r="M140" i="13"/>
  <c r="O140" i="13"/>
  <c r="P140" i="13"/>
  <c r="J141" i="13"/>
  <c r="M141" i="13"/>
  <c r="O141" i="13"/>
  <c r="P141" i="13"/>
  <c r="J142" i="13"/>
  <c r="M142" i="13"/>
  <c r="O142" i="13"/>
  <c r="P142" i="13"/>
  <c r="J143" i="13"/>
  <c r="M143" i="13"/>
  <c r="O143" i="13"/>
  <c r="P143" i="13"/>
  <c r="J144" i="13"/>
  <c r="M144" i="13"/>
  <c r="O144" i="13"/>
  <c r="P144" i="13"/>
  <c r="J145" i="13"/>
  <c r="M145" i="13"/>
  <c r="O145" i="13"/>
  <c r="P145" i="13"/>
  <c r="J146" i="13"/>
  <c r="M146" i="13"/>
  <c r="O146" i="13"/>
  <c r="P146" i="13"/>
  <c r="J147" i="13"/>
  <c r="M147" i="13"/>
  <c r="O147" i="13"/>
  <c r="P147" i="13"/>
  <c r="J148" i="13"/>
  <c r="M148" i="13"/>
  <c r="O148" i="13"/>
  <c r="P148" i="13"/>
  <c r="J149" i="13"/>
  <c r="M149" i="13"/>
  <c r="O149" i="13"/>
  <c r="P149" i="13"/>
  <c r="J150" i="13"/>
  <c r="M150" i="13"/>
  <c r="O150" i="13"/>
  <c r="P150" i="13"/>
  <c r="J151" i="13"/>
  <c r="M151" i="13"/>
  <c r="O151" i="13"/>
  <c r="P151" i="13"/>
  <c r="J152" i="13"/>
  <c r="M152" i="13"/>
  <c r="O152" i="13"/>
  <c r="P152" i="13"/>
  <c r="J153" i="13"/>
  <c r="M153" i="13"/>
  <c r="O153" i="13"/>
  <c r="P153" i="13"/>
  <c r="J154" i="13"/>
  <c r="M154" i="13"/>
  <c r="O154" i="13"/>
  <c r="P154" i="13"/>
  <c r="K11" i="3"/>
  <c r="L17" i="3"/>
  <c r="N17" i="3"/>
  <c r="N27" i="3"/>
  <c r="N28" i="3"/>
  <c r="O28" i="3" s="1"/>
  <c r="N29" i="3"/>
  <c r="N31" i="3"/>
  <c r="L33" i="3"/>
  <c r="N33" i="3"/>
  <c r="L34" i="3"/>
  <c r="N34" i="3"/>
  <c r="L35" i="3"/>
  <c r="N35" i="3"/>
  <c r="L36" i="3"/>
  <c r="N36" i="3"/>
  <c r="L37" i="3"/>
  <c r="N37" i="3"/>
  <c r="L38" i="3"/>
  <c r="N38" i="3"/>
  <c r="L39" i="3"/>
  <c r="N39" i="3"/>
  <c r="L40" i="3"/>
  <c r="N40" i="3"/>
  <c r="L41" i="3"/>
  <c r="N41" i="3"/>
  <c r="L42" i="3"/>
  <c r="N42" i="3"/>
  <c r="L43" i="3"/>
  <c r="N43" i="3"/>
  <c r="L44" i="3"/>
  <c r="N44" i="3"/>
  <c r="L45" i="3"/>
  <c r="N45" i="3"/>
  <c r="L46" i="3"/>
  <c r="N46" i="3"/>
  <c r="L47" i="3"/>
  <c r="N47" i="3"/>
  <c r="L48" i="3"/>
  <c r="N48" i="3"/>
  <c r="L49" i="3"/>
  <c r="N49" i="3"/>
  <c r="L50" i="3"/>
  <c r="N50" i="3"/>
  <c r="L51" i="3"/>
  <c r="N51" i="3"/>
  <c r="L52" i="3"/>
  <c r="N52" i="3"/>
  <c r="L53" i="3"/>
  <c r="N53" i="3"/>
  <c r="L54" i="3"/>
  <c r="N54" i="3"/>
  <c r="L55" i="3"/>
  <c r="N55" i="3"/>
  <c r="L56" i="3"/>
  <c r="N56" i="3"/>
  <c r="L57" i="3"/>
  <c r="N57" i="3"/>
  <c r="L58" i="3"/>
  <c r="N58" i="3"/>
  <c r="L59" i="3"/>
  <c r="N59" i="3"/>
  <c r="L60" i="3"/>
  <c r="N60" i="3"/>
  <c r="L61" i="3"/>
  <c r="N61" i="3"/>
  <c r="L62" i="3"/>
  <c r="N62" i="3"/>
  <c r="L63" i="3"/>
  <c r="N63" i="3"/>
  <c r="L64" i="3"/>
  <c r="N64" i="3"/>
  <c r="L65" i="3"/>
  <c r="N65" i="3"/>
  <c r="L66" i="3"/>
  <c r="N66" i="3"/>
  <c r="L67" i="3"/>
  <c r="N67" i="3"/>
  <c r="L68" i="3"/>
  <c r="N68" i="3"/>
  <c r="L69" i="3"/>
  <c r="N69" i="3"/>
  <c r="L70" i="3"/>
  <c r="N70" i="3"/>
  <c r="L71" i="3"/>
  <c r="N71" i="3"/>
  <c r="L72" i="3"/>
  <c r="N72" i="3"/>
  <c r="D89" i="3"/>
  <c r="D91" i="3"/>
  <c r="J93" i="3"/>
  <c r="L93" i="3"/>
  <c r="D96" i="3"/>
  <c r="J99" i="3"/>
  <c r="J100" i="3"/>
  <c r="O109" i="3"/>
  <c r="O110" i="3"/>
  <c r="O111" i="3"/>
  <c r="M114" i="3"/>
  <c r="O114" i="3"/>
  <c r="M115" i="3"/>
  <c r="O115" i="3"/>
  <c r="M116" i="3"/>
  <c r="O116" i="3"/>
  <c r="M117" i="3"/>
  <c r="O117" i="3"/>
  <c r="M118" i="3"/>
  <c r="O118" i="3"/>
  <c r="M119" i="3"/>
  <c r="O119" i="3"/>
  <c r="M120" i="3"/>
  <c r="O120" i="3"/>
  <c r="M121" i="3"/>
  <c r="O121" i="3"/>
  <c r="M122" i="3"/>
  <c r="O122" i="3"/>
  <c r="M123" i="3"/>
  <c r="O123" i="3"/>
  <c r="M124" i="3"/>
  <c r="O124" i="3"/>
  <c r="M125" i="3"/>
  <c r="O125" i="3"/>
  <c r="M126" i="3"/>
  <c r="O126" i="3"/>
  <c r="M127" i="3"/>
  <c r="O127" i="3"/>
  <c r="M128" i="3"/>
  <c r="O128" i="3"/>
  <c r="M129" i="3"/>
  <c r="O129" i="3"/>
  <c r="M130" i="3"/>
  <c r="O130" i="3"/>
  <c r="M131" i="3"/>
  <c r="O131" i="3"/>
  <c r="M132" i="3"/>
  <c r="O132" i="3"/>
  <c r="M133" i="3"/>
  <c r="O133" i="3"/>
  <c r="M134" i="3"/>
  <c r="O134" i="3"/>
  <c r="M135" i="3"/>
  <c r="O135" i="3"/>
  <c r="M136" i="3"/>
  <c r="O136" i="3"/>
  <c r="M137" i="3"/>
  <c r="O137" i="3"/>
  <c r="M138" i="3"/>
  <c r="O138" i="3"/>
  <c r="M139" i="3"/>
  <c r="O139" i="3"/>
  <c r="M140" i="3"/>
  <c r="O140" i="3"/>
  <c r="M141" i="3"/>
  <c r="O141" i="3"/>
  <c r="M142" i="3"/>
  <c r="O142" i="3"/>
  <c r="M143" i="3"/>
  <c r="O143" i="3"/>
  <c r="M144" i="3"/>
  <c r="O144" i="3"/>
  <c r="M145" i="3"/>
  <c r="O145" i="3"/>
  <c r="M146" i="3"/>
  <c r="O146" i="3"/>
  <c r="M147" i="3"/>
  <c r="O147" i="3"/>
  <c r="M148" i="3"/>
  <c r="O148" i="3"/>
  <c r="M149" i="3"/>
  <c r="O149" i="3"/>
  <c r="M150" i="3"/>
  <c r="O150" i="3"/>
  <c r="M151" i="3"/>
  <c r="O151" i="3"/>
  <c r="M152" i="3"/>
  <c r="O152" i="3"/>
  <c r="M153" i="3"/>
  <c r="O153" i="3"/>
  <c r="M154" i="3"/>
  <c r="O154" i="3"/>
  <c r="F12" i="2"/>
  <c r="D17" i="2"/>
  <c r="E17" i="2"/>
  <c r="D18" i="2"/>
  <c r="E18" i="2"/>
  <c r="D19" i="2"/>
  <c r="C24" i="2"/>
  <c r="E24" i="2"/>
  <c r="C31" i="2"/>
  <c r="E31" i="2"/>
  <c r="C34" i="2"/>
  <c r="E34" i="2"/>
  <c r="C40" i="2"/>
  <c r="C44" i="2"/>
  <c r="F44" i="2"/>
  <c r="C45" i="2"/>
  <c r="F45" i="2"/>
  <c r="C46" i="2"/>
  <c r="F46" i="2"/>
  <c r="C47" i="2"/>
  <c r="F47" i="2"/>
  <c r="C52" i="2"/>
  <c r="F64" i="2"/>
  <c r="C58" i="2"/>
  <c r="F58" i="2"/>
  <c r="C64" i="2"/>
  <c r="C75" i="2"/>
  <c r="F75" i="2"/>
  <c r="C81" i="2"/>
  <c r="C90" i="2"/>
  <c r="F12" i="1"/>
  <c r="D17" i="1"/>
  <c r="E17" i="1"/>
  <c r="D18" i="1"/>
  <c r="E18" i="1"/>
  <c r="D19" i="1"/>
  <c r="C24" i="1"/>
  <c r="E24" i="1"/>
  <c r="C31" i="1"/>
  <c r="E31" i="1"/>
  <c r="C34" i="1"/>
  <c r="E34" i="1"/>
  <c r="C40" i="1"/>
  <c r="C44" i="1"/>
  <c r="F44" i="1"/>
  <c r="C45" i="1"/>
  <c r="F45" i="1"/>
  <c r="C46" i="1"/>
  <c r="F46" i="1"/>
  <c r="C47" i="1"/>
  <c r="F47" i="1"/>
  <c r="C52" i="1"/>
  <c r="F64" i="1"/>
  <c r="C58" i="1"/>
  <c r="F58" i="1"/>
  <c r="C64" i="1"/>
  <c r="C75" i="1"/>
  <c r="F75" i="1"/>
  <c r="C81" i="1"/>
  <c r="C89" i="1"/>
  <c r="C90" i="1"/>
  <c r="S132" i="1"/>
  <c r="S133" i="1"/>
  <c r="S134" i="1"/>
  <c r="B23" i="27"/>
  <c r="B22" i="34"/>
  <c r="B19" i="45"/>
  <c r="B21" i="3"/>
  <c r="B20" i="43"/>
  <c r="B20" i="41"/>
  <c r="B20" i="44"/>
  <c r="I20" i="21"/>
  <c r="B23" i="29"/>
  <c r="B103" i="30"/>
  <c r="B18" i="57"/>
  <c r="B21" i="22"/>
  <c r="B18" i="53"/>
  <c r="B22" i="24"/>
  <c r="B18" i="55"/>
  <c r="B21" i="18"/>
  <c r="B22" i="31"/>
  <c r="B18" i="58"/>
  <c r="B21" i="20"/>
  <c r="B104" i="27"/>
  <c r="B18" i="54"/>
  <c r="B102" i="21"/>
  <c r="B102" i="17"/>
  <c r="B102" i="22"/>
  <c r="B103" i="24"/>
  <c r="B101" i="39"/>
  <c r="B21" i="17"/>
  <c r="B102" i="20"/>
  <c r="B102" i="19"/>
  <c r="B102" i="3"/>
  <c r="B102" i="18"/>
  <c r="B103" i="23"/>
  <c r="B104" i="29"/>
  <c r="B103" i="34"/>
  <c r="B105" i="28"/>
  <c r="J103" i="29"/>
  <c r="J100" i="39"/>
  <c r="J102" i="24"/>
  <c r="J101" i="20"/>
  <c r="J102" i="32"/>
  <c r="J102" i="23"/>
  <c r="J101" i="3"/>
  <c r="J103" i="27"/>
  <c r="J101" i="17"/>
  <c r="J101" i="19"/>
  <c r="J101" i="22"/>
  <c r="J101" i="21"/>
  <c r="J101" i="18"/>
  <c r="J104" i="28"/>
  <c r="J102" i="34"/>
  <c r="B18" i="56"/>
  <c r="B18" i="46"/>
  <c r="B20" i="42"/>
  <c r="B20" i="39"/>
  <c r="B103" i="32"/>
  <c r="B22" i="32"/>
  <c r="B24" i="28"/>
  <c r="B100" i="42"/>
  <c r="B100" i="41"/>
  <c r="B102" i="31"/>
  <c r="B100" i="43"/>
  <c r="B100" i="44"/>
  <c r="J99" i="45"/>
  <c r="J103" i="30"/>
  <c r="J100" i="42"/>
  <c r="J100" i="41"/>
  <c r="J100" i="44"/>
  <c r="J102" i="31"/>
  <c r="J100" i="43"/>
  <c r="B101" i="43"/>
  <c r="B101" i="44"/>
  <c r="B103" i="31"/>
  <c r="C99" i="63"/>
  <c r="C100" i="63" s="1"/>
  <c r="C101" i="63" s="1"/>
  <c r="C102" i="63" s="1"/>
  <c r="C103" i="63" s="1"/>
  <c r="C104" i="63" s="1"/>
  <c r="C105" i="63" s="1"/>
  <c r="C106" i="63" s="1"/>
  <c r="C107" i="63" s="1"/>
  <c r="C108" i="63" s="1"/>
  <c r="C109" i="63" s="1"/>
  <c r="C110" i="63" s="1"/>
  <c r="C111" i="63" s="1"/>
  <c r="C112" i="63" s="1"/>
  <c r="C113" i="63" s="1"/>
  <c r="C114" i="63" s="1"/>
  <c r="C115" i="63" s="1"/>
  <c r="C116" i="63" s="1"/>
  <c r="C117" i="63" s="1"/>
  <c r="C118" i="63" s="1"/>
  <c r="C119" i="63" s="1"/>
  <c r="C120" i="63" s="1"/>
  <c r="C121" i="63" s="1"/>
  <c r="C122" i="63" s="1"/>
  <c r="C123" i="63" s="1"/>
  <c r="C124" i="63" s="1"/>
  <c r="C125" i="63" s="1"/>
  <c r="C126" i="63" s="1"/>
  <c r="C127" i="63" s="1"/>
  <c r="C128" i="63" s="1"/>
  <c r="C129" i="63" s="1"/>
  <c r="C130" i="63" s="1"/>
  <c r="C131" i="63" s="1"/>
  <c r="C132" i="63" s="1"/>
  <c r="C133" i="63" s="1"/>
  <c r="C134" i="63" s="1"/>
  <c r="C135" i="63" s="1"/>
  <c r="C136" i="63" s="1"/>
  <c r="C137" i="63" s="1"/>
  <c r="C138" i="63" s="1"/>
  <c r="C139" i="63" s="1"/>
  <c r="C140" i="63" s="1"/>
  <c r="C141" i="63" s="1"/>
  <c r="C142" i="63" s="1"/>
  <c r="C143" i="63" s="1"/>
  <c r="C144" i="63" s="1"/>
  <c r="C145" i="63" s="1"/>
  <c r="C146" i="63" s="1"/>
  <c r="C147" i="63" s="1"/>
  <c r="C148" i="63" s="1"/>
  <c r="C149" i="63" s="1"/>
  <c r="C150" i="63" s="1"/>
  <c r="C151" i="63" s="1"/>
  <c r="C152" i="63" s="1"/>
  <c r="C153" i="63" s="1"/>
  <c r="C154" i="63" s="1"/>
  <c r="C99" i="62"/>
  <c r="C100" i="62" s="1"/>
  <c r="C101" i="62" s="1"/>
  <c r="C102" i="62" s="1"/>
  <c r="C103" i="62" s="1"/>
  <c r="C104" i="62" s="1"/>
  <c r="C105" i="62" s="1"/>
  <c r="C106" i="62" s="1"/>
  <c r="C107" i="62" s="1"/>
  <c r="C108" i="62" s="1"/>
  <c r="C109" i="62" s="1"/>
  <c r="C110" i="62" s="1"/>
  <c r="C111" i="62" s="1"/>
  <c r="C112" i="62" s="1"/>
  <c r="C113" i="62" s="1"/>
  <c r="C114" i="62" s="1"/>
  <c r="C115" i="62" s="1"/>
  <c r="C116" i="62" s="1"/>
  <c r="C117" i="62" s="1"/>
  <c r="C118" i="62" s="1"/>
  <c r="C119" i="62" s="1"/>
  <c r="C120" i="62" s="1"/>
  <c r="C121" i="62" s="1"/>
  <c r="C122" i="62" s="1"/>
  <c r="C123" i="62" s="1"/>
  <c r="C124" i="62" s="1"/>
  <c r="C125" i="62" s="1"/>
  <c r="C126" i="62" s="1"/>
  <c r="C127" i="62" s="1"/>
  <c r="C128" i="62" s="1"/>
  <c r="C129" i="62" s="1"/>
  <c r="C130" i="62" s="1"/>
  <c r="C131" i="62" s="1"/>
  <c r="C132" i="62" s="1"/>
  <c r="C133" i="62" s="1"/>
  <c r="C134" i="62" s="1"/>
  <c r="C135" i="62" s="1"/>
  <c r="C136" i="62" s="1"/>
  <c r="C137" i="62" s="1"/>
  <c r="C138" i="62" s="1"/>
  <c r="C139" i="62" s="1"/>
  <c r="C140" i="62" s="1"/>
  <c r="C141" i="62" s="1"/>
  <c r="C142" i="62" s="1"/>
  <c r="C143" i="62" s="1"/>
  <c r="C144" i="62" s="1"/>
  <c r="C145" i="62" s="1"/>
  <c r="C146" i="62" s="1"/>
  <c r="C147" i="62" s="1"/>
  <c r="C148" i="62" s="1"/>
  <c r="C149" i="62" s="1"/>
  <c r="C150" i="62" s="1"/>
  <c r="C151" i="62" s="1"/>
  <c r="C152" i="62" s="1"/>
  <c r="C153" i="62" s="1"/>
  <c r="C154" i="62" s="1"/>
  <c r="B101" i="41"/>
  <c r="B100" i="45"/>
  <c r="C99" i="60"/>
  <c r="C100" i="60" s="1"/>
  <c r="C101" i="60" s="1"/>
  <c r="C102" i="60" s="1"/>
  <c r="C103" i="60" s="1"/>
  <c r="C104" i="60" s="1"/>
  <c r="C105" i="60" s="1"/>
  <c r="C106" i="60" s="1"/>
  <c r="C107" i="60" s="1"/>
  <c r="C108" i="60" s="1"/>
  <c r="C109" i="60" s="1"/>
  <c r="C110" i="60" s="1"/>
  <c r="C111" i="60" s="1"/>
  <c r="C112" i="60" s="1"/>
  <c r="C113" i="60" s="1"/>
  <c r="C114" i="60" s="1"/>
  <c r="C115" i="60" s="1"/>
  <c r="C116" i="60" s="1"/>
  <c r="C117" i="60" s="1"/>
  <c r="C118" i="60" s="1"/>
  <c r="C119" i="60" s="1"/>
  <c r="C120" i="60" s="1"/>
  <c r="C121" i="60" s="1"/>
  <c r="C122" i="60" s="1"/>
  <c r="C123" i="60" s="1"/>
  <c r="C124" i="60" s="1"/>
  <c r="C125" i="60" s="1"/>
  <c r="C126" i="60" s="1"/>
  <c r="C127" i="60" s="1"/>
  <c r="C128" i="60" s="1"/>
  <c r="C129" i="60" s="1"/>
  <c r="C130" i="60" s="1"/>
  <c r="C131" i="60" s="1"/>
  <c r="C132" i="60" s="1"/>
  <c r="C133" i="60" s="1"/>
  <c r="C134" i="60" s="1"/>
  <c r="C135" i="60" s="1"/>
  <c r="C136" i="60" s="1"/>
  <c r="C137" i="60" s="1"/>
  <c r="C138" i="60" s="1"/>
  <c r="C139" i="60" s="1"/>
  <c r="C140" i="60" s="1"/>
  <c r="C141" i="60" s="1"/>
  <c r="C142" i="60" s="1"/>
  <c r="C143" i="60" s="1"/>
  <c r="C144" i="60" s="1"/>
  <c r="C145" i="60" s="1"/>
  <c r="C146" i="60" s="1"/>
  <c r="C147" i="60" s="1"/>
  <c r="C148" i="60" s="1"/>
  <c r="C149" i="60" s="1"/>
  <c r="C150" i="60" s="1"/>
  <c r="C151" i="60" s="1"/>
  <c r="C152" i="60" s="1"/>
  <c r="C153" i="60" s="1"/>
  <c r="C154" i="60" s="1"/>
  <c r="J103" i="31"/>
  <c r="B104" i="35"/>
  <c r="J99" i="53"/>
  <c r="B104" i="30"/>
  <c r="B101" i="42"/>
  <c r="J99" i="56"/>
  <c r="J100" i="45"/>
  <c r="B105" i="29"/>
  <c r="J99" i="46"/>
  <c r="B18" i="59"/>
  <c r="B23" i="32"/>
  <c r="B25" i="28"/>
  <c r="B19" i="54"/>
  <c r="B21" i="43"/>
  <c r="B22" i="21"/>
  <c r="B19" i="53"/>
  <c r="B19" i="56"/>
  <c r="B100" i="58"/>
  <c r="J101" i="41"/>
  <c r="B103" i="18"/>
  <c r="B104" i="24"/>
  <c r="B104" i="23"/>
  <c r="B106" i="28"/>
  <c r="B103" i="19"/>
  <c r="J103" i="35"/>
  <c r="J101" i="44"/>
  <c r="B103" i="22"/>
  <c r="J101" i="43"/>
  <c r="B103" i="17"/>
  <c r="B105" i="27"/>
  <c r="B19" i="58"/>
  <c r="B23" i="31"/>
  <c r="B22" i="19"/>
  <c r="B19" i="46"/>
  <c r="B18" i="63"/>
  <c r="B21" i="41"/>
  <c r="B24" i="27"/>
  <c r="B23" i="34"/>
  <c r="B24" i="30"/>
  <c r="B21" i="44"/>
  <c r="B19" i="57"/>
  <c r="B22" i="3"/>
  <c r="J99" i="55"/>
  <c r="J99" i="58"/>
  <c r="B21" i="42"/>
  <c r="B24" i="29"/>
  <c r="B18" i="62"/>
  <c r="B22" i="20"/>
  <c r="B23" i="23"/>
  <c r="B22" i="18"/>
  <c r="B22" i="22"/>
  <c r="B23" i="24"/>
  <c r="B18" i="61"/>
  <c r="B21" i="39"/>
  <c r="J104" i="29"/>
  <c r="J102" i="20"/>
  <c r="J103" i="23"/>
  <c r="J103" i="34"/>
  <c r="J102" i="19"/>
  <c r="J105" i="28"/>
  <c r="J101" i="39"/>
  <c r="J103" i="24"/>
  <c r="J103" i="32"/>
  <c r="J104" i="27"/>
  <c r="J102" i="22"/>
  <c r="J102" i="21"/>
  <c r="J102" i="18"/>
  <c r="J102" i="17"/>
  <c r="I21" i="17"/>
  <c r="J99" i="57"/>
  <c r="J99" i="54"/>
  <c r="J101" i="42"/>
  <c r="J104" i="30"/>
  <c r="B22" i="17"/>
  <c r="B103" i="3"/>
  <c r="B20" i="45"/>
  <c r="B19" i="55"/>
  <c r="B18" i="60"/>
  <c r="B104" i="32"/>
  <c r="B103" i="20"/>
  <c r="B103" i="21"/>
  <c r="B24" i="34"/>
  <c r="B25" i="29"/>
  <c r="B19" i="59"/>
  <c r="B22" i="39"/>
  <c r="B18" i="67"/>
  <c r="B19" i="63"/>
  <c r="B26" i="28"/>
  <c r="B25" i="27"/>
  <c r="B19" i="61"/>
  <c r="B23" i="3"/>
  <c r="B23" i="21"/>
  <c r="B23" i="18"/>
  <c r="B22" i="42"/>
  <c r="B19" i="62"/>
  <c r="B23" i="19"/>
  <c r="B105" i="24"/>
  <c r="B104" i="3"/>
  <c r="B106" i="27"/>
  <c r="B101" i="58"/>
  <c r="B104" i="20"/>
  <c r="B105" i="32"/>
  <c r="B20" i="54"/>
  <c r="B20" i="58"/>
  <c r="B20" i="53"/>
  <c r="B18" i="68"/>
  <c r="B22" i="43"/>
  <c r="B23" i="20"/>
  <c r="B23" i="22"/>
  <c r="B18" i="64"/>
  <c r="B18" i="65"/>
  <c r="B21" i="45"/>
  <c r="B20" i="46"/>
  <c r="B20" i="57"/>
  <c r="B24" i="32"/>
  <c r="B105" i="23"/>
  <c r="B104" i="17"/>
  <c r="B104" i="19"/>
  <c r="B107" i="28"/>
  <c r="B24" i="31"/>
  <c r="B22" i="41"/>
  <c r="B20" i="55"/>
  <c r="B23" i="17"/>
  <c r="B19" i="64"/>
  <c r="B18" i="66"/>
  <c r="B19" i="60"/>
  <c r="B20" i="56"/>
  <c r="B22" i="44"/>
  <c r="B25" i="30"/>
  <c r="B106" i="29"/>
  <c r="B24" i="24"/>
  <c r="B24" i="23"/>
  <c r="B104" i="22"/>
  <c r="B104" i="18"/>
  <c r="B101" i="54"/>
  <c r="B101" i="45"/>
  <c r="B100" i="57"/>
  <c r="B100" i="53"/>
  <c r="B104" i="31"/>
  <c r="B100" i="54"/>
  <c r="B105" i="30"/>
  <c r="B102" i="43"/>
  <c r="B102" i="41"/>
  <c r="B100" i="46"/>
  <c r="B100" i="55"/>
  <c r="B102" i="44"/>
  <c r="B100" i="56"/>
  <c r="B102" i="42"/>
  <c r="B100" i="63"/>
  <c r="B100" i="59"/>
  <c r="B100" i="60"/>
  <c r="B100" i="61"/>
  <c r="B100" i="62"/>
  <c r="B101" i="55"/>
  <c r="B101" i="57"/>
  <c r="B100" i="64"/>
  <c r="C99" i="69"/>
  <c r="C100" i="69" s="1"/>
  <c r="C101" i="69" s="1"/>
  <c r="C102" i="69" s="1"/>
  <c r="C103" i="69" s="1"/>
  <c r="C104" i="69" s="1"/>
  <c r="C105" i="69" s="1"/>
  <c r="C106" i="69" s="1"/>
  <c r="C107" i="69" s="1"/>
  <c r="C108" i="69" s="1"/>
  <c r="C109" i="69" s="1"/>
  <c r="C110" i="69" s="1"/>
  <c r="C111" i="69" s="1"/>
  <c r="C112" i="69" s="1"/>
  <c r="C113" i="69" s="1"/>
  <c r="C114" i="69" s="1"/>
  <c r="C115" i="69" s="1"/>
  <c r="C116" i="69" s="1"/>
  <c r="C117" i="69" s="1"/>
  <c r="C118" i="69" s="1"/>
  <c r="C119" i="69" s="1"/>
  <c r="C120" i="69" s="1"/>
  <c r="C121" i="69" s="1"/>
  <c r="C122" i="69" s="1"/>
  <c r="C123" i="69" s="1"/>
  <c r="C124" i="69" s="1"/>
  <c r="C125" i="69" s="1"/>
  <c r="C126" i="69" s="1"/>
  <c r="C127" i="69" s="1"/>
  <c r="C128" i="69" s="1"/>
  <c r="C129" i="69" s="1"/>
  <c r="C130" i="69" s="1"/>
  <c r="C131" i="69" s="1"/>
  <c r="C132" i="69" s="1"/>
  <c r="C133" i="69" s="1"/>
  <c r="C134" i="69" s="1"/>
  <c r="C135" i="69" s="1"/>
  <c r="C136" i="69" s="1"/>
  <c r="C137" i="69" s="1"/>
  <c r="C138" i="69" s="1"/>
  <c r="C139" i="69" s="1"/>
  <c r="C140" i="69" s="1"/>
  <c r="C141" i="69" s="1"/>
  <c r="C142" i="69" s="1"/>
  <c r="C143" i="69" s="1"/>
  <c r="C144" i="69" s="1"/>
  <c r="C145" i="69" s="1"/>
  <c r="C146" i="69" s="1"/>
  <c r="C147" i="69" s="1"/>
  <c r="C148" i="69" s="1"/>
  <c r="C149" i="69" s="1"/>
  <c r="C150" i="69" s="1"/>
  <c r="C151" i="69" s="1"/>
  <c r="C152" i="69" s="1"/>
  <c r="C153" i="69" s="1"/>
  <c r="C154" i="69" s="1"/>
  <c r="K17" i="74"/>
  <c r="L17" i="74" s="1"/>
  <c r="K17" i="73"/>
  <c r="L17" i="73" s="1"/>
  <c r="K17" i="71"/>
  <c r="L17" i="71" s="1"/>
  <c r="M17" i="71"/>
  <c r="N17" i="71" s="1"/>
  <c r="B101" i="46"/>
  <c r="B104" i="21"/>
  <c r="M17" i="74"/>
  <c r="N17" i="74" s="1"/>
  <c r="K18" i="74"/>
  <c r="L18" i="74" s="1"/>
  <c r="M17" i="73"/>
  <c r="N17" i="73" s="1"/>
  <c r="K18" i="73"/>
  <c r="L18" i="73" s="1"/>
  <c r="K17" i="72"/>
  <c r="L17" i="72" s="1"/>
  <c r="K18" i="72"/>
  <c r="L18" i="72" s="1"/>
  <c r="K18" i="71"/>
  <c r="L18" i="71" s="1"/>
  <c r="M18" i="71"/>
  <c r="N18" i="71" s="1"/>
  <c r="K17" i="70"/>
  <c r="L17" i="70" s="1"/>
  <c r="B18" i="74"/>
  <c r="B18" i="73"/>
  <c r="B18" i="72"/>
  <c r="B18" i="71"/>
  <c r="B18" i="70"/>
  <c r="B18" i="69"/>
  <c r="M18" i="74"/>
  <c r="N18" i="74" s="1"/>
  <c r="M18" i="73"/>
  <c r="N18" i="73" s="1"/>
  <c r="M18" i="72"/>
  <c r="N18" i="72" s="1"/>
  <c r="K19" i="71"/>
  <c r="L19" i="71" s="1"/>
  <c r="M17" i="70"/>
  <c r="N17" i="70" s="1"/>
  <c r="K18" i="70"/>
  <c r="L18" i="70" s="1"/>
  <c r="B100" i="69"/>
  <c r="K19" i="74"/>
  <c r="L19" i="74" s="1"/>
  <c r="K19" i="73"/>
  <c r="L19" i="73" s="1"/>
  <c r="K19" i="72"/>
  <c r="L19" i="72" s="1"/>
  <c r="M19" i="71"/>
  <c r="N19" i="71" s="1"/>
  <c r="M18" i="70"/>
  <c r="N18" i="70" s="1"/>
  <c r="B19" i="73"/>
  <c r="B19" i="72"/>
  <c r="B19" i="71"/>
  <c r="B19" i="70"/>
  <c r="B19" i="69"/>
  <c r="M19" i="74"/>
  <c r="N19" i="74" s="1"/>
  <c r="M19" i="73"/>
  <c r="N19" i="73" s="1"/>
  <c r="M19" i="72"/>
  <c r="N19" i="72" s="1"/>
  <c r="K20" i="71"/>
  <c r="L20" i="71" s="1"/>
  <c r="K19" i="70"/>
  <c r="L19" i="70" s="1"/>
  <c r="B19" i="74"/>
  <c r="B101" i="69"/>
  <c r="K20" i="74"/>
  <c r="L20" i="74" s="1"/>
  <c r="K20" i="73"/>
  <c r="L20" i="73" s="1"/>
  <c r="M20" i="71"/>
  <c r="N20" i="71" s="1"/>
  <c r="K20" i="70"/>
  <c r="L20" i="70" s="1"/>
  <c r="M19" i="70"/>
  <c r="N19" i="70" s="1"/>
  <c r="B20" i="74"/>
  <c r="B20" i="73"/>
  <c r="B20" i="72"/>
  <c r="B20" i="71"/>
  <c r="B20" i="70"/>
  <c r="B20" i="69"/>
  <c r="M20" i="74"/>
  <c r="N20" i="74" s="1"/>
  <c r="M20" i="73"/>
  <c r="N20" i="73" s="1"/>
  <c r="K21" i="71"/>
  <c r="L21" i="71" s="1"/>
  <c r="M20" i="70"/>
  <c r="N20" i="70" s="1"/>
  <c r="B102" i="69"/>
  <c r="K21" i="73"/>
  <c r="L21" i="73" s="1"/>
  <c r="M21" i="71"/>
  <c r="N21" i="71" s="1"/>
  <c r="K21" i="70"/>
  <c r="L21" i="70" s="1"/>
  <c r="B21" i="74"/>
  <c r="B21" i="73"/>
  <c r="B21" i="71"/>
  <c r="B21" i="70"/>
  <c r="B21" i="69"/>
  <c r="M21" i="73"/>
  <c r="N21" i="73" s="1"/>
  <c r="K22" i="71"/>
  <c r="L22" i="71" s="1"/>
  <c r="M21" i="70"/>
  <c r="N21" i="70" s="1"/>
  <c r="B103" i="69"/>
  <c r="M22" i="71"/>
  <c r="N22" i="71" s="1"/>
  <c r="K23" i="70"/>
  <c r="L23" i="70" s="1"/>
  <c r="M22" i="70"/>
  <c r="N22" i="70" s="1"/>
  <c r="K22" i="70"/>
  <c r="L22" i="70" s="1"/>
  <c r="B22" i="73"/>
  <c r="B22" i="71"/>
  <c r="B22" i="70"/>
  <c r="B22" i="69"/>
  <c r="K23" i="71"/>
  <c r="L23" i="71" s="1"/>
  <c r="M23" i="70"/>
  <c r="N23" i="70" s="1"/>
  <c r="B104" i="69"/>
  <c r="M23" i="71"/>
  <c r="N23" i="71" s="1"/>
  <c r="K24" i="70"/>
  <c r="L24" i="70" s="1"/>
  <c r="B23" i="71"/>
  <c r="B23" i="70"/>
  <c r="B23" i="69"/>
  <c r="M24" i="70"/>
  <c r="N24" i="70" s="1"/>
  <c r="B105" i="69"/>
  <c r="B24" i="71"/>
  <c r="B24" i="70"/>
  <c r="B24" i="69"/>
  <c r="B106" i="69"/>
  <c r="B25" i="70"/>
  <c r="B25" i="69"/>
  <c r="L102" i="39"/>
  <c r="M102" i="39" s="1"/>
  <c r="N102" i="39"/>
  <c r="O102" i="39" s="1"/>
  <c r="J102" i="39"/>
  <c r="B104" i="44"/>
  <c r="B100" i="75"/>
  <c r="B101" i="56"/>
  <c r="B103" i="44"/>
  <c r="B103" i="43"/>
  <c r="B20" i="64"/>
  <c r="B20" i="63"/>
  <c r="B23" i="41"/>
  <c r="B20" i="60"/>
  <c r="B21" i="55"/>
  <c r="B19" i="65"/>
  <c r="B26" i="30"/>
  <c r="B21" i="54"/>
  <c r="B18" i="78"/>
  <c r="B102" i="46"/>
  <c r="B22" i="74"/>
  <c r="B27" i="28"/>
  <c r="B106" i="30"/>
  <c r="B21" i="56"/>
  <c r="B20" i="62"/>
  <c r="B24" i="3"/>
  <c r="B102" i="53"/>
  <c r="B100" i="66"/>
  <c r="K21" i="74"/>
  <c r="L21" i="74" s="1"/>
  <c r="B104" i="43"/>
  <c r="B20" i="61"/>
  <c r="B18" i="75"/>
  <c r="B105" i="31"/>
  <c r="B18" i="77"/>
  <c r="B21" i="72"/>
  <c r="B25" i="71"/>
  <c r="M21" i="74"/>
  <c r="N21" i="74" s="1"/>
  <c r="B103" i="42"/>
  <c r="B106" i="31"/>
  <c r="B102" i="54"/>
  <c r="B102" i="45"/>
  <c r="B102" i="56"/>
  <c r="B26" i="69"/>
  <c r="B101" i="53"/>
  <c r="B100" i="68"/>
  <c r="B24" i="20"/>
  <c r="B103" i="41"/>
  <c r="B25" i="32"/>
  <c r="B102" i="55"/>
  <c r="B105" i="3"/>
  <c r="B101" i="59"/>
  <c r="B105" i="17"/>
  <c r="B101" i="63"/>
  <c r="B105" i="18"/>
  <c r="B104" i="39"/>
  <c r="B102" i="57"/>
  <c r="B108" i="28"/>
  <c r="B106" i="24"/>
  <c r="B107" i="27"/>
  <c r="B21" i="57"/>
  <c r="B23" i="73"/>
  <c r="B25" i="31"/>
  <c r="B23" i="43"/>
  <c r="B21" i="46"/>
  <c r="B104" i="41"/>
  <c r="B104" i="42"/>
  <c r="B24" i="21"/>
  <c r="B25" i="23"/>
  <c r="B26" i="27"/>
  <c r="B24" i="19"/>
  <c r="B107" i="29"/>
  <c r="B105" i="21"/>
  <c r="B106" i="23"/>
  <c r="J100" i="64"/>
  <c r="B105" i="22"/>
  <c r="B101" i="61"/>
  <c r="B102" i="58"/>
  <c r="B103" i="45"/>
  <c r="B100" i="65"/>
  <c r="B101" i="64"/>
  <c r="B101" i="60"/>
  <c r="B101" i="62"/>
  <c r="B21" i="61"/>
  <c r="B20" i="59"/>
  <c r="B21" i="53"/>
  <c r="B22" i="45"/>
  <c r="B23" i="44"/>
  <c r="B23" i="42"/>
  <c r="B23" i="39"/>
  <c r="B25" i="34"/>
  <c r="B106" i="32"/>
  <c r="B107" i="30"/>
  <c r="B26" i="29"/>
  <c r="B25" i="24"/>
  <c r="B24" i="22"/>
  <c r="B105" i="20"/>
  <c r="B24" i="18"/>
  <c r="B24" i="17"/>
  <c r="B102" i="61"/>
  <c r="B18" i="76"/>
  <c r="B100" i="74"/>
  <c r="B26" i="70"/>
  <c r="B100" i="73"/>
  <c r="B101" i="74"/>
  <c r="B100" i="72"/>
  <c r="B100" i="71"/>
  <c r="B100" i="70"/>
  <c r="B101" i="73"/>
  <c r="J99" i="70"/>
  <c r="B102" i="74"/>
  <c r="B101" i="72"/>
  <c r="B101" i="71"/>
  <c r="B101" i="70"/>
  <c r="B102" i="73"/>
  <c r="J100" i="70"/>
  <c r="B103" i="74"/>
  <c r="B102" i="72"/>
  <c r="B102" i="71"/>
  <c r="B102" i="70"/>
  <c r="B103" i="73"/>
  <c r="J101" i="70"/>
  <c r="B103" i="70"/>
  <c r="B104" i="73"/>
  <c r="B103" i="71"/>
  <c r="J102" i="70"/>
  <c r="B104" i="70"/>
  <c r="B104" i="71"/>
  <c r="J103" i="70"/>
  <c r="B105" i="70"/>
  <c r="B105" i="71"/>
  <c r="J104" i="70"/>
  <c r="B106" i="70"/>
  <c r="B106" i="71"/>
  <c r="J105" i="70"/>
  <c r="B107" i="70"/>
  <c r="J106" i="70"/>
  <c r="B19" i="66"/>
  <c r="B105" i="19"/>
  <c r="B21" i="58"/>
  <c r="B107" i="69"/>
  <c r="B100" i="67"/>
  <c r="J99" i="67"/>
  <c r="N99" i="67"/>
  <c r="O99" i="67" s="1"/>
  <c r="L99" i="67"/>
  <c r="M99" i="67" s="1"/>
  <c r="B102" i="60"/>
  <c r="B101" i="67"/>
  <c r="B104" i="74"/>
  <c r="B108" i="69"/>
  <c r="B101" i="68"/>
  <c r="B105" i="39"/>
  <c r="B100" i="76"/>
  <c r="B103" i="55"/>
  <c r="B100" i="79"/>
  <c r="B105" i="73"/>
  <c r="B106" i="17"/>
  <c r="B103" i="72"/>
  <c r="B107" i="32"/>
  <c r="B100" i="77"/>
  <c r="B100" i="78"/>
  <c r="B106" i="34"/>
  <c r="B103" i="58"/>
  <c r="B108" i="70"/>
  <c r="B101" i="66"/>
  <c r="B102" i="62"/>
  <c r="B109" i="28"/>
  <c r="B103" i="57"/>
  <c r="B106" i="19"/>
  <c r="B106" i="22"/>
  <c r="B102" i="64"/>
  <c r="B106" i="21"/>
  <c r="B107" i="23"/>
  <c r="B107" i="71"/>
  <c r="B102" i="59"/>
  <c r="B106" i="18"/>
  <c r="J103" i="45"/>
  <c r="J104" i="43"/>
  <c r="J102" i="56"/>
  <c r="J101" i="63"/>
  <c r="J103" i="74"/>
  <c r="J100" i="66"/>
  <c r="J104" i="39"/>
  <c r="J104" i="73"/>
  <c r="J101" i="64"/>
  <c r="J105" i="22"/>
  <c r="J101" i="60"/>
  <c r="J102" i="57"/>
  <c r="J99" i="76"/>
  <c r="J102" i="53"/>
  <c r="J100" i="68"/>
  <c r="J102" i="55"/>
  <c r="J102" i="72"/>
  <c r="L102" i="58"/>
  <c r="M102" i="58" s="1"/>
  <c r="J107" i="27"/>
  <c r="J106" i="23"/>
  <c r="J106" i="24"/>
  <c r="J101" i="59"/>
  <c r="J102" i="54"/>
  <c r="J107" i="69"/>
  <c r="J102" i="46"/>
  <c r="J105" i="17"/>
  <c r="N102" i="58"/>
  <c r="O102" i="58" s="1"/>
  <c r="J102" i="58"/>
  <c r="J100" i="65"/>
  <c r="J101" i="62"/>
  <c r="J105" i="19"/>
  <c r="J105" i="21"/>
  <c r="J105" i="18"/>
  <c r="J104" i="44"/>
  <c r="J106" i="32"/>
  <c r="J107" i="70"/>
  <c r="J100" i="67"/>
  <c r="J99" i="75"/>
  <c r="J105" i="20"/>
  <c r="J99" i="79"/>
  <c r="J106" i="31"/>
  <c r="J99" i="77"/>
  <c r="J104" i="42"/>
  <c r="J108" i="28"/>
  <c r="J99" i="78"/>
  <c r="J107" i="29"/>
  <c r="J104" i="41"/>
  <c r="J107" i="30"/>
  <c r="J105" i="3"/>
  <c r="J106" i="71"/>
  <c r="J106" i="34"/>
  <c r="B24" i="39"/>
  <c r="B18" i="83"/>
  <c r="B18" i="80"/>
  <c r="B24" i="41"/>
  <c r="B19" i="75"/>
  <c r="B26" i="31"/>
  <c r="B18" i="84"/>
  <c r="B25" i="21"/>
  <c r="B20" i="67"/>
  <c r="B26" i="34"/>
  <c r="B22" i="54"/>
  <c r="B22" i="72"/>
  <c r="B19" i="79"/>
  <c r="B25" i="20"/>
  <c r="B27" i="69"/>
  <c r="B18" i="82"/>
  <c r="B22" i="55"/>
  <c r="B21" i="63"/>
  <c r="B26" i="71"/>
  <c r="B27" i="29"/>
  <c r="B21" i="59"/>
  <c r="B24" i="43"/>
  <c r="B24" i="73"/>
  <c r="B23" i="74"/>
  <c r="B24" i="42"/>
  <c r="B20" i="66"/>
  <c r="I26" i="70"/>
  <c r="I21" i="46"/>
  <c r="I19" i="66"/>
  <c r="I23" i="44"/>
  <c r="I24" i="3"/>
  <c r="B21" i="60"/>
  <c r="I20" i="63"/>
  <c r="I21" i="56"/>
  <c r="I21" i="55"/>
  <c r="I24" i="19"/>
  <c r="I17" i="82"/>
  <c r="I26" i="69"/>
  <c r="I21" i="72"/>
  <c r="I24" i="22"/>
  <c r="I25" i="32"/>
  <c r="B26" i="24"/>
  <c r="I19" i="67"/>
  <c r="I24" i="21"/>
  <c r="I21" i="53"/>
  <c r="B28" i="28"/>
  <c r="B21" i="62"/>
  <c r="I21" i="58"/>
  <c r="I17" i="83"/>
  <c r="I23" i="39"/>
  <c r="I18" i="77"/>
  <c r="I26" i="27"/>
  <c r="I23" i="43"/>
  <c r="I25" i="71"/>
  <c r="I21" i="57"/>
  <c r="I25" i="23"/>
  <c r="I22" i="45"/>
  <c r="I17" i="84"/>
  <c r="I25" i="31"/>
  <c r="B22" i="53"/>
  <c r="B27" i="30"/>
  <c r="B27" i="70"/>
  <c r="M22" i="74"/>
  <c r="N22" i="74" s="1"/>
  <c r="I22" i="74"/>
  <c r="I20" i="59"/>
  <c r="I20" i="60"/>
  <c r="B22" i="46"/>
  <c r="I23" i="42"/>
  <c r="K22" i="74"/>
  <c r="L22" i="74" s="1"/>
  <c r="I23" i="73"/>
  <c r="B25" i="3"/>
  <c r="I26" i="29"/>
  <c r="B22" i="57"/>
  <c r="I24" i="20"/>
  <c r="I18" i="79"/>
  <c r="B19" i="78"/>
  <c r="B20" i="68"/>
  <c r="I18" i="76"/>
  <c r="B26" i="23"/>
  <c r="I21" i="54"/>
  <c r="I25" i="24"/>
  <c r="I24" i="18"/>
  <c r="I23" i="41"/>
  <c r="I27" i="28"/>
  <c r="I20" i="62"/>
  <c r="I20" i="64"/>
  <c r="B22" i="58"/>
  <c r="I19" i="65"/>
  <c r="I17" i="80"/>
  <c r="B19" i="77"/>
  <c r="I26" i="30"/>
  <c r="B27" i="27"/>
  <c r="I18" i="78"/>
  <c r="I19" i="68"/>
  <c r="I25" i="34"/>
  <c r="B25" i="18"/>
  <c r="B23" i="45"/>
  <c r="I18" i="75"/>
  <c r="I17" i="81"/>
  <c r="I24" i="17"/>
  <c r="B25" i="17"/>
  <c r="B21" i="64"/>
  <c r="B102" i="63"/>
  <c r="B22" i="56"/>
  <c r="B26" i="32"/>
  <c r="B106" i="3"/>
  <c r="B103" i="46"/>
  <c r="B108" i="29"/>
  <c r="B108" i="27"/>
  <c r="B107" i="24"/>
  <c r="B106" i="20"/>
  <c r="B18" i="81"/>
  <c r="B19" i="76"/>
  <c r="B20" i="65"/>
  <c r="B24" i="44"/>
  <c r="B25" i="19"/>
  <c r="B25" i="22"/>
  <c r="B18" i="85"/>
  <c r="B104" i="45"/>
  <c r="B105" i="44"/>
  <c r="B105" i="43"/>
  <c r="B103" i="53"/>
  <c r="B107" i="31"/>
  <c r="B22" i="63"/>
  <c r="B22" i="61"/>
  <c r="B20" i="79"/>
  <c r="I27" i="29"/>
  <c r="I23" i="45"/>
  <c r="I21" i="63"/>
  <c r="B28" i="29"/>
  <c r="I18" i="83"/>
  <c r="I21" i="61"/>
  <c r="B19" i="83"/>
  <c r="I25" i="18"/>
  <c r="I25" i="20"/>
  <c r="I22" i="58"/>
  <c r="I19" i="79"/>
  <c r="B26" i="19"/>
  <c r="B22" i="62"/>
  <c r="B25" i="43"/>
  <c r="I25" i="19"/>
  <c r="I17" i="88"/>
  <c r="I24" i="43"/>
  <c r="I21" i="62"/>
  <c r="B27" i="23"/>
  <c r="B101" i="65"/>
  <c r="B101" i="79"/>
  <c r="B107" i="21"/>
  <c r="B107" i="34"/>
  <c r="B102" i="68"/>
  <c r="B107" i="22"/>
  <c r="B101" i="78"/>
  <c r="B109" i="27"/>
  <c r="B110" i="28"/>
  <c r="B104" i="46"/>
  <c r="J103" i="53"/>
  <c r="B109" i="69"/>
  <c r="B107" i="19"/>
  <c r="B103" i="62"/>
  <c r="B104" i="72"/>
  <c r="B101" i="76"/>
  <c r="B107" i="18"/>
  <c r="B107" i="17"/>
  <c r="B107" i="3"/>
  <c r="B108" i="23"/>
  <c r="B103" i="59"/>
  <c r="B101" i="77"/>
  <c r="B108" i="24"/>
  <c r="B26" i="22"/>
  <c r="B23" i="56"/>
  <c r="B22" i="60"/>
  <c r="B27" i="32"/>
  <c r="B18" i="86"/>
  <c r="B19" i="81"/>
  <c r="B22" i="64"/>
  <c r="B25" i="73"/>
  <c r="B25" i="39"/>
  <c r="B19" i="85"/>
  <c r="B23" i="53"/>
  <c r="B23" i="54"/>
  <c r="I26" i="23"/>
  <c r="I18" i="82"/>
  <c r="I17" i="90"/>
  <c r="B18" i="87"/>
  <c r="B20" i="76"/>
  <c r="B25" i="41"/>
  <c r="B27" i="34"/>
  <c r="B20" i="78"/>
  <c r="B28" i="69"/>
  <c r="B28" i="30"/>
  <c r="B108" i="32"/>
  <c r="B109" i="70"/>
  <c r="B103" i="63"/>
  <c r="B109" i="29"/>
  <c r="B107" i="20"/>
  <c r="B102" i="67"/>
  <c r="B108" i="71"/>
  <c r="B104" i="57"/>
  <c r="B101" i="75"/>
  <c r="B103" i="60"/>
  <c r="B106" i="73"/>
  <c r="B104" i="55"/>
  <c r="I27" i="69"/>
  <c r="I22" i="57"/>
  <c r="I21" i="59"/>
  <c r="I20" i="67"/>
  <c r="B28" i="70"/>
  <c r="I24" i="41"/>
  <c r="B28" i="27"/>
  <c r="B20" i="75"/>
  <c r="I26" i="31"/>
  <c r="I22" i="53"/>
  <c r="B27" i="71"/>
  <c r="I20" i="66"/>
  <c r="B26" i="21"/>
  <c r="I21" i="64"/>
  <c r="I22" i="56"/>
  <c r="I25" i="22"/>
  <c r="B21" i="68"/>
  <c r="I26" i="34"/>
  <c r="I19" i="76"/>
  <c r="I27" i="27"/>
  <c r="I17" i="87"/>
  <c r="B23" i="72"/>
  <c r="B25" i="44"/>
  <c r="I23" i="74"/>
  <c r="I22" i="46"/>
  <c r="I18" i="85"/>
  <c r="I24" i="73"/>
  <c r="I25" i="21"/>
  <c r="I18" i="80"/>
  <c r="I18" i="81"/>
  <c r="I24" i="42"/>
  <c r="I19" i="77"/>
  <c r="I28" i="28"/>
  <c r="I19" i="78"/>
  <c r="B22" i="59"/>
  <c r="I20" i="68"/>
  <c r="I20" i="65"/>
  <c r="I27" i="70"/>
  <c r="I17" i="92"/>
  <c r="I26" i="24"/>
  <c r="I22" i="54"/>
  <c r="I26" i="71"/>
  <c r="B26" i="3"/>
  <c r="I24" i="39"/>
  <c r="I26" i="32"/>
  <c r="I21" i="60"/>
  <c r="I27" i="30"/>
  <c r="B21" i="67"/>
  <c r="I22" i="72"/>
  <c r="I24" i="44"/>
  <c r="I19" i="75"/>
  <c r="B24" i="74"/>
  <c r="I25" i="3"/>
  <c r="B25" i="42"/>
  <c r="I17" i="86"/>
  <c r="I22" i="55"/>
  <c r="J107" i="71"/>
  <c r="J107" i="32"/>
  <c r="J103" i="72"/>
  <c r="J106" i="3"/>
  <c r="J108" i="29"/>
  <c r="J106" i="17"/>
  <c r="J106" i="21"/>
  <c r="J109" i="28"/>
  <c r="J103" i="46"/>
  <c r="J102" i="59"/>
  <c r="J101" i="67"/>
  <c r="J101" i="66"/>
  <c r="J107" i="24"/>
  <c r="J108" i="69"/>
  <c r="J104" i="74"/>
  <c r="J103" i="57"/>
  <c r="J100" i="75"/>
  <c r="J102" i="62"/>
  <c r="J100" i="76"/>
  <c r="J108" i="27"/>
  <c r="J105" i="73"/>
  <c r="J106" i="20"/>
  <c r="J102" i="61"/>
  <c r="J103" i="55"/>
  <c r="J102" i="63"/>
  <c r="J106" i="22"/>
  <c r="J106" i="18"/>
  <c r="J101" i="68"/>
  <c r="J100" i="78"/>
  <c r="J105" i="39"/>
  <c r="J102" i="64"/>
  <c r="J107" i="23"/>
  <c r="J106" i="19"/>
  <c r="J100" i="77"/>
  <c r="J100" i="79"/>
  <c r="J108" i="70"/>
  <c r="J103" i="58"/>
  <c r="J102" i="60"/>
  <c r="I25" i="17"/>
  <c r="B26" i="17"/>
  <c r="J107" i="34"/>
  <c r="B18" i="92"/>
  <c r="B18" i="91"/>
  <c r="B18" i="88"/>
  <c r="B19" i="82"/>
  <c r="B19" i="80"/>
  <c r="B20" i="77"/>
  <c r="B105" i="74"/>
  <c r="B102" i="66"/>
  <c r="B21" i="66"/>
  <c r="B21" i="65"/>
  <c r="B103" i="64"/>
  <c r="B103" i="61"/>
  <c r="B104" i="58"/>
  <c r="B23" i="58"/>
  <c r="B23" i="57"/>
  <c r="B23" i="55"/>
  <c r="B23" i="46"/>
  <c r="B24" i="45"/>
  <c r="B106" i="39"/>
  <c r="B27" i="31"/>
  <c r="B29" i="28"/>
  <c r="B27" i="24"/>
  <c r="B26" i="20"/>
  <c r="B26" i="18"/>
  <c r="B100" i="80"/>
  <c r="B100" i="81"/>
  <c r="J99" i="85"/>
  <c r="B105" i="41"/>
  <c r="B104" i="56"/>
  <c r="I17" i="91"/>
  <c r="I17" i="89"/>
  <c r="B18" i="89"/>
  <c r="I18" i="84"/>
  <c r="B103" i="56"/>
  <c r="B108" i="30"/>
  <c r="B100" i="82"/>
  <c r="J99" i="80"/>
  <c r="J105" i="43"/>
  <c r="B103" i="54"/>
  <c r="B105" i="42"/>
  <c r="J104" i="45"/>
  <c r="J101" i="65"/>
  <c r="J99" i="81"/>
  <c r="J105" i="41"/>
  <c r="J99" i="82"/>
  <c r="J105" i="44"/>
  <c r="J107" i="31"/>
  <c r="B100" i="83"/>
  <c r="J99" i="83"/>
  <c r="J105" i="42"/>
  <c r="J108" i="30"/>
  <c r="J103" i="54"/>
  <c r="J103" i="56"/>
  <c r="E13" i="36"/>
  <c r="B106" i="43"/>
  <c r="B104" i="54"/>
  <c r="B100" i="85"/>
  <c r="B106" i="41"/>
  <c r="E96" i="36"/>
  <c r="C99" i="96"/>
  <c r="B101" i="85"/>
  <c r="B109" i="30"/>
  <c r="B102" i="65"/>
  <c r="B104" i="61"/>
  <c r="B106" i="42"/>
  <c r="B108" i="31"/>
  <c r="B105" i="45"/>
  <c r="B102" i="76"/>
  <c r="J100" i="81"/>
  <c r="J107" i="22"/>
  <c r="B111" i="28"/>
  <c r="B108" i="22"/>
  <c r="B101" i="81"/>
  <c r="B104" i="59"/>
  <c r="J106" i="39"/>
  <c r="J100" i="83"/>
  <c r="J110" i="28"/>
  <c r="J108" i="32"/>
  <c r="J103" i="63"/>
  <c r="B102" i="77"/>
  <c r="J101" i="77"/>
  <c r="B18" i="90"/>
  <c r="B19" i="84"/>
  <c r="B108" i="17"/>
  <c r="B104" i="62"/>
  <c r="J106" i="42"/>
  <c r="B100" i="90"/>
  <c r="B105" i="57"/>
  <c r="J103" i="59"/>
  <c r="B100" i="86"/>
  <c r="J92" i="92"/>
  <c r="J92" i="18"/>
  <c r="J92" i="91"/>
  <c r="J92" i="72"/>
  <c r="J92" i="73"/>
  <c r="J92" i="30"/>
  <c r="J92" i="80"/>
  <c r="L86" i="80" s="1"/>
  <c r="A4" i="2"/>
  <c r="J92" i="42"/>
  <c r="B104" i="64"/>
  <c r="B105" i="46"/>
  <c r="B100" i="89"/>
  <c r="J100" i="80"/>
  <c r="J108" i="24"/>
  <c r="J107" i="20"/>
  <c r="J103" i="61"/>
  <c r="J100" i="85"/>
  <c r="J102" i="66"/>
  <c r="J105" i="74"/>
  <c r="B109" i="24"/>
  <c r="B100" i="91"/>
  <c r="B108" i="20"/>
  <c r="B103" i="66"/>
  <c r="B101" i="80"/>
  <c r="J101" i="76"/>
  <c r="B100" i="88"/>
  <c r="J104" i="57"/>
  <c r="B108" i="3"/>
  <c r="J104" i="46"/>
  <c r="B108" i="34"/>
  <c r="J107" i="17"/>
  <c r="B102" i="75"/>
  <c r="J99" i="86"/>
  <c r="J103" i="64"/>
  <c r="J99" i="90"/>
  <c r="J99" i="88"/>
  <c r="J103" i="62"/>
  <c r="B107" i="73"/>
  <c r="J99" i="91"/>
  <c r="J104" i="58"/>
  <c r="B20" i="80"/>
  <c r="I25" i="39"/>
  <c r="B21" i="76"/>
  <c r="I19" i="85"/>
  <c r="B20" i="85"/>
  <c r="I25" i="44"/>
  <c r="B29" i="27"/>
  <c r="B19" i="86"/>
  <c r="B29" i="70"/>
  <c r="B27" i="18"/>
  <c r="B29" i="30"/>
  <c r="I18" i="92"/>
  <c r="I19" i="84"/>
  <c r="B24" i="54"/>
  <c r="B24" i="55"/>
  <c r="J109" i="30"/>
  <c r="B23" i="61"/>
  <c r="B18" i="94"/>
  <c r="J99" i="89"/>
  <c r="B25" i="74"/>
  <c r="B26" i="73"/>
  <c r="I25" i="73"/>
  <c r="I17" i="95"/>
  <c r="B109" i="23"/>
  <c r="B110" i="69"/>
  <c r="B108" i="21"/>
  <c r="B110" i="29"/>
  <c r="I17" i="94"/>
  <c r="B27" i="19"/>
  <c r="I28" i="69"/>
  <c r="I26" i="21"/>
  <c r="I19" i="83"/>
  <c r="I23" i="56"/>
  <c r="I22" i="63"/>
  <c r="I23" i="58"/>
  <c r="I26" i="20"/>
  <c r="B28" i="31"/>
  <c r="B29" i="69"/>
  <c r="I22" i="61"/>
  <c r="I21" i="65"/>
  <c r="I21" i="66"/>
  <c r="I26" i="18"/>
  <c r="B24" i="56"/>
  <c r="I19" i="80"/>
  <c r="I24" i="74"/>
  <c r="B26" i="42"/>
  <c r="I23" i="54"/>
  <c r="B27" i="22"/>
  <c r="I18" i="86"/>
  <c r="I27" i="31"/>
  <c r="I26" i="19"/>
  <c r="I28" i="30"/>
  <c r="I28" i="70"/>
  <c r="I28" i="27"/>
  <c r="I21" i="68"/>
  <c r="B27" i="3"/>
  <c r="I20" i="75"/>
  <c r="J107" i="19"/>
  <c r="J107" i="3"/>
  <c r="J104" i="56"/>
  <c r="J107" i="21"/>
  <c r="J109" i="69"/>
  <c r="J109" i="27"/>
  <c r="J106" i="73"/>
  <c r="J106" i="43"/>
  <c r="J103" i="60"/>
  <c r="J101" i="75"/>
  <c r="J109" i="29"/>
  <c r="J108" i="23"/>
  <c r="J104" i="72"/>
  <c r="J102" i="67"/>
  <c r="I25" i="42"/>
  <c r="I27" i="34"/>
  <c r="I26" i="3"/>
  <c r="I20" i="76"/>
  <c r="I18" i="90"/>
  <c r="B20" i="81"/>
  <c r="B22" i="65"/>
  <c r="I23" i="55"/>
  <c r="J108" i="31"/>
  <c r="I26" i="22"/>
  <c r="B102" i="78"/>
  <c r="B108" i="18"/>
  <c r="B100" i="92"/>
  <c r="I19" i="81"/>
  <c r="J100" i="82"/>
  <c r="J108" i="34"/>
  <c r="B105" i="55"/>
  <c r="B109" i="71"/>
  <c r="I22" i="60"/>
  <c r="J104" i="54"/>
  <c r="B100" i="87"/>
  <c r="B104" i="53"/>
  <c r="B106" i="44"/>
  <c r="J107" i="18"/>
  <c r="J102" i="65"/>
  <c r="J101" i="79"/>
  <c r="J101" i="78"/>
  <c r="J108" i="71"/>
  <c r="J104" i="55"/>
  <c r="J99" i="92"/>
  <c r="B22" i="67"/>
  <c r="J105" i="45"/>
  <c r="J106" i="41"/>
  <c r="B103" i="68"/>
  <c r="B24" i="53"/>
  <c r="B21" i="77"/>
  <c r="B28" i="71"/>
  <c r="B26" i="43"/>
  <c r="B19" i="87"/>
  <c r="B29" i="29"/>
  <c r="B30" i="28"/>
  <c r="I21" i="67"/>
  <c r="B23" i="64"/>
  <c r="B26" i="41"/>
  <c r="B19" i="91"/>
  <c r="B110" i="70"/>
  <c r="B100" i="84"/>
  <c r="B24" i="46"/>
  <c r="B28" i="23"/>
  <c r="J99" i="87"/>
  <c r="J99" i="84"/>
  <c r="B24" i="72"/>
  <c r="I27" i="24"/>
  <c r="I23" i="53"/>
  <c r="B21" i="79"/>
  <c r="I23" i="46"/>
  <c r="I20" i="78"/>
  <c r="I23" i="57"/>
  <c r="I24" i="45"/>
  <c r="I28" i="29"/>
  <c r="I18" i="87"/>
  <c r="I27" i="71"/>
  <c r="I18" i="89"/>
  <c r="I17" i="96"/>
  <c r="I27" i="23"/>
  <c r="I17" i="93"/>
  <c r="B21" i="78"/>
  <c r="B28" i="32"/>
  <c r="I18" i="91"/>
  <c r="I19" i="82"/>
  <c r="I25" i="41"/>
  <c r="J102" i="68"/>
  <c r="B24" i="57"/>
  <c r="I22" i="59"/>
  <c r="I23" i="72"/>
  <c r="B25" i="45"/>
  <c r="I20" i="77"/>
  <c r="I18" i="88"/>
  <c r="B27" i="17"/>
  <c r="I27" i="32"/>
  <c r="I22" i="64"/>
  <c r="J109" i="70"/>
  <c r="B23" i="59"/>
  <c r="I29" i="28"/>
  <c r="I22" i="62"/>
  <c r="I25" i="43"/>
  <c r="B19" i="89"/>
  <c r="I20" i="79"/>
  <c r="J106" i="44"/>
  <c r="I26" i="17"/>
  <c r="J104" i="53"/>
  <c r="B18" i="93"/>
  <c r="B101" i="83"/>
  <c r="B20" i="83"/>
  <c r="B101" i="82"/>
  <c r="B20" i="82"/>
  <c r="B102" i="79"/>
  <c r="B21" i="75"/>
  <c r="B106" i="74"/>
  <c r="B105" i="72"/>
  <c r="B22" i="68"/>
  <c r="B103" i="67"/>
  <c r="B22" i="66"/>
  <c r="B104" i="60"/>
  <c r="B23" i="60"/>
  <c r="B23" i="62"/>
  <c r="B104" i="63"/>
  <c r="B23" i="63"/>
  <c r="B105" i="58"/>
  <c r="B25" i="58"/>
  <c r="B24" i="58"/>
  <c r="B26" i="44"/>
  <c r="B107" i="39"/>
  <c r="B26" i="39"/>
  <c r="B28" i="34"/>
  <c r="B109" i="32"/>
  <c r="B110" i="27"/>
  <c r="B28" i="24"/>
  <c r="B27" i="21"/>
  <c r="B27" i="20"/>
  <c r="B108" i="19"/>
  <c r="B23" i="66"/>
  <c r="B18" i="96"/>
  <c r="B18" i="95"/>
  <c r="B19" i="90"/>
  <c r="B20" i="88"/>
  <c r="B19" i="88"/>
  <c r="B20" i="90"/>
  <c r="F103" i="36"/>
  <c r="N103" i="36"/>
  <c r="O103" i="36"/>
  <c r="C103" i="36"/>
  <c r="E103" i="36"/>
  <c r="D103" i="36"/>
  <c r="J94" i="100" l="1"/>
  <c r="J95" i="100" s="1"/>
  <c r="J94" i="102"/>
  <c r="J95" i="102" s="1"/>
  <c r="J94" i="101"/>
  <c r="J95" i="101" s="1"/>
  <c r="I10" i="78"/>
  <c r="D93" i="78" s="1"/>
  <c r="C99" i="78" s="1"/>
  <c r="C100" i="78" s="1"/>
  <c r="C101" i="78" s="1"/>
  <c r="C102" i="78" s="1"/>
  <c r="C103" i="78" s="1"/>
  <c r="C104" i="78" s="1"/>
  <c r="C105" i="78" s="1"/>
  <c r="C106" i="78" s="1"/>
  <c r="C107" i="78" s="1"/>
  <c r="C108" i="78" s="1"/>
  <c r="C109" i="78" s="1"/>
  <c r="C110" i="78" s="1"/>
  <c r="C111" i="78" s="1"/>
  <c r="C112" i="78" s="1"/>
  <c r="C113" i="78" s="1"/>
  <c r="C114" i="78" s="1"/>
  <c r="C115" i="78" s="1"/>
  <c r="C116" i="78" s="1"/>
  <c r="C117" i="78" s="1"/>
  <c r="C118" i="78" s="1"/>
  <c r="C119" i="78" s="1"/>
  <c r="C120" i="78" s="1"/>
  <c r="C121" i="78" s="1"/>
  <c r="C122" i="78" s="1"/>
  <c r="C123" i="78" s="1"/>
  <c r="C124" i="78" s="1"/>
  <c r="C125" i="78" s="1"/>
  <c r="C126" i="78" s="1"/>
  <c r="C127" i="78" s="1"/>
  <c r="C128" i="78" s="1"/>
  <c r="C129" i="78" s="1"/>
  <c r="C130" i="78" s="1"/>
  <c r="C131" i="78" s="1"/>
  <c r="C132" i="78" s="1"/>
  <c r="C133" i="78" s="1"/>
  <c r="C134" i="78" s="1"/>
  <c r="C135" i="78" s="1"/>
  <c r="C136" i="78" s="1"/>
  <c r="C137" i="78" s="1"/>
  <c r="C138" i="78" s="1"/>
  <c r="C139" i="78" s="1"/>
  <c r="C140" i="78" s="1"/>
  <c r="C141" i="78" s="1"/>
  <c r="C142" i="78" s="1"/>
  <c r="C143" i="78" s="1"/>
  <c r="C144" i="78" s="1"/>
  <c r="C145" i="78" s="1"/>
  <c r="C146" i="78" s="1"/>
  <c r="C147" i="78" s="1"/>
  <c r="C148" i="78" s="1"/>
  <c r="C149" i="78" s="1"/>
  <c r="C150" i="78" s="1"/>
  <c r="C151" i="78" s="1"/>
  <c r="C152" i="78" s="1"/>
  <c r="C153" i="78" s="1"/>
  <c r="C154" i="78" s="1"/>
  <c r="I10" i="101"/>
  <c r="I10" i="100"/>
  <c r="I10" i="102"/>
  <c r="I12" i="74"/>
  <c r="I13" i="74" s="1"/>
  <c r="I12" i="102"/>
  <c r="I12" i="100"/>
  <c r="I12" i="101"/>
  <c r="D32" i="100"/>
  <c r="E32" i="100" s="1"/>
  <c r="P99" i="89"/>
  <c r="O21" i="74"/>
  <c r="O20" i="63"/>
  <c r="O18" i="80"/>
  <c r="P104" i="39"/>
  <c r="P107" i="22"/>
  <c r="P100" i="85"/>
  <c r="P99" i="86"/>
  <c r="P99" i="88"/>
  <c r="P99" i="91"/>
  <c r="O23" i="69"/>
  <c r="O17" i="78"/>
  <c r="P105" i="3"/>
  <c r="P107" i="29"/>
  <c r="P106" i="31"/>
  <c r="P106" i="34"/>
  <c r="P104" i="42"/>
  <c r="P102" i="46"/>
  <c r="P102" i="54"/>
  <c r="O20" i="59"/>
  <c r="O20" i="60"/>
  <c r="O19" i="67"/>
  <c r="O26" i="69"/>
  <c r="O17" i="96"/>
  <c r="P99" i="62"/>
  <c r="O20" i="66"/>
  <c r="O19" i="31"/>
  <c r="O26" i="31"/>
  <c r="O24" i="44"/>
  <c r="O22" i="55"/>
  <c r="O22" i="57"/>
  <c r="O21" i="60"/>
  <c r="P99" i="85"/>
  <c r="P99" i="90"/>
  <c r="P100" i="73"/>
  <c r="P102" i="73"/>
  <c r="P106" i="3"/>
  <c r="P108" i="29"/>
  <c r="O21" i="59"/>
  <c r="O21" i="63"/>
  <c r="O20" i="67"/>
  <c r="O19" i="76"/>
  <c r="O19" i="79"/>
  <c r="O17" i="87"/>
  <c r="O58" i="71"/>
  <c r="O17" i="72"/>
  <c r="O22" i="30"/>
  <c r="O21" i="31"/>
  <c r="P102" i="41"/>
  <c r="P100" i="58"/>
  <c r="P99" i="61"/>
  <c r="M87" i="73"/>
  <c r="O17" i="91"/>
  <c r="O24" i="31"/>
  <c r="O18" i="66"/>
  <c r="O17" i="85"/>
  <c r="O25" i="3"/>
  <c r="O25" i="18"/>
  <c r="O25" i="21"/>
  <c r="P107" i="34"/>
  <c r="P105" i="39"/>
  <c r="P105" i="44"/>
  <c r="P104" i="45"/>
  <c r="P103" i="46"/>
  <c r="P103" i="53"/>
  <c r="P103" i="57"/>
  <c r="P102" i="59"/>
  <c r="P102" i="63"/>
  <c r="P101" i="65"/>
  <c r="P101" i="67"/>
  <c r="P108" i="69"/>
  <c r="P107" i="71"/>
  <c r="P105" i="73"/>
  <c r="P100" i="75"/>
  <c r="P100" i="77"/>
  <c r="P100" i="78"/>
  <c r="P100" i="79"/>
  <c r="O18" i="83"/>
  <c r="P99" i="92"/>
  <c r="O17" i="89"/>
  <c r="D8" i="18"/>
  <c r="D90" i="18" s="1"/>
  <c r="P100" i="71"/>
  <c r="O23" i="3"/>
  <c r="O23" i="21"/>
  <c r="O25" i="27"/>
  <c r="O25" i="29"/>
  <c r="O24" i="34"/>
  <c r="O22" i="41"/>
  <c r="O22" i="44"/>
  <c r="O21" i="45"/>
  <c r="O20" i="54"/>
  <c r="O20" i="55"/>
  <c r="O20" i="61"/>
  <c r="O19" i="64"/>
  <c r="O33" i="90"/>
  <c r="O47" i="90"/>
  <c r="O65" i="90"/>
  <c r="P104" i="32"/>
  <c r="P106" i="69"/>
  <c r="P99" i="70"/>
  <c r="P101" i="70"/>
  <c r="P105" i="70"/>
  <c r="P100" i="72"/>
  <c r="O22" i="21"/>
  <c r="O24" i="27"/>
  <c r="O24" i="29"/>
  <c r="P99" i="71"/>
  <c r="P101" i="71"/>
  <c r="P103" i="71"/>
  <c r="P105" i="71"/>
  <c r="P99" i="72"/>
  <c r="P101" i="72"/>
  <c r="P99" i="74"/>
  <c r="P101" i="74"/>
  <c r="P104" i="17"/>
  <c r="P105" i="32"/>
  <c r="P103" i="41"/>
  <c r="P103" i="43"/>
  <c r="P102" i="45"/>
  <c r="P101" i="53"/>
  <c r="P101" i="58"/>
  <c r="P101" i="61"/>
  <c r="P100" i="64"/>
  <c r="P99" i="66"/>
  <c r="I10" i="28"/>
  <c r="D94" i="28" s="1"/>
  <c r="N87" i="72"/>
  <c r="I10" i="83"/>
  <c r="D93" i="83" s="1"/>
  <c r="C99" i="83" s="1"/>
  <c r="C100" i="83" s="1"/>
  <c r="C101" i="83" s="1"/>
  <c r="C102" i="83" s="1"/>
  <c r="C103" i="83" s="1"/>
  <c r="C104" i="83" s="1"/>
  <c r="C105" i="83" s="1"/>
  <c r="C106" i="83" s="1"/>
  <c r="C107" i="83" s="1"/>
  <c r="C108" i="83" s="1"/>
  <c r="C109" i="83" s="1"/>
  <c r="C110" i="83" s="1"/>
  <c r="C111" i="83" s="1"/>
  <c r="C112" i="83" s="1"/>
  <c r="C113" i="83" s="1"/>
  <c r="C114" i="83" s="1"/>
  <c r="C115" i="83" s="1"/>
  <c r="C116" i="83" s="1"/>
  <c r="C117" i="83" s="1"/>
  <c r="C118" i="83" s="1"/>
  <c r="C119" i="83" s="1"/>
  <c r="C120" i="83" s="1"/>
  <c r="C121" i="83" s="1"/>
  <c r="C122" i="83" s="1"/>
  <c r="C123" i="83" s="1"/>
  <c r="C124" i="83" s="1"/>
  <c r="C125" i="83" s="1"/>
  <c r="C126" i="83" s="1"/>
  <c r="C127" i="83" s="1"/>
  <c r="C128" i="83" s="1"/>
  <c r="C129" i="83" s="1"/>
  <c r="C130" i="83" s="1"/>
  <c r="C131" i="83" s="1"/>
  <c r="C132" i="83" s="1"/>
  <c r="C133" i="83" s="1"/>
  <c r="C134" i="83" s="1"/>
  <c r="C135" i="83" s="1"/>
  <c r="C136" i="83" s="1"/>
  <c r="C137" i="83" s="1"/>
  <c r="C138" i="83" s="1"/>
  <c r="C139" i="83" s="1"/>
  <c r="C140" i="83" s="1"/>
  <c r="C141" i="83" s="1"/>
  <c r="C142" i="83" s="1"/>
  <c r="C143" i="83" s="1"/>
  <c r="C144" i="83" s="1"/>
  <c r="C145" i="83" s="1"/>
  <c r="C146" i="83" s="1"/>
  <c r="C147" i="83" s="1"/>
  <c r="C148" i="83" s="1"/>
  <c r="C149" i="83" s="1"/>
  <c r="C150" i="83" s="1"/>
  <c r="C151" i="83" s="1"/>
  <c r="C152" i="83" s="1"/>
  <c r="C153" i="83" s="1"/>
  <c r="C154" i="83" s="1"/>
  <c r="I10" i="90"/>
  <c r="D93" i="90" s="1"/>
  <c r="C99" i="90" s="1"/>
  <c r="C100" i="90" s="1"/>
  <c r="C101" i="90" s="1"/>
  <c r="C102" i="90" s="1"/>
  <c r="C103" i="90" s="1"/>
  <c r="C104" i="90" s="1"/>
  <c r="C105" i="90" s="1"/>
  <c r="C106" i="90" s="1"/>
  <c r="C107" i="90" s="1"/>
  <c r="C108" i="90" s="1"/>
  <c r="C109" i="90" s="1"/>
  <c r="C110" i="90" s="1"/>
  <c r="C111" i="90" s="1"/>
  <c r="C112" i="90" s="1"/>
  <c r="C113" i="90" s="1"/>
  <c r="C114" i="90" s="1"/>
  <c r="C115" i="90" s="1"/>
  <c r="C116" i="90" s="1"/>
  <c r="C117" i="90" s="1"/>
  <c r="C118" i="90" s="1"/>
  <c r="C119" i="90" s="1"/>
  <c r="C120" i="90" s="1"/>
  <c r="C121" i="90" s="1"/>
  <c r="C122" i="90" s="1"/>
  <c r="C123" i="90" s="1"/>
  <c r="C124" i="90" s="1"/>
  <c r="C125" i="90" s="1"/>
  <c r="C126" i="90" s="1"/>
  <c r="C127" i="90" s="1"/>
  <c r="C128" i="90" s="1"/>
  <c r="C129" i="90" s="1"/>
  <c r="C130" i="90" s="1"/>
  <c r="C131" i="90" s="1"/>
  <c r="C132" i="90" s="1"/>
  <c r="C133" i="90" s="1"/>
  <c r="C134" i="90" s="1"/>
  <c r="C135" i="90" s="1"/>
  <c r="C136" i="90" s="1"/>
  <c r="C137" i="90" s="1"/>
  <c r="C138" i="90" s="1"/>
  <c r="C139" i="90" s="1"/>
  <c r="C140" i="90" s="1"/>
  <c r="C141" i="90" s="1"/>
  <c r="C142" i="90" s="1"/>
  <c r="C143" i="90" s="1"/>
  <c r="C144" i="90" s="1"/>
  <c r="C145" i="90" s="1"/>
  <c r="C146" i="90" s="1"/>
  <c r="C147" i="90" s="1"/>
  <c r="I10" i="89"/>
  <c r="D93" i="89" s="1"/>
  <c r="O22" i="3"/>
  <c r="P107" i="69"/>
  <c r="P99" i="68"/>
  <c r="O17" i="79"/>
  <c r="P100" i="82"/>
  <c r="P100" i="83"/>
  <c r="I10" i="73"/>
  <c r="N6" i="73" s="1"/>
  <c r="I10" i="46"/>
  <c r="D94" i="46" s="1"/>
  <c r="I10" i="18"/>
  <c r="N5" i="18" s="1"/>
  <c r="O20" i="3"/>
  <c r="I10" i="17"/>
  <c r="D94" i="17" s="1"/>
  <c r="O18" i="39"/>
  <c r="P101" i="34"/>
  <c r="P100" i="39"/>
  <c r="P100" i="42"/>
  <c r="O21" i="3"/>
  <c r="O21" i="17"/>
  <c r="O21" i="18"/>
  <c r="O21" i="21"/>
  <c r="O17" i="63"/>
  <c r="O17" i="59"/>
  <c r="O18" i="55"/>
  <c r="O18" i="53"/>
  <c r="O21" i="39"/>
  <c r="O21" i="44"/>
  <c r="O19" i="46"/>
  <c r="O17" i="64"/>
  <c r="P99" i="73"/>
  <c r="O18" i="69"/>
  <c r="O20" i="69"/>
  <c r="O24" i="69"/>
  <c r="O25" i="70"/>
  <c r="O24" i="18"/>
  <c r="O24" i="21"/>
  <c r="O27" i="28"/>
  <c r="O23" i="44"/>
  <c r="O21" i="46"/>
  <c r="O21" i="53"/>
  <c r="O21" i="54"/>
  <c r="O21" i="57"/>
  <c r="P101" i="64"/>
  <c r="P100" i="66"/>
  <c r="P100" i="67"/>
  <c r="P106" i="71"/>
  <c r="P102" i="72"/>
  <c r="O18" i="77"/>
  <c r="O17" i="82"/>
  <c r="M87" i="91"/>
  <c r="I12" i="22"/>
  <c r="I13" i="22" s="1"/>
  <c r="O17" i="42"/>
  <c r="I12" i="21"/>
  <c r="I13" i="21" s="1"/>
  <c r="I12" i="94"/>
  <c r="I12" i="17"/>
  <c r="I13" i="17" s="1"/>
  <c r="O19" i="32"/>
  <c r="O59" i="53"/>
  <c r="I12" i="93"/>
  <c r="I12" i="77"/>
  <c r="I13" i="77" s="1"/>
  <c r="I12" i="45"/>
  <c r="I13" i="45" s="1"/>
  <c r="I12" i="90"/>
  <c r="I13" i="90" s="1"/>
  <c r="O17" i="88"/>
  <c r="O17" i="90"/>
  <c r="O17" i="92"/>
  <c r="P99" i="84"/>
  <c r="I12" i="71"/>
  <c r="I13" i="71" s="1"/>
  <c r="I12" i="78"/>
  <c r="I13" i="78" s="1"/>
  <c r="I12" i="19"/>
  <c r="I12" i="29"/>
  <c r="I12" i="24"/>
  <c r="I13" i="24" s="1"/>
  <c r="O21" i="28"/>
  <c r="O20" i="31"/>
  <c r="P103" i="19"/>
  <c r="P104" i="31"/>
  <c r="I12" i="95"/>
  <c r="I13" i="95" s="1"/>
  <c r="I12" i="39"/>
  <c r="I13" i="39" s="1"/>
  <c r="I12" i="58"/>
  <c r="I13" i="58" s="1"/>
  <c r="I12" i="79"/>
  <c r="I13" i="79" s="1"/>
  <c r="I12" i="43"/>
  <c r="I13" i="43" s="1"/>
  <c r="I12" i="91"/>
  <c r="I13" i="91" s="1"/>
  <c r="O17" i="70"/>
  <c r="O19" i="41"/>
  <c r="P99" i="17"/>
  <c r="P100" i="3"/>
  <c r="O23" i="71"/>
  <c r="O18" i="29"/>
  <c r="O17" i="30"/>
  <c r="O18" i="18"/>
  <c r="O21" i="24"/>
  <c r="O23" i="28"/>
  <c r="O19" i="43"/>
  <c r="O19" i="44"/>
  <c r="O17" i="46"/>
  <c r="O17" i="58"/>
  <c r="P102" i="3"/>
  <c r="O21" i="20"/>
  <c r="P104" i="27"/>
  <c r="P99" i="58"/>
  <c r="O17" i="61"/>
  <c r="O18" i="58"/>
  <c r="O20" i="42"/>
  <c r="O23" i="27"/>
  <c r="P107" i="3"/>
  <c r="O20" i="28"/>
  <c r="P104" i="30"/>
  <c r="P100" i="30"/>
  <c r="P102" i="20"/>
  <c r="P103" i="24"/>
  <c r="P101" i="41"/>
  <c r="O20" i="24"/>
  <c r="P100" i="45"/>
  <c r="P106" i="70"/>
  <c r="O18" i="65"/>
  <c r="O24" i="3"/>
  <c r="P101" i="77"/>
  <c r="P101" i="79"/>
  <c r="P100" i="80"/>
  <c r="P99" i="29"/>
  <c r="O17" i="31"/>
  <c r="O19" i="68"/>
  <c r="O26" i="70"/>
  <c r="O18" i="75"/>
  <c r="O18" i="79"/>
  <c r="P99" i="81"/>
  <c r="O18" i="85"/>
  <c r="O22" i="31"/>
  <c r="O23" i="23"/>
  <c r="O23" i="32"/>
  <c r="I12" i="96"/>
  <c r="I13" i="96" s="1"/>
  <c r="I12" i="27"/>
  <c r="I13" i="27" s="1"/>
  <c r="I12" i="35"/>
  <c r="I13" i="35" s="1"/>
  <c r="H21" i="35" s="1"/>
  <c r="I12" i="92"/>
  <c r="I13" i="92" s="1"/>
  <c r="I12" i="31"/>
  <c r="I12" i="61"/>
  <c r="I13" i="61" s="1"/>
  <c r="I12" i="64"/>
  <c r="I13" i="64" s="1"/>
  <c r="I12" i="80"/>
  <c r="I13" i="80" s="1"/>
  <c r="I12" i="56"/>
  <c r="I13" i="56" s="1"/>
  <c r="I12" i="53"/>
  <c r="I13" i="53" s="1"/>
  <c r="I12" i="13"/>
  <c r="I13" i="13" s="1"/>
  <c r="I12" i="70"/>
  <c r="I13" i="70" s="1"/>
  <c r="I12" i="41"/>
  <c r="I13" i="41" s="1"/>
  <c r="I12" i="73"/>
  <c r="I13" i="73" s="1"/>
  <c r="I12" i="59"/>
  <c r="I13" i="59" s="1"/>
  <c r="I12" i="54"/>
  <c r="I13" i="54" s="1"/>
  <c r="I12" i="42"/>
  <c r="I13" i="42" s="1"/>
  <c r="I12" i="57"/>
  <c r="I13" i="57" s="1"/>
  <c r="O18" i="73"/>
  <c r="O69" i="45"/>
  <c r="O20" i="43"/>
  <c r="P102" i="56"/>
  <c r="P99" i="79"/>
  <c r="O17" i="83"/>
  <c r="I12" i="3"/>
  <c r="I13" i="3" s="1"/>
  <c r="I12" i="76"/>
  <c r="I13" i="76" s="1"/>
  <c r="I12" i="85"/>
  <c r="I13" i="85" s="1"/>
  <c r="I12" i="23"/>
  <c r="I12" i="30"/>
  <c r="I12" i="82"/>
  <c r="I13" i="82" s="1"/>
  <c r="I12" i="69"/>
  <c r="I13" i="69" s="1"/>
  <c r="I12" i="62"/>
  <c r="I13" i="62" s="1"/>
  <c r="I12" i="72"/>
  <c r="I13" i="72" s="1"/>
  <c r="I12" i="84"/>
  <c r="I13" i="84" s="1"/>
  <c r="E17" i="84" s="1"/>
  <c r="B20" i="84" s="1"/>
  <c r="I12" i="34"/>
  <c r="I13" i="34" s="1"/>
  <c r="I12" i="88"/>
  <c r="I13" i="88" s="1"/>
  <c r="I12" i="32"/>
  <c r="I13" i="32" s="1"/>
  <c r="I12" i="75"/>
  <c r="I13" i="75" s="1"/>
  <c r="I12" i="60"/>
  <c r="I13" i="60" s="1"/>
  <c r="I12" i="33"/>
  <c r="I13" i="33" s="1"/>
  <c r="I12" i="87"/>
  <c r="I13" i="87" s="1"/>
  <c r="P100" i="22"/>
  <c r="O21" i="29"/>
  <c r="O17" i="39"/>
  <c r="P100" i="55"/>
  <c r="O18" i="61"/>
  <c r="I12" i="55"/>
  <c r="I13" i="55" s="1"/>
  <c r="I12" i="63"/>
  <c r="I13" i="63" s="1"/>
  <c r="I12" i="81"/>
  <c r="I13" i="81" s="1"/>
  <c r="I12" i="46"/>
  <c r="I13" i="46" s="1"/>
  <c r="I12" i="86"/>
  <c r="I13" i="86" s="1"/>
  <c r="I12" i="65"/>
  <c r="I13" i="65" s="1"/>
  <c r="I12" i="25"/>
  <c r="I13" i="25" s="1"/>
  <c r="I12" i="28"/>
  <c r="I12" i="67"/>
  <c r="I13" i="67" s="1"/>
  <c r="I12" i="83"/>
  <c r="I13" i="83" s="1"/>
  <c r="I12" i="18"/>
  <c r="I12" i="89"/>
  <c r="I13" i="89" s="1"/>
  <c r="I12" i="66"/>
  <c r="I13" i="66" s="1"/>
  <c r="I12" i="20"/>
  <c r="I13" i="20" s="1"/>
  <c r="I12" i="26"/>
  <c r="I13" i="26" s="1"/>
  <c r="I12" i="44"/>
  <c r="I13" i="44" s="1"/>
  <c r="O17" i="19"/>
  <c r="P99" i="34"/>
  <c r="F17" i="26"/>
  <c r="D18" i="26" s="1"/>
  <c r="B18" i="26" s="1"/>
  <c r="O17" i="45"/>
  <c r="P99" i="53"/>
  <c r="P101" i="22"/>
  <c r="P102" i="31"/>
  <c r="P100" i="44"/>
  <c r="O17" i="53"/>
  <c r="O20" i="21"/>
  <c r="P103" i="20"/>
  <c r="P103" i="29"/>
  <c r="P99" i="45"/>
  <c r="P101" i="21"/>
  <c r="P102" i="19"/>
  <c r="P103" i="34"/>
  <c r="P99" i="75"/>
  <c r="O17" i="81"/>
  <c r="O18" i="88"/>
  <c r="P101" i="43"/>
  <c r="P100" i="31"/>
  <c r="P101" i="17"/>
  <c r="P101" i="18"/>
  <c r="P101" i="20"/>
  <c r="O22" i="20"/>
  <c r="P100" i="46"/>
  <c r="P102" i="71"/>
  <c r="P104" i="71"/>
  <c r="P103" i="73"/>
  <c r="P102" i="74"/>
  <c r="O21" i="69"/>
  <c r="O24" i="19"/>
  <c r="O26" i="27"/>
  <c r="O26" i="29"/>
  <c r="P106" i="18"/>
  <c r="P106" i="22"/>
  <c r="O22" i="46"/>
  <c r="O19" i="35"/>
  <c r="O20" i="23"/>
  <c r="O20" i="73"/>
  <c r="O19" i="17"/>
  <c r="P102" i="21"/>
  <c r="P102" i="22"/>
  <c r="O19" i="22"/>
  <c r="P99" i="27"/>
  <c r="O70" i="27"/>
  <c r="O68" i="27"/>
  <c r="O66" i="27"/>
  <c r="O64" i="27"/>
  <c r="O62" i="27"/>
  <c r="O58" i="27"/>
  <c r="O56" i="27"/>
  <c r="O54" i="27"/>
  <c r="O52" i="27"/>
  <c r="O50" i="27"/>
  <c r="O46" i="27"/>
  <c r="O44" i="27"/>
  <c r="O18" i="27"/>
  <c r="P105" i="28"/>
  <c r="P101" i="29"/>
  <c r="P100" i="32"/>
  <c r="O18" i="56"/>
  <c r="P103" i="22"/>
  <c r="P106" i="28"/>
  <c r="O18" i="64"/>
  <c r="O17" i="65"/>
  <c r="O17" i="67"/>
  <c r="P101" i="54"/>
  <c r="O27" i="27"/>
  <c r="O19" i="3"/>
  <c r="P102" i="34"/>
  <c r="R12" i="36"/>
  <c r="T12" i="36" s="1"/>
  <c r="P100" i="41"/>
  <c r="P99" i="54"/>
  <c r="P103" i="30"/>
  <c r="O17" i="55"/>
  <c r="O17" i="57"/>
  <c r="O18" i="46"/>
  <c r="O21" i="42"/>
  <c r="O19" i="53"/>
  <c r="P107" i="70"/>
  <c r="P100" i="69"/>
  <c r="P104" i="69"/>
  <c r="O23" i="18"/>
  <c r="O23" i="19"/>
  <c r="P107" i="27"/>
  <c r="O27" i="69"/>
  <c r="P99" i="82"/>
  <c r="P107" i="21"/>
  <c r="P108" i="32"/>
  <c r="P106" i="41"/>
  <c r="P104" i="53"/>
  <c r="P104" i="56"/>
  <c r="O21" i="66"/>
  <c r="P102" i="58"/>
  <c r="P102" i="18"/>
  <c r="O20" i="18"/>
  <c r="P102" i="23"/>
  <c r="P99" i="28"/>
  <c r="O17" i="43"/>
  <c r="P102" i="29"/>
  <c r="P99" i="43"/>
  <c r="O21" i="34"/>
  <c r="P104" i="73"/>
  <c r="O17" i="80"/>
  <c r="O19" i="74"/>
  <c r="O19" i="18"/>
  <c r="O19" i="19"/>
  <c r="P99" i="20"/>
  <c r="O53" i="27"/>
  <c r="O19" i="28"/>
  <c r="P100" i="29"/>
  <c r="P102" i="30"/>
  <c r="O21" i="30"/>
  <c r="O18" i="30"/>
  <c r="O20" i="34"/>
  <c r="P103" i="35"/>
  <c r="O18" i="35"/>
  <c r="P101" i="30"/>
  <c r="P101" i="32"/>
  <c r="P101" i="55"/>
  <c r="P99" i="77"/>
  <c r="P108" i="70"/>
  <c r="O17" i="3"/>
  <c r="P99" i="19"/>
  <c r="O20" i="20"/>
  <c r="O20" i="27"/>
  <c r="O17" i="32"/>
  <c r="P100" i="34"/>
  <c r="O17" i="41"/>
  <c r="P101" i="42"/>
  <c r="P101" i="3"/>
  <c r="P100" i="17"/>
  <c r="P100" i="19"/>
  <c r="P100" i="21"/>
  <c r="P99" i="41"/>
  <c r="P102" i="24"/>
  <c r="P99" i="67"/>
  <c r="P99" i="3"/>
  <c r="P101" i="28"/>
  <c r="P101" i="24"/>
  <c r="P99" i="57"/>
  <c r="O19" i="42"/>
  <c r="O17" i="24"/>
  <c r="P100" i="28"/>
  <c r="O19" i="34"/>
  <c r="O20" i="29"/>
  <c r="O19" i="23"/>
  <c r="O18" i="19"/>
  <c r="O19" i="20"/>
  <c r="O20" i="17"/>
  <c r="O20" i="19"/>
  <c r="O19" i="39"/>
  <c r="O17" i="54"/>
  <c r="P102" i="17"/>
  <c r="O21" i="19"/>
  <c r="P103" i="31"/>
  <c r="P99" i="56"/>
  <c r="O17" i="62"/>
  <c r="O18" i="57"/>
  <c r="P103" i="18"/>
  <c r="P102" i="42"/>
  <c r="P102" i="43"/>
  <c r="O20" i="45"/>
  <c r="P100" i="54"/>
  <c r="P103" i="70"/>
  <c r="P101" i="73"/>
  <c r="O22" i="42"/>
  <c r="P101" i="46"/>
  <c r="O19" i="62"/>
  <c r="P105" i="21"/>
  <c r="O25" i="32"/>
  <c r="O25" i="34"/>
  <c r="O23" i="39"/>
  <c r="P104" i="44"/>
  <c r="P103" i="45"/>
  <c r="O20" i="62"/>
  <c r="O26" i="32"/>
  <c r="O24" i="39"/>
  <c r="O24" i="42"/>
  <c r="O24" i="43"/>
  <c r="O28" i="27"/>
  <c r="P104" i="58"/>
  <c r="O17" i="21"/>
  <c r="O61" i="27"/>
  <c r="O43" i="27"/>
  <c r="O41" i="27"/>
  <c r="P104" i="29"/>
  <c r="P99" i="32"/>
  <c r="O68" i="32"/>
  <c r="O64" i="32"/>
  <c r="O62" i="32"/>
  <c r="O58" i="32"/>
  <c r="O56" i="32"/>
  <c r="O52" i="32"/>
  <c r="O42" i="32"/>
  <c r="O36" i="32"/>
  <c r="O18" i="32"/>
  <c r="O17" i="34"/>
  <c r="P100" i="35"/>
  <c r="O22" i="23"/>
  <c r="O31" i="64"/>
  <c r="P100" i="70"/>
  <c r="P103" i="74"/>
  <c r="P99" i="69"/>
  <c r="P101" i="69"/>
  <c r="P103" i="69"/>
  <c r="P104" i="20"/>
  <c r="P107" i="28"/>
  <c r="O17" i="75"/>
  <c r="O23" i="42"/>
  <c r="O23" i="43"/>
  <c r="O21" i="58"/>
  <c r="P100" i="68"/>
  <c r="P107" i="23"/>
  <c r="O27" i="29"/>
  <c r="P109" i="69"/>
  <c r="P99" i="23"/>
  <c r="O22" i="28"/>
  <c r="O17" i="29"/>
  <c r="P99" i="30"/>
  <c r="O18" i="34"/>
  <c r="O17" i="23"/>
  <c r="P99" i="18"/>
  <c r="P103" i="21"/>
  <c r="O23" i="17"/>
  <c r="P99" i="87"/>
  <c r="O22" i="54"/>
  <c r="P99" i="83"/>
  <c r="P106" i="42"/>
  <c r="P105" i="45"/>
  <c r="P101" i="78"/>
  <c r="O19" i="21"/>
  <c r="P103" i="23"/>
  <c r="P101" i="44"/>
  <c r="N6" i="78"/>
  <c r="C22" i="1"/>
  <c r="O23" i="70"/>
  <c r="O20" i="70"/>
  <c r="O18" i="74"/>
  <c r="O18" i="20"/>
  <c r="P99" i="22"/>
  <c r="O17" i="56"/>
  <c r="O18" i="45"/>
  <c r="C73" i="1"/>
  <c r="O22" i="71"/>
  <c r="O21" i="71"/>
  <c r="O18" i="3"/>
  <c r="O17" i="27"/>
  <c r="O22" i="27"/>
  <c r="O24" i="28"/>
  <c r="O22" i="34"/>
  <c r="O22" i="17"/>
  <c r="O23" i="24"/>
  <c r="P99" i="64"/>
  <c r="O22" i="39"/>
  <c r="P100" i="60"/>
  <c r="O17" i="84"/>
  <c r="O22" i="70"/>
  <c r="O18" i="70"/>
  <c r="O17" i="71"/>
  <c r="O18" i="17"/>
  <c r="P100" i="23"/>
  <c r="P102" i="28"/>
  <c r="P101" i="31"/>
  <c r="O18" i="41"/>
  <c r="O30" i="61"/>
  <c r="O36" i="61"/>
  <c r="O40" i="61"/>
  <c r="O42" i="61"/>
  <c r="O44" i="61"/>
  <c r="O50" i="61"/>
  <c r="O54" i="61"/>
  <c r="O58" i="61"/>
  <c r="O60" i="61"/>
  <c r="O62" i="61"/>
  <c r="O64" i="61"/>
  <c r="O66" i="61"/>
  <c r="O68" i="61"/>
  <c r="O70" i="61"/>
  <c r="O72" i="61"/>
  <c r="O17" i="60"/>
  <c r="O20" i="39"/>
  <c r="P103" i="3"/>
  <c r="O22" i="19"/>
  <c r="P105" i="29"/>
  <c r="P105" i="30"/>
  <c r="O17" i="76"/>
  <c r="P102" i="39"/>
  <c r="O24" i="70"/>
  <c r="O19" i="70"/>
  <c r="P100" i="18"/>
  <c r="P101" i="19"/>
  <c r="O72" i="21"/>
  <c r="O70" i="21"/>
  <c r="O68" i="21"/>
  <c r="O66" i="21"/>
  <c r="O62" i="21"/>
  <c r="O60" i="21"/>
  <c r="O58" i="21"/>
  <c r="O56" i="21"/>
  <c r="O48" i="21"/>
  <c r="O40" i="21"/>
  <c r="O36" i="21"/>
  <c r="O30" i="21"/>
  <c r="O18" i="21"/>
  <c r="O72" i="22"/>
  <c r="O70" i="22"/>
  <c r="O68" i="22"/>
  <c r="O64" i="22"/>
  <c r="O62" i="22"/>
  <c r="O56" i="22"/>
  <c r="O54" i="22"/>
  <c r="O52" i="22"/>
  <c r="O48" i="22"/>
  <c r="O18" i="23"/>
  <c r="O18" i="24"/>
  <c r="P100" i="27"/>
  <c r="O21" i="27"/>
  <c r="O19" i="27"/>
  <c r="P104" i="28"/>
  <c r="O19" i="30"/>
  <c r="P99" i="31"/>
  <c r="O18" i="31"/>
  <c r="P99" i="35"/>
  <c r="F17" i="33"/>
  <c r="F17" i="25"/>
  <c r="D18" i="25" s="1"/>
  <c r="B18" i="25" s="1"/>
  <c r="O63" i="55"/>
  <c r="O59" i="55"/>
  <c r="O57" i="55"/>
  <c r="O53" i="55"/>
  <c r="O51" i="55"/>
  <c r="O47" i="55"/>
  <c r="O43" i="55"/>
  <c r="O41" i="55"/>
  <c r="O39" i="55"/>
  <c r="O37" i="55"/>
  <c r="O23" i="29"/>
  <c r="P103" i="17"/>
  <c r="O19" i="55"/>
  <c r="P100" i="57"/>
  <c r="O19" i="65"/>
  <c r="P102" i="68"/>
  <c r="P102" i="69"/>
  <c r="P105" i="23"/>
  <c r="P103" i="39"/>
  <c r="P100" i="62"/>
  <c r="O17" i="77"/>
  <c r="O24" i="17"/>
  <c r="P106" i="23"/>
  <c r="P101" i="59"/>
  <c r="P107" i="31"/>
  <c r="P102" i="61"/>
  <c r="O21" i="62"/>
  <c r="O18" i="81"/>
  <c r="P108" i="24"/>
  <c r="P106" i="44"/>
  <c r="P104" i="46"/>
  <c r="P103" i="59"/>
  <c r="P103" i="61"/>
  <c r="P103" i="63"/>
  <c r="P109" i="70"/>
  <c r="P108" i="71"/>
  <c r="P106" i="73"/>
  <c r="P100" i="81"/>
  <c r="O25" i="77"/>
  <c r="O32" i="79"/>
  <c r="O20" i="58"/>
  <c r="P99" i="65"/>
  <c r="O42" i="80"/>
  <c r="O44" i="80"/>
  <c r="O54" i="80"/>
  <c r="O56" i="80"/>
  <c r="O58" i="80"/>
  <c r="O60" i="80"/>
  <c r="O59" i="82"/>
  <c r="O67" i="82"/>
  <c r="O24" i="83"/>
  <c r="O40" i="83"/>
  <c r="O42" i="83"/>
  <c r="O52" i="83"/>
  <c r="O62" i="83"/>
  <c r="P105" i="20"/>
  <c r="P106" i="32"/>
  <c r="P101" i="62"/>
  <c r="P106" i="17"/>
  <c r="O26" i="23"/>
  <c r="O26" i="24"/>
  <c r="O19" i="29"/>
  <c r="P105" i="42"/>
  <c r="P105" i="43"/>
  <c r="P103" i="54"/>
  <c r="O21" i="64"/>
  <c r="P102" i="64"/>
  <c r="O19" i="75"/>
  <c r="O18" i="84"/>
  <c r="P107" i="17"/>
  <c r="O26" i="19"/>
  <c r="P109" i="27"/>
  <c r="P110" i="28"/>
  <c r="P103" i="62"/>
  <c r="P103" i="60"/>
  <c r="P102" i="65"/>
  <c r="P105" i="74"/>
  <c r="P101" i="75"/>
  <c r="P100" i="74"/>
  <c r="O17" i="69"/>
  <c r="P101" i="57"/>
  <c r="O25" i="20"/>
  <c r="P103" i="55"/>
  <c r="P103" i="56"/>
  <c r="P100" i="76"/>
  <c r="P102" i="66"/>
  <c r="P102" i="67"/>
  <c r="O36" i="81"/>
  <c r="O56" i="81"/>
  <c r="O63" i="88"/>
  <c r="O34" i="21"/>
  <c r="O35" i="55"/>
  <c r="O33" i="55"/>
  <c r="O31" i="55"/>
  <c r="O27" i="55"/>
  <c r="O23" i="87"/>
  <c r="O30" i="73"/>
  <c r="O34" i="73"/>
  <c r="O36" i="73"/>
  <c r="O38" i="73"/>
  <c r="O40" i="73"/>
  <c r="O42" i="73"/>
  <c r="O44" i="73"/>
  <c r="O46" i="73"/>
  <c r="O50" i="73"/>
  <c r="O52" i="73"/>
  <c r="O54" i="73"/>
  <c r="O56" i="73"/>
  <c r="O62" i="73"/>
  <c r="O64" i="73"/>
  <c r="O64" i="23"/>
  <c r="O19" i="71"/>
  <c r="F18" i="1"/>
  <c r="O17" i="18"/>
  <c r="O17" i="22"/>
  <c r="P101" i="23"/>
  <c r="P99" i="24"/>
  <c r="O19" i="24"/>
  <c r="P103" i="27"/>
  <c r="P101" i="27"/>
  <c r="O20" i="30"/>
  <c r="O20" i="32"/>
  <c r="O21" i="70"/>
  <c r="O20" i="74"/>
  <c r="O18" i="72"/>
  <c r="O18" i="71"/>
  <c r="O17" i="17"/>
  <c r="O18" i="22"/>
  <c r="P100" i="24"/>
  <c r="P102" i="27"/>
  <c r="O17" i="44"/>
  <c r="O20" i="53"/>
  <c r="O25" i="69"/>
  <c r="O20" i="71"/>
  <c r="O19" i="73"/>
  <c r="F48" i="1"/>
  <c r="F52" i="1" s="1"/>
  <c r="O17" i="20"/>
  <c r="O21" i="23"/>
  <c r="O20" i="35"/>
  <c r="O17" i="35"/>
  <c r="O18" i="42"/>
  <c r="P99" i="42"/>
  <c r="P99" i="55"/>
  <c r="P106" i="30"/>
  <c r="O24" i="71"/>
  <c r="O21" i="73"/>
  <c r="O19" i="72"/>
  <c r="O17" i="73"/>
  <c r="O33" i="27"/>
  <c r="O62" i="29"/>
  <c r="O22" i="29"/>
  <c r="P101" i="39"/>
  <c r="O18" i="43"/>
  <c r="O71" i="46"/>
  <c r="O63" i="46"/>
  <c r="O59" i="46"/>
  <c r="O57" i="46"/>
  <c r="O55" i="46"/>
  <c r="O53" i="46"/>
  <c r="O51" i="46"/>
  <c r="O47" i="46"/>
  <c r="O31" i="46"/>
  <c r="O27" i="46"/>
  <c r="O70" i="53"/>
  <c r="O68" i="53"/>
  <c r="O60" i="53"/>
  <c r="O58" i="53"/>
  <c r="O56" i="53"/>
  <c r="O52" i="53"/>
  <c r="O44" i="53"/>
  <c r="P102" i="32"/>
  <c r="P100" i="43"/>
  <c r="O18" i="68"/>
  <c r="O20" i="44"/>
  <c r="O23" i="30"/>
  <c r="O21" i="22"/>
  <c r="P102" i="44"/>
  <c r="P104" i="19"/>
  <c r="P106" i="29"/>
  <c r="P103" i="42"/>
  <c r="P105" i="17"/>
  <c r="P104" i="24"/>
  <c r="O23" i="31"/>
  <c r="O18" i="60"/>
  <c r="P104" i="18"/>
  <c r="O25" i="30"/>
  <c r="P105" i="31"/>
  <c r="P105" i="34"/>
  <c r="O19" i="61"/>
  <c r="O19" i="63"/>
  <c r="P106" i="24"/>
  <c r="O25" i="17"/>
  <c r="O20" i="68"/>
  <c r="P108" i="23"/>
  <c r="O18" i="54"/>
  <c r="O22" i="32"/>
  <c r="P105" i="27"/>
  <c r="O25" i="28"/>
  <c r="O23" i="34"/>
  <c r="O21" i="43"/>
  <c r="O19" i="57"/>
  <c r="P99" i="59"/>
  <c r="P99" i="78"/>
  <c r="O33" i="79"/>
  <c r="P105" i="24"/>
  <c r="O26" i="28"/>
  <c r="O24" i="32"/>
  <c r="P103" i="44"/>
  <c r="P101" i="56"/>
  <c r="P100" i="63"/>
  <c r="O35" i="80"/>
  <c r="O34" i="82"/>
  <c r="O70" i="82"/>
  <c r="P105" i="18"/>
  <c r="O24" i="22"/>
  <c r="O20" i="64"/>
  <c r="P100" i="65"/>
  <c r="O25" i="71"/>
  <c r="O19" i="45"/>
  <c r="O20" i="41"/>
  <c r="O22" i="18"/>
  <c r="O22" i="22"/>
  <c r="P104" i="23"/>
  <c r="P101" i="45"/>
  <c r="P102" i="70"/>
  <c r="P104" i="70"/>
  <c r="P99" i="76"/>
  <c r="P105" i="69"/>
  <c r="O23" i="22"/>
  <c r="O24" i="24"/>
  <c r="O22" i="43"/>
  <c r="O20" i="56"/>
  <c r="O19" i="59"/>
  <c r="P99" i="80"/>
  <c r="P102" i="62"/>
  <c r="P107" i="20"/>
  <c r="P108" i="34"/>
  <c r="O25" i="22"/>
  <c r="O26" i="34"/>
  <c r="O22" i="53"/>
  <c r="O21" i="61"/>
  <c r="O27" i="70"/>
  <c r="O26" i="22"/>
  <c r="O26" i="30"/>
  <c r="P107" i="30"/>
  <c r="P102" i="53"/>
  <c r="O21" i="56"/>
  <c r="O23" i="45"/>
  <c r="O26" i="71"/>
  <c r="O24" i="73"/>
  <c r="O19" i="77"/>
  <c r="O26" i="3"/>
  <c r="P106" i="39"/>
  <c r="P106" i="43"/>
  <c r="P104" i="54"/>
  <c r="P105" i="22"/>
  <c r="O25" i="24"/>
  <c r="O21" i="55"/>
  <c r="O19" i="66"/>
  <c r="O25" i="19"/>
  <c r="O20" i="65"/>
  <c r="O18" i="82"/>
  <c r="P104" i="55"/>
  <c r="P107" i="24"/>
  <c r="P108" i="27"/>
  <c r="P103" i="58"/>
  <c r="P102" i="60"/>
  <c r="P107" i="18"/>
  <c r="P109" i="29"/>
  <c r="P108" i="31"/>
  <c r="P104" i="57"/>
  <c r="P103" i="64"/>
  <c r="P104" i="72"/>
  <c r="P101" i="76"/>
  <c r="F18" i="2"/>
  <c r="O41" i="45"/>
  <c r="O29" i="45"/>
  <c r="O68" i="33"/>
  <c r="O62" i="33"/>
  <c r="O60" i="33"/>
  <c r="O58" i="33"/>
  <c r="O56" i="33"/>
  <c r="O50" i="33"/>
  <c r="O46" i="33"/>
  <c r="O42" i="33"/>
  <c r="O36" i="33"/>
  <c r="O30" i="33"/>
  <c r="O26" i="33"/>
  <c r="O24" i="33"/>
  <c r="O22" i="33"/>
  <c r="O20" i="33"/>
  <c r="O48" i="64"/>
  <c r="O70" i="64"/>
  <c r="O64" i="35"/>
  <c r="O36" i="35"/>
  <c r="O29" i="65"/>
  <c r="O33" i="65"/>
  <c r="O35" i="65"/>
  <c r="O37" i="65"/>
  <c r="O39" i="65"/>
  <c r="O41" i="65"/>
  <c r="O43" i="65"/>
  <c r="O45" i="65"/>
  <c r="O53" i="65"/>
  <c r="O55" i="65"/>
  <c r="O57" i="65"/>
  <c r="O61" i="65"/>
  <c r="O63" i="65"/>
  <c r="O65" i="65"/>
  <c r="O64" i="21"/>
  <c r="O44" i="23"/>
  <c r="O34" i="32"/>
  <c r="O32" i="32"/>
  <c r="O55" i="44"/>
  <c r="O41" i="46"/>
  <c r="O33" i="67"/>
  <c r="O59" i="67"/>
  <c r="O61" i="67"/>
  <c r="O69" i="67"/>
  <c r="O28" i="83"/>
  <c r="O38" i="24"/>
  <c r="O48" i="35"/>
  <c r="O43" i="63"/>
  <c r="O36" i="69"/>
  <c r="O38" i="69"/>
  <c r="O40" i="69"/>
  <c r="O46" i="69"/>
  <c r="O48" i="69"/>
  <c r="O52" i="69"/>
  <c r="O56" i="69"/>
  <c r="O60" i="69"/>
  <c r="O62" i="69"/>
  <c r="O64" i="69"/>
  <c r="O70" i="69"/>
  <c r="O33" i="13"/>
  <c r="O60" i="25"/>
  <c r="O44" i="25"/>
  <c r="O20" i="25"/>
  <c r="O46" i="26"/>
  <c r="O20" i="26"/>
  <c r="O32" i="62"/>
  <c r="O56" i="62"/>
  <c r="O66" i="62"/>
  <c r="O45" i="66"/>
  <c r="O65" i="67"/>
  <c r="O35" i="74"/>
  <c r="O39" i="74"/>
  <c r="O41" i="74"/>
  <c r="O47" i="74"/>
  <c r="O49" i="74"/>
  <c r="O51" i="74"/>
  <c r="O53" i="74"/>
  <c r="O65" i="74"/>
  <c r="O69" i="74"/>
  <c r="O42" i="27"/>
  <c r="O68" i="44"/>
  <c r="O66" i="44"/>
  <c r="O62" i="44"/>
  <c r="O58" i="44"/>
  <c r="O56" i="44"/>
  <c r="O54" i="44"/>
  <c r="O50" i="44"/>
  <c r="O48" i="44"/>
  <c r="O44" i="44"/>
  <c r="O40" i="44"/>
  <c r="O36" i="44"/>
  <c r="O32" i="44"/>
  <c r="O30" i="44"/>
  <c r="O59" i="45"/>
  <c r="O47" i="45"/>
  <c r="O45" i="45"/>
  <c r="O35" i="45"/>
  <c r="O31" i="45"/>
  <c r="O52" i="46"/>
  <c r="O44" i="46"/>
  <c r="O71" i="58"/>
  <c r="O67" i="58"/>
  <c r="O61" i="58"/>
  <c r="O53" i="58"/>
  <c r="O51" i="58"/>
  <c r="O47" i="58"/>
  <c r="O45" i="58"/>
  <c r="O43" i="58"/>
  <c r="O39" i="58"/>
  <c r="O37" i="58"/>
  <c r="O35" i="58"/>
  <c r="O33" i="58"/>
  <c r="O64" i="60"/>
  <c r="O72" i="87"/>
  <c r="O72" i="93"/>
  <c r="O71" i="33"/>
  <c r="O67" i="33"/>
  <c r="O63" i="33"/>
  <c r="O61" i="33"/>
  <c r="O55" i="33"/>
  <c r="O53" i="33"/>
  <c r="O47" i="33"/>
  <c r="O45" i="33"/>
  <c r="O43" i="33"/>
  <c r="O41" i="33"/>
  <c r="O39" i="33"/>
  <c r="O37" i="33"/>
  <c r="O35" i="33"/>
  <c r="O31" i="33"/>
  <c r="O29" i="33"/>
  <c r="O27" i="33"/>
  <c r="O25" i="33"/>
  <c r="O23" i="33"/>
  <c r="O21" i="33"/>
  <c r="O19" i="33"/>
  <c r="O29" i="64"/>
  <c r="O43" i="64"/>
  <c r="O53" i="64"/>
  <c r="O55" i="64"/>
  <c r="O57" i="64"/>
  <c r="O43" i="71"/>
  <c r="O61" i="71"/>
  <c r="O63" i="71"/>
  <c r="O65" i="71"/>
  <c r="O67" i="71"/>
  <c r="O69" i="71"/>
  <c r="O47" i="83"/>
  <c r="P109" i="95"/>
  <c r="P111" i="95"/>
  <c r="P117" i="95"/>
  <c r="P119" i="95"/>
  <c r="P125" i="95"/>
  <c r="P127" i="95"/>
  <c r="D94" i="78"/>
  <c r="O45" i="95"/>
  <c r="O55" i="95"/>
  <c r="O61" i="95"/>
  <c r="O69" i="95"/>
  <c r="O18" i="91"/>
  <c r="O35" i="79"/>
  <c r="O37" i="79"/>
  <c r="O41" i="79"/>
  <c r="O47" i="79"/>
  <c r="O53" i="79"/>
  <c r="O69" i="79"/>
  <c r="O20" i="78"/>
  <c r="O37" i="74"/>
  <c r="O55" i="74"/>
  <c r="O24" i="67"/>
  <c r="O26" i="67"/>
  <c r="O34" i="67"/>
  <c r="O36" i="67"/>
  <c r="O38" i="67"/>
  <c r="O44" i="67"/>
  <c r="O46" i="67"/>
  <c r="O48" i="67"/>
  <c r="O50" i="67"/>
  <c r="O52" i="67"/>
  <c r="O56" i="67"/>
  <c r="O60" i="67"/>
  <c r="O62" i="67"/>
  <c r="O64" i="67"/>
  <c r="O66" i="67"/>
  <c r="O70" i="67"/>
  <c r="O59" i="64"/>
  <c r="O35" i="59"/>
  <c r="O47" i="59"/>
  <c r="O59" i="59"/>
  <c r="O22" i="59"/>
  <c r="O71" i="56"/>
  <c r="O69" i="56"/>
  <c r="O67" i="56"/>
  <c r="O65" i="56"/>
  <c r="O59" i="56"/>
  <c r="O57" i="56"/>
  <c r="O55" i="56"/>
  <c r="O49" i="56"/>
  <c r="O47" i="56"/>
  <c r="O45" i="56"/>
  <c r="O35" i="56"/>
  <c r="O27" i="56"/>
  <c r="O70" i="31"/>
  <c r="O68" i="31"/>
  <c r="O66" i="31"/>
  <c r="O48" i="31"/>
  <c r="O44" i="31"/>
  <c r="O42" i="31"/>
  <c r="O38" i="31"/>
  <c r="O36" i="31"/>
  <c r="O30" i="31"/>
  <c r="O65" i="21"/>
  <c r="O53" i="21"/>
  <c r="O29" i="21"/>
  <c r="O71" i="20"/>
  <c r="O47" i="20"/>
  <c r="O56" i="39"/>
  <c r="O52" i="39"/>
  <c r="O28" i="39"/>
  <c r="O66" i="46"/>
  <c r="O72" i="56"/>
  <c r="O64" i="56"/>
  <c r="O62" i="56"/>
  <c r="O58" i="56"/>
  <c r="O56" i="56"/>
  <c r="O52" i="56"/>
  <c r="O48" i="56"/>
  <c r="O46" i="56"/>
  <c r="O44" i="56"/>
  <c r="O42" i="56"/>
  <c r="O23" i="88"/>
  <c r="O31" i="95"/>
  <c r="O67" i="64"/>
  <c r="O29" i="77"/>
  <c r="O62" i="17"/>
  <c r="O33" i="26"/>
  <c r="O41" i="31"/>
  <c r="O43" i="35"/>
  <c r="O57" i="61"/>
  <c r="O64" i="86"/>
  <c r="O56" i="25"/>
  <c r="O50" i="29"/>
  <c r="O64" i="34"/>
  <c r="O62" i="34"/>
  <c r="O60" i="34"/>
  <c r="O50" i="34"/>
  <c r="O38" i="34"/>
  <c r="O30" i="34"/>
  <c r="O40" i="56"/>
  <c r="O38" i="56"/>
  <c r="O36" i="56"/>
  <c r="O34" i="56"/>
  <c r="O32" i="56"/>
  <c r="F88" i="1"/>
  <c r="F89" i="1" s="1"/>
  <c r="F91" i="1" s="1"/>
  <c r="F92" i="1" s="1"/>
  <c r="F93" i="1" s="1"/>
  <c r="O37" i="70"/>
  <c r="O41" i="70"/>
  <c r="O45" i="70"/>
  <c r="O55" i="70"/>
  <c r="O57" i="70"/>
  <c r="O61" i="70"/>
  <c r="O63" i="70"/>
  <c r="O67" i="70"/>
  <c r="O62" i="72"/>
  <c r="O39" i="88"/>
  <c r="O51" i="39"/>
  <c r="O66" i="42"/>
  <c r="O64" i="42"/>
  <c r="O62" i="42"/>
  <c r="O60" i="42"/>
  <c r="O56" i="42"/>
  <c r="O54" i="42"/>
  <c r="O52" i="42"/>
  <c r="O48" i="42"/>
  <c r="O46" i="42"/>
  <c r="O35" i="77"/>
  <c r="O39" i="77"/>
  <c r="O45" i="77"/>
  <c r="O47" i="77"/>
  <c r="O53" i="77"/>
  <c r="O57" i="77"/>
  <c r="O65" i="77"/>
  <c r="O67" i="77"/>
  <c r="O34" i="83"/>
  <c r="O38" i="83"/>
  <c r="O48" i="83"/>
  <c r="O60" i="83"/>
  <c r="O70" i="83"/>
  <c r="O64" i="89"/>
  <c r="O70" i="58"/>
  <c r="O68" i="58"/>
  <c r="O64" i="58"/>
  <c r="O60" i="58"/>
  <c r="O56" i="58"/>
  <c r="O59" i="77"/>
  <c r="O64" i="13"/>
  <c r="O36" i="17"/>
  <c r="O70" i="13"/>
  <c r="O68" i="13"/>
  <c r="O66" i="13"/>
  <c r="O62" i="13"/>
  <c r="O60" i="13"/>
  <c r="O58" i="13"/>
  <c r="O56" i="13"/>
  <c r="O54" i="13"/>
  <c r="O52" i="13"/>
  <c r="O50" i="13"/>
  <c r="O48" i="13"/>
  <c r="O34" i="13"/>
  <c r="O22" i="13"/>
  <c r="O56" i="17"/>
  <c r="O54" i="17"/>
  <c r="O52" i="17"/>
  <c r="O48" i="17"/>
  <c r="O46" i="17"/>
  <c r="O44" i="17"/>
  <c r="O42" i="17"/>
  <c r="O40" i="17"/>
  <c r="O34" i="17"/>
  <c r="O57" i="19"/>
  <c r="O71" i="25"/>
  <c r="O69" i="25"/>
  <c r="O67" i="25"/>
  <c r="O65" i="25"/>
  <c r="O63" i="25"/>
  <c r="O59" i="25"/>
  <c r="O57" i="25"/>
  <c r="O55" i="25"/>
  <c r="O53" i="25"/>
  <c r="O51" i="25"/>
  <c r="O49" i="25"/>
  <c r="O47" i="25"/>
  <c r="O45" i="25"/>
  <c r="O43" i="25"/>
  <c r="O41" i="25"/>
  <c r="O37" i="25"/>
  <c r="O35" i="25"/>
  <c r="O33" i="25"/>
  <c r="O31" i="25"/>
  <c r="O29" i="25"/>
  <c r="O23" i="25"/>
  <c r="O21" i="25"/>
  <c r="O17" i="25"/>
  <c r="O71" i="26"/>
  <c r="O69" i="21"/>
  <c r="O55" i="21"/>
  <c r="O51" i="21"/>
  <c r="O47" i="21"/>
  <c r="O45" i="21"/>
  <c r="O39" i="21"/>
  <c r="O31" i="21"/>
  <c r="O69" i="26"/>
  <c r="O67" i="26"/>
  <c r="O65" i="26"/>
  <c r="O63" i="26"/>
  <c r="O61" i="26"/>
  <c r="O59" i="26"/>
  <c r="O57" i="26"/>
  <c r="O55" i="26"/>
  <c r="O53" i="26"/>
  <c r="O51" i="26"/>
  <c r="O49" i="26"/>
  <c r="O47" i="26"/>
  <c r="O41" i="26"/>
  <c r="O39" i="26"/>
  <c r="O37" i="26"/>
  <c r="O31" i="26"/>
  <c r="O25" i="26"/>
  <c r="O23" i="26"/>
  <c r="O21" i="26"/>
  <c r="O45" i="29"/>
  <c r="O39" i="31"/>
  <c r="O35" i="31"/>
  <c r="O71" i="35"/>
  <c r="O69" i="35"/>
  <c r="O67" i="35"/>
  <c r="O65" i="35"/>
  <c r="O63" i="35"/>
  <c r="O59" i="35"/>
  <c r="O57" i="35"/>
  <c r="O55" i="35"/>
  <c r="O53" i="35"/>
  <c r="O51" i="35"/>
  <c r="O49" i="35"/>
  <c r="O47" i="35"/>
  <c r="O45" i="35"/>
  <c r="O41" i="35"/>
  <c r="O39" i="35"/>
  <c r="O37" i="35"/>
  <c r="O35" i="35"/>
  <c r="O33" i="35"/>
  <c r="O29" i="35"/>
  <c r="O27" i="35"/>
  <c r="O25" i="35"/>
  <c r="O21" i="35"/>
  <c r="O68" i="55"/>
  <c r="O66" i="55"/>
  <c r="O60" i="55"/>
  <c r="O58" i="55"/>
  <c r="O56" i="55"/>
  <c r="O54" i="55"/>
  <c r="O50" i="55"/>
  <c r="O42" i="55"/>
  <c r="O40" i="55"/>
  <c r="O38" i="55"/>
  <c r="O36" i="55"/>
  <c r="O34" i="55"/>
  <c r="O32" i="55"/>
  <c r="O30" i="55"/>
  <c r="O26" i="55"/>
  <c r="O71" i="57"/>
  <c r="O37" i="57"/>
  <c r="O36" i="59"/>
  <c r="O61" i="61"/>
  <c r="O56" i="63"/>
  <c r="O66" i="63"/>
  <c r="O68" i="63"/>
  <c r="O44" i="68"/>
  <c r="O29" i="73"/>
  <c r="O45" i="73"/>
  <c r="O49" i="73"/>
  <c r="O51" i="73"/>
  <c r="O52" i="74"/>
  <c r="O32" i="77"/>
  <c r="O36" i="77"/>
  <c r="O23" i="78"/>
  <c r="O61" i="78"/>
  <c r="O69" i="78"/>
  <c r="O23" i="79"/>
  <c r="O29" i="79"/>
  <c r="O43" i="79"/>
  <c r="O49" i="79"/>
  <c r="O59" i="79"/>
  <c r="O65" i="79"/>
  <c r="O24" i="85"/>
  <c r="O64" i="87"/>
  <c r="O65" i="53"/>
  <c r="O63" i="53"/>
  <c r="O57" i="53"/>
  <c r="O47" i="53"/>
  <c r="O41" i="53"/>
  <c r="O37" i="53"/>
  <c r="O35" i="53"/>
  <c r="O27" i="60"/>
  <c r="O37" i="80"/>
  <c r="O51" i="80"/>
  <c r="O71" i="80"/>
  <c r="O26" i="82"/>
  <c r="O32" i="82"/>
  <c r="O38" i="82"/>
  <c r="O52" i="82"/>
  <c r="O68" i="82"/>
  <c r="C39" i="1"/>
  <c r="C79" i="1"/>
  <c r="C8" i="1"/>
  <c r="C76" i="1"/>
  <c r="C59" i="1"/>
  <c r="O42" i="67"/>
  <c r="O55" i="75"/>
  <c r="O24" i="80"/>
  <c r="O67" i="89"/>
  <c r="O59" i="42"/>
  <c r="C80" i="1"/>
  <c r="C14" i="1"/>
  <c r="C10" i="1"/>
  <c r="C62" i="1"/>
  <c r="C61" i="1"/>
  <c r="C28" i="1"/>
  <c r="O55" i="42"/>
  <c r="C50" i="1"/>
  <c r="C82" i="1"/>
  <c r="C77" i="1"/>
  <c r="C56" i="1"/>
  <c r="F14" i="1"/>
  <c r="E19" i="1" s="1"/>
  <c r="F19" i="1" s="1"/>
  <c r="O48" i="3"/>
  <c r="O60" i="18"/>
  <c r="O39" i="22"/>
  <c r="O50" i="30"/>
  <c r="O54" i="58"/>
  <c r="O50" i="58"/>
  <c r="O48" i="58"/>
  <c r="O46" i="58"/>
  <c r="O42" i="58"/>
  <c r="O36" i="58"/>
  <c r="O34" i="58"/>
  <c r="O32" i="58"/>
  <c r="O28" i="58"/>
  <c r="O26" i="58"/>
  <c r="I12" i="68"/>
  <c r="I13" i="68" s="1"/>
  <c r="I12" i="99"/>
  <c r="I12" i="97"/>
  <c r="I12" i="98"/>
  <c r="A2" i="1"/>
  <c r="A2" i="2" s="1"/>
  <c r="A4" i="1"/>
  <c r="O26" i="66"/>
  <c r="O32" i="66"/>
  <c r="O34" i="66"/>
  <c r="O36" i="66"/>
  <c r="O42" i="66"/>
  <c r="O46" i="66"/>
  <c r="O48" i="66"/>
  <c r="O60" i="66"/>
  <c r="O70" i="66"/>
  <c r="O32" i="70"/>
  <c r="O36" i="70"/>
  <c r="O38" i="70"/>
  <c r="O42" i="70"/>
  <c r="O52" i="70"/>
  <c r="O54" i="70"/>
  <c r="O56" i="70"/>
  <c r="O58" i="70"/>
  <c r="O60" i="70"/>
  <c r="O62" i="70"/>
  <c r="O64" i="70"/>
  <c r="O66" i="70"/>
  <c r="O68" i="70"/>
  <c r="O70" i="70"/>
  <c r="O31" i="72"/>
  <c r="O33" i="72"/>
  <c r="O35" i="72"/>
  <c r="O37" i="72"/>
  <c r="O39" i="72"/>
  <c r="O43" i="72"/>
  <c r="O49" i="72"/>
  <c r="O51" i="72"/>
  <c r="O53" i="72"/>
  <c r="O57" i="72"/>
  <c r="O61" i="72"/>
  <c r="O65" i="72"/>
  <c r="O69" i="72"/>
  <c r="O71" i="72"/>
  <c r="O69" i="77"/>
  <c r="O71" i="77"/>
  <c r="O24" i="86"/>
  <c r="O30" i="86"/>
  <c r="O38" i="86"/>
  <c r="O40" i="86"/>
  <c r="O42" i="86"/>
  <c r="O48" i="86"/>
  <c r="O50" i="86"/>
  <c r="O52" i="86"/>
  <c r="O56" i="86"/>
  <c r="O58" i="86"/>
  <c r="O60" i="86"/>
  <c r="O62" i="86"/>
  <c r="O70" i="86"/>
  <c r="O27" i="92"/>
  <c r="O29" i="92"/>
  <c r="O33" i="92"/>
  <c r="O53" i="92"/>
  <c r="O59" i="92"/>
  <c r="O62" i="96"/>
  <c r="O64" i="96"/>
  <c r="O71" i="3"/>
  <c r="O69" i="3"/>
  <c r="O67" i="3"/>
  <c r="O65" i="3"/>
  <c r="O63" i="3"/>
  <c r="O61" i="3"/>
  <c r="O59" i="3"/>
  <c r="O55" i="3"/>
  <c r="O51" i="3"/>
  <c r="O49" i="3"/>
  <c r="O47" i="3"/>
  <c r="O45" i="3"/>
  <c r="O44" i="3"/>
  <c r="O42" i="3"/>
  <c r="O36" i="3"/>
  <c r="O69" i="13"/>
  <c r="O61" i="13"/>
  <c r="O59" i="13"/>
  <c r="O55" i="13"/>
  <c r="O53" i="13"/>
  <c r="O49" i="13"/>
  <c r="O41" i="13"/>
  <c r="O31" i="13"/>
  <c r="O23" i="13"/>
  <c r="O21" i="13"/>
  <c r="O19" i="13"/>
  <c r="O44" i="24"/>
  <c r="O42" i="24"/>
  <c r="O36" i="24"/>
  <c r="O34" i="24"/>
  <c r="O32" i="24"/>
  <c r="O70" i="25"/>
  <c r="O68" i="25"/>
  <c r="O66" i="25"/>
  <c r="O50" i="25"/>
  <c r="O46" i="25"/>
  <c r="O40" i="25"/>
  <c r="O68" i="26"/>
  <c r="O64" i="26"/>
  <c r="O60" i="26"/>
  <c r="O58" i="26"/>
  <c r="O48" i="26"/>
  <c r="O28" i="26"/>
  <c r="O26" i="26"/>
  <c r="O18" i="26"/>
  <c r="O72" i="35"/>
  <c r="O70" i="35"/>
  <c r="O68" i="35"/>
  <c r="O60" i="35"/>
  <c r="O52" i="35"/>
  <c r="O46" i="35"/>
  <c r="O42" i="35"/>
  <c r="O40" i="35"/>
  <c r="O38" i="35"/>
  <c r="O34" i="35"/>
  <c r="O32" i="35"/>
  <c r="O28" i="35"/>
  <c r="O40" i="42"/>
  <c r="O38" i="42"/>
  <c r="O36" i="42"/>
  <c r="O34" i="42"/>
  <c r="O61" i="66"/>
  <c r="O63" i="66"/>
  <c r="O65" i="66"/>
  <c r="O67" i="66"/>
  <c r="O25" i="91"/>
  <c r="O64" i="93"/>
  <c r="O20" i="96"/>
  <c r="O28" i="96"/>
  <c r="O30" i="96"/>
  <c r="O66" i="96"/>
  <c r="O39" i="96"/>
  <c r="O53" i="96"/>
  <c r="O57" i="96"/>
  <c r="O69" i="96"/>
  <c r="O55" i="94"/>
  <c r="O21" i="94"/>
  <c r="O64" i="92"/>
  <c r="O21" i="86"/>
  <c r="O17" i="86"/>
  <c r="O67" i="86"/>
  <c r="O46" i="85"/>
  <c r="O58" i="85"/>
  <c r="O68" i="85"/>
  <c r="O72" i="84"/>
  <c r="O66" i="83"/>
  <c r="O23" i="81"/>
  <c r="O47" i="81"/>
  <c r="O51" i="81"/>
  <c r="O69" i="81"/>
  <c r="P115" i="81"/>
  <c r="P151" i="55"/>
  <c r="P145" i="55"/>
  <c r="P139" i="55"/>
  <c r="P137" i="55"/>
  <c r="P135" i="55"/>
  <c r="P133" i="55"/>
  <c r="P131" i="55"/>
  <c r="P129" i="55"/>
  <c r="P117" i="55"/>
  <c r="P115" i="55"/>
  <c r="P113" i="55"/>
  <c r="P111" i="55"/>
  <c r="P107" i="55"/>
  <c r="O30" i="74"/>
  <c r="O24" i="74"/>
  <c r="O17" i="74"/>
  <c r="O55" i="96"/>
  <c r="O40" i="95"/>
  <c r="O72" i="95"/>
  <c r="O22" i="95"/>
  <c r="O42" i="95"/>
  <c r="O48" i="95"/>
  <c r="O56" i="95"/>
  <c r="O17" i="94"/>
  <c r="O19" i="94"/>
  <c r="O37" i="94"/>
  <c r="O39" i="94"/>
  <c r="O41" i="94"/>
  <c r="O47" i="94"/>
  <c r="O57" i="94"/>
  <c r="O59" i="94"/>
  <c r="O63" i="94"/>
  <c r="O65" i="94"/>
  <c r="O67" i="94"/>
  <c r="O69" i="94"/>
  <c r="O31" i="93"/>
  <c r="O35" i="93"/>
  <c r="O45" i="93"/>
  <c r="O53" i="93"/>
  <c r="O61" i="93"/>
  <c r="O65" i="93"/>
  <c r="O25" i="93"/>
  <c r="O29" i="93"/>
  <c r="O33" i="93"/>
  <c r="O37" i="93"/>
  <c r="O43" i="93"/>
  <c r="O51" i="93"/>
  <c r="O59" i="93"/>
  <c r="O63" i="93"/>
  <c r="O21" i="92"/>
  <c r="O23" i="92"/>
  <c r="O25" i="92"/>
  <c r="O37" i="92"/>
  <c r="O39" i="92"/>
  <c r="O41" i="92"/>
  <c r="O43" i="92"/>
  <c r="O45" i="92"/>
  <c r="O47" i="92"/>
  <c r="O61" i="92"/>
  <c r="O63" i="92"/>
  <c r="O65" i="92"/>
  <c r="O21" i="91"/>
  <c r="O29" i="91"/>
  <c r="O35" i="91"/>
  <c r="O39" i="91"/>
  <c r="O41" i="91"/>
  <c r="O43" i="91"/>
  <c r="O45" i="91"/>
  <c r="O28" i="90"/>
  <c r="O27" i="88"/>
  <c r="O29" i="88"/>
  <c r="O47" i="88"/>
  <c r="O53" i="88"/>
  <c r="O61" i="88"/>
  <c r="O65" i="88"/>
  <c r="O71" i="88"/>
  <c r="O25" i="87"/>
  <c r="O59" i="87"/>
  <c r="O61" i="87"/>
  <c r="O63" i="87"/>
  <c r="O65" i="87"/>
  <c r="O67" i="87"/>
  <c r="O18" i="87"/>
  <c r="O38" i="87"/>
  <c r="O18" i="86"/>
  <c r="O33" i="86"/>
  <c r="O35" i="86"/>
  <c r="O37" i="86"/>
  <c r="O32" i="84"/>
  <c r="O42" i="84"/>
  <c r="O52" i="84"/>
  <c r="O58" i="84"/>
  <c r="O68" i="83"/>
  <c r="O31" i="82"/>
  <c r="O37" i="82"/>
  <c r="O27" i="82"/>
  <c r="O54" i="81"/>
  <c r="O22" i="80"/>
  <c r="O28" i="80"/>
  <c r="O48" i="80"/>
  <c r="O62" i="80"/>
  <c r="O33" i="80"/>
  <c r="O53" i="80"/>
  <c r="O41" i="77"/>
  <c r="O49" i="77"/>
  <c r="O63" i="77"/>
  <c r="O30" i="76"/>
  <c r="O38" i="76"/>
  <c r="O66" i="75"/>
  <c r="O26" i="74"/>
  <c r="O28" i="74"/>
  <c r="O32" i="74"/>
  <c r="O34" i="74"/>
  <c r="O36" i="74"/>
  <c r="O38" i="74"/>
  <c r="O42" i="74"/>
  <c r="O44" i="74"/>
  <c r="O54" i="74"/>
  <c r="O56" i="74"/>
  <c r="O58" i="74"/>
  <c r="O60" i="74"/>
  <c r="O62" i="74"/>
  <c r="O64" i="74"/>
  <c r="O66" i="74"/>
  <c r="O68" i="74"/>
  <c r="O70" i="74"/>
  <c r="O72" i="74"/>
  <c r="O53" i="73"/>
  <c r="O55" i="73"/>
  <c r="O59" i="73"/>
  <c r="O63" i="73"/>
  <c r="O65" i="73"/>
  <c r="O67" i="73"/>
  <c r="O69" i="73"/>
  <c r="O71" i="73"/>
  <c r="O50" i="72"/>
  <c r="O52" i="72"/>
  <c r="O29" i="71"/>
  <c r="O31" i="71"/>
  <c r="O37" i="71"/>
  <c r="O55" i="71"/>
  <c r="O30" i="71"/>
  <c r="O32" i="71"/>
  <c r="O34" i="71"/>
  <c r="O36" i="71"/>
  <c r="O38" i="71"/>
  <c r="O48" i="71"/>
  <c r="O50" i="71"/>
  <c r="O52" i="71"/>
  <c r="O54" i="71"/>
  <c r="O62" i="71"/>
  <c r="O64" i="71"/>
  <c r="O66" i="71"/>
  <c r="O68" i="71"/>
  <c r="O70" i="71"/>
  <c r="O72" i="71"/>
  <c r="O35" i="71"/>
  <c r="O47" i="71"/>
  <c r="O53" i="71"/>
  <c r="O71" i="71"/>
  <c r="O35" i="70"/>
  <c r="O43" i="70"/>
  <c r="O65" i="70"/>
  <c r="O69" i="70"/>
  <c r="O28" i="70"/>
  <c r="O31" i="70"/>
  <c r="O33" i="70"/>
  <c r="O39" i="70"/>
  <c r="O59" i="70"/>
  <c r="O49" i="69"/>
  <c r="O23" i="67"/>
  <c r="O25" i="67"/>
  <c r="O35" i="67"/>
  <c r="O37" i="67"/>
  <c r="O39" i="67"/>
  <c r="O41" i="67"/>
  <c r="O43" i="67"/>
  <c r="O45" i="67"/>
  <c r="O47" i="67"/>
  <c r="O49" i="67"/>
  <c r="O57" i="67"/>
  <c r="O47" i="64"/>
  <c r="O61" i="64"/>
  <c r="O63" i="64"/>
  <c r="O24" i="60"/>
  <c r="O26" i="60"/>
  <c r="O30" i="60"/>
  <c r="O34" i="60"/>
  <c r="O36" i="60"/>
  <c r="O38" i="60"/>
  <c r="O40" i="60"/>
  <c r="O42" i="60"/>
  <c r="O44" i="60"/>
  <c r="O46" i="60"/>
  <c r="O48" i="60"/>
  <c r="O58" i="60"/>
  <c r="O66" i="60"/>
  <c r="O70" i="60"/>
  <c r="O45" i="60"/>
  <c r="O22" i="61"/>
  <c r="O24" i="59"/>
  <c r="O26" i="59"/>
  <c r="O30" i="59"/>
  <c r="O32" i="59"/>
  <c r="O34" i="59"/>
  <c r="O38" i="59"/>
  <c r="O40" i="59"/>
  <c r="O42" i="59"/>
  <c r="O44" i="59"/>
  <c r="O46" i="59"/>
  <c r="O48" i="59"/>
  <c r="O50" i="59"/>
  <c r="O52" i="59"/>
  <c r="O54" i="59"/>
  <c r="O66" i="59"/>
  <c r="O68" i="59"/>
  <c r="O70" i="59"/>
  <c r="O62" i="58"/>
  <c r="O72" i="57"/>
  <c r="O66" i="57"/>
  <c r="O64" i="57"/>
  <c r="O62" i="57"/>
  <c r="O58" i="57"/>
  <c r="O56" i="57"/>
  <c r="O48" i="57"/>
  <c r="O46" i="57"/>
  <c r="O38" i="57"/>
  <c r="O36" i="57"/>
  <c r="O30" i="57"/>
  <c r="O69" i="54"/>
  <c r="O65" i="54"/>
  <c r="O55" i="54"/>
  <c r="O53" i="54"/>
  <c r="O51" i="54"/>
  <c r="O45" i="54"/>
  <c r="O43" i="54"/>
  <c r="O39" i="54"/>
  <c r="O35" i="54"/>
  <c r="O58" i="54"/>
  <c r="O67" i="53"/>
  <c r="O63" i="44"/>
  <c r="O41" i="44"/>
  <c r="O27" i="44"/>
  <c r="O60" i="43"/>
  <c r="O48" i="43"/>
  <c r="O67" i="41"/>
  <c r="O65" i="41"/>
  <c r="O57" i="41"/>
  <c r="O55" i="41"/>
  <c r="O53" i="41"/>
  <c r="O51" i="41"/>
  <c r="O49" i="41"/>
  <c r="O45" i="41"/>
  <c r="O43" i="41"/>
  <c r="O41" i="41"/>
  <c r="O39" i="41"/>
  <c r="O37" i="41"/>
  <c r="O35" i="41"/>
  <c r="O33" i="41"/>
  <c r="O29" i="41"/>
  <c r="O27" i="41"/>
  <c r="O25" i="41"/>
  <c r="O68" i="39"/>
  <c r="O66" i="39"/>
  <c r="O64" i="39"/>
  <c r="O48" i="39"/>
  <c r="O46" i="39"/>
  <c r="O44" i="39"/>
  <c r="O36" i="39"/>
  <c r="O34" i="39"/>
  <c r="O32" i="39"/>
  <c r="O49" i="34"/>
  <c r="O39" i="34"/>
  <c r="O31" i="34"/>
  <c r="O31" i="32"/>
  <c r="O67" i="31"/>
  <c r="O55" i="31"/>
  <c r="O65" i="30"/>
  <c r="O63" i="30"/>
  <c r="O55" i="30"/>
  <c r="O51" i="30"/>
  <c r="O47" i="30"/>
  <c r="O43" i="30"/>
  <c r="O41" i="30"/>
  <c r="O39" i="30"/>
  <c r="O37" i="30"/>
  <c r="O35" i="30"/>
  <c r="O64" i="29"/>
  <c r="O60" i="29"/>
  <c r="O48" i="29"/>
  <c r="O69" i="28"/>
  <c r="O65" i="28"/>
  <c r="O61" i="28"/>
  <c r="O57" i="28"/>
  <c r="O55" i="28"/>
  <c r="O53" i="28"/>
  <c r="O51" i="28"/>
  <c r="O49" i="28"/>
  <c r="O47" i="28"/>
  <c r="O45" i="28"/>
  <c r="O31" i="28"/>
  <c r="O60" i="28"/>
  <c r="O54" i="28"/>
  <c r="O52" i="28"/>
  <c r="O50" i="28"/>
  <c r="O44" i="28"/>
  <c r="O40" i="28"/>
  <c r="O43" i="24"/>
  <c r="O41" i="24"/>
  <c r="O39" i="24"/>
  <c r="O37" i="24"/>
  <c r="O31" i="24"/>
  <c r="O29" i="24"/>
  <c r="O70" i="23"/>
  <c r="O68" i="23"/>
  <c r="O66" i="23"/>
  <c r="O60" i="23"/>
  <c r="O52" i="23"/>
  <c r="O50" i="23"/>
  <c r="O48" i="23"/>
  <c r="O42" i="23"/>
  <c r="O38" i="23"/>
  <c r="O36" i="23"/>
  <c r="O34" i="23"/>
  <c r="O32" i="23"/>
  <c r="O30" i="23"/>
  <c r="O69" i="22"/>
  <c r="O63" i="22"/>
  <c r="O53" i="22"/>
  <c r="O45" i="22"/>
  <c r="O43" i="22"/>
  <c r="O41" i="22"/>
  <c r="O37" i="22"/>
  <c r="O35" i="22"/>
  <c r="O33" i="22"/>
  <c r="O68" i="19"/>
  <c r="O43" i="19"/>
  <c r="O41" i="19"/>
  <c r="O62" i="18"/>
  <c r="O56" i="18"/>
  <c r="O52" i="18"/>
  <c r="O50" i="18"/>
  <c r="O46" i="18"/>
  <c r="O41" i="18"/>
  <c r="O29" i="18"/>
  <c r="I10" i="82"/>
  <c r="D94" i="82" s="1"/>
  <c r="I10" i="99"/>
  <c r="I10" i="97"/>
  <c r="I10" i="98"/>
  <c r="I10" i="35"/>
  <c r="D93" i="35" s="1"/>
  <c r="C99" i="35" s="1"/>
  <c r="I10" i="56"/>
  <c r="D92" i="56" s="1"/>
  <c r="B105" i="56" s="1"/>
  <c r="I10" i="61"/>
  <c r="N6" i="61" s="1"/>
  <c r="I10" i="13"/>
  <c r="I10" i="33"/>
  <c r="D94" i="33" s="1"/>
  <c r="I10" i="75"/>
  <c r="D94" i="75" s="1"/>
  <c r="I10" i="74"/>
  <c r="I10" i="20"/>
  <c r="I10" i="85"/>
  <c r="D94" i="85" s="1"/>
  <c r="I10" i="23"/>
  <c r="D93" i="23" s="1"/>
  <c r="C99" i="23" s="1"/>
  <c r="C100" i="23" s="1"/>
  <c r="C101" i="23" s="1"/>
  <c r="C102" i="23" s="1"/>
  <c r="C103" i="23" s="1"/>
  <c r="C104" i="23" s="1"/>
  <c r="C105" i="23" s="1"/>
  <c r="C106" i="23" s="1"/>
  <c r="C107" i="23" s="1"/>
  <c r="C108" i="23" s="1"/>
  <c r="C109" i="23" s="1"/>
  <c r="C110" i="23" s="1"/>
  <c r="C111" i="23" s="1"/>
  <c r="C112" i="23" s="1"/>
  <c r="C113" i="23" s="1"/>
  <c r="C114" i="23" s="1"/>
  <c r="C115" i="23" s="1"/>
  <c r="C116" i="23" s="1"/>
  <c r="C117" i="23" s="1"/>
  <c r="C118" i="23" s="1"/>
  <c r="C119" i="23" s="1"/>
  <c r="C120" i="23" s="1"/>
  <c r="C121" i="23" s="1"/>
  <c r="C122" i="23" s="1"/>
  <c r="C123" i="23" s="1"/>
  <c r="C124" i="23" s="1"/>
  <c r="C125" i="23" s="1"/>
  <c r="C126" i="23" s="1"/>
  <c r="C127" i="23" s="1"/>
  <c r="C128" i="23" s="1"/>
  <c r="C129" i="23" s="1"/>
  <c r="C130" i="23" s="1"/>
  <c r="C131" i="23" s="1"/>
  <c r="C132" i="23" s="1"/>
  <c r="C133" i="23" s="1"/>
  <c r="C134" i="23" s="1"/>
  <c r="C135" i="23" s="1"/>
  <c r="C136" i="23" s="1"/>
  <c r="C137" i="23" s="1"/>
  <c r="C138" i="23" s="1"/>
  <c r="C139" i="23" s="1"/>
  <c r="C140" i="23" s="1"/>
  <c r="C141" i="23" s="1"/>
  <c r="C142" i="23" s="1"/>
  <c r="C143" i="23" s="1"/>
  <c r="C144" i="23" s="1"/>
  <c r="C145" i="23" s="1"/>
  <c r="C146" i="23" s="1"/>
  <c r="C147" i="23" s="1"/>
  <c r="C148" i="23" s="1"/>
  <c r="C149" i="23" s="1"/>
  <c r="C150" i="23" s="1"/>
  <c r="C151" i="23" s="1"/>
  <c r="C152" i="23" s="1"/>
  <c r="C153" i="23" s="1"/>
  <c r="C154" i="23" s="1"/>
  <c r="C76" i="2"/>
  <c r="J94" i="90"/>
  <c r="J95" i="90" s="1"/>
  <c r="J94" i="99"/>
  <c r="J94" i="98"/>
  <c r="J94" i="97"/>
  <c r="C82" i="2"/>
  <c r="C10" i="2"/>
  <c r="C55" i="2"/>
  <c r="O65" i="20"/>
  <c r="O59" i="20"/>
  <c r="O57" i="20"/>
  <c r="O51" i="20"/>
  <c r="O49" i="20"/>
  <c r="O40" i="20"/>
  <c r="O36" i="20"/>
  <c r="O34" i="20"/>
  <c r="O55" i="19"/>
  <c r="O44" i="19"/>
  <c r="O42" i="19"/>
  <c r="O40" i="19"/>
  <c r="O28" i="19"/>
  <c r="O60" i="24"/>
  <c r="O54" i="24"/>
  <c r="O52" i="24"/>
  <c r="O50" i="24"/>
  <c r="O50" i="35"/>
  <c r="O71" i="39"/>
  <c r="O63" i="39"/>
  <c r="O55" i="39"/>
  <c r="O53" i="39"/>
  <c r="O49" i="39"/>
  <c r="O47" i="39"/>
  <c r="O41" i="39"/>
  <c r="O27" i="39"/>
  <c r="O69" i="44"/>
  <c r="O59" i="44"/>
  <c r="O57" i="44"/>
  <c r="O51" i="44"/>
  <c r="O49" i="44"/>
  <c r="O35" i="44"/>
  <c r="O29" i="44"/>
  <c r="O47" i="61"/>
  <c r="O26" i="65"/>
  <c r="O30" i="65"/>
  <c r="O34" i="65"/>
  <c r="O52" i="65"/>
  <c r="O56" i="65"/>
  <c r="O72" i="65"/>
  <c r="O23" i="66"/>
  <c r="O39" i="66"/>
  <c r="O43" i="66"/>
  <c r="O47" i="66"/>
  <c r="O51" i="66"/>
  <c r="O43" i="69"/>
  <c r="O45" i="69"/>
  <c r="O71" i="69"/>
  <c r="O29" i="78"/>
  <c r="O31" i="78"/>
  <c r="O47" i="78"/>
  <c r="O48" i="81"/>
  <c r="O72" i="81"/>
  <c r="O22" i="88"/>
  <c r="O48" i="88"/>
  <c r="O50" i="88"/>
  <c r="O68" i="88"/>
  <c r="O45" i="89"/>
  <c r="O63" i="89"/>
  <c r="O69" i="89"/>
  <c r="O71" i="89"/>
  <c r="O23" i="90"/>
  <c r="O31" i="90"/>
  <c r="O49" i="90"/>
  <c r="O51" i="90"/>
  <c r="O53" i="90"/>
  <c r="O57" i="90"/>
  <c r="O61" i="90"/>
  <c r="O69" i="90"/>
  <c r="O20" i="93"/>
  <c r="O56" i="93"/>
  <c r="O29" i="95"/>
  <c r="O53" i="95"/>
  <c r="O71" i="95"/>
  <c r="O71" i="23"/>
  <c r="O69" i="23"/>
  <c r="O67" i="23"/>
  <c r="O65" i="23"/>
  <c r="O63" i="23"/>
  <c r="O61" i="23"/>
  <c r="O59" i="23"/>
  <c r="O57" i="23"/>
  <c r="O55" i="23"/>
  <c r="O53" i="23"/>
  <c r="O51" i="23"/>
  <c r="O49" i="23"/>
  <c r="O47" i="23"/>
  <c r="O43" i="23"/>
  <c r="O41" i="23"/>
  <c r="O37" i="23"/>
  <c r="O61" i="29"/>
  <c r="O59" i="29"/>
  <c r="O57" i="29"/>
  <c r="O49" i="29"/>
  <c r="O47" i="29"/>
  <c r="O39" i="29"/>
  <c r="O37" i="29"/>
  <c r="O33" i="29"/>
  <c r="O31" i="29"/>
  <c r="O45" i="43"/>
  <c r="O43" i="43"/>
  <c r="O37" i="43"/>
  <c r="O27" i="43"/>
  <c r="O46" i="64"/>
  <c r="O50" i="64"/>
  <c r="O52" i="64"/>
  <c r="O58" i="64"/>
  <c r="O60" i="64"/>
  <c r="O62" i="64"/>
  <c r="O68" i="64"/>
  <c r="O24" i="68"/>
  <c r="O30" i="68"/>
  <c r="O32" i="68"/>
  <c r="O34" i="68"/>
  <c r="O40" i="68"/>
  <c r="O54" i="68"/>
  <c r="O56" i="68"/>
  <c r="O66" i="68"/>
  <c r="O70" i="68"/>
  <c r="O43" i="74"/>
  <c r="O45" i="74"/>
  <c r="O59" i="74"/>
  <c r="O61" i="74"/>
  <c r="O63" i="74"/>
  <c r="O67" i="74"/>
  <c r="O71" i="74"/>
  <c r="O29" i="76"/>
  <c r="O28" i="77"/>
  <c r="O42" i="77"/>
  <c r="O44" i="77"/>
  <c r="O23" i="80"/>
  <c r="O31" i="80"/>
  <c r="O45" i="80"/>
  <c r="O36" i="82"/>
  <c r="O48" i="82"/>
  <c r="O66" i="82"/>
  <c r="O22" i="85"/>
  <c r="O30" i="85"/>
  <c r="O34" i="85"/>
  <c r="O42" i="85"/>
  <c r="O44" i="85"/>
  <c r="O48" i="85"/>
  <c r="O50" i="85"/>
  <c r="O56" i="85"/>
  <c r="O60" i="85"/>
  <c r="O62" i="85"/>
  <c r="O36" i="91"/>
  <c r="O54" i="91"/>
  <c r="O28" i="92"/>
  <c r="O34" i="92"/>
  <c r="O36" i="92"/>
  <c r="O42" i="92"/>
  <c r="O44" i="92"/>
  <c r="O54" i="92"/>
  <c r="O56" i="92"/>
  <c r="O68" i="92"/>
  <c r="O72" i="92"/>
  <c r="O40" i="96"/>
  <c r="O58" i="96"/>
  <c r="O27" i="59"/>
  <c r="O45" i="59"/>
  <c r="O51" i="59"/>
  <c r="O53" i="59"/>
  <c r="O55" i="59"/>
  <c r="O57" i="59"/>
  <c r="O61" i="59"/>
  <c r="O63" i="59"/>
  <c r="O67" i="59"/>
  <c r="O71" i="59"/>
  <c r="O25" i="62"/>
  <c r="O27" i="62"/>
  <c r="O37" i="62"/>
  <c r="O39" i="62"/>
  <c r="O43" i="62"/>
  <c r="O49" i="62"/>
  <c r="O51" i="62"/>
  <c r="O53" i="62"/>
  <c r="O55" i="62"/>
  <c r="O59" i="62"/>
  <c r="O61" i="62"/>
  <c r="O65" i="62"/>
  <c r="O71" i="62"/>
  <c r="O53" i="63"/>
  <c r="O42" i="69"/>
  <c r="O54" i="69"/>
  <c r="O64" i="78"/>
  <c r="O43" i="87"/>
  <c r="O45" i="87"/>
  <c r="O57" i="87"/>
  <c r="O69" i="87"/>
  <c r="O44" i="90"/>
  <c r="O50" i="90"/>
  <c r="O52" i="90"/>
  <c r="O56" i="90"/>
  <c r="O22" i="96"/>
  <c r="O48" i="96"/>
  <c r="O68" i="96"/>
  <c r="O37" i="95"/>
  <c r="O47" i="95"/>
  <c r="O57" i="95"/>
  <c r="O65" i="95"/>
  <c r="O28" i="91"/>
  <c r="O30" i="91"/>
  <c r="O48" i="91"/>
  <c r="O52" i="91"/>
  <c r="O58" i="91"/>
  <c r="O60" i="91"/>
  <c r="O23" i="91"/>
  <c r="O27" i="91"/>
  <c r="O47" i="91"/>
  <c r="O49" i="91"/>
  <c r="O61" i="91"/>
  <c r="O67" i="91"/>
  <c r="O69" i="91"/>
  <c r="O21" i="90"/>
  <c r="O35" i="90"/>
  <c r="O37" i="90"/>
  <c r="O39" i="90"/>
  <c r="O54" i="90"/>
  <c r="O31" i="89"/>
  <c r="O57" i="89"/>
  <c r="O61" i="89"/>
  <c r="O20" i="89"/>
  <c r="O22" i="89"/>
  <c r="O26" i="89"/>
  <c r="O28" i="89"/>
  <c r="O30" i="89"/>
  <c r="O34" i="89"/>
  <c r="O36" i="89"/>
  <c r="O38" i="89"/>
  <c r="O40" i="89"/>
  <c r="O42" i="89"/>
  <c r="O44" i="89"/>
  <c r="O50" i="89"/>
  <c r="O52" i="89"/>
  <c r="O56" i="89"/>
  <c r="O58" i="89"/>
  <c r="O64" i="88"/>
  <c r="O37" i="88"/>
  <c r="O69" i="88"/>
  <c r="O22" i="87"/>
  <c r="O26" i="87"/>
  <c r="O30" i="87"/>
  <c r="O34" i="87"/>
  <c r="O42" i="87"/>
  <c r="O46" i="87"/>
  <c r="O54" i="87"/>
  <c r="O58" i="87"/>
  <c r="O60" i="87"/>
  <c r="O68" i="87"/>
  <c r="O20" i="87"/>
  <c r="O28" i="87"/>
  <c r="O32" i="87"/>
  <c r="O40" i="87"/>
  <c r="O48" i="87"/>
  <c r="O52" i="87"/>
  <c r="O56" i="87"/>
  <c r="O62" i="87"/>
  <c r="O66" i="87"/>
  <c r="O70" i="87"/>
  <c r="O43" i="86"/>
  <c r="O69" i="86"/>
  <c r="O71" i="86"/>
  <c r="O45" i="84"/>
  <c r="O22" i="84"/>
  <c r="O24" i="84"/>
  <c r="O26" i="84"/>
  <c r="O28" i="84"/>
  <c r="O36" i="84"/>
  <c r="O54" i="84"/>
  <c r="O56" i="84"/>
  <c r="O23" i="76"/>
  <c r="O33" i="76"/>
  <c r="O35" i="76"/>
  <c r="O39" i="76"/>
  <c r="O41" i="76"/>
  <c r="O43" i="76"/>
  <c r="O45" i="76"/>
  <c r="O47" i="76"/>
  <c r="O49" i="76"/>
  <c r="O51" i="76"/>
  <c r="O53" i="76"/>
  <c r="O55" i="76"/>
  <c r="O57" i="76"/>
  <c r="O59" i="76"/>
  <c r="O61" i="76"/>
  <c r="O63" i="76"/>
  <c r="O65" i="76"/>
  <c r="O67" i="76"/>
  <c r="O69" i="76"/>
  <c r="O71" i="76"/>
  <c r="O22" i="76"/>
  <c r="O28" i="76"/>
  <c r="O32" i="76"/>
  <c r="O34" i="76"/>
  <c r="O36" i="76"/>
  <c r="O46" i="76"/>
  <c r="O56" i="76"/>
  <c r="O68" i="76"/>
  <c r="O23" i="75"/>
  <c r="O30" i="75"/>
  <c r="O32" i="75"/>
  <c r="O40" i="75"/>
  <c r="O52" i="75"/>
  <c r="O58" i="75"/>
  <c r="O60" i="75"/>
  <c r="O62" i="75"/>
  <c r="O64" i="75"/>
  <c r="O68" i="75"/>
  <c r="O25" i="96"/>
  <c r="O27" i="96"/>
  <c r="O37" i="96"/>
  <c r="O41" i="96"/>
  <c r="O43" i="96"/>
  <c r="O49" i="96"/>
  <c r="O51" i="96"/>
  <c r="O71" i="96"/>
  <c r="O24" i="96"/>
  <c r="O49" i="95"/>
  <c r="O51" i="95"/>
  <c r="O59" i="95"/>
  <c r="O63" i="95"/>
  <c r="O67" i="95"/>
  <c r="O17" i="95"/>
  <c r="O26" i="94"/>
  <c r="O44" i="94"/>
  <c r="O28" i="94"/>
  <c r="O32" i="94"/>
  <c r="O38" i="94"/>
  <c r="O42" i="94"/>
  <c r="O48" i="94"/>
  <c r="O52" i="94"/>
  <c r="O72" i="94"/>
  <c r="O30" i="94"/>
  <c r="O46" i="94"/>
  <c r="O50" i="94"/>
  <c r="O68" i="94"/>
  <c r="O70" i="94"/>
  <c r="O50" i="92"/>
  <c r="O70" i="92"/>
  <c r="O31" i="92"/>
  <c r="O35" i="92"/>
  <c r="O49" i="92"/>
  <c r="O51" i="92"/>
  <c r="O55" i="92"/>
  <c r="O57" i="92"/>
  <c r="O69" i="92"/>
  <c r="O18" i="92"/>
  <c r="O26" i="90"/>
  <c r="O42" i="90"/>
  <c r="O48" i="90"/>
  <c r="O35" i="89"/>
  <c r="O53" i="89"/>
  <c r="O18" i="89"/>
  <c r="O32" i="88"/>
  <c r="O34" i="88"/>
  <c r="O66" i="88"/>
  <c r="O39" i="85"/>
  <c r="O45" i="85"/>
  <c r="O63" i="85"/>
  <c r="O69" i="85"/>
  <c r="O19" i="84"/>
  <c r="O23" i="84"/>
  <c r="O31" i="84"/>
  <c r="O47" i="84"/>
  <c r="O53" i="84"/>
  <c r="O23" i="83"/>
  <c r="O31" i="83"/>
  <c r="O61" i="83"/>
  <c r="O41" i="83"/>
  <c r="O69" i="83"/>
  <c r="O19" i="83"/>
  <c r="O35" i="82"/>
  <c r="O41" i="82"/>
  <c r="O43" i="82"/>
  <c r="O45" i="82"/>
  <c r="O53" i="82"/>
  <c r="O55" i="82"/>
  <c r="O57" i="82"/>
  <c r="O71" i="82"/>
  <c r="O20" i="82"/>
  <c r="O22" i="82"/>
  <c r="O24" i="82"/>
  <c r="O19" i="82"/>
  <c r="O26" i="81"/>
  <c r="O32" i="81"/>
  <c r="O46" i="81"/>
  <c r="O58" i="81"/>
  <c r="O36" i="79"/>
  <c r="O46" i="79"/>
  <c r="O60" i="79"/>
  <c r="O22" i="79"/>
  <c r="O24" i="79"/>
  <c r="O30" i="79"/>
  <c r="O34" i="79"/>
  <c r="O38" i="79"/>
  <c r="O48" i="79"/>
  <c r="O50" i="79"/>
  <c r="O54" i="79"/>
  <c r="O56" i="79"/>
  <c r="O64" i="79"/>
  <c r="O66" i="79"/>
  <c r="O68" i="79"/>
  <c r="O25" i="78"/>
  <c r="O51" i="78"/>
  <c r="O55" i="78"/>
  <c r="O65" i="78"/>
  <c r="O22" i="78"/>
  <c r="O24" i="78"/>
  <c r="O34" i="78"/>
  <c r="O40" i="78"/>
  <c r="O44" i="78"/>
  <c r="O48" i="78"/>
  <c r="O50" i="78"/>
  <c r="O54" i="78"/>
  <c r="O56" i="78"/>
  <c r="O58" i="78"/>
  <c r="O60" i="78"/>
  <c r="O62" i="78"/>
  <c r="O68" i="78"/>
  <c r="O72" i="78"/>
  <c r="O22" i="77"/>
  <c r="O34" i="77"/>
  <c r="O50" i="77"/>
  <c r="O60" i="77"/>
  <c r="O24" i="77"/>
  <c r="O48" i="77"/>
  <c r="O54" i="77"/>
  <c r="O30" i="77"/>
  <c r="O38" i="77"/>
  <c r="O40" i="77"/>
  <c r="O46" i="77"/>
  <c r="O52" i="77"/>
  <c r="O56" i="77"/>
  <c r="O62" i="77"/>
  <c r="O72" i="77"/>
  <c r="O22" i="75"/>
  <c r="O28" i="75"/>
  <c r="O38" i="75"/>
  <c r="O70" i="75"/>
  <c r="O47" i="75"/>
  <c r="O25" i="75"/>
  <c r="O35" i="75"/>
  <c r="O39" i="75"/>
  <c r="O43" i="75"/>
  <c r="O45" i="75"/>
  <c r="O49" i="75"/>
  <c r="O65" i="75"/>
  <c r="O71" i="75"/>
  <c r="O47" i="72"/>
  <c r="O59" i="72"/>
  <c r="O67" i="72"/>
  <c r="O41" i="72"/>
  <c r="O45" i="72"/>
  <c r="O55" i="72"/>
  <c r="O63" i="72"/>
  <c r="O26" i="72"/>
  <c r="O28" i="72"/>
  <c r="O30" i="72"/>
  <c r="O36" i="72"/>
  <c r="O38" i="72"/>
  <c r="O42" i="72"/>
  <c r="O44" i="72"/>
  <c r="O48" i="72"/>
  <c r="O54" i="72"/>
  <c r="O60" i="72"/>
  <c r="O64" i="72"/>
  <c r="O66" i="72"/>
  <c r="O68" i="72"/>
  <c r="O70" i="72"/>
  <c r="O51" i="71"/>
  <c r="O41" i="71"/>
  <c r="O59" i="71"/>
  <c r="O31" i="69"/>
  <c r="O33" i="69"/>
  <c r="O39" i="69"/>
  <c r="O51" i="69"/>
  <c r="O57" i="69"/>
  <c r="O59" i="69"/>
  <c r="O63" i="69"/>
  <c r="O67" i="69"/>
  <c r="O36" i="68"/>
  <c r="O38" i="68"/>
  <c r="O42" i="68"/>
  <c r="O46" i="68"/>
  <c r="O48" i="68"/>
  <c r="O50" i="68"/>
  <c r="O64" i="68"/>
  <c r="O68" i="68"/>
  <c r="O33" i="68"/>
  <c r="O35" i="68"/>
  <c r="O49" i="68"/>
  <c r="O55" i="68"/>
  <c r="O61" i="68"/>
  <c r="O71" i="68"/>
  <c r="O52" i="68"/>
  <c r="O58" i="68"/>
  <c r="O60" i="68"/>
  <c r="O23" i="68"/>
  <c r="O25" i="68"/>
  <c r="O37" i="68"/>
  <c r="O43" i="68"/>
  <c r="O59" i="68"/>
  <c r="O65" i="68"/>
  <c r="O69" i="68"/>
  <c r="O63" i="67"/>
  <c r="O67" i="67"/>
  <c r="O71" i="67"/>
  <c r="O25" i="66"/>
  <c r="O31" i="66"/>
  <c r="O35" i="66"/>
  <c r="O24" i="65"/>
  <c r="O28" i="65"/>
  <c r="O32" i="65"/>
  <c r="O58" i="65"/>
  <c r="O62" i="65"/>
  <c r="O64" i="65"/>
  <c r="O68" i="65"/>
  <c r="O36" i="65"/>
  <c r="O44" i="65"/>
  <c r="O70" i="65"/>
  <c r="O51" i="65"/>
  <c r="O59" i="65"/>
  <c r="O32" i="64"/>
  <c r="O66" i="64"/>
  <c r="O30" i="64"/>
  <c r="O42" i="64"/>
  <c r="O64" i="64"/>
  <c r="O72" i="64"/>
  <c r="O24" i="64"/>
  <c r="O25" i="60"/>
  <c r="O29" i="60"/>
  <c r="O31" i="60"/>
  <c r="O33" i="60"/>
  <c r="O35" i="60"/>
  <c r="O37" i="60"/>
  <c r="O39" i="60"/>
  <c r="O41" i="60"/>
  <c r="O49" i="60"/>
  <c r="O53" i="60"/>
  <c r="O57" i="60"/>
  <c r="O59" i="60"/>
  <c r="O61" i="60"/>
  <c r="O65" i="60"/>
  <c r="O29" i="62"/>
  <c r="O41" i="62"/>
  <c r="O63" i="62"/>
  <c r="O67" i="62"/>
  <c r="O69" i="62"/>
  <c r="O22" i="62"/>
  <c r="O35" i="63"/>
  <c r="O23" i="63"/>
  <c r="O25" i="63"/>
  <c r="O27" i="63"/>
  <c r="O33" i="63"/>
  <c r="O37" i="63"/>
  <c r="O39" i="63"/>
  <c r="O41" i="63"/>
  <c r="O45" i="63"/>
  <c r="O47" i="63"/>
  <c r="O49" i="63"/>
  <c r="O59" i="63"/>
  <c r="O61" i="63"/>
  <c r="O67" i="63"/>
  <c r="O71" i="63"/>
  <c r="O26" i="63"/>
  <c r="O30" i="63"/>
  <c r="O34" i="63"/>
  <c r="O36" i="63"/>
  <c r="O52" i="63"/>
  <c r="O72" i="63"/>
  <c r="O27" i="61"/>
  <c r="O35" i="61"/>
  <c r="O39" i="61"/>
  <c r="O41" i="61"/>
  <c r="O43" i="61"/>
  <c r="O45" i="61"/>
  <c r="O55" i="61"/>
  <c r="O59" i="61"/>
  <c r="O63" i="61"/>
  <c r="O65" i="61"/>
  <c r="O69" i="61"/>
  <c r="O31" i="58"/>
  <c r="O69" i="57"/>
  <c r="O49" i="57"/>
  <c r="O47" i="57"/>
  <c r="O39" i="57"/>
  <c r="O27" i="57"/>
  <c r="O25" i="57"/>
  <c r="O26" i="56"/>
  <c r="O24" i="56"/>
  <c r="O63" i="56"/>
  <c r="B25" i="55"/>
  <c r="O60" i="54"/>
  <c r="O56" i="54"/>
  <c r="O54" i="54"/>
  <c r="O52" i="54"/>
  <c r="O48" i="54"/>
  <c r="O42" i="54"/>
  <c r="O36" i="54"/>
  <c r="O32" i="54"/>
  <c r="O30" i="54"/>
  <c r="O33" i="53"/>
  <c r="O27" i="53"/>
  <c r="O25" i="53"/>
  <c r="O72" i="46"/>
  <c r="O70" i="46"/>
  <c r="O68" i="46"/>
  <c r="O60" i="46"/>
  <c r="O58" i="46"/>
  <c r="O50" i="46"/>
  <c r="O48" i="46"/>
  <c r="O46" i="46"/>
  <c r="O40" i="46"/>
  <c r="O38" i="46"/>
  <c r="O36" i="46"/>
  <c r="O34" i="46"/>
  <c r="O52" i="45"/>
  <c r="O46" i="45"/>
  <c r="O28" i="45"/>
  <c r="O24" i="45"/>
  <c r="O71" i="45"/>
  <c r="O62" i="45"/>
  <c r="O60" i="45"/>
  <c r="O58" i="45"/>
  <c r="O56" i="45"/>
  <c r="O54" i="45"/>
  <c r="O48" i="45"/>
  <c r="O44" i="45"/>
  <c r="O38" i="45"/>
  <c r="O36" i="45"/>
  <c r="O34" i="45"/>
  <c r="O32" i="45"/>
  <c r="O64" i="43"/>
  <c r="O54" i="43"/>
  <c r="O44" i="43"/>
  <c r="O42" i="43"/>
  <c r="O40" i="43"/>
  <c r="O38" i="43"/>
  <c r="O36" i="43"/>
  <c r="O34" i="43"/>
  <c r="O32" i="43"/>
  <c r="O30" i="43"/>
  <c r="O28" i="43"/>
  <c r="O65" i="43"/>
  <c r="O59" i="43"/>
  <c r="O55" i="43"/>
  <c r="O51" i="43"/>
  <c r="O41" i="43"/>
  <c r="O39" i="43"/>
  <c r="O35" i="42"/>
  <c r="O29" i="42"/>
  <c r="O37" i="42"/>
  <c r="O27" i="42"/>
  <c r="O71" i="42"/>
  <c r="O69" i="42"/>
  <c r="O67" i="42"/>
  <c r="O65" i="42"/>
  <c r="O63" i="42"/>
  <c r="O61" i="42"/>
  <c r="O57" i="42"/>
  <c r="O53" i="42"/>
  <c r="O51" i="42"/>
  <c r="O45" i="42"/>
  <c r="O58" i="41"/>
  <c r="O56" i="41"/>
  <c r="O52" i="41"/>
  <c r="O72" i="41"/>
  <c r="O62" i="41"/>
  <c r="O50" i="41"/>
  <c r="O42" i="41"/>
  <c r="O36" i="41"/>
  <c r="O32" i="41"/>
  <c r="O30" i="41"/>
  <c r="O28" i="41"/>
  <c r="O65" i="39"/>
  <c r="O61" i="39"/>
  <c r="O45" i="39"/>
  <c r="O43" i="39"/>
  <c r="O57" i="34"/>
  <c r="O55" i="34"/>
  <c r="O53" i="34"/>
  <c r="O51" i="34"/>
  <c r="O47" i="34"/>
  <c r="O45" i="34"/>
  <c r="O41" i="34"/>
  <c r="O37" i="34"/>
  <c r="O35" i="34"/>
  <c r="O29" i="34"/>
  <c r="O27" i="34"/>
  <c r="O71" i="32"/>
  <c r="O69" i="32"/>
  <c r="O65" i="32"/>
  <c r="O63" i="32"/>
  <c r="O61" i="32"/>
  <c r="O55" i="32"/>
  <c r="O51" i="32"/>
  <c r="O49" i="32"/>
  <c r="O47" i="32"/>
  <c r="O45" i="32"/>
  <c r="O43" i="32"/>
  <c r="O29" i="32"/>
  <c r="O69" i="31"/>
  <c r="O59" i="31"/>
  <c r="O57" i="31"/>
  <c r="O53" i="31"/>
  <c r="O51" i="31"/>
  <c r="O47" i="31"/>
  <c r="O43" i="31"/>
  <c r="O27" i="31"/>
  <c r="O70" i="30"/>
  <c r="O66" i="30"/>
  <c r="O64" i="30"/>
  <c r="O62" i="30"/>
  <c r="O60" i="30"/>
  <c r="O58" i="30"/>
  <c r="O56" i="30"/>
  <c r="O54" i="30"/>
  <c r="O52" i="30"/>
  <c r="O48" i="30"/>
  <c r="O42" i="30"/>
  <c r="O40" i="30"/>
  <c r="O38" i="30"/>
  <c r="O30" i="30"/>
  <c r="O71" i="29"/>
  <c r="O35" i="29"/>
  <c r="O67" i="27"/>
  <c r="O65" i="27"/>
  <c r="O63" i="27"/>
  <c r="O59" i="27"/>
  <c r="O57" i="27"/>
  <c r="O55" i="27"/>
  <c r="O51" i="27"/>
  <c r="O49" i="27"/>
  <c r="O47" i="27"/>
  <c r="O45" i="27"/>
  <c r="O40" i="27"/>
  <c r="O38" i="27"/>
  <c r="O36" i="27"/>
  <c r="O30" i="27"/>
  <c r="O51" i="24"/>
  <c r="O47" i="24"/>
  <c r="O70" i="24"/>
  <c r="O64" i="24"/>
  <c r="O58" i="24"/>
  <c r="O56" i="24"/>
  <c r="O71" i="22"/>
  <c r="O61" i="22"/>
  <c r="O67" i="19"/>
  <c r="O65" i="19"/>
  <c r="O38" i="19"/>
  <c r="O45" i="20"/>
  <c r="O68" i="20"/>
  <c r="O58" i="20"/>
  <c r="O56" i="20"/>
  <c r="O63" i="21"/>
  <c r="O61" i="21"/>
  <c r="O43" i="21"/>
  <c r="O41" i="21"/>
  <c r="O37" i="21"/>
  <c r="O33" i="21"/>
  <c r="O66" i="20"/>
  <c r="O64" i="20"/>
  <c r="O62" i="20"/>
  <c r="O60" i="20"/>
  <c r="O43" i="20"/>
  <c r="O39" i="20"/>
  <c r="O31" i="20"/>
  <c r="O29" i="20"/>
  <c r="O72" i="19"/>
  <c r="O60" i="19"/>
  <c r="O48" i="19"/>
  <c r="O37" i="19"/>
  <c r="O35" i="19"/>
  <c r="O33" i="19"/>
  <c r="O67" i="18"/>
  <c r="O57" i="18"/>
  <c r="O55" i="18"/>
  <c r="O42" i="18"/>
  <c r="O28" i="18"/>
  <c r="O46" i="78"/>
  <c r="O52" i="78"/>
  <c r="O66" i="78"/>
  <c r="O70" i="78"/>
  <c r="O27" i="78"/>
  <c r="O33" i="78"/>
  <c r="O59" i="78"/>
  <c r="P149" i="55"/>
  <c r="I10" i="95"/>
  <c r="N6" i="95" s="1"/>
  <c r="I10" i="55"/>
  <c r="N5" i="55" s="1"/>
  <c r="I10" i="21"/>
  <c r="I10" i="27"/>
  <c r="I10" i="25"/>
  <c r="I10" i="30"/>
  <c r="N6" i="30" s="1"/>
  <c r="I10" i="3"/>
  <c r="I10" i="54"/>
  <c r="I10" i="68"/>
  <c r="I10" i="19"/>
  <c r="I10" i="63"/>
  <c r="I10" i="45"/>
  <c r="N5" i="45" s="1"/>
  <c r="I10" i="66"/>
  <c r="N5" i="66" s="1"/>
  <c r="I10" i="53"/>
  <c r="I10" i="76"/>
  <c r="I10" i="79"/>
  <c r="I10" i="62"/>
  <c r="I10" i="65"/>
  <c r="D93" i="65" s="1"/>
  <c r="C99" i="65" s="1"/>
  <c r="C100" i="65" s="1"/>
  <c r="C101" i="65" s="1"/>
  <c r="C102" i="65" s="1"/>
  <c r="C103" i="65" s="1"/>
  <c r="C104" i="65" s="1"/>
  <c r="C105" i="65" s="1"/>
  <c r="C106" i="65" s="1"/>
  <c r="C107" i="65" s="1"/>
  <c r="C108" i="65" s="1"/>
  <c r="C109" i="65" s="1"/>
  <c r="C110" i="65" s="1"/>
  <c r="C111" i="65" s="1"/>
  <c r="C112" i="65" s="1"/>
  <c r="C113" i="65" s="1"/>
  <c r="C114" i="65" s="1"/>
  <c r="C115" i="65" s="1"/>
  <c r="C116" i="65" s="1"/>
  <c r="C117" i="65" s="1"/>
  <c r="C118" i="65" s="1"/>
  <c r="C119" i="65" s="1"/>
  <c r="C120" i="65" s="1"/>
  <c r="C121" i="65" s="1"/>
  <c r="C122" i="65" s="1"/>
  <c r="C123" i="65" s="1"/>
  <c r="C124" i="65" s="1"/>
  <c r="C125" i="65" s="1"/>
  <c r="C126" i="65" s="1"/>
  <c r="C127" i="65" s="1"/>
  <c r="C128" i="65" s="1"/>
  <c r="C129" i="65" s="1"/>
  <c r="C130" i="65" s="1"/>
  <c r="C131" i="65" s="1"/>
  <c r="C132" i="65" s="1"/>
  <c r="C133" i="65" s="1"/>
  <c r="C134" i="65" s="1"/>
  <c r="C135" i="65" s="1"/>
  <c r="C136" i="65" s="1"/>
  <c r="C137" i="65" s="1"/>
  <c r="C138" i="65" s="1"/>
  <c r="C139" i="65" s="1"/>
  <c r="C140" i="65" s="1"/>
  <c r="C141" i="65" s="1"/>
  <c r="C142" i="65" s="1"/>
  <c r="C143" i="65" s="1"/>
  <c r="C144" i="65" s="1"/>
  <c r="C145" i="65" s="1"/>
  <c r="C146" i="65" s="1"/>
  <c r="C147" i="65" s="1"/>
  <c r="C148" i="65" s="1"/>
  <c r="C149" i="65" s="1"/>
  <c r="C150" i="65" s="1"/>
  <c r="C151" i="65" s="1"/>
  <c r="C152" i="65" s="1"/>
  <c r="C153" i="65" s="1"/>
  <c r="C154" i="65" s="1"/>
  <c r="I10" i="34"/>
  <c r="D93" i="34" s="1"/>
  <c r="C99" i="34" s="1"/>
  <c r="C100" i="34" s="1"/>
  <c r="C101" i="34" s="1"/>
  <c r="C102" i="34" s="1"/>
  <c r="C103" i="34" s="1"/>
  <c r="C104" i="34" s="1"/>
  <c r="C105" i="34" s="1"/>
  <c r="C106" i="34" s="1"/>
  <c r="C107" i="34" s="1"/>
  <c r="C108" i="34" s="1"/>
  <c r="C109" i="34" s="1"/>
  <c r="C110" i="34" s="1"/>
  <c r="C111" i="34" s="1"/>
  <c r="C112" i="34" s="1"/>
  <c r="C113" i="34" s="1"/>
  <c r="C114" i="34" s="1"/>
  <c r="C115" i="34" s="1"/>
  <c r="C116" i="34" s="1"/>
  <c r="C117" i="34" s="1"/>
  <c r="C118" i="34" s="1"/>
  <c r="C119" i="34" s="1"/>
  <c r="C120" i="34" s="1"/>
  <c r="C121" i="34" s="1"/>
  <c r="C122" i="34" s="1"/>
  <c r="C123" i="34" s="1"/>
  <c r="C124" i="34" s="1"/>
  <c r="C125" i="34" s="1"/>
  <c r="C126" i="34" s="1"/>
  <c r="C127" i="34" s="1"/>
  <c r="C128" i="34" s="1"/>
  <c r="C129" i="34" s="1"/>
  <c r="C130" i="34" s="1"/>
  <c r="C131" i="34" s="1"/>
  <c r="C132" i="34" s="1"/>
  <c r="C133" i="34" s="1"/>
  <c r="C134" i="34" s="1"/>
  <c r="C135" i="34" s="1"/>
  <c r="C136" i="34" s="1"/>
  <c r="C137" i="34" s="1"/>
  <c r="C138" i="34" s="1"/>
  <c r="C139" i="34" s="1"/>
  <c r="C140" i="34" s="1"/>
  <c r="C141" i="34" s="1"/>
  <c r="C142" i="34" s="1"/>
  <c r="C143" i="34" s="1"/>
  <c r="C144" i="34" s="1"/>
  <c r="C145" i="34" s="1"/>
  <c r="C146" i="34" s="1"/>
  <c r="C147" i="34" s="1"/>
  <c r="C148" i="34" s="1"/>
  <c r="C149" i="34" s="1"/>
  <c r="C150" i="34" s="1"/>
  <c r="C151" i="34" s="1"/>
  <c r="C152" i="34" s="1"/>
  <c r="C153" i="34" s="1"/>
  <c r="C154" i="34" s="1"/>
  <c r="I10" i="42"/>
  <c r="I10" i="32"/>
  <c r="I10" i="64"/>
  <c r="I10" i="70"/>
  <c r="N6" i="70" s="1"/>
  <c r="I10" i="96"/>
  <c r="N6" i="96" s="1"/>
  <c r="I10" i="58"/>
  <c r="I10" i="57"/>
  <c r="I10" i="71"/>
  <c r="N6" i="71" s="1"/>
  <c r="I10" i="86"/>
  <c r="I10" i="22"/>
  <c r="N6" i="22" s="1"/>
  <c r="I10" i="80"/>
  <c r="I10" i="29"/>
  <c r="I10" i="44"/>
  <c r="D92" i="44" s="1"/>
  <c r="B107" i="44" s="1"/>
  <c r="I10" i="31"/>
  <c r="N5" i="31" s="1"/>
  <c r="I10" i="26"/>
  <c r="D93" i="26" s="1"/>
  <c r="I10" i="60"/>
  <c r="N6" i="60" s="1"/>
  <c r="I10" i="39"/>
  <c r="N6" i="39" s="1"/>
  <c r="I10" i="43"/>
  <c r="D94" i="43" s="1"/>
  <c r="I10" i="84"/>
  <c r="I10" i="59"/>
  <c r="I10" i="77"/>
  <c r="D94" i="77" s="1"/>
  <c r="I10" i="87"/>
  <c r="D94" i="87" s="1"/>
  <c r="I10" i="24"/>
  <c r="N5" i="24" s="1"/>
  <c r="I10" i="93"/>
  <c r="I10" i="94"/>
  <c r="I10" i="88"/>
  <c r="I10" i="72"/>
  <c r="N6" i="72" s="1"/>
  <c r="I10" i="81"/>
  <c r="I10" i="91"/>
  <c r="I10" i="69"/>
  <c r="N6" i="69" s="1"/>
  <c r="I10" i="67"/>
  <c r="N6" i="67" s="1"/>
  <c r="I10" i="41"/>
  <c r="I10" i="92"/>
  <c r="D93" i="92" s="1"/>
  <c r="C99" i="92" s="1"/>
  <c r="C100" i="92" s="1"/>
  <c r="C101" i="92" s="1"/>
  <c r="C102" i="92" s="1"/>
  <c r="C103" i="92" s="1"/>
  <c r="C104" i="92" s="1"/>
  <c r="C105" i="92" s="1"/>
  <c r="C106" i="92" s="1"/>
  <c r="C107" i="92" s="1"/>
  <c r="C108" i="92" s="1"/>
  <c r="C109" i="92" s="1"/>
  <c r="C110" i="92" s="1"/>
  <c r="C111" i="92" s="1"/>
  <c r="C112" i="92" s="1"/>
  <c r="C113" i="92" s="1"/>
  <c r="C114" i="92" s="1"/>
  <c r="C115" i="92" s="1"/>
  <c r="C116" i="92" s="1"/>
  <c r="C117" i="92" s="1"/>
  <c r="C118" i="92" s="1"/>
  <c r="C119" i="92" s="1"/>
  <c r="C120" i="92" s="1"/>
  <c r="C121" i="92" s="1"/>
  <c r="C122" i="92" s="1"/>
  <c r="C123" i="92" s="1"/>
  <c r="C124" i="92" s="1"/>
  <c r="C125" i="92" s="1"/>
  <c r="C126" i="92" s="1"/>
  <c r="C127" i="92" s="1"/>
  <c r="C128" i="92" s="1"/>
  <c r="C129" i="92" s="1"/>
  <c r="C130" i="92" s="1"/>
  <c r="C131" i="92" s="1"/>
  <c r="C132" i="92" s="1"/>
  <c r="C133" i="92" s="1"/>
  <c r="C134" i="92" s="1"/>
  <c r="C135" i="92" s="1"/>
  <c r="C136" i="92" s="1"/>
  <c r="C137" i="92" s="1"/>
  <c r="C138" i="92" s="1"/>
  <c r="C139" i="92" s="1"/>
  <c r="C140" i="92" s="1"/>
  <c r="C141" i="92" s="1"/>
  <c r="C142" i="92" s="1"/>
  <c r="C143" i="92" s="1"/>
  <c r="C144" i="92" s="1"/>
  <c r="C145" i="92" s="1"/>
  <c r="C146" i="92" s="1"/>
  <c r="C147" i="92" s="1"/>
  <c r="C148" i="92" s="1"/>
  <c r="C149" i="92" s="1"/>
  <c r="C150" i="92" s="1"/>
  <c r="C151" i="92" s="1"/>
  <c r="C152" i="92" s="1"/>
  <c r="C153" i="92" s="1"/>
  <c r="C154" i="92" s="1"/>
  <c r="J94" i="46"/>
  <c r="J95" i="46" s="1"/>
  <c r="J94" i="28"/>
  <c r="J95" i="28" s="1"/>
  <c r="P110" i="93"/>
  <c r="P109" i="94"/>
  <c r="P117" i="94"/>
  <c r="P127" i="94"/>
  <c r="P154" i="56"/>
  <c r="P152" i="56"/>
  <c r="P150" i="56"/>
  <c r="P146" i="56"/>
  <c r="P130" i="56"/>
  <c r="P126" i="56"/>
  <c r="P126" i="62"/>
  <c r="C100" i="96"/>
  <c r="C101" i="96" s="1"/>
  <c r="C102" i="96" s="1"/>
  <c r="C103" i="96" s="1"/>
  <c r="C104" i="96" s="1"/>
  <c r="C105" i="96" s="1"/>
  <c r="C106" i="96" s="1"/>
  <c r="C107" i="96" s="1"/>
  <c r="C108" i="96" s="1"/>
  <c r="C109" i="96" s="1"/>
  <c r="C110" i="96" s="1"/>
  <c r="C111" i="96" s="1"/>
  <c r="C112" i="96" s="1"/>
  <c r="C113" i="96" s="1"/>
  <c r="C114" i="96" s="1"/>
  <c r="C115" i="96" s="1"/>
  <c r="C116" i="96" s="1"/>
  <c r="C117" i="96" s="1"/>
  <c r="C118" i="96" s="1"/>
  <c r="C119" i="96" s="1"/>
  <c r="C120" i="96" s="1"/>
  <c r="C121" i="96" s="1"/>
  <c r="C122" i="96" s="1"/>
  <c r="C123" i="96" s="1"/>
  <c r="C124" i="96" s="1"/>
  <c r="C125" i="96" s="1"/>
  <c r="C126" i="96" s="1"/>
  <c r="C127" i="96" s="1"/>
  <c r="C128" i="96" s="1"/>
  <c r="C129" i="96" s="1"/>
  <c r="C130" i="96" s="1"/>
  <c r="C131" i="96" s="1"/>
  <c r="C132" i="96" s="1"/>
  <c r="C133" i="96" s="1"/>
  <c r="C134" i="96" s="1"/>
  <c r="C135" i="96" s="1"/>
  <c r="C136" i="96" s="1"/>
  <c r="C137" i="96" s="1"/>
  <c r="C138" i="96" s="1"/>
  <c r="C139" i="96" s="1"/>
  <c r="C140" i="96" s="1"/>
  <c r="C141" i="96" s="1"/>
  <c r="C142" i="96" s="1"/>
  <c r="C143" i="96" s="1"/>
  <c r="C144" i="96" s="1"/>
  <c r="C145" i="96" s="1"/>
  <c r="C146" i="96" s="1"/>
  <c r="C147" i="96" s="1"/>
  <c r="C148" i="96" s="1"/>
  <c r="C149" i="96" s="1"/>
  <c r="C150" i="96" s="1"/>
  <c r="C151" i="96" s="1"/>
  <c r="C152" i="96" s="1"/>
  <c r="C153" i="96" s="1"/>
  <c r="C154" i="96" s="1"/>
  <c r="P120" i="96"/>
  <c r="C45" i="85"/>
  <c r="C46" i="85" s="1"/>
  <c r="C47" i="85" s="1"/>
  <c r="C48" i="85" s="1"/>
  <c r="C49" i="85" s="1"/>
  <c r="C50" i="85" s="1"/>
  <c r="C51" i="85" s="1"/>
  <c r="C52" i="85" s="1"/>
  <c r="C53" i="85" s="1"/>
  <c r="C54" i="85" s="1"/>
  <c r="C55" i="85" s="1"/>
  <c r="C56" i="85" s="1"/>
  <c r="C57" i="85" s="1"/>
  <c r="C58" i="85" s="1"/>
  <c r="C59" i="85" s="1"/>
  <c r="C60" i="85" s="1"/>
  <c r="C61" i="85" s="1"/>
  <c r="C62" i="85" s="1"/>
  <c r="C63" i="85" s="1"/>
  <c r="C64" i="85" s="1"/>
  <c r="C65" i="85" s="1"/>
  <c r="C66" i="85" s="1"/>
  <c r="C67" i="85" s="1"/>
  <c r="C68" i="85" s="1"/>
  <c r="C69" i="85" s="1"/>
  <c r="C70" i="85" s="1"/>
  <c r="C71" i="85" s="1"/>
  <c r="C72" i="85" s="1"/>
  <c r="O17" i="93"/>
  <c r="O41" i="90"/>
  <c r="O63" i="90"/>
  <c r="O67" i="90"/>
  <c r="O71" i="90"/>
  <c r="O18" i="90"/>
  <c r="O49" i="84"/>
  <c r="O51" i="84"/>
  <c r="O55" i="84"/>
  <c r="O57" i="84"/>
  <c r="O59" i="84"/>
  <c r="O65" i="84"/>
  <c r="O67" i="84"/>
  <c r="O71" i="84"/>
  <c r="O19" i="80"/>
  <c r="O64" i="77"/>
  <c r="O68" i="77"/>
  <c r="O70" i="77"/>
  <c r="O20" i="76"/>
  <c r="O20" i="75"/>
  <c r="O35" i="73"/>
  <c r="O37" i="73"/>
  <c r="O41" i="73"/>
  <c r="O43" i="73"/>
  <c r="O23" i="72"/>
  <c r="O27" i="71"/>
  <c r="O21" i="68"/>
  <c r="O21" i="67"/>
  <c r="O22" i="64"/>
  <c r="O22" i="60"/>
  <c r="O40" i="62"/>
  <c r="O46" i="62"/>
  <c r="O48" i="62"/>
  <c r="O58" i="62"/>
  <c r="O62" i="62"/>
  <c r="O70" i="62"/>
  <c r="I24" i="58"/>
  <c r="O23" i="57"/>
  <c r="O70" i="57"/>
  <c r="O60" i="57"/>
  <c r="O54" i="57"/>
  <c r="O52" i="57"/>
  <c r="O50" i="57"/>
  <c r="O44" i="57"/>
  <c r="O42" i="57"/>
  <c r="O28" i="57"/>
  <c r="O26" i="57"/>
  <c r="O24" i="57"/>
  <c r="I25" i="55"/>
  <c r="O71" i="55"/>
  <c r="O69" i="55"/>
  <c r="O67" i="55"/>
  <c r="O65" i="55"/>
  <c r="O61" i="55"/>
  <c r="O23" i="55"/>
  <c r="O62" i="54"/>
  <c r="O23" i="54"/>
  <c r="O23" i="53"/>
  <c r="O50" i="53"/>
  <c r="O48" i="53"/>
  <c r="O46" i="53"/>
  <c r="O42" i="53"/>
  <c r="O38" i="53"/>
  <c r="O32" i="53"/>
  <c r="O30" i="53"/>
  <c r="O28" i="53"/>
  <c r="O24" i="53"/>
  <c r="O25" i="43"/>
  <c r="O25" i="42"/>
  <c r="B27" i="41"/>
  <c r="O54" i="39"/>
  <c r="O37" i="39"/>
  <c r="O35" i="39"/>
  <c r="O28" i="29"/>
  <c r="O29" i="28"/>
  <c r="O71" i="27"/>
  <c r="O27" i="23"/>
  <c r="O46" i="22"/>
  <c r="O38" i="22"/>
  <c r="O36" i="22"/>
  <c r="O34" i="22"/>
  <c r="O28" i="22"/>
  <c r="O26" i="20"/>
  <c r="O50" i="20"/>
  <c r="O51" i="19"/>
  <c r="O26" i="18"/>
  <c r="O63" i="17"/>
  <c r="O47" i="17"/>
  <c r="O71" i="17"/>
  <c r="O61" i="17"/>
  <c r="O39" i="17"/>
  <c r="O67" i="17"/>
  <c r="O59" i="17"/>
  <c r="O70" i="3"/>
  <c r="O50" i="3"/>
  <c r="O39" i="3"/>
  <c r="O31" i="3"/>
  <c r="O29" i="3"/>
  <c r="O53" i="85"/>
  <c r="O60" i="41"/>
  <c r="O48" i="41"/>
  <c r="O66" i="80"/>
  <c r="O60" i="82"/>
  <c r="O28" i="86"/>
  <c r="O26" i="88"/>
  <c r="O60" i="88"/>
  <c r="O47" i="96"/>
  <c r="O61" i="96"/>
  <c r="O70" i="55"/>
  <c r="O65" i="57"/>
  <c r="O59" i="57"/>
  <c r="O45" i="57"/>
  <c r="O72" i="67"/>
  <c r="O37" i="77"/>
  <c r="O28" i="85"/>
  <c r="O38" i="62"/>
  <c r="O42" i="62"/>
  <c r="O57" i="63"/>
  <c r="O64" i="76"/>
  <c r="O57" i="80"/>
  <c r="O63" i="80"/>
  <c r="O67" i="81"/>
  <c r="O55" i="88"/>
  <c r="O67" i="88"/>
  <c r="O57" i="91"/>
  <c r="B29" i="23"/>
  <c r="B19" i="94"/>
  <c r="B20" i="86"/>
  <c r="I19" i="86"/>
  <c r="C99" i="95"/>
  <c r="I22" i="67"/>
  <c r="O45" i="24"/>
  <c r="O72" i="30"/>
  <c r="O39" i="32"/>
  <c r="O69" i="33"/>
  <c r="O72" i="45"/>
  <c r="O66" i="45"/>
  <c r="O72" i="53"/>
  <c r="O28" i="56"/>
  <c r="O43" i="60"/>
  <c r="O47" i="60"/>
  <c r="O51" i="60"/>
  <c r="O24" i="62"/>
  <c r="O21" i="80"/>
  <c r="O39" i="80"/>
  <c r="O47" i="80"/>
  <c r="O55" i="80"/>
  <c r="O25" i="59"/>
  <c r="O29" i="59"/>
  <c r="O31" i="59"/>
  <c r="O37" i="59"/>
  <c r="O39" i="59"/>
  <c r="O49" i="59"/>
  <c r="O52" i="61"/>
  <c r="O38" i="64"/>
  <c r="O40" i="64"/>
  <c r="O54" i="64"/>
  <c r="O33" i="66"/>
  <c r="O39" i="68"/>
  <c r="O27" i="83"/>
  <c r="O29" i="83"/>
  <c r="O33" i="83"/>
  <c r="O39" i="83"/>
  <c r="O43" i="83"/>
  <c r="O51" i="83"/>
  <c r="O53" i="83"/>
  <c r="O55" i="83"/>
  <c r="O57" i="83"/>
  <c r="O29" i="84"/>
  <c r="O21" i="85"/>
  <c r="O54" i="86"/>
  <c r="I19" i="91"/>
  <c r="O46" i="13"/>
  <c r="O44" i="13"/>
  <c r="O28" i="13"/>
  <c r="O26" i="13"/>
  <c r="O24" i="13"/>
  <c r="O20" i="13"/>
  <c r="O18" i="13"/>
  <c r="O59" i="21"/>
  <c r="O19" i="26"/>
  <c r="O24" i="55"/>
  <c r="O41" i="57"/>
  <c r="O31" i="62"/>
  <c r="O33" i="62"/>
  <c r="O45" i="62"/>
  <c r="O24" i="63"/>
  <c r="O42" i="63"/>
  <c r="O44" i="63"/>
  <c r="O46" i="63"/>
  <c r="O48" i="63"/>
  <c r="O54" i="67"/>
  <c r="O40" i="72"/>
  <c r="O28" i="82"/>
  <c r="O30" i="82"/>
  <c r="O62" i="95"/>
  <c r="O49" i="65"/>
  <c r="O57" i="86"/>
  <c r="B20" i="91"/>
  <c r="B22" i="82"/>
  <c r="O70" i="17"/>
  <c r="O68" i="17"/>
  <c r="O64" i="17"/>
  <c r="O60" i="17"/>
  <c r="O50" i="17"/>
  <c r="O70" i="19"/>
  <c r="O66" i="19"/>
  <c r="O64" i="19"/>
  <c r="O58" i="19"/>
  <c r="O54" i="19"/>
  <c r="O52" i="19"/>
  <c r="O50" i="19"/>
  <c r="O29" i="19"/>
  <c r="O69" i="20"/>
  <c r="O67" i="20"/>
  <c r="O63" i="20"/>
  <c r="O55" i="20"/>
  <c r="O53" i="20"/>
  <c r="O44" i="20"/>
  <c r="O38" i="20"/>
  <c r="O67" i="22"/>
  <c r="O65" i="22"/>
  <c r="O59" i="22"/>
  <c r="O72" i="23"/>
  <c r="O62" i="23"/>
  <c r="O58" i="23"/>
  <c r="O54" i="23"/>
  <c r="O46" i="23"/>
  <c r="O72" i="24"/>
  <c r="O66" i="24"/>
  <c r="O62" i="24"/>
  <c r="O46" i="24"/>
  <c r="O50" i="26"/>
  <c r="O72" i="28"/>
  <c r="O70" i="28"/>
  <c r="O66" i="28"/>
  <c r="O64" i="28"/>
  <c r="O62" i="28"/>
  <c r="O58" i="28"/>
  <c r="O48" i="28"/>
  <c r="O70" i="29"/>
  <c r="O68" i="29"/>
  <c r="O56" i="29"/>
  <c r="O54" i="29"/>
  <c r="O52" i="29"/>
  <c r="O40" i="29"/>
  <c r="O38" i="29"/>
  <c r="O36" i="29"/>
  <c r="O71" i="31"/>
  <c r="O65" i="31"/>
  <c r="O37" i="66"/>
  <c r="O49" i="66"/>
  <c r="O53" i="66"/>
  <c r="O57" i="66"/>
  <c r="O51" i="67"/>
  <c r="O53" i="67"/>
  <c r="O55" i="67"/>
  <c r="O31" i="68"/>
  <c r="O67" i="68"/>
  <c r="P114" i="73"/>
  <c r="O38" i="96"/>
  <c r="O45" i="44"/>
  <c r="O39" i="44"/>
  <c r="O47" i="62"/>
  <c r="O50" i="63"/>
  <c r="O54" i="63"/>
  <c r="O60" i="63"/>
  <c r="O21" i="84"/>
  <c r="B21" i="82"/>
  <c r="I20" i="82"/>
  <c r="O43" i="18"/>
  <c r="O49" i="30"/>
  <c r="O45" i="30"/>
  <c r="O54" i="32"/>
  <c r="O38" i="32"/>
  <c r="O30" i="42"/>
  <c r="O52" i="43"/>
  <c r="O46" i="43"/>
  <c r="O26" i="43"/>
  <c r="O59" i="54"/>
  <c r="O57" i="54"/>
  <c r="O49" i="54"/>
  <c r="O47" i="54"/>
  <c r="O62" i="59"/>
  <c r="O23" i="61"/>
  <c r="O25" i="61"/>
  <c r="O29" i="61"/>
  <c r="O49" i="61"/>
  <c r="O53" i="61"/>
  <c r="O62" i="68"/>
  <c r="O72" i="68"/>
  <c r="O27" i="72"/>
  <c r="O54" i="82"/>
  <c r="O56" i="82"/>
  <c r="O58" i="82"/>
  <c r="I24" i="55"/>
  <c r="O68" i="41"/>
  <c r="O66" i="41"/>
  <c r="O71" i="79"/>
  <c r="O62" i="89"/>
  <c r="O66" i="89"/>
  <c r="O46" i="92"/>
  <c r="I21" i="82"/>
  <c r="O38" i="13"/>
  <c r="O67" i="21"/>
  <c r="O69" i="43"/>
  <c r="O72" i="54"/>
  <c r="O70" i="54"/>
  <c r="O68" i="54"/>
  <c r="O66" i="54"/>
  <c r="O49" i="55"/>
  <c r="O23" i="65"/>
  <c r="O44" i="71"/>
  <c r="O67" i="13"/>
  <c r="O59" i="19"/>
  <c r="O68" i="42"/>
  <c r="O50" i="42"/>
  <c r="O50" i="43"/>
  <c r="O33" i="44"/>
  <c r="O53" i="45"/>
  <c r="O28" i="55"/>
  <c r="O36" i="83"/>
  <c r="O44" i="26"/>
  <c r="O64" i="41"/>
  <c r="O72" i="44"/>
  <c r="O70" i="44"/>
  <c r="O64" i="44"/>
  <c r="O52" i="44"/>
  <c r="O46" i="44"/>
  <c r="O43" i="46"/>
  <c r="O43" i="53"/>
  <c r="O72" i="55"/>
  <c r="O32" i="72"/>
  <c r="O34" i="72"/>
  <c r="O27" i="73"/>
  <c r="O47" i="73"/>
  <c r="O18" i="93"/>
  <c r="O42" i="93"/>
  <c r="O46" i="93"/>
  <c r="O48" i="93"/>
  <c r="O58" i="93"/>
  <c r="O62" i="93"/>
  <c r="O68" i="93"/>
  <c r="O70" i="93"/>
  <c r="O23" i="94"/>
  <c r="O25" i="94"/>
  <c r="O29" i="94"/>
  <c r="O31" i="94"/>
  <c r="O33" i="94"/>
  <c r="O35" i="94"/>
  <c r="O45" i="94"/>
  <c r="O51" i="94"/>
  <c r="O72" i="39"/>
  <c r="O62" i="39"/>
  <c r="O60" i="39"/>
  <c r="O43" i="42"/>
  <c r="O39" i="42"/>
  <c r="O33" i="42"/>
  <c r="O59" i="91"/>
  <c r="O32" i="92"/>
  <c r="O65" i="17"/>
  <c r="O57" i="17"/>
  <c r="O55" i="17"/>
  <c r="O53" i="17"/>
  <c r="O45" i="17"/>
  <c r="O43" i="17"/>
  <c r="O41" i="17"/>
  <c r="O37" i="17"/>
  <c r="O35" i="17"/>
  <c r="O33" i="17"/>
  <c r="O29" i="17"/>
  <c r="O27" i="17"/>
  <c r="O71" i="19"/>
  <c r="O63" i="19"/>
  <c r="O61" i="19"/>
  <c r="O53" i="19"/>
  <c r="O49" i="19"/>
  <c r="O72" i="20"/>
  <c r="O48" i="20"/>
  <c r="O41" i="20"/>
  <c r="O37" i="20"/>
  <c r="O33" i="20"/>
  <c r="O40" i="32"/>
  <c r="O72" i="3"/>
  <c r="O68" i="3"/>
  <c r="O62" i="3"/>
  <c r="O60" i="3"/>
  <c r="O52" i="3"/>
  <c r="O46" i="3"/>
  <c r="O41" i="3"/>
  <c r="O37" i="3"/>
  <c r="O35" i="3"/>
  <c r="O63" i="13"/>
  <c r="O57" i="13"/>
  <c r="O51" i="13"/>
  <c r="O47" i="13"/>
  <c r="O45" i="13"/>
  <c r="O39" i="13"/>
  <c r="O29" i="13"/>
  <c r="O27" i="13"/>
  <c r="O51" i="18"/>
  <c r="O47" i="18"/>
  <c r="O45" i="18"/>
  <c r="O44" i="18"/>
  <c r="O45" i="19"/>
  <c r="O54" i="21"/>
  <c r="O50" i="21"/>
  <c r="O46" i="21"/>
  <c r="O42" i="21"/>
  <c r="O38" i="21"/>
  <c r="O28" i="21"/>
  <c r="O44" i="22"/>
  <c r="O42" i="22"/>
  <c r="O40" i="22"/>
  <c r="O64" i="25"/>
  <c r="O62" i="25"/>
  <c r="O54" i="25"/>
  <c r="O52" i="25"/>
  <c r="O38" i="25"/>
  <c r="O30" i="25"/>
  <c r="O28" i="25"/>
  <c r="O26" i="25"/>
  <c r="O24" i="25"/>
  <c r="O18" i="25"/>
  <c r="O71" i="34"/>
  <c r="O69" i="34"/>
  <c r="O67" i="34"/>
  <c r="O65" i="34"/>
  <c r="O63" i="34"/>
  <c r="O59" i="34"/>
  <c r="O43" i="34"/>
  <c r="O42" i="13"/>
  <c r="O47" i="22"/>
  <c r="O69" i="39"/>
  <c r="O67" i="39"/>
  <c r="O59" i="39"/>
  <c r="O69" i="41"/>
  <c r="O46" i="41"/>
  <c r="O40" i="41"/>
  <c r="O38" i="41"/>
  <c r="O34" i="41"/>
  <c r="O26" i="41"/>
  <c r="O49" i="42"/>
  <c r="O28" i="42"/>
  <c r="O72" i="43"/>
  <c r="O70" i="43"/>
  <c r="O68" i="43"/>
  <c r="O66" i="43"/>
  <c r="O62" i="43"/>
  <c r="O67" i="44"/>
  <c r="O37" i="45"/>
  <c r="O33" i="45"/>
  <c r="O69" i="46"/>
  <c r="O67" i="46"/>
  <c r="O49" i="46"/>
  <c r="O39" i="46"/>
  <c r="O37" i="46"/>
  <c r="O25" i="46"/>
  <c r="O55" i="53"/>
  <c r="O51" i="53"/>
  <c r="O49" i="53"/>
  <c r="O45" i="53"/>
  <c r="O61" i="54"/>
  <c r="O52" i="55"/>
  <c r="O25" i="55"/>
  <c r="O61" i="56"/>
  <c r="O53" i="56"/>
  <c r="O51" i="56"/>
  <c r="O39" i="56"/>
  <c r="O46" i="65"/>
  <c r="O61" i="94"/>
  <c r="O25" i="95"/>
  <c r="O27" i="95"/>
  <c r="O33" i="95"/>
  <c r="O41" i="95"/>
  <c r="O45" i="23"/>
  <c r="O39" i="23"/>
  <c r="O29" i="23"/>
  <c r="O69" i="24"/>
  <c r="O67" i="24"/>
  <c r="O63" i="24"/>
  <c r="O59" i="24"/>
  <c r="O57" i="24"/>
  <c r="O55" i="24"/>
  <c r="O49" i="24"/>
  <c r="O45" i="26"/>
  <c r="O69" i="27"/>
  <c r="O71" i="30"/>
  <c r="O67" i="30"/>
  <c r="O31" i="30"/>
  <c r="O61" i="31"/>
  <c r="O72" i="32"/>
  <c r="O70" i="32"/>
  <c r="O50" i="32"/>
  <c r="O44" i="32"/>
  <c r="O54" i="34"/>
  <c r="O52" i="34"/>
  <c r="O46" i="34"/>
  <c r="O44" i="34"/>
  <c r="O40" i="34"/>
  <c r="O36" i="34"/>
  <c r="O34" i="34"/>
  <c r="O28" i="34"/>
  <c r="O39" i="39"/>
  <c r="O70" i="42"/>
  <c r="O41" i="42"/>
  <c r="O71" i="43"/>
  <c r="O61" i="43"/>
  <c r="O37" i="54"/>
  <c r="O44" i="55"/>
  <c r="O44" i="58"/>
  <c r="O40" i="58"/>
  <c r="O56" i="59"/>
  <c r="O58" i="59"/>
  <c r="O60" i="59"/>
  <c r="O50" i="62"/>
  <c r="O52" i="62"/>
  <c r="O54" i="62"/>
  <c r="O60" i="62"/>
  <c r="O64" i="62"/>
  <c r="O31" i="63"/>
  <c r="O25" i="64"/>
  <c r="O35" i="64"/>
  <c r="O37" i="64"/>
  <c r="O39" i="64"/>
  <c r="O41" i="64"/>
  <c r="O45" i="64"/>
  <c r="O49" i="64"/>
  <c r="O22" i="66"/>
  <c r="O24" i="66"/>
  <c r="O38" i="66"/>
  <c r="O44" i="66"/>
  <c r="O54" i="66"/>
  <c r="O56" i="66"/>
  <c r="O58" i="66"/>
  <c r="O28" i="67"/>
  <c r="O30" i="67"/>
  <c r="O32" i="67"/>
  <c r="O40" i="67"/>
  <c r="O26" i="68"/>
  <c r="O28" i="68"/>
  <c r="O44" i="70"/>
  <c r="O48" i="70"/>
  <c r="O72" i="70"/>
  <c r="O21" i="81"/>
  <c r="O27" i="81"/>
  <c r="O29" i="81"/>
  <c r="O31" i="81"/>
  <c r="O33" i="81"/>
  <c r="O35" i="81"/>
  <c r="O37" i="81"/>
  <c r="O43" i="81"/>
  <c r="O45" i="81"/>
  <c r="O61" i="81"/>
  <c r="O65" i="81"/>
  <c r="O29" i="85"/>
  <c r="O51" i="85"/>
  <c r="O19" i="86"/>
  <c r="O23" i="86"/>
  <c r="O27" i="86"/>
  <c r="O29" i="86"/>
  <c r="O39" i="86"/>
  <c r="O41" i="86"/>
  <c r="O65" i="86"/>
  <c r="O25" i="88"/>
  <c r="O33" i="88"/>
  <c r="O41" i="88"/>
  <c r="O43" i="88"/>
  <c r="O45" i="88"/>
  <c r="O49" i="88"/>
  <c r="O51" i="88"/>
  <c r="O51" i="91"/>
  <c r="O53" i="91"/>
  <c r="O22" i="92"/>
  <c r="O26" i="92"/>
  <c r="O62" i="92"/>
  <c r="O66" i="92"/>
  <c r="O70" i="26"/>
  <c r="O66" i="26"/>
  <c r="O62" i="26"/>
  <c r="O54" i="26"/>
  <c r="O24" i="26"/>
  <c r="O22" i="26"/>
  <c r="O71" i="28"/>
  <c r="O67" i="28"/>
  <c r="O43" i="28"/>
  <c r="O65" i="29"/>
  <c r="O43" i="29"/>
  <c r="O41" i="29"/>
  <c r="O72" i="31"/>
  <c r="O64" i="31"/>
  <c r="O62" i="31"/>
  <c r="O28" i="32"/>
  <c r="O44" i="33"/>
  <c r="O40" i="33"/>
  <c r="O38" i="33"/>
  <c r="O34" i="33"/>
  <c r="O32" i="33"/>
  <c r="O28" i="33"/>
  <c r="O18" i="33"/>
  <c r="O66" i="35"/>
  <c r="O62" i="35"/>
  <c r="O58" i="35"/>
  <c r="O70" i="39"/>
  <c r="O40" i="39"/>
  <c r="O38" i="39"/>
  <c r="O33" i="39"/>
  <c r="O29" i="39"/>
  <c r="O54" i="41"/>
  <c r="O44" i="42"/>
  <c r="O42" i="42"/>
  <c r="O32" i="42"/>
  <c r="O53" i="43"/>
  <c r="O49" i="43"/>
  <c r="O42" i="44"/>
  <c r="O65" i="45"/>
  <c r="O63" i="45"/>
  <c r="O57" i="45"/>
  <c r="O62" i="46"/>
  <c r="O62" i="53"/>
  <c r="O40" i="53"/>
  <c r="O36" i="53"/>
  <c r="O34" i="53"/>
  <c r="O44" i="54"/>
  <c r="O38" i="54"/>
  <c r="O34" i="54"/>
  <c r="O28" i="54"/>
  <c r="O24" i="54"/>
  <c r="O64" i="55"/>
  <c r="O62" i="55"/>
  <c r="O45" i="55"/>
  <c r="O43" i="57"/>
  <c r="O35" i="57"/>
  <c r="O31" i="57"/>
  <c r="O65" i="58"/>
  <c r="O59" i="58"/>
  <c r="O57" i="58"/>
  <c r="O49" i="58"/>
  <c r="O47" i="65"/>
  <c r="O41" i="66"/>
  <c r="O31" i="67"/>
  <c r="O40" i="74"/>
  <c r="O46" i="74"/>
  <c r="O50" i="74"/>
  <c r="O25" i="76"/>
  <c r="O27" i="76"/>
  <c r="O31" i="76"/>
  <c r="O37" i="76"/>
  <c r="O28" i="78"/>
  <c r="O30" i="78"/>
  <c r="O40" i="79"/>
  <c r="O42" i="79"/>
  <c r="O44" i="79"/>
  <c r="O52" i="79"/>
  <c r="O62" i="79"/>
  <c r="O70" i="79"/>
  <c r="O56" i="71"/>
  <c r="O60" i="71"/>
  <c r="O60" i="73"/>
  <c r="O66" i="73"/>
  <c r="O68" i="73"/>
  <c r="O70" i="73"/>
  <c r="O72" i="73"/>
  <c r="O21" i="75"/>
  <c r="O31" i="75"/>
  <c r="O33" i="75"/>
  <c r="O37" i="75"/>
  <c r="O41" i="75"/>
  <c r="O51" i="75"/>
  <c r="O53" i="75"/>
  <c r="O57" i="75"/>
  <c r="O59" i="75"/>
  <c r="O61" i="75"/>
  <c r="O67" i="75"/>
  <c r="O69" i="75"/>
  <c r="O21" i="77"/>
  <c r="O31" i="77"/>
  <c r="O61" i="77"/>
  <c r="O30" i="80"/>
  <c r="O32" i="80"/>
  <c r="O38" i="80"/>
  <c r="O40" i="80"/>
  <c r="O50" i="80"/>
  <c r="O52" i="80"/>
  <c r="O21" i="82"/>
  <c r="O23" i="82"/>
  <c r="O29" i="82"/>
  <c r="O33" i="82"/>
  <c r="O51" i="82"/>
  <c r="O22" i="83"/>
  <c r="O26" i="83"/>
  <c r="O30" i="83"/>
  <c r="O44" i="83"/>
  <c r="O46" i="83"/>
  <c r="O50" i="83"/>
  <c r="O54" i="83"/>
  <c r="O56" i="83"/>
  <c r="O58" i="83"/>
  <c r="O30" i="84"/>
  <c r="O40" i="84"/>
  <c r="O50" i="84"/>
  <c r="O60" i="84"/>
  <c r="O62" i="84"/>
  <c r="O64" i="84"/>
  <c r="O66" i="84"/>
  <c r="O68" i="84"/>
  <c r="O70" i="84"/>
  <c r="O27" i="87"/>
  <c r="O29" i="87"/>
  <c r="O31" i="87"/>
  <c r="O35" i="87"/>
  <c r="O39" i="87"/>
  <c r="O47" i="87"/>
  <c r="O49" i="87"/>
  <c r="O51" i="87"/>
  <c r="O53" i="87"/>
  <c r="O55" i="87"/>
  <c r="O71" i="87"/>
  <c r="O21" i="89"/>
  <c r="O23" i="89"/>
  <c r="O25" i="89"/>
  <c r="O27" i="89"/>
  <c r="O29" i="89"/>
  <c r="O37" i="89"/>
  <c r="O39" i="89"/>
  <c r="O43" i="89"/>
  <c r="O59" i="89"/>
  <c r="O65" i="89"/>
  <c r="O20" i="90"/>
  <c r="O30" i="90"/>
  <c r="O32" i="90"/>
  <c r="O34" i="90"/>
  <c r="O38" i="90"/>
  <c r="O64" i="90"/>
  <c r="O66" i="90"/>
  <c r="O68" i="90"/>
  <c r="O70" i="90"/>
  <c r="O41" i="93"/>
  <c r="O29" i="96"/>
  <c r="O65" i="96"/>
  <c r="O67" i="96"/>
  <c r="O25" i="74"/>
  <c r="O29" i="74"/>
  <c r="O33" i="74"/>
  <c r="O46" i="75"/>
  <c r="O21" i="78"/>
  <c r="O35" i="78"/>
  <c r="O37" i="78"/>
  <c r="O39" i="78"/>
  <c r="O43" i="78"/>
  <c r="O45" i="78"/>
  <c r="O49" i="78"/>
  <c r="O53" i="78"/>
  <c r="O57" i="78"/>
  <c r="O63" i="78"/>
  <c r="O31" i="79"/>
  <c r="O39" i="79"/>
  <c r="O55" i="79"/>
  <c r="O57" i="79"/>
  <c r="O63" i="79"/>
  <c r="O67" i="79"/>
  <c r="O27" i="80"/>
  <c r="O41" i="80"/>
  <c r="O20" i="81"/>
  <c r="O42" i="81"/>
  <c r="O44" i="81"/>
  <c r="O52" i="81"/>
  <c r="O60" i="81"/>
  <c r="O66" i="81"/>
  <c r="O45" i="83"/>
  <c r="O63" i="83"/>
  <c r="O33" i="84"/>
  <c r="O69" i="84"/>
  <c r="O36" i="85"/>
  <c r="O52" i="85"/>
  <c r="O66" i="85"/>
  <c r="O44" i="86"/>
  <c r="O66" i="86"/>
  <c r="O68" i="86"/>
  <c r="O28" i="88"/>
  <c r="O30" i="88"/>
  <c r="O36" i="88"/>
  <c r="O38" i="88"/>
  <c r="O42" i="88"/>
  <c r="O44" i="88"/>
  <c r="O46" i="88"/>
  <c r="O52" i="88"/>
  <c r="O54" i="88"/>
  <c r="O46" i="89"/>
  <c r="O20" i="91"/>
  <c r="O26" i="91"/>
  <c r="O32" i="91"/>
  <c r="O34" i="91"/>
  <c r="O38" i="91"/>
  <c r="O42" i="91"/>
  <c r="O44" i="91"/>
  <c r="O46" i="91"/>
  <c r="O50" i="91"/>
  <c r="O64" i="91"/>
  <c r="O66" i="91"/>
  <c r="O68" i="91"/>
  <c r="O67" i="93"/>
  <c r="O69" i="93"/>
  <c r="O71" i="93"/>
  <c r="O20" i="94"/>
  <c r="O22" i="94"/>
  <c r="O34" i="94"/>
  <c r="O36" i="94"/>
  <c r="O40" i="94"/>
  <c r="O56" i="94"/>
  <c r="O58" i="94"/>
  <c r="O60" i="94"/>
  <c r="O66" i="94"/>
  <c r="O60" i="95"/>
  <c r="O64" i="95"/>
  <c r="O66" i="95"/>
  <c r="O46" i="96"/>
  <c r="O60" i="96"/>
  <c r="I30" i="28"/>
  <c r="B28" i="18"/>
  <c r="I27" i="18"/>
  <c r="I25" i="58"/>
  <c r="C99" i="93"/>
  <c r="C100" i="93" s="1"/>
  <c r="C101" i="93" s="1"/>
  <c r="C102" i="93" s="1"/>
  <c r="C103" i="93" s="1"/>
  <c r="C104" i="93" s="1"/>
  <c r="C105" i="93" s="1"/>
  <c r="C106" i="93" s="1"/>
  <c r="C107" i="93" s="1"/>
  <c r="C108" i="93" s="1"/>
  <c r="C109" i="93" s="1"/>
  <c r="C110" i="93" s="1"/>
  <c r="C111" i="93" s="1"/>
  <c r="C112" i="93" s="1"/>
  <c r="C113" i="93" s="1"/>
  <c r="C114" i="93" s="1"/>
  <c r="C115" i="93" s="1"/>
  <c r="C116" i="93" s="1"/>
  <c r="C117" i="93" s="1"/>
  <c r="C118" i="93" s="1"/>
  <c r="C119" i="93" s="1"/>
  <c r="C120" i="93" s="1"/>
  <c r="C121" i="93" s="1"/>
  <c r="C122" i="93" s="1"/>
  <c r="C123" i="93" s="1"/>
  <c r="C124" i="93" s="1"/>
  <c r="C125" i="93" s="1"/>
  <c r="C126" i="93" s="1"/>
  <c r="C127" i="93" s="1"/>
  <c r="C128" i="93" s="1"/>
  <c r="C129" i="93" s="1"/>
  <c r="C130" i="93" s="1"/>
  <c r="C131" i="93" s="1"/>
  <c r="C132" i="93" s="1"/>
  <c r="C133" i="93" s="1"/>
  <c r="C134" i="93" s="1"/>
  <c r="C135" i="93" s="1"/>
  <c r="C136" i="93" s="1"/>
  <c r="C137" i="93" s="1"/>
  <c r="C138" i="93" s="1"/>
  <c r="C139" i="93" s="1"/>
  <c r="C140" i="93" s="1"/>
  <c r="C141" i="93" s="1"/>
  <c r="C142" i="93" s="1"/>
  <c r="C143" i="93" s="1"/>
  <c r="C144" i="93" s="1"/>
  <c r="C145" i="93" s="1"/>
  <c r="C146" i="93" s="1"/>
  <c r="C147" i="93" s="1"/>
  <c r="C148" i="93" s="1"/>
  <c r="C149" i="93" s="1"/>
  <c r="C150" i="93" s="1"/>
  <c r="C151" i="93" s="1"/>
  <c r="C152" i="93" s="1"/>
  <c r="C153" i="93" s="1"/>
  <c r="C154" i="93" s="1"/>
  <c r="O71" i="13"/>
  <c r="O71" i="18"/>
  <c r="O69" i="18"/>
  <c r="O61" i="18"/>
  <c r="O53" i="18"/>
  <c r="O48" i="18"/>
  <c r="O40" i="18"/>
  <c r="O38" i="18"/>
  <c r="O36" i="18"/>
  <c r="O34" i="18"/>
  <c r="O30" i="20"/>
  <c r="O28" i="20"/>
  <c r="O57" i="22"/>
  <c r="O51" i="22"/>
  <c r="O49" i="22"/>
  <c r="O30" i="22"/>
  <c r="O35" i="23"/>
  <c r="O48" i="25"/>
  <c r="O36" i="25"/>
  <c r="O32" i="25"/>
  <c r="O43" i="26"/>
  <c r="O27" i="26"/>
  <c r="O48" i="27"/>
  <c r="O39" i="27"/>
  <c r="O37" i="27"/>
  <c r="O31" i="27"/>
  <c r="O29" i="27"/>
  <c r="O41" i="28"/>
  <c r="O37" i="28"/>
  <c r="O69" i="29"/>
  <c r="O63" i="29"/>
  <c r="O55" i="29"/>
  <c r="O61" i="30"/>
  <c r="O59" i="30"/>
  <c r="O53" i="30"/>
  <c r="O63" i="31"/>
  <c r="O49" i="31"/>
  <c r="O45" i="31"/>
  <c r="O37" i="31"/>
  <c r="O31" i="31"/>
  <c r="O29" i="31"/>
  <c r="O67" i="32"/>
  <c r="O37" i="32"/>
  <c r="O59" i="33"/>
  <c r="O51" i="33"/>
  <c r="O42" i="34"/>
  <c r="O32" i="34"/>
  <c r="O63" i="41"/>
  <c r="O61" i="41"/>
  <c r="O57" i="3"/>
  <c r="O53" i="3"/>
  <c r="O43" i="3"/>
  <c r="O32" i="13"/>
  <c r="O30" i="13"/>
  <c r="O25" i="13"/>
  <c r="O46" i="19"/>
  <c r="O39" i="19"/>
  <c r="O31" i="19"/>
  <c r="O71" i="21"/>
  <c r="O42" i="25"/>
  <c r="O66" i="32"/>
  <c r="O60" i="32"/>
  <c r="O48" i="32"/>
  <c r="O46" i="32"/>
  <c r="O65" i="33"/>
  <c r="O50" i="39"/>
  <c r="O70" i="41"/>
  <c r="O59" i="41"/>
  <c r="O38" i="3"/>
  <c r="O58" i="17"/>
  <c r="O72" i="18"/>
  <c r="O66" i="18"/>
  <c r="O64" i="18"/>
  <c r="O58" i="18"/>
  <c r="O54" i="18"/>
  <c r="O49" i="18"/>
  <c r="O39" i="18"/>
  <c r="O31" i="18"/>
  <c r="O27" i="18"/>
  <c r="O56" i="19"/>
  <c r="O70" i="20"/>
  <c r="O35" i="20"/>
  <c r="O66" i="22"/>
  <c r="O60" i="22"/>
  <c r="O58" i="22"/>
  <c r="O50" i="22"/>
  <c r="O29" i="22"/>
  <c r="O48" i="24"/>
  <c r="O61" i="25"/>
  <c r="O39" i="25"/>
  <c r="O56" i="26"/>
  <c r="O42" i="26"/>
  <c r="O40" i="26"/>
  <c r="O38" i="26"/>
  <c r="O36" i="26"/>
  <c r="O34" i="26"/>
  <c r="O32" i="26"/>
  <c r="O30" i="26"/>
  <c r="O68" i="28"/>
  <c r="O46" i="28"/>
  <c r="O38" i="28"/>
  <c r="O36" i="28"/>
  <c r="O32" i="28"/>
  <c r="O30" i="28"/>
  <c r="O66" i="29"/>
  <c r="O46" i="29"/>
  <c r="O68" i="30"/>
  <c r="O60" i="31"/>
  <c r="O58" i="31"/>
  <c r="O56" i="31"/>
  <c r="O52" i="31"/>
  <c r="O50" i="31"/>
  <c r="O40" i="31"/>
  <c r="O32" i="31"/>
  <c r="O72" i="33"/>
  <c r="O70" i="33"/>
  <c r="O66" i="33"/>
  <c r="O64" i="33"/>
  <c r="O54" i="33"/>
  <c r="O48" i="33"/>
  <c r="O33" i="33"/>
  <c r="O72" i="34"/>
  <c r="O70" i="34"/>
  <c r="O68" i="34"/>
  <c r="O66" i="34"/>
  <c r="O58" i="34"/>
  <c r="O56" i="34"/>
  <c r="O56" i="35"/>
  <c r="O57" i="39"/>
  <c r="F17" i="1"/>
  <c r="O66" i="3"/>
  <c r="O58" i="3"/>
  <c r="O56" i="3"/>
  <c r="O43" i="13"/>
  <c r="O37" i="13"/>
  <c r="O35" i="13"/>
  <c r="O36" i="19"/>
  <c r="O34" i="19"/>
  <c r="O65" i="24"/>
  <c r="O27" i="25"/>
  <c r="O72" i="27"/>
  <c r="O58" i="29"/>
  <c r="O46" i="30"/>
  <c r="O44" i="30"/>
  <c r="O57" i="32"/>
  <c r="O53" i="32"/>
  <c r="O41" i="32"/>
  <c r="O30" i="32"/>
  <c r="O61" i="35"/>
  <c r="O44" i="35"/>
  <c r="O30" i="35"/>
  <c r="O24" i="35"/>
  <c r="O22" i="35"/>
  <c r="O44" i="41"/>
  <c r="O67" i="43"/>
  <c r="O47" i="43"/>
  <c r="O35" i="43"/>
  <c r="O33" i="43"/>
  <c r="O29" i="43"/>
  <c r="O71" i="53"/>
  <c r="O69" i="53"/>
  <c r="O61" i="53"/>
  <c r="O31" i="53"/>
  <c r="O50" i="56"/>
  <c r="O32" i="60"/>
  <c r="O55" i="60"/>
  <c r="O63" i="60"/>
  <c r="O67" i="60"/>
  <c r="O69" i="60"/>
  <c r="O71" i="60"/>
  <c r="P130" i="60"/>
  <c r="O33" i="61"/>
  <c r="O37" i="61"/>
  <c r="O51" i="61"/>
  <c r="O44" i="62"/>
  <c r="O32" i="63"/>
  <c r="O38" i="63"/>
  <c r="O40" i="63"/>
  <c r="O27" i="64"/>
  <c r="O42" i="65"/>
  <c r="O58" i="67"/>
  <c r="O68" i="67"/>
  <c r="O41" i="68"/>
  <c r="O45" i="68"/>
  <c r="O47" i="68"/>
  <c r="O51" i="68"/>
  <c r="O53" i="68"/>
  <c r="O57" i="68"/>
  <c r="O46" i="71"/>
  <c r="O61" i="73"/>
  <c r="O27" i="74"/>
  <c r="O48" i="74"/>
  <c r="O34" i="75"/>
  <c r="O36" i="75"/>
  <c r="O42" i="75"/>
  <c r="O48" i="75"/>
  <c r="O50" i="75"/>
  <c r="O54" i="75"/>
  <c r="O56" i="75"/>
  <c r="O72" i="75"/>
  <c r="P108" i="75"/>
  <c r="O70" i="76"/>
  <c r="O72" i="76"/>
  <c r="P104" i="76"/>
  <c r="P116" i="76"/>
  <c r="O43" i="77"/>
  <c r="O51" i="77"/>
  <c r="O55" i="77"/>
  <c r="O36" i="78"/>
  <c r="O42" i="78"/>
  <c r="O28" i="79"/>
  <c r="O45" i="79"/>
  <c r="O51" i="79"/>
  <c r="O70" i="45"/>
  <c r="O61" i="45"/>
  <c r="O51" i="45"/>
  <c r="O49" i="45"/>
  <c r="O43" i="45"/>
  <c r="O39" i="45"/>
  <c r="O26" i="45"/>
  <c r="O64" i="46"/>
  <c r="O56" i="46"/>
  <c r="O54" i="46"/>
  <c r="O42" i="46"/>
  <c r="O30" i="46"/>
  <c r="O28" i="46"/>
  <c r="O26" i="46"/>
  <c r="O26" i="54"/>
  <c r="O55" i="55"/>
  <c r="O48" i="55"/>
  <c r="O46" i="55"/>
  <c r="O41" i="56"/>
  <c r="O30" i="56"/>
  <c r="O67" i="57"/>
  <c r="O63" i="57"/>
  <c r="O61" i="57"/>
  <c r="O57" i="57"/>
  <c r="O55" i="57"/>
  <c r="O53" i="57"/>
  <c r="O51" i="57"/>
  <c r="O40" i="57"/>
  <c r="O34" i="57"/>
  <c r="O32" i="57"/>
  <c r="O41" i="58"/>
  <c r="O27" i="58"/>
  <c r="O64" i="59"/>
  <c r="O72" i="59"/>
  <c r="O67" i="61"/>
  <c r="O71" i="61"/>
  <c r="P128" i="61"/>
  <c r="P130" i="61"/>
  <c r="O68" i="62"/>
  <c r="O72" i="62"/>
  <c r="O63" i="63"/>
  <c r="O65" i="63"/>
  <c r="O51" i="64"/>
  <c r="O65" i="64"/>
  <c r="O69" i="64"/>
  <c r="O71" i="64"/>
  <c r="O67" i="65"/>
  <c r="O69" i="65"/>
  <c r="O28" i="66"/>
  <c r="O30" i="66"/>
  <c r="O50" i="66"/>
  <c r="O52" i="66"/>
  <c r="O59" i="66"/>
  <c r="O71" i="66"/>
  <c r="O22" i="68"/>
  <c r="O63" i="68"/>
  <c r="O35" i="69"/>
  <c r="O47" i="69"/>
  <c r="O55" i="69"/>
  <c r="O61" i="69"/>
  <c r="O69" i="69"/>
  <c r="O49" i="70"/>
  <c r="O51" i="70"/>
  <c r="O53" i="70"/>
  <c r="O39" i="71"/>
  <c r="O46" i="72"/>
  <c r="O58" i="73"/>
  <c r="P115" i="74"/>
  <c r="P119" i="74"/>
  <c r="P121" i="74"/>
  <c r="P123" i="74"/>
  <c r="P125" i="74"/>
  <c r="P127" i="74"/>
  <c r="P120" i="77"/>
  <c r="O41" i="78"/>
  <c r="O61" i="79"/>
  <c r="O72" i="79"/>
  <c r="O26" i="80"/>
  <c r="O47" i="42"/>
  <c r="O66" i="53"/>
  <c r="O64" i="53"/>
  <c r="O53" i="53"/>
  <c r="O41" i="54"/>
  <c r="O33" i="54"/>
  <c r="O31" i="54"/>
  <c r="O27" i="54"/>
  <c r="O25" i="54"/>
  <c r="O70" i="56"/>
  <c r="O66" i="56"/>
  <c r="O54" i="56"/>
  <c r="O37" i="56"/>
  <c r="O31" i="56"/>
  <c r="O25" i="56"/>
  <c r="O41" i="59"/>
  <c r="O23" i="60"/>
  <c r="O52" i="60"/>
  <c r="O54" i="60"/>
  <c r="O60" i="60"/>
  <c r="O62" i="60"/>
  <c r="O68" i="60"/>
  <c r="O72" i="60"/>
  <c r="O26" i="61"/>
  <c r="O32" i="61"/>
  <c r="O38" i="61"/>
  <c r="O46" i="61"/>
  <c r="O26" i="64"/>
  <c r="O36" i="64"/>
  <c r="O25" i="65"/>
  <c r="O31" i="65"/>
  <c r="O29" i="67"/>
  <c r="O40" i="70"/>
  <c r="O71" i="70"/>
  <c r="O45" i="71"/>
  <c r="O49" i="71"/>
  <c r="O56" i="72"/>
  <c r="O58" i="72"/>
  <c r="O72" i="72"/>
  <c r="O39" i="73"/>
  <c r="O25" i="79"/>
  <c r="O58" i="42"/>
  <c r="O58" i="43"/>
  <c r="O56" i="43"/>
  <c r="O65" i="44"/>
  <c r="O61" i="44"/>
  <c r="O53" i="44"/>
  <c r="O47" i="44"/>
  <c r="O38" i="44"/>
  <c r="O34" i="44"/>
  <c r="O67" i="45"/>
  <c r="O50" i="45"/>
  <c r="O42" i="45"/>
  <c r="O40" i="45"/>
  <c r="O27" i="45"/>
  <c r="O61" i="46"/>
  <c r="O45" i="46"/>
  <c r="O33" i="46"/>
  <c r="O54" i="53"/>
  <c r="O39" i="53"/>
  <c r="O63" i="54"/>
  <c r="O50" i="54"/>
  <c r="O46" i="54"/>
  <c r="O38" i="58"/>
  <c r="O30" i="58"/>
  <c r="O24" i="58"/>
  <c r="O65" i="59"/>
  <c r="O56" i="61"/>
  <c r="O30" i="62"/>
  <c r="O34" i="62"/>
  <c r="O57" i="62"/>
  <c r="O51" i="63"/>
  <c r="O55" i="63"/>
  <c r="O62" i="63"/>
  <c r="O64" i="63"/>
  <c r="O44" i="64"/>
  <c r="O48" i="65"/>
  <c r="O50" i="65"/>
  <c r="O66" i="65"/>
  <c r="O29" i="66"/>
  <c r="O40" i="66"/>
  <c r="O62" i="66"/>
  <c r="O64" i="66"/>
  <c r="O68" i="66"/>
  <c r="O30" i="69"/>
  <c r="O32" i="69"/>
  <c r="O44" i="69"/>
  <c r="O50" i="69"/>
  <c r="O58" i="69"/>
  <c r="O66" i="69"/>
  <c r="O68" i="69"/>
  <c r="O72" i="69"/>
  <c r="O40" i="71"/>
  <c r="O57" i="71"/>
  <c r="O26" i="73"/>
  <c r="O40" i="76"/>
  <c r="O42" i="76"/>
  <c r="O44" i="76"/>
  <c r="O50" i="76"/>
  <c r="O52" i="76"/>
  <c r="O54" i="76"/>
  <c r="O58" i="76"/>
  <c r="O60" i="76"/>
  <c r="O62" i="76"/>
  <c r="O33" i="77"/>
  <c r="O58" i="79"/>
  <c r="P117" i="79"/>
  <c r="P121" i="79"/>
  <c r="O49" i="81"/>
  <c r="O62" i="81"/>
  <c r="O39" i="82"/>
  <c r="O49" i="82"/>
  <c r="O62" i="82"/>
  <c r="O64" i="82"/>
  <c r="O35" i="83"/>
  <c r="O59" i="83"/>
  <c r="O46" i="84"/>
  <c r="O32" i="85"/>
  <c r="O40" i="85"/>
  <c r="O55" i="85"/>
  <c r="O57" i="85"/>
  <c r="O59" i="85"/>
  <c r="O65" i="85"/>
  <c r="O67" i="85"/>
  <c r="O71" i="85"/>
  <c r="P125" i="85"/>
  <c r="O45" i="86"/>
  <c r="O47" i="86"/>
  <c r="O49" i="86"/>
  <c r="O55" i="86"/>
  <c r="O59" i="86"/>
  <c r="O61" i="86"/>
  <c r="O63" i="86"/>
  <c r="O36" i="87"/>
  <c r="O44" i="87"/>
  <c r="O50" i="87"/>
  <c r="O33" i="89"/>
  <c r="O41" i="89"/>
  <c r="O22" i="90"/>
  <c r="O55" i="91"/>
  <c r="O20" i="92"/>
  <c r="O70" i="96"/>
  <c r="O36" i="80"/>
  <c r="O43" i="80"/>
  <c r="O49" i="80"/>
  <c r="O64" i="80"/>
  <c r="O68" i="80"/>
  <c r="O70" i="80"/>
  <c r="O72" i="80"/>
  <c r="O22" i="81"/>
  <c r="O28" i="81"/>
  <c r="O30" i="81"/>
  <c r="O34" i="81"/>
  <c r="O38" i="81"/>
  <c r="O40" i="81"/>
  <c r="O53" i="81"/>
  <c r="O55" i="81"/>
  <c r="O57" i="81"/>
  <c r="O59" i="81"/>
  <c r="O70" i="81"/>
  <c r="O65" i="83"/>
  <c r="O67" i="83"/>
  <c r="O71" i="83"/>
  <c r="O23" i="85"/>
  <c r="O27" i="85"/>
  <c r="O26" i="86"/>
  <c r="O32" i="86"/>
  <c r="O34" i="86"/>
  <c r="O58" i="88"/>
  <c r="O62" i="88"/>
  <c r="O70" i="88"/>
  <c r="O47" i="89"/>
  <c r="O51" i="89"/>
  <c r="O68" i="89"/>
  <c r="O70" i="89"/>
  <c r="O72" i="89"/>
  <c r="O40" i="90"/>
  <c r="O58" i="90"/>
  <c r="O60" i="90"/>
  <c r="P118" i="90"/>
  <c r="O31" i="91"/>
  <c r="O33" i="91"/>
  <c r="O37" i="91"/>
  <c r="O63" i="91"/>
  <c r="O65" i="91"/>
  <c r="O19" i="93"/>
  <c r="O21" i="93"/>
  <c r="O27" i="93"/>
  <c r="O39" i="93"/>
  <c r="O47" i="93"/>
  <c r="O50" i="93"/>
  <c r="O52" i="93"/>
  <c r="O54" i="93"/>
  <c r="O60" i="93"/>
  <c r="O19" i="95"/>
  <c r="O21" i="95"/>
  <c r="O28" i="95"/>
  <c r="O32" i="95"/>
  <c r="O34" i="95"/>
  <c r="O36" i="95"/>
  <c r="O38" i="95"/>
  <c r="O44" i="95"/>
  <c r="O46" i="95"/>
  <c r="O54" i="95"/>
  <c r="O58" i="95"/>
  <c r="O19" i="96"/>
  <c r="O21" i="96"/>
  <c r="O45" i="96"/>
  <c r="O59" i="96"/>
  <c r="O63" i="96"/>
  <c r="O50" i="81"/>
  <c r="O63" i="81"/>
  <c r="O40" i="82"/>
  <c r="O42" i="82"/>
  <c r="O46" i="82"/>
  <c r="O61" i="82"/>
  <c r="O63" i="82"/>
  <c r="O65" i="82"/>
  <c r="O69" i="82"/>
  <c r="P113" i="82"/>
  <c r="O32" i="83"/>
  <c r="O35" i="84"/>
  <c r="O37" i="84"/>
  <c r="O41" i="84"/>
  <c r="O43" i="84"/>
  <c r="O33" i="85"/>
  <c r="O35" i="85"/>
  <c r="O37" i="85"/>
  <c r="O41" i="85"/>
  <c r="O49" i="85"/>
  <c r="O54" i="85"/>
  <c r="O64" i="85"/>
  <c r="O70" i="85"/>
  <c r="O72" i="85"/>
  <c r="O19" i="87"/>
  <c r="O41" i="87"/>
  <c r="O25" i="90"/>
  <c r="O27" i="90"/>
  <c r="O62" i="91"/>
  <c r="O38" i="92"/>
  <c r="O40" i="92"/>
  <c r="O67" i="92"/>
  <c r="O71" i="92"/>
  <c r="O39" i="95"/>
  <c r="O46" i="80"/>
  <c r="O59" i="80"/>
  <c r="O61" i="80"/>
  <c r="O65" i="80"/>
  <c r="O67" i="80"/>
  <c r="O69" i="80"/>
  <c r="O39" i="81"/>
  <c r="O41" i="81"/>
  <c r="O71" i="81"/>
  <c r="O21" i="83"/>
  <c r="O49" i="83"/>
  <c r="O64" i="83"/>
  <c r="O72" i="83"/>
  <c r="O38" i="84"/>
  <c r="O26" i="85"/>
  <c r="O31" i="86"/>
  <c r="O20" i="88"/>
  <c r="O57" i="88"/>
  <c r="O59" i="88"/>
  <c r="O48" i="89"/>
  <c r="O54" i="89"/>
  <c r="P115" i="89"/>
  <c r="O45" i="90"/>
  <c r="O55" i="90"/>
  <c r="O59" i="90"/>
  <c r="O70" i="91"/>
  <c r="O72" i="91"/>
  <c r="P108" i="91"/>
  <c r="P110" i="91"/>
  <c r="P118" i="91"/>
  <c r="P122" i="91"/>
  <c r="P124" i="91"/>
  <c r="P128" i="91"/>
  <c r="O48" i="92"/>
  <c r="O52" i="92"/>
  <c r="O58" i="92"/>
  <c r="O60" i="92"/>
  <c r="O22" i="93"/>
  <c r="O24" i="93"/>
  <c r="O26" i="93"/>
  <c r="O28" i="93"/>
  <c r="O30" i="93"/>
  <c r="O34" i="93"/>
  <c r="O36" i="93"/>
  <c r="O40" i="93"/>
  <c r="O49" i="93"/>
  <c r="O55" i="93"/>
  <c r="O66" i="93"/>
  <c r="O64" i="94"/>
  <c r="O18" i="95"/>
  <c r="O26" i="95"/>
  <c r="O35" i="95"/>
  <c r="O26" i="96"/>
  <c r="O34" i="96"/>
  <c r="O42" i="96"/>
  <c r="O50" i="96"/>
  <c r="O54" i="96"/>
  <c r="C99" i="94"/>
  <c r="C100" i="94" s="1"/>
  <c r="C101" i="94" s="1"/>
  <c r="C102" i="94" s="1"/>
  <c r="C103" i="94" s="1"/>
  <c r="C104" i="94" s="1"/>
  <c r="C105" i="94" s="1"/>
  <c r="C106" i="94" s="1"/>
  <c r="C107" i="94" s="1"/>
  <c r="C108" i="94" s="1"/>
  <c r="C109" i="94" s="1"/>
  <c r="C110" i="94" s="1"/>
  <c r="C111" i="94" s="1"/>
  <c r="C112" i="94" s="1"/>
  <c r="C113" i="94" s="1"/>
  <c r="C114" i="94" s="1"/>
  <c r="C115" i="94" s="1"/>
  <c r="C116" i="94" s="1"/>
  <c r="C117" i="94" s="1"/>
  <c r="C118" i="94" s="1"/>
  <c r="C119" i="94" s="1"/>
  <c r="C120" i="94" s="1"/>
  <c r="C121" i="94" s="1"/>
  <c r="C122" i="94" s="1"/>
  <c r="C123" i="94" s="1"/>
  <c r="C124" i="94" s="1"/>
  <c r="C125" i="94" s="1"/>
  <c r="C126" i="94" s="1"/>
  <c r="C127" i="94" s="1"/>
  <c r="C128" i="94" s="1"/>
  <c r="C129" i="94" s="1"/>
  <c r="C130" i="94" s="1"/>
  <c r="C131" i="94" s="1"/>
  <c r="C132" i="94" s="1"/>
  <c r="C133" i="94" s="1"/>
  <c r="C134" i="94" s="1"/>
  <c r="C135" i="94" s="1"/>
  <c r="C136" i="94" s="1"/>
  <c r="C137" i="94" s="1"/>
  <c r="C138" i="94" s="1"/>
  <c r="C139" i="94" s="1"/>
  <c r="C140" i="94" s="1"/>
  <c r="C141" i="94" s="1"/>
  <c r="C142" i="94" s="1"/>
  <c r="C143" i="94" s="1"/>
  <c r="C144" i="94" s="1"/>
  <c r="C145" i="94" s="1"/>
  <c r="C146" i="94" s="1"/>
  <c r="C147" i="94" s="1"/>
  <c r="C148" i="94" s="1"/>
  <c r="C149" i="94" s="1"/>
  <c r="C150" i="94" s="1"/>
  <c r="C151" i="94" s="1"/>
  <c r="C152" i="94" s="1"/>
  <c r="C153" i="94" s="1"/>
  <c r="C154" i="94" s="1"/>
  <c r="O72" i="13"/>
  <c r="O40" i="13"/>
  <c r="O64" i="3"/>
  <c r="O54" i="3"/>
  <c r="O65" i="13"/>
  <c r="O61" i="20"/>
  <c r="O42" i="20"/>
  <c r="O27" i="20"/>
  <c r="O57" i="21"/>
  <c r="O49" i="21"/>
  <c r="O35" i="21"/>
  <c r="O27" i="21"/>
  <c r="O40" i="23"/>
  <c r="O58" i="25"/>
  <c r="O22" i="25"/>
  <c r="O72" i="26"/>
  <c r="O60" i="27"/>
  <c r="O39" i="28"/>
  <c r="O34" i="28"/>
  <c r="O67" i="29"/>
  <c r="O44" i="29"/>
  <c r="O42" i="29"/>
  <c r="O69" i="30"/>
  <c r="O71" i="41"/>
  <c r="O72" i="42"/>
  <c r="O57" i="43"/>
  <c r="O60" i="44"/>
  <c r="O68" i="45"/>
  <c r="O55" i="45"/>
  <c r="O65" i="46"/>
  <c r="O64" i="54"/>
  <c r="O34" i="64"/>
  <c r="O72" i="17"/>
  <c r="O66" i="17"/>
  <c r="O51" i="17"/>
  <c r="O49" i="17"/>
  <c r="O70" i="18"/>
  <c r="O68" i="18"/>
  <c r="O37" i="18"/>
  <c r="O33" i="18"/>
  <c r="O47" i="19"/>
  <c r="O68" i="24"/>
  <c r="O61" i="24"/>
  <c r="O40" i="24"/>
  <c r="O30" i="24"/>
  <c r="O35" i="27"/>
  <c r="O56" i="28"/>
  <c r="O72" i="29"/>
  <c r="O36" i="30"/>
  <c r="O34" i="31"/>
  <c r="O57" i="33"/>
  <c r="O49" i="33"/>
  <c r="O54" i="35"/>
  <c r="O31" i="35"/>
  <c r="O23" i="35"/>
  <c r="O58" i="39"/>
  <c r="O30" i="39"/>
  <c r="O47" i="41"/>
  <c r="O43" i="44"/>
  <c r="O64" i="45"/>
  <c r="O32" i="46"/>
  <c r="O71" i="54"/>
  <c r="O40" i="54"/>
  <c r="O43" i="56"/>
  <c r="O68" i="57"/>
  <c r="O66" i="58"/>
  <c r="O58" i="58"/>
  <c r="O52" i="58"/>
  <c r="O25" i="58"/>
  <c r="O56" i="60"/>
  <c r="O36" i="13"/>
  <c r="O54" i="20"/>
  <c r="O52" i="20"/>
  <c r="O46" i="20"/>
  <c r="O52" i="21"/>
  <c r="O44" i="21"/>
  <c r="O31" i="22"/>
  <c r="O53" i="24"/>
  <c r="O34" i="25"/>
  <c r="O25" i="25"/>
  <c r="O19" i="25"/>
  <c r="O52" i="26"/>
  <c r="O35" i="26"/>
  <c r="O29" i="26"/>
  <c r="O42" i="28"/>
  <c r="O53" i="29"/>
  <c r="O51" i="29"/>
  <c r="O30" i="29"/>
  <c r="O57" i="30"/>
  <c r="O54" i="31"/>
  <c r="O59" i="32"/>
  <c r="O35" i="32"/>
  <c r="O48" i="34"/>
  <c r="O42" i="39"/>
  <c r="O63" i="43"/>
  <c r="O26" i="53"/>
  <c r="O68" i="56"/>
  <c r="O60" i="56"/>
  <c r="O33" i="56"/>
  <c r="O33" i="57"/>
  <c r="O69" i="17"/>
  <c r="O31" i="17"/>
  <c r="O65" i="18"/>
  <c r="O63" i="18"/>
  <c r="O69" i="19"/>
  <c r="O55" i="22"/>
  <c r="O56" i="23"/>
  <c r="O71" i="24"/>
  <c r="O35" i="24"/>
  <c r="O72" i="25"/>
  <c r="O32" i="27"/>
  <c r="O59" i="28"/>
  <c r="O33" i="30"/>
  <c r="O46" i="31"/>
  <c r="O52" i="33"/>
  <c r="O17" i="33"/>
  <c r="O26" i="35"/>
  <c r="O71" i="44"/>
  <c r="O37" i="44"/>
  <c r="O35" i="46"/>
  <c r="O69" i="58"/>
  <c r="O63" i="58"/>
  <c r="O55" i="58"/>
  <c r="O40" i="65"/>
  <c r="O54" i="65"/>
  <c r="O71" i="65"/>
  <c r="O66" i="66"/>
  <c r="O72" i="66"/>
  <c r="O27" i="75"/>
  <c r="O29" i="75"/>
  <c r="O34" i="80"/>
  <c r="O27" i="84"/>
  <c r="O39" i="84"/>
  <c r="O63" i="84"/>
  <c r="O51" i="86"/>
  <c r="O53" i="86"/>
  <c r="O21" i="87"/>
  <c r="O36" i="90"/>
  <c r="O43" i="90"/>
  <c r="O57" i="74"/>
  <c r="O32" i="78"/>
  <c r="O38" i="78"/>
  <c r="O48" i="84"/>
  <c r="O61" i="85"/>
  <c r="O72" i="86"/>
  <c r="O32" i="93"/>
  <c r="O38" i="93"/>
  <c r="O57" i="93"/>
  <c r="O54" i="94"/>
  <c r="O20" i="95"/>
  <c r="O68" i="95"/>
  <c r="O70" i="95"/>
  <c r="O31" i="96"/>
  <c r="O35" i="96"/>
  <c r="O52" i="96"/>
  <c r="O69" i="66"/>
  <c r="O29" i="68"/>
  <c r="O24" i="75"/>
  <c r="O63" i="75"/>
  <c r="O23" i="77"/>
  <c r="O67" i="78"/>
  <c r="O31" i="85"/>
  <c r="O38" i="85"/>
  <c r="O37" i="87"/>
  <c r="O72" i="88"/>
  <c r="O46" i="90"/>
  <c r="O27" i="94"/>
  <c r="O43" i="94"/>
  <c r="O21" i="88"/>
  <c r="O40" i="88"/>
  <c r="O56" i="88"/>
  <c r="O55" i="89"/>
  <c r="O30" i="92"/>
  <c r="O44" i="93"/>
  <c r="O53" i="94"/>
  <c r="O62" i="94"/>
  <c r="O71" i="94"/>
  <c r="O30" i="95"/>
  <c r="O50" i="95"/>
  <c r="O52" i="95"/>
  <c r="O32" i="96"/>
  <c r="O36" i="96"/>
  <c r="O72" i="96"/>
  <c r="P116" i="23"/>
  <c r="P143" i="25"/>
  <c r="P115" i="25"/>
  <c r="P133" i="27"/>
  <c r="P146" i="28"/>
  <c r="P149" i="29"/>
  <c r="P125" i="29"/>
  <c r="P127" i="31"/>
  <c r="P151" i="35"/>
  <c r="P147" i="35"/>
  <c r="P141" i="35"/>
  <c r="P122" i="39"/>
  <c r="P121" i="41"/>
  <c r="P153" i="57"/>
  <c r="P149" i="57"/>
  <c r="P139" i="57"/>
  <c r="P153" i="58"/>
  <c r="P149" i="58"/>
  <c r="P143" i="58"/>
  <c r="P133" i="58"/>
  <c r="P131" i="58"/>
  <c r="P121" i="58"/>
  <c r="P119" i="58"/>
  <c r="P105" i="58"/>
  <c r="P104" i="63"/>
  <c r="P110" i="63"/>
  <c r="P114" i="63"/>
  <c r="P116" i="63"/>
  <c r="P118" i="63"/>
  <c r="P120" i="63"/>
  <c r="P122" i="63"/>
  <c r="P124" i="63"/>
  <c r="P106" i="66"/>
  <c r="P110" i="66"/>
  <c r="P112" i="66"/>
  <c r="P114" i="66"/>
  <c r="P120" i="66"/>
  <c r="P122" i="66"/>
  <c r="P124" i="66"/>
  <c r="P126" i="66"/>
  <c r="P110" i="68"/>
  <c r="P122" i="70"/>
  <c r="P117" i="71"/>
  <c r="P129" i="71"/>
  <c r="P110" i="75"/>
  <c r="P112" i="75"/>
  <c r="P114" i="75"/>
  <c r="P118" i="75"/>
  <c r="P124" i="75"/>
  <c r="P126" i="75"/>
  <c r="P128" i="75"/>
  <c r="P130" i="75"/>
  <c r="P104" i="77"/>
  <c r="P108" i="77"/>
  <c r="P110" i="77"/>
  <c r="P114" i="77"/>
  <c r="P118" i="77"/>
  <c r="P124" i="77"/>
  <c r="P102" i="78"/>
  <c r="P110" i="78"/>
  <c r="P114" i="78"/>
  <c r="P116" i="78"/>
  <c r="P118" i="78"/>
  <c r="P120" i="78"/>
  <c r="P119" i="79"/>
  <c r="P123" i="79"/>
  <c r="P125" i="79"/>
  <c r="P127" i="79"/>
  <c r="P129" i="79"/>
  <c r="P103" i="80"/>
  <c r="P113" i="80"/>
  <c r="P115" i="80"/>
  <c r="P117" i="80"/>
  <c r="P119" i="80"/>
  <c r="P121" i="80"/>
  <c r="P125" i="80"/>
  <c r="P127" i="80"/>
  <c r="P129" i="80"/>
  <c r="P101" i="81"/>
  <c r="P103" i="81"/>
  <c r="P107" i="81"/>
  <c r="P113" i="81"/>
  <c r="P117" i="81"/>
  <c r="P119" i="81"/>
  <c r="P121" i="81"/>
  <c r="P123" i="81"/>
  <c r="P125" i="81"/>
  <c r="P107" i="82"/>
  <c r="P109" i="82"/>
  <c r="P115" i="82"/>
  <c r="P117" i="82"/>
  <c r="P121" i="82"/>
  <c r="P123" i="82"/>
  <c r="P129" i="82"/>
  <c r="P102" i="83"/>
  <c r="P108" i="83"/>
  <c r="P124" i="83"/>
  <c r="P102" i="84"/>
  <c r="P118" i="84"/>
  <c r="P120" i="84"/>
  <c r="P122" i="84"/>
  <c r="P124" i="84"/>
  <c r="P126" i="84"/>
  <c r="P130" i="84"/>
  <c r="P100" i="86"/>
  <c r="P104" i="86"/>
  <c r="P112" i="86"/>
  <c r="P121" i="87"/>
  <c r="P125" i="87"/>
  <c r="P113" i="88"/>
  <c r="P125" i="88"/>
  <c r="P130" i="92"/>
  <c r="P100" i="93"/>
  <c r="P102" i="93"/>
  <c r="P106" i="93"/>
  <c r="P108" i="93"/>
  <c r="P112" i="93"/>
  <c r="P114" i="93"/>
  <c r="P124" i="93"/>
  <c r="P130" i="93"/>
  <c r="P114" i="64"/>
  <c r="P116" i="39"/>
  <c r="P147" i="41"/>
  <c r="P137" i="41"/>
  <c r="P135" i="41"/>
  <c r="P125" i="46"/>
  <c r="P106" i="68"/>
  <c r="P108" i="68"/>
  <c r="P112" i="68"/>
  <c r="P114" i="68"/>
  <c r="P116" i="68"/>
  <c r="P118" i="68"/>
  <c r="P122" i="68"/>
  <c r="P110" i="70"/>
  <c r="P112" i="70"/>
  <c r="P124" i="70"/>
  <c r="P126" i="70"/>
  <c r="P128" i="70"/>
  <c r="P119" i="71"/>
  <c r="P121" i="71"/>
  <c r="P123" i="71"/>
  <c r="P125" i="71"/>
  <c r="P112" i="77"/>
  <c r="P114" i="86"/>
  <c r="P116" i="86"/>
  <c r="P119" i="61"/>
  <c r="P121" i="61"/>
  <c r="P123" i="61"/>
  <c r="P125" i="61"/>
  <c r="P142" i="23"/>
  <c r="P126" i="23"/>
  <c r="P147" i="25"/>
  <c r="P145" i="25"/>
  <c r="P139" i="25"/>
  <c r="P137" i="25"/>
  <c r="P131" i="25"/>
  <c r="P127" i="25"/>
  <c r="P125" i="25"/>
  <c r="P123" i="25"/>
  <c r="P121" i="25"/>
  <c r="P117" i="25"/>
  <c r="P113" i="25"/>
  <c r="P109" i="25"/>
  <c r="P107" i="25"/>
  <c r="P153" i="27"/>
  <c r="P149" i="27"/>
  <c r="P145" i="27"/>
  <c r="J92" i="29"/>
  <c r="J92" i="26"/>
  <c r="N87" i="26" s="1"/>
  <c r="J92" i="84"/>
  <c r="J92" i="96"/>
  <c r="M87" i="96" s="1"/>
  <c r="J92" i="59"/>
  <c r="L86" i="59" s="1"/>
  <c r="J92" i="45"/>
  <c r="M87" i="45" s="1"/>
  <c r="J92" i="55"/>
  <c r="M87" i="55" s="1"/>
  <c r="J92" i="20"/>
  <c r="N87" i="20" s="1"/>
  <c r="J92" i="57"/>
  <c r="M87" i="57" s="1"/>
  <c r="J92" i="41"/>
  <c r="N87" i="41" s="1"/>
  <c r="J92" i="54"/>
  <c r="N87" i="54" s="1"/>
  <c r="J92" i="71"/>
  <c r="N87" i="71" s="1"/>
  <c r="J92" i="68"/>
  <c r="N87" i="68" s="1"/>
  <c r="J92" i="81"/>
  <c r="N87" i="81" s="1"/>
  <c r="J92" i="83"/>
  <c r="N87" i="83" s="1"/>
  <c r="M19" i="2"/>
  <c r="J92" i="35"/>
  <c r="L86" i="35" s="1"/>
  <c r="J92" i="19"/>
  <c r="P107" i="80"/>
  <c r="M87" i="80"/>
  <c r="J92" i="63"/>
  <c r="N87" i="63" s="1"/>
  <c r="J92" i="53"/>
  <c r="N87" i="53" s="1"/>
  <c r="J92" i="22"/>
  <c r="J92" i="44"/>
  <c r="N87" i="44" s="1"/>
  <c r="J92" i="82"/>
  <c r="M87" i="82" s="1"/>
  <c r="J92" i="85"/>
  <c r="L86" i="85" s="1"/>
  <c r="J92" i="62"/>
  <c r="L86" i="62" s="1"/>
  <c r="J92" i="56"/>
  <c r="M87" i="56" s="1"/>
  <c r="J92" i="77"/>
  <c r="J92" i="32"/>
  <c r="L86" i="32" s="1"/>
  <c r="J92" i="89"/>
  <c r="N87" i="89" s="1"/>
  <c r="P113" i="64"/>
  <c r="P117" i="64"/>
  <c r="P119" i="64"/>
  <c r="P123" i="64"/>
  <c r="P125" i="64"/>
  <c r="P129" i="64"/>
  <c r="P141" i="27"/>
  <c r="P135" i="27"/>
  <c r="P123" i="27"/>
  <c r="P117" i="27"/>
  <c r="P111" i="27"/>
  <c r="P152" i="28"/>
  <c r="P150" i="28"/>
  <c r="P142" i="28"/>
  <c r="P140" i="28"/>
  <c r="P138" i="28"/>
  <c r="P126" i="28"/>
  <c r="P153" i="29"/>
  <c r="P133" i="29"/>
  <c r="P131" i="29"/>
  <c r="P121" i="29"/>
  <c r="P119" i="29"/>
  <c r="P117" i="29"/>
  <c r="P113" i="29"/>
  <c r="P111" i="29"/>
  <c r="P151" i="31"/>
  <c r="P149" i="31"/>
  <c r="P143" i="31"/>
  <c r="P141" i="31"/>
  <c r="P137" i="31"/>
  <c r="P129" i="31"/>
  <c r="P125" i="31"/>
  <c r="P123" i="31"/>
  <c r="P121" i="31"/>
  <c r="P119" i="31"/>
  <c r="P117" i="31"/>
  <c r="P154" i="32"/>
  <c r="P116" i="32"/>
  <c r="P112" i="32"/>
  <c r="P127" i="61"/>
  <c r="P129" i="61"/>
  <c r="P107" i="62"/>
  <c r="P111" i="62"/>
  <c r="P113" i="62"/>
  <c r="P115" i="62"/>
  <c r="P117" i="62"/>
  <c r="P119" i="62"/>
  <c r="P121" i="62"/>
  <c r="P127" i="62"/>
  <c r="P127" i="42"/>
  <c r="P121" i="54"/>
  <c r="P143" i="41"/>
  <c r="P131" i="41"/>
  <c r="P117" i="41"/>
  <c r="F48" i="2"/>
  <c r="F52" i="2" s="1"/>
  <c r="P105" i="65"/>
  <c r="P109" i="65"/>
  <c r="P111" i="65"/>
  <c r="P119" i="65"/>
  <c r="P121" i="65"/>
  <c r="P123" i="65"/>
  <c r="P125" i="65"/>
  <c r="P127" i="65"/>
  <c r="P129" i="65"/>
  <c r="P125" i="67"/>
  <c r="P127" i="67"/>
  <c r="P106" i="74"/>
  <c r="P108" i="74"/>
  <c r="P110" i="74"/>
  <c r="P118" i="74"/>
  <c r="P128" i="74"/>
  <c r="P102" i="94"/>
  <c r="P106" i="94"/>
  <c r="P114" i="94"/>
  <c r="P116" i="94"/>
  <c r="P118" i="94"/>
  <c r="P120" i="94"/>
  <c r="P124" i="94"/>
  <c r="P130" i="94"/>
  <c r="P112" i="95"/>
  <c r="P116" i="95"/>
  <c r="P118" i="95"/>
  <c r="P124" i="95"/>
  <c r="P128" i="95"/>
  <c r="P130" i="95"/>
  <c r="P99" i="96"/>
  <c r="P101" i="96"/>
  <c r="P107" i="96"/>
  <c r="P123" i="96"/>
  <c r="P152" i="3"/>
  <c r="P146" i="3"/>
  <c r="P144" i="3"/>
  <c r="P142" i="3"/>
  <c r="P140" i="3"/>
  <c r="P130" i="3"/>
  <c r="P128" i="3"/>
  <c r="P116" i="3"/>
  <c r="P110" i="3"/>
  <c r="P129" i="13"/>
  <c r="P127" i="13"/>
  <c r="P125" i="13"/>
  <c r="P123" i="13"/>
  <c r="P121" i="13"/>
  <c r="P99" i="13"/>
  <c r="P149" i="18"/>
  <c r="P135" i="18"/>
  <c r="P133" i="18"/>
  <c r="P131" i="18"/>
  <c r="P129" i="18"/>
  <c r="P127" i="18"/>
  <c r="P125" i="18"/>
  <c r="P119" i="18"/>
  <c r="P109" i="18"/>
  <c r="P129" i="24"/>
  <c r="P123" i="24"/>
  <c r="P117" i="24"/>
  <c r="P148" i="26"/>
  <c r="P146" i="26"/>
  <c r="P122" i="26"/>
  <c r="P154" i="30"/>
  <c r="P132" i="30"/>
  <c r="P130" i="30"/>
  <c r="P116" i="30"/>
  <c r="P153" i="33"/>
  <c r="P139" i="33"/>
  <c r="P137" i="33"/>
  <c r="P121" i="33"/>
  <c r="P113" i="33"/>
  <c r="P111" i="33"/>
  <c r="P101" i="33"/>
  <c r="P99" i="33"/>
  <c r="P149" i="34"/>
  <c r="P145" i="34"/>
  <c r="P143" i="34"/>
  <c r="P139" i="34"/>
  <c r="P131" i="34"/>
  <c r="P109" i="3"/>
  <c r="P104" i="13"/>
  <c r="P147" i="21"/>
  <c r="P135" i="21"/>
  <c r="P129" i="21"/>
  <c r="P111" i="21"/>
  <c r="P136" i="24"/>
  <c r="P134" i="24"/>
  <c r="P132" i="24"/>
  <c r="P118" i="24"/>
  <c r="P116" i="24"/>
  <c r="P139" i="26"/>
  <c r="P137" i="26"/>
  <c r="P133" i="26"/>
  <c r="P131" i="26"/>
  <c r="P129" i="26"/>
  <c r="P127" i="26"/>
  <c r="P111" i="26"/>
  <c r="P109" i="26"/>
  <c r="P103" i="26"/>
  <c r="P101" i="26"/>
  <c r="P135" i="35"/>
  <c r="P101" i="35"/>
  <c r="P153" i="41"/>
  <c r="P149" i="41"/>
  <c r="P141" i="41"/>
  <c r="P139" i="41"/>
  <c r="P133" i="41"/>
  <c r="P125" i="41"/>
  <c r="P119" i="41"/>
  <c r="P153" i="46"/>
  <c r="P111" i="46"/>
  <c r="P151" i="57"/>
  <c r="P151" i="58"/>
  <c r="P141" i="58"/>
  <c r="P137" i="58"/>
  <c r="P125" i="58"/>
  <c r="P123" i="58"/>
  <c r="P113" i="58"/>
  <c r="P122" i="59"/>
  <c r="P130" i="59"/>
  <c r="P128" i="63"/>
  <c r="P130" i="63"/>
  <c r="P129" i="34"/>
  <c r="P119" i="34"/>
  <c r="P148" i="42"/>
  <c r="P122" i="42"/>
  <c r="P152" i="43"/>
  <c r="P150" i="43"/>
  <c r="P146" i="43"/>
  <c r="P140" i="43"/>
  <c r="P136" i="43"/>
  <c r="P130" i="43"/>
  <c r="P128" i="43"/>
  <c r="P126" i="43"/>
  <c r="P124" i="43"/>
  <c r="P122" i="43"/>
  <c r="P120" i="43"/>
  <c r="P118" i="43"/>
  <c r="P116" i="43"/>
  <c r="P114" i="43"/>
  <c r="P110" i="43"/>
  <c r="P108" i="43"/>
  <c r="P145" i="44"/>
  <c r="P143" i="44"/>
  <c r="P137" i="44"/>
  <c r="P133" i="44"/>
  <c r="P127" i="44"/>
  <c r="P125" i="44"/>
  <c r="P123" i="44"/>
  <c r="P121" i="44"/>
  <c r="P119" i="44"/>
  <c r="P107" i="44"/>
  <c r="P143" i="45"/>
  <c r="P141" i="45"/>
  <c r="P139" i="45"/>
  <c r="P137" i="45"/>
  <c r="P135" i="45"/>
  <c r="P133" i="45"/>
  <c r="P131" i="45"/>
  <c r="P129" i="45"/>
  <c r="P127" i="45"/>
  <c r="P125" i="45"/>
  <c r="P123" i="45"/>
  <c r="P121" i="45"/>
  <c r="P119" i="45"/>
  <c r="P117" i="45"/>
  <c r="P115" i="45"/>
  <c r="P113" i="45"/>
  <c r="P109" i="45"/>
  <c r="P107" i="45"/>
  <c r="P118" i="54"/>
  <c r="P116" i="54"/>
  <c r="P114" i="54"/>
  <c r="P112" i="54"/>
  <c r="P106" i="54"/>
  <c r="P154" i="55"/>
  <c r="P126" i="55"/>
  <c r="P124" i="55"/>
  <c r="P122" i="55"/>
  <c r="P120" i="55"/>
  <c r="P118" i="55"/>
  <c r="P116" i="55"/>
  <c r="P114" i="55"/>
  <c r="P112" i="55"/>
  <c r="P108" i="55"/>
  <c r="P106" i="55"/>
  <c r="P145" i="56"/>
  <c r="P133" i="56"/>
  <c r="P129" i="56"/>
  <c r="P121" i="56"/>
  <c r="P105" i="60"/>
  <c r="P107" i="60"/>
  <c r="P113" i="60"/>
  <c r="P105" i="61"/>
  <c r="P107" i="61"/>
  <c r="P111" i="61"/>
  <c r="P113" i="61"/>
  <c r="P115" i="61"/>
  <c r="P103" i="67"/>
  <c r="P106" i="95"/>
  <c r="P120" i="95"/>
  <c r="P111" i="96"/>
  <c r="P126" i="3"/>
  <c r="P117" i="18"/>
  <c r="P138" i="21"/>
  <c r="P114" i="21"/>
  <c r="P128" i="22"/>
  <c r="P151" i="24"/>
  <c r="P149" i="24"/>
  <c r="P139" i="24"/>
  <c r="P137" i="24"/>
  <c r="P135" i="24"/>
  <c r="P154" i="25"/>
  <c r="P152" i="25"/>
  <c r="P106" i="25"/>
  <c r="P102" i="25"/>
  <c r="P100" i="25"/>
  <c r="P154" i="27"/>
  <c r="P152" i="27"/>
  <c r="P150" i="27"/>
  <c r="P148" i="27"/>
  <c r="P146" i="27"/>
  <c r="P144" i="27"/>
  <c r="P142" i="27"/>
  <c r="P126" i="27"/>
  <c r="P124" i="27"/>
  <c r="P143" i="57"/>
  <c r="P137" i="57"/>
  <c r="P135" i="57"/>
  <c r="P133" i="57"/>
  <c r="P131" i="57"/>
  <c r="P127" i="57"/>
  <c r="P117" i="57"/>
  <c r="P113" i="57"/>
  <c r="P107" i="57"/>
  <c r="P105" i="57"/>
  <c r="P107" i="58"/>
  <c r="P120" i="27"/>
  <c r="P116" i="27"/>
  <c r="P145" i="28"/>
  <c r="P143" i="28"/>
  <c r="P137" i="28"/>
  <c r="P135" i="28"/>
  <c r="P133" i="28"/>
  <c r="P125" i="28"/>
  <c r="P123" i="28"/>
  <c r="P121" i="28"/>
  <c r="P119" i="28"/>
  <c r="P117" i="28"/>
  <c r="P113" i="28"/>
  <c r="P154" i="29"/>
  <c r="P144" i="29"/>
  <c r="P140" i="29"/>
  <c r="P130" i="29"/>
  <c r="P128" i="29"/>
  <c r="P126" i="29"/>
  <c r="P124" i="29"/>
  <c r="P120" i="29"/>
  <c r="P116" i="29"/>
  <c r="P112" i="29"/>
  <c r="P150" i="31"/>
  <c r="P148" i="31"/>
  <c r="P146" i="31"/>
  <c r="P142" i="31"/>
  <c r="P140" i="31"/>
  <c r="P138" i="31"/>
  <c r="P112" i="31"/>
  <c r="P137" i="32"/>
  <c r="P127" i="32"/>
  <c r="P119" i="32"/>
  <c r="P119" i="33"/>
  <c r="P152" i="35"/>
  <c r="P140" i="35"/>
  <c r="P138" i="35"/>
  <c r="P120" i="35"/>
  <c r="P118" i="35"/>
  <c r="P153" i="39"/>
  <c r="P151" i="39"/>
  <c r="P149" i="39"/>
  <c r="P147" i="39"/>
  <c r="P145" i="39"/>
  <c r="P143" i="39"/>
  <c r="P141" i="39"/>
  <c r="P139" i="39"/>
  <c r="P137" i="39"/>
  <c r="P131" i="39"/>
  <c r="P129" i="39"/>
  <c r="P123" i="39"/>
  <c r="P119" i="39"/>
  <c r="P115" i="39"/>
  <c r="P113" i="39"/>
  <c r="P109" i="39"/>
  <c r="P152" i="41"/>
  <c r="P150" i="41"/>
  <c r="P146" i="41"/>
  <c r="P144" i="41"/>
  <c r="P140" i="41"/>
  <c r="P136" i="41"/>
  <c r="P134" i="41"/>
  <c r="P132" i="41"/>
  <c r="P130" i="41"/>
  <c r="P128" i="41"/>
  <c r="P126" i="41"/>
  <c r="P124" i="41"/>
  <c r="P122" i="41"/>
  <c r="P120" i="41"/>
  <c r="P118" i="41"/>
  <c r="P116" i="41"/>
  <c r="P110" i="41"/>
  <c r="P108" i="41"/>
  <c r="P141" i="44"/>
  <c r="P154" i="46"/>
  <c r="P152" i="46"/>
  <c r="P150" i="46"/>
  <c r="P146" i="46"/>
  <c r="P142" i="46"/>
  <c r="P134" i="46"/>
  <c r="P126" i="46"/>
  <c r="P122" i="46"/>
  <c r="P116" i="46"/>
  <c r="P147" i="53"/>
  <c r="P145" i="53"/>
  <c r="P141" i="53"/>
  <c r="P135" i="53"/>
  <c r="P133" i="53"/>
  <c r="P129" i="53"/>
  <c r="P127" i="53"/>
  <c r="P121" i="53"/>
  <c r="P119" i="53"/>
  <c r="P117" i="53"/>
  <c r="P111" i="53"/>
  <c r="P107" i="53"/>
  <c r="P149" i="56"/>
  <c r="P147" i="56"/>
  <c r="P137" i="56"/>
  <c r="P154" i="57"/>
  <c r="P122" i="57"/>
  <c r="P128" i="58"/>
  <c r="P118" i="58"/>
  <c r="P112" i="58"/>
  <c r="P106" i="58"/>
  <c r="P117" i="59"/>
  <c r="P123" i="59"/>
  <c r="P129" i="59"/>
  <c r="P123" i="62"/>
  <c r="P113" i="66"/>
  <c r="P121" i="66"/>
  <c r="P115" i="68"/>
  <c r="P117" i="68"/>
  <c r="P112" i="69"/>
  <c r="P116" i="69"/>
  <c r="P118" i="69"/>
  <c r="P120" i="69"/>
  <c r="P128" i="69"/>
  <c r="P111" i="70"/>
  <c r="P117" i="70"/>
  <c r="P121" i="70"/>
  <c r="P123" i="70"/>
  <c r="P125" i="70"/>
  <c r="P114" i="71"/>
  <c r="P122" i="71"/>
  <c r="P124" i="71"/>
  <c r="P130" i="71"/>
  <c r="P113" i="72"/>
  <c r="P119" i="72"/>
  <c r="P121" i="72"/>
  <c r="P127" i="72"/>
  <c r="P129" i="72"/>
  <c r="P107" i="73"/>
  <c r="P109" i="73"/>
  <c r="P113" i="73"/>
  <c r="P117" i="73"/>
  <c r="P125" i="73"/>
  <c r="P117" i="75"/>
  <c r="P119" i="75"/>
  <c r="P121" i="75"/>
  <c r="P129" i="75"/>
  <c r="P103" i="76"/>
  <c r="P105" i="76"/>
  <c r="P113" i="76"/>
  <c r="P119" i="76"/>
  <c r="P123" i="76"/>
  <c r="P129" i="76"/>
  <c r="P105" i="77"/>
  <c r="P129" i="77"/>
  <c r="P125" i="78"/>
  <c r="P129" i="78"/>
  <c r="P102" i="79"/>
  <c r="P104" i="79"/>
  <c r="P112" i="79"/>
  <c r="P118" i="79"/>
  <c r="P120" i="79"/>
  <c r="P102" i="80"/>
  <c r="P104" i="80"/>
  <c r="P108" i="80"/>
  <c r="P110" i="80"/>
  <c r="P120" i="80"/>
  <c r="P124" i="80"/>
  <c r="P128" i="80"/>
  <c r="P130" i="80"/>
  <c r="P102" i="81"/>
  <c r="P104" i="81"/>
  <c r="P114" i="81"/>
  <c r="P118" i="81"/>
  <c r="P120" i="82"/>
  <c r="P128" i="82"/>
  <c r="P130" i="82"/>
  <c r="P101" i="83"/>
  <c r="P103" i="83"/>
  <c r="P113" i="83"/>
  <c r="P121" i="83"/>
  <c r="P123" i="83"/>
  <c r="P125" i="83"/>
  <c r="P127" i="83"/>
  <c r="P111" i="84"/>
  <c r="P113" i="84"/>
  <c r="P121" i="84"/>
  <c r="P125" i="84"/>
  <c r="P127" i="84"/>
  <c r="P129" i="84"/>
  <c r="P102" i="85"/>
  <c r="P104" i="85"/>
  <c r="P114" i="85"/>
  <c r="P116" i="85"/>
  <c r="P120" i="85"/>
  <c r="P126" i="85"/>
  <c r="P128" i="85"/>
  <c r="P107" i="86"/>
  <c r="P113" i="86"/>
  <c r="P117" i="86"/>
  <c r="P127" i="86"/>
  <c r="P106" i="87"/>
  <c r="P100" i="88"/>
  <c r="P108" i="88"/>
  <c r="P110" i="88"/>
  <c r="P112" i="88"/>
  <c r="P118" i="88"/>
  <c r="P120" i="88"/>
  <c r="P126" i="88"/>
  <c r="P128" i="88"/>
  <c r="P100" i="89"/>
  <c r="P106" i="89"/>
  <c r="P110" i="89"/>
  <c r="P112" i="89"/>
  <c r="P114" i="89"/>
  <c r="P116" i="89"/>
  <c r="P120" i="89"/>
  <c r="P124" i="89"/>
  <c r="P101" i="90"/>
  <c r="P103" i="90"/>
  <c r="P107" i="90"/>
  <c r="P111" i="90"/>
  <c r="P113" i="90"/>
  <c r="P115" i="90"/>
  <c r="P117" i="90"/>
  <c r="P119" i="90"/>
  <c r="P121" i="90"/>
  <c r="P125" i="90"/>
  <c r="P127" i="90"/>
  <c r="P129" i="90"/>
  <c r="P107" i="91"/>
  <c r="P109" i="91"/>
  <c r="P111" i="91"/>
  <c r="P127" i="91"/>
  <c r="P129" i="91"/>
  <c r="P103" i="92"/>
  <c r="P117" i="92"/>
  <c r="P125" i="92"/>
  <c r="P99" i="93"/>
  <c r="P101" i="93"/>
  <c r="P105" i="93"/>
  <c r="P109" i="93"/>
  <c r="P111" i="93"/>
  <c r="P113" i="93"/>
  <c r="P121" i="93"/>
  <c r="P125" i="93"/>
  <c r="P154" i="17"/>
  <c r="P144" i="17"/>
  <c r="P142" i="17"/>
  <c r="P124" i="17"/>
  <c r="P120" i="17"/>
  <c r="P118" i="17"/>
  <c r="P153" i="19"/>
  <c r="P151" i="19"/>
  <c r="P149" i="19"/>
  <c r="P147" i="19"/>
  <c r="P143" i="19"/>
  <c r="P141" i="19"/>
  <c r="P139" i="19"/>
  <c r="P137" i="19"/>
  <c r="P119" i="19"/>
  <c r="P111" i="19"/>
  <c r="P148" i="20"/>
  <c r="P142" i="20"/>
  <c r="P136" i="20"/>
  <c r="P132" i="20"/>
  <c r="P117" i="22"/>
  <c r="P152" i="23"/>
  <c r="P150" i="23"/>
  <c r="P146" i="23"/>
  <c r="P104" i="66"/>
  <c r="P104" i="78"/>
  <c r="P145" i="3"/>
  <c r="P143" i="3"/>
  <c r="P137" i="3"/>
  <c r="P122" i="18"/>
  <c r="P127" i="21"/>
  <c r="P125" i="21"/>
  <c r="P121" i="21"/>
  <c r="P150" i="24"/>
  <c r="P112" i="24"/>
  <c r="P110" i="24"/>
  <c r="P147" i="30"/>
  <c r="P145" i="30"/>
  <c r="P125" i="30"/>
  <c r="P123" i="30"/>
  <c r="P121" i="30"/>
  <c r="P113" i="30"/>
  <c r="P102" i="33"/>
  <c r="P152" i="34"/>
  <c r="P144" i="34"/>
  <c r="P132" i="34"/>
  <c r="P130" i="34"/>
  <c r="P126" i="34"/>
  <c r="P124" i="34"/>
  <c r="P122" i="34"/>
  <c r="P110" i="34"/>
  <c r="P151" i="43"/>
  <c r="P149" i="43"/>
  <c r="P147" i="43"/>
  <c r="P145" i="43"/>
  <c r="P141" i="43"/>
  <c r="P123" i="43"/>
  <c r="P121" i="43"/>
  <c r="P119" i="43"/>
  <c r="P115" i="43"/>
  <c r="P113" i="43"/>
  <c r="P107" i="43"/>
  <c r="P154" i="44"/>
  <c r="P152" i="44"/>
  <c r="P150" i="44"/>
  <c r="P142" i="44"/>
  <c r="P140" i="44"/>
  <c r="P136" i="44"/>
  <c r="P132" i="44"/>
  <c r="P110" i="44"/>
  <c r="P112" i="45"/>
  <c r="P119" i="54"/>
  <c r="P104" i="61"/>
  <c r="P102" i="96"/>
  <c r="P112" i="78"/>
  <c r="P122" i="78"/>
  <c r="P124" i="78"/>
  <c r="P140" i="23"/>
  <c r="P138" i="23"/>
  <c r="P136" i="23"/>
  <c r="P134" i="23"/>
  <c r="P141" i="25"/>
  <c r="P111" i="25"/>
  <c r="P143" i="27"/>
  <c r="P147" i="29"/>
  <c r="P145" i="29"/>
  <c r="P137" i="29"/>
  <c r="P135" i="29"/>
  <c r="P123" i="29"/>
  <c r="P152" i="32"/>
  <c r="P144" i="32"/>
  <c r="P142" i="32"/>
  <c r="P136" i="32"/>
  <c r="P134" i="32"/>
  <c r="P132" i="32"/>
  <c r="P130" i="32"/>
  <c r="P128" i="32"/>
  <c r="P123" i="46"/>
  <c r="P119" i="46"/>
  <c r="P117" i="46"/>
  <c r="P115" i="46"/>
  <c r="P113" i="46"/>
  <c r="P107" i="46"/>
  <c r="P105" i="46"/>
  <c r="P130" i="68"/>
  <c r="P108" i="78"/>
  <c r="J94" i="44"/>
  <c r="J95" i="44" s="1"/>
  <c r="P151" i="42"/>
  <c r="P149" i="42"/>
  <c r="P147" i="42"/>
  <c r="P145" i="42"/>
  <c r="P143" i="42"/>
  <c r="P141" i="42"/>
  <c r="P139" i="42"/>
  <c r="P137" i="42"/>
  <c r="P135" i="42"/>
  <c r="P133" i="42"/>
  <c r="P131" i="42"/>
  <c r="P125" i="42"/>
  <c r="P119" i="42"/>
  <c r="P115" i="42"/>
  <c r="P113" i="42"/>
  <c r="P109" i="42"/>
  <c r="P107" i="42"/>
  <c r="P152" i="45"/>
  <c r="P146" i="45"/>
  <c r="P142" i="45"/>
  <c r="P140" i="45"/>
  <c r="P138" i="45"/>
  <c r="P136" i="45"/>
  <c r="P134" i="45"/>
  <c r="P132" i="45"/>
  <c r="P130" i="45"/>
  <c r="P128" i="45"/>
  <c r="P126" i="45"/>
  <c r="P124" i="45"/>
  <c r="P122" i="45"/>
  <c r="P120" i="45"/>
  <c r="P118" i="45"/>
  <c r="P116" i="45"/>
  <c r="P114" i="45"/>
  <c r="P108" i="45"/>
  <c r="P106" i="45"/>
  <c r="P153" i="54"/>
  <c r="P143" i="54"/>
  <c r="P141" i="54"/>
  <c r="P135" i="54"/>
  <c r="P133" i="54"/>
  <c r="P123" i="54"/>
  <c r="P107" i="54"/>
  <c r="P105" i="54"/>
  <c r="J94" i="95"/>
  <c r="J95" i="95" s="1"/>
  <c r="J94" i="53"/>
  <c r="J95" i="53" s="1"/>
  <c r="P114" i="17"/>
  <c r="P149" i="25"/>
  <c r="P133" i="25"/>
  <c r="P131" i="31"/>
  <c r="P149" i="35"/>
  <c r="P143" i="35"/>
  <c r="J94" i="63"/>
  <c r="J95" i="63" s="1"/>
  <c r="J94" i="23"/>
  <c r="J95" i="23" s="1"/>
  <c r="J94" i="93"/>
  <c r="J95" i="93" s="1"/>
  <c r="J94" i="64"/>
  <c r="J95" i="64" s="1"/>
  <c r="J94" i="83"/>
  <c r="J95" i="83" s="1"/>
  <c r="J94" i="45"/>
  <c r="J95" i="45" s="1"/>
  <c r="J94" i="78"/>
  <c r="J95" i="78" s="1"/>
  <c r="J94" i="66"/>
  <c r="J95" i="66" s="1"/>
  <c r="J94" i="32"/>
  <c r="J95" i="32" s="1"/>
  <c r="J94" i="13"/>
  <c r="J95" i="13" s="1"/>
  <c r="J94" i="19"/>
  <c r="J95" i="19" s="1"/>
  <c r="J94" i="35"/>
  <c r="J95" i="35" s="1"/>
  <c r="J94" i="60"/>
  <c r="J95" i="60" s="1"/>
  <c r="J94" i="75"/>
  <c r="J95" i="75" s="1"/>
  <c r="P138" i="17"/>
  <c r="P145" i="46"/>
  <c r="P139" i="46"/>
  <c r="P137" i="46"/>
  <c r="P135" i="46"/>
  <c r="P131" i="46"/>
  <c r="J94" i="96"/>
  <c r="J95" i="96" s="1"/>
  <c r="J94" i="72"/>
  <c r="J95" i="72" s="1"/>
  <c r="J94" i="85"/>
  <c r="J94" i="69"/>
  <c r="J95" i="69" s="1"/>
  <c r="J94" i="94"/>
  <c r="J95" i="94" s="1"/>
  <c r="J94" i="26"/>
  <c r="J95" i="26" s="1"/>
  <c r="J94" i="67"/>
  <c r="J95" i="67" s="1"/>
  <c r="J94" i="41"/>
  <c r="J95" i="41" s="1"/>
  <c r="J94" i="76"/>
  <c r="J95" i="76" s="1"/>
  <c r="J94" i="27"/>
  <c r="J95" i="27" s="1"/>
  <c r="J94" i="62"/>
  <c r="J95" i="62" s="1"/>
  <c r="J94" i="17"/>
  <c r="J95" i="17" s="1"/>
  <c r="J94" i="87"/>
  <c r="J95" i="87" s="1"/>
  <c r="P138" i="3"/>
  <c r="P136" i="3"/>
  <c r="P134" i="3"/>
  <c r="P132" i="3"/>
  <c r="P118" i="3"/>
  <c r="P108" i="3"/>
  <c r="P151" i="18"/>
  <c r="C62" i="2"/>
  <c r="F17" i="2"/>
  <c r="P147" i="17"/>
  <c r="P117" i="17"/>
  <c r="P136" i="19"/>
  <c r="P116" i="19"/>
  <c r="P153" i="20"/>
  <c r="P134" i="22"/>
  <c r="J92" i="87"/>
  <c r="M87" i="87" s="1"/>
  <c r="J92" i="34"/>
  <c r="N87" i="34" s="1"/>
  <c r="J92" i="78"/>
  <c r="N87" i="78" s="1"/>
  <c r="J92" i="25"/>
  <c r="M87" i="25" s="1"/>
  <c r="J92" i="31"/>
  <c r="L86" i="31" s="1"/>
  <c r="J92" i="75"/>
  <c r="N87" i="75" s="1"/>
  <c r="J92" i="64"/>
  <c r="L86" i="64" s="1"/>
  <c r="J92" i="27"/>
  <c r="M87" i="27" s="1"/>
  <c r="J92" i="76"/>
  <c r="L86" i="76" s="1"/>
  <c r="J92" i="28"/>
  <c r="J92" i="95"/>
  <c r="M87" i="95" s="1"/>
  <c r="J92" i="66"/>
  <c r="L86" i="66" s="1"/>
  <c r="J92" i="86"/>
  <c r="M87" i="86" s="1"/>
  <c r="J92" i="93"/>
  <c r="M87" i="93" s="1"/>
  <c r="J92" i="65"/>
  <c r="L86" i="65" s="1"/>
  <c r="J92" i="70"/>
  <c r="N87" i="70" s="1"/>
  <c r="J92" i="94"/>
  <c r="M87" i="94" s="1"/>
  <c r="J92" i="43"/>
  <c r="M87" i="43" s="1"/>
  <c r="J92" i="69"/>
  <c r="N87" i="69" s="1"/>
  <c r="C79" i="2"/>
  <c r="C22" i="2"/>
  <c r="C59" i="2"/>
  <c r="C80" i="2"/>
  <c r="F14" i="2"/>
  <c r="E19" i="2" s="1"/>
  <c r="F19" i="2" s="1"/>
  <c r="P109" i="81"/>
  <c r="P127" i="81"/>
  <c r="C73" i="2"/>
  <c r="C14" i="2"/>
  <c r="C61" i="2"/>
  <c r="C39" i="2"/>
  <c r="P153" i="17"/>
  <c r="P151" i="17"/>
  <c r="P133" i="17"/>
  <c r="P115" i="17"/>
  <c r="P134" i="19"/>
  <c r="P149" i="20"/>
  <c r="P154" i="22"/>
  <c r="P136" i="22"/>
  <c r="P126" i="22"/>
  <c r="P118" i="22"/>
  <c r="P110" i="22"/>
  <c r="J92" i="61"/>
  <c r="N87" i="61" s="1"/>
  <c r="J92" i="79"/>
  <c r="L86" i="79" s="1"/>
  <c r="J92" i="23"/>
  <c r="J92" i="46"/>
  <c r="M87" i="46" s="1"/>
  <c r="J92" i="67"/>
  <c r="L86" i="67" s="1"/>
  <c r="J92" i="58"/>
  <c r="M87" i="58" s="1"/>
  <c r="J92" i="60"/>
  <c r="L86" i="60" s="1"/>
  <c r="J92" i="33"/>
  <c r="L86" i="33" s="1"/>
  <c r="J92" i="88"/>
  <c r="M87" i="88" s="1"/>
  <c r="J92" i="3"/>
  <c r="J92" i="17"/>
  <c r="L86" i="17" s="1"/>
  <c r="J92" i="21"/>
  <c r="N87" i="21" s="1"/>
  <c r="J92" i="90"/>
  <c r="M87" i="90" s="1"/>
  <c r="J92" i="74"/>
  <c r="N87" i="74" s="1"/>
  <c r="J92" i="39"/>
  <c r="L86" i="39" s="1"/>
  <c r="J92" i="24"/>
  <c r="C28" i="2"/>
  <c r="C50" i="2"/>
  <c r="C56" i="2"/>
  <c r="C77" i="2"/>
  <c r="P111" i="58"/>
  <c r="P116" i="60"/>
  <c r="P118" i="60"/>
  <c r="P120" i="60"/>
  <c r="P122" i="60"/>
  <c r="P128" i="60"/>
  <c r="P106" i="61"/>
  <c r="P114" i="61"/>
  <c r="P116" i="61"/>
  <c r="P118" i="61"/>
  <c r="P122" i="61"/>
  <c r="P110" i="62"/>
  <c r="P112" i="62"/>
  <c r="P114" i="62"/>
  <c r="P116" i="62"/>
  <c r="P120" i="62"/>
  <c r="P122" i="62"/>
  <c r="P124" i="62"/>
  <c r="P128" i="62"/>
  <c r="P112" i="64"/>
  <c r="P116" i="64"/>
  <c r="P104" i="65"/>
  <c r="P120" i="65"/>
  <c r="P122" i="65"/>
  <c r="P104" i="67"/>
  <c r="P106" i="67"/>
  <c r="P114" i="67"/>
  <c r="P116" i="67"/>
  <c r="P120" i="67"/>
  <c r="P122" i="67"/>
  <c r="P124" i="67"/>
  <c r="P108" i="72"/>
  <c r="P116" i="72"/>
  <c r="P120" i="72"/>
  <c r="P124" i="72"/>
  <c r="P126" i="72"/>
  <c r="P108" i="73"/>
  <c r="P116" i="73"/>
  <c r="P118" i="73"/>
  <c r="P120" i="73"/>
  <c r="P122" i="73"/>
  <c r="P124" i="73"/>
  <c r="P128" i="73"/>
  <c r="P102" i="76"/>
  <c r="P108" i="76"/>
  <c r="P110" i="76"/>
  <c r="P112" i="76"/>
  <c r="P114" i="76"/>
  <c r="P122" i="76"/>
  <c r="P124" i="76"/>
  <c r="P126" i="76"/>
  <c r="P128" i="76"/>
  <c r="P130" i="76"/>
  <c r="P103" i="85"/>
  <c r="P107" i="85"/>
  <c r="P113" i="85"/>
  <c r="P127" i="85"/>
  <c r="P129" i="85"/>
  <c r="P107" i="89"/>
  <c r="P109" i="89"/>
  <c r="P111" i="89"/>
  <c r="P113" i="89"/>
  <c r="P117" i="89"/>
  <c r="P127" i="89"/>
  <c r="P100" i="90"/>
  <c r="P108" i="90"/>
  <c r="P110" i="90"/>
  <c r="P122" i="90"/>
  <c r="P128" i="90"/>
  <c r="P112" i="96"/>
  <c r="P114" i="96"/>
  <c r="P122" i="96"/>
  <c r="P128" i="96"/>
  <c r="P115" i="79"/>
  <c r="P129" i="88"/>
  <c r="P105" i="25"/>
  <c r="P154" i="28"/>
  <c r="P154" i="53"/>
  <c r="P152" i="53"/>
  <c r="P150" i="53"/>
  <c r="P148" i="53"/>
  <c r="P146" i="53"/>
  <c r="P144" i="53"/>
  <c r="P140" i="53"/>
  <c r="P138" i="53"/>
  <c r="P134" i="53"/>
  <c r="P132" i="53"/>
  <c r="P130" i="53"/>
  <c r="P128" i="53"/>
  <c r="P126" i="53"/>
  <c r="P124" i="53"/>
  <c r="P121" i="59"/>
  <c r="P105" i="68"/>
  <c r="P119" i="70"/>
  <c r="P126" i="71"/>
  <c r="P102" i="88"/>
  <c r="P147" i="3"/>
  <c r="P123" i="3"/>
  <c r="P126" i="13"/>
  <c r="P110" i="13"/>
  <c r="P102" i="13"/>
  <c r="P154" i="18"/>
  <c r="P146" i="18"/>
  <c r="P132" i="18"/>
  <c r="P137" i="21"/>
  <c r="P123" i="21"/>
  <c r="P119" i="21"/>
  <c r="P111" i="23"/>
  <c r="P134" i="25"/>
  <c r="P110" i="71"/>
  <c r="P120" i="71"/>
  <c r="P109" i="75"/>
  <c r="P116" i="81"/>
  <c r="P123" i="84"/>
  <c r="P111" i="86"/>
  <c r="P116" i="87"/>
  <c r="P113" i="92"/>
  <c r="N87" i="42"/>
  <c r="L86" i="42"/>
  <c r="M87" i="42"/>
  <c r="L86" i="30"/>
  <c r="P117" i="3"/>
  <c r="P128" i="13"/>
  <c r="P124" i="13"/>
  <c r="P116" i="13"/>
  <c r="P136" i="18"/>
  <c r="P130" i="18"/>
  <c r="P114" i="18"/>
  <c r="P133" i="21"/>
  <c r="P117" i="21"/>
  <c r="P132" i="25"/>
  <c r="P126" i="25"/>
  <c r="P107" i="63"/>
  <c r="P126" i="80"/>
  <c r="P133" i="35"/>
  <c r="P129" i="35"/>
  <c r="P123" i="35"/>
  <c r="P121" i="35"/>
  <c r="P115" i="35"/>
  <c r="P113" i="35"/>
  <c r="P111" i="35"/>
  <c r="P109" i="35"/>
  <c r="P107" i="35"/>
  <c r="P105" i="35"/>
  <c r="P145" i="17"/>
  <c r="P125" i="17"/>
  <c r="P154" i="19"/>
  <c r="P150" i="19"/>
  <c r="P142" i="19"/>
  <c r="P115" i="20"/>
  <c r="P122" i="53"/>
  <c r="M87" i="72"/>
  <c r="L86" i="72"/>
  <c r="L86" i="91"/>
  <c r="N87" i="91"/>
  <c r="L86" i="92"/>
  <c r="N87" i="92"/>
  <c r="P153" i="53"/>
  <c r="P151" i="53"/>
  <c r="P149" i="53"/>
  <c r="P143" i="53"/>
  <c r="P139" i="53"/>
  <c r="P137" i="53"/>
  <c r="P131" i="53"/>
  <c r="P125" i="53"/>
  <c r="P123" i="53"/>
  <c r="P115" i="53"/>
  <c r="P113" i="53"/>
  <c r="P105" i="53"/>
  <c r="P154" i="58"/>
  <c r="P152" i="58"/>
  <c r="P150" i="58"/>
  <c r="P148" i="58"/>
  <c r="P146" i="58"/>
  <c r="P144" i="58"/>
  <c r="P142" i="58"/>
  <c r="P140" i="58"/>
  <c r="P138" i="58"/>
  <c r="P132" i="58"/>
  <c r="P126" i="58"/>
  <c r="P122" i="58"/>
  <c r="P120" i="58"/>
  <c r="P114" i="58"/>
  <c r="P108" i="58"/>
  <c r="P111" i="63"/>
  <c r="P115" i="63"/>
  <c r="P117" i="63"/>
  <c r="P119" i="63"/>
  <c r="P125" i="63"/>
  <c r="P129" i="63"/>
  <c r="P118" i="71"/>
  <c r="P128" i="81"/>
  <c r="P121" i="86"/>
  <c r="P129" i="92"/>
  <c r="P117" i="13"/>
  <c r="P113" i="13"/>
  <c r="P111" i="13"/>
  <c r="P109" i="13"/>
  <c r="P153" i="18"/>
  <c r="P147" i="18"/>
  <c r="P137" i="18"/>
  <c r="P123" i="18"/>
  <c r="P135" i="26"/>
  <c r="P115" i="26"/>
  <c r="P113" i="26"/>
  <c r="P107" i="26"/>
  <c r="P105" i="26"/>
  <c r="P151" i="54"/>
  <c r="P149" i="54"/>
  <c r="P147" i="54"/>
  <c r="P145" i="54"/>
  <c r="P139" i="54"/>
  <c r="P137" i="54"/>
  <c r="P131" i="54"/>
  <c r="P129" i="54"/>
  <c r="P127" i="54"/>
  <c r="P125" i="54"/>
  <c r="P117" i="54"/>
  <c r="P115" i="54"/>
  <c r="P113" i="54"/>
  <c r="P111" i="54"/>
  <c r="P110" i="60"/>
  <c r="P112" i="60"/>
  <c r="P124" i="60"/>
  <c r="P126" i="60"/>
  <c r="P120" i="76"/>
  <c r="P129" i="94"/>
  <c r="P130" i="96"/>
  <c r="P141" i="3"/>
  <c r="P139" i="3"/>
  <c r="P131" i="3"/>
  <c r="P129" i="3"/>
  <c r="P127" i="3"/>
  <c r="P125" i="3"/>
  <c r="P121" i="3"/>
  <c r="P115" i="3"/>
  <c r="P111" i="3"/>
  <c r="P125" i="23"/>
  <c r="P123" i="23"/>
  <c r="P119" i="23"/>
  <c r="P117" i="23"/>
  <c r="P115" i="23"/>
  <c r="P150" i="25"/>
  <c r="P142" i="25"/>
  <c r="P140" i="25"/>
  <c r="P138" i="25"/>
  <c r="P136" i="25"/>
  <c r="P130" i="25"/>
  <c r="P128" i="25"/>
  <c r="P122" i="25"/>
  <c r="P120" i="25"/>
  <c r="P118" i="25"/>
  <c r="P116" i="25"/>
  <c r="P114" i="25"/>
  <c r="P112" i="25"/>
  <c r="P110" i="25"/>
  <c r="P108" i="25"/>
  <c r="P136" i="30"/>
  <c r="P134" i="30"/>
  <c r="P128" i="30"/>
  <c r="P126" i="30"/>
  <c r="P124" i="30"/>
  <c r="P122" i="30"/>
  <c r="P120" i="30"/>
  <c r="P118" i="30"/>
  <c r="P151" i="45"/>
  <c r="P142" i="53"/>
  <c r="P136" i="53"/>
  <c r="P153" i="56"/>
  <c r="P151" i="56"/>
  <c r="P143" i="56"/>
  <c r="P141" i="56"/>
  <c r="P139" i="56"/>
  <c r="P135" i="56"/>
  <c r="P131" i="56"/>
  <c r="P127" i="56"/>
  <c r="P125" i="56"/>
  <c r="P123" i="56"/>
  <c r="P119" i="56"/>
  <c r="P117" i="56"/>
  <c r="P115" i="56"/>
  <c r="P113" i="56"/>
  <c r="P111" i="56"/>
  <c r="P107" i="56"/>
  <c r="P145" i="57"/>
  <c r="P141" i="57"/>
  <c r="P129" i="58"/>
  <c r="P111" i="72"/>
  <c r="P115" i="73"/>
  <c r="P127" i="73"/>
  <c r="P129" i="73"/>
  <c r="P104" i="83"/>
  <c r="P108" i="94"/>
  <c r="P122" i="94"/>
  <c r="P129" i="96"/>
  <c r="I19" i="90"/>
  <c r="I22" i="66"/>
  <c r="I21" i="75"/>
  <c r="I28" i="31"/>
  <c r="O22" i="74"/>
  <c r="B19" i="92"/>
  <c r="B22" i="35"/>
  <c r="E22" i="35"/>
  <c r="F22" i="35" s="1"/>
  <c r="P151" i="3"/>
  <c r="O40" i="3"/>
  <c r="O33" i="3"/>
  <c r="O27" i="3"/>
  <c r="O38" i="17"/>
  <c r="O59" i="18"/>
  <c r="O62" i="19"/>
  <c r="P99" i="21"/>
  <c r="O34" i="3"/>
  <c r="O35" i="18"/>
  <c r="O27" i="19"/>
  <c r="P100" i="20"/>
  <c r="P147" i="20"/>
  <c r="P145" i="20"/>
  <c r="P141" i="20"/>
  <c r="P137" i="20"/>
  <c r="P130" i="20"/>
  <c r="P128" i="20"/>
  <c r="P126" i="20"/>
  <c r="P114" i="20"/>
  <c r="P154" i="21"/>
  <c r="P152" i="21"/>
  <c r="P150" i="21"/>
  <c r="P146" i="21"/>
  <c r="P142" i="21"/>
  <c r="P140" i="21"/>
  <c r="P136" i="21"/>
  <c r="P134" i="21"/>
  <c r="P132" i="21"/>
  <c r="P118" i="21"/>
  <c r="P116" i="21"/>
  <c r="P110" i="21"/>
  <c r="P108" i="21"/>
  <c r="P153" i="22"/>
  <c r="P151" i="22"/>
  <c r="P149" i="22"/>
  <c r="P145" i="22"/>
  <c r="P143" i="22"/>
  <c r="P139" i="22"/>
  <c r="P129" i="22"/>
  <c r="P119" i="22"/>
  <c r="P154" i="23"/>
  <c r="P129" i="27"/>
  <c r="P121" i="27"/>
  <c r="P113" i="27"/>
  <c r="P103" i="32"/>
  <c r="O21" i="32"/>
  <c r="P103" i="28"/>
  <c r="O18" i="44"/>
  <c r="O72" i="58"/>
  <c r="O17" i="28"/>
  <c r="O61" i="34"/>
  <c r="P99" i="46"/>
  <c r="O67" i="54"/>
  <c r="P152" i="17"/>
  <c r="P132" i="17"/>
  <c r="P130" i="17"/>
  <c r="P128" i="17"/>
  <c r="P138" i="19"/>
  <c r="P110" i="19"/>
  <c r="P152" i="20"/>
  <c r="P150" i="20"/>
  <c r="P146" i="20"/>
  <c r="P144" i="20"/>
  <c r="P153" i="21"/>
  <c r="P149" i="21"/>
  <c r="P109" i="21"/>
  <c r="P153" i="23"/>
  <c r="P151" i="23"/>
  <c r="P143" i="23"/>
  <c r="P141" i="23"/>
  <c r="P130" i="23"/>
  <c r="P128" i="23"/>
  <c r="P118" i="23"/>
  <c r="P138" i="27"/>
  <c r="P132" i="27"/>
  <c r="P128" i="27"/>
  <c r="P118" i="27"/>
  <c r="P112" i="27"/>
  <c r="O63" i="28"/>
  <c r="O18" i="28"/>
  <c r="P99" i="39"/>
  <c r="P99" i="44"/>
  <c r="P153" i="28"/>
  <c r="P151" i="28"/>
  <c r="P147" i="28"/>
  <c r="P139" i="28"/>
  <c r="P129" i="28"/>
  <c r="P151" i="30"/>
  <c r="P149" i="30"/>
  <c r="P143" i="30"/>
  <c r="P137" i="30"/>
  <c r="P133" i="30"/>
  <c r="P131" i="30"/>
  <c r="P129" i="30"/>
  <c r="P127" i="30"/>
  <c r="P117" i="30"/>
  <c r="P111" i="30"/>
  <c r="P153" i="31"/>
  <c r="P147" i="31"/>
  <c r="P145" i="31"/>
  <c r="P139" i="31"/>
  <c r="P135" i="31"/>
  <c r="P133" i="31"/>
  <c r="P124" i="31"/>
  <c r="P122" i="31"/>
  <c r="P141" i="32"/>
  <c r="P139" i="32"/>
  <c r="P135" i="32"/>
  <c r="P129" i="32"/>
  <c r="P121" i="32"/>
  <c r="P149" i="33"/>
  <c r="P145" i="33"/>
  <c r="P143" i="33"/>
  <c r="P141" i="33"/>
  <c r="P135" i="33"/>
  <c r="P133" i="33"/>
  <c r="P131" i="33"/>
  <c r="P129" i="33"/>
  <c r="P125" i="33"/>
  <c r="P123" i="33"/>
  <c r="P115" i="33"/>
  <c r="P109" i="33"/>
  <c r="P107" i="33"/>
  <c r="P105" i="33"/>
  <c r="P103" i="33"/>
  <c r="P141" i="34"/>
  <c r="P137" i="34"/>
  <c r="P135" i="34"/>
  <c r="P133" i="34"/>
  <c r="P127" i="34"/>
  <c r="P125" i="34"/>
  <c r="P117" i="34"/>
  <c r="P115" i="34"/>
  <c r="P112" i="34"/>
  <c r="P154" i="35"/>
  <c r="P142" i="35"/>
  <c r="P132" i="35"/>
  <c r="P128" i="35"/>
  <c r="P126" i="35"/>
  <c r="P124" i="35"/>
  <c r="P116" i="35"/>
  <c r="P114" i="35"/>
  <c r="P112" i="35"/>
  <c r="P108" i="35"/>
  <c r="P106" i="35"/>
  <c r="P104" i="35"/>
  <c r="P144" i="39"/>
  <c r="P130" i="39"/>
  <c r="P151" i="41"/>
  <c r="P145" i="41"/>
  <c r="P129" i="41"/>
  <c r="P127" i="41"/>
  <c r="P123" i="41"/>
  <c r="P115" i="41"/>
  <c r="P154" i="42"/>
  <c r="P116" i="42"/>
  <c r="P153" i="43"/>
  <c r="P129" i="43"/>
  <c r="P109" i="43"/>
  <c r="P131" i="44"/>
  <c r="P129" i="44"/>
  <c r="P117" i="44"/>
  <c r="P113" i="44"/>
  <c r="P109" i="44"/>
  <c r="P154" i="45"/>
  <c r="P149" i="45"/>
  <c r="P147" i="45"/>
  <c r="P139" i="58"/>
  <c r="P135" i="58"/>
  <c r="O23" i="59"/>
  <c r="O43" i="59"/>
  <c r="O69" i="59"/>
  <c r="O50" i="60"/>
  <c r="O34" i="61"/>
  <c r="O26" i="62"/>
  <c r="O35" i="62"/>
  <c r="O69" i="63"/>
  <c r="O33" i="64"/>
  <c r="O56" i="64"/>
  <c r="O24" i="30"/>
  <c r="O20" i="22"/>
  <c r="P148" i="28"/>
  <c r="P144" i="28"/>
  <c r="P132" i="28"/>
  <c r="P114" i="28"/>
  <c r="P148" i="29"/>
  <c r="P154" i="31"/>
  <c r="P144" i="31"/>
  <c r="P104" i="33"/>
  <c r="P138" i="34"/>
  <c r="P136" i="34"/>
  <c r="P134" i="34"/>
  <c r="P116" i="34"/>
  <c r="P133" i="39"/>
  <c r="P117" i="39"/>
  <c r="P107" i="39"/>
  <c r="P130" i="46"/>
  <c r="P112" i="46"/>
  <c r="P146" i="55"/>
  <c r="P140" i="55"/>
  <c r="P134" i="55"/>
  <c r="P132" i="55"/>
  <c r="P130" i="55"/>
  <c r="P128" i="55"/>
  <c r="P142" i="56"/>
  <c r="P136" i="56"/>
  <c r="O33" i="59"/>
  <c r="O31" i="61"/>
  <c r="O48" i="61"/>
  <c r="O36" i="62"/>
  <c r="O29" i="63"/>
  <c r="O58" i="63"/>
  <c r="O70" i="63"/>
  <c r="O22" i="24"/>
  <c r="P104" i="62"/>
  <c r="P106" i="62"/>
  <c r="P118" i="62"/>
  <c r="O38" i="65"/>
  <c r="O60" i="65"/>
  <c r="O55" i="66"/>
  <c r="O21" i="41"/>
  <c r="P100" i="53"/>
  <c r="O19" i="54"/>
  <c r="O19" i="56"/>
  <c r="P100" i="56"/>
  <c r="O19" i="58"/>
  <c r="O18" i="59"/>
  <c r="O18" i="63"/>
  <c r="P99" i="63"/>
  <c r="O17" i="68"/>
  <c r="O53" i="69"/>
  <c r="O47" i="70"/>
  <c r="O25" i="72"/>
  <c r="O32" i="73"/>
  <c r="O48" i="73"/>
  <c r="O24" i="76"/>
  <c r="O66" i="76"/>
  <c r="O66" i="77"/>
  <c r="O19" i="69"/>
  <c r="P104" i="3"/>
  <c r="O23" i="20"/>
  <c r="O24" i="23"/>
  <c r="P106" i="27"/>
  <c r="O20" i="57"/>
  <c r="O22" i="45"/>
  <c r="O21" i="79"/>
  <c r="O27" i="79"/>
  <c r="O22" i="69"/>
  <c r="P104" i="21"/>
  <c r="P104" i="22"/>
  <c r="O20" i="46"/>
  <c r="P100" i="59"/>
  <c r="P100" i="61"/>
  <c r="O19" i="60"/>
  <c r="P104" i="59"/>
  <c r="P106" i="59"/>
  <c r="P112" i="59"/>
  <c r="P114" i="59"/>
  <c r="P128" i="59"/>
  <c r="P115" i="60"/>
  <c r="P117" i="60"/>
  <c r="P119" i="60"/>
  <c r="P121" i="60"/>
  <c r="O18" i="62"/>
  <c r="P99" i="60"/>
  <c r="O17" i="66"/>
  <c r="O37" i="69"/>
  <c r="O41" i="69"/>
  <c r="O65" i="69"/>
  <c r="O46" i="70"/>
  <c r="O50" i="70"/>
  <c r="O42" i="71"/>
  <c r="O33" i="73"/>
  <c r="O57" i="73"/>
  <c r="O44" i="75"/>
  <c r="O48" i="76"/>
  <c r="O27" i="77"/>
  <c r="O58" i="77"/>
  <c r="O71" i="78"/>
  <c r="O18" i="67"/>
  <c r="P102" i="57"/>
  <c r="P109" i="66"/>
  <c r="P129" i="66"/>
  <c r="P115" i="71"/>
  <c r="O20" i="72"/>
  <c r="O22" i="73"/>
  <c r="O29" i="80"/>
  <c r="O64" i="81"/>
  <c r="O44" i="82"/>
  <c r="O50" i="82"/>
  <c r="O37" i="83"/>
  <c r="O34" i="84"/>
  <c r="O44" i="84"/>
  <c r="O61" i="84"/>
  <c r="P105" i="19"/>
  <c r="O25" i="23"/>
  <c r="P104" i="41"/>
  <c r="P125" i="75"/>
  <c r="P127" i="75"/>
  <c r="P104" i="43"/>
  <c r="P127" i="68"/>
  <c r="P127" i="76"/>
  <c r="O24" i="81"/>
  <c r="O68" i="81"/>
  <c r="O47" i="82"/>
  <c r="O72" i="82"/>
  <c r="O24" i="20"/>
  <c r="P108" i="28"/>
  <c r="O25" i="31"/>
  <c r="O23" i="41"/>
  <c r="P102" i="55"/>
  <c r="P101" i="63"/>
  <c r="P125" i="82"/>
  <c r="P115" i="83"/>
  <c r="P101" i="60"/>
  <c r="O21" i="72"/>
  <c r="O23" i="73"/>
  <c r="O22" i="86"/>
  <c r="O18" i="78"/>
  <c r="P120" i="81"/>
  <c r="P124" i="81"/>
  <c r="P126" i="81"/>
  <c r="P108" i="82"/>
  <c r="P112" i="82"/>
  <c r="P122" i="82"/>
  <c r="P116" i="83"/>
  <c r="P118" i="83"/>
  <c r="P126" i="83"/>
  <c r="P114" i="84"/>
  <c r="P116" i="84"/>
  <c r="O18" i="76"/>
  <c r="O43" i="85"/>
  <c r="O47" i="85"/>
  <c r="O36" i="86"/>
  <c r="O46" i="86"/>
  <c r="O33" i="87"/>
  <c r="O31" i="88"/>
  <c r="O35" i="88"/>
  <c r="O49" i="89"/>
  <c r="O60" i="89"/>
  <c r="P106" i="21"/>
  <c r="P111" i="85"/>
  <c r="P119" i="85"/>
  <c r="P123" i="85"/>
  <c r="P109" i="28"/>
  <c r="P125" i="86"/>
  <c r="P129" i="86"/>
  <c r="P106" i="19"/>
  <c r="O29" i="90"/>
  <c r="O62" i="90"/>
  <c r="O22" i="91"/>
  <c r="O40" i="91"/>
  <c r="P106" i="20"/>
  <c r="P108" i="30"/>
  <c r="O22" i="58"/>
  <c r="P101" i="66"/>
  <c r="P101" i="68"/>
  <c r="P103" i="72"/>
  <c r="O49" i="94"/>
  <c r="O19" i="85"/>
  <c r="P108" i="85"/>
  <c r="P126" i="86"/>
  <c r="P130" i="86"/>
  <c r="P101" i="87"/>
  <c r="P103" i="87"/>
  <c r="P107" i="87"/>
  <c r="P109" i="87"/>
  <c r="P111" i="87"/>
  <c r="P113" i="87"/>
  <c r="P115" i="87"/>
  <c r="P117" i="87"/>
  <c r="P129" i="87"/>
  <c r="O32" i="89"/>
  <c r="O72" i="90"/>
  <c r="O56" i="91"/>
  <c r="O71" i="91"/>
  <c r="P112" i="92"/>
  <c r="P105" i="41"/>
  <c r="O22" i="56"/>
  <c r="O22" i="72"/>
  <c r="P103" i="86"/>
  <c r="P115" i="86"/>
  <c r="P103" i="91"/>
  <c r="P121" i="91"/>
  <c r="O28" i="28"/>
  <c r="O27" i="30"/>
  <c r="P107" i="32"/>
  <c r="O24" i="41"/>
  <c r="P104" i="74"/>
  <c r="P128" i="89"/>
  <c r="P109" i="90"/>
  <c r="P102" i="92"/>
  <c r="P108" i="92"/>
  <c r="P110" i="92"/>
  <c r="O23" i="74"/>
  <c r="O26" i="17"/>
  <c r="O28" i="30"/>
  <c r="P101" i="89"/>
  <c r="P119" i="89"/>
  <c r="P121" i="89"/>
  <c r="P123" i="89"/>
  <c r="O19" i="78"/>
  <c r="O24" i="95"/>
  <c r="O43" i="95"/>
  <c r="O56" i="96"/>
  <c r="P128" i="93"/>
  <c r="O33" i="96"/>
  <c r="O44" i="96"/>
  <c r="P107" i="19"/>
  <c r="O27" i="24"/>
  <c r="P109" i="30"/>
  <c r="O25" i="39"/>
  <c r="O23" i="46"/>
  <c r="O23" i="58"/>
  <c r="O22" i="63"/>
  <c r="O20" i="79"/>
  <c r="O19" i="81"/>
  <c r="P111" i="94"/>
  <c r="P119" i="94"/>
  <c r="O26" i="21"/>
  <c r="O27" i="32"/>
  <c r="O25" i="44"/>
  <c r="O23" i="56"/>
  <c r="O21" i="65"/>
  <c r="O28" i="69"/>
  <c r="O25" i="73"/>
  <c r="O20" i="77"/>
  <c r="E104" i="35"/>
  <c r="F104" i="35" s="1"/>
  <c r="B105" i="35" s="1"/>
  <c r="P147" i="33"/>
  <c r="P154" i="39"/>
  <c r="P152" i="39"/>
  <c r="P150" i="39"/>
  <c r="P148" i="39"/>
  <c r="P142" i="39"/>
  <c r="P140" i="39"/>
  <c r="P138" i="39"/>
  <c r="P136" i="39"/>
  <c r="P134" i="39"/>
  <c r="P128" i="39"/>
  <c r="P126" i="39"/>
  <c r="P124" i="39"/>
  <c r="P120" i="39"/>
  <c r="P118" i="39"/>
  <c r="P114" i="39"/>
  <c r="P110" i="39"/>
  <c r="P108" i="39"/>
  <c r="P136" i="17"/>
  <c r="P151" i="21"/>
  <c r="P135" i="25"/>
  <c r="P132" i="29"/>
  <c r="P100" i="13"/>
  <c r="P144" i="18"/>
  <c r="P142" i="18"/>
  <c r="P140" i="18"/>
  <c r="P128" i="18"/>
  <c r="P124" i="18"/>
  <c r="P120" i="18"/>
  <c r="P132" i="19"/>
  <c r="P122" i="19"/>
  <c r="P120" i="19"/>
  <c r="P118" i="19"/>
  <c r="P121" i="20"/>
  <c r="P119" i="20"/>
  <c r="P117" i="20"/>
  <c r="P131" i="23"/>
  <c r="P129" i="23"/>
  <c r="P127" i="23"/>
  <c r="P124" i="23"/>
  <c r="P122" i="23"/>
  <c r="P153" i="24"/>
  <c r="P147" i="24"/>
  <c r="P145" i="24"/>
  <c r="P154" i="26"/>
  <c r="P152" i="26"/>
  <c r="P144" i="26"/>
  <c r="P142" i="26"/>
  <c r="P136" i="26"/>
  <c r="P134" i="26"/>
  <c r="P132" i="26"/>
  <c r="P130" i="26"/>
  <c r="P128" i="26"/>
  <c r="P120" i="26"/>
  <c r="P118" i="26"/>
  <c r="P116" i="26"/>
  <c r="P114" i="26"/>
  <c r="P106" i="26"/>
  <c r="P104" i="26"/>
  <c r="P102" i="26"/>
  <c r="P100" i="26"/>
  <c r="P126" i="42"/>
  <c r="P149" i="44"/>
  <c r="P147" i="44"/>
  <c r="P139" i="44"/>
  <c r="P115" i="44"/>
  <c r="P149" i="46"/>
  <c r="P147" i="46"/>
  <c r="P129" i="57"/>
  <c r="P130" i="58"/>
  <c r="P124" i="58"/>
  <c r="P143" i="29"/>
  <c r="P148" i="30"/>
  <c r="P124" i="32"/>
  <c r="P122" i="32"/>
  <c r="P110" i="32"/>
  <c r="P139" i="43"/>
  <c r="P137" i="43"/>
  <c r="P133" i="43"/>
  <c r="P131" i="43"/>
  <c r="P117" i="43"/>
  <c r="P119" i="55"/>
  <c r="P105" i="55"/>
  <c r="P101" i="13"/>
  <c r="P135" i="17"/>
  <c r="P109" i="17"/>
  <c r="P129" i="19"/>
  <c r="P125" i="19"/>
  <c r="P123" i="19"/>
  <c r="P121" i="19"/>
  <c r="P109" i="19"/>
  <c r="P122" i="20"/>
  <c r="P118" i="20"/>
  <c r="P116" i="20"/>
  <c r="P111" i="20"/>
  <c r="P124" i="21"/>
  <c r="P148" i="22"/>
  <c r="P146" i="22"/>
  <c r="P144" i="22"/>
  <c r="P140" i="22"/>
  <c r="P138" i="22"/>
  <c r="P132" i="22"/>
  <c r="P122" i="22"/>
  <c r="P116" i="22"/>
  <c r="P132" i="23"/>
  <c r="P152" i="24"/>
  <c r="P148" i="24"/>
  <c r="P142" i="24"/>
  <c r="P126" i="24"/>
  <c r="P122" i="24"/>
  <c r="P120" i="24"/>
  <c r="P149" i="26"/>
  <c r="P147" i="26"/>
  <c r="P145" i="26"/>
  <c r="P143" i="26"/>
  <c r="P141" i="26"/>
  <c r="P125" i="26"/>
  <c r="P123" i="26"/>
  <c r="P121" i="26"/>
  <c r="P119" i="26"/>
  <c r="P117" i="26"/>
  <c r="P132" i="31"/>
  <c r="P116" i="31"/>
  <c r="P110" i="31"/>
  <c r="P145" i="32"/>
  <c r="P143" i="32"/>
  <c r="P131" i="32"/>
  <c r="P123" i="32"/>
  <c r="P154" i="33"/>
  <c r="P152" i="33"/>
  <c r="P146" i="33"/>
  <c r="P144" i="33"/>
  <c r="P142" i="33"/>
  <c r="P140" i="33"/>
  <c r="P138" i="33"/>
  <c r="P136" i="33"/>
  <c r="P134" i="33"/>
  <c r="P132" i="33"/>
  <c r="P130" i="33"/>
  <c r="P128" i="33"/>
  <c r="P120" i="33"/>
  <c r="P118" i="33"/>
  <c r="P116" i="33"/>
  <c r="P112" i="33"/>
  <c r="P108" i="33"/>
  <c r="P146" i="35"/>
  <c r="P134" i="35"/>
  <c r="P121" i="39"/>
  <c r="P128" i="42"/>
  <c r="P134" i="43"/>
  <c r="P132" i="43"/>
  <c r="P138" i="44"/>
  <c r="P134" i="44"/>
  <c r="P130" i="44"/>
  <c r="P128" i="44"/>
  <c r="P126" i="44"/>
  <c r="P124" i="44"/>
  <c r="P118" i="44"/>
  <c r="P116" i="44"/>
  <c r="P153" i="45"/>
  <c r="P150" i="45"/>
  <c r="P148" i="45"/>
  <c r="P106" i="56"/>
  <c r="P107" i="64"/>
  <c r="P111" i="64"/>
  <c r="P130" i="66"/>
  <c r="P113" i="67"/>
  <c r="P121" i="69"/>
  <c r="P123" i="69"/>
  <c r="P112" i="71"/>
  <c r="P115" i="72"/>
  <c r="P102" i="77"/>
  <c r="P130" i="77"/>
  <c r="P110" i="79"/>
  <c r="P116" i="79"/>
  <c r="P122" i="79"/>
  <c r="P124" i="79"/>
  <c r="P126" i="79"/>
  <c r="P128" i="79"/>
  <c r="P106" i="84"/>
  <c r="P108" i="84"/>
  <c r="P112" i="84"/>
  <c r="P124" i="85"/>
  <c r="P124" i="86"/>
  <c r="P116" i="88"/>
  <c r="P130" i="88"/>
  <c r="P100" i="91"/>
  <c r="P102" i="91"/>
  <c r="P126" i="91"/>
  <c r="P130" i="91"/>
  <c r="P122" i="92"/>
  <c r="P126" i="92"/>
  <c r="P112" i="94"/>
  <c r="P128" i="94"/>
  <c r="P115" i="96"/>
  <c r="P117" i="96"/>
  <c r="P119" i="96"/>
  <c r="P120" i="53"/>
  <c r="P118" i="53"/>
  <c r="P116" i="53"/>
  <c r="P114" i="53"/>
  <c r="P112" i="53"/>
  <c r="P108" i="53"/>
  <c r="P106" i="53"/>
  <c r="P152" i="54"/>
  <c r="P150" i="54"/>
  <c r="P148" i="54"/>
  <c r="P146" i="54"/>
  <c r="P144" i="54"/>
  <c r="P142" i="54"/>
  <c r="P140" i="54"/>
  <c r="P138" i="54"/>
  <c r="P136" i="54"/>
  <c r="P134" i="54"/>
  <c r="P132" i="54"/>
  <c r="P130" i="54"/>
  <c r="P128" i="54"/>
  <c r="P126" i="54"/>
  <c r="P124" i="54"/>
  <c r="P124" i="56"/>
  <c r="P122" i="56"/>
  <c r="P114" i="56"/>
  <c r="P108" i="56"/>
  <c r="P105" i="56"/>
  <c r="P152" i="57"/>
  <c r="P150" i="57"/>
  <c r="P148" i="57"/>
  <c r="P146" i="57"/>
  <c r="P140" i="57"/>
  <c r="P136" i="57"/>
  <c r="P132" i="57"/>
  <c r="P126" i="57"/>
  <c r="P124" i="57"/>
  <c r="P120" i="57"/>
  <c r="P147" i="58"/>
  <c r="P116" i="59"/>
  <c r="P120" i="59"/>
  <c r="P124" i="59"/>
  <c r="P105" i="62"/>
  <c r="P129" i="62"/>
  <c r="P116" i="70"/>
  <c r="P118" i="70"/>
  <c r="P120" i="70"/>
  <c r="P130" i="70"/>
  <c r="P116" i="74"/>
  <c r="P120" i="74"/>
  <c r="P122" i="74"/>
  <c r="P124" i="74"/>
  <c r="P130" i="74"/>
  <c r="P104" i="75"/>
  <c r="P123" i="78"/>
  <c r="P127" i="78"/>
  <c r="P128" i="84"/>
  <c r="P108" i="87"/>
  <c r="P110" i="87"/>
  <c r="P112" i="87"/>
  <c r="P114" i="87"/>
  <c r="P118" i="87"/>
  <c r="P124" i="87"/>
  <c r="P128" i="87"/>
  <c r="P130" i="87"/>
  <c r="P129" i="89"/>
  <c r="P112" i="90"/>
  <c r="P114" i="90"/>
  <c r="P126" i="90"/>
  <c r="P101" i="92"/>
  <c r="P107" i="93"/>
  <c r="P117" i="93"/>
  <c r="P121" i="95"/>
  <c r="P123" i="95"/>
  <c r="P106" i="96"/>
  <c r="P108" i="96"/>
  <c r="P110" i="96"/>
  <c r="P105" i="59"/>
  <c r="P107" i="59"/>
  <c r="P113" i="59"/>
  <c r="P115" i="59"/>
  <c r="P126" i="63"/>
  <c r="P106" i="64"/>
  <c r="P118" i="64"/>
  <c r="P120" i="64"/>
  <c r="P122" i="64"/>
  <c r="P124" i="64"/>
  <c r="P126" i="64"/>
  <c r="P128" i="64"/>
  <c r="P115" i="65"/>
  <c r="P117" i="65"/>
  <c r="P119" i="66"/>
  <c r="P125" i="66"/>
  <c r="P110" i="67"/>
  <c r="P126" i="67"/>
  <c r="P128" i="67"/>
  <c r="P122" i="69"/>
  <c r="P124" i="69"/>
  <c r="P126" i="69"/>
  <c r="P126" i="73"/>
  <c r="P130" i="73"/>
  <c r="P107" i="74"/>
  <c r="P109" i="74"/>
  <c r="P113" i="74"/>
  <c r="P113" i="75"/>
  <c r="P128" i="78"/>
  <c r="P103" i="79"/>
  <c r="P105" i="79"/>
  <c r="P109" i="79"/>
  <c r="P129" i="81"/>
  <c r="P119" i="83"/>
  <c r="P103" i="84"/>
  <c r="P107" i="84"/>
  <c r="P109" i="84"/>
  <c r="P117" i="84"/>
  <c r="P118" i="86"/>
  <c r="P101" i="88"/>
  <c r="P107" i="88"/>
  <c r="P109" i="88"/>
  <c r="P111" i="88"/>
  <c r="P115" i="88"/>
  <c r="P127" i="88"/>
  <c r="P102" i="89"/>
  <c r="P118" i="89"/>
  <c r="P101" i="91"/>
  <c r="P115" i="92"/>
  <c r="P123" i="92"/>
  <c r="P118" i="93"/>
  <c r="P120" i="93"/>
  <c r="P122" i="93"/>
  <c r="P126" i="93"/>
  <c r="P99" i="94"/>
  <c r="P101" i="94"/>
  <c r="P103" i="94"/>
  <c r="P107" i="94"/>
  <c r="P115" i="94"/>
  <c r="P123" i="94"/>
  <c r="P110" i="95"/>
  <c r="P122" i="95"/>
  <c r="P126" i="95"/>
  <c r="L86" i="13"/>
  <c r="L86" i="73"/>
  <c r="N87" i="73"/>
  <c r="N87" i="80"/>
  <c r="M87" i="92"/>
  <c r="L86" i="18"/>
  <c r="J94" i="58"/>
  <c r="J94" i="56"/>
  <c r="J95" i="56" s="1"/>
  <c r="J94" i="91"/>
  <c r="J94" i="61"/>
  <c r="J95" i="61" s="1"/>
  <c r="J94" i="24"/>
  <c r="J95" i="24" s="1"/>
  <c r="J94" i="42"/>
  <c r="J95" i="42" s="1"/>
  <c r="J94" i="73"/>
  <c r="J95" i="73" s="1"/>
  <c r="J94" i="82"/>
  <c r="J95" i="82" s="1"/>
  <c r="J94" i="89"/>
  <c r="J95" i="89" s="1"/>
  <c r="J94" i="84"/>
  <c r="J95" i="84" s="1"/>
  <c r="J94" i="3"/>
  <c r="J95" i="3" s="1"/>
  <c r="J94" i="79"/>
  <c r="J95" i="79" s="1"/>
  <c r="J94" i="34"/>
  <c r="J95" i="34" s="1"/>
  <c r="J94" i="80"/>
  <c r="J95" i="80" s="1"/>
  <c r="J94" i="77"/>
  <c r="J95" i="77" s="1"/>
  <c r="J94" i="21"/>
  <c r="J95" i="21" s="1"/>
  <c r="J94" i="55"/>
  <c r="J95" i="55" s="1"/>
  <c r="J94" i="59"/>
  <c r="J94" i="39"/>
  <c r="J94" i="30"/>
  <c r="J94" i="92"/>
  <c r="J94" i="70"/>
  <c r="J95" i="70" s="1"/>
  <c r="J94" i="74"/>
  <c r="J95" i="74" s="1"/>
  <c r="J94" i="31"/>
  <c r="J95" i="31" s="1"/>
  <c r="J94" i="22"/>
  <c r="J94" i="57"/>
  <c r="J95" i="57" s="1"/>
  <c r="J94" i="88"/>
  <c r="J95" i="88" s="1"/>
  <c r="J94" i="18"/>
  <c r="J94" i="25"/>
  <c r="J95" i="25" s="1"/>
  <c r="J94" i="54"/>
  <c r="J95" i="54" s="1"/>
  <c r="J94" i="43"/>
  <c r="J95" i="43" s="1"/>
  <c r="J94" i="33"/>
  <c r="J95" i="33" s="1"/>
  <c r="J94" i="86"/>
  <c r="J95" i="86" s="1"/>
  <c r="J94" i="68"/>
  <c r="J95" i="68" s="1"/>
  <c r="J94" i="65"/>
  <c r="J94" i="20"/>
  <c r="J95" i="20" s="1"/>
  <c r="J94" i="29"/>
  <c r="J94" i="81"/>
  <c r="J95" i="81" s="1"/>
  <c r="J94" i="71"/>
  <c r="J95" i="71" s="1"/>
  <c r="P153" i="3"/>
  <c r="P124" i="3"/>
  <c r="P119" i="13"/>
  <c r="P107" i="13"/>
  <c r="P105" i="13"/>
  <c r="P103" i="13"/>
  <c r="P149" i="17"/>
  <c r="P140" i="17"/>
  <c r="P126" i="17"/>
  <c r="P126" i="18"/>
  <c r="P118" i="18"/>
  <c r="P116" i="18"/>
  <c r="P148" i="19"/>
  <c r="P130" i="19"/>
  <c r="P127" i="19"/>
  <c r="P115" i="19"/>
  <c r="P140" i="20"/>
  <c r="P130" i="21"/>
  <c r="P128" i="21"/>
  <c r="P126" i="21"/>
  <c r="P122" i="21"/>
  <c r="P120" i="21"/>
  <c r="P133" i="23"/>
  <c r="P138" i="26"/>
  <c r="P124" i="26"/>
  <c r="P130" i="28"/>
  <c r="P128" i="28"/>
  <c r="P124" i="28"/>
  <c r="P118" i="28"/>
  <c r="P144" i="30"/>
  <c r="P140" i="30"/>
  <c r="P146" i="44"/>
  <c r="P114" i="44"/>
  <c r="P129" i="46"/>
  <c r="P144" i="23"/>
  <c r="P136" i="31"/>
  <c r="P126" i="32"/>
  <c r="P144" i="35"/>
  <c r="P121" i="46"/>
  <c r="P154" i="3"/>
  <c r="P148" i="3"/>
  <c r="P122" i="13"/>
  <c r="P120" i="13"/>
  <c r="P118" i="13"/>
  <c r="P108" i="13"/>
  <c r="P150" i="17"/>
  <c r="P146" i="17"/>
  <c r="P143" i="17"/>
  <c r="P127" i="17"/>
  <c r="P122" i="17"/>
  <c r="P150" i="18"/>
  <c r="P148" i="18"/>
  <c r="P115" i="18"/>
  <c r="P111" i="18"/>
  <c r="P133" i="19"/>
  <c r="P124" i="19"/>
  <c r="P114" i="19"/>
  <c r="P143" i="20"/>
  <c r="P133" i="20"/>
  <c r="P125" i="20"/>
  <c r="P137" i="23"/>
  <c r="P120" i="23"/>
  <c r="P112" i="23"/>
  <c r="P146" i="24"/>
  <c r="P137" i="27"/>
  <c r="P150" i="29"/>
  <c r="P146" i="29"/>
  <c r="P139" i="29"/>
  <c r="P127" i="29"/>
  <c r="P128" i="31"/>
  <c r="P118" i="31"/>
  <c r="P146" i="32"/>
  <c r="P106" i="33"/>
  <c r="P146" i="39"/>
  <c r="P132" i="39"/>
  <c r="P113" i="41"/>
  <c r="P109" i="41"/>
  <c r="P152" i="42"/>
  <c r="P150" i="42"/>
  <c r="P146" i="42"/>
  <c r="P144" i="42"/>
  <c r="P142" i="42"/>
  <c r="P140" i="42"/>
  <c r="P138" i="42"/>
  <c r="P136" i="42"/>
  <c r="P134" i="42"/>
  <c r="P132" i="42"/>
  <c r="P154" i="43"/>
  <c r="P148" i="43"/>
  <c r="P144" i="43"/>
  <c r="P142" i="43"/>
  <c r="P138" i="43"/>
  <c r="P140" i="46"/>
  <c r="P136" i="46"/>
  <c r="P132" i="46"/>
  <c r="P120" i="46"/>
  <c r="P128" i="66"/>
  <c r="P123" i="68"/>
  <c r="P112" i="72"/>
  <c r="P116" i="75"/>
  <c r="P120" i="75"/>
  <c r="P122" i="75"/>
  <c r="P103" i="78"/>
  <c r="P105" i="78"/>
  <c r="P117" i="78"/>
  <c r="P118" i="92"/>
  <c r="P109" i="20"/>
  <c r="P145" i="21"/>
  <c r="P139" i="21"/>
  <c r="P152" i="22"/>
  <c r="P150" i="22"/>
  <c r="P142" i="22"/>
  <c r="P130" i="22"/>
  <c r="P124" i="22"/>
  <c r="P144" i="24"/>
  <c r="P138" i="24"/>
  <c r="P130" i="24"/>
  <c r="P112" i="26"/>
  <c r="P110" i="26"/>
  <c r="P108" i="26"/>
  <c r="P134" i="27"/>
  <c r="P142" i="29"/>
  <c r="P138" i="29"/>
  <c r="P134" i="29"/>
  <c r="P153" i="30"/>
  <c r="P140" i="32"/>
  <c r="P138" i="32"/>
  <c r="P117" i="32"/>
  <c r="P115" i="32"/>
  <c r="P100" i="33"/>
  <c r="P150" i="34"/>
  <c r="P142" i="34"/>
  <c r="P140" i="34"/>
  <c r="P127" i="39"/>
  <c r="P125" i="39"/>
  <c r="P148" i="41"/>
  <c r="P142" i="41"/>
  <c r="P114" i="41"/>
  <c r="P129" i="42"/>
  <c r="P124" i="42"/>
  <c r="P120" i="42"/>
  <c r="P118" i="42"/>
  <c r="P143" i="46"/>
  <c r="P141" i="46"/>
  <c r="P120" i="54"/>
  <c r="P112" i="65"/>
  <c r="P114" i="65"/>
  <c r="P124" i="65"/>
  <c r="P126" i="65"/>
  <c r="P130" i="65"/>
  <c r="P111" i="69"/>
  <c r="P113" i="69"/>
  <c r="P117" i="69"/>
  <c r="P119" i="69"/>
  <c r="P113" i="70"/>
  <c r="P105" i="75"/>
  <c r="P111" i="75"/>
  <c r="P113" i="77"/>
  <c r="P115" i="77"/>
  <c r="P117" i="77"/>
  <c r="P123" i="77"/>
  <c r="P125" i="77"/>
  <c r="P127" i="77"/>
  <c r="P118" i="80"/>
  <c r="P113" i="95"/>
  <c r="P110" i="20"/>
  <c r="P108" i="20"/>
  <c r="P147" i="22"/>
  <c r="P141" i="22"/>
  <c r="P135" i="22"/>
  <c r="P133" i="22"/>
  <c r="P127" i="22"/>
  <c r="P125" i="22"/>
  <c r="P123" i="22"/>
  <c r="P149" i="23"/>
  <c r="P147" i="23"/>
  <c r="P135" i="23"/>
  <c r="P154" i="24"/>
  <c r="P141" i="24"/>
  <c r="P133" i="24"/>
  <c r="P131" i="24"/>
  <c r="P119" i="24"/>
  <c r="P111" i="24"/>
  <c r="P153" i="25"/>
  <c r="P151" i="25"/>
  <c r="P103" i="25"/>
  <c r="P99" i="25"/>
  <c r="P153" i="26"/>
  <c r="P147" i="27"/>
  <c r="P134" i="28"/>
  <c r="P141" i="29"/>
  <c r="P122" i="29"/>
  <c r="P152" i="30"/>
  <c r="P141" i="30"/>
  <c r="P119" i="30"/>
  <c r="P134" i="31"/>
  <c r="P111" i="31"/>
  <c r="P149" i="32"/>
  <c r="P120" i="32"/>
  <c r="P148" i="35"/>
  <c r="P131" i="35"/>
  <c r="P123" i="42"/>
  <c r="P143" i="43"/>
  <c r="P127" i="43"/>
  <c r="P148" i="44"/>
  <c r="P151" i="46"/>
  <c r="P144" i="46"/>
  <c r="P106" i="46"/>
  <c r="P142" i="55"/>
  <c r="P136" i="55"/>
  <c r="P148" i="56"/>
  <c r="P134" i="56"/>
  <c r="P128" i="56"/>
  <c r="P134" i="58"/>
  <c r="P127" i="58"/>
  <c r="P117" i="58"/>
  <c r="P115" i="58"/>
  <c r="P126" i="59"/>
  <c r="P117" i="66"/>
  <c r="P126" i="68"/>
  <c r="P119" i="73"/>
  <c r="P121" i="73"/>
  <c r="P123" i="73"/>
  <c r="P126" i="78"/>
  <c r="P123" i="80"/>
  <c r="P153" i="55"/>
  <c r="P127" i="55"/>
  <c r="P121" i="55"/>
  <c r="P134" i="57"/>
  <c r="P114" i="57"/>
  <c r="P112" i="57"/>
  <c r="P108" i="57"/>
  <c r="P119" i="59"/>
  <c r="P111" i="60"/>
  <c r="P110" i="61"/>
  <c r="P112" i="61"/>
  <c r="P120" i="61"/>
  <c r="P124" i="61"/>
  <c r="P126" i="61"/>
  <c r="P106" i="63"/>
  <c r="P112" i="63"/>
  <c r="P121" i="64"/>
  <c r="P129" i="67"/>
  <c r="P109" i="68"/>
  <c r="P111" i="68"/>
  <c r="P119" i="68"/>
  <c r="P121" i="68"/>
  <c r="P125" i="69"/>
  <c r="P127" i="69"/>
  <c r="P129" i="69"/>
  <c r="P129" i="70"/>
  <c r="P116" i="71"/>
  <c r="P105" i="72"/>
  <c r="P122" i="72"/>
  <c r="P109" i="76"/>
  <c r="P117" i="76"/>
  <c r="P121" i="76"/>
  <c r="P125" i="76"/>
  <c r="P116" i="77"/>
  <c r="P122" i="77"/>
  <c r="P128" i="77"/>
  <c r="P109" i="78"/>
  <c r="P111" i="78"/>
  <c r="P113" i="78"/>
  <c r="P115" i="78"/>
  <c r="P119" i="78"/>
  <c r="P112" i="80"/>
  <c r="P116" i="80"/>
  <c r="P122" i="80"/>
  <c r="P111" i="81"/>
  <c r="P116" i="82"/>
  <c r="P126" i="82"/>
  <c r="P120" i="83"/>
  <c r="P128" i="83"/>
  <c r="P130" i="83"/>
  <c r="P119" i="84"/>
  <c r="P101" i="85"/>
  <c r="P101" i="86"/>
  <c r="P109" i="86"/>
  <c r="P106" i="88"/>
  <c r="P123" i="90"/>
  <c r="P119" i="91"/>
  <c r="P107" i="92"/>
  <c r="P116" i="92"/>
  <c r="P120" i="92"/>
  <c r="P116" i="93"/>
  <c r="P113" i="94"/>
  <c r="P125" i="96"/>
  <c r="P127" i="96"/>
  <c r="P152" i="55"/>
  <c r="P147" i="57"/>
  <c r="P123" i="57"/>
  <c r="P119" i="57"/>
  <c r="P110" i="59"/>
  <c r="P127" i="59"/>
  <c r="P114" i="60"/>
  <c r="P104" i="64"/>
  <c r="P113" i="65"/>
  <c r="P123" i="66"/>
  <c r="P127" i="66"/>
  <c r="P130" i="69"/>
  <c r="P117" i="72"/>
  <c r="P109" i="80"/>
  <c r="P111" i="80"/>
  <c r="P114" i="88"/>
  <c r="P106" i="91"/>
  <c r="P112" i="91"/>
  <c r="P120" i="91"/>
  <c r="P119" i="93"/>
  <c r="P108" i="81"/>
  <c r="P111" i="83"/>
  <c r="P118" i="85"/>
  <c r="P130" i="85"/>
  <c r="P110" i="86"/>
  <c r="P103" i="88"/>
  <c r="P122" i="88"/>
  <c r="P124" i="88"/>
  <c r="P108" i="89"/>
  <c r="P126" i="89"/>
  <c r="P105" i="90"/>
  <c r="P125" i="94"/>
  <c r="P107" i="95"/>
  <c r="B102" i="35"/>
  <c r="G101" i="35"/>
  <c r="B103" i="35"/>
  <c r="G102" i="35"/>
  <c r="P110" i="18"/>
  <c r="P148" i="21"/>
  <c r="P148" i="25"/>
  <c r="P140" i="26"/>
  <c r="P150" i="3"/>
  <c r="P119" i="3"/>
  <c r="P114" i="13"/>
  <c r="P112" i="13"/>
  <c r="P148" i="17"/>
  <c r="P137" i="17"/>
  <c r="P131" i="17"/>
  <c r="P129" i="17"/>
  <c r="P119" i="17"/>
  <c r="P143" i="18"/>
  <c r="P141" i="18"/>
  <c r="P139" i="18"/>
  <c r="P145" i="19"/>
  <c r="P140" i="19"/>
  <c r="P154" i="20"/>
  <c r="P129" i="20"/>
  <c r="P127" i="20"/>
  <c r="P124" i="20"/>
  <c r="P120" i="20"/>
  <c r="P139" i="23"/>
  <c r="P110" i="23"/>
  <c r="P127" i="24"/>
  <c r="P125" i="24"/>
  <c r="P124" i="25"/>
  <c r="P101" i="25"/>
  <c r="P126" i="26"/>
  <c r="P127" i="60"/>
  <c r="P115" i="64"/>
  <c r="P111" i="66"/>
  <c r="P135" i="3"/>
  <c r="P111" i="17"/>
  <c r="P138" i="18"/>
  <c r="P143" i="24"/>
  <c r="P128" i="24"/>
  <c r="P121" i="24"/>
  <c r="P119" i="25"/>
  <c r="P104" i="25"/>
  <c r="P150" i="26"/>
  <c r="P133" i="3"/>
  <c r="P122" i="3"/>
  <c r="P130" i="13"/>
  <c r="P115" i="13"/>
  <c r="P141" i="17"/>
  <c r="P139" i="17"/>
  <c r="P134" i="17"/>
  <c r="P123" i="17"/>
  <c r="P121" i="17"/>
  <c r="P116" i="17"/>
  <c r="P110" i="17"/>
  <c r="P152" i="18"/>
  <c r="P145" i="18"/>
  <c r="P134" i="18"/>
  <c r="P121" i="18"/>
  <c r="P152" i="19"/>
  <c r="P146" i="19"/>
  <c r="P144" i="19"/>
  <c r="P135" i="19"/>
  <c r="P128" i="19"/>
  <c r="P126" i="19"/>
  <c r="P117" i="19"/>
  <c r="P151" i="20"/>
  <c r="P135" i="20"/>
  <c r="P123" i="20"/>
  <c r="P121" i="22"/>
  <c r="P115" i="22"/>
  <c r="P111" i="22"/>
  <c r="P109" i="22"/>
  <c r="P121" i="23"/>
  <c r="P124" i="24"/>
  <c r="P146" i="25"/>
  <c r="P144" i="25"/>
  <c r="P151" i="26"/>
  <c r="P129" i="29"/>
  <c r="P144" i="56"/>
  <c r="P105" i="63"/>
  <c r="P106" i="65"/>
  <c r="P151" i="27"/>
  <c r="P131" i="27"/>
  <c r="P127" i="27"/>
  <c r="P125" i="27"/>
  <c r="P149" i="28"/>
  <c r="P136" i="28"/>
  <c r="P112" i="28"/>
  <c r="P118" i="29"/>
  <c r="P142" i="30"/>
  <c r="P152" i="31"/>
  <c r="P126" i="31"/>
  <c r="P150" i="32"/>
  <c r="P148" i="32"/>
  <c r="P118" i="32"/>
  <c r="P117" i="33"/>
  <c r="P154" i="34"/>
  <c r="P148" i="34"/>
  <c r="P146" i="34"/>
  <c r="P153" i="35"/>
  <c r="P136" i="35"/>
  <c r="P127" i="35"/>
  <c r="P125" i="35"/>
  <c r="P138" i="41"/>
  <c r="P153" i="42"/>
  <c r="P121" i="42"/>
  <c r="P117" i="42"/>
  <c r="P110" i="42"/>
  <c r="P145" i="45"/>
  <c r="P133" i="46"/>
  <c r="P108" i="46"/>
  <c r="P108" i="54"/>
  <c r="P147" i="55"/>
  <c r="P138" i="55"/>
  <c r="P132" i="56"/>
  <c r="P142" i="57"/>
  <c r="P130" i="57"/>
  <c r="P115" i="57"/>
  <c r="P106" i="57"/>
  <c r="P104" i="60"/>
  <c r="P106" i="60"/>
  <c r="P123" i="60"/>
  <c r="P125" i="60"/>
  <c r="P105" i="66"/>
  <c r="P118" i="66"/>
  <c r="P111" i="67"/>
  <c r="P115" i="67"/>
  <c r="P117" i="67"/>
  <c r="P123" i="67"/>
  <c r="P118" i="72"/>
  <c r="P114" i="82"/>
  <c r="P112" i="83"/>
  <c r="P117" i="85"/>
  <c r="P119" i="88"/>
  <c r="P125" i="89"/>
  <c r="P123" i="91"/>
  <c r="P135" i="43"/>
  <c r="P127" i="46"/>
  <c r="P116" i="56"/>
  <c r="P145" i="58"/>
  <c r="P139" i="27"/>
  <c r="P130" i="27"/>
  <c r="P122" i="27"/>
  <c r="P141" i="28"/>
  <c r="P120" i="28"/>
  <c r="P151" i="29"/>
  <c r="P136" i="29"/>
  <c r="P146" i="30"/>
  <c r="P138" i="30"/>
  <c r="P112" i="30"/>
  <c r="P130" i="31"/>
  <c r="P115" i="31"/>
  <c r="P153" i="32"/>
  <c r="P151" i="32"/>
  <c r="P147" i="32"/>
  <c r="P133" i="32"/>
  <c r="P122" i="33"/>
  <c r="P114" i="33"/>
  <c r="P110" i="33"/>
  <c r="P153" i="34"/>
  <c r="P151" i="34"/>
  <c r="P147" i="34"/>
  <c r="P128" i="34"/>
  <c r="P150" i="35"/>
  <c r="P145" i="35"/>
  <c r="P139" i="35"/>
  <c r="P137" i="35"/>
  <c r="P117" i="35"/>
  <c r="P102" i="35"/>
  <c r="P107" i="41"/>
  <c r="P130" i="42"/>
  <c r="P114" i="42"/>
  <c r="P125" i="43"/>
  <c r="P122" i="44"/>
  <c r="P120" i="44"/>
  <c r="P144" i="45"/>
  <c r="P148" i="46"/>
  <c r="P138" i="46"/>
  <c r="P124" i="46"/>
  <c r="P122" i="54"/>
  <c r="P150" i="55"/>
  <c r="P143" i="55"/>
  <c r="P141" i="55"/>
  <c r="P125" i="55"/>
  <c r="P138" i="56"/>
  <c r="P112" i="56"/>
  <c r="P138" i="57"/>
  <c r="P125" i="57"/>
  <c r="P121" i="57"/>
  <c r="P116" i="57"/>
  <c r="P111" i="57"/>
  <c r="P118" i="59"/>
  <c r="P125" i="59"/>
  <c r="P121" i="63"/>
  <c r="P123" i="63"/>
  <c r="P127" i="63"/>
  <c r="P105" i="64"/>
  <c r="P110" i="64"/>
  <c r="P116" i="65"/>
  <c r="P118" i="65"/>
  <c r="P116" i="66"/>
  <c r="P105" i="67"/>
  <c r="P109" i="67"/>
  <c r="P112" i="67"/>
  <c r="P120" i="68"/>
  <c r="P107" i="83"/>
  <c r="P129" i="83"/>
  <c r="P102" i="86"/>
  <c r="P108" i="86"/>
  <c r="P120" i="90"/>
  <c r="P106" i="92"/>
  <c r="P119" i="67"/>
  <c r="P121" i="67"/>
  <c r="P113" i="68"/>
  <c r="P125" i="68"/>
  <c r="P128" i="68"/>
  <c r="P128" i="71"/>
  <c r="P106" i="72"/>
  <c r="P123" i="72"/>
  <c r="P128" i="72"/>
  <c r="P110" i="73"/>
  <c r="P118" i="76"/>
  <c r="P121" i="78"/>
  <c r="P130" i="78"/>
  <c r="P108" i="79"/>
  <c r="P113" i="79"/>
  <c r="P130" i="81"/>
  <c r="P102" i="82"/>
  <c r="P104" i="82"/>
  <c r="P110" i="82"/>
  <c r="P119" i="82"/>
  <c r="P109" i="83"/>
  <c r="P114" i="83"/>
  <c r="P109" i="85"/>
  <c r="P115" i="85"/>
  <c r="P128" i="86"/>
  <c r="P100" i="87"/>
  <c r="P102" i="87"/>
  <c r="P119" i="87"/>
  <c r="P123" i="87"/>
  <c r="P117" i="88"/>
  <c r="P121" i="88"/>
  <c r="P123" i="88"/>
  <c r="P130" i="89"/>
  <c r="P116" i="90"/>
  <c r="P124" i="90"/>
  <c r="P116" i="91"/>
  <c r="P109" i="92"/>
  <c r="P119" i="92"/>
  <c r="P127" i="92"/>
  <c r="P115" i="93"/>
  <c r="P115" i="95"/>
  <c r="P105" i="96"/>
  <c r="P124" i="96"/>
  <c r="P126" i="77"/>
  <c r="P122" i="83"/>
  <c r="P121" i="85"/>
  <c r="P123" i="86"/>
  <c r="P109" i="96"/>
  <c r="P121" i="96"/>
  <c r="P118" i="67"/>
  <c r="P104" i="68"/>
  <c r="P129" i="68"/>
  <c r="P127" i="70"/>
  <c r="P111" i="71"/>
  <c r="P127" i="71"/>
  <c r="P107" i="72"/>
  <c r="P114" i="72"/>
  <c r="P125" i="72"/>
  <c r="P126" i="74"/>
  <c r="P111" i="76"/>
  <c r="P115" i="76"/>
  <c r="P103" i="77"/>
  <c r="P109" i="77"/>
  <c r="P119" i="77"/>
  <c r="P111" i="79"/>
  <c r="P114" i="79"/>
  <c r="P101" i="80"/>
  <c r="P114" i="80"/>
  <c r="P110" i="81"/>
  <c r="P112" i="81"/>
  <c r="P122" i="81"/>
  <c r="P103" i="82"/>
  <c r="P118" i="82"/>
  <c r="P117" i="83"/>
  <c r="P101" i="84"/>
  <c r="P110" i="84"/>
  <c r="P115" i="84"/>
  <c r="P112" i="85"/>
  <c r="P122" i="85"/>
  <c r="P120" i="86"/>
  <c r="P122" i="86"/>
  <c r="P120" i="87"/>
  <c r="P122" i="87"/>
  <c r="P126" i="87"/>
  <c r="P103" i="89"/>
  <c r="P106" i="90"/>
  <c r="P115" i="91"/>
  <c r="P124" i="92"/>
  <c r="P128" i="92"/>
  <c r="P123" i="93"/>
  <c r="P127" i="93"/>
  <c r="P129" i="93"/>
  <c r="P110" i="94"/>
  <c r="P121" i="94"/>
  <c r="P102" i="95"/>
  <c r="P114" i="95"/>
  <c r="P118" i="96"/>
  <c r="P106" i="13"/>
  <c r="P149" i="3"/>
  <c r="P120" i="3"/>
  <c r="P114" i="3"/>
  <c r="P131" i="19"/>
  <c r="P138" i="20"/>
  <c r="P143" i="21"/>
  <c r="P141" i="21"/>
  <c r="P137" i="22"/>
  <c r="P120" i="22"/>
  <c r="P145" i="23"/>
  <c r="P136" i="27"/>
  <c r="P131" i="28"/>
  <c r="P122" i="28"/>
  <c r="P139" i="30"/>
  <c r="P151" i="33"/>
  <c r="P127" i="33"/>
  <c r="P120" i="34"/>
  <c r="P118" i="34"/>
  <c r="P111" i="34"/>
  <c r="P122" i="35"/>
  <c r="P154" i="41"/>
  <c r="P144" i="55"/>
  <c r="P111" i="59"/>
  <c r="P125" i="62"/>
  <c r="P131" i="20"/>
  <c r="P131" i="22"/>
  <c r="P118" i="46"/>
  <c r="P114" i="46"/>
  <c r="P115" i="66"/>
  <c r="P130" i="67"/>
  <c r="P139" i="20"/>
  <c r="P134" i="20"/>
  <c r="P144" i="21"/>
  <c r="P131" i="21"/>
  <c r="P115" i="21"/>
  <c r="P114" i="22"/>
  <c r="P148" i="23"/>
  <c r="P140" i="24"/>
  <c r="P115" i="24"/>
  <c r="P129" i="25"/>
  <c r="P140" i="27"/>
  <c r="P119" i="27"/>
  <c r="P127" i="28"/>
  <c r="P152" i="29"/>
  <c r="P150" i="30"/>
  <c r="P135" i="30"/>
  <c r="P120" i="31"/>
  <c r="P125" i="32"/>
  <c r="P111" i="32"/>
  <c r="P150" i="33"/>
  <c r="P148" i="33"/>
  <c r="P126" i="33"/>
  <c r="P124" i="33"/>
  <c r="P123" i="34"/>
  <c r="P121" i="34"/>
  <c r="P130" i="35"/>
  <c r="P119" i="35"/>
  <c r="P110" i="35"/>
  <c r="P135" i="39"/>
  <c r="P108" i="42"/>
  <c r="P153" i="44"/>
  <c r="P151" i="44"/>
  <c r="P144" i="44"/>
  <c r="P135" i="44"/>
  <c r="P108" i="44"/>
  <c r="P128" i="46"/>
  <c r="P154" i="54"/>
  <c r="P148" i="55"/>
  <c r="P123" i="55"/>
  <c r="P116" i="58"/>
  <c r="P117" i="61"/>
  <c r="P115" i="75"/>
  <c r="P114" i="91"/>
  <c r="P114" i="92"/>
  <c r="P121" i="92"/>
  <c r="P101" i="95"/>
  <c r="P108" i="95"/>
  <c r="P129" i="95"/>
  <c r="P129" i="60"/>
  <c r="P130" i="64"/>
  <c r="P110" i="65"/>
  <c r="P128" i="65"/>
  <c r="P124" i="68"/>
  <c r="P117" i="74"/>
  <c r="P123" i="75"/>
  <c r="P127" i="82"/>
  <c r="P140" i="56"/>
  <c r="P120" i="56"/>
  <c r="P118" i="56"/>
  <c r="P144" i="57"/>
  <c r="P128" i="57"/>
  <c r="P118" i="57"/>
  <c r="P136" i="58"/>
  <c r="P130" i="62"/>
  <c r="P113" i="63"/>
  <c r="P127" i="64"/>
  <c r="P130" i="72"/>
  <c r="P114" i="74"/>
  <c r="P129" i="74"/>
  <c r="P103" i="75"/>
  <c r="P111" i="77"/>
  <c r="P130" i="79"/>
  <c r="P111" i="82"/>
  <c r="P110" i="83"/>
  <c r="P119" i="86"/>
  <c r="P127" i="87"/>
  <c r="P130" i="90"/>
  <c r="P125" i="91"/>
  <c r="P111" i="92"/>
  <c r="P116" i="96"/>
  <c r="P126" i="96"/>
  <c r="P121" i="77"/>
  <c r="P124" i="82"/>
  <c r="P110" i="85"/>
  <c r="P122" i="89"/>
  <c r="P102" i="90"/>
  <c r="P113" i="91"/>
  <c r="P117" i="91"/>
  <c r="P100" i="92"/>
  <c r="P126" i="94"/>
  <c r="P105" i="95"/>
  <c r="P113" i="96"/>
  <c r="C81" i="36"/>
  <c r="C56" i="36"/>
  <c r="D24" i="36"/>
  <c r="D19" i="36"/>
  <c r="D87" i="36"/>
  <c r="C48" i="36"/>
  <c r="D76" i="36"/>
  <c r="D29" i="36"/>
  <c r="C43" i="36"/>
  <c r="D91" i="36"/>
  <c r="D64" i="36"/>
  <c r="D71" i="36"/>
  <c r="C65" i="36"/>
  <c r="D89" i="36"/>
  <c r="D77" i="36"/>
  <c r="C78" i="36"/>
  <c r="D84" i="36"/>
  <c r="C32" i="36"/>
  <c r="D86" i="36"/>
  <c r="C68" i="36"/>
  <c r="D52" i="36"/>
  <c r="C35" i="36"/>
  <c r="D46" i="36"/>
  <c r="D23" i="36"/>
  <c r="C89" i="36"/>
  <c r="C25" i="36"/>
  <c r="D61" i="36"/>
  <c r="D68" i="36"/>
  <c r="C41" i="36"/>
  <c r="C59" i="36"/>
  <c r="C62" i="36"/>
  <c r="D65" i="36"/>
  <c r="D25" i="36"/>
  <c r="D38" i="36"/>
  <c r="C60" i="36"/>
  <c r="C54" i="36"/>
  <c r="D27" i="36"/>
  <c r="D50" i="36"/>
  <c r="C34" i="36"/>
  <c r="C73" i="36"/>
  <c r="D35" i="36"/>
  <c r="C69" i="36"/>
  <c r="C28" i="36"/>
  <c r="C24" i="36"/>
  <c r="C38" i="36"/>
  <c r="D47" i="36"/>
  <c r="C76" i="36"/>
  <c r="C47" i="36"/>
  <c r="D22" i="36"/>
  <c r="C55" i="36"/>
  <c r="C45" i="36"/>
  <c r="D20" i="36"/>
  <c r="C64" i="36"/>
  <c r="C94" i="36"/>
  <c r="C46" i="36"/>
  <c r="C26" i="36"/>
  <c r="D36" i="36"/>
  <c r="C18" i="36"/>
  <c r="D37" i="36"/>
  <c r="C88" i="36"/>
  <c r="D80" i="36"/>
  <c r="C90" i="36"/>
  <c r="D81" i="36"/>
  <c r="C37" i="36"/>
  <c r="D63" i="36"/>
  <c r="D40" i="36"/>
  <c r="C33" i="36"/>
  <c r="C74" i="36"/>
  <c r="D66" i="36"/>
  <c r="D70" i="36"/>
  <c r="C84" i="36"/>
  <c r="C79" i="36"/>
  <c r="D45" i="36"/>
  <c r="C44" i="36"/>
  <c r="C53" i="36"/>
  <c r="C75" i="36"/>
  <c r="C58" i="36"/>
  <c r="D44" i="36"/>
  <c r="D34" i="36"/>
  <c r="D69" i="36"/>
  <c r="C52" i="36"/>
  <c r="C93" i="36"/>
  <c r="D75" i="36"/>
  <c r="C61" i="36"/>
  <c r="D49" i="36"/>
  <c r="D59" i="36"/>
  <c r="C67" i="36"/>
  <c r="D90" i="36"/>
  <c r="C86" i="36"/>
  <c r="D58" i="36"/>
  <c r="D88" i="36"/>
  <c r="D26" i="36"/>
  <c r="C92" i="36"/>
  <c r="D55" i="36"/>
  <c r="C82" i="36"/>
  <c r="C66" i="36"/>
  <c r="C29" i="36"/>
  <c r="D39" i="36"/>
  <c r="C71" i="36"/>
  <c r="D51" i="36"/>
  <c r="C49" i="36"/>
  <c r="D82" i="36"/>
  <c r="D57" i="36"/>
  <c r="D56" i="36"/>
  <c r="D92" i="36"/>
  <c r="D48" i="36"/>
  <c r="C87" i="36"/>
  <c r="D32" i="36"/>
  <c r="D42" i="36"/>
  <c r="D74" i="36"/>
  <c r="D53" i="36"/>
  <c r="D21" i="36"/>
  <c r="C19" i="36"/>
  <c r="D41" i="36"/>
  <c r="D83" i="36"/>
  <c r="D30" i="36"/>
  <c r="C85" i="36"/>
  <c r="D93" i="36"/>
  <c r="C27" i="36"/>
  <c r="D28" i="36"/>
  <c r="D72" i="36"/>
  <c r="D79" i="36"/>
  <c r="C57" i="36"/>
  <c r="C91" i="36"/>
  <c r="C51" i="36"/>
  <c r="D94" i="36"/>
  <c r="C30" i="36"/>
  <c r="D78" i="36"/>
  <c r="C42" i="36"/>
  <c r="D31" i="36"/>
  <c r="D60" i="36"/>
  <c r="D18" i="36"/>
  <c r="D33" i="36"/>
  <c r="C39" i="36"/>
  <c r="C40" i="36"/>
  <c r="D54" i="36"/>
  <c r="C80" i="36"/>
  <c r="C77" i="36"/>
  <c r="C21" i="36"/>
  <c r="C63" i="36"/>
  <c r="D85" i="36"/>
  <c r="C72" i="36"/>
  <c r="C23" i="36"/>
  <c r="C83" i="36"/>
  <c r="C22" i="36"/>
  <c r="D62" i="36"/>
  <c r="D73" i="36"/>
  <c r="C70" i="36"/>
  <c r="C31" i="36"/>
  <c r="D43" i="36"/>
  <c r="C50" i="36"/>
  <c r="D67" i="36"/>
  <c r="C20" i="36"/>
  <c r="C36" i="36"/>
  <c r="D13" i="101" l="1"/>
  <c r="I14" i="101" s="1"/>
  <c r="D13" i="102"/>
  <c r="I14" i="102" s="1"/>
  <c r="I13" i="100"/>
  <c r="G17" i="100"/>
  <c r="G18" i="100"/>
  <c r="G19" i="100"/>
  <c r="G20" i="100"/>
  <c r="G21" i="100"/>
  <c r="G22" i="100"/>
  <c r="G23" i="100"/>
  <c r="G24" i="100"/>
  <c r="G25" i="100"/>
  <c r="N5" i="100" s="1"/>
  <c r="G26" i="100"/>
  <c r="G27" i="100"/>
  <c r="G28" i="100"/>
  <c r="G29" i="100"/>
  <c r="G30" i="100"/>
  <c r="G31" i="100"/>
  <c r="I13" i="102"/>
  <c r="E99" i="102"/>
  <c r="F99" i="102" s="1"/>
  <c r="D92" i="100"/>
  <c r="J96" i="100" s="1"/>
  <c r="D93" i="100"/>
  <c r="D94" i="100"/>
  <c r="N5" i="101"/>
  <c r="N6" i="101"/>
  <c r="I13" i="101"/>
  <c r="D13" i="98"/>
  <c r="I14" i="98" s="1"/>
  <c r="D13" i="100"/>
  <c r="B32" i="100"/>
  <c r="F32" i="100"/>
  <c r="G32" i="100" s="1"/>
  <c r="I13" i="94"/>
  <c r="I13" i="93"/>
  <c r="N6" i="83"/>
  <c r="N6" i="89"/>
  <c r="D93" i="18"/>
  <c r="C99" i="18" s="1"/>
  <c r="C100" i="18" s="1"/>
  <c r="C101" i="18" s="1"/>
  <c r="C102" i="18" s="1"/>
  <c r="C103" i="18" s="1"/>
  <c r="C104" i="18" s="1"/>
  <c r="C105" i="18" s="1"/>
  <c r="C106" i="18" s="1"/>
  <c r="C107" i="18" s="1"/>
  <c r="C108" i="18" s="1"/>
  <c r="C109" i="18" s="1"/>
  <c r="C110" i="18" s="1"/>
  <c r="C111" i="18" s="1"/>
  <c r="C112" i="18" s="1"/>
  <c r="C113" i="18" s="1"/>
  <c r="C114" i="18" s="1"/>
  <c r="C115" i="18" s="1"/>
  <c r="C116" i="18" s="1"/>
  <c r="C117" i="18" s="1"/>
  <c r="C118" i="18" s="1"/>
  <c r="C119" i="18" s="1"/>
  <c r="C120" i="18" s="1"/>
  <c r="C121" i="18" s="1"/>
  <c r="C122" i="18" s="1"/>
  <c r="C123" i="18" s="1"/>
  <c r="C124" i="18" s="1"/>
  <c r="C125" i="18" s="1"/>
  <c r="C126" i="18" s="1"/>
  <c r="C127" i="18" s="1"/>
  <c r="C128" i="18" s="1"/>
  <c r="C129" i="18" s="1"/>
  <c r="C130" i="18" s="1"/>
  <c r="C131" i="18" s="1"/>
  <c r="C132" i="18" s="1"/>
  <c r="C133" i="18" s="1"/>
  <c r="C134" i="18" s="1"/>
  <c r="C135" i="18" s="1"/>
  <c r="C136" i="18" s="1"/>
  <c r="C137" i="18" s="1"/>
  <c r="C138" i="18" s="1"/>
  <c r="C139" i="18" s="1"/>
  <c r="C140" i="18" s="1"/>
  <c r="C141" i="18" s="1"/>
  <c r="C142" i="18" s="1"/>
  <c r="C143" i="18" s="1"/>
  <c r="C144" i="18" s="1"/>
  <c r="C145" i="18" s="1"/>
  <c r="C146" i="18" s="1"/>
  <c r="C147" i="18" s="1"/>
  <c r="C148" i="18" s="1"/>
  <c r="C149" i="18" s="1"/>
  <c r="C150" i="18" s="1"/>
  <c r="C151" i="18" s="1"/>
  <c r="C152" i="18" s="1"/>
  <c r="C153" i="18" s="1"/>
  <c r="C154" i="18" s="1"/>
  <c r="O87" i="72"/>
  <c r="N6" i="18"/>
  <c r="N7" i="18" s="1"/>
  <c r="D94" i="18"/>
  <c r="O87" i="73"/>
  <c r="I13" i="31"/>
  <c r="I13" i="30"/>
  <c r="I13" i="29"/>
  <c r="I13" i="28"/>
  <c r="D94" i="56"/>
  <c r="D93" i="17"/>
  <c r="C99" i="17" s="1"/>
  <c r="C100" i="17" s="1"/>
  <c r="C101" i="17" s="1"/>
  <c r="C102" i="17" s="1"/>
  <c r="C103" i="17" s="1"/>
  <c r="C104" i="17" s="1"/>
  <c r="C105" i="17" s="1"/>
  <c r="C106" i="17" s="1"/>
  <c r="C107" i="17" s="1"/>
  <c r="C108" i="17" s="1"/>
  <c r="C109" i="17" s="1"/>
  <c r="C110" i="17" s="1"/>
  <c r="C111" i="17" s="1"/>
  <c r="C112" i="17" s="1"/>
  <c r="C113" i="17" s="1"/>
  <c r="C114" i="17" s="1"/>
  <c r="C115" i="17" s="1"/>
  <c r="C116" i="17" s="1"/>
  <c r="C117" i="17" s="1"/>
  <c r="C118" i="17" s="1"/>
  <c r="C119" i="17" s="1"/>
  <c r="C120" i="17" s="1"/>
  <c r="C121" i="17" s="1"/>
  <c r="C122" i="17" s="1"/>
  <c r="C123" i="17" s="1"/>
  <c r="C124" i="17" s="1"/>
  <c r="C125" i="17" s="1"/>
  <c r="C126" i="17" s="1"/>
  <c r="C127" i="17" s="1"/>
  <c r="C128" i="17" s="1"/>
  <c r="C129" i="17" s="1"/>
  <c r="C130" i="17" s="1"/>
  <c r="C131" i="17" s="1"/>
  <c r="C132" i="17" s="1"/>
  <c r="C133" i="17" s="1"/>
  <c r="C134" i="17" s="1"/>
  <c r="C135" i="17" s="1"/>
  <c r="C136" i="17" s="1"/>
  <c r="C137" i="17" s="1"/>
  <c r="C138" i="17" s="1"/>
  <c r="C139" i="17" s="1"/>
  <c r="C140" i="17" s="1"/>
  <c r="C141" i="17" s="1"/>
  <c r="C142" i="17" s="1"/>
  <c r="C143" i="17" s="1"/>
  <c r="C144" i="17" s="1"/>
  <c r="C145" i="17" s="1"/>
  <c r="C146" i="17" s="1"/>
  <c r="C147" i="17" s="1"/>
  <c r="C148" i="17" s="1"/>
  <c r="C149" i="17" s="1"/>
  <c r="C150" i="17" s="1"/>
  <c r="C151" i="17" s="1"/>
  <c r="C152" i="17" s="1"/>
  <c r="C153" i="17" s="1"/>
  <c r="C154" i="17" s="1"/>
  <c r="I13" i="23"/>
  <c r="N5" i="90"/>
  <c r="N6" i="90"/>
  <c r="D93" i="82"/>
  <c r="C99" i="82" s="1"/>
  <c r="D94" i="90"/>
  <c r="D93" i="28"/>
  <c r="C99" i="28" s="1"/>
  <c r="C100" i="28" s="1"/>
  <c r="C101" i="28" s="1"/>
  <c r="C102" i="28" s="1"/>
  <c r="C103" i="28" s="1"/>
  <c r="C104" i="28" s="1"/>
  <c r="C105" i="28" s="1"/>
  <c r="C106" i="28" s="1"/>
  <c r="C107" i="28" s="1"/>
  <c r="C108" i="28" s="1"/>
  <c r="C109" i="28" s="1"/>
  <c r="C110" i="28" s="1"/>
  <c r="C111" i="28" s="1"/>
  <c r="C112" i="28" s="1"/>
  <c r="C113" i="28" s="1"/>
  <c r="C114" i="28" s="1"/>
  <c r="C115" i="28" s="1"/>
  <c r="C116" i="28" s="1"/>
  <c r="C117" i="28" s="1"/>
  <c r="C118" i="28" s="1"/>
  <c r="C119" i="28" s="1"/>
  <c r="C120" i="28" s="1"/>
  <c r="C121" i="28" s="1"/>
  <c r="C122" i="28" s="1"/>
  <c r="C123" i="28" s="1"/>
  <c r="C124" i="28" s="1"/>
  <c r="C125" i="28" s="1"/>
  <c r="C126" i="28" s="1"/>
  <c r="C127" i="28" s="1"/>
  <c r="C128" i="28" s="1"/>
  <c r="C129" i="28" s="1"/>
  <c r="C130" i="28" s="1"/>
  <c r="C131" i="28" s="1"/>
  <c r="C132" i="28" s="1"/>
  <c r="C133" i="28" s="1"/>
  <c r="C134" i="28" s="1"/>
  <c r="C135" i="28" s="1"/>
  <c r="C136" i="28" s="1"/>
  <c r="C137" i="28" s="1"/>
  <c r="C138" i="28" s="1"/>
  <c r="C139" i="28" s="1"/>
  <c r="C140" i="28" s="1"/>
  <c r="C141" i="28" s="1"/>
  <c r="C142" i="28" s="1"/>
  <c r="C143" i="28" s="1"/>
  <c r="C144" i="28" s="1"/>
  <c r="C145" i="28" s="1"/>
  <c r="C146" i="28" s="1"/>
  <c r="C147" i="28" s="1"/>
  <c r="C148" i="28" s="1"/>
  <c r="C149" i="28" s="1"/>
  <c r="C150" i="28" s="1"/>
  <c r="C151" i="28" s="1"/>
  <c r="C152" i="28" s="1"/>
  <c r="C153" i="28" s="1"/>
  <c r="C154" i="28" s="1"/>
  <c r="D94" i="89"/>
  <c r="N5" i="89"/>
  <c r="C148" i="90"/>
  <c r="C149" i="90" s="1"/>
  <c r="C150" i="90" s="1"/>
  <c r="C151" i="90" s="1"/>
  <c r="C152" i="90" s="1"/>
  <c r="C153" i="90" s="1"/>
  <c r="C154" i="90" s="1"/>
  <c r="D93" i="46"/>
  <c r="C99" i="46" s="1"/>
  <c r="C100" i="46" s="1"/>
  <c r="C101" i="46" s="1"/>
  <c r="C102" i="46" s="1"/>
  <c r="C103" i="46" s="1"/>
  <c r="C104" i="46" s="1"/>
  <c r="C105" i="46" s="1"/>
  <c r="C106" i="46" s="1"/>
  <c r="C107" i="46" s="1"/>
  <c r="C108" i="46" s="1"/>
  <c r="C109" i="46" s="1"/>
  <c r="C110" i="46" s="1"/>
  <c r="C111" i="46" s="1"/>
  <c r="C112" i="46" s="1"/>
  <c r="C113" i="46" s="1"/>
  <c r="C114" i="46" s="1"/>
  <c r="C115" i="46" s="1"/>
  <c r="C116" i="46" s="1"/>
  <c r="C117" i="46" s="1"/>
  <c r="C118" i="46" s="1"/>
  <c r="C119" i="46" s="1"/>
  <c r="C120" i="46" s="1"/>
  <c r="C121" i="46" s="1"/>
  <c r="C122" i="46" s="1"/>
  <c r="C123" i="46" s="1"/>
  <c r="C124" i="46" s="1"/>
  <c r="C125" i="46" s="1"/>
  <c r="C126" i="46" s="1"/>
  <c r="C127" i="46" s="1"/>
  <c r="C128" i="46" s="1"/>
  <c r="C129" i="46" s="1"/>
  <c r="C130" i="46" s="1"/>
  <c r="C131" i="46" s="1"/>
  <c r="C132" i="46" s="1"/>
  <c r="C133" i="46" s="1"/>
  <c r="C134" i="46" s="1"/>
  <c r="C135" i="46" s="1"/>
  <c r="C136" i="46" s="1"/>
  <c r="C137" i="46" s="1"/>
  <c r="C138" i="46" s="1"/>
  <c r="C139" i="46" s="1"/>
  <c r="C140" i="46" s="1"/>
  <c r="C141" i="46" s="1"/>
  <c r="C142" i="46" s="1"/>
  <c r="C143" i="46" s="1"/>
  <c r="C144" i="46" s="1"/>
  <c r="C145" i="46" s="1"/>
  <c r="C146" i="46" s="1"/>
  <c r="C147" i="46" s="1"/>
  <c r="C148" i="46" s="1"/>
  <c r="C149" i="46" s="1"/>
  <c r="C150" i="46" s="1"/>
  <c r="C151" i="46" s="1"/>
  <c r="C152" i="46" s="1"/>
  <c r="C153" i="46" s="1"/>
  <c r="C154" i="46" s="1"/>
  <c r="N6" i="28"/>
  <c r="O87" i="91"/>
  <c r="N5" i="28"/>
  <c r="N6" i="46"/>
  <c r="N5" i="83"/>
  <c r="G21" i="35"/>
  <c r="I21" i="35" s="1"/>
  <c r="D94" i="83"/>
  <c r="D93" i="75"/>
  <c r="C99" i="75" s="1"/>
  <c r="C100" i="75" s="1"/>
  <c r="C101" i="75" s="1"/>
  <c r="C102" i="75" s="1"/>
  <c r="C103" i="75" s="1"/>
  <c r="C104" i="75" s="1"/>
  <c r="C105" i="75" s="1"/>
  <c r="C106" i="75" s="1"/>
  <c r="C107" i="75" s="1"/>
  <c r="C108" i="75" s="1"/>
  <c r="C109" i="75" s="1"/>
  <c r="C110" i="75" s="1"/>
  <c r="C111" i="75" s="1"/>
  <c r="C112" i="75" s="1"/>
  <c r="C113" i="75" s="1"/>
  <c r="C114" i="75" s="1"/>
  <c r="C115" i="75" s="1"/>
  <c r="C116" i="75" s="1"/>
  <c r="C117" i="75" s="1"/>
  <c r="C118" i="75" s="1"/>
  <c r="C119" i="75" s="1"/>
  <c r="C120" i="75" s="1"/>
  <c r="C121" i="75" s="1"/>
  <c r="C122" i="75" s="1"/>
  <c r="C123" i="75" s="1"/>
  <c r="C124" i="75" s="1"/>
  <c r="C125" i="75" s="1"/>
  <c r="C126" i="75" s="1"/>
  <c r="C127" i="75" s="1"/>
  <c r="C128" i="75" s="1"/>
  <c r="C129" i="75" s="1"/>
  <c r="C130" i="75" s="1"/>
  <c r="C131" i="75" s="1"/>
  <c r="C132" i="75" s="1"/>
  <c r="C133" i="75" s="1"/>
  <c r="C134" i="75" s="1"/>
  <c r="C135" i="75" s="1"/>
  <c r="C136" i="75" s="1"/>
  <c r="C137" i="75" s="1"/>
  <c r="C138" i="75" s="1"/>
  <c r="C139" i="75" s="1"/>
  <c r="C140" i="75" s="1"/>
  <c r="C141" i="75" s="1"/>
  <c r="C142" i="75" s="1"/>
  <c r="C143" i="75" s="1"/>
  <c r="C144" i="75" s="1"/>
  <c r="C145" i="75" s="1"/>
  <c r="C146" i="75" s="1"/>
  <c r="C147" i="75" s="1"/>
  <c r="C148" i="75" s="1"/>
  <c r="C149" i="75" s="1"/>
  <c r="C150" i="75" s="1"/>
  <c r="C151" i="75" s="1"/>
  <c r="C152" i="75" s="1"/>
  <c r="C153" i="75" s="1"/>
  <c r="C154" i="75" s="1"/>
  <c r="I13" i="19"/>
  <c r="H17" i="33"/>
  <c r="H17" i="26"/>
  <c r="N17" i="26" s="1"/>
  <c r="G17" i="26"/>
  <c r="L17" i="26" s="1"/>
  <c r="I13" i="18"/>
  <c r="N6" i="31"/>
  <c r="N7" i="31" s="1"/>
  <c r="F20" i="1"/>
  <c r="E32" i="1" s="1"/>
  <c r="D92" i="43"/>
  <c r="B107" i="43" s="1"/>
  <c r="N6" i="92"/>
  <c r="D18" i="33"/>
  <c r="G17" i="33"/>
  <c r="G17" i="25"/>
  <c r="M87" i="78"/>
  <c r="O87" i="78" s="1"/>
  <c r="N5" i="34"/>
  <c r="E18" i="25"/>
  <c r="F18" i="25" s="1"/>
  <c r="G18" i="25" s="1"/>
  <c r="H17" i="25"/>
  <c r="E18" i="26"/>
  <c r="F18" i="26" s="1"/>
  <c r="H18" i="26" s="1"/>
  <c r="C99" i="13"/>
  <c r="C100" i="13" s="1"/>
  <c r="C101" i="13" s="1"/>
  <c r="C102" i="13" s="1"/>
  <c r="C103" i="13" s="1"/>
  <c r="C104" i="13" s="1"/>
  <c r="C105" i="13" s="1"/>
  <c r="C106" i="13" s="1"/>
  <c r="C107" i="13" s="1"/>
  <c r="C108" i="13" s="1"/>
  <c r="C109" i="13" s="1"/>
  <c r="C110" i="13" s="1"/>
  <c r="C111" i="13" s="1"/>
  <c r="C112" i="13" s="1"/>
  <c r="C113" i="13" s="1"/>
  <c r="C114" i="13" s="1"/>
  <c r="C115" i="13" s="1"/>
  <c r="C116" i="13" s="1"/>
  <c r="C117" i="13" s="1"/>
  <c r="C118" i="13" s="1"/>
  <c r="C119" i="13" s="1"/>
  <c r="C120" i="13" s="1"/>
  <c r="C121" i="13" s="1"/>
  <c r="C122" i="13" s="1"/>
  <c r="C123" i="13" s="1"/>
  <c r="C124" i="13" s="1"/>
  <c r="C125" i="13" s="1"/>
  <c r="C126" i="13" s="1"/>
  <c r="C127" i="13" s="1"/>
  <c r="C128" i="13" s="1"/>
  <c r="C129" i="13" s="1"/>
  <c r="C130" i="13" s="1"/>
  <c r="C131" i="13" s="1"/>
  <c r="C132" i="13" s="1"/>
  <c r="C133" i="13" s="1"/>
  <c r="C134" i="13" s="1"/>
  <c r="C135" i="13" s="1"/>
  <c r="C136" i="13" s="1"/>
  <c r="C137" i="13" s="1"/>
  <c r="C138" i="13" s="1"/>
  <c r="C139" i="13" s="1"/>
  <c r="C140" i="13" s="1"/>
  <c r="C141" i="13" s="1"/>
  <c r="C142" i="13" s="1"/>
  <c r="C143" i="13" s="1"/>
  <c r="C144" i="13" s="1"/>
  <c r="C145" i="13" s="1"/>
  <c r="C146" i="13" s="1"/>
  <c r="C147" i="13" s="1"/>
  <c r="C148" i="13" s="1"/>
  <c r="C149" i="13" s="1"/>
  <c r="C150" i="13" s="1"/>
  <c r="C151" i="13" s="1"/>
  <c r="C152" i="13" s="1"/>
  <c r="C153" i="13" s="1"/>
  <c r="C154" i="13" s="1"/>
  <c r="D93" i="33"/>
  <c r="C99" i="33" s="1"/>
  <c r="C100" i="33" s="1"/>
  <c r="C101" i="33" s="1"/>
  <c r="C102" i="33" s="1"/>
  <c r="C103" i="33" s="1"/>
  <c r="C104" i="33" s="1"/>
  <c r="C105" i="33" s="1"/>
  <c r="C106" i="33" s="1"/>
  <c r="C107" i="33" s="1"/>
  <c r="C108" i="33" s="1"/>
  <c r="C109" i="33" s="1"/>
  <c r="C110" i="33" s="1"/>
  <c r="C111" i="33" s="1"/>
  <c r="C112" i="33" s="1"/>
  <c r="C113" i="33" s="1"/>
  <c r="C114" i="33" s="1"/>
  <c r="C115" i="33" s="1"/>
  <c r="C116" i="33" s="1"/>
  <c r="C117" i="33" s="1"/>
  <c r="C118" i="33" s="1"/>
  <c r="C119" i="33" s="1"/>
  <c r="C120" i="33" s="1"/>
  <c r="C121" i="33" s="1"/>
  <c r="C122" i="33" s="1"/>
  <c r="C123" i="33" s="1"/>
  <c r="C124" i="33" s="1"/>
  <c r="C125" i="33" s="1"/>
  <c r="C126" i="33" s="1"/>
  <c r="C127" i="33" s="1"/>
  <c r="C128" i="33" s="1"/>
  <c r="C129" i="33" s="1"/>
  <c r="C130" i="33" s="1"/>
  <c r="C131" i="33" s="1"/>
  <c r="C132" i="33" s="1"/>
  <c r="C133" i="33" s="1"/>
  <c r="C134" i="33" s="1"/>
  <c r="C135" i="33" s="1"/>
  <c r="C136" i="33" s="1"/>
  <c r="C137" i="33" s="1"/>
  <c r="C138" i="33" s="1"/>
  <c r="C139" i="33" s="1"/>
  <c r="C140" i="33" s="1"/>
  <c r="C141" i="33" s="1"/>
  <c r="C142" i="33" s="1"/>
  <c r="C143" i="33" s="1"/>
  <c r="C144" i="33" s="1"/>
  <c r="C145" i="33" s="1"/>
  <c r="C146" i="33" s="1"/>
  <c r="C147" i="33" s="1"/>
  <c r="C148" i="33" s="1"/>
  <c r="C149" i="33" s="1"/>
  <c r="C150" i="33" s="1"/>
  <c r="C151" i="33" s="1"/>
  <c r="C152" i="33" s="1"/>
  <c r="C153" i="33" s="1"/>
  <c r="C154" i="33" s="1"/>
  <c r="D93" i="85"/>
  <c r="C99" i="85" s="1"/>
  <c r="C100" i="85" s="1"/>
  <c r="C101" i="85" s="1"/>
  <c r="C102" i="85" s="1"/>
  <c r="C103" i="85" s="1"/>
  <c r="C104" i="85" s="1"/>
  <c r="C105" i="85" s="1"/>
  <c r="C106" i="85" s="1"/>
  <c r="C107" i="85" s="1"/>
  <c r="C108" i="85" s="1"/>
  <c r="C109" i="85" s="1"/>
  <c r="C110" i="85" s="1"/>
  <c r="C111" i="85" s="1"/>
  <c r="C112" i="85" s="1"/>
  <c r="C113" i="85" s="1"/>
  <c r="C114" i="85" s="1"/>
  <c r="C115" i="85" s="1"/>
  <c r="C116" i="85" s="1"/>
  <c r="C117" i="85" s="1"/>
  <c r="C118" i="85" s="1"/>
  <c r="C119" i="85" s="1"/>
  <c r="C120" i="85" s="1"/>
  <c r="C121" i="85" s="1"/>
  <c r="C122" i="85" s="1"/>
  <c r="C123" i="85" s="1"/>
  <c r="C124" i="85" s="1"/>
  <c r="C125" i="85" s="1"/>
  <c r="C126" i="85" s="1"/>
  <c r="C127" i="85" s="1"/>
  <c r="C128" i="85" s="1"/>
  <c r="C129" i="85" s="1"/>
  <c r="C130" i="85" s="1"/>
  <c r="C131" i="85" s="1"/>
  <c r="C132" i="85" s="1"/>
  <c r="C133" i="85" s="1"/>
  <c r="C134" i="85" s="1"/>
  <c r="C135" i="85" s="1"/>
  <c r="C136" i="85" s="1"/>
  <c r="C137" i="85" s="1"/>
  <c r="C138" i="85" s="1"/>
  <c r="C139" i="85" s="1"/>
  <c r="C140" i="85" s="1"/>
  <c r="C141" i="85" s="1"/>
  <c r="C142" i="85" s="1"/>
  <c r="C143" i="85" s="1"/>
  <c r="C144" i="85" s="1"/>
  <c r="C145" i="85" s="1"/>
  <c r="C146" i="85" s="1"/>
  <c r="C147" i="85" s="1"/>
  <c r="C148" i="85" s="1"/>
  <c r="C149" i="85" s="1"/>
  <c r="C150" i="85" s="1"/>
  <c r="C151" i="85" s="1"/>
  <c r="C152" i="85" s="1"/>
  <c r="C153" i="85" s="1"/>
  <c r="C154" i="85" s="1"/>
  <c r="D94" i="35"/>
  <c r="D94" i="92"/>
  <c r="N6" i="85"/>
  <c r="D13" i="13"/>
  <c r="I14" i="13" s="1"/>
  <c r="E17" i="13" s="1"/>
  <c r="F17" i="13" s="1"/>
  <c r="H17" i="13" s="1"/>
  <c r="M17" i="13" s="1"/>
  <c r="C100" i="35"/>
  <c r="C101" i="35" s="1"/>
  <c r="C102" i="35" s="1"/>
  <c r="C103" i="35" s="1"/>
  <c r="C104" i="35" s="1"/>
  <c r="C105" i="35" s="1"/>
  <c r="C106" i="35" s="1"/>
  <c r="C107" i="35" s="1"/>
  <c r="C108" i="35" s="1"/>
  <c r="C109" i="35" s="1"/>
  <c r="C110" i="35" s="1"/>
  <c r="C111" i="35" s="1"/>
  <c r="C112" i="35" s="1"/>
  <c r="C113" i="35" s="1"/>
  <c r="C114" i="35" s="1"/>
  <c r="C115" i="35" s="1"/>
  <c r="C116" i="35" s="1"/>
  <c r="C117" i="35" s="1"/>
  <c r="C118" i="35" s="1"/>
  <c r="C119" i="35" s="1"/>
  <c r="C120" i="35" s="1"/>
  <c r="C121" i="35" s="1"/>
  <c r="C122" i="35" s="1"/>
  <c r="C123" i="35" s="1"/>
  <c r="C124" i="35" s="1"/>
  <c r="C125" i="35" s="1"/>
  <c r="C126" i="35" s="1"/>
  <c r="C127" i="35" s="1"/>
  <c r="C128" i="35" s="1"/>
  <c r="C129" i="35" s="1"/>
  <c r="C130" i="35" s="1"/>
  <c r="C131" i="35" s="1"/>
  <c r="C132" i="35" s="1"/>
  <c r="C133" i="35" s="1"/>
  <c r="C134" i="35" s="1"/>
  <c r="C135" i="35" s="1"/>
  <c r="C136" i="35" s="1"/>
  <c r="C137" i="35" s="1"/>
  <c r="C138" i="35" s="1"/>
  <c r="C139" i="35" s="1"/>
  <c r="C140" i="35" s="1"/>
  <c r="C141" i="35" s="1"/>
  <c r="C142" i="35" s="1"/>
  <c r="C143" i="35" s="1"/>
  <c r="C144" i="35" s="1"/>
  <c r="C145" i="35" s="1"/>
  <c r="C146" i="35" s="1"/>
  <c r="C147" i="35" s="1"/>
  <c r="C148" i="35" s="1"/>
  <c r="C149" i="35" s="1"/>
  <c r="C150" i="35" s="1"/>
  <c r="C151" i="35" s="1"/>
  <c r="C152" i="35" s="1"/>
  <c r="C153" i="35" s="1"/>
  <c r="C154" i="35" s="1"/>
  <c r="N5" i="85"/>
  <c r="D92" i="33"/>
  <c r="J96" i="33" s="1"/>
  <c r="E99" i="33" s="1"/>
  <c r="M87" i="32"/>
  <c r="L86" i="19"/>
  <c r="L86" i="81"/>
  <c r="L86" i="41"/>
  <c r="L86" i="53"/>
  <c r="M87" i="41"/>
  <c r="O87" i="41" s="1"/>
  <c r="D13" i="63"/>
  <c r="I14" i="63" s="1"/>
  <c r="D13" i="83"/>
  <c r="I14" i="83" s="1"/>
  <c r="D13" i="71"/>
  <c r="I14" i="71" s="1"/>
  <c r="D13" i="64"/>
  <c r="I14" i="64" s="1"/>
  <c r="D13" i="92"/>
  <c r="I14" i="92" s="1"/>
  <c r="D13" i="43"/>
  <c r="I14" i="43" s="1"/>
  <c r="D13" i="87"/>
  <c r="I14" i="87" s="1"/>
  <c r="D13" i="26"/>
  <c r="D13" i="88"/>
  <c r="I14" i="88" s="1"/>
  <c r="N87" i="31"/>
  <c r="N87" i="58"/>
  <c r="O87" i="58" s="1"/>
  <c r="D93" i="77"/>
  <c r="C99" i="77" s="1"/>
  <c r="C100" i="77" s="1"/>
  <c r="C101" i="77" s="1"/>
  <c r="C102" i="77" s="1"/>
  <c r="C103" i="77" s="1"/>
  <c r="C104" i="77" s="1"/>
  <c r="C105" i="77" s="1"/>
  <c r="C106" i="77" s="1"/>
  <c r="C107" i="77" s="1"/>
  <c r="C108" i="77" s="1"/>
  <c r="C109" i="77" s="1"/>
  <c r="C110" i="77" s="1"/>
  <c r="C111" i="77" s="1"/>
  <c r="C112" i="77" s="1"/>
  <c r="C113" i="77" s="1"/>
  <c r="C114" i="77" s="1"/>
  <c r="C115" i="77" s="1"/>
  <c r="C116" i="77" s="1"/>
  <c r="C117" i="77" s="1"/>
  <c r="C118" i="77" s="1"/>
  <c r="C119" i="77" s="1"/>
  <c r="C120" i="77" s="1"/>
  <c r="C121" i="77" s="1"/>
  <c r="C122" i="77" s="1"/>
  <c r="C123" i="77" s="1"/>
  <c r="C124" i="77" s="1"/>
  <c r="C125" i="77" s="1"/>
  <c r="C126" i="77" s="1"/>
  <c r="C127" i="77" s="1"/>
  <c r="C128" i="77" s="1"/>
  <c r="C129" i="77" s="1"/>
  <c r="C130" i="77" s="1"/>
  <c r="C131" i="77" s="1"/>
  <c r="C132" i="77" s="1"/>
  <c r="C133" i="77" s="1"/>
  <c r="C134" i="77" s="1"/>
  <c r="C135" i="77" s="1"/>
  <c r="C136" i="77" s="1"/>
  <c r="C137" i="77" s="1"/>
  <c r="C138" i="77" s="1"/>
  <c r="C139" i="77" s="1"/>
  <c r="C140" i="77" s="1"/>
  <c r="C141" i="77" s="1"/>
  <c r="C142" i="77" s="1"/>
  <c r="C143" i="77" s="1"/>
  <c r="C144" i="77" s="1"/>
  <c r="C145" i="77" s="1"/>
  <c r="C146" i="77" s="1"/>
  <c r="C147" i="77" s="1"/>
  <c r="C148" i="77" s="1"/>
  <c r="C149" i="77" s="1"/>
  <c r="C150" i="77" s="1"/>
  <c r="C151" i="77" s="1"/>
  <c r="C152" i="77" s="1"/>
  <c r="C153" i="77" s="1"/>
  <c r="C154" i="77" s="1"/>
  <c r="N6" i="77"/>
  <c r="N5" i="75"/>
  <c r="N5" i="96"/>
  <c r="N7" i="96" s="1"/>
  <c r="N5" i="69"/>
  <c r="N7" i="69" s="1"/>
  <c r="N6" i="75"/>
  <c r="N5" i="95"/>
  <c r="N7" i="95" s="1"/>
  <c r="D94" i="23"/>
  <c r="N5" i="23"/>
  <c r="D93" i="56"/>
  <c r="C99" i="56" s="1"/>
  <c r="C100" i="56" s="1"/>
  <c r="C101" i="56" s="1"/>
  <c r="C102" i="56" s="1"/>
  <c r="C103" i="56" s="1"/>
  <c r="C104" i="56" s="1"/>
  <c r="C105" i="56" s="1"/>
  <c r="C106" i="56" s="1"/>
  <c r="C107" i="56" s="1"/>
  <c r="C108" i="56" s="1"/>
  <c r="C109" i="56" s="1"/>
  <c r="C110" i="56" s="1"/>
  <c r="C111" i="56" s="1"/>
  <c r="C112" i="56" s="1"/>
  <c r="C113" i="56" s="1"/>
  <c r="C114" i="56" s="1"/>
  <c r="C115" i="56" s="1"/>
  <c r="C116" i="56" s="1"/>
  <c r="C117" i="56" s="1"/>
  <c r="C118" i="56" s="1"/>
  <c r="C119" i="56" s="1"/>
  <c r="C120" i="56" s="1"/>
  <c r="C121" i="56" s="1"/>
  <c r="C122" i="56" s="1"/>
  <c r="C123" i="56" s="1"/>
  <c r="C124" i="56" s="1"/>
  <c r="C125" i="56" s="1"/>
  <c r="C126" i="56" s="1"/>
  <c r="C127" i="56" s="1"/>
  <c r="C128" i="56" s="1"/>
  <c r="C129" i="56" s="1"/>
  <c r="C130" i="56" s="1"/>
  <c r="C131" i="56" s="1"/>
  <c r="C132" i="56" s="1"/>
  <c r="C133" i="56" s="1"/>
  <c r="C134" i="56" s="1"/>
  <c r="C135" i="56" s="1"/>
  <c r="C136" i="56" s="1"/>
  <c r="C137" i="56" s="1"/>
  <c r="C138" i="56" s="1"/>
  <c r="C139" i="56" s="1"/>
  <c r="C140" i="56" s="1"/>
  <c r="C141" i="56" s="1"/>
  <c r="C142" i="56" s="1"/>
  <c r="C143" i="56" s="1"/>
  <c r="C144" i="56" s="1"/>
  <c r="C145" i="56" s="1"/>
  <c r="C146" i="56" s="1"/>
  <c r="C147" i="56" s="1"/>
  <c r="C148" i="56" s="1"/>
  <c r="C149" i="56" s="1"/>
  <c r="C150" i="56" s="1"/>
  <c r="C151" i="56" s="1"/>
  <c r="C152" i="56" s="1"/>
  <c r="C153" i="56" s="1"/>
  <c r="C154" i="56" s="1"/>
  <c r="N6" i="56"/>
  <c r="D13" i="58"/>
  <c r="I14" i="58" s="1"/>
  <c r="D13" i="62"/>
  <c r="I14" i="62" s="1"/>
  <c r="D13" i="34"/>
  <c r="I14" i="34" s="1"/>
  <c r="D13" i="28"/>
  <c r="I14" i="28" s="1"/>
  <c r="K33" i="28" s="1"/>
  <c r="L33" i="28" s="1"/>
  <c r="D13" i="97"/>
  <c r="I14" i="97" s="1"/>
  <c r="D13" i="91"/>
  <c r="I14" i="91" s="1"/>
  <c r="D13" i="44"/>
  <c r="I14" i="44" s="1"/>
  <c r="D13" i="23"/>
  <c r="I14" i="23" s="1"/>
  <c r="K31" i="23" s="1"/>
  <c r="L31" i="23" s="1"/>
  <c r="D13" i="89"/>
  <c r="I14" i="89" s="1"/>
  <c r="D13" i="56"/>
  <c r="I14" i="56" s="1"/>
  <c r="D13" i="68"/>
  <c r="I14" i="68" s="1"/>
  <c r="D13" i="31"/>
  <c r="I14" i="31" s="1"/>
  <c r="D13" i="81"/>
  <c r="I14" i="81" s="1"/>
  <c r="D13" i="84"/>
  <c r="I14" i="84" s="1"/>
  <c r="D13" i="27"/>
  <c r="I14" i="27" s="1"/>
  <c r="D13" i="46"/>
  <c r="I14" i="46" s="1"/>
  <c r="D13" i="61"/>
  <c r="I14" i="61" s="1"/>
  <c r="D13" i="73"/>
  <c r="I14" i="73" s="1"/>
  <c r="D13" i="25"/>
  <c r="D13" i="65"/>
  <c r="I14" i="65" s="1"/>
  <c r="D13" i="79"/>
  <c r="I14" i="79" s="1"/>
  <c r="D13" i="90"/>
  <c r="I14" i="90" s="1"/>
  <c r="D13" i="72"/>
  <c r="I14" i="72" s="1"/>
  <c r="D13" i="96"/>
  <c r="I14" i="96" s="1"/>
  <c r="D13" i="39"/>
  <c r="I14" i="39" s="1"/>
  <c r="D13" i="74"/>
  <c r="I14" i="74" s="1"/>
  <c r="D13" i="35"/>
  <c r="D13" i="99"/>
  <c r="I14" i="99" s="1"/>
  <c r="D13" i="3"/>
  <c r="I14" i="3" s="1"/>
  <c r="K30" i="3" s="1"/>
  <c r="L30" i="3" s="1"/>
  <c r="D13" i="57"/>
  <c r="I14" i="57" s="1"/>
  <c r="D13" i="42"/>
  <c r="I14" i="42" s="1"/>
  <c r="D13" i="22"/>
  <c r="I14" i="22" s="1"/>
  <c r="D13" i="29"/>
  <c r="I14" i="29" s="1"/>
  <c r="K32" i="29" s="1"/>
  <c r="L32" i="29" s="1"/>
  <c r="D13" i="54"/>
  <c r="I14" i="54" s="1"/>
  <c r="D13" i="75"/>
  <c r="I14" i="75" s="1"/>
  <c r="D13" i="94"/>
  <c r="I14" i="94" s="1"/>
  <c r="D13" i="80"/>
  <c r="I14" i="80" s="1"/>
  <c r="D13" i="59"/>
  <c r="I14" i="59" s="1"/>
  <c r="D13" i="93"/>
  <c r="I14" i="93" s="1"/>
  <c r="D13" i="55"/>
  <c r="I14" i="55" s="1"/>
  <c r="D13" i="77"/>
  <c r="I14" i="77" s="1"/>
  <c r="D13" i="82"/>
  <c r="I14" i="82" s="1"/>
  <c r="D13" i="85"/>
  <c r="I14" i="85" s="1"/>
  <c r="D13" i="20"/>
  <c r="I14" i="20" s="1"/>
  <c r="D13" i="76"/>
  <c r="I14" i="76" s="1"/>
  <c r="D13" i="30"/>
  <c r="I14" i="30" s="1"/>
  <c r="K32" i="30" s="1"/>
  <c r="D13" i="60"/>
  <c r="I14" i="60" s="1"/>
  <c r="D13" i="32"/>
  <c r="I14" i="32" s="1"/>
  <c r="D13" i="66"/>
  <c r="I14" i="66" s="1"/>
  <c r="D13" i="53"/>
  <c r="I14" i="53" s="1"/>
  <c r="D13" i="21"/>
  <c r="I14" i="21" s="1"/>
  <c r="D13" i="19"/>
  <c r="I14" i="19" s="1"/>
  <c r="K30" i="19" s="1"/>
  <c r="L30" i="19" s="1"/>
  <c r="D13" i="24"/>
  <c r="I14" i="24" s="1"/>
  <c r="D13" i="69"/>
  <c r="I14" i="69" s="1"/>
  <c r="D13" i="67"/>
  <c r="I14" i="67" s="1"/>
  <c r="B23" i="67" s="1"/>
  <c r="D13" i="86"/>
  <c r="I14" i="86" s="1"/>
  <c r="D13" i="95"/>
  <c r="I14" i="95" s="1"/>
  <c r="D13" i="45"/>
  <c r="I14" i="45" s="1"/>
  <c r="D13" i="17"/>
  <c r="I14" i="17" s="1"/>
  <c r="K30" i="17" s="1"/>
  <c r="L30" i="17" s="1"/>
  <c r="D13" i="78"/>
  <c r="I14" i="78" s="1"/>
  <c r="D13" i="41"/>
  <c r="I14" i="41" s="1"/>
  <c r="D13" i="33"/>
  <c r="D13" i="70"/>
  <c r="I14" i="70" s="1"/>
  <c r="D13" i="18"/>
  <c r="I14" i="18" s="1"/>
  <c r="K30" i="18" s="1"/>
  <c r="L86" i="45"/>
  <c r="M87" i="31"/>
  <c r="N87" i="32"/>
  <c r="M87" i="81"/>
  <c r="O87" i="81" s="1"/>
  <c r="M87" i="53"/>
  <c r="O87" i="53" s="1"/>
  <c r="N87" i="76"/>
  <c r="L86" i="86"/>
  <c r="M87" i="76"/>
  <c r="M87" i="85"/>
  <c r="M87" i="21"/>
  <c r="O87" i="21" s="1"/>
  <c r="M87" i="26"/>
  <c r="O87" i="26" s="1"/>
  <c r="N87" i="45"/>
  <c r="O87" i="45" s="1"/>
  <c r="L86" i="26"/>
  <c r="N87" i="85"/>
  <c r="I13" i="97"/>
  <c r="I13" i="99"/>
  <c r="I13" i="98"/>
  <c r="N6" i="43"/>
  <c r="D93" i="87"/>
  <c r="C99" i="87" s="1"/>
  <c r="C100" i="87" s="1"/>
  <c r="C101" i="87" s="1"/>
  <c r="C102" i="87" s="1"/>
  <c r="C103" i="87" s="1"/>
  <c r="C104" i="87" s="1"/>
  <c r="C105" i="87" s="1"/>
  <c r="C106" i="87" s="1"/>
  <c r="C107" i="87" s="1"/>
  <c r="C108" i="87" s="1"/>
  <c r="C109" i="87" s="1"/>
  <c r="C110" i="87" s="1"/>
  <c r="C111" i="87" s="1"/>
  <c r="C112" i="87" s="1"/>
  <c r="C113" i="87" s="1"/>
  <c r="C114" i="87" s="1"/>
  <c r="C115" i="87" s="1"/>
  <c r="C116" i="87" s="1"/>
  <c r="C117" i="87" s="1"/>
  <c r="C118" i="87" s="1"/>
  <c r="C119" i="87" s="1"/>
  <c r="C120" i="87" s="1"/>
  <c r="C121" i="87" s="1"/>
  <c r="C122" i="87" s="1"/>
  <c r="C123" i="87" s="1"/>
  <c r="C124" i="87" s="1"/>
  <c r="C125" i="87" s="1"/>
  <c r="C126" i="87" s="1"/>
  <c r="C127" i="87" s="1"/>
  <c r="C128" i="87" s="1"/>
  <c r="C129" i="87" s="1"/>
  <c r="C130" i="87" s="1"/>
  <c r="C131" i="87" s="1"/>
  <c r="C132" i="87" s="1"/>
  <c r="C133" i="87" s="1"/>
  <c r="C134" i="87" s="1"/>
  <c r="C135" i="87" s="1"/>
  <c r="C136" i="87" s="1"/>
  <c r="C137" i="87" s="1"/>
  <c r="C138" i="87" s="1"/>
  <c r="C139" i="87" s="1"/>
  <c r="C140" i="87" s="1"/>
  <c r="C141" i="87" s="1"/>
  <c r="C142" i="87" s="1"/>
  <c r="C143" i="87" s="1"/>
  <c r="C144" i="87" s="1"/>
  <c r="C145" i="87" s="1"/>
  <c r="C146" i="87" s="1"/>
  <c r="C147" i="87" s="1"/>
  <c r="C148" i="87" s="1"/>
  <c r="C149" i="87" s="1"/>
  <c r="C150" i="87" s="1"/>
  <c r="C151" i="87" s="1"/>
  <c r="C152" i="87" s="1"/>
  <c r="C153" i="87" s="1"/>
  <c r="C154" i="87" s="1"/>
  <c r="N5" i="97"/>
  <c r="N6" i="97"/>
  <c r="D93" i="43"/>
  <c r="N5" i="99"/>
  <c r="N6" i="99"/>
  <c r="N5" i="98"/>
  <c r="N6" i="98"/>
  <c r="D93" i="20"/>
  <c r="C99" i="20" s="1"/>
  <c r="C100" i="20" s="1"/>
  <c r="C101" i="20" s="1"/>
  <c r="C102" i="20" s="1"/>
  <c r="C103" i="20" s="1"/>
  <c r="C104" i="20" s="1"/>
  <c r="C105" i="20" s="1"/>
  <c r="C106" i="20" s="1"/>
  <c r="C107" i="20" s="1"/>
  <c r="C108" i="20" s="1"/>
  <c r="C109" i="20" s="1"/>
  <c r="C110" i="20" s="1"/>
  <c r="C111" i="20" s="1"/>
  <c r="C112" i="20" s="1"/>
  <c r="C113" i="20" s="1"/>
  <c r="C114" i="20" s="1"/>
  <c r="C115" i="20" s="1"/>
  <c r="C116" i="20" s="1"/>
  <c r="C117" i="20" s="1"/>
  <c r="C118" i="20" s="1"/>
  <c r="C119" i="20" s="1"/>
  <c r="C120" i="20" s="1"/>
  <c r="C121" i="20" s="1"/>
  <c r="C122" i="20" s="1"/>
  <c r="C123" i="20" s="1"/>
  <c r="C124" i="20" s="1"/>
  <c r="C125" i="20" s="1"/>
  <c r="C126" i="20" s="1"/>
  <c r="C127" i="20" s="1"/>
  <c r="C128" i="20" s="1"/>
  <c r="C129" i="20" s="1"/>
  <c r="C130" i="20" s="1"/>
  <c r="C131" i="20" s="1"/>
  <c r="C132" i="20" s="1"/>
  <c r="C133" i="20" s="1"/>
  <c r="C134" i="20" s="1"/>
  <c r="C135" i="20" s="1"/>
  <c r="C136" i="20" s="1"/>
  <c r="C137" i="20" s="1"/>
  <c r="C138" i="20" s="1"/>
  <c r="C139" i="20" s="1"/>
  <c r="C140" i="20" s="1"/>
  <c r="C141" i="20" s="1"/>
  <c r="C142" i="20" s="1"/>
  <c r="C143" i="20" s="1"/>
  <c r="C144" i="20" s="1"/>
  <c r="C145" i="20" s="1"/>
  <c r="C146" i="20" s="1"/>
  <c r="C147" i="20" s="1"/>
  <c r="C148" i="20" s="1"/>
  <c r="C149" i="20" s="1"/>
  <c r="C150" i="20" s="1"/>
  <c r="C151" i="20" s="1"/>
  <c r="C152" i="20" s="1"/>
  <c r="C153" i="20" s="1"/>
  <c r="C154" i="20" s="1"/>
  <c r="D94" i="20"/>
  <c r="N87" i="59"/>
  <c r="L86" i="71"/>
  <c r="M87" i="60"/>
  <c r="L86" i="58"/>
  <c r="F20" i="2"/>
  <c r="E25" i="2" s="1"/>
  <c r="E26" i="2" s="1"/>
  <c r="L86" i="63"/>
  <c r="J95" i="97"/>
  <c r="J95" i="98"/>
  <c r="J95" i="99"/>
  <c r="B21" i="86"/>
  <c r="B21" i="90"/>
  <c r="B21" i="88"/>
  <c r="B29" i="31"/>
  <c r="N87" i="64"/>
  <c r="O87" i="80"/>
  <c r="M87" i="71"/>
  <c r="O87" i="71" s="1"/>
  <c r="M87" i="34"/>
  <c r="O87" i="34" s="1"/>
  <c r="L86" i="56"/>
  <c r="N87" i="56"/>
  <c r="O87" i="56" s="1"/>
  <c r="L86" i="20"/>
  <c r="N87" i="86"/>
  <c r="O87" i="86" s="1"/>
  <c r="M87" i="54"/>
  <c r="O87" i="54" s="1"/>
  <c r="L86" i="23"/>
  <c r="M87" i="75"/>
  <c r="O87" i="75" s="1"/>
  <c r="M87" i="20"/>
  <c r="O87" i="20" s="1"/>
  <c r="N87" i="33"/>
  <c r="N87" i="67"/>
  <c r="M87" i="69"/>
  <c r="O87" i="69" s="1"/>
  <c r="L86" i="78"/>
  <c r="M87" i="59"/>
  <c r="M87" i="63"/>
  <c r="O87" i="63" s="1"/>
  <c r="L86" i="21"/>
  <c r="L86" i="61"/>
  <c r="L86" i="57"/>
  <c r="L86" i="82"/>
  <c r="N87" i="82"/>
  <c r="O87" i="82" s="1"/>
  <c r="M87" i="64"/>
  <c r="N87" i="57"/>
  <c r="O87" i="57" s="1"/>
  <c r="N87" i="65"/>
  <c r="M87" i="65"/>
  <c r="N5" i="64"/>
  <c r="N5" i="65"/>
  <c r="D94" i="67"/>
  <c r="D93" i="67"/>
  <c r="C99" i="67" s="1"/>
  <c r="C100" i="67" s="1"/>
  <c r="C101" i="67" s="1"/>
  <c r="C102" i="67" s="1"/>
  <c r="C103" i="67" s="1"/>
  <c r="C104" i="67" s="1"/>
  <c r="C105" i="67" s="1"/>
  <c r="C106" i="67" s="1"/>
  <c r="C107" i="67" s="1"/>
  <c r="C108" i="67" s="1"/>
  <c r="C109" i="67" s="1"/>
  <c r="C110" i="67" s="1"/>
  <c r="C111" i="67" s="1"/>
  <c r="C112" i="67" s="1"/>
  <c r="C113" i="67" s="1"/>
  <c r="C114" i="67" s="1"/>
  <c r="C115" i="67" s="1"/>
  <c r="C116" i="67" s="1"/>
  <c r="C117" i="67" s="1"/>
  <c r="C118" i="67" s="1"/>
  <c r="C119" i="67" s="1"/>
  <c r="C120" i="67" s="1"/>
  <c r="C121" i="67" s="1"/>
  <c r="C122" i="67" s="1"/>
  <c r="C123" i="67" s="1"/>
  <c r="C124" i="67" s="1"/>
  <c r="C125" i="67" s="1"/>
  <c r="C126" i="67" s="1"/>
  <c r="C127" i="67" s="1"/>
  <c r="C128" i="67" s="1"/>
  <c r="C129" i="67" s="1"/>
  <c r="C130" i="67" s="1"/>
  <c r="C131" i="67" s="1"/>
  <c r="C132" i="67" s="1"/>
  <c r="C133" i="67" s="1"/>
  <c r="C134" i="67" s="1"/>
  <c r="C135" i="67" s="1"/>
  <c r="C136" i="67" s="1"/>
  <c r="C137" i="67" s="1"/>
  <c r="C138" i="67" s="1"/>
  <c r="C139" i="67" s="1"/>
  <c r="C140" i="67" s="1"/>
  <c r="C141" i="67" s="1"/>
  <c r="C142" i="67" s="1"/>
  <c r="C143" i="67" s="1"/>
  <c r="C144" i="67" s="1"/>
  <c r="C145" i="67" s="1"/>
  <c r="C146" i="67" s="1"/>
  <c r="C147" i="67" s="1"/>
  <c r="C148" i="67" s="1"/>
  <c r="C149" i="67" s="1"/>
  <c r="C150" i="67" s="1"/>
  <c r="C151" i="67" s="1"/>
  <c r="C152" i="67" s="1"/>
  <c r="C153" i="67" s="1"/>
  <c r="C154" i="67" s="1"/>
  <c r="D92" i="31"/>
  <c r="B109" i="31" s="1"/>
  <c r="D94" i="31"/>
  <c r="D93" i="22"/>
  <c r="C99" i="22" s="1"/>
  <c r="C100" i="22" s="1"/>
  <c r="C101" i="22" s="1"/>
  <c r="C102" i="22" s="1"/>
  <c r="C103" i="22" s="1"/>
  <c r="C104" i="22" s="1"/>
  <c r="C105" i="22" s="1"/>
  <c r="C106" i="22" s="1"/>
  <c r="C107" i="22" s="1"/>
  <c r="C108" i="22" s="1"/>
  <c r="C109" i="22" s="1"/>
  <c r="C110" i="22" s="1"/>
  <c r="C111" i="22" s="1"/>
  <c r="C112" i="22" s="1"/>
  <c r="C113" i="22" s="1"/>
  <c r="C114" i="22" s="1"/>
  <c r="C115" i="22" s="1"/>
  <c r="C116" i="22" s="1"/>
  <c r="C117" i="22" s="1"/>
  <c r="C118" i="22" s="1"/>
  <c r="C119" i="22" s="1"/>
  <c r="C120" i="22" s="1"/>
  <c r="C121" i="22" s="1"/>
  <c r="C122" i="22" s="1"/>
  <c r="C123" i="22" s="1"/>
  <c r="C124" i="22" s="1"/>
  <c r="C125" i="22" s="1"/>
  <c r="C126" i="22" s="1"/>
  <c r="C127" i="22" s="1"/>
  <c r="C128" i="22" s="1"/>
  <c r="C129" i="22" s="1"/>
  <c r="C130" i="22" s="1"/>
  <c r="C131" i="22" s="1"/>
  <c r="C132" i="22" s="1"/>
  <c r="C133" i="22" s="1"/>
  <c r="C134" i="22" s="1"/>
  <c r="C135" i="22" s="1"/>
  <c r="C136" i="22" s="1"/>
  <c r="C137" i="22" s="1"/>
  <c r="C138" i="22" s="1"/>
  <c r="C139" i="22" s="1"/>
  <c r="C140" i="22" s="1"/>
  <c r="C141" i="22" s="1"/>
  <c r="C142" i="22" s="1"/>
  <c r="C143" i="22" s="1"/>
  <c r="C144" i="22" s="1"/>
  <c r="C145" i="22" s="1"/>
  <c r="C146" i="22" s="1"/>
  <c r="C147" i="22" s="1"/>
  <c r="C148" i="22" s="1"/>
  <c r="C149" i="22" s="1"/>
  <c r="C150" i="22" s="1"/>
  <c r="C151" i="22" s="1"/>
  <c r="C152" i="22" s="1"/>
  <c r="C153" i="22" s="1"/>
  <c r="C154" i="22" s="1"/>
  <c r="D94" i="22"/>
  <c r="N6" i="58"/>
  <c r="C99" i="58"/>
  <c r="C100" i="58" s="1"/>
  <c r="C101" i="58" s="1"/>
  <c r="C102" i="58" s="1"/>
  <c r="C103" i="58" s="1"/>
  <c r="C104" i="58" s="1"/>
  <c r="C105" i="58" s="1"/>
  <c r="C106" i="58" s="1"/>
  <c r="C107" i="58" s="1"/>
  <c r="C108" i="58" s="1"/>
  <c r="C109" i="58" s="1"/>
  <c r="C110" i="58" s="1"/>
  <c r="C111" i="58" s="1"/>
  <c r="C112" i="58" s="1"/>
  <c r="C113" i="58" s="1"/>
  <c r="C114" i="58" s="1"/>
  <c r="C115" i="58" s="1"/>
  <c r="C116" i="58" s="1"/>
  <c r="C117" i="58" s="1"/>
  <c r="C118" i="58" s="1"/>
  <c r="C119" i="58" s="1"/>
  <c r="C120" i="58" s="1"/>
  <c r="C121" i="58" s="1"/>
  <c r="C122" i="58" s="1"/>
  <c r="C123" i="58" s="1"/>
  <c r="C124" i="58" s="1"/>
  <c r="C125" i="58" s="1"/>
  <c r="C126" i="58" s="1"/>
  <c r="C127" i="58" s="1"/>
  <c r="C128" i="58" s="1"/>
  <c r="C129" i="58" s="1"/>
  <c r="C130" i="58" s="1"/>
  <c r="C131" i="58" s="1"/>
  <c r="C132" i="58" s="1"/>
  <c r="C133" i="58" s="1"/>
  <c r="C134" i="58" s="1"/>
  <c r="C135" i="58" s="1"/>
  <c r="C136" i="58" s="1"/>
  <c r="C137" i="58" s="1"/>
  <c r="C138" i="58" s="1"/>
  <c r="C139" i="58" s="1"/>
  <c r="C140" i="58" s="1"/>
  <c r="C141" i="58" s="1"/>
  <c r="C142" i="58" s="1"/>
  <c r="C143" i="58" s="1"/>
  <c r="C144" i="58" s="1"/>
  <c r="C145" i="58" s="1"/>
  <c r="C146" i="58" s="1"/>
  <c r="C147" i="58" s="1"/>
  <c r="C148" i="58" s="1"/>
  <c r="C149" i="58" s="1"/>
  <c r="C150" i="58" s="1"/>
  <c r="C151" i="58" s="1"/>
  <c r="C152" i="58" s="1"/>
  <c r="C153" i="58" s="1"/>
  <c r="C154" i="58" s="1"/>
  <c r="D93" i="32"/>
  <c r="C99" i="32" s="1"/>
  <c r="C100" i="32" s="1"/>
  <c r="C101" i="32" s="1"/>
  <c r="C102" i="32" s="1"/>
  <c r="C103" i="32" s="1"/>
  <c r="C104" i="32" s="1"/>
  <c r="C105" i="32" s="1"/>
  <c r="C106" i="32" s="1"/>
  <c r="C107" i="32" s="1"/>
  <c r="C108" i="32" s="1"/>
  <c r="C109" i="32" s="1"/>
  <c r="C110" i="32" s="1"/>
  <c r="C111" i="32" s="1"/>
  <c r="C112" i="32" s="1"/>
  <c r="C113" i="32" s="1"/>
  <c r="C114" i="32" s="1"/>
  <c r="C115" i="32" s="1"/>
  <c r="C116" i="32" s="1"/>
  <c r="C117" i="32" s="1"/>
  <c r="C118" i="32" s="1"/>
  <c r="C119" i="32" s="1"/>
  <c r="C120" i="32" s="1"/>
  <c r="C121" i="32" s="1"/>
  <c r="C122" i="32" s="1"/>
  <c r="C123" i="32" s="1"/>
  <c r="C124" i="32" s="1"/>
  <c r="C125" i="32" s="1"/>
  <c r="C126" i="32" s="1"/>
  <c r="C127" i="32" s="1"/>
  <c r="C128" i="32" s="1"/>
  <c r="C129" i="32" s="1"/>
  <c r="C130" i="32" s="1"/>
  <c r="C131" i="32" s="1"/>
  <c r="C132" i="32" s="1"/>
  <c r="C133" i="32" s="1"/>
  <c r="C134" i="32" s="1"/>
  <c r="C135" i="32" s="1"/>
  <c r="C136" i="32" s="1"/>
  <c r="C137" i="32" s="1"/>
  <c r="C138" i="32" s="1"/>
  <c r="C139" i="32" s="1"/>
  <c r="C140" i="32" s="1"/>
  <c r="C141" i="32" s="1"/>
  <c r="C142" i="32" s="1"/>
  <c r="C143" i="32" s="1"/>
  <c r="C144" i="32" s="1"/>
  <c r="C145" i="32" s="1"/>
  <c r="C146" i="32" s="1"/>
  <c r="C147" i="32" s="1"/>
  <c r="C148" i="32" s="1"/>
  <c r="C149" i="32" s="1"/>
  <c r="C150" i="32" s="1"/>
  <c r="C151" i="32" s="1"/>
  <c r="C152" i="32" s="1"/>
  <c r="C153" i="32" s="1"/>
  <c r="C154" i="32" s="1"/>
  <c r="D94" i="32"/>
  <c r="N6" i="66"/>
  <c r="N7" i="66" s="1"/>
  <c r="D94" i="66"/>
  <c r="D93" i="66"/>
  <c r="C99" i="66" s="1"/>
  <c r="C100" i="66" s="1"/>
  <c r="C101" i="66" s="1"/>
  <c r="C102" i="66" s="1"/>
  <c r="C103" i="66" s="1"/>
  <c r="C104" i="66" s="1"/>
  <c r="C105" i="66" s="1"/>
  <c r="C106" i="66" s="1"/>
  <c r="C107" i="66" s="1"/>
  <c r="C108" i="66" s="1"/>
  <c r="C109" i="66" s="1"/>
  <c r="C110" i="66" s="1"/>
  <c r="C111" i="66" s="1"/>
  <c r="C112" i="66" s="1"/>
  <c r="C113" i="66" s="1"/>
  <c r="C114" i="66" s="1"/>
  <c r="C115" i="66" s="1"/>
  <c r="C116" i="66" s="1"/>
  <c r="C117" i="66" s="1"/>
  <c r="C118" i="66" s="1"/>
  <c r="C119" i="66" s="1"/>
  <c r="C120" i="66" s="1"/>
  <c r="C121" i="66" s="1"/>
  <c r="C122" i="66" s="1"/>
  <c r="C123" i="66" s="1"/>
  <c r="C124" i="66" s="1"/>
  <c r="C125" i="66" s="1"/>
  <c r="C126" i="66" s="1"/>
  <c r="C127" i="66" s="1"/>
  <c r="C128" i="66" s="1"/>
  <c r="C129" i="66" s="1"/>
  <c r="C130" i="66" s="1"/>
  <c r="C131" i="66" s="1"/>
  <c r="C132" i="66" s="1"/>
  <c r="C133" i="66" s="1"/>
  <c r="C134" i="66" s="1"/>
  <c r="C135" i="66" s="1"/>
  <c r="C136" i="66" s="1"/>
  <c r="C137" i="66" s="1"/>
  <c r="C138" i="66" s="1"/>
  <c r="C139" i="66" s="1"/>
  <c r="C140" i="66" s="1"/>
  <c r="C141" i="66" s="1"/>
  <c r="C142" i="66" s="1"/>
  <c r="C143" i="66" s="1"/>
  <c r="C144" i="66" s="1"/>
  <c r="C145" i="66" s="1"/>
  <c r="C146" i="66" s="1"/>
  <c r="C147" i="66" s="1"/>
  <c r="C148" i="66" s="1"/>
  <c r="C149" i="66" s="1"/>
  <c r="C150" i="66" s="1"/>
  <c r="C151" i="66" s="1"/>
  <c r="C152" i="66" s="1"/>
  <c r="C153" i="66" s="1"/>
  <c r="C154" i="66" s="1"/>
  <c r="D93" i="19"/>
  <c r="N6" i="19"/>
  <c r="D94" i="19"/>
  <c r="C99" i="89"/>
  <c r="C100" i="89" s="1"/>
  <c r="C101" i="89" s="1"/>
  <c r="C102" i="89" s="1"/>
  <c r="C103" i="89" s="1"/>
  <c r="C104" i="89" s="1"/>
  <c r="C105" i="89" s="1"/>
  <c r="C106" i="89" s="1"/>
  <c r="C107" i="89" s="1"/>
  <c r="C108" i="89" s="1"/>
  <c r="C109" i="89" s="1"/>
  <c r="C110" i="89" s="1"/>
  <c r="C111" i="89" s="1"/>
  <c r="C112" i="89" s="1"/>
  <c r="C113" i="89" s="1"/>
  <c r="C114" i="89" s="1"/>
  <c r="C115" i="89" s="1"/>
  <c r="C116" i="89" s="1"/>
  <c r="C117" i="89" s="1"/>
  <c r="C118" i="89" s="1"/>
  <c r="C119" i="89" s="1"/>
  <c r="C120" i="89" s="1"/>
  <c r="C121" i="89" s="1"/>
  <c r="C122" i="89" s="1"/>
  <c r="C123" i="89" s="1"/>
  <c r="C124" i="89" s="1"/>
  <c r="C125" i="89" s="1"/>
  <c r="C126" i="89" s="1"/>
  <c r="C127" i="89" s="1"/>
  <c r="C128" i="89" s="1"/>
  <c r="C129" i="89" s="1"/>
  <c r="C130" i="89" s="1"/>
  <c r="C131" i="89" s="1"/>
  <c r="C132" i="89" s="1"/>
  <c r="C133" i="89" s="1"/>
  <c r="C134" i="89" s="1"/>
  <c r="C135" i="89" s="1"/>
  <c r="C136" i="89" s="1"/>
  <c r="C137" i="89" s="1"/>
  <c r="C138" i="89" s="1"/>
  <c r="C139" i="89" s="1"/>
  <c r="C140" i="89" s="1"/>
  <c r="C141" i="89" s="1"/>
  <c r="C142" i="89" s="1"/>
  <c r="C143" i="89" s="1"/>
  <c r="C144" i="89" s="1"/>
  <c r="C145" i="89" s="1"/>
  <c r="C146" i="89" s="1"/>
  <c r="C147" i="89" s="1"/>
  <c r="C148" i="89" s="1"/>
  <c r="C149" i="89" s="1"/>
  <c r="C150" i="89" s="1"/>
  <c r="C151" i="89" s="1"/>
  <c r="C152" i="89" s="1"/>
  <c r="C153" i="89" s="1"/>
  <c r="C154" i="89" s="1"/>
  <c r="N6" i="3"/>
  <c r="D93" i="3"/>
  <c r="D94" i="3"/>
  <c r="D93" i="21"/>
  <c r="N6" i="21"/>
  <c r="D94" i="21"/>
  <c r="D93" i="41"/>
  <c r="C99" i="41" s="1"/>
  <c r="C100" i="41" s="1"/>
  <c r="C101" i="41" s="1"/>
  <c r="C102" i="41" s="1"/>
  <c r="C103" i="41" s="1"/>
  <c r="C104" i="41" s="1"/>
  <c r="C105" i="41" s="1"/>
  <c r="C106" i="41" s="1"/>
  <c r="C107" i="41" s="1"/>
  <c r="C108" i="41" s="1"/>
  <c r="C109" i="41" s="1"/>
  <c r="C110" i="41" s="1"/>
  <c r="C111" i="41" s="1"/>
  <c r="C112" i="41" s="1"/>
  <c r="C113" i="41" s="1"/>
  <c r="C114" i="41" s="1"/>
  <c r="C115" i="41" s="1"/>
  <c r="C116" i="41" s="1"/>
  <c r="C117" i="41" s="1"/>
  <c r="C118" i="41" s="1"/>
  <c r="C119" i="41" s="1"/>
  <c r="C120" i="41" s="1"/>
  <c r="C121" i="41" s="1"/>
  <c r="C122" i="41" s="1"/>
  <c r="C123" i="41" s="1"/>
  <c r="C124" i="41" s="1"/>
  <c r="C125" i="41" s="1"/>
  <c r="C126" i="41" s="1"/>
  <c r="C127" i="41" s="1"/>
  <c r="C128" i="41" s="1"/>
  <c r="C129" i="41" s="1"/>
  <c r="C130" i="41" s="1"/>
  <c r="C131" i="41" s="1"/>
  <c r="C132" i="41" s="1"/>
  <c r="C133" i="41" s="1"/>
  <c r="C134" i="41" s="1"/>
  <c r="C135" i="41" s="1"/>
  <c r="C136" i="41" s="1"/>
  <c r="C137" i="41" s="1"/>
  <c r="C138" i="41" s="1"/>
  <c r="C139" i="41" s="1"/>
  <c r="C140" i="41" s="1"/>
  <c r="C141" i="41" s="1"/>
  <c r="C142" i="41" s="1"/>
  <c r="C143" i="41" s="1"/>
  <c r="C144" i="41" s="1"/>
  <c r="C145" i="41" s="1"/>
  <c r="C146" i="41" s="1"/>
  <c r="C147" i="41" s="1"/>
  <c r="C148" i="41" s="1"/>
  <c r="C149" i="41" s="1"/>
  <c r="C150" i="41" s="1"/>
  <c r="C151" i="41" s="1"/>
  <c r="C152" i="41" s="1"/>
  <c r="C153" i="41" s="1"/>
  <c r="C154" i="41" s="1"/>
  <c r="N6" i="41"/>
  <c r="D94" i="41"/>
  <c r="D92" i="41"/>
  <c r="B107" i="41" s="1"/>
  <c r="N5" i="81"/>
  <c r="D94" i="81"/>
  <c r="D93" i="81"/>
  <c r="N6" i="81"/>
  <c r="D94" i="84"/>
  <c r="N5" i="84"/>
  <c r="D93" i="84"/>
  <c r="C99" i="84" s="1"/>
  <c r="C100" i="84" s="1"/>
  <c r="C101" i="84" s="1"/>
  <c r="C102" i="84" s="1"/>
  <c r="C103" i="84" s="1"/>
  <c r="C104" i="84" s="1"/>
  <c r="C105" i="84" s="1"/>
  <c r="C106" i="84" s="1"/>
  <c r="C107" i="84" s="1"/>
  <c r="C108" i="84" s="1"/>
  <c r="C109" i="84" s="1"/>
  <c r="C110" i="84" s="1"/>
  <c r="C111" i="84" s="1"/>
  <c r="C112" i="84" s="1"/>
  <c r="C113" i="84" s="1"/>
  <c r="C114" i="84" s="1"/>
  <c r="C115" i="84" s="1"/>
  <c r="C116" i="84" s="1"/>
  <c r="C117" i="84" s="1"/>
  <c r="C118" i="84" s="1"/>
  <c r="C119" i="84" s="1"/>
  <c r="C120" i="84" s="1"/>
  <c r="C121" i="84" s="1"/>
  <c r="C122" i="84" s="1"/>
  <c r="C123" i="84" s="1"/>
  <c r="C124" i="84" s="1"/>
  <c r="C125" i="84" s="1"/>
  <c r="C126" i="84" s="1"/>
  <c r="C127" i="84" s="1"/>
  <c r="C128" i="84" s="1"/>
  <c r="C129" i="84" s="1"/>
  <c r="C130" i="84" s="1"/>
  <c r="C131" i="84" s="1"/>
  <c r="C132" i="84" s="1"/>
  <c r="C133" i="84" s="1"/>
  <c r="C134" i="84" s="1"/>
  <c r="C135" i="84" s="1"/>
  <c r="C136" i="84" s="1"/>
  <c r="C137" i="84" s="1"/>
  <c r="C138" i="84" s="1"/>
  <c r="C139" i="84" s="1"/>
  <c r="C140" i="84" s="1"/>
  <c r="C141" i="84" s="1"/>
  <c r="C142" i="84" s="1"/>
  <c r="C143" i="84" s="1"/>
  <c r="C144" i="84" s="1"/>
  <c r="C145" i="84" s="1"/>
  <c r="C146" i="84" s="1"/>
  <c r="C147" i="84" s="1"/>
  <c r="C148" i="84" s="1"/>
  <c r="C149" i="84" s="1"/>
  <c r="C150" i="84" s="1"/>
  <c r="C151" i="84" s="1"/>
  <c r="C152" i="84" s="1"/>
  <c r="C153" i="84" s="1"/>
  <c r="C154" i="84" s="1"/>
  <c r="D94" i="57"/>
  <c r="D93" i="57"/>
  <c r="C99" i="57" s="1"/>
  <c r="C100" i="57" s="1"/>
  <c r="C101" i="57" s="1"/>
  <c r="C102" i="57" s="1"/>
  <c r="C103" i="57" s="1"/>
  <c r="C104" i="57" s="1"/>
  <c r="C105" i="57" s="1"/>
  <c r="C106" i="57" s="1"/>
  <c r="C107" i="57" s="1"/>
  <c r="C108" i="57" s="1"/>
  <c r="C109" i="57" s="1"/>
  <c r="C110" i="57" s="1"/>
  <c r="C111" i="57" s="1"/>
  <c r="C112" i="57" s="1"/>
  <c r="C113" i="57" s="1"/>
  <c r="C114" i="57" s="1"/>
  <c r="C115" i="57" s="1"/>
  <c r="C116" i="57" s="1"/>
  <c r="C117" i="57" s="1"/>
  <c r="C118" i="57" s="1"/>
  <c r="C119" i="57" s="1"/>
  <c r="C120" i="57" s="1"/>
  <c r="C121" i="57" s="1"/>
  <c r="C122" i="57" s="1"/>
  <c r="C123" i="57" s="1"/>
  <c r="C124" i="57" s="1"/>
  <c r="C125" i="57" s="1"/>
  <c r="C126" i="57" s="1"/>
  <c r="C127" i="57" s="1"/>
  <c r="C128" i="57" s="1"/>
  <c r="C129" i="57" s="1"/>
  <c r="C130" i="57" s="1"/>
  <c r="C131" i="57" s="1"/>
  <c r="C132" i="57" s="1"/>
  <c r="C133" i="57" s="1"/>
  <c r="C134" i="57" s="1"/>
  <c r="C135" i="57" s="1"/>
  <c r="C136" i="57" s="1"/>
  <c r="C137" i="57" s="1"/>
  <c r="C138" i="57" s="1"/>
  <c r="C139" i="57" s="1"/>
  <c r="C140" i="57" s="1"/>
  <c r="C141" i="57" s="1"/>
  <c r="C142" i="57" s="1"/>
  <c r="C143" i="57" s="1"/>
  <c r="C144" i="57" s="1"/>
  <c r="C145" i="57" s="1"/>
  <c r="C146" i="57" s="1"/>
  <c r="C147" i="57" s="1"/>
  <c r="C148" i="57" s="1"/>
  <c r="C149" i="57" s="1"/>
  <c r="C150" i="57" s="1"/>
  <c r="C151" i="57" s="1"/>
  <c r="C152" i="57" s="1"/>
  <c r="C153" i="57" s="1"/>
  <c r="C154" i="57" s="1"/>
  <c r="N6" i="57"/>
  <c r="D94" i="27"/>
  <c r="D93" i="27"/>
  <c r="N5" i="41"/>
  <c r="D93" i="31"/>
  <c r="C99" i="31" s="1"/>
  <c r="C100" i="31" s="1"/>
  <c r="C101" i="31" s="1"/>
  <c r="C102" i="31" s="1"/>
  <c r="C103" i="31" s="1"/>
  <c r="C104" i="31" s="1"/>
  <c r="C105" i="31" s="1"/>
  <c r="C106" i="31" s="1"/>
  <c r="C107" i="31" s="1"/>
  <c r="C108" i="31" s="1"/>
  <c r="C109" i="31" s="1"/>
  <c r="C110" i="31" s="1"/>
  <c r="C111" i="31" s="1"/>
  <c r="C112" i="31" s="1"/>
  <c r="C113" i="31" s="1"/>
  <c r="C114" i="31" s="1"/>
  <c r="C115" i="31" s="1"/>
  <c r="C116" i="31" s="1"/>
  <c r="C117" i="31" s="1"/>
  <c r="C118" i="31" s="1"/>
  <c r="C119" i="31" s="1"/>
  <c r="C120" i="31" s="1"/>
  <c r="C121" i="31" s="1"/>
  <c r="C122" i="31" s="1"/>
  <c r="C123" i="31" s="1"/>
  <c r="C124" i="31" s="1"/>
  <c r="C125" i="31" s="1"/>
  <c r="C126" i="31" s="1"/>
  <c r="C127" i="31" s="1"/>
  <c r="C128" i="31" s="1"/>
  <c r="C129" i="31" s="1"/>
  <c r="C130" i="31" s="1"/>
  <c r="C131" i="31" s="1"/>
  <c r="C132" i="31" s="1"/>
  <c r="C133" i="31" s="1"/>
  <c r="C134" i="31" s="1"/>
  <c r="C135" i="31" s="1"/>
  <c r="C136" i="31" s="1"/>
  <c r="C137" i="31" s="1"/>
  <c r="C138" i="31" s="1"/>
  <c r="C139" i="31" s="1"/>
  <c r="C140" i="31" s="1"/>
  <c r="C141" i="31" s="1"/>
  <c r="C142" i="31" s="1"/>
  <c r="C143" i="31" s="1"/>
  <c r="C144" i="31" s="1"/>
  <c r="C145" i="31" s="1"/>
  <c r="C146" i="31" s="1"/>
  <c r="C147" i="31" s="1"/>
  <c r="C148" i="31" s="1"/>
  <c r="C149" i="31" s="1"/>
  <c r="C150" i="31" s="1"/>
  <c r="C151" i="31" s="1"/>
  <c r="C152" i="31" s="1"/>
  <c r="C153" i="31" s="1"/>
  <c r="C154" i="31" s="1"/>
  <c r="N6" i="84"/>
  <c r="N5" i="58"/>
  <c r="D93" i="88"/>
  <c r="C99" i="88" s="1"/>
  <c r="C100" i="88" s="1"/>
  <c r="C101" i="88" s="1"/>
  <c r="C102" i="88" s="1"/>
  <c r="C103" i="88" s="1"/>
  <c r="C104" i="88" s="1"/>
  <c r="C105" i="88" s="1"/>
  <c r="C106" i="88" s="1"/>
  <c r="C107" i="88" s="1"/>
  <c r="C108" i="88" s="1"/>
  <c r="C109" i="88" s="1"/>
  <c r="C110" i="88" s="1"/>
  <c r="C111" i="88" s="1"/>
  <c r="C112" i="88" s="1"/>
  <c r="C113" i="88" s="1"/>
  <c r="C114" i="88" s="1"/>
  <c r="C115" i="88" s="1"/>
  <c r="C116" i="88" s="1"/>
  <c r="C117" i="88" s="1"/>
  <c r="C118" i="88" s="1"/>
  <c r="C119" i="88" s="1"/>
  <c r="C120" i="88" s="1"/>
  <c r="C121" i="88" s="1"/>
  <c r="C122" i="88" s="1"/>
  <c r="C123" i="88" s="1"/>
  <c r="C124" i="88" s="1"/>
  <c r="C125" i="88" s="1"/>
  <c r="C126" i="88" s="1"/>
  <c r="C127" i="88" s="1"/>
  <c r="C128" i="88" s="1"/>
  <c r="C129" i="88" s="1"/>
  <c r="C130" i="88" s="1"/>
  <c r="C131" i="88" s="1"/>
  <c r="C132" i="88" s="1"/>
  <c r="C133" i="88" s="1"/>
  <c r="C134" i="88" s="1"/>
  <c r="C135" i="88" s="1"/>
  <c r="C136" i="88" s="1"/>
  <c r="C137" i="88" s="1"/>
  <c r="C138" i="88" s="1"/>
  <c r="C139" i="88" s="1"/>
  <c r="C140" i="88" s="1"/>
  <c r="C141" i="88" s="1"/>
  <c r="C142" i="88" s="1"/>
  <c r="C143" i="88" s="1"/>
  <c r="C144" i="88" s="1"/>
  <c r="C145" i="88" s="1"/>
  <c r="C146" i="88" s="1"/>
  <c r="C147" i="88" s="1"/>
  <c r="C148" i="88" s="1"/>
  <c r="C149" i="88" s="1"/>
  <c r="C150" i="88" s="1"/>
  <c r="C151" i="88" s="1"/>
  <c r="C152" i="88" s="1"/>
  <c r="C153" i="88" s="1"/>
  <c r="C154" i="88" s="1"/>
  <c r="D94" i="88"/>
  <c r="N6" i="88"/>
  <c r="N5" i="88"/>
  <c r="N5" i="94"/>
  <c r="N6" i="94"/>
  <c r="D94" i="39"/>
  <c r="D93" i="39"/>
  <c r="C99" i="39" s="1"/>
  <c r="C100" i="39" s="1"/>
  <c r="C101" i="39" s="1"/>
  <c r="C102" i="39" s="1"/>
  <c r="C103" i="39" s="1"/>
  <c r="C104" i="39" s="1"/>
  <c r="C105" i="39" s="1"/>
  <c r="C106" i="39" s="1"/>
  <c r="C107" i="39" s="1"/>
  <c r="C108" i="39" s="1"/>
  <c r="C109" i="39" s="1"/>
  <c r="C110" i="39" s="1"/>
  <c r="C111" i="39" s="1"/>
  <c r="C112" i="39" s="1"/>
  <c r="C113" i="39" s="1"/>
  <c r="C114" i="39" s="1"/>
  <c r="C115" i="39" s="1"/>
  <c r="C116" i="39" s="1"/>
  <c r="C117" i="39" s="1"/>
  <c r="C118" i="39" s="1"/>
  <c r="C119" i="39" s="1"/>
  <c r="C120" i="39" s="1"/>
  <c r="C121" i="39" s="1"/>
  <c r="C122" i="39" s="1"/>
  <c r="C123" i="39" s="1"/>
  <c r="C124" i="39" s="1"/>
  <c r="C125" i="39" s="1"/>
  <c r="C126" i="39" s="1"/>
  <c r="C127" i="39" s="1"/>
  <c r="C128" i="39" s="1"/>
  <c r="C129" i="39" s="1"/>
  <c r="C130" i="39" s="1"/>
  <c r="C131" i="39" s="1"/>
  <c r="C132" i="39" s="1"/>
  <c r="C133" i="39" s="1"/>
  <c r="C134" i="39" s="1"/>
  <c r="C135" i="39" s="1"/>
  <c r="C136" i="39" s="1"/>
  <c r="C137" i="39" s="1"/>
  <c r="C138" i="39" s="1"/>
  <c r="C139" i="39" s="1"/>
  <c r="C140" i="39" s="1"/>
  <c r="C141" i="39" s="1"/>
  <c r="C142" i="39" s="1"/>
  <c r="C143" i="39" s="1"/>
  <c r="C144" i="39" s="1"/>
  <c r="C145" i="39" s="1"/>
  <c r="C146" i="39" s="1"/>
  <c r="C147" i="39" s="1"/>
  <c r="C148" i="39" s="1"/>
  <c r="C149" i="39" s="1"/>
  <c r="C150" i="39" s="1"/>
  <c r="C151" i="39" s="1"/>
  <c r="C152" i="39" s="1"/>
  <c r="C153" i="39" s="1"/>
  <c r="C154" i="39" s="1"/>
  <c r="D94" i="44"/>
  <c r="D93" i="44"/>
  <c r="C99" i="44" s="1"/>
  <c r="C100" i="44" s="1"/>
  <c r="C101" i="44" s="1"/>
  <c r="C102" i="44" s="1"/>
  <c r="C103" i="44" s="1"/>
  <c r="C104" i="44" s="1"/>
  <c r="C105" i="44" s="1"/>
  <c r="C106" i="44" s="1"/>
  <c r="C107" i="44" s="1"/>
  <c r="C108" i="44" s="1"/>
  <c r="C109" i="44" s="1"/>
  <c r="C110" i="44" s="1"/>
  <c r="C111" i="44" s="1"/>
  <c r="C112" i="44" s="1"/>
  <c r="C113" i="44" s="1"/>
  <c r="C114" i="44" s="1"/>
  <c r="C115" i="44" s="1"/>
  <c r="C116" i="44" s="1"/>
  <c r="C117" i="44" s="1"/>
  <c r="C118" i="44" s="1"/>
  <c r="C119" i="44" s="1"/>
  <c r="C120" i="44" s="1"/>
  <c r="C121" i="44" s="1"/>
  <c r="C122" i="44" s="1"/>
  <c r="C123" i="44" s="1"/>
  <c r="C124" i="44" s="1"/>
  <c r="C125" i="44" s="1"/>
  <c r="C126" i="44" s="1"/>
  <c r="C127" i="44" s="1"/>
  <c r="C128" i="44" s="1"/>
  <c r="C129" i="44" s="1"/>
  <c r="C130" i="44" s="1"/>
  <c r="C131" i="44" s="1"/>
  <c r="C132" i="44" s="1"/>
  <c r="C133" i="44" s="1"/>
  <c r="C134" i="44" s="1"/>
  <c r="C135" i="44" s="1"/>
  <c r="C136" i="44" s="1"/>
  <c r="C137" i="44" s="1"/>
  <c r="C138" i="44" s="1"/>
  <c r="C139" i="44" s="1"/>
  <c r="C140" i="44" s="1"/>
  <c r="C141" i="44" s="1"/>
  <c r="C142" i="44" s="1"/>
  <c r="C143" i="44" s="1"/>
  <c r="C144" i="44" s="1"/>
  <c r="C145" i="44" s="1"/>
  <c r="C146" i="44" s="1"/>
  <c r="C147" i="44" s="1"/>
  <c r="C148" i="44" s="1"/>
  <c r="C149" i="44" s="1"/>
  <c r="C150" i="44" s="1"/>
  <c r="C151" i="44" s="1"/>
  <c r="C152" i="44" s="1"/>
  <c r="C153" i="44" s="1"/>
  <c r="C154" i="44" s="1"/>
  <c r="N5" i="86"/>
  <c r="N6" i="86"/>
  <c r="D94" i="42"/>
  <c r="D92" i="42"/>
  <c r="B107" i="42" s="1"/>
  <c r="D93" i="42"/>
  <c r="C99" i="42" s="1"/>
  <c r="C100" i="42" s="1"/>
  <c r="C101" i="42" s="1"/>
  <c r="C102" i="42" s="1"/>
  <c r="C103" i="42" s="1"/>
  <c r="C104" i="42" s="1"/>
  <c r="C105" i="42" s="1"/>
  <c r="C106" i="42" s="1"/>
  <c r="C107" i="42" s="1"/>
  <c r="C108" i="42" s="1"/>
  <c r="C109" i="42" s="1"/>
  <c r="C110" i="42" s="1"/>
  <c r="C111" i="42" s="1"/>
  <c r="C112" i="42" s="1"/>
  <c r="C113" i="42" s="1"/>
  <c r="C114" i="42" s="1"/>
  <c r="C115" i="42" s="1"/>
  <c r="C116" i="42" s="1"/>
  <c r="C117" i="42" s="1"/>
  <c r="C118" i="42" s="1"/>
  <c r="C119" i="42" s="1"/>
  <c r="C120" i="42" s="1"/>
  <c r="C121" i="42" s="1"/>
  <c r="C122" i="42" s="1"/>
  <c r="C123" i="42" s="1"/>
  <c r="C124" i="42" s="1"/>
  <c r="C125" i="42" s="1"/>
  <c r="C126" i="42" s="1"/>
  <c r="C127" i="42" s="1"/>
  <c r="C128" i="42" s="1"/>
  <c r="C129" i="42" s="1"/>
  <c r="C130" i="42" s="1"/>
  <c r="C131" i="42" s="1"/>
  <c r="C132" i="42" s="1"/>
  <c r="C133" i="42" s="1"/>
  <c r="C134" i="42" s="1"/>
  <c r="C135" i="42" s="1"/>
  <c r="C136" i="42" s="1"/>
  <c r="C137" i="42" s="1"/>
  <c r="C138" i="42" s="1"/>
  <c r="C139" i="42" s="1"/>
  <c r="C140" i="42" s="1"/>
  <c r="C141" i="42" s="1"/>
  <c r="C142" i="42" s="1"/>
  <c r="C143" i="42" s="1"/>
  <c r="C144" i="42" s="1"/>
  <c r="C145" i="42" s="1"/>
  <c r="C146" i="42" s="1"/>
  <c r="C147" i="42" s="1"/>
  <c r="C148" i="42" s="1"/>
  <c r="C149" i="42" s="1"/>
  <c r="C150" i="42" s="1"/>
  <c r="C151" i="42" s="1"/>
  <c r="C152" i="42" s="1"/>
  <c r="C153" i="42" s="1"/>
  <c r="C154" i="42" s="1"/>
  <c r="D93" i="79"/>
  <c r="C99" i="79" s="1"/>
  <c r="C100" i="79" s="1"/>
  <c r="C101" i="79" s="1"/>
  <c r="C102" i="79" s="1"/>
  <c r="C103" i="79" s="1"/>
  <c r="C104" i="79" s="1"/>
  <c r="C105" i="79" s="1"/>
  <c r="C106" i="79" s="1"/>
  <c r="C107" i="79" s="1"/>
  <c r="C108" i="79" s="1"/>
  <c r="C109" i="79" s="1"/>
  <c r="C110" i="79" s="1"/>
  <c r="C111" i="79" s="1"/>
  <c r="C112" i="79" s="1"/>
  <c r="C113" i="79" s="1"/>
  <c r="C114" i="79" s="1"/>
  <c r="C115" i="79" s="1"/>
  <c r="C116" i="79" s="1"/>
  <c r="C117" i="79" s="1"/>
  <c r="C118" i="79" s="1"/>
  <c r="C119" i="79" s="1"/>
  <c r="C120" i="79" s="1"/>
  <c r="C121" i="79" s="1"/>
  <c r="C122" i="79" s="1"/>
  <c r="C123" i="79" s="1"/>
  <c r="C124" i="79" s="1"/>
  <c r="C125" i="79" s="1"/>
  <c r="C126" i="79" s="1"/>
  <c r="C127" i="79" s="1"/>
  <c r="C128" i="79" s="1"/>
  <c r="C129" i="79" s="1"/>
  <c r="C130" i="79" s="1"/>
  <c r="C131" i="79" s="1"/>
  <c r="C132" i="79" s="1"/>
  <c r="C133" i="79" s="1"/>
  <c r="C134" i="79" s="1"/>
  <c r="C135" i="79" s="1"/>
  <c r="C136" i="79" s="1"/>
  <c r="C137" i="79" s="1"/>
  <c r="C138" i="79" s="1"/>
  <c r="C139" i="79" s="1"/>
  <c r="C140" i="79" s="1"/>
  <c r="C141" i="79" s="1"/>
  <c r="C142" i="79" s="1"/>
  <c r="C143" i="79" s="1"/>
  <c r="C144" i="79" s="1"/>
  <c r="C145" i="79" s="1"/>
  <c r="C146" i="79" s="1"/>
  <c r="C147" i="79" s="1"/>
  <c r="C148" i="79" s="1"/>
  <c r="C149" i="79" s="1"/>
  <c r="C150" i="79" s="1"/>
  <c r="C151" i="79" s="1"/>
  <c r="C152" i="79" s="1"/>
  <c r="C153" i="79" s="1"/>
  <c r="C154" i="79" s="1"/>
  <c r="N6" i="79"/>
  <c r="D94" i="79"/>
  <c r="D93" i="45"/>
  <c r="N6" i="45"/>
  <c r="N7" i="45" s="1"/>
  <c r="D94" i="45"/>
  <c r="D92" i="45"/>
  <c r="B106" i="45" s="1"/>
  <c r="D93" i="68"/>
  <c r="C99" i="68" s="1"/>
  <c r="C100" i="68" s="1"/>
  <c r="C101" i="68" s="1"/>
  <c r="C102" i="68" s="1"/>
  <c r="C103" i="68" s="1"/>
  <c r="C104" i="68" s="1"/>
  <c r="C105" i="68" s="1"/>
  <c r="C106" i="68" s="1"/>
  <c r="C107" i="68" s="1"/>
  <c r="C108" i="68" s="1"/>
  <c r="C109" i="68" s="1"/>
  <c r="C110" i="68" s="1"/>
  <c r="C111" i="68" s="1"/>
  <c r="C112" i="68" s="1"/>
  <c r="C113" i="68" s="1"/>
  <c r="C114" i="68" s="1"/>
  <c r="C115" i="68" s="1"/>
  <c r="C116" i="68" s="1"/>
  <c r="C117" i="68" s="1"/>
  <c r="C118" i="68" s="1"/>
  <c r="C119" i="68" s="1"/>
  <c r="C120" i="68" s="1"/>
  <c r="C121" i="68" s="1"/>
  <c r="C122" i="68" s="1"/>
  <c r="C123" i="68" s="1"/>
  <c r="C124" i="68" s="1"/>
  <c r="C125" i="68" s="1"/>
  <c r="C126" i="68" s="1"/>
  <c r="C127" i="68" s="1"/>
  <c r="C128" i="68" s="1"/>
  <c r="C129" i="68" s="1"/>
  <c r="C130" i="68" s="1"/>
  <c r="C131" i="68" s="1"/>
  <c r="C132" i="68" s="1"/>
  <c r="C133" i="68" s="1"/>
  <c r="C134" i="68" s="1"/>
  <c r="C135" i="68" s="1"/>
  <c r="C136" i="68" s="1"/>
  <c r="C137" i="68" s="1"/>
  <c r="C138" i="68" s="1"/>
  <c r="C139" i="68" s="1"/>
  <c r="C140" i="68" s="1"/>
  <c r="C141" i="68" s="1"/>
  <c r="C142" i="68" s="1"/>
  <c r="C143" i="68" s="1"/>
  <c r="C144" i="68" s="1"/>
  <c r="C145" i="68" s="1"/>
  <c r="C146" i="68" s="1"/>
  <c r="C147" i="68" s="1"/>
  <c r="C148" i="68" s="1"/>
  <c r="C149" i="68" s="1"/>
  <c r="C150" i="68" s="1"/>
  <c r="C151" i="68" s="1"/>
  <c r="C152" i="68" s="1"/>
  <c r="C153" i="68" s="1"/>
  <c r="C154" i="68" s="1"/>
  <c r="N6" i="68"/>
  <c r="D94" i="68"/>
  <c r="D93" i="30"/>
  <c r="C99" i="30" s="1"/>
  <c r="C100" i="30" s="1"/>
  <c r="C101" i="30" s="1"/>
  <c r="C102" i="30" s="1"/>
  <c r="C103" i="30" s="1"/>
  <c r="C104" i="30" s="1"/>
  <c r="C105" i="30" s="1"/>
  <c r="C106" i="30" s="1"/>
  <c r="C107" i="30" s="1"/>
  <c r="C108" i="30" s="1"/>
  <c r="C109" i="30" s="1"/>
  <c r="C110" i="30" s="1"/>
  <c r="C111" i="30" s="1"/>
  <c r="C112" i="30" s="1"/>
  <c r="C113" i="30" s="1"/>
  <c r="C114" i="30" s="1"/>
  <c r="C115" i="30" s="1"/>
  <c r="C116" i="30" s="1"/>
  <c r="C117" i="30" s="1"/>
  <c r="C118" i="30" s="1"/>
  <c r="C119" i="30" s="1"/>
  <c r="C120" i="30" s="1"/>
  <c r="C121" i="30" s="1"/>
  <c r="C122" i="30" s="1"/>
  <c r="C123" i="30" s="1"/>
  <c r="C124" i="30" s="1"/>
  <c r="C125" i="30" s="1"/>
  <c r="C126" i="30" s="1"/>
  <c r="C127" i="30" s="1"/>
  <c r="C128" i="30" s="1"/>
  <c r="C129" i="30" s="1"/>
  <c r="C130" i="30" s="1"/>
  <c r="C131" i="30" s="1"/>
  <c r="C132" i="30" s="1"/>
  <c r="C133" i="30" s="1"/>
  <c r="C134" i="30" s="1"/>
  <c r="C135" i="30" s="1"/>
  <c r="C136" i="30" s="1"/>
  <c r="C137" i="30" s="1"/>
  <c r="C138" i="30" s="1"/>
  <c r="C139" i="30" s="1"/>
  <c r="C140" i="30" s="1"/>
  <c r="C141" i="30" s="1"/>
  <c r="C142" i="30" s="1"/>
  <c r="C143" i="30" s="1"/>
  <c r="C144" i="30" s="1"/>
  <c r="C145" i="30" s="1"/>
  <c r="C146" i="30" s="1"/>
  <c r="C147" i="30" s="1"/>
  <c r="C148" i="30" s="1"/>
  <c r="C149" i="30" s="1"/>
  <c r="C150" i="30" s="1"/>
  <c r="C151" i="30" s="1"/>
  <c r="C152" i="30" s="1"/>
  <c r="C153" i="30" s="1"/>
  <c r="C154" i="30" s="1"/>
  <c r="D92" i="30"/>
  <c r="D94" i="30"/>
  <c r="D93" i="55"/>
  <c r="C99" i="55" s="1"/>
  <c r="C100" i="55" s="1"/>
  <c r="C101" i="55" s="1"/>
  <c r="C102" i="55" s="1"/>
  <c r="C103" i="55" s="1"/>
  <c r="C104" i="55" s="1"/>
  <c r="C105" i="55" s="1"/>
  <c r="C106" i="55" s="1"/>
  <c r="C107" i="55" s="1"/>
  <c r="C108" i="55" s="1"/>
  <c r="C109" i="55" s="1"/>
  <c r="C110" i="55" s="1"/>
  <c r="C111" i="55" s="1"/>
  <c r="C112" i="55" s="1"/>
  <c r="C113" i="55" s="1"/>
  <c r="C114" i="55" s="1"/>
  <c r="C115" i="55" s="1"/>
  <c r="C116" i="55" s="1"/>
  <c r="C117" i="55" s="1"/>
  <c r="C118" i="55" s="1"/>
  <c r="C119" i="55" s="1"/>
  <c r="C120" i="55" s="1"/>
  <c r="C121" i="55" s="1"/>
  <c r="C122" i="55" s="1"/>
  <c r="C123" i="55" s="1"/>
  <c r="C124" i="55" s="1"/>
  <c r="C125" i="55" s="1"/>
  <c r="C126" i="55" s="1"/>
  <c r="C127" i="55" s="1"/>
  <c r="C128" i="55" s="1"/>
  <c r="C129" i="55" s="1"/>
  <c r="C130" i="55" s="1"/>
  <c r="C131" i="55" s="1"/>
  <c r="C132" i="55" s="1"/>
  <c r="C133" i="55" s="1"/>
  <c r="C134" i="55" s="1"/>
  <c r="C135" i="55" s="1"/>
  <c r="C136" i="55" s="1"/>
  <c r="C137" i="55" s="1"/>
  <c r="C138" i="55" s="1"/>
  <c r="C139" i="55" s="1"/>
  <c r="C140" i="55" s="1"/>
  <c r="C141" i="55" s="1"/>
  <c r="C142" i="55" s="1"/>
  <c r="C143" i="55" s="1"/>
  <c r="C144" i="55" s="1"/>
  <c r="C145" i="55" s="1"/>
  <c r="C146" i="55" s="1"/>
  <c r="C147" i="55" s="1"/>
  <c r="C148" i="55" s="1"/>
  <c r="C149" i="55" s="1"/>
  <c r="C150" i="55" s="1"/>
  <c r="C151" i="55" s="1"/>
  <c r="C152" i="55" s="1"/>
  <c r="C153" i="55" s="1"/>
  <c r="C154" i="55" s="1"/>
  <c r="D94" i="55"/>
  <c r="N6" i="55"/>
  <c r="N7" i="55" s="1"/>
  <c r="D94" i="24"/>
  <c r="D93" i="24"/>
  <c r="C99" i="24" s="1"/>
  <c r="C100" i="24" s="1"/>
  <c r="C101" i="24" s="1"/>
  <c r="C102" i="24" s="1"/>
  <c r="C103" i="24" s="1"/>
  <c r="C104" i="24" s="1"/>
  <c r="C105" i="24" s="1"/>
  <c r="C106" i="24" s="1"/>
  <c r="C107" i="24" s="1"/>
  <c r="C108" i="24" s="1"/>
  <c r="C109" i="24" s="1"/>
  <c r="C110" i="24" s="1"/>
  <c r="C111" i="24" s="1"/>
  <c r="C112" i="24" s="1"/>
  <c r="C113" i="24" s="1"/>
  <c r="C114" i="24" s="1"/>
  <c r="C115" i="24" s="1"/>
  <c r="C116" i="24" s="1"/>
  <c r="C117" i="24" s="1"/>
  <c r="C118" i="24" s="1"/>
  <c r="C119" i="24" s="1"/>
  <c r="C120" i="24" s="1"/>
  <c r="C121" i="24" s="1"/>
  <c r="C122" i="24" s="1"/>
  <c r="C123" i="24" s="1"/>
  <c r="C124" i="24" s="1"/>
  <c r="C125" i="24" s="1"/>
  <c r="C126" i="24" s="1"/>
  <c r="C127" i="24" s="1"/>
  <c r="C128" i="24" s="1"/>
  <c r="C129" i="24" s="1"/>
  <c r="C130" i="24" s="1"/>
  <c r="C131" i="24" s="1"/>
  <c r="C132" i="24" s="1"/>
  <c r="C133" i="24" s="1"/>
  <c r="C134" i="24" s="1"/>
  <c r="C135" i="24" s="1"/>
  <c r="C136" i="24" s="1"/>
  <c r="C137" i="24" s="1"/>
  <c r="C138" i="24" s="1"/>
  <c r="C139" i="24" s="1"/>
  <c r="C140" i="24" s="1"/>
  <c r="C141" i="24" s="1"/>
  <c r="C142" i="24" s="1"/>
  <c r="C143" i="24" s="1"/>
  <c r="C144" i="24" s="1"/>
  <c r="C145" i="24" s="1"/>
  <c r="C146" i="24" s="1"/>
  <c r="C147" i="24" s="1"/>
  <c r="C148" i="24" s="1"/>
  <c r="C149" i="24" s="1"/>
  <c r="C150" i="24" s="1"/>
  <c r="C151" i="24" s="1"/>
  <c r="C152" i="24" s="1"/>
  <c r="C153" i="24" s="1"/>
  <c r="C154" i="24" s="1"/>
  <c r="N6" i="24"/>
  <c r="N7" i="24" s="1"/>
  <c r="D92" i="26"/>
  <c r="J96" i="26" s="1"/>
  <c r="D94" i="26"/>
  <c r="D94" i="80"/>
  <c r="D93" i="80"/>
  <c r="C99" i="80" s="1"/>
  <c r="C100" i="80" s="1"/>
  <c r="C101" i="80" s="1"/>
  <c r="C102" i="80" s="1"/>
  <c r="C103" i="80" s="1"/>
  <c r="C104" i="80" s="1"/>
  <c r="C105" i="80" s="1"/>
  <c r="C106" i="80" s="1"/>
  <c r="C107" i="80" s="1"/>
  <c r="C108" i="80" s="1"/>
  <c r="C109" i="80" s="1"/>
  <c r="C110" i="80" s="1"/>
  <c r="C111" i="80" s="1"/>
  <c r="C112" i="80" s="1"/>
  <c r="C113" i="80" s="1"/>
  <c r="C114" i="80" s="1"/>
  <c r="C115" i="80" s="1"/>
  <c r="C116" i="80" s="1"/>
  <c r="C117" i="80" s="1"/>
  <c r="C118" i="80" s="1"/>
  <c r="C119" i="80" s="1"/>
  <c r="C120" i="80" s="1"/>
  <c r="C121" i="80" s="1"/>
  <c r="C122" i="80" s="1"/>
  <c r="C123" i="80" s="1"/>
  <c r="C124" i="80" s="1"/>
  <c r="C125" i="80" s="1"/>
  <c r="C126" i="80" s="1"/>
  <c r="C127" i="80" s="1"/>
  <c r="C128" i="80" s="1"/>
  <c r="C129" i="80" s="1"/>
  <c r="C130" i="80" s="1"/>
  <c r="C131" i="80" s="1"/>
  <c r="C132" i="80" s="1"/>
  <c r="C133" i="80" s="1"/>
  <c r="C134" i="80" s="1"/>
  <c r="C135" i="80" s="1"/>
  <c r="C136" i="80" s="1"/>
  <c r="C137" i="80" s="1"/>
  <c r="C138" i="80" s="1"/>
  <c r="C139" i="80" s="1"/>
  <c r="C140" i="80" s="1"/>
  <c r="C141" i="80" s="1"/>
  <c r="C142" i="80" s="1"/>
  <c r="C143" i="80" s="1"/>
  <c r="C144" i="80" s="1"/>
  <c r="C145" i="80" s="1"/>
  <c r="C146" i="80" s="1"/>
  <c r="C147" i="80" s="1"/>
  <c r="C148" i="80" s="1"/>
  <c r="C149" i="80" s="1"/>
  <c r="C150" i="80" s="1"/>
  <c r="C151" i="80" s="1"/>
  <c r="C152" i="80" s="1"/>
  <c r="C153" i="80" s="1"/>
  <c r="C154" i="80" s="1"/>
  <c r="N6" i="80"/>
  <c r="N5" i="80"/>
  <c r="D93" i="64"/>
  <c r="D94" i="64"/>
  <c r="N6" i="64"/>
  <c r="D94" i="65"/>
  <c r="D92" i="65"/>
  <c r="B103" i="65" s="1"/>
  <c r="N6" i="65"/>
  <c r="D93" i="53"/>
  <c r="C99" i="53" s="1"/>
  <c r="C100" i="53" s="1"/>
  <c r="C101" i="53" s="1"/>
  <c r="C102" i="53" s="1"/>
  <c r="C103" i="53" s="1"/>
  <c r="C104" i="53" s="1"/>
  <c r="C105" i="53" s="1"/>
  <c r="C106" i="53" s="1"/>
  <c r="C107" i="53" s="1"/>
  <c r="C108" i="53" s="1"/>
  <c r="C109" i="53" s="1"/>
  <c r="C110" i="53" s="1"/>
  <c r="C111" i="53" s="1"/>
  <c r="C112" i="53" s="1"/>
  <c r="C113" i="53" s="1"/>
  <c r="C114" i="53" s="1"/>
  <c r="C115" i="53" s="1"/>
  <c r="C116" i="53" s="1"/>
  <c r="C117" i="53" s="1"/>
  <c r="C118" i="53" s="1"/>
  <c r="C119" i="53" s="1"/>
  <c r="C120" i="53" s="1"/>
  <c r="C121" i="53" s="1"/>
  <c r="C122" i="53" s="1"/>
  <c r="C123" i="53" s="1"/>
  <c r="C124" i="53" s="1"/>
  <c r="C125" i="53" s="1"/>
  <c r="C126" i="53" s="1"/>
  <c r="C127" i="53" s="1"/>
  <c r="C128" i="53" s="1"/>
  <c r="C129" i="53" s="1"/>
  <c r="C130" i="53" s="1"/>
  <c r="C131" i="53" s="1"/>
  <c r="C132" i="53" s="1"/>
  <c r="C133" i="53" s="1"/>
  <c r="C134" i="53" s="1"/>
  <c r="C135" i="53" s="1"/>
  <c r="C136" i="53" s="1"/>
  <c r="C137" i="53" s="1"/>
  <c r="C138" i="53" s="1"/>
  <c r="C139" i="53" s="1"/>
  <c r="C140" i="53" s="1"/>
  <c r="C141" i="53" s="1"/>
  <c r="C142" i="53" s="1"/>
  <c r="C143" i="53" s="1"/>
  <c r="C144" i="53" s="1"/>
  <c r="C145" i="53" s="1"/>
  <c r="C146" i="53" s="1"/>
  <c r="C147" i="53" s="1"/>
  <c r="C148" i="53" s="1"/>
  <c r="C149" i="53" s="1"/>
  <c r="C150" i="53" s="1"/>
  <c r="C151" i="53" s="1"/>
  <c r="C152" i="53" s="1"/>
  <c r="C153" i="53" s="1"/>
  <c r="C154" i="53" s="1"/>
  <c r="D92" i="53"/>
  <c r="B105" i="53" s="1"/>
  <c r="N6" i="53"/>
  <c r="D94" i="53"/>
  <c r="N5" i="67"/>
  <c r="N7" i="67" s="1"/>
  <c r="D93" i="91"/>
  <c r="N6" i="91"/>
  <c r="N5" i="91"/>
  <c r="D94" i="91"/>
  <c r="N5" i="93"/>
  <c r="N6" i="93"/>
  <c r="D94" i="29"/>
  <c r="D93" i="29"/>
  <c r="N6" i="29"/>
  <c r="D94" i="34"/>
  <c r="N6" i="34"/>
  <c r="D93" i="76"/>
  <c r="C99" i="76" s="1"/>
  <c r="C100" i="76" s="1"/>
  <c r="C101" i="76" s="1"/>
  <c r="C102" i="76" s="1"/>
  <c r="C103" i="76" s="1"/>
  <c r="C104" i="76" s="1"/>
  <c r="C105" i="76" s="1"/>
  <c r="C106" i="76" s="1"/>
  <c r="C107" i="76" s="1"/>
  <c r="C108" i="76" s="1"/>
  <c r="C109" i="76" s="1"/>
  <c r="C110" i="76" s="1"/>
  <c r="C111" i="76" s="1"/>
  <c r="C112" i="76" s="1"/>
  <c r="C113" i="76" s="1"/>
  <c r="C114" i="76" s="1"/>
  <c r="C115" i="76" s="1"/>
  <c r="C116" i="76" s="1"/>
  <c r="C117" i="76" s="1"/>
  <c r="C118" i="76" s="1"/>
  <c r="C119" i="76" s="1"/>
  <c r="C120" i="76" s="1"/>
  <c r="C121" i="76" s="1"/>
  <c r="C122" i="76" s="1"/>
  <c r="C123" i="76" s="1"/>
  <c r="C124" i="76" s="1"/>
  <c r="C125" i="76" s="1"/>
  <c r="C126" i="76" s="1"/>
  <c r="C127" i="76" s="1"/>
  <c r="C128" i="76" s="1"/>
  <c r="C129" i="76" s="1"/>
  <c r="C130" i="76" s="1"/>
  <c r="C131" i="76" s="1"/>
  <c r="C132" i="76" s="1"/>
  <c r="C133" i="76" s="1"/>
  <c r="C134" i="76" s="1"/>
  <c r="C135" i="76" s="1"/>
  <c r="C136" i="76" s="1"/>
  <c r="C137" i="76" s="1"/>
  <c r="C138" i="76" s="1"/>
  <c r="C139" i="76" s="1"/>
  <c r="C140" i="76" s="1"/>
  <c r="C141" i="76" s="1"/>
  <c r="C142" i="76" s="1"/>
  <c r="C143" i="76" s="1"/>
  <c r="C144" i="76" s="1"/>
  <c r="C145" i="76" s="1"/>
  <c r="C146" i="76" s="1"/>
  <c r="C147" i="76" s="1"/>
  <c r="C148" i="76" s="1"/>
  <c r="C149" i="76" s="1"/>
  <c r="C150" i="76" s="1"/>
  <c r="C151" i="76" s="1"/>
  <c r="C152" i="76" s="1"/>
  <c r="C153" i="76" s="1"/>
  <c r="C154" i="76" s="1"/>
  <c r="D94" i="76"/>
  <c r="N6" i="76"/>
  <c r="D92" i="54"/>
  <c r="B105" i="54" s="1"/>
  <c r="N6" i="54"/>
  <c r="D93" i="54"/>
  <c r="D94" i="54"/>
  <c r="D93" i="25"/>
  <c r="D92" i="25"/>
  <c r="J96" i="25" s="1"/>
  <c r="D94" i="25"/>
  <c r="J95" i="85"/>
  <c r="K94" i="85"/>
  <c r="N87" i="27"/>
  <c r="O87" i="27" s="1"/>
  <c r="L86" i="55"/>
  <c r="N87" i="55"/>
  <c r="O87" i="55" s="1"/>
  <c r="L86" i="83"/>
  <c r="L86" i="54"/>
  <c r="M87" i="83"/>
  <c r="O87" i="83" s="1"/>
  <c r="C100" i="95"/>
  <c r="C101" i="95" s="1"/>
  <c r="C102" i="95" s="1"/>
  <c r="C103" i="95" s="1"/>
  <c r="C104" i="95" s="1"/>
  <c r="C105" i="95" s="1"/>
  <c r="C106" i="95" s="1"/>
  <c r="C107" i="95" s="1"/>
  <c r="C108" i="95" s="1"/>
  <c r="C109" i="95" s="1"/>
  <c r="C110" i="95" s="1"/>
  <c r="C111" i="95" s="1"/>
  <c r="C112" i="95" s="1"/>
  <c r="C113" i="95" s="1"/>
  <c r="C114" i="95" s="1"/>
  <c r="C115" i="95" s="1"/>
  <c r="C116" i="95" s="1"/>
  <c r="C117" i="95" s="1"/>
  <c r="C118" i="95" s="1"/>
  <c r="C119" i="95" s="1"/>
  <c r="C120" i="95" s="1"/>
  <c r="C121" i="95" s="1"/>
  <c r="C122" i="95" s="1"/>
  <c r="C123" i="95" s="1"/>
  <c r="C124" i="95" s="1"/>
  <c r="C125" i="95" s="1"/>
  <c r="C126" i="95" s="1"/>
  <c r="C127" i="95" s="1"/>
  <c r="C128" i="95" s="1"/>
  <c r="C129" i="95" s="1"/>
  <c r="C130" i="95" s="1"/>
  <c r="C131" i="95" s="1"/>
  <c r="C132" i="95" s="1"/>
  <c r="C133" i="95" s="1"/>
  <c r="C134" i="95" s="1"/>
  <c r="C135" i="95" s="1"/>
  <c r="C136" i="95" s="1"/>
  <c r="C137" i="95" s="1"/>
  <c r="C138" i="95" s="1"/>
  <c r="C139" i="95" s="1"/>
  <c r="C140" i="95" s="1"/>
  <c r="C141" i="95" s="1"/>
  <c r="C142" i="95" s="1"/>
  <c r="C143" i="95" s="1"/>
  <c r="C144" i="95" s="1"/>
  <c r="C145" i="95" s="1"/>
  <c r="C146" i="95" s="1"/>
  <c r="C147" i="95" s="1"/>
  <c r="C148" i="95" s="1"/>
  <c r="C149" i="95" s="1"/>
  <c r="C150" i="95" s="1"/>
  <c r="C151" i="95" s="1"/>
  <c r="C152" i="95" s="1"/>
  <c r="C153" i="95" s="1"/>
  <c r="C154" i="95" s="1"/>
  <c r="I20" i="90"/>
  <c r="I18" i="94"/>
  <c r="I20" i="80"/>
  <c r="N5" i="71"/>
  <c r="N7" i="71" s="1"/>
  <c r="N5" i="46"/>
  <c r="O87" i="42"/>
  <c r="I28" i="24"/>
  <c r="I19" i="88"/>
  <c r="C99" i="26"/>
  <c r="B21" i="80"/>
  <c r="I18" i="93"/>
  <c r="I28" i="34"/>
  <c r="N5" i="53"/>
  <c r="B26" i="55"/>
  <c r="B26" i="58"/>
  <c r="N6" i="23"/>
  <c r="I28" i="23"/>
  <c r="B23" i="65"/>
  <c r="I24" i="53"/>
  <c r="I23" i="66"/>
  <c r="I29" i="23"/>
  <c r="B22" i="75"/>
  <c r="N5" i="76"/>
  <c r="N5" i="72"/>
  <c r="N7" i="72" s="1"/>
  <c r="N5" i="44"/>
  <c r="N5" i="27"/>
  <c r="I22" i="65"/>
  <c r="I18" i="96"/>
  <c r="N5" i="61"/>
  <c r="N7" i="61" s="1"/>
  <c r="N5" i="39"/>
  <c r="N7" i="39" s="1"/>
  <c r="I27" i="22"/>
  <c r="N5" i="21"/>
  <c r="N5" i="57"/>
  <c r="N5" i="3"/>
  <c r="N5" i="43"/>
  <c r="N5" i="63"/>
  <c r="N5" i="32"/>
  <c r="N5" i="79"/>
  <c r="B26" i="45"/>
  <c r="N5" i="78"/>
  <c r="N7" i="78" s="1"/>
  <c r="N5" i="54"/>
  <c r="I29" i="69"/>
  <c r="I25" i="45"/>
  <c r="N5" i="70"/>
  <c r="N7" i="70" s="1"/>
  <c r="B24" i="64"/>
  <c r="N5" i="92"/>
  <c r="N5" i="73"/>
  <c r="N7" i="73" s="1"/>
  <c r="N5" i="19"/>
  <c r="B29" i="34"/>
  <c r="B29" i="71"/>
  <c r="N5" i="29"/>
  <c r="B26" i="74"/>
  <c r="N5" i="77"/>
  <c r="I21" i="77"/>
  <c r="B30" i="69"/>
  <c r="I26" i="41"/>
  <c r="N5" i="68"/>
  <c r="B31" i="28"/>
  <c r="I23" i="64"/>
  <c r="E105" i="35"/>
  <c r="F105" i="35" s="1"/>
  <c r="G105" i="35" s="1"/>
  <c r="G104" i="35"/>
  <c r="I104" i="35" s="1"/>
  <c r="L86" i="44"/>
  <c r="M87" i="44"/>
  <c r="O87" i="44" s="1"/>
  <c r="L86" i="96"/>
  <c r="N87" i="96"/>
  <c r="O87" i="96" s="1"/>
  <c r="M87" i="66"/>
  <c r="L86" i="88"/>
  <c r="L86" i="89"/>
  <c r="M87" i="89"/>
  <c r="O87" i="89" s="1"/>
  <c r="N87" i="62"/>
  <c r="M87" i="62"/>
  <c r="N87" i="22"/>
  <c r="M87" i="22"/>
  <c r="L86" i="22"/>
  <c r="N87" i="84"/>
  <c r="L86" i="84"/>
  <c r="M87" i="84"/>
  <c r="M87" i="79"/>
  <c r="L86" i="27"/>
  <c r="M87" i="67"/>
  <c r="N87" i="88"/>
  <c r="O87" i="88" s="1"/>
  <c r="M87" i="61"/>
  <c r="O87" i="61" s="1"/>
  <c r="L86" i="69"/>
  <c r="N87" i="66"/>
  <c r="N87" i="79"/>
  <c r="M87" i="33"/>
  <c r="L86" i="77"/>
  <c r="N87" i="77"/>
  <c r="M87" i="77"/>
  <c r="L86" i="68"/>
  <c r="M87" i="68"/>
  <c r="O87" i="68" s="1"/>
  <c r="L86" i="29"/>
  <c r="M87" i="39"/>
  <c r="N87" i="39"/>
  <c r="L86" i="75"/>
  <c r="N87" i="93"/>
  <c r="O87" i="93" s="1"/>
  <c r="L86" i="74"/>
  <c r="M87" i="74"/>
  <c r="O87" i="74" s="1"/>
  <c r="L86" i="3"/>
  <c r="L86" i="94"/>
  <c r="N87" i="94"/>
  <c r="O87" i="94" s="1"/>
  <c r="N87" i="87"/>
  <c r="O87" i="87" s="1"/>
  <c r="L86" i="87"/>
  <c r="N87" i="43"/>
  <c r="O87" i="43" s="1"/>
  <c r="L86" i="43"/>
  <c r="L86" i="28"/>
  <c r="L86" i="34"/>
  <c r="L86" i="93"/>
  <c r="N87" i="60"/>
  <c r="L86" i="46"/>
  <c r="N87" i="90"/>
  <c r="O87" i="90" s="1"/>
  <c r="L86" i="90"/>
  <c r="L86" i="70"/>
  <c r="M87" i="70"/>
  <c r="O87" i="70" s="1"/>
  <c r="L86" i="25"/>
  <c r="N87" i="25"/>
  <c r="O87" i="25" s="1"/>
  <c r="N87" i="46"/>
  <c r="O87" i="46" s="1"/>
  <c r="M87" i="24"/>
  <c r="N87" i="24"/>
  <c r="L86" i="24"/>
  <c r="N87" i="95"/>
  <c r="O87" i="95" s="1"/>
  <c r="L86" i="95"/>
  <c r="O87" i="92"/>
  <c r="G22" i="35"/>
  <c r="B23" i="35"/>
  <c r="E23" i="35"/>
  <c r="F23" i="35" s="1"/>
  <c r="H22" i="35"/>
  <c r="I28" i="32"/>
  <c r="N6" i="32"/>
  <c r="N5" i="74"/>
  <c r="I25" i="74"/>
  <c r="N6" i="74"/>
  <c r="N6" i="87"/>
  <c r="I19" i="87"/>
  <c r="N5" i="42"/>
  <c r="N5" i="22"/>
  <c r="N7" i="22" s="1"/>
  <c r="B20" i="87"/>
  <c r="N6" i="42"/>
  <c r="I26" i="42"/>
  <c r="N5" i="87"/>
  <c r="J95" i="29"/>
  <c r="J95" i="22"/>
  <c r="J95" i="92"/>
  <c r="J95" i="58"/>
  <c r="J95" i="18"/>
  <c r="J95" i="30"/>
  <c r="J95" i="65"/>
  <c r="J95" i="39"/>
  <c r="J95" i="91"/>
  <c r="J95" i="59"/>
  <c r="I102" i="35"/>
  <c r="H102" i="35"/>
  <c r="H101" i="35"/>
  <c r="I101" i="35"/>
  <c r="F20" i="36"/>
  <c r="F38" i="36"/>
  <c r="F33" i="36"/>
  <c r="F87" i="36"/>
  <c r="F26" i="36"/>
  <c r="F52" i="36"/>
  <c r="F59" i="36"/>
  <c r="F65" i="36"/>
  <c r="F64" i="36"/>
  <c r="F43" i="36"/>
  <c r="F63" i="36"/>
  <c r="F88" i="36"/>
  <c r="F61" i="36"/>
  <c r="F58" i="36"/>
  <c r="F24" i="36"/>
  <c r="F62" i="36"/>
  <c r="F70" i="36"/>
  <c r="F47" i="36"/>
  <c r="D18" i="13" l="1"/>
  <c r="B18" i="13" s="1"/>
  <c r="G17" i="13"/>
  <c r="K17" i="13" s="1"/>
  <c r="N7" i="101"/>
  <c r="E17" i="102"/>
  <c r="F17" i="102" s="1"/>
  <c r="H17" i="102" s="1"/>
  <c r="E26" i="101"/>
  <c r="F26" i="101" s="1"/>
  <c r="E99" i="100"/>
  <c r="F99" i="100" s="1"/>
  <c r="C99" i="100"/>
  <c r="C100" i="100" s="1"/>
  <c r="C101" i="100" s="1"/>
  <c r="C102" i="100" s="1"/>
  <c r="C103" i="100" s="1"/>
  <c r="C104" i="100" s="1"/>
  <c r="C105" i="100" s="1"/>
  <c r="C106" i="100" s="1"/>
  <c r="C107" i="100" s="1"/>
  <c r="C108" i="100" s="1"/>
  <c r="C109" i="100" s="1"/>
  <c r="C110" i="100" s="1"/>
  <c r="C111" i="100" s="1"/>
  <c r="C112" i="100" s="1"/>
  <c r="C113" i="100" s="1"/>
  <c r="C114" i="100" s="1"/>
  <c r="C115" i="100" s="1"/>
  <c r="C116" i="100" s="1"/>
  <c r="C117" i="100" s="1"/>
  <c r="C118" i="100" s="1"/>
  <c r="C119" i="100" s="1"/>
  <c r="C120" i="100" s="1"/>
  <c r="C121" i="100" s="1"/>
  <c r="C122" i="100" s="1"/>
  <c r="C123" i="100" s="1"/>
  <c r="C124" i="100" s="1"/>
  <c r="C125" i="100" s="1"/>
  <c r="C126" i="100" s="1"/>
  <c r="C127" i="100" s="1"/>
  <c r="C128" i="100" s="1"/>
  <c r="C129" i="100" s="1"/>
  <c r="C130" i="100" s="1"/>
  <c r="C131" i="100" s="1"/>
  <c r="C132" i="100" s="1"/>
  <c r="C133" i="100" s="1"/>
  <c r="C134" i="100" s="1"/>
  <c r="C135" i="100" s="1"/>
  <c r="C136" i="100" s="1"/>
  <c r="C137" i="100" s="1"/>
  <c r="C138" i="100" s="1"/>
  <c r="C139" i="100" s="1"/>
  <c r="C140" i="100" s="1"/>
  <c r="C141" i="100" s="1"/>
  <c r="C142" i="100" s="1"/>
  <c r="C143" i="100" s="1"/>
  <c r="C144" i="100" s="1"/>
  <c r="C145" i="100" s="1"/>
  <c r="C146" i="100" s="1"/>
  <c r="C147" i="100" s="1"/>
  <c r="C148" i="100" s="1"/>
  <c r="C149" i="100" s="1"/>
  <c r="C150" i="100" s="1"/>
  <c r="C151" i="100" s="1"/>
  <c r="C152" i="100" s="1"/>
  <c r="C153" i="100" s="1"/>
  <c r="C154" i="100" s="1"/>
  <c r="D99" i="100"/>
  <c r="D107" i="101"/>
  <c r="C99" i="101"/>
  <c r="C100" i="101" s="1"/>
  <c r="C101" i="101" s="1"/>
  <c r="C102" i="101" s="1"/>
  <c r="C103" i="101" s="1"/>
  <c r="C104" i="101" s="1"/>
  <c r="C105" i="101" s="1"/>
  <c r="C106" i="101" s="1"/>
  <c r="C107" i="101" s="1"/>
  <c r="C108" i="101" s="1"/>
  <c r="C109" i="101" s="1"/>
  <c r="C110" i="101" s="1"/>
  <c r="C111" i="101" s="1"/>
  <c r="C112" i="101" s="1"/>
  <c r="C113" i="101" s="1"/>
  <c r="C114" i="101" s="1"/>
  <c r="C115" i="101" s="1"/>
  <c r="C116" i="101" s="1"/>
  <c r="C117" i="101" s="1"/>
  <c r="C118" i="101" s="1"/>
  <c r="C119" i="101" s="1"/>
  <c r="C120" i="101" s="1"/>
  <c r="C121" i="101" s="1"/>
  <c r="C122" i="101" s="1"/>
  <c r="C123" i="101" s="1"/>
  <c r="C124" i="101" s="1"/>
  <c r="C125" i="101" s="1"/>
  <c r="C126" i="101" s="1"/>
  <c r="C127" i="101" s="1"/>
  <c r="C128" i="101" s="1"/>
  <c r="C129" i="101" s="1"/>
  <c r="C130" i="101" s="1"/>
  <c r="C131" i="101" s="1"/>
  <c r="C132" i="101" s="1"/>
  <c r="C133" i="101" s="1"/>
  <c r="C134" i="101" s="1"/>
  <c r="C135" i="101" s="1"/>
  <c r="C136" i="101" s="1"/>
  <c r="C137" i="101" s="1"/>
  <c r="C138" i="101" s="1"/>
  <c r="C139" i="101" s="1"/>
  <c r="C140" i="101" s="1"/>
  <c r="C141" i="101" s="1"/>
  <c r="C142" i="101" s="1"/>
  <c r="C143" i="101" s="1"/>
  <c r="C144" i="101" s="1"/>
  <c r="C145" i="101" s="1"/>
  <c r="C146" i="101" s="1"/>
  <c r="C147" i="101" s="1"/>
  <c r="C148" i="101" s="1"/>
  <c r="C149" i="101" s="1"/>
  <c r="C150" i="101" s="1"/>
  <c r="C151" i="101" s="1"/>
  <c r="C152" i="101" s="1"/>
  <c r="C153" i="101" s="1"/>
  <c r="C154" i="101" s="1"/>
  <c r="D100" i="102"/>
  <c r="G99" i="102"/>
  <c r="H17" i="100"/>
  <c r="I17" i="100" s="1"/>
  <c r="H18" i="100"/>
  <c r="I18" i="100" s="1"/>
  <c r="H19" i="100"/>
  <c r="I19" i="100" s="1"/>
  <c r="H20" i="100"/>
  <c r="I20" i="100" s="1"/>
  <c r="H21" i="100"/>
  <c r="I21" i="100" s="1"/>
  <c r="H22" i="100"/>
  <c r="I22" i="100" s="1"/>
  <c r="H23" i="100"/>
  <c r="I23" i="100" s="1"/>
  <c r="H24" i="100"/>
  <c r="I24" i="100" s="1"/>
  <c r="H25" i="100"/>
  <c r="H26" i="100"/>
  <c r="I26" i="100" s="1"/>
  <c r="H27" i="100"/>
  <c r="I27" i="100" s="1"/>
  <c r="H28" i="100"/>
  <c r="I28" i="100" s="1"/>
  <c r="H29" i="100"/>
  <c r="I29" i="100" s="1"/>
  <c r="H30" i="100"/>
  <c r="I30" i="100" s="1"/>
  <c r="H31" i="100"/>
  <c r="I31" i="100" s="1"/>
  <c r="L17" i="13"/>
  <c r="M87" i="13"/>
  <c r="N17" i="13"/>
  <c r="N87" i="13"/>
  <c r="D33" i="100"/>
  <c r="E33" i="100" s="1"/>
  <c r="H32" i="100"/>
  <c r="I32" i="100" s="1"/>
  <c r="N7" i="83"/>
  <c r="N7" i="89"/>
  <c r="M87" i="19"/>
  <c r="L30" i="18"/>
  <c r="M87" i="18"/>
  <c r="M87" i="28"/>
  <c r="M87" i="3"/>
  <c r="M87" i="29"/>
  <c r="M87" i="23"/>
  <c r="L32" i="30"/>
  <c r="M87" i="30"/>
  <c r="E18" i="13"/>
  <c r="F18" i="13" s="1"/>
  <c r="G18" i="13" s="1"/>
  <c r="N7" i="90"/>
  <c r="M32" i="30"/>
  <c r="M32" i="29"/>
  <c r="M33" i="28"/>
  <c r="O87" i="32"/>
  <c r="N7" i="28"/>
  <c r="C100" i="82"/>
  <c r="C101" i="82" s="1"/>
  <c r="C102" i="82" s="1"/>
  <c r="C103" i="82" s="1"/>
  <c r="C104" i="82" s="1"/>
  <c r="C105" i="82" s="1"/>
  <c r="C106" i="82" s="1"/>
  <c r="C107" i="82" s="1"/>
  <c r="C108" i="82" s="1"/>
  <c r="C109" i="82" s="1"/>
  <c r="C110" i="82" s="1"/>
  <c r="C111" i="82" s="1"/>
  <c r="C112" i="82" s="1"/>
  <c r="C113" i="82" s="1"/>
  <c r="C114" i="82" s="1"/>
  <c r="C115" i="82" s="1"/>
  <c r="C116" i="82" s="1"/>
  <c r="C117" i="82" s="1"/>
  <c r="C118" i="82" s="1"/>
  <c r="C119" i="82" s="1"/>
  <c r="C120" i="82" s="1"/>
  <c r="C121" i="82" s="1"/>
  <c r="C122" i="82" s="1"/>
  <c r="C123" i="82" s="1"/>
  <c r="C124" i="82" s="1"/>
  <c r="C125" i="82" s="1"/>
  <c r="C126" i="82" s="1"/>
  <c r="C127" i="82" s="1"/>
  <c r="C128" i="82" s="1"/>
  <c r="C129" i="82" s="1"/>
  <c r="C130" i="82" s="1"/>
  <c r="C131" i="82" s="1"/>
  <c r="C132" i="82" s="1"/>
  <c r="C133" i="82" s="1"/>
  <c r="C134" i="82" s="1"/>
  <c r="C135" i="82" s="1"/>
  <c r="C136" i="82" s="1"/>
  <c r="C137" i="82" s="1"/>
  <c r="C138" i="82" s="1"/>
  <c r="C139" i="82" s="1"/>
  <c r="C140" i="82" s="1"/>
  <c r="C141" i="82" s="1"/>
  <c r="C142" i="82" s="1"/>
  <c r="C143" i="82" s="1"/>
  <c r="C144" i="82" s="1"/>
  <c r="C145" i="82" s="1"/>
  <c r="C146" i="82" s="1"/>
  <c r="C147" i="82" s="1"/>
  <c r="C148" i="82" s="1"/>
  <c r="C149" i="82" s="1"/>
  <c r="C150" i="82" s="1"/>
  <c r="C151" i="82" s="1"/>
  <c r="C152" i="82" s="1"/>
  <c r="C153" i="82" s="1"/>
  <c r="C154" i="82" s="1"/>
  <c r="M31" i="23"/>
  <c r="D19" i="26"/>
  <c r="E19" i="26" s="1"/>
  <c r="F19" i="26" s="1"/>
  <c r="H19" i="26" s="1"/>
  <c r="N7" i="46"/>
  <c r="N7" i="92"/>
  <c r="I17" i="33"/>
  <c r="O17" i="26"/>
  <c r="I17" i="26"/>
  <c r="M30" i="19"/>
  <c r="E25" i="1"/>
  <c r="E26" i="1" s="1"/>
  <c r="F53" i="1" s="1"/>
  <c r="N7" i="85"/>
  <c r="I17" i="13"/>
  <c r="M30" i="18"/>
  <c r="H18" i="25"/>
  <c r="I18" i="25" s="1"/>
  <c r="M30" i="17"/>
  <c r="N30" i="17" s="1"/>
  <c r="O30" i="17" s="1"/>
  <c r="D19" i="25"/>
  <c r="B19" i="25" s="1"/>
  <c r="D99" i="13"/>
  <c r="M30" i="3"/>
  <c r="G18" i="26"/>
  <c r="I18" i="26" s="1"/>
  <c r="E99" i="13"/>
  <c r="E32" i="2"/>
  <c r="N7" i="34"/>
  <c r="I17" i="25"/>
  <c r="E18" i="33"/>
  <c r="F18" i="33" s="1"/>
  <c r="G18" i="33" s="1"/>
  <c r="B18" i="33"/>
  <c r="N7" i="75"/>
  <c r="O87" i="31"/>
  <c r="N7" i="77"/>
  <c r="N7" i="23"/>
  <c r="N7" i="57"/>
  <c r="C22" i="17"/>
  <c r="C23" i="17" s="1"/>
  <c r="C24" i="17" s="1"/>
  <c r="C25" i="17" s="1"/>
  <c r="C26" i="17" s="1"/>
  <c r="C27" i="17" s="1"/>
  <c r="C28" i="17" s="1"/>
  <c r="C29" i="17" s="1"/>
  <c r="C30" i="17" s="1"/>
  <c r="C31" i="17" s="1"/>
  <c r="C32" i="17" s="1"/>
  <c r="C33" i="17" s="1"/>
  <c r="C34" i="17" s="1"/>
  <c r="C35" i="17" s="1"/>
  <c r="C36" i="17" s="1"/>
  <c r="C37" i="17" s="1"/>
  <c r="O87" i="85"/>
  <c r="G88" i="36"/>
  <c r="G61" i="36"/>
  <c r="G20" i="36"/>
  <c r="O87" i="76"/>
  <c r="O87" i="59"/>
  <c r="N7" i="43"/>
  <c r="N7" i="98"/>
  <c r="B20" i="98"/>
  <c r="B20" i="97"/>
  <c r="B20" i="99"/>
  <c r="N7" i="84"/>
  <c r="O87" i="64"/>
  <c r="O87" i="60"/>
  <c r="B30" i="31"/>
  <c r="N7" i="21"/>
  <c r="B100" i="99"/>
  <c r="L99" i="99"/>
  <c r="M99" i="99" s="1"/>
  <c r="B100" i="97"/>
  <c r="L99" i="98"/>
  <c r="M99" i="98" s="1"/>
  <c r="B100" i="98"/>
  <c r="C99" i="43"/>
  <c r="C100" i="43" s="1"/>
  <c r="C101" i="43" s="1"/>
  <c r="C102" i="43" s="1"/>
  <c r="C103" i="43" s="1"/>
  <c r="C104" i="43" s="1"/>
  <c r="C105" i="43" s="1"/>
  <c r="C106" i="43" s="1"/>
  <c r="C107" i="43" s="1"/>
  <c r="C108" i="43" s="1"/>
  <c r="C109" i="43" s="1"/>
  <c r="C110" i="43" s="1"/>
  <c r="C111" i="43" s="1"/>
  <c r="C112" i="43" s="1"/>
  <c r="C113" i="43" s="1"/>
  <c r="C114" i="43" s="1"/>
  <c r="C115" i="43" s="1"/>
  <c r="C116" i="43" s="1"/>
  <c r="C117" i="43" s="1"/>
  <c r="C118" i="43" s="1"/>
  <c r="C119" i="43" s="1"/>
  <c r="C120" i="43" s="1"/>
  <c r="C121" i="43" s="1"/>
  <c r="C122" i="43" s="1"/>
  <c r="C123" i="43" s="1"/>
  <c r="C124" i="43" s="1"/>
  <c r="C125" i="43" s="1"/>
  <c r="C126" i="43" s="1"/>
  <c r="C127" i="43" s="1"/>
  <c r="C128" i="43" s="1"/>
  <c r="C129" i="43" s="1"/>
  <c r="C130" i="43" s="1"/>
  <c r="C131" i="43" s="1"/>
  <c r="C132" i="43" s="1"/>
  <c r="C133" i="43" s="1"/>
  <c r="C134" i="43" s="1"/>
  <c r="C135" i="43" s="1"/>
  <c r="C136" i="43" s="1"/>
  <c r="C137" i="43" s="1"/>
  <c r="C138" i="43" s="1"/>
  <c r="C139" i="43" s="1"/>
  <c r="C140" i="43" s="1"/>
  <c r="C141" i="43" s="1"/>
  <c r="C142" i="43" s="1"/>
  <c r="C143" i="43" s="1"/>
  <c r="C144" i="43" s="1"/>
  <c r="C145" i="43" s="1"/>
  <c r="C146" i="43" s="1"/>
  <c r="C147" i="43" s="1"/>
  <c r="C148" i="43" s="1"/>
  <c r="C149" i="43" s="1"/>
  <c r="C150" i="43" s="1"/>
  <c r="C151" i="43" s="1"/>
  <c r="C152" i="43" s="1"/>
  <c r="C153" i="43" s="1"/>
  <c r="C154" i="43" s="1"/>
  <c r="B110" i="30"/>
  <c r="N7" i="53"/>
  <c r="N7" i="99"/>
  <c r="N7" i="97"/>
  <c r="N7" i="3"/>
  <c r="O87" i="33"/>
  <c r="N7" i="64"/>
  <c r="I29" i="31"/>
  <c r="I20" i="86"/>
  <c r="I20" i="88"/>
  <c r="N7" i="76"/>
  <c r="G87" i="36"/>
  <c r="N7" i="86"/>
  <c r="N7" i="81"/>
  <c r="N7" i="79"/>
  <c r="O87" i="67"/>
  <c r="I23" i="67"/>
  <c r="N7" i="32"/>
  <c r="N7" i="19"/>
  <c r="I28" i="18"/>
  <c r="O87" i="66"/>
  <c r="O87" i="65"/>
  <c r="B100" i="95"/>
  <c r="G43" i="36"/>
  <c r="G26" i="36"/>
  <c r="G59" i="36"/>
  <c r="G47" i="36"/>
  <c r="G58" i="36"/>
  <c r="C99" i="54"/>
  <c r="C100" i="54" s="1"/>
  <c r="C101" i="54" s="1"/>
  <c r="C102" i="54" s="1"/>
  <c r="C103" i="54" s="1"/>
  <c r="C104" i="54" s="1"/>
  <c r="C105" i="54" s="1"/>
  <c r="C106" i="54" s="1"/>
  <c r="C107" i="54" s="1"/>
  <c r="C108" i="54" s="1"/>
  <c r="C109" i="54" s="1"/>
  <c r="C110" i="54" s="1"/>
  <c r="C111" i="54" s="1"/>
  <c r="C112" i="54" s="1"/>
  <c r="C113" i="54" s="1"/>
  <c r="C114" i="54" s="1"/>
  <c r="C115" i="54" s="1"/>
  <c r="C116" i="54" s="1"/>
  <c r="C117" i="54" s="1"/>
  <c r="C118" i="54" s="1"/>
  <c r="C119" i="54" s="1"/>
  <c r="C120" i="54" s="1"/>
  <c r="C121" i="54" s="1"/>
  <c r="C122" i="54" s="1"/>
  <c r="C123" i="54" s="1"/>
  <c r="C124" i="54" s="1"/>
  <c r="C125" i="54" s="1"/>
  <c r="C126" i="54" s="1"/>
  <c r="C127" i="54" s="1"/>
  <c r="C128" i="54" s="1"/>
  <c r="C129" i="54" s="1"/>
  <c r="C130" i="54" s="1"/>
  <c r="C131" i="54" s="1"/>
  <c r="C132" i="54" s="1"/>
  <c r="C133" i="54" s="1"/>
  <c r="C134" i="54" s="1"/>
  <c r="C135" i="54" s="1"/>
  <c r="C136" i="54" s="1"/>
  <c r="C137" i="54" s="1"/>
  <c r="C138" i="54" s="1"/>
  <c r="C139" i="54" s="1"/>
  <c r="C140" i="54" s="1"/>
  <c r="C141" i="54" s="1"/>
  <c r="C142" i="54" s="1"/>
  <c r="C143" i="54" s="1"/>
  <c r="C144" i="54" s="1"/>
  <c r="C145" i="54" s="1"/>
  <c r="C146" i="54" s="1"/>
  <c r="C147" i="54" s="1"/>
  <c r="C148" i="54" s="1"/>
  <c r="C149" i="54" s="1"/>
  <c r="C150" i="54" s="1"/>
  <c r="C151" i="54" s="1"/>
  <c r="C152" i="54" s="1"/>
  <c r="C153" i="54" s="1"/>
  <c r="C154" i="54" s="1"/>
  <c r="C99" i="29"/>
  <c r="D99" i="29" s="1"/>
  <c r="E99" i="26"/>
  <c r="F99" i="26" s="1"/>
  <c r="D100" i="26" s="1"/>
  <c r="B100" i="26" s="1"/>
  <c r="N7" i="88"/>
  <c r="N7" i="68"/>
  <c r="C99" i="25"/>
  <c r="D99" i="25" s="1"/>
  <c r="N7" i="94"/>
  <c r="N7" i="41"/>
  <c r="C99" i="91"/>
  <c r="C100" i="91" s="1"/>
  <c r="C101" i="91" s="1"/>
  <c r="C102" i="91" s="1"/>
  <c r="C103" i="91" s="1"/>
  <c r="C104" i="91" s="1"/>
  <c r="C105" i="91" s="1"/>
  <c r="C106" i="91" s="1"/>
  <c r="C107" i="91" s="1"/>
  <c r="C108" i="91" s="1"/>
  <c r="C109" i="91" s="1"/>
  <c r="C110" i="91" s="1"/>
  <c r="C111" i="91" s="1"/>
  <c r="C112" i="91" s="1"/>
  <c r="C113" i="91" s="1"/>
  <c r="C114" i="91" s="1"/>
  <c r="C115" i="91" s="1"/>
  <c r="C116" i="91" s="1"/>
  <c r="C117" i="91" s="1"/>
  <c r="C118" i="91" s="1"/>
  <c r="C119" i="91" s="1"/>
  <c r="C120" i="91" s="1"/>
  <c r="C121" i="91" s="1"/>
  <c r="C122" i="91" s="1"/>
  <c r="C123" i="91" s="1"/>
  <c r="C124" i="91" s="1"/>
  <c r="C125" i="91" s="1"/>
  <c r="C126" i="91" s="1"/>
  <c r="C127" i="91" s="1"/>
  <c r="C128" i="91" s="1"/>
  <c r="C129" i="91" s="1"/>
  <c r="C130" i="91" s="1"/>
  <c r="C131" i="91" s="1"/>
  <c r="C132" i="91" s="1"/>
  <c r="C133" i="91" s="1"/>
  <c r="C134" i="91" s="1"/>
  <c r="C135" i="91" s="1"/>
  <c r="C136" i="91" s="1"/>
  <c r="C137" i="91" s="1"/>
  <c r="C138" i="91" s="1"/>
  <c r="C139" i="91" s="1"/>
  <c r="C140" i="91" s="1"/>
  <c r="C141" i="91" s="1"/>
  <c r="C142" i="91" s="1"/>
  <c r="C143" i="91" s="1"/>
  <c r="C144" i="91" s="1"/>
  <c r="C145" i="91" s="1"/>
  <c r="C146" i="91" s="1"/>
  <c r="C147" i="91" s="1"/>
  <c r="C148" i="91" s="1"/>
  <c r="C149" i="91" s="1"/>
  <c r="C150" i="91" s="1"/>
  <c r="C151" i="91" s="1"/>
  <c r="C152" i="91" s="1"/>
  <c r="C153" i="91" s="1"/>
  <c r="C154" i="91" s="1"/>
  <c r="C99" i="27"/>
  <c r="C100" i="27" s="1"/>
  <c r="C101" i="27" s="1"/>
  <c r="C102" i="27" s="1"/>
  <c r="C103" i="27" s="1"/>
  <c r="C104" i="27" s="1"/>
  <c r="C105" i="27" s="1"/>
  <c r="C106" i="27" s="1"/>
  <c r="C107" i="27" s="1"/>
  <c r="C108" i="27" s="1"/>
  <c r="C109" i="27" s="1"/>
  <c r="C110" i="27" s="1"/>
  <c r="C111" i="27" s="1"/>
  <c r="C112" i="27" s="1"/>
  <c r="C113" i="27" s="1"/>
  <c r="C114" i="27" s="1"/>
  <c r="C115" i="27" s="1"/>
  <c r="C116" i="27" s="1"/>
  <c r="C117" i="27" s="1"/>
  <c r="C118" i="27" s="1"/>
  <c r="C119" i="27" s="1"/>
  <c r="C120" i="27" s="1"/>
  <c r="C121" i="27" s="1"/>
  <c r="C122" i="27" s="1"/>
  <c r="C123" i="27" s="1"/>
  <c r="C124" i="27" s="1"/>
  <c r="C125" i="27" s="1"/>
  <c r="C126" i="27" s="1"/>
  <c r="C127" i="27" s="1"/>
  <c r="C128" i="27" s="1"/>
  <c r="C129" i="27" s="1"/>
  <c r="C130" i="27" s="1"/>
  <c r="C131" i="27" s="1"/>
  <c r="C132" i="27" s="1"/>
  <c r="C133" i="27" s="1"/>
  <c r="C134" i="27" s="1"/>
  <c r="C135" i="27" s="1"/>
  <c r="C136" i="27" s="1"/>
  <c r="C137" i="27" s="1"/>
  <c r="C138" i="27" s="1"/>
  <c r="C139" i="27" s="1"/>
  <c r="C140" i="27" s="1"/>
  <c r="C141" i="27" s="1"/>
  <c r="C142" i="27" s="1"/>
  <c r="C143" i="27" s="1"/>
  <c r="C144" i="27" s="1"/>
  <c r="C145" i="27" s="1"/>
  <c r="C146" i="27" s="1"/>
  <c r="C147" i="27" s="1"/>
  <c r="C148" i="27" s="1"/>
  <c r="C149" i="27" s="1"/>
  <c r="C150" i="27" s="1"/>
  <c r="C151" i="27" s="1"/>
  <c r="C152" i="27" s="1"/>
  <c r="C153" i="27" s="1"/>
  <c r="C154" i="27" s="1"/>
  <c r="E99" i="25"/>
  <c r="N7" i="80"/>
  <c r="C99" i="45"/>
  <c r="C100" i="45" s="1"/>
  <c r="C101" i="45" s="1"/>
  <c r="C102" i="45" s="1"/>
  <c r="C103" i="45" s="1"/>
  <c r="C104" i="45" s="1"/>
  <c r="C105" i="45" s="1"/>
  <c r="C106" i="45" s="1"/>
  <c r="C107" i="45" s="1"/>
  <c r="C108" i="45" s="1"/>
  <c r="C109" i="45" s="1"/>
  <c r="C110" i="45" s="1"/>
  <c r="C111" i="45" s="1"/>
  <c r="C112" i="45" s="1"/>
  <c r="C113" i="45" s="1"/>
  <c r="C114" i="45" s="1"/>
  <c r="C115" i="45" s="1"/>
  <c r="C116" i="45" s="1"/>
  <c r="C117" i="45" s="1"/>
  <c r="C118" i="45" s="1"/>
  <c r="C119" i="45" s="1"/>
  <c r="C120" i="45" s="1"/>
  <c r="C121" i="45" s="1"/>
  <c r="C122" i="45" s="1"/>
  <c r="C123" i="45" s="1"/>
  <c r="C124" i="45" s="1"/>
  <c r="C125" i="45" s="1"/>
  <c r="C126" i="45" s="1"/>
  <c r="C127" i="45" s="1"/>
  <c r="C128" i="45" s="1"/>
  <c r="C129" i="45" s="1"/>
  <c r="C130" i="45" s="1"/>
  <c r="C131" i="45" s="1"/>
  <c r="C132" i="45" s="1"/>
  <c r="C133" i="45" s="1"/>
  <c r="C134" i="45" s="1"/>
  <c r="C135" i="45" s="1"/>
  <c r="C136" i="45" s="1"/>
  <c r="C137" i="45" s="1"/>
  <c r="C138" i="45" s="1"/>
  <c r="C139" i="45" s="1"/>
  <c r="C140" i="45" s="1"/>
  <c r="C141" i="45" s="1"/>
  <c r="C142" i="45" s="1"/>
  <c r="C143" i="45" s="1"/>
  <c r="C144" i="45" s="1"/>
  <c r="C145" i="45" s="1"/>
  <c r="C146" i="45" s="1"/>
  <c r="C147" i="45" s="1"/>
  <c r="C148" i="45" s="1"/>
  <c r="C149" i="45" s="1"/>
  <c r="C150" i="45" s="1"/>
  <c r="C151" i="45" s="1"/>
  <c r="C152" i="45" s="1"/>
  <c r="C153" i="45" s="1"/>
  <c r="C154" i="45" s="1"/>
  <c r="C99" i="81"/>
  <c r="C100" i="81" s="1"/>
  <c r="C101" i="81" s="1"/>
  <c r="C102" i="81" s="1"/>
  <c r="C103" i="81" s="1"/>
  <c r="C104" i="81" s="1"/>
  <c r="C105" i="81" s="1"/>
  <c r="C106" i="81" s="1"/>
  <c r="C107" i="81" s="1"/>
  <c r="C108" i="81" s="1"/>
  <c r="C109" i="81" s="1"/>
  <c r="C110" i="81" s="1"/>
  <c r="C111" i="81" s="1"/>
  <c r="C112" i="81" s="1"/>
  <c r="C113" i="81" s="1"/>
  <c r="C114" i="81" s="1"/>
  <c r="C115" i="81" s="1"/>
  <c r="C116" i="81" s="1"/>
  <c r="C117" i="81" s="1"/>
  <c r="C118" i="81" s="1"/>
  <c r="C119" i="81" s="1"/>
  <c r="C120" i="81" s="1"/>
  <c r="C121" i="81" s="1"/>
  <c r="C122" i="81" s="1"/>
  <c r="C123" i="81" s="1"/>
  <c r="C124" i="81" s="1"/>
  <c r="C125" i="81" s="1"/>
  <c r="C126" i="81" s="1"/>
  <c r="C127" i="81" s="1"/>
  <c r="C128" i="81" s="1"/>
  <c r="C129" i="81" s="1"/>
  <c r="C130" i="81" s="1"/>
  <c r="C131" i="81" s="1"/>
  <c r="C132" i="81" s="1"/>
  <c r="C133" i="81" s="1"/>
  <c r="C134" i="81" s="1"/>
  <c r="C135" i="81" s="1"/>
  <c r="C136" i="81" s="1"/>
  <c r="C137" i="81" s="1"/>
  <c r="C138" i="81" s="1"/>
  <c r="C139" i="81" s="1"/>
  <c r="C140" i="81" s="1"/>
  <c r="C141" i="81" s="1"/>
  <c r="C142" i="81" s="1"/>
  <c r="C143" i="81" s="1"/>
  <c r="C144" i="81" s="1"/>
  <c r="C145" i="81" s="1"/>
  <c r="C146" i="81" s="1"/>
  <c r="C147" i="81" s="1"/>
  <c r="C148" i="81" s="1"/>
  <c r="C149" i="81" s="1"/>
  <c r="C150" i="81" s="1"/>
  <c r="C151" i="81" s="1"/>
  <c r="C152" i="81" s="1"/>
  <c r="C153" i="81" s="1"/>
  <c r="C154" i="81" s="1"/>
  <c r="C99" i="3"/>
  <c r="C100" i="3" s="1"/>
  <c r="C101" i="3" s="1"/>
  <c r="C102" i="3" s="1"/>
  <c r="C103" i="3" s="1"/>
  <c r="C104" i="3" s="1"/>
  <c r="C105" i="3" s="1"/>
  <c r="C106" i="3" s="1"/>
  <c r="C107" i="3" s="1"/>
  <c r="C108" i="3" s="1"/>
  <c r="C109" i="3" s="1"/>
  <c r="C110" i="3" s="1"/>
  <c r="C111" i="3" s="1"/>
  <c r="C112" i="3" s="1"/>
  <c r="C113" i="3" s="1"/>
  <c r="C114" i="3" s="1"/>
  <c r="C115" i="3" s="1"/>
  <c r="C116" i="3" s="1"/>
  <c r="C117" i="3" s="1"/>
  <c r="C118" i="3" s="1"/>
  <c r="C119" i="3" s="1"/>
  <c r="C120" i="3" s="1"/>
  <c r="C121" i="3" s="1"/>
  <c r="C122" i="3" s="1"/>
  <c r="C123" i="3" s="1"/>
  <c r="C124" i="3" s="1"/>
  <c r="C125" i="3" s="1"/>
  <c r="C126" i="3" s="1"/>
  <c r="C127" i="3" s="1"/>
  <c r="C128" i="3" s="1"/>
  <c r="C129" i="3" s="1"/>
  <c r="C130" i="3" s="1"/>
  <c r="C131" i="3" s="1"/>
  <c r="C132" i="3" s="1"/>
  <c r="C133" i="3" s="1"/>
  <c r="C134" i="3" s="1"/>
  <c r="C135" i="3" s="1"/>
  <c r="C136" i="3" s="1"/>
  <c r="C137" i="3" s="1"/>
  <c r="C138" i="3" s="1"/>
  <c r="C139" i="3" s="1"/>
  <c r="C140" i="3" s="1"/>
  <c r="C141" i="3" s="1"/>
  <c r="C142" i="3" s="1"/>
  <c r="C143" i="3" s="1"/>
  <c r="C144" i="3" s="1"/>
  <c r="C145" i="3" s="1"/>
  <c r="C146" i="3" s="1"/>
  <c r="C147" i="3" s="1"/>
  <c r="C148" i="3" s="1"/>
  <c r="C149" i="3" s="1"/>
  <c r="C150" i="3" s="1"/>
  <c r="C151" i="3" s="1"/>
  <c r="C152" i="3" s="1"/>
  <c r="C153" i="3" s="1"/>
  <c r="C154" i="3" s="1"/>
  <c r="F99" i="33"/>
  <c r="N7" i="29"/>
  <c r="N7" i="54"/>
  <c r="N7" i="93"/>
  <c r="N7" i="91"/>
  <c r="C99" i="64"/>
  <c r="C100" i="64" s="1"/>
  <c r="C101" i="64" s="1"/>
  <c r="C102" i="64" s="1"/>
  <c r="C103" i="64" s="1"/>
  <c r="C104" i="64" s="1"/>
  <c r="C105" i="64" s="1"/>
  <c r="C106" i="64" s="1"/>
  <c r="C107" i="64" s="1"/>
  <c r="C108" i="64" s="1"/>
  <c r="C109" i="64" s="1"/>
  <c r="C110" i="64" s="1"/>
  <c r="C111" i="64" s="1"/>
  <c r="C112" i="64" s="1"/>
  <c r="C113" i="64" s="1"/>
  <c r="C114" i="64" s="1"/>
  <c r="C115" i="64" s="1"/>
  <c r="C116" i="64" s="1"/>
  <c r="C117" i="64" s="1"/>
  <c r="C118" i="64" s="1"/>
  <c r="C119" i="64" s="1"/>
  <c r="C120" i="64" s="1"/>
  <c r="C121" i="64" s="1"/>
  <c r="C122" i="64" s="1"/>
  <c r="C123" i="64" s="1"/>
  <c r="C124" i="64" s="1"/>
  <c r="C125" i="64" s="1"/>
  <c r="C126" i="64" s="1"/>
  <c r="C127" i="64" s="1"/>
  <c r="C128" i="64" s="1"/>
  <c r="C129" i="64" s="1"/>
  <c r="C130" i="64" s="1"/>
  <c r="C131" i="64" s="1"/>
  <c r="C132" i="64" s="1"/>
  <c r="C133" i="64" s="1"/>
  <c r="C134" i="64" s="1"/>
  <c r="C135" i="64" s="1"/>
  <c r="C136" i="64" s="1"/>
  <c r="C137" i="64" s="1"/>
  <c r="C138" i="64" s="1"/>
  <c r="C139" i="64" s="1"/>
  <c r="C140" i="64" s="1"/>
  <c r="C141" i="64" s="1"/>
  <c r="C142" i="64" s="1"/>
  <c r="C143" i="64" s="1"/>
  <c r="C144" i="64" s="1"/>
  <c r="C145" i="64" s="1"/>
  <c r="C146" i="64" s="1"/>
  <c r="C147" i="64" s="1"/>
  <c r="C148" i="64" s="1"/>
  <c r="C149" i="64" s="1"/>
  <c r="C150" i="64" s="1"/>
  <c r="C151" i="64" s="1"/>
  <c r="C152" i="64" s="1"/>
  <c r="C153" i="64" s="1"/>
  <c r="C154" i="64" s="1"/>
  <c r="C99" i="21"/>
  <c r="C100" i="21" s="1"/>
  <c r="C101" i="21" s="1"/>
  <c r="C102" i="21" s="1"/>
  <c r="C103" i="21" s="1"/>
  <c r="C104" i="21" s="1"/>
  <c r="C105" i="21" s="1"/>
  <c r="C106" i="21" s="1"/>
  <c r="C107" i="21" s="1"/>
  <c r="C108" i="21" s="1"/>
  <c r="C109" i="21" s="1"/>
  <c r="C110" i="21" s="1"/>
  <c r="C111" i="21" s="1"/>
  <c r="C112" i="21" s="1"/>
  <c r="C113" i="21" s="1"/>
  <c r="C114" i="21" s="1"/>
  <c r="C115" i="21" s="1"/>
  <c r="C116" i="21" s="1"/>
  <c r="C117" i="21" s="1"/>
  <c r="C118" i="21" s="1"/>
  <c r="C119" i="21" s="1"/>
  <c r="C120" i="21" s="1"/>
  <c r="C121" i="21" s="1"/>
  <c r="C122" i="21" s="1"/>
  <c r="C123" i="21" s="1"/>
  <c r="C124" i="21" s="1"/>
  <c r="C125" i="21" s="1"/>
  <c r="C126" i="21" s="1"/>
  <c r="C127" i="21" s="1"/>
  <c r="C128" i="21" s="1"/>
  <c r="C129" i="21" s="1"/>
  <c r="C130" i="21" s="1"/>
  <c r="C131" i="21" s="1"/>
  <c r="C132" i="21" s="1"/>
  <c r="C133" i="21" s="1"/>
  <c r="C134" i="21" s="1"/>
  <c r="C135" i="21" s="1"/>
  <c r="C136" i="21" s="1"/>
  <c r="C137" i="21" s="1"/>
  <c r="C138" i="21" s="1"/>
  <c r="C139" i="21" s="1"/>
  <c r="C140" i="21" s="1"/>
  <c r="C141" i="21" s="1"/>
  <c r="C142" i="21" s="1"/>
  <c r="C143" i="21" s="1"/>
  <c r="C144" i="21" s="1"/>
  <c r="C145" i="21" s="1"/>
  <c r="C146" i="21" s="1"/>
  <c r="C147" i="21" s="1"/>
  <c r="C148" i="21" s="1"/>
  <c r="C149" i="21" s="1"/>
  <c r="C150" i="21" s="1"/>
  <c r="C151" i="21" s="1"/>
  <c r="C152" i="21" s="1"/>
  <c r="C153" i="21" s="1"/>
  <c r="C154" i="21" s="1"/>
  <c r="C99" i="19"/>
  <c r="C100" i="19" s="1"/>
  <c r="C101" i="19" s="1"/>
  <c r="C102" i="19" s="1"/>
  <c r="C103" i="19" s="1"/>
  <c r="C104" i="19" s="1"/>
  <c r="C105" i="19" s="1"/>
  <c r="C106" i="19" s="1"/>
  <c r="C107" i="19" s="1"/>
  <c r="C108" i="19" s="1"/>
  <c r="C109" i="19" s="1"/>
  <c r="C110" i="19" s="1"/>
  <c r="C111" i="19" s="1"/>
  <c r="C112" i="19" s="1"/>
  <c r="C113" i="19" s="1"/>
  <c r="C114" i="19" s="1"/>
  <c r="C115" i="19" s="1"/>
  <c r="C116" i="19" s="1"/>
  <c r="C117" i="19" s="1"/>
  <c r="C118" i="19" s="1"/>
  <c r="C119" i="19" s="1"/>
  <c r="C120" i="19" s="1"/>
  <c r="C121" i="19" s="1"/>
  <c r="C122" i="19" s="1"/>
  <c r="C123" i="19" s="1"/>
  <c r="C124" i="19" s="1"/>
  <c r="C125" i="19" s="1"/>
  <c r="C126" i="19" s="1"/>
  <c r="C127" i="19" s="1"/>
  <c r="C128" i="19" s="1"/>
  <c r="C129" i="19" s="1"/>
  <c r="C130" i="19" s="1"/>
  <c r="C131" i="19" s="1"/>
  <c r="C132" i="19" s="1"/>
  <c r="C133" i="19" s="1"/>
  <c r="C134" i="19" s="1"/>
  <c r="C135" i="19" s="1"/>
  <c r="C136" i="19" s="1"/>
  <c r="C137" i="19" s="1"/>
  <c r="C138" i="19" s="1"/>
  <c r="C139" i="19" s="1"/>
  <c r="C140" i="19" s="1"/>
  <c r="C141" i="19" s="1"/>
  <c r="C142" i="19" s="1"/>
  <c r="C143" i="19" s="1"/>
  <c r="C144" i="19" s="1"/>
  <c r="C145" i="19" s="1"/>
  <c r="C146" i="19" s="1"/>
  <c r="C147" i="19" s="1"/>
  <c r="C148" i="19" s="1"/>
  <c r="C149" i="19" s="1"/>
  <c r="C150" i="19" s="1"/>
  <c r="C151" i="19" s="1"/>
  <c r="C152" i="19" s="1"/>
  <c r="C153" i="19" s="1"/>
  <c r="C154" i="19" s="1"/>
  <c r="N7" i="58"/>
  <c r="N7" i="65"/>
  <c r="E106" i="35"/>
  <c r="F106" i="35" s="1"/>
  <c r="G106" i="35" s="1"/>
  <c r="B106" i="35"/>
  <c r="H104" i="35"/>
  <c r="J104" i="35" s="1"/>
  <c r="B100" i="96"/>
  <c r="I21" i="78"/>
  <c r="G63" i="36"/>
  <c r="I28" i="71"/>
  <c r="B24" i="67"/>
  <c r="B25" i="46"/>
  <c r="I24" i="46"/>
  <c r="B29" i="24"/>
  <c r="I27" i="19"/>
  <c r="G33" i="36"/>
  <c r="O87" i="39"/>
  <c r="I21" i="76"/>
  <c r="I21" i="80"/>
  <c r="D99" i="26"/>
  <c r="C100" i="26"/>
  <c r="C101" i="26" s="1"/>
  <c r="C102" i="26" s="1"/>
  <c r="C103" i="26" s="1"/>
  <c r="C104" i="26" s="1"/>
  <c r="C105" i="26" s="1"/>
  <c r="C106" i="26" s="1"/>
  <c r="C107" i="26" s="1"/>
  <c r="C108" i="26" s="1"/>
  <c r="C109" i="26" s="1"/>
  <c r="C110" i="26" s="1"/>
  <c r="C111" i="26" s="1"/>
  <c r="C112" i="26" s="1"/>
  <c r="C113" i="26" s="1"/>
  <c r="C114" i="26" s="1"/>
  <c r="C115" i="26" s="1"/>
  <c r="C116" i="26" s="1"/>
  <c r="C117" i="26" s="1"/>
  <c r="C118" i="26" s="1"/>
  <c r="C119" i="26" s="1"/>
  <c r="C120" i="26" s="1"/>
  <c r="C121" i="26" s="1"/>
  <c r="C122" i="26" s="1"/>
  <c r="C123" i="26" s="1"/>
  <c r="C124" i="26" s="1"/>
  <c r="C125" i="26" s="1"/>
  <c r="C126" i="26" s="1"/>
  <c r="C127" i="26" s="1"/>
  <c r="C128" i="26" s="1"/>
  <c r="C129" i="26" s="1"/>
  <c r="C130" i="26" s="1"/>
  <c r="C131" i="26" s="1"/>
  <c r="C132" i="26" s="1"/>
  <c r="C133" i="26" s="1"/>
  <c r="C134" i="26" s="1"/>
  <c r="C135" i="26" s="1"/>
  <c r="C136" i="26" s="1"/>
  <c r="C137" i="26" s="1"/>
  <c r="C138" i="26" s="1"/>
  <c r="C139" i="26" s="1"/>
  <c r="C140" i="26" s="1"/>
  <c r="C141" i="26" s="1"/>
  <c r="C142" i="26" s="1"/>
  <c r="C143" i="26" s="1"/>
  <c r="C144" i="26" s="1"/>
  <c r="C145" i="26" s="1"/>
  <c r="C146" i="26" s="1"/>
  <c r="C147" i="26" s="1"/>
  <c r="C148" i="26" s="1"/>
  <c r="C149" i="26" s="1"/>
  <c r="C150" i="26" s="1"/>
  <c r="C151" i="26" s="1"/>
  <c r="C152" i="26" s="1"/>
  <c r="C153" i="26" s="1"/>
  <c r="C154" i="26" s="1"/>
  <c r="B19" i="93"/>
  <c r="D99" i="33"/>
  <c r="B21" i="91"/>
  <c r="B24" i="66"/>
  <c r="I23" i="61"/>
  <c r="I20" i="85"/>
  <c r="B21" i="84"/>
  <c r="B25" i="53"/>
  <c r="I27" i="17"/>
  <c r="I27" i="21"/>
  <c r="I20" i="81"/>
  <c r="I18" i="95"/>
  <c r="I20" i="91"/>
  <c r="I22" i="75"/>
  <c r="B27" i="42"/>
  <c r="B30" i="23"/>
  <c r="I20" i="84"/>
  <c r="B22" i="90"/>
  <c r="I22" i="68"/>
  <c r="I27" i="41"/>
  <c r="I24" i="72"/>
  <c r="I23" i="65"/>
  <c r="G38" i="36"/>
  <c r="G52" i="36"/>
  <c r="G64" i="36"/>
  <c r="I24" i="57"/>
  <c r="B28" i="22"/>
  <c r="B21" i="81"/>
  <c r="B19" i="95"/>
  <c r="B30" i="27"/>
  <c r="N6" i="44"/>
  <c r="N7" i="44" s="1"/>
  <c r="I26" i="44"/>
  <c r="N7" i="74"/>
  <c r="I26" i="39"/>
  <c r="B22" i="76"/>
  <c r="B19" i="96"/>
  <c r="N6" i="27"/>
  <c r="N7" i="27" s="1"/>
  <c r="I29" i="27"/>
  <c r="B27" i="44"/>
  <c r="B25" i="72"/>
  <c r="I24" i="54"/>
  <c r="B27" i="39"/>
  <c r="B24" i="61"/>
  <c r="B21" i="85"/>
  <c r="G70" i="36"/>
  <c r="G65" i="36"/>
  <c r="G62" i="36"/>
  <c r="I26" i="73"/>
  <c r="I29" i="29"/>
  <c r="O87" i="79"/>
  <c r="B27" i="73"/>
  <c r="I27" i="73"/>
  <c r="B22" i="79"/>
  <c r="N6" i="63"/>
  <c r="N7" i="63" s="1"/>
  <c r="I23" i="63"/>
  <c r="I29" i="71"/>
  <c r="B28" i="17"/>
  <c r="N5" i="56"/>
  <c r="N7" i="56" s="1"/>
  <c r="B20" i="89"/>
  <c r="B30" i="70"/>
  <c r="B25" i="54"/>
  <c r="B24" i="63"/>
  <c r="I26" i="43"/>
  <c r="B28" i="21"/>
  <c r="I26" i="74"/>
  <c r="B30" i="29"/>
  <c r="B20" i="92"/>
  <c r="I29" i="70"/>
  <c r="B22" i="78"/>
  <c r="B29" i="32"/>
  <c r="B28" i="3"/>
  <c r="B23" i="68"/>
  <c r="N5" i="30"/>
  <c r="N7" i="30" s="1"/>
  <c r="O87" i="22"/>
  <c r="I31" i="28"/>
  <c r="B22" i="77"/>
  <c r="B28" i="19"/>
  <c r="I19" i="92"/>
  <c r="I19" i="89"/>
  <c r="I26" i="45"/>
  <c r="I21" i="79"/>
  <c r="B27" i="43"/>
  <c r="I27" i="3"/>
  <c r="B25" i="57"/>
  <c r="N5" i="60"/>
  <c r="N7" i="60" s="1"/>
  <c r="B28" i="41"/>
  <c r="O87" i="62"/>
  <c r="O87" i="77"/>
  <c r="O87" i="84"/>
  <c r="O87" i="24"/>
  <c r="G24" i="36"/>
  <c r="B24" i="59"/>
  <c r="B29" i="18"/>
  <c r="B106" i="57"/>
  <c r="N7" i="42"/>
  <c r="N7" i="87"/>
  <c r="N6" i="59"/>
  <c r="I23" i="59"/>
  <c r="I22" i="35"/>
  <c r="B110" i="71"/>
  <c r="B109" i="18"/>
  <c r="N5" i="59"/>
  <c r="E24" i="35"/>
  <c r="F24" i="35" s="1"/>
  <c r="H23" i="35"/>
  <c r="G23" i="35"/>
  <c r="B24" i="35"/>
  <c r="J102" i="35"/>
  <c r="J101" i="35"/>
  <c r="F53" i="2"/>
  <c r="E30" i="2"/>
  <c r="H105" i="35"/>
  <c r="I105" i="35"/>
  <c r="F46" i="36"/>
  <c r="F68" i="36"/>
  <c r="F73" i="36"/>
  <c r="F41" i="36"/>
  <c r="F25" i="36"/>
  <c r="F78" i="36"/>
  <c r="F36" i="36"/>
  <c r="F84" i="36"/>
  <c r="F76" i="36"/>
  <c r="F80" i="36"/>
  <c r="F94" i="36"/>
  <c r="F57" i="36"/>
  <c r="F34" i="36"/>
  <c r="F40" i="36"/>
  <c r="F53" i="36"/>
  <c r="F66" i="36"/>
  <c r="F91" i="36"/>
  <c r="F30" i="36"/>
  <c r="F75" i="36"/>
  <c r="F50" i="36"/>
  <c r="F23" i="36"/>
  <c r="F81" i="36"/>
  <c r="F29" i="36"/>
  <c r="F49" i="36"/>
  <c r="F44" i="36"/>
  <c r="F21" i="36"/>
  <c r="F86" i="36"/>
  <c r="F83" i="36"/>
  <c r="F77" i="36"/>
  <c r="F71" i="36"/>
  <c r="F42" i="36"/>
  <c r="F55" i="36"/>
  <c r="F32" i="36"/>
  <c r="F90" i="36"/>
  <c r="F31" i="36"/>
  <c r="F18" i="36"/>
  <c r="F60" i="36"/>
  <c r="F39" i="36"/>
  <c r="F72" i="36"/>
  <c r="F69" i="36"/>
  <c r="F85" i="36"/>
  <c r="F89" i="36"/>
  <c r="F82" i="36"/>
  <c r="F45" i="36"/>
  <c r="F79" i="36"/>
  <c r="F48" i="36"/>
  <c r="F67" i="36"/>
  <c r="F56" i="36"/>
  <c r="O87" i="13" l="1"/>
  <c r="D27" i="101"/>
  <c r="G26" i="101"/>
  <c r="D18" i="102"/>
  <c r="E18" i="102" s="1"/>
  <c r="G17" i="102"/>
  <c r="K17" i="102" s="1"/>
  <c r="H26" i="101"/>
  <c r="I25" i="100"/>
  <c r="N6" i="100"/>
  <c r="N7" i="100" s="1"/>
  <c r="M17" i="102"/>
  <c r="N6" i="102"/>
  <c r="B100" i="102"/>
  <c r="D100" i="100"/>
  <c r="G99" i="100"/>
  <c r="B107" i="101"/>
  <c r="I99" i="102"/>
  <c r="H99" i="102"/>
  <c r="O17" i="13"/>
  <c r="F99" i="13"/>
  <c r="D100" i="13" s="1"/>
  <c r="B100" i="13" s="1"/>
  <c r="F33" i="100"/>
  <c r="G33" i="100" s="1"/>
  <c r="B33" i="100"/>
  <c r="G75" i="36"/>
  <c r="G81" i="36"/>
  <c r="N30" i="19"/>
  <c r="O30" i="19" s="1"/>
  <c r="N87" i="19"/>
  <c r="O87" i="19" s="1"/>
  <c r="N32" i="30"/>
  <c r="O32" i="30" s="1"/>
  <c r="N87" i="30"/>
  <c r="O87" i="30" s="1"/>
  <c r="N31" i="23"/>
  <c r="O31" i="23" s="1"/>
  <c r="N87" i="23"/>
  <c r="O87" i="23" s="1"/>
  <c r="N33" i="28"/>
  <c r="O33" i="28" s="1"/>
  <c r="N87" i="28"/>
  <c r="O87" i="28" s="1"/>
  <c r="N30" i="18"/>
  <c r="O30" i="18" s="1"/>
  <c r="N87" i="18"/>
  <c r="O87" i="18" s="1"/>
  <c r="N30" i="3"/>
  <c r="O30" i="3" s="1"/>
  <c r="N87" i="3"/>
  <c r="N32" i="29"/>
  <c r="O32" i="29" s="1"/>
  <c r="N87" i="29"/>
  <c r="O87" i="29" s="1"/>
  <c r="H18" i="13"/>
  <c r="I18" i="13" s="1"/>
  <c r="D19" i="13"/>
  <c r="B19" i="13" s="1"/>
  <c r="E30" i="1"/>
  <c r="E33" i="1" s="1"/>
  <c r="E37" i="1" s="1"/>
  <c r="F54" i="1" s="1"/>
  <c r="F55" i="1" s="1"/>
  <c r="G82" i="36"/>
  <c r="B19" i="26"/>
  <c r="G30" i="36"/>
  <c r="G84" i="36"/>
  <c r="G44" i="36"/>
  <c r="G77" i="36"/>
  <c r="E19" i="25"/>
  <c r="F19" i="25" s="1"/>
  <c r="H19" i="25" s="1"/>
  <c r="G36" i="36"/>
  <c r="D19" i="33"/>
  <c r="E19" i="33" s="1"/>
  <c r="F19" i="33" s="1"/>
  <c r="D20" i="33" s="1"/>
  <c r="B20" i="33" s="1"/>
  <c r="H18" i="33"/>
  <c r="I18" i="33" s="1"/>
  <c r="E33" i="2"/>
  <c r="E37" i="2" s="1"/>
  <c r="F54" i="2" s="1"/>
  <c r="F55" i="2" s="1"/>
  <c r="G67" i="36"/>
  <c r="G25" i="36"/>
  <c r="G69" i="36"/>
  <c r="G49" i="36"/>
  <c r="G90" i="36"/>
  <c r="G41" i="36"/>
  <c r="I30" i="31"/>
  <c r="I19" i="97"/>
  <c r="I19" i="98"/>
  <c r="I19" i="99"/>
  <c r="I21" i="88"/>
  <c r="G76" i="36"/>
  <c r="I24" i="66"/>
  <c r="G23" i="36"/>
  <c r="G91" i="36"/>
  <c r="G45" i="36"/>
  <c r="G89" i="36"/>
  <c r="J99" i="97"/>
  <c r="F99" i="25"/>
  <c r="D100" i="25" s="1"/>
  <c r="B100" i="25" s="1"/>
  <c r="C100" i="29"/>
  <c r="C101" i="29" s="1"/>
  <c r="C102" i="29" s="1"/>
  <c r="C103" i="29" s="1"/>
  <c r="C104" i="29" s="1"/>
  <c r="C105" i="29" s="1"/>
  <c r="C106" i="29" s="1"/>
  <c r="C107" i="29" s="1"/>
  <c r="C108" i="29" s="1"/>
  <c r="C109" i="29" s="1"/>
  <c r="C110" i="29" s="1"/>
  <c r="C111" i="29" s="1"/>
  <c r="C112" i="29" s="1"/>
  <c r="C113" i="29" s="1"/>
  <c r="C114" i="29" s="1"/>
  <c r="C115" i="29" s="1"/>
  <c r="C116" i="29" s="1"/>
  <c r="C117" i="29" s="1"/>
  <c r="C118" i="29" s="1"/>
  <c r="C119" i="29" s="1"/>
  <c r="C120" i="29" s="1"/>
  <c r="C121" i="29" s="1"/>
  <c r="C122" i="29" s="1"/>
  <c r="C123" i="29" s="1"/>
  <c r="C124" i="29" s="1"/>
  <c r="C125" i="29" s="1"/>
  <c r="C126" i="29" s="1"/>
  <c r="C127" i="29" s="1"/>
  <c r="C128" i="29" s="1"/>
  <c r="C129" i="29" s="1"/>
  <c r="C130" i="29" s="1"/>
  <c r="C131" i="29" s="1"/>
  <c r="C132" i="29" s="1"/>
  <c r="C133" i="29" s="1"/>
  <c r="C134" i="29" s="1"/>
  <c r="C135" i="29" s="1"/>
  <c r="C136" i="29" s="1"/>
  <c r="C137" i="29" s="1"/>
  <c r="C138" i="29" s="1"/>
  <c r="C139" i="29" s="1"/>
  <c r="C140" i="29" s="1"/>
  <c r="C141" i="29" s="1"/>
  <c r="C142" i="29" s="1"/>
  <c r="C143" i="29" s="1"/>
  <c r="C144" i="29" s="1"/>
  <c r="C145" i="29" s="1"/>
  <c r="C146" i="29" s="1"/>
  <c r="C147" i="29" s="1"/>
  <c r="C148" i="29" s="1"/>
  <c r="C149" i="29" s="1"/>
  <c r="C150" i="29" s="1"/>
  <c r="C151" i="29" s="1"/>
  <c r="C152" i="29" s="1"/>
  <c r="C153" i="29" s="1"/>
  <c r="C154" i="29" s="1"/>
  <c r="N99" i="99"/>
  <c r="O99" i="99" s="1"/>
  <c r="P99" i="99" s="1"/>
  <c r="G99" i="33"/>
  <c r="H99" i="33" s="1"/>
  <c r="C100" i="25"/>
  <c r="C101" i="25" s="1"/>
  <c r="C102" i="25" s="1"/>
  <c r="C103" i="25" s="1"/>
  <c r="C104" i="25" s="1"/>
  <c r="C105" i="25" s="1"/>
  <c r="C106" i="25" s="1"/>
  <c r="C107" i="25" s="1"/>
  <c r="C108" i="25" s="1"/>
  <c r="C109" i="25" s="1"/>
  <c r="C110" i="25" s="1"/>
  <c r="C111" i="25" s="1"/>
  <c r="C112" i="25" s="1"/>
  <c r="C113" i="25" s="1"/>
  <c r="C114" i="25" s="1"/>
  <c r="C115" i="25" s="1"/>
  <c r="C116" i="25" s="1"/>
  <c r="C117" i="25" s="1"/>
  <c r="C118" i="25" s="1"/>
  <c r="C119" i="25" s="1"/>
  <c r="C120" i="25" s="1"/>
  <c r="C121" i="25" s="1"/>
  <c r="C122" i="25" s="1"/>
  <c r="C123" i="25" s="1"/>
  <c r="C124" i="25" s="1"/>
  <c r="C125" i="25" s="1"/>
  <c r="C126" i="25" s="1"/>
  <c r="C127" i="25" s="1"/>
  <c r="C128" i="25" s="1"/>
  <c r="C129" i="25" s="1"/>
  <c r="C130" i="25" s="1"/>
  <c r="C131" i="25" s="1"/>
  <c r="C132" i="25" s="1"/>
  <c r="C133" i="25" s="1"/>
  <c r="C134" i="25" s="1"/>
  <c r="C135" i="25" s="1"/>
  <c r="C136" i="25" s="1"/>
  <c r="C137" i="25" s="1"/>
  <c r="C138" i="25" s="1"/>
  <c r="C139" i="25" s="1"/>
  <c r="C140" i="25" s="1"/>
  <c r="C141" i="25" s="1"/>
  <c r="C142" i="25" s="1"/>
  <c r="C143" i="25" s="1"/>
  <c r="C144" i="25" s="1"/>
  <c r="C145" i="25" s="1"/>
  <c r="C146" i="25" s="1"/>
  <c r="C147" i="25" s="1"/>
  <c r="C148" i="25" s="1"/>
  <c r="C149" i="25" s="1"/>
  <c r="C150" i="25" s="1"/>
  <c r="C151" i="25" s="1"/>
  <c r="C152" i="25" s="1"/>
  <c r="C153" i="25" s="1"/>
  <c r="C154" i="25" s="1"/>
  <c r="G18" i="36"/>
  <c r="B107" i="35"/>
  <c r="G56" i="36"/>
  <c r="G68" i="36"/>
  <c r="I21" i="86"/>
  <c r="G78" i="36"/>
  <c r="G73" i="36"/>
  <c r="G71" i="36"/>
  <c r="G34" i="36"/>
  <c r="G21" i="36"/>
  <c r="I28" i="3"/>
  <c r="D100" i="33"/>
  <c r="E100" i="33" s="1"/>
  <c r="E107" i="35"/>
  <c r="F107" i="35" s="1"/>
  <c r="G107" i="35" s="1"/>
  <c r="G31" i="36"/>
  <c r="G72" i="36"/>
  <c r="G60" i="36"/>
  <c r="G57" i="36"/>
  <c r="G83" i="36"/>
  <c r="G50" i="36"/>
  <c r="G85" i="36"/>
  <c r="G39" i="36"/>
  <c r="G46" i="36"/>
  <c r="G86" i="36"/>
  <c r="G80" i="36"/>
  <c r="G99" i="26"/>
  <c r="I99" i="26" s="1"/>
  <c r="D99" i="27"/>
  <c r="E100" i="26"/>
  <c r="F100" i="26" s="1"/>
  <c r="D101" i="26" s="1"/>
  <c r="B101" i="26" s="1"/>
  <c r="J99" i="96"/>
  <c r="I19" i="94"/>
  <c r="I21" i="90"/>
  <c r="I24" i="67"/>
  <c r="I25" i="46"/>
  <c r="I29" i="24"/>
  <c r="I26" i="55"/>
  <c r="I23" i="35"/>
  <c r="I22" i="76"/>
  <c r="B22" i="80"/>
  <c r="I25" i="53"/>
  <c r="I22" i="82"/>
  <c r="I21" i="84"/>
  <c r="B20" i="94"/>
  <c r="I19" i="93"/>
  <c r="B22" i="86"/>
  <c r="B23" i="82"/>
  <c r="B27" i="55"/>
  <c r="B100" i="93"/>
  <c r="I27" i="43"/>
  <c r="I30" i="69"/>
  <c r="I26" i="58"/>
  <c r="B24" i="65"/>
  <c r="I30" i="29"/>
  <c r="I30" i="23"/>
  <c r="I27" i="42"/>
  <c r="I29" i="34"/>
  <c r="I22" i="77"/>
  <c r="I22" i="90"/>
  <c r="B23" i="75"/>
  <c r="B27" i="58"/>
  <c r="I21" i="91"/>
  <c r="G29" i="36"/>
  <c r="G42" i="36"/>
  <c r="G66" i="36"/>
  <c r="I24" i="56"/>
  <c r="I24" i="61"/>
  <c r="I19" i="95"/>
  <c r="I27" i="39"/>
  <c r="I27" i="44"/>
  <c r="I28" i="22"/>
  <c r="I25" i="72"/>
  <c r="I19" i="96"/>
  <c r="G53" i="36"/>
  <c r="G55" i="36"/>
  <c r="G32" i="36"/>
  <c r="G48" i="36"/>
  <c r="N7" i="59"/>
  <c r="I23" i="60"/>
  <c r="B30" i="71"/>
  <c r="B21" i="83"/>
  <c r="I28" i="41"/>
  <c r="I24" i="64"/>
  <c r="I28" i="19"/>
  <c r="B32" i="28"/>
  <c r="B30" i="30"/>
  <c r="B31" i="31"/>
  <c r="I20" i="89"/>
  <c r="B31" i="69"/>
  <c r="I23" i="68"/>
  <c r="D20" i="26"/>
  <c r="E20" i="26" s="1"/>
  <c r="B27" i="74"/>
  <c r="B27" i="45"/>
  <c r="I20" i="83"/>
  <c r="B25" i="64"/>
  <c r="I29" i="32"/>
  <c r="B24" i="60"/>
  <c r="I25" i="57"/>
  <c r="B30" i="34"/>
  <c r="I29" i="30"/>
  <c r="G19" i="26"/>
  <c r="I19" i="26" s="1"/>
  <c r="I22" i="78"/>
  <c r="I20" i="92"/>
  <c r="B22" i="88"/>
  <c r="I25" i="54"/>
  <c r="I30" i="70"/>
  <c r="B25" i="56"/>
  <c r="I28" i="17"/>
  <c r="I22" i="79"/>
  <c r="B100" i="94"/>
  <c r="J105" i="57"/>
  <c r="J105" i="56"/>
  <c r="B105" i="59"/>
  <c r="B107" i="56"/>
  <c r="G40" i="36"/>
  <c r="G79" i="36"/>
  <c r="I23" i="62"/>
  <c r="N6" i="62"/>
  <c r="B25" i="35"/>
  <c r="G24" i="35"/>
  <c r="H24" i="35"/>
  <c r="E25" i="35"/>
  <c r="F25" i="35" s="1"/>
  <c r="I20" i="87"/>
  <c r="B21" i="87"/>
  <c r="B24" i="62"/>
  <c r="N5" i="20"/>
  <c r="B110" i="23"/>
  <c r="N6" i="20"/>
  <c r="I27" i="20"/>
  <c r="N5" i="62"/>
  <c r="B28" i="20"/>
  <c r="B109" i="22"/>
  <c r="B102" i="81"/>
  <c r="B101" i="89"/>
  <c r="B108" i="41"/>
  <c r="B106" i="58"/>
  <c r="B107" i="45"/>
  <c r="B108" i="73"/>
  <c r="B101" i="92"/>
  <c r="B101" i="91"/>
  <c r="B104" i="65"/>
  <c r="B111" i="30"/>
  <c r="B103" i="79"/>
  <c r="J109" i="23"/>
  <c r="B103" i="76"/>
  <c r="B109" i="17"/>
  <c r="B106" i="55"/>
  <c r="H106" i="35"/>
  <c r="I106" i="35"/>
  <c r="J105" i="35"/>
  <c r="B102" i="80"/>
  <c r="B103" i="75"/>
  <c r="B102" i="83"/>
  <c r="B108" i="42"/>
  <c r="B103" i="77"/>
  <c r="B110" i="24"/>
  <c r="B106" i="54"/>
  <c r="B109" i="21"/>
  <c r="F51" i="36"/>
  <c r="O87" i="3" l="1"/>
  <c r="I26" i="101"/>
  <c r="M87" i="102"/>
  <c r="L17" i="102"/>
  <c r="B18" i="102"/>
  <c r="F18" i="102"/>
  <c r="H18" i="102" s="1"/>
  <c r="I17" i="102"/>
  <c r="E27" i="101"/>
  <c r="F27" i="101" s="1"/>
  <c r="B27" i="101"/>
  <c r="B100" i="100"/>
  <c r="E100" i="100"/>
  <c r="F100" i="100" s="1"/>
  <c r="H99" i="100"/>
  <c r="I99" i="100"/>
  <c r="J99" i="102"/>
  <c r="N88" i="102"/>
  <c r="N17" i="102"/>
  <c r="N87" i="102"/>
  <c r="G99" i="13"/>
  <c r="I99" i="13" s="1"/>
  <c r="H33" i="100"/>
  <c r="I33" i="100" s="1"/>
  <c r="D34" i="100"/>
  <c r="E34" i="100" s="1"/>
  <c r="E19" i="13"/>
  <c r="F19" i="13" s="1"/>
  <c r="D20" i="13" s="1"/>
  <c r="B20" i="13" s="1"/>
  <c r="D20" i="25"/>
  <c r="E20" i="25" s="1"/>
  <c r="F20" i="25" s="1"/>
  <c r="G19" i="25"/>
  <c r="I19" i="25" s="1"/>
  <c r="E20" i="33"/>
  <c r="F20" i="33" s="1"/>
  <c r="H20" i="33" s="1"/>
  <c r="B19" i="33"/>
  <c r="H19" i="33"/>
  <c r="G19" i="33"/>
  <c r="H99" i="26"/>
  <c r="M99" i="26" s="1"/>
  <c r="I20" i="98"/>
  <c r="I20" i="99"/>
  <c r="I20" i="97"/>
  <c r="B21" i="99"/>
  <c r="B21" i="97"/>
  <c r="B21" i="98"/>
  <c r="G99" i="25"/>
  <c r="I99" i="25" s="1"/>
  <c r="B101" i="98"/>
  <c r="I99" i="33"/>
  <c r="J99" i="33" s="1"/>
  <c r="J99" i="98"/>
  <c r="N99" i="98"/>
  <c r="O99" i="98" s="1"/>
  <c r="P99" i="98" s="1"/>
  <c r="B100" i="33"/>
  <c r="J99" i="99"/>
  <c r="E100" i="25"/>
  <c r="F100" i="25" s="1"/>
  <c r="D101" i="25" s="1"/>
  <c r="E101" i="25" s="1"/>
  <c r="B108" i="35"/>
  <c r="E108" i="35"/>
  <c r="F108" i="35" s="1"/>
  <c r="B109" i="35" s="1"/>
  <c r="N100" i="96"/>
  <c r="O100" i="96" s="1"/>
  <c r="F76" i="1"/>
  <c r="F77" i="1" s="1"/>
  <c r="F62" i="1"/>
  <c r="F65" i="1" s="1"/>
  <c r="F67" i="1" s="1"/>
  <c r="F69" i="1" s="1"/>
  <c r="F70" i="1" s="1"/>
  <c r="F71" i="1" s="1"/>
  <c r="F56" i="1" s="1"/>
  <c r="F57" i="1" s="1"/>
  <c r="F59" i="1" s="1"/>
  <c r="F79" i="1" s="1"/>
  <c r="F80" i="1" s="1"/>
  <c r="F82" i="1" s="1"/>
  <c r="I20" i="94"/>
  <c r="I21" i="85"/>
  <c r="I28" i="21"/>
  <c r="B101" i="95"/>
  <c r="L100" i="95"/>
  <c r="M100" i="95" s="1"/>
  <c r="J99" i="95"/>
  <c r="F100" i="33"/>
  <c r="G100" i="33" s="1"/>
  <c r="G100" i="26"/>
  <c r="H100" i="26" s="1"/>
  <c r="E101" i="26"/>
  <c r="F101" i="26" s="1"/>
  <c r="G101" i="26" s="1"/>
  <c r="I101" i="26" s="1"/>
  <c r="J109" i="71"/>
  <c r="B111" i="71"/>
  <c r="B110" i="18"/>
  <c r="K95" i="85"/>
  <c r="J99" i="93"/>
  <c r="I23" i="75"/>
  <c r="B25" i="67"/>
  <c r="B26" i="46"/>
  <c r="I30" i="27"/>
  <c r="B30" i="24"/>
  <c r="B20" i="93"/>
  <c r="O99" i="26"/>
  <c r="B21" i="94"/>
  <c r="B23" i="90"/>
  <c r="B31" i="23"/>
  <c r="B28" i="42"/>
  <c r="I27" i="58"/>
  <c r="B25" i="66"/>
  <c r="I27" i="55"/>
  <c r="B22" i="84"/>
  <c r="I24" i="65"/>
  <c r="B22" i="91"/>
  <c r="B26" i="53"/>
  <c r="I21" i="83"/>
  <c r="B20" i="96"/>
  <c r="B23" i="76"/>
  <c r="I28" i="20"/>
  <c r="B29" i="22"/>
  <c r="B22" i="85"/>
  <c r="B22" i="81"/>
  <c r="B25" i="61"/>
  <c r="I27" i="74"/>
  <c r="B20" i="95"/>
  <c r="B28" i="39"/>
  <c r="B31" i="27"/>
  <c r="I21" i="81"/>
  <c r="B28" i="44"/>
  <c r="B26" i="72"/>
  <c r="G51" i="36"/>
  <c r="I24" i="35"/>
  <c r="N7" i="20"/>
  <c r="B26" i="57"/>
  <c r="B31" i="70"/>
  <c r="B28" i="43"/>
  <c r="B21" i="92"/>
  <c r="B20" i="26"/>
  <c r="F20" i="26"/>
  <c r="H20" i="26" s="1"/>
  <c r="I32" i="28"/>
  <c r="B29" i="19"/>
  <c r="B23" i="79"/>
  <c r="I30" i="71"/>
  <c r="B29" i="21"/>
  <c r="I21" i="87"/>
  <c r="B28" i="73"/>
  <c r="B21" i="89"/>
  <c r="B30" i="32"/>
  <c r="B26" i="54"/>
  <c r="B23" i="78"/>
  <c r="B23" i="77"/>
  <c r="B25" i="63"/>
  <c r="B24" i="68"/>
  <c r="C38" i="17"/>
  <c r="B29" i="17"/>
  <c r="I25" i="56"/>
  <c r="I22" i="88"/>
  <c r="B31" i="29"/>
  <c r="I30" i="34"/>
  <c r="I24" i="60"/>
  <c r="B29" i="41"/>
  <c r="B29" i="3"/>
  <c r="I31" i="31"/>
  <c r="I24" i="63"/>
  <c r="I30" i="30"/>
  <c r="J99" i="94"/>
  <c r="B111" i="23"/>
  <c r="B101" i="93"/>
  <c r="J108" i="18"/>
  <c r="J104" i="59"/>
  <c r="I24" i="59"/>
  <c r="N7" i="62"/>
  <c r="I29" i="18"/>
  <c r="E26" i="35"/>
  <c r="F26" i="35" s="1"/>
  <c r="H25" i="35"/>
  <c r="B26" i="35"/>
  <c r="G25" i="35"/>
  <c r="I24" i="62"/>
  <c r="B30" i="18"/>
  <c r="B25" i="59"/>
  <c r="B101" i="86"/>
  <c r="B104" i="66"/>
  <c r="B109" i="19"/>
  <c r="B109" i="34"/>
  <c r="B105" i="64"/>
  <c r="J100" i="89"/>
  <c r="B104" i="68"/>
  <c r="B110" i="32"/>
  <c r="B109" i="20"/>
  <c r="B111" i="29"/>
  <c r="B105" i="63"/>
  <c r="B106" i="46"/>
  <c r="B103" i="78"/>
  <c r="B101" i="90"/>
  <c r="B105" i="61"/>
  <c r="B105" i="60"/>
  <c r="B107" i="74"/>
  <c r="B110" i="31"/>
  <c r="B106" i="53"/>
  <c r="B105" i="62"/>
  <c r="B111" i="70"/>
  <c r="B101" i="84"/>
  <c r="B106" i="72"/>
  <c r="B108" i="39"/>
  <c r="B102" i="85"/>
  <c r="B108" i="43"/>
  <c r="B111" i="27"/>
  <c r="B101" i="88"/>
  <c r="B111" i="69"/>
  <c r="B106" i="59"/>
  <c r="F62" i="2"/>
  <c r="F65" i="2" s="1"/>
  <c r="F67" i="2" s="1"/>
  <c r="F69" i="2" s="1"/>
  <c r="B107" i="57"/>
  <c r="J108" i="21"/>
  <c r="B101" i="96"/>
  <c r="J107" i="42"/>
  <c r="B104" i="67"/>
  <c r="J105" i="54"/>
  <c r="I107" i="35"/>
  <c r="H107" i="35"/>
  <c r="J105" i="55"/>
  <c r="J102" i="77"/>
  <c r="B102" i="82"/>
  <c r="J108" i="17"/>
  <c r="B108" i="44"/>
  <c r="J102" i="75"/>
  <c r="J101" i="80"/>
  <c r="B112" i="28"/>
  <c r="J101" i="83"/>
  <c r="B101" i="87"/>
  <c r="J109" i="24"/>
  <c r="J102" i="76"/>
  <c r="B109" i="3"/>
  <c r="J106" i="35"/>
  <c r="F54" i="36"/>
  <c r="F22" i="36"/>
  <c r="G18" i="102" l="1"/>
  <c r="I18" i="102" s="1"/>
  <c r="O17" i="102"/>
  <c r="H99" i="13"/>
  <c r="J99" i="13" s="1"/>
  <c r="J99" i="100"/>
  <c r="O87" i="102"/>
  <c r="D28" i="101"/>
  <c r="B28" i="101" s="1"/>
  <c r="G27" i="101"/>
  <c r="H27" i="101"/>
  <c r="D19" i="102"/>
  <c r="E19" i="102"/>
  <c r="D101" i="100"/>
  <c r="E101" i="100" s="1"/>
  <c r="G100" i="100"/>
  <c r="N89" i="102"/>
  <c r="F34" i="100"/>
  <c r="G34" i="100" s="1"/>
  <c r="B34" i="100"/>
  <c r="G19" i="13"/>
  <c r="E20" i="13"/>
  <c r="F20" i="13" s="1"/>
  <c r="G20" i="13" s="1"/>
  <c r="H19" i="13"/>
  <c r="B20" i="25"/>
  <c r="D21" i="33"/>
  <c r="E21" i="33" s="1"/>
  <c r="F21" i="33" s="1"/>
  <c r="D22" i="33" s="1"/>
  <c r="G20" i="33"/>
  <c r="I20" i="33" s="1"/>
  <c r="J99" i="26"/>
  <c r="I19" i="33"/>
  <c r="P99" i="26"/>
  <c r="H20" i="25"/>
  <c r="D21" i="25"/>
  <c r="G20" i="25"/>
  <c r="B101" i="25"/>
  <c r="H99" i="25"/>
  <c r="J99" i="25" s="1"/>
  <c r="B101" i="97"/>
  <c r="D101" i="33"/>
  <c r="B101" i="33" s="1"/>
  <c r="G100" i="25"/>
  <c r="H100" i="25" s="1"/>
  <c r="B101" i="99"/>
  <c r="L100" i="96"/>
  <c r="M100" i="96" s="1"/>
  <c r="P100" i="96" s="1"/>
  <c r="E109" i="35"/>
  <c r="F109" i="35" s="1"/>
  <c r="G109" i="35" s="1"/>
  <c r="F101" i="25"/>
  <c r="G101" i="25" s="1"/>
  <c r="H101" i="25" s="1"/>
  <c r="G108" i="35"/>
  <c r="H108" i="35" s="1"/>
  <c r="I100" i="26"/>
  <c r="J100" i="26" s="1"/>
  <c r="B105" i="65"/>
  <c r="N100" i="95"/>
  <c r="O100" i="95" s="1"/>
  <c r="P100" i="95" s="1"/>
  <c r="I20" i="93"/>
  <c r="I26" i="46"/>
  <c r="I29" i="22"/>
  <c r="J100" i="98"/>
  <c r="H101" i="26"/>
  <c r="J101" i="26" s="1"/>
  <c r="B103" i="81"/>
  <c r="J100" i="97"/>
  <c r="J106" i="56"/>
  <c r="D102" i="26"/>
  <c r="B108" i="56"/>
  <c r="I22" i="86"/>
  <c r="I24" i="68"/>
  <c r="I26" i="53"/>
  <c r="I30" i="24"/>
  <c r="I22" i="80"/>
  <c r="B24" i="82"/>
  <c r="I23" i="79"/>
  <c r="I23" i="90"/>
  <c r="B23" i="80"/>
  <c r="I21" i="94"/>
  <c r="B23" i="86"/>
  <c r="I23" i="82"/>
  <c r="G20" i="26"/>
  <c r="I20" i="26" s="1"/>
  <c r="B28" i="58"/>
  <c r="B24" i="75"/>
  <c r="B25" i="65"/>
  <c r="I22" i="91"/>
  <c r="I25" i="66"/>
  <c r="B28" i="55"/>
  <c r="I28" i="42"/>
  <c r="I28" i="39"/>
  <c r="I28" i="44"/>
  <c r="I20" i="95"/>
  <c r="I25" i="61"/>
  <c r="I22" i="81"/>
  <c r="I20" i="96"/>
  <c r="I31" i="29"/>
  <c r="I22" i="85"/>
  <c r="G22" i="36"/>
  <c r="I25" i="64"/>
  <c r="I25" i="35"/>
  <c r="B31" i="34"/>
  <c r="B31" i="30"/>
  <c r="B22" i="83"/>
  <c r="I31" i="69"/>
  <c r="I29" i="41"/>
  <c r="I21" i="89"/>
  <c r="B32" i="31"/>
  <c r="B31" i="71"/>
  <c r="B25" i="60"/>
  <c r="I25" i="59"/>
  <c r="I29" i="17"/>
  <c r="I23" i="78"/>
  <c r="I29" i="21"/>
  <c r="B28" i="45"/>
  <c r="I31" i="70"/>
  <c r="B23" i="88"/>
  <c r="B28" i="74"/>
  <c r="B26" i="56"/>
  <c r="B33" i="28"/>
  <c r="B26" i="64"/>
  <c r="I29" i="3"/>
  <c r="B32" i="69"/>
  <c r="I23" i="77"/>
  <c r="I26" i="54"/>
  <c r="I30" i="32"/>
  <c r="I29" i="19"/>
  <c r="D21" i="26"/>
  <c r="E21" i="26" s="1"/>
  <c r="F21" i="26" s="1"/>
  <c r="I21" i="92"/>
  <c r="I27" i="45"/>
  <c r="I26" i="57"/>
  <c r="L100" i="94"/>
  <c r="M100" i="94" s="1"/>
  <c r="N100" i="94"/>
  <c r="O100" i="94" s="1"/>
  <c r="B101" i="94"/>
  <c r="B109" i="41"/>
  <c r="J105" i="59"/>
  <c r="J107" i="35"/>
  <c r="B109" i="73"/>
  <c r="G54" i="36"/>
  <c r="B25" i="62"/>
  <c r="B27" i="35"/>
  <c r="H26" i="35"/>
  <c r="E27" i="35"/>
  <c r="F27" i="35" s="1"/>
  <c r="G26" i="35"/>
  <c r="B29" i="20"/>
  <c r="J110" i="23"/>
  <c r="I30" i="18"/>
  <c r="B22" i="87"/>
  <c r="J105" i="58"/>
  <c r="J104" i="61"/>
  <c r="J102" i="78"/>
  <c r="J108" i="20"/>
  <c r="J101" i="81"/>
  <c r="J103" i="65"/>
  <c r="J110" i="30"/>
  <c r="J103" i="68"/>
  <c r="J109" i="31"/>
  <c r="J106" i="74"/>
  <c r="J108" i="19"/>
  <c r="J103" i="66"/>
  <c r="B108" i="45"/>
  <c r="J105" i="46"/>
  <c r="J100" i="92"/>
  <c r="J108" i="22"/>
  <c r="B102" i="89"/>
  <c r="J110" i="69"/>
  <c r="J107" i="41"/>
  <c r="J107" i="73"/>
  <c r="J109" i="32"/>
  <c r="J105" i="53"/>
  <c r="J104" i="64"/>
  <c r="J104" i="60"/>
  <c r="J104" i="62"/>
  <c r="J100" i="88"/>
  <c r="J110" i="70"/>
  <c r="J104" i="63"/>
  <c r="B106" i="62"/>
  <c r="J105" i="72"/>
  <c r="J106" i="45"/>
  <c r="J107" i="43"/>
  <c r="B102" i="91"/>
  <c r="J100" i="84"/>
  <c r="J102" i="79"/>
  <c r="J100" i="86"/>
  <c r="J110" i="27"/>
  <c r="J110" i="29"/>
  <c r="J107" i="39"/>
  <c r="J100" i="91"/>
  <c r="J101" i="85"/>
  <c r="J100" i="90"/>
  <c r="J109" i="18"/>
  <c r="F70" i="2"/>
  <c r="F71" i="2" s="1"/>
  <c r="F56" i="2" s="1"/>
  <c r="F57" i="2" s="1"/>
  <c r="B109" i="42"/>
  <c r="B111" i="24"/>
  <c r="B110" i="21"/>
  <c r="B107" i="54"/>
  <c r="B104" i="75"/>
  <c r="H100" i="33"/>
  <c r="I100" i="33"/>
  <c r="B107" i="55"/>
  <c r="J108" i="3"/>
  <c r="B104" i="77"/>
  <c r="J111" i="28"/>
  <c r="J103" i="67"/>
  <c r="J107" i="44"/>
  <c r="B103" i="80"/>
  <c r="B104" i="76"/>
  <c r="J100" i="87"/>
  <c r="B110" i="17"/>
  <c r="J101" i="82"/>
  <c r="B103" i="83"/>
  <c r="E28" i="101" l="1"/>
  <c r="F28" i="101" s="1"/>
  <c r="I27" i="101"/>
  <c r="H34" i="100"/>
  <c r="B19" i="102"/>
  <c r="F19" i="102"/>
  <c r="H19" i="102" s="1"/>
  <c r="I100" i="100"/>
  <c r="H100" i="100"/>
  <c r="B101" i="100"/>
  <c r="F101" i="100"/>
  <c r="I34" i="100"/>
  <c r="D35" i="100"/>
  <c r="E35" i="100" s="1"/>
  <c r="I19" i="13"/>
  <c r="H20" i="13"/>
  <c r="I20" i="13" s="1"/>
  <c r="D21" i="13"/>
  <c r="E21" i="13" s="1"/>
  <c r="G21" i="33"/>
  <c r="H21" i="33"/>
  <c r="B21" i="33"/>
  <c r="I20" i="25"/>
  <c r="E21" i="25"/>
  <c r="F21" i="25" s="1"/>
  <c r="B21" i="25"/>
  <c r="B22" i="97"/>
  <c r="I21" i="99"/>
  <c r="B22" i="99"/>
  <c r="I21" i="97"/>
  <c r="B22" i="98"/>
  <c r="I21" i="98"/>
  <c r="I23" i="76"/>
  <c r="D102" i="25"/>
  <c r="E102" i="25" s="1"/>
  <c r="F102" i="25" s="1"/>
  <c r="D103" i="25" s="1"/>
  <c r="E103" i="25" s="1"/>
  <c r="E101" i="33"/>
  <c r="F101" i="33" s="1"/>
  <c r="G101" i="33" s="1"/>
  <c r="I101" i="25"/>
  <c r="J101" i="25" s="1"/>
  <c r="E110" i="35"/>
  <c r="F110" i="35" s="1"/>
  <c r="G110" i="35" s="1"/>
  <c r="J100" i="96"/>
  <c r="P100" i="94"/>
  <c r="B110" i="35"/>
  <c r="I100" i="25"/>
  <c r="J100" i="25" s="1"/>
  <c r="J100" i="99"/>
  <c r="I108" i="35"/>
  <c r="J108" i="35" s="1"/>
  <c r="J100" i="93"/>
  <c r="J106" i="57"/>
  <c r="B106" i="65"/>
  <c r="J100" i="95"/>
  <c r="B111" i="18"/>
  <c r="I28" i="55"/>
  <c r="B112" i="23"/>
  <c r="B102" i="97"/>
  <c r="B102" i="98"/>
  <c r="J110" i="71"/>
  <c r="E102" i="26"/>
  <c r="F102" i="26" s="1"/>
  <c r="G102" i="26" s="1"/>
  <c r="B102" i="26"/>
  <c r="B102" i="95"/>
  <c r="B26" i="67"/>
  <c r="I25" i="67"/>
  <c r="I25" i="63"/>
  <c r="B27" i="46"/>
  <c r="B31" i="24"/>
  <c r="I31" i="27"/>
  <c r="B22" i="94"/>
  <c r="B21" i="93"/>
  <c r="J100" i="94"/>
  <c r="I22" i="83"/>
  <c r="I23" i="80"/>
  <c r="I24" i="82"/>
  <c r="B32" i="23"/>
  <c r="B23" i="91"/>
  <c r="B24" i="90"/>
  <c r="B27" i="53"/>
  <c r="I25" i="65"/>
  <c r="B26" i="66"/>
  <c r="I22" i="84"/>
  <c r="B29" i="42"/>
  <c r="B23" i="84"/>
  <c r="I26" i="72"/>
  <c r="I31" i="23"/>
  <c r="I24" i="75"/>
  <c r="I31" i="34"/>
  <c r="B21" i="96"/>
  <c r="B21" i="95"/>
  <c r="B23" i="81"/>
  <c r="B26" i="61"/>
  <c r="B24" i="76"/>
  <c r="B27" i="72"/>
  <c r="B29" i="39"/>
  <c r="B32" i="27"/>
  <c r="B29" i="44"/>
  <c r="B23" i="85"/>
  <c r="B30" i="22"/>
  <c r="B24" i="79"/>
  <c r="B30" i="17"/>
  <c r="C39" i="17"/>
  <c r="B22" i="33"/>
  <c r="D22" i="26"/>
  <c r="E22" i="26" s="1"/>
  <c r="B24" i="77"/>
  <c r="B22" i="92"/>
  <c r="B21" i="26"/>
  <c r="G21" i="26"/>
  <c r="H21" i="26"/>
  <c r="B29" i="73"/>
  <c r="I32" i="69"/>
  <c r="B32" i="29"/>
  <c r="B27" i="57"/>
  <c r="I23" i="88"/>
  <c r="B30" i="21"/>
  <c r="B31" i="32"/>
  <c r="B24" i="78"/>
  <c r="B29" i="43"/>
  <c r="B26" i="63"/>
  <c r="B30" i="3"/>
  <c r="B30" i="19"/>
  <c r="B27" i="54"/>
  <c r="B32" i="70"/>
  <c r="B22" i="89"/>
  <c r="I26" i="35"/>
  <c r="I28" i="73"/>
  <c r="B25" i="68"/>
  <c r="I28" i="74"/>
  <c r="I28" i="45"/>
  <c r="E22" i="33"/>
  <c r="F22" i="33" s="1"/>
  <c r="I28" i="43"/>
  <c r="I25" i="60"/>
  <c r="I31" i="71"/>
  <c r="I32" i="31"/>
  <c r="B30" i="41"/>
  <c r="I31" i="30"/>
  <c r="B102" i="94"/>
  <c r="B110" i="22"/>
  <c r="J101" i="89"/>
  <c r="J102" i="81"/>
  <c r="B102" i="93"/>
  <c r="B26" i="59"/>
  <c r="B31" i="18"/>
  <c r="E28" i="35"/>
  <c r="F28" i="35" s="1"/>
  <c r="B28" i="35"/>
  <c r="G27" i="35"/>
  <c r="H27" i="35"/>
  <c r="I25" i="62"/>
  <c r="B108" i="74"/>
  <c r="B102" i="92"/>
  <c r="B105" i="68"/>
  <c r="B109" i="43"/>
  <c r="B105" i="66"/>
  <c r="B106" i="61"/>
  <c r="B111" i="32"/>
  <c r="B112" i="70"/>
  <c r="B110" i="19"/>
  <c r="B102" i="88"/>
  <c r="B106" i="64"/>
  <c r="B112" i="30"/>
  <c r="B102" i="90"/>
  <c r="B104" i="79"/>
  <c r="B109" i="39"/>
  <c r="B110" i="20"/>
  <c r="B104" i="78"/>
  <c r="B111" i="31"/>
  <c r="B102" i="84"/>
  <c r="B106" i="60"/>
  <c r="B112" i="69"/>
  <c r="B112" i="29"/>
  <c r="B107" i="46"/>
  <c r="B102" i="86"/>
  <c r="B107" i="58"/>
  <c r="B106" i="63"/>
  <c r="B107" i="53"/>
  <c r="B110" i="34"/>
  <c r="B112" i="27"/>
  <c r="J104" i="65"/>
  <c r="B107" i="72"/>
  <c r="B103" i="85"/>
  <c r="F59" i="2"/>
  <c r="F79" i="2" s="1"/>
  <c r="F80" i="2" s="1"/>
  <c r="F82" i="2" s="1"/>
  <c r="F76" i="2"/>
  <c r="F77" i="2" s="1"/>
  <c r="B107" i="59"/>
  <c r="B112" i="71"/>
  <c r="B108" i="57"/>
  <c r="B102" i="87"/>
  <c r="B105" i="67"/>
  <c r="I109" i="35"/>
  <c r="H109" i="35"/>
  <c r="B103" i="82"/>
  <c r="J109" i="17"/>
  <c r="J110" i="24"/>
  <c r="J106" i="54"/>
  <c r="J102" i="80"/>
  <c r="J103" i="75"/>
  <c r="B109" i="44"/>
  <c r="J106" i="55"/>
  <c r="J100" i="33"/>
  <c r="J103" i="77"/>
  <c r="B113" i="28"/>
  <c r="J103" i="76"/>
  <c r="J109" i="21"/>
  <c r="J108" i="42"/>
  <c r="B110" i="3"/>
  <c r="J102" i="83"/>
  <c r="B102" i="96"/>
  <c r="H28" i="101" l="1"/>
  <c r="G28" i="101"/>
  <c r="D29" i="101"/>
  <c r="E29" i="101" s="1"/>
  <c r="G19" i="102"/>
  <c r="I19" i="102" s="1"/>
  <c r="D20" i="102"/>
  <c r="E20" i="102"/>
  <c r="D102" i="100"/>
  <c r="B102" i="100" s="1"/>
  <c r="G101" i="100"/>
  <c r="J100" i="100"/>
  <c r="F35" i="100"/>
  <c r="G35" i="100" s="1"/>
  <c r="B35" i="100"/>
  <c r="B21" i="13"/>
  <c r="F21" i="13"/>
  <c r="H21" i="13" s="1"/>
  <c r="D102" i="33"/>
  <c r="E102" i="33" s="1"/>
  <c r="F102" i="33" s="1"/>
  <c r="I21" i="33"/>
  <c r="E23" i="97"/>
  <c r="G102" i="25"/>
  <c r="I102" i="25" s="1"/>
  <c r="D23" i="97"/>
  <c r="H21" i="25"/>
  <c r="D22" i="25"/>
  <c r="G21" i="25"/>
  <c r="B102" i="25"/>
  <c r="I22" i="97"/>
  <c r="B111" i="35"/>
  <c r="I22" i="98"/>
  <c r="D23" i="99"/>
  <c r="E23" i="99"/>
  <c r="D23" i="98"/>
  <c r="E23" i="98"/>
  <c r="E111" i="35"/>
  <c r="F111" i="35" s="1"/>
  <c r="G111" i="35" s="1"/>
  <c r="J107" i="56"/>
  <c r="B102" i="99"/>
  <c r="J101" i="91"/>
  <c r="J107" i="45"/>
  <c r="J108" i="41"/>
  <c r="B110" i="73"/>
  <c r="J108" i="73"/>
  <c r="I27" i="46"/>
  <c r="H102" i="26"/>
  <c r="I102" i="26"/>
  <c r="J101" i="95"/>
  <c r="D103" i="26"/>
  <c r="J109" i="22"/>
  <c r="I26" i="67"/>
  <c r="I32" i="29"/>
  <c r="I31" i="24"/>
  <c r="B24" i="80"/>
  <c r="I23" i="86"/>
  <c r="B25" i="82"/>
  <c r="N5" i="82"/>
  <c r="I21" i="93"/>
  <c r="B24" i="86"/>
  <c r="I22" i="94"/>
  <c r="B25" i="75"/>
  <c r="I30" i="17"/>
  <c r="I24" i="79"/>
  <c r="I26" i="66"/>
  <c r="B26" i="65"/>
  <c r="B29" i="58"/>
  <c r="I23" i="91"/>
  <c r="I30" i="41"/>
  <c r="I23" i="84"/>
  <c r="I27" i="53"/>
  <c r="I24" i="90"/>
  <c r="D25" i="90"/>
  <c r="E25" i="90"/>
  <c r="I28" i="58"/>
  <c r="B29" i="55"/>
  <c r="I32" i="23"/>
  <c r="I29" i="73"/>
  <c r="I23" i="81"/>
  <c r="I30" i="22"/>
  <c r="I29" i="44"/>
  <c r="I32" i="27"/>
  <c r="I29" i="39"/>
  <c r="I27" i="72"/>
  <c r="I24" i="76"/>
  <c r="I21" i="96"/>
  <c r="I23" i="85"/>
  <c r="I26" i="61"/>
  <c r="I21" i="95"/>
  <c r="I26" i="64"/>
  <c r="B32" i="30"/>
  <c r="D23" i="33"/>
  <c r="I24" i="78"/>
  <c r="I33" i="28"/>
  <c r="B22" i="26"/>
  <c r="F22" i="26"/>
  <c r="G22" i="33"/>
  <c r="B34" i="28"/>
  <c r="B32" i="34"/>
  <c r="I27" i="35"/>
  <c r="B26" i="60"/>
  <c r="I22" i="89"/>
  <c r="I30" i="3"/>
  <c r="B24" i="88"/>
  <c r="I21" i="26"/>
  <c r="I22" i="92"/>
  <c r="B27" i="56"/>
  <c r="H22" i="33"/>
  <c r="B27" i="64"/>
  <c r="I24" i="77"/>
  <c r="B33" i="69"/>
  <c r="B29" i="74"/>
  <c r="I32" i="70"/>
  <c r="I27" i="54"/>
  <c r="B23" i="83"/>
  <c r="B33" i="31"/>
  <c r="I29" i="43"/>
  <c r="I30" i="21"/>
  <c r="I26" i="56"/>
  <c r="B32" i="71"/>
  <c r="B29" i="45"/>
  <c r="J101" i="93"/>
  <c r="J106" i="53"/>
  <c r="J103" i="78"/>
  <c r="J109" i="20"/>
  <c r="J103" i="79"/>
  <c r="J109" i="19"/>
  <c r="J110" i="31"/>
  <c r="J107" i="57"/>
  <c r="J106" i="72"/>
  <c r="J111" i="29"/>
  <c r="J101" i="84"/>
  <c r="J105" i="61"/>
  <c r="J106" i="46"/>
  <c r="J111" i="27"/>
  <c r="J105" i="62"/>
  <c r="J104" i="66"/>
  <c r="B23" i="87"/>
  <c r="J105" i="64"/>
  <c r="J111" i="69"/>
  <c r="J105" i="60"/>
  <c r="J101" i="88"/>
  <c r="J110" i="32"/>
  <c r="H28" i="35"/>
  <c r="E29" i="35"/>
  <c r="F29" i="35" s="1"/>
  <c r="G28" i="35"/>
  <c r="B29" i="35"/>
  <c r="J101" i="90"/>
  <c r="J107" i="74"/>
  <c r="I22" i="87"/>
  <c r="B26" i="62"/>
  <c r="J108" i="39"/>
  <c r="J111" i="30"/>
  <c r="I29" i="20"/>
  <c r="B30" i="20"/>
  <c r="B107" i="62"/>
  <c r="J104" i="68"/>
  <c r="J102" i="85"/>
  <c r="J111" i="70"/>
  <c r="J101" i="92"/>
  <c r="J109" i="34"/>
  <c r="B103" i="89"/>
  <c r="J105" i="63"/>
  <c r="B103" i="91"/>
  <c r="B111" i="22"/>
  <c r="J106" i="58"/>
  <c r="B109" i="45"/>
  <c r="J108" i="43"/>
  <c r="J101" i="86"/>
  <c r="J111" i="71"/>
  <c r="J110" i="18"/>
  <c r="J106" i="59"/>
  <c r="B109" i="56"/>
  <c r="B110" i="42"/>
  <c r="B105" i="77"/>
  <c r="J109" i="35"/>
  <c r="B104" i="83"/>
  <c r="J101" i="87"/>
  <c r="B108" i="54"/>
  <c r="B105" i="76"/>
  <c r="F103" i="25"/>
  <c r="B103" i="25"/>
  <c r="J104" i="67"/>
  <c r="J112" i="28"/>
  <c r="J102" i="82"/>
  <c r="J109" i="3"/>
  <c r="J101" i="96"/>
  <c r="B111" i="21"/>
  <c r="B108" i="55"/>
  <c r="I101" i="33"/>
  <c r="H101" i="33"/>
  <c r="B112" i="24"/>
  <c r="B111" i="17"/>
  <c r="B104" i="80"/>
  <c r="I110" i="35"/>
  <c r="H110" i="35"/>
  <c r="B105" i="75"/>
  <c r="J108" i="44"/>
  <c r="I28" i="101" l="1"/>
  <c r="F29" i="101"/>
  <c r="H29" i="101" s="1"/>
  <c r="B29" i="101"/>
  <c r="F20" i="102"/>
  <c r="H20" i="102" s="1"/>
  <c r="E102" i="100"/>
  <c r="F102" i="100" s="1"/>
  <c r="D103" i="100" s="1"/>
  <c r="H35" i="100"/>
  <c r="I35" i="100" s="1"/>
  <c r="D21" i="102"/>
  <c r="E21" i="102" s="1"/>
  <c r="B20" i="102"/>
  <c r="G20" i="102"/>
  <c r="H101" i="100"/>
  <c r="I101" i="100"/>
  <c r="D36" i="100"/>
  <c r="E36" i="100" s="1"/>
  <c r="D22" i="13"/>
  <c r="G21" i="13"/>
  <c r="I21" i="13" s="1"/>
  <c r="B102" i="33"/>
  <c r="J101" i="98"/>
  <c r="B112" i="35"/>
  <c r="H102" i="25"/>
  <c r="J102" i="25" s="1"/>
  <c r="B26" i="68"/>
  <c r="F23" i="97"/>
  <c r="D24" i="97" s="1"/>
  <c r="J101" i="97"/>
  <c r="I25" i="68"/>
  <c r="B23" i="97"/>
  <c r="I21" i="25"/>
  <c r="E22" i="25"/>
  <c r="F22" i="25" s="1"/>
  <c r="B22" i="25"/>
  <c r="E112" i="35"/>
  <c r="F112" i="35" s="1"/>
  <c r="G112" i="35" s="1"/>
  <c r="F23" i="99"/>
  <c r="H23" i="99" s="1"/>
  <c r="B23" i="99"/>
  <c r="I22" i="99"/>
  <c r="F23" i="98"/>
  <c r="B23" i="98"/>
  <c r="J105" i="65"/>
  <c r="J101" i="99"/>
  <c r="J111" i="23"/>
  <c r="J102" i="26"/>
  <c r="B104" i="81"/>
  <c r="B103" i="94"/>
  <c r="B103" i="26"/>
  <c r="E103" i="26"/>
  <c r="F103" i="26" s="1"/>
  <c r="B103" i="95"/>
  <c r="B110" i="41"/>
  <c r="J101" i="94"/>
  <c r="B27" i="67"/>
  <c r="B28" i="46"/>
  <c r="I33" i="31"/>
  <c r="B32" i="24"/>
  <c r="D26" i="82"/>
  <c r="E26" i="82"/>
  <c r="B23" i="94"/>
  <c r="B22" i="93"/>
  <c r="B25" i="90"/>
  <c r="F25" i="90"/>
  <c r="H25" i="90" s="1"/>
  <c r="B28" i="53"/>
  <c r="D30" i="55"/>
  <c r="E30" i="55"/>
  <c r="B24" i="84"/>
  <c r="B24" i="91"/>
  <c r="B33" i="23"/>
  <c r="I33" i="69"/>
  <c r="I26" i="65"/>
  <c r="B27" i="66"/>
  <c r="I22" i="33"/>
  <c r="I29" i="55"/>
  <c r="I29" i="42"/>
  <c r="E30" i="58"/>
  <c r="I29" i="58"/>
  <c r="D30" i="58"/>
  <c r="B30" i="42"/>
  <c r="I25" i="75"/>
  <c r="I23" i="87"/>
  <c r="B27" i="61"/>
  <c r="B24" i="85"/>
  <c r="B30" i="39"/>
  <c r="B33" i="27"/>
  <c r="B31" i="22"/>
  <c r="I24" i="88"/>
  <c r="B30" i="44"/>
  <c r="B22" i="95"/>
  <c r="B25" i="76"/>
  <c r="B22" i="96"/>
  <c r="B24" i="81"/>
  <c r="B28" i="72"/>
  <c r="I26" i="63"/>
  <c r="I31" i="32"/>
  <c r="B30" i="73"/>
  <c r="B23" i="92"/>
  <c r="B25" i="77"/>
  <c r="C40" i="17"/>
  <c r="B25" i="78"/>
  <c r="B31" i="19"/>
  <c r="H22" i="26"/>
  <c r="D23" i="26"/>
  <c r="B32" i="32"/>
  <c r="B28" i="54"/>
  <c r="B31" i="41"/>
  <c r="I27" i="57"/>
  <c r="E25" i="88"/>
  <c r="D25" i="88"/>
  <c r="B31" i="3"/>
  <c r="I26" i="60"/>
  <c r="B23" i="33"/>
  <c r="B27" i="63"/>
  <c r="B33" i="29"/>
  <c r="I30" i="19"/>
  <c r="B23" i="89"/>
  <c r="I29" i="45"/>
  <c r="B31" i="21"/>
  <c r="D34" i="31"/>
  <c r="E34" i="31"/>
  <c r="I23" i="83"/>
  <c r="B25" i="79"/>
  <c r="I34" i="28"/>
  <c r="G22" i="26"/>
  <c r="B28" i="57"/>
  <c r="B30" i="43"/>
  <c r="B33" i="70"/>
  <c r="E23" i="33"/>
  <c r="F23" i="33" s="1"/>
  <c r="B103" i="93"/>
  <c r="J110" i="22"/>
  <c r="J109" i="73"/>
  <c r="J103" i="81"/>
  <c r="B27" i="59"/>
  <c r="I26" i="59"/>
  <c r="I31" i="18"/>
  <c r="B30" i="35"/>
  <c r="G29" i="35"/>
  <c r="E30" i="35"/>
  <c r="F30" i="35" s="1"/>
  <c r="H29" i="35"/>
  <c r="B32" i="18"/>
  <c r="I28" i="35"/>
  <c r="B113" i="30"/>
  <c r="B108" i="58"/>
  <c r="B111" i="34"/>
  <c r="B106" i="66"/>
  <c r="B112" i="32"/>
  <c r="B113" i="69"/>
  <c r="B108" i="53"/>
  <c r="B106" i="68"/>
  <c r="B104" i="85"/>
  <c r="J102" i="89"/>
  <c r="B107" i="65"/>
  <c r="B103" i="86"/>
  <c r="B105" i="78"/>
  <c r="B107" i="61"/>
  <c r="B105" i="79"/>
  <c r="B111" i="20"/>
  <c r="B108" i="72"/>
  <c r="J108" i="45"/>
  <c r="B112" i="31"/>
  <c r="B103" i="88"/>
  <c r="B113" i="29"/>
  <c r="B113" i="27"/>
  <c r="B111" i="19"/>
  <c r="B103" i="90"/>
  <c r="B110" i="39"/>
  <c r="B103" i="84"/>
  <c r="B107" i="63"/>
  <c r="B109" i="74"/>
  <c r="B107" i="60"/>
  <c r="J102" i="91"/>
  <c r="B113" i="70"/>
  <c r="B107" i="64"/>
  <c r="B103" i="92"/>
  <c r="B110" i="43"/>
  <c r="B108" i="46"/>
  <c r="B108" i="59"/>
  <c r="B113" i="23"/>
  <c r="B112" i="18"/>
  <c r="J110" i="35"/>
  <c r="B113" i="71"/>
  <c r="B109" i="57"/>
  <c r="B103" i="87"/>
  <c r="D104" i="25"/>
  <c r="G103" i="25"/>
  <c r="B110" i="44"/>
  <c r="J104" i="77"/>
  <c r="J107" i="54"/>
  <c r="J107" i="55"/>
  <c r="B111" i="3"/>
  <c r="D103" i="33"/>
  <c r="G102" i="33"/>
  <c r="B106" i="67"/>
  <c r="J102" i="93"/>
  <c r="J104" i="75"/>
  <c r="H111" i="35"/>
  <c r="I111" i="35"/>
  <c r="B103" i="96"/>
  <c r="B104" i="82"/>
  <c r="J111" i="24"/>
  <c r="B114" i="28"/>
  <c r="J104" i="76"/>
  <c r="J101" i="33"/>
  <c r="J103" i="83"/>
  <c r="J110" i="17"/>
  <c r="J110" i="21"/>
  <c r="J103" i="80"/>
  <c r="J109" i="42"/>
  <c r="D30" i="101" l="1"/>
  <c r="E30" i="101" s="1"/>
  <c r="G29" i="101"/>
  <c r="I29" i="101" s="1"/>
  <c r="G102" i="100"/>
  <c r="I102" i="100" s="1"/>
  <c r="E103" i="100"/>
  <c r="F103" i="100" s="1"/>
  <c r="B21" i="102"/>
  <c r="F21" i="102"/>
  <c r="G21" i="102" s="1"/>
  <c r="F30" i="101"/>
  <c r="G30" i="101" s="1"/>
  <c r="I20" i="102"/>
  <c r="B103" i="100"/>
  <c r="J101" i="100"/>
  <c r="F36" i="100"/>
  <c r="G36" i="100" s="1"/>
  <c r="B36" i="100"/>
  <c r="I25" i="82"/>
  <c r="N6" i="82"/>
  <c r="N7" i="82" s="1"/>
  <c r="E22" i="13"/>
  <c r="F22" i="13" s="1"/>
  <c r="B22" i="13"/>
  <c r="J108" i="56"/>
  <c r="E24" i="97"/>
  <c r="F24" i="97" s="1"/>
  <c r="D25" i="97" s="1"/>
  <c r="H23" i="97"/>
  <c r="B113" i="35"/>
  <c r="G23" i="97"/>
  <c r="E113" i="35"/>
  <c r="F113" i="35" s="1"/>
  <c r="G113" i="35" s="1"/>
  <c r="I29" i="74"/>
  <c r="H22" i="25"/>
  <c r="G22" i="25"/>
  <c r="D23" i="25"/>
  <c r="G23" i="99"/>
  <c r="I23" i="99" s="1"/>
  <c r="I28" i="72"/>
  <c r="D24" i="98"/>
  <c r="E24" i="98"/>
  <c r="H23" i="98"/>
  <c r="G23" i="98"/>
  <c r="B24" i="97"/>
  <c r="D24" i="99"/>
  <c r="E24" i="99"/>
  <c r="J102" i="94"/>
  <c r="J106" i="65"/>
  <c r="J106" i="62"/>
  <c r="J109" i="41"/>
  <c r="B105" i="81"/>
  <c r="B104" i="94"/>
  <c r="B29" i="72"/>
  <c r="I30" i="44"/>
  <c r="I32" i="30"/>
  <c r="D104" i="26"/>
  <c r="G103" i="26"/>
  <c r="J102" i="95"/>
  <c r="I24" i="80"/>
  <c r="I25" i="76"/>
  <c r="I27" i="67"/>
  <c r="E28" i="67"/>
  <c r="D28" i="67"/>
  <c r="I28" i="46"/>
  <c r="I32" i="24"/>
  <c r="I27" i="61"/>
  <c r="B26" i="82"/>
  <c r="B25" i="86"/>
  <c r="I27" i="59"/>
  <c r="I22" i="93"/>
  <c r="F26" i="82"/>
  <c r="G26" i="82" s="1"/>
  <c r="B25" i="80"/>
  <c r="I24" i="86"/>
  <c r="E28" i="66"/>
  <c r="D28" i="66"/>
  <c r="D34" i="23"/>
  <c r="E34" i="23"/>
  <c r="I27" i="63"/>
  <c r="F30" i="58"/>
  <c r="B30" i="58"/>
  <c r="B27" i="65"/>
  <c r="B26" i="75"/>
  <c r="B30" i="55"/>
  <c r="F30" i="55"/>
  <c r="H30" i="55" s="1"/>
  <c r="I28" i="54"/>
  <c r="I30" i="73"/>
  <c r="G25" i="90"/>
  <c r="I25" i="90" s="1"/>
  <c r="D26" i="90"/>
  <c r="E26" i="90"/>
  <c r="I28" i="53"/>
  <c r="I31" i="22"/>
  <c r="D25" i="91"/>
  <c r="I24" i="91"/>
  <c r="E25" i="91"/>
  <c r="I24" i="84"/>
  <c r="I23" i="89"/>
  <c r="I22" i="26"/>
  <c r="I25" i="78"/>
  <c r="I24" i="85"/>
  <c r="I22" i="96"/>
  <c r="I26" i="68"/>
  <c r="I25" i="77"/>
  <c r="I24" i="81"/>
  <c r="I22" i="95"/>
  <c r="I33" i="27"/>
  <c r="B31" i="39"/>
  <c r="I29" i="35"/>
  <c r="D24" i="33"/>
  <c r="E24" i="33" s="1"/>
  <c r="G23" i="33"/>
  <c r="H23" i="33"/>
  <c r="B33" i="34"/>
  <c r="F34" i="31"/>
  <c r="G34" i="31" s="1"/>
  <c r="B34" i="31"/>
  <c r="B27" i="60"/>
  <c r="B30" i="45"/>
  <c r="B28" i="64"/>
  <c r="I25" i="79"/>
  <c r="B24" i="83"/>
  <c r="I32" i="34"/>
  <c r="B30" i="74"/>
  <c r="I31" i="3"/>
  <c r="I27" i="56"/>
  <c r="I31" i="41"/>
  <c r="D32" i="41"/>
  <c r="E32" i="41"/>
  <c r="B27" i="68"/>
  <c r="B28" i="56"/>
  <c r="B33" i="71"/>
  <c r="B33" i="30"/>
  <c r="I31" i="19"/>
  <c r="I27" i="64"/>
  <c r="B34" i="69"/>
  <c r="B35" i="28"/>
  <c r="B31" i="43"/>
  <c r="F25" i="88"/>
  <c r="G25" i="88" s="1"/>
  <c r="B25" i="88"/>
  <c r="E23" i="26"/>
  <c r="F23" i="26" s="1"/>
  <c r="B23" i="26"/>
  <c r="I32" i="71"/>
  <c r="I23" i="92"/>
  <c r="J110" i="19"/>
  <c r="J109" i="43"/>
  <c r="J107" i="72"/>
  <c r="J106" i="64"/>
  <c r="J106" i="61"/>
  <c r="J102" i="84"/>
  <c r="J102" i="90"/>
  <c r="J105" i="68"/>
  <c r="J112" i="69"/>
  <c r="J112" i="70"/>
  <c r="J106" i="60"/>
  <c r="B27" i="62"/>
  <c r="D33" i="18"/>
  <c r="E33" i="18"/>
  <c r="I30" i="20"/>
  <c r="J112" i="27"/>
  <c r="J107" i="58"/>
  <c r="J107" i="46"/>
  <c r="J107" i="53"/>
  <c r="G30" i="35"/>
  <c r="B31" i="35"/>
  <c r="H30" i="35"/>
  <c r="E31" i="35"/>
  <c r="F31" i="35" s="1"/>
  <c r="I26" i="62"/>
  <c r="B31" i="20"/>
  <c r="J102" i="86"/>
  <c r="J112" i="29"/>
  <c r="B24" i="87"/>
  <c r="J108" i="74"/>
  <c r="J104" i="79"/>
  <c r="J102" i="92"/>
  <c r="B108" i="62"/>
  <c r="J111" i="31"/>
  <c r="J110" i="20"/>
  <c r="J104" i="78"/>
  <c r="J103" i="85"/>
  <c r="J110" i="34"/>
  <c r="J102" i="88"/>
  <c r="J105" i="66"/>
  <c r="B110" i="45"/>
  <c r="B111" i="41"/>
  <c r="J106" i="63"/>
  <c r="J109" i="39"/>
  <c r="B104" i="91"/>
  <c r="B111" i="73"/>
  <c r="B104" i="89"/>
  <c r="J111" i="32"/>
  <c r="J112" i="30"/>
  <c r="B112" i="22"/>
  <c r="J108" i="57"/>
  <c r="J107" i="59"/>
  <c r="J111" i="35"/>
  <c r="J112" i="71"/>
  <c r="B106" i="75"/>
  <c r="B103" i="33"/>
  <c r="J113" i="28"/>
  <c r="J103" i="82"/>
  <c r="B111" i="42"/>
  <c r="B109" i="55"/>
  <c r="J102" i="96"/>
  <c r="B106" i="76"/>
  <c r="B112" i="21"/>
  <c r="J105" i="67"/>
  <c r="B104" i="25"/>
  <c r="I102" i="33"/>
  <c r="H102" i="33"/>
  <c r="J109" i="44"/>
  <c r="B113" i="24"/>
  <c r="B105" i="80"/>
  <c r="H103" i="25"/>
  <c r="I103" i="25"/>
  <c r="J110" i="3"/>
  <c r="B109" i="54"/>
  <c r="J102" i="87"/>
  <c r="E103" i="33"/>
  <c r="F103" i="33" s="1"/>
  <c r="B106" i="77"/>
  <c r="B105" i="83"/>
  <c r="I112" i="35"/>
  <c r="H112" i="35"/>
  <c r="E104" i="25"/>
  <c r="F104" i="25" s="1"/>
  <c r="F74" i="36"/>
  <c r="B30" i="101" l="1"/>
  <c r="H102" i="100"/>
  <c r="J102" i="100" s="1"/>
  <c r="H21" i="102"/>
  <c r="I21" i="102" s="1"/>
  <c r="H30" i="101"/>
  <c r="I30" i="101" s="1"/>
  <c r="D31" i="101"/>
  <c r="E31" i="101" s="1"/>
  <c r="H36" i="100"/>
  <c r="I36" i="100" s="1"/>
  <c r="D22" i="102"/>
  <c r="E22" i="102" s="1"/>
  <c r="D104" i="100"/>
  <c r="E104" i="100" s="1"/>
  <c r="G103" i="100"/>
  <c r="D37" i="100"/>
  <c r="G74" i="36"/>
  <c r="D23" i="13"/>
  <c r="H22" i="13"/>
  <c r="G22" i="13"/>
  <c r="I23" i="97"/>
  <c r="B114" i="35"/>
  <c r="E114" i="35"/>
  <c r="F114" i="35" s="1"/>
  <c r="E115" i="35" s="1"/>
  <c r="F115" i="35" s="1"/>
  <c r="I22" i="25"/>
  <c r="J111" i="18"/>
  <c r="J112" i="23"/>
  <c r="E23" i="25"/>
  <c r="F23" i="25" s="1"/>
  <c r="B23" i="25"/>
  <c r="I34" i="69"/>
  <c r="I31" i="17"/>
  <c r="G24" i="97"/>
  <c r="I30" i="39"/>
  <c r="E32" i="43"/>
  <c r="I30" i="43"/>
  <c r="H24" i="97"/>
  <c r="I23" i="98"/>
  <c r="F24" i="99"/>
  <c r="G24" i="99" s="1"/>
  <c r="B24" i="99"/>
  <c r="E25" i="97"/>
  <c r="F25" i="97" s="1"/>
  <c r="B25" i="97"/>
  <c r="F24" i="98"/>
  <c r="G24" i="98" s="1"/>
  <c r="B24" i="98"/>
  <c r="I30" i="42"/>
  <c r="I31" i="21"/>
  <c r="D33" i="3"/>
  <c r="B104" i="26"/>
  <c r="E104" i="26"/>
  <c r="F104" i="26" s="1"/>
  <c r="H103" i="26"/>
  <c r="I103" i="26"/>
  <c r="B28" i="67"/>
  <c r="F28" i="67"/>
  <c r="G28" i="67" s="1"/>
  <c r="I27" i="65"/>
  <c r="B29" i="46"/>
  <c r="D32" i="43"/>
  <c r="B32" i="43" s="1"/>
  <c r="D32" i="42"/>
  <c r="B33" i="24"/>
  <c r="D26" i="80"/>
  <c r="E26" i="80"/>
  <c r="B24" i="94"/>
  <c r="D27" i="82"/>
  <c r="E27" i="82"/>
  <c r="H26" i="82"/>
  <c r="I26" i="82" s="1"/>
  <c r="B23" i="93"/>
  <c r="I33" i="30"/>
  <c r="D26" i="86"/>
  <c r="E26" i="86"/>
  <c r="I23" i="94"/>
  <c r="B25" i="91"/>
  <c r="F25" i="91"/>
  <c r="H25" i="91" s="1"/>
  <c r="I31" i="20"/>
  <c r="I28" i="64"/>
  <c r="I27" i="66"/>
  <c r="D27" i="75"/>
  <c r="E27" i="75"/>
  <c r="I33" i="23"/>
  <c r="B29" i="53"/>
  <c r="H25" i="88"/>
  <c r="I25" i="88" s="1"/>
  <c r="I27" i="60"/>
  <c r="G30" i="58"/>
  <c r="E31" i="58"/>
  <c r="H30" i="58"/>
  <c r="D31" i="58"/>
  <c r="F34" i="23"/>
  <c r="B34" i="23"/>
  <c r="B31" i="42"/>
  <c r="E24" i="95"/>
  <c r="B25" i="84"/>
  <c r="B26" i="90"/>
  <c r="F26" i="90"/>
  <c r="G26" i="90" s="1"/>
  <c r="G30" i="55"/>
  <c r="I30" i="55" s="1"/>
  <c r="E31" i="55"/>
  <c r="D31" i="55"/>
  <c r="E28" i="65"/>
  <c r="D28" i="65"/>
  <c r="F28" i="66"/>
  <c r="B28" i="66"/>
  <c r="B34" i="27"/>
  <c r="B32" i="22"/>
  <c r="B25" i="85"/>
  <c r="H34" i="31"/>
  <c r="I34" i="31" s="1"/>
  <c r="D32" i="39"/>
  <c r="E32" i="39"/>
  <c r="B23" i="95"/>
  <c r="B23" i="96"/>
  <c r="B28" i="61"/>
  <c r="I24" i="83"/>
  <c r="B25" i="81"/>
  <c r="B31" i="44"/>
  <c r="I31" i="39"/>
  <c r="B26" i="76"/>
  <c r="I23" i="33"/>
  <c r="B32" i="41"/>
  <c r="F32" i="41"/>
  <c r="G32" i="41" s="1"/>
  <c r="C41" i="17"/>
  <c r="B32" i="17"/>
  <c r="B34" i="29"/>
  <c r="G23" i="26"/>
  <c r="H23" i="26"/>
  <c r="D24" i="26"/>
  <c r="E24" i="26" s="1"/>
  <c r="D36" i="28"/>
  <c r="E36" i="28"/>
  <c r="B32" i="19"/>
  <c r="D34" i="71"/>
  <c r="E34" i="71"/>
  <c r="D28" i="68"/>
  <c r="E28" i="68"/>
  <c r="B29" i="57"/>
  <c r="B33" i="32"/>
  <c r="E34" i="34"/>
  <c r="D34" i="34"/>
  <c r="E31" i="45"/>
  <c r="D31" i="45"/>
  <c r="B34" i="70"/>
  <c r="B26" i="77"/>
  <c r="B24" i="92"/>
  <c r="B26" i="78"/>
  <c r="I28" i="57"/>
  <c r="B29" i="54"/>
  <c r="B32" i="21"/>
  <c r="D35" i="69"/>
  <c r="E35" i="69"/>
  <c r="B31" i="73"/>
  <c r="I32" i="32"/>
  <c r="E26" i="88"/>
  <c r="D26" i="88"/>
  <c r="B28" i="63"/>
  <c r="B24" i="89"/>
  <c r="I33" i="71"/>
  <c r="I28" i="56"/>
  <c r="I27" i="68"/>
  <c r="B32" i="3"/>
  <c r="B26" i="79"/>
  <c r="I33" i="70"/>
  <c r="E29" i="64"/>
  <c r="D29" i="64"/>
  <c r="I33" i="29"/>
  <c r="E35" i="31"/>
  <c r="D35" i="31"/>
  <c r="B24" i="33"/>
  <c r="F24" i="33"/>
  <c r="D25" i="87"/>
  <c r="E25" i="87"/>
  <c r="J103" i="89"/>
  <c r="J104" i="81"/>
  <c r="E32" i="35"/>
  <c r="F32" i="35" s="1"/>
  <c r="G31" i="35"/>
  <c r="H31" i="35"/>
  <c r="B32" i="35"/>
  <c r="B28" i="59"/>
  <c r="I30" i="35"/>
  <c r="B33" i="18"/>
  <c r="F33" i="18"/>
  <c r="G33" i="18" s="1"/>
  <c r="I32" i="18"/>
  <c r="J107" i="62"/>
  <c r="J103" i="91"/>
  <c r="B112" i="34"/>
  <c r="B113" i="31"/>
  <c r="B105" i="85"/>
  <c r="B112" i="19"/>
  <c r="B108" i="64"/>
  <c r="B104" i="90"/>
  <c r="B104" i="86"/>
  <c r="B111" i="43"/>
  <c r="B104" i="88"/>
  <c r="B114" i="27"/>
  <c r="B114" i="30"/>
  <c r="B108" i="61"/>
  <c r="B111" i="39"/>
  <c r="B109" i="53"/>
  <c r="B109" i="72"/>
  <c r="J109" i="45"/>
  <c r="J111" i="22"/>
  <c r="B106" i="78"/>
  <c r="B108" i="63"/>
  <c r="J110" i="41"/>
  <c r="B113" i="32"/>
  <c r="B114" i="70"/>
  <c r="B107" i="66"/>
  <c r="B112" i="20"/>
  <c r="B110" i="74"/>
  <c r="B104" i="84"/>
  <c r="B109" i="46"/>
  <c r="B114" i="69"/>
  <c r="B107" i="68"/>
  <c r="B106" i="79"/>
  <c r="B114" i="29"/>
  <c r="B104" i="92"/>
  <c r="B109" i="58"/>
  <c r="B108" i="60"/>
  <c r="J103" i="25"/>
  <c r="J105" i="76"/>
  <c r="B111" i="44"/>
  <c r="D105" i="25"/>
  <c r="G104" i="25"/>
  <c r="J110" i="42"/>
  <c r="J112" i="24"/>
  <c r="J102" i="33"/>
  <c r="J112" i="35"/>
  <c r="B107" i="67"/>
  <c r="B115" i="28"/>
  <c r="J104" i="80"/>
  <c r="J111" i="17"/>
  <c r="J105" i="75"/>
  <c r="G103" i="33"/>
  <c r="D104" i="33"/>
  <c r="E104" i="33" s="1"/>
  <c r="J111" i="21"/>
  <c r="J108" i="54"/>
  <c r="B104" i="87"/>
  <c r="J105" i="77"/>
  <c r="I113" i="35"/>
  <c r="H113" i="35"/>
  <c r="J104" i="83"/>
  <c r="J108" i="55"/>
  <c r="B112" i="3"/>
  <c r="B105" i="82"/>
  <c r="B22" i="102" l="1"/>
  <c r="F22" i="102"/>
  <c r="G22" i="102"/>
  <c r="H22" i="102"/>
  <c r="B31" i="101"/>
  <c r="F31" i="101"/>
  <c r="G31" i="101" s="1"/>
  <c r="H103" i="100"/>
  <c r="I103" i="100"/>
  <c r="F104" i="100"/>
  <c r="B104" i="100"/>
  <c r="B37" i="100"/>
  <c r="E37" i="100"/>
  <c r="F37" i="100" s="1"/>
  <c r="I22" i="13"/>
  <c r="E23" i="13"/>
  <c r="F23" i="13" s="1"/>
  <c r="B23" i="13"/>
  <c r="B115" i="35"/>
  <c r="G114" i="35"/>
  <c r="I114" i="35" s="1"/>
  <c r="E30" i="72"/>
  <c r="D30" i="72"/>
  <c r="B30" i="72" s="1"/>
  <c r="I25" i="80"/>
  <c r="I29" i="72"/>
  <c r="J110" i="73"/>
  <c r="H23" i="25"/>
  <c r="G23" i="25"/>
  <c r="D24" i="25"/>
  <c r="I31" i="43"/>
  <c r="H24" i="99"/>
  <c r="I24" i="99" s="1"/>
  <c r="I24" i="97"/>
  <c r="D26" i="97"/>
  <c r="B26" i="97" s="1"/>
  <c r="G25" i="97"/>
  <c r="E32" i="42"/>
  <c r="F32" i="42" s="1"/>
  <c r="G32" i="42" s="1"/>
  <c r="E33" i="3"/>
  <c r="F33" i="3" s="1"/>
  <c r="H33" i="3" s="1"/>
  <c r="F32" i="43"/>
  <c r="G32" i="43" s="1"/>
  <c r="D25" i="98"/>
  <c r="E25" i="98"/>
  <c r="E26" i="97"/>
  <c r="H24" i="98"/>
  <c r="H25" i="97"/>
  <c r="D25" i="99"/>
  <c r="E25" i="99"/>
  <c r="G25" i="91"/>
  <c r="I25" i="91" s="1"/>
  <c r="B31" i="74"/>
  <c r="I30" i="74"/>
  <c r="I33" i="24"/>
  <c r="I29" i="46"/>
  <c r="I31" i="44"/>
  <c r="E33" i="19"/>
  <c r="J103" i="26"/>
  <c r="D105" i="26"/>
  <c r="G104" i="26"/>
  <c r="H26" i="90"/>
  <c r="I26" i="90" s="1"/>
  <c r="I24" i="94"/>
  <c r="I23" i="93"/>
  <c r="I26" i="79"/>
  <c r="I26" i="75"/>
  <c r="H28" i="67"/>
  <c r="I28" i="67" s="1"/>
  <c r="D29" i="67"/>
  <c r="E29" i="67"/>
  <c r="I30" i="58"/>
  <c r="D30" i="46"/>
  <c r="E30" i="46"/>
  <c r="I34" i="29"/>
  <c r="E34" i="24"/>
  <c r="D34" i="24"/>
  <c r="D33" i="19"/>
  <c r="I32" i="19"/>
  <c r="H33" i="18"/>
  <c r="I33" i="18" s="1"/>
  <c r="I25" i="84"/>
  <c r="B26" i="86"/>
  <c r="F26" i="86"/>
  <c r="H26" i="86" s="1"/>
  <c r="B26" i="80"/>
  <c r="F26" i="80"/>
  <c r="H26" i="80" s="1"/>
  <c r="D24" i="93"/>
  <c r="E24" i="93"/>
  <c r="F27" i="82"/>
  <c r="G27" i="82" s="1"/>
  <c r="B27" i="82"/>
  <c r="D25" i="94"/>
  <c r="E25" i="94"/>
  <c r="I25" i="81"/>
  <c r="I25" i="86"/>
  <c r="E35" i="23"/>
  <c r="D35" i="23"/>
  <c r="G28" i="66"/>
  <c r="E29" i="66"/>
  <c r="D29" i="66"/>
  <c r="F31" i="55"/>
  <c r="G31" i="55" s="1"/>
  <c r="B31" i="55"/>
  <c r="G34" i="23"/>
  <c r="B27" i="75"/>
  <c r="F27" i="75"/>
  <c r="H27" i="75" s="1"/>
  <c r="I32" i="21"/>
  <c r="I32" i="22"/>
  <c r="D24" i="95"/>
  <c r="B24" i="95" s="1"/>
  <c r="B28" i="65"/>
  <c r="F28" i="65"/>
  <c r="H28" i="65" s="1"/>
  <c r="D27" i="90"/>
  <c r="E27" i="90"/>
  <c r="H34" i="23"/>
  <c r="D26" i="91"/>
  <c r="E26" i="91"/>
  <c r="B32" i="42"/>
  <c r="H28" i="66"/>
  <c r="D26" i="84"/>
  <c r="E26" i="84"/>
  <c r="F31" i="58"/>
  <c r="B31" i="58"/>
  <c r="I29" i="53"/>
  <c r="D30" i="53"/>
  <c r="E30" i="53"/>
  <c r="E27" i="76"/>
  <c r="D27" i="76"/>
  <c r="I34" i="70"/>
  <c r="D29" i="61"/>
  <c r="E29" i="61"/>
  <c r="I23" i="96"/>
  <c r="E24" i="96"/>
  <c r="D24" i="96"/>
  <c r="E35" i="27"/>
  <c r="D35" i="27"/>
  <c r="I29" i="57"/>
  <c r="D26" i="81"/>
  <c r="E26" i="81"/>
  <c r="E32" i="44"/>
  <c r="D32" i="44"/>
  <c r="I28" i="61"/>
  <c r="F32" i="39"/>
  <c r="G32" i="39" s="1"/>
  <c r="B32" i="39"/>
  <c r="I25" i="85"/>
  <c r="D26" i="85"/>
  <c r="E26" i="85"/>
  <c r="D33" i="22"/>
  <c r="E33" i="22"/>
  <c r="I33" i="34"/>
  <c r="I30" i="45"/>
  <c r="D25" i="33"/>
  <c r="E25" i="33" s="1"/>
  <c r="B35" i="69"/>
  <c r="F35" i="69"/>
  <c r="F31" i="45"/>
  <c r="B31" i="45"/>
  <c r="B28" i="68"/>
  <c r="F28" i="68"/>
  <c r="H28" i="68" s="1"/>
  <c r="B36" i="28"/>
  <c r="F36" i="28"/>
  <c r="G36" i="28" s="1"/>
  <c r="D33" i="17"/>
  <c r="E33" i="17"/>
  <c r="F29" i="64"/>
  <c r="H29" i="64" s="1"/>
  <c r="B29" i="64"/>
  <c r="I24" i="89"/>
  <c r="D25" i="89"/>
  <c r="E25" i="89"/>
  <c r="B26" i="88"/>
  <c r="D33" i="21"/>
  <c r="E33" i="21"/>
  <c r="D34" i="32"/>
  <c r="E34" i="32"/>
  <c r="I26" i="77"/>
  <c r="D27" i="77"/>
  <c r="E27" i="77"/>
  <c r="D35" i="29"/>
  <c r="E35" i="29"/>
  <c r="D33" i="41"/>
  <c r="E33" i="41"/>
  <c r="B35" i="31"/>
  <c r="F35" i="31"/>
  <c r="E29" i="63"/>
  <c r="D29" i="63"/>
  <c r="E32" i="73"/>
  <c r="D32" i="73"/>
  <c r="D27" i="78"/>
  <c r="E27" i="78"/>
  <c r="E25" i="92"/>
  <c r="D25" i="92"/>
  <c r="D32" i="74"/>
  <c r="E32" i="74"/>
  <c r="B34" i="71"/>
  <c r="F34" i="71"/>
  <c r="G34" i="71" s="1"/>
  <c r="H24" i="33"/>
  <c r="F26" i="88"/>
  <c r="H26" i="88" s="1"/>
  <c r="B29" i="56"/>
  <c r="B24" i="26"/>
  <c r="F24" i="26"/>
  <c r="B33" i="3"/>
  <c r="I31" i="35"/>
  <c r="G24" i="33"/>
  <c r="D27" i="79"/>
  <c r="E27" i="79"/>
  <c r="B34" i="30"/>
  <c r="I28" i="63"/>
  <c r="I29" i="54"/>
  <c r="E30" i="54"/>
  <c r="D30" i="54"/>
  <c r="B28" i="60"/>
  <c r="B25" i="83"/>
  <c r="I26" i="78"/>
  <c r="D35" i="70"/>
  <c r="E35" i="70"/>
  <c r="F34" i="34"/>
  <c r="B34" i="34"/>
  <c r="E30" i="57"/>
  <c r="D30" i="57"/>
  <c r="I31" i="74"/>
  <c r="I23" i="26"/>
  <c r="H32" i="41"/>
  <c r="I32" i="41" s="1"/>
  <c r="J111" i="20"/>
  <c r="J106" i="66"/>
  <c r="J113" i="70"/>
  <c r="J103" i="90"/>
  <c r="J104" i="85"/>
  <c r="I27" i="62"/>
  <c r="I24" i="87"/>
  <c r="B32" i="20"/>
  <c r="B28" i="62"/>
  <c r="E29" i="59"/>
  <c r="D29" i="59"/>
  <c r="F25" i="87"/>
  <c r="H25" i="87" s="1"/>
  <c r="B25" i="87"/>
  <c r="J108" i="53"/>
  <c r="J103" i="86"/>
  <c r="J107" i="64"/>
  <c r="J110" i="39"/>
  <c r="E33" i="35"/>
  <c r="F33" i="35" s="1"/>
  <c r="B33" i="35"/>
  <c r="H32" i="35"/>
  <c r="G32" i="35"/>
  <c r="J111" i="19"/>
  <c r="J112" i="31"/>
  <c r="J103" i="92"/>
  <c r="J113" i="29"/>
  <c r="J108" i="72"/>
  <c r="J112" i="32"/>
  <c r="D34" i="18"/>
  <c r="E34" i="18"/>
  <c r="I28" i="59"/>
  <c r="J108" i="46"/>
  <c r="J109" i="74"/>
  <c r="J107" i="61"/>
  <c r="J106" i="68"/>
  <c r="J107" i="63"/>
  <c r="J113" i="30"/>
  <c r="J103" i="88"/>
  <c r="J113" i="69"/>
  <c r="J111" i="34"/>
  <c r="J110" i="43"/>
  <c r="J105" i="78"/>
  <c r="J103" i="84"/>
  <c r="J108" i="58"/>
  <c r="J105" i="79"/>
  <c r="J107" i="60"/>
  <c r="J113" i="27"/>
  <c r="J104" i="82"/>
  <c r="B105" i="25"/>
  <c r="B116" i="35"/>
  <c r="G115" i="35"/>
  <c r="E116" i="35"/>
  <c r="F116" i="35" s="1"/>
  <c r="J106" i="67"/>
  <c r="J113" i="35"/>
  <c r="B104" i="33"/>
  <c r="F104" i="33"/>
  <c r="J110" i="44"/>
  <c r="J103" i="87"/>
  <c r="E105" i="25"/>
  <c r="F105" i="25" s="1"/>
  <c r="H103" i="33"/>
  <c r="I103" i="33"/>
  <c r="J114" i="28"/>
  <c r="J111" i="3"/>
  <c r="I104" i="25"/>
  <c r="H104" i="25"/>
  <c r="H31" i="101" l="1"/>
  <c r="I31" i="101" s="1"/>
  <c r="I22" i="102"/>
  <c r="J103" i="100"/>
  <c r="D32" i="101"/>
  <c r="E32" i="101" s="1"/>
  <c r="D23" i="102"/>
  <c r="E23" i="102" s="1"/>
  <c r="D105" i="100"/>
  <c r="B105" i="100" s="1"/>
  <c r="G104" i="100"/>
  <c r="D38" i="100"/>
  <c r="E38" i="100" s="1"/>
  <c r="G37" i="100"/>
  <c r="H37" i="100"/>
  <c r="H114" i="35"/>
  <c r="H23" i="13"/>
  <c r="G23" i="13"/>
  <c r="D24" i="13"/>
  <c r="F30" i="72"/>
  <c r="D31" i="72" s="1"/>
  <c r="J103" i="94"/>
  <c r="E33" i="43"/>
  <c r="I32" i="3"/>
  <c r="I23" i="25"/>
  <c r="E24" i="25"/>
  <c r="F24" i="25" s="1"/>
  <c r="G24" i="25" s="1"/>
  <c r="B24" i="25"/>
  <c r="F26" i="97"/>
  <c r="G26" i="97" s="1"/>
  <c r="F33" i="19"/>
  <c r="H33" i="19" s="1"/>
  <c r="I31" i="42"/>
  <c r="H32" i="43"/>
  <c r="I32" i="43" s="1"/>
  <c r="D33" i="43"/>
  <c r="B33" i="43" s="1"/>
  <c r="I28" i="66"/>
  <c r="F25" i="99"/>
  <c r="D26" i="99" s="1"/>
  <c r="B25" i="99"/>
  <c r="I25" i="97"/>
  <c r="F25" i="98"/>
  <c r="G25" i="98" s="1"/>
  <c r="B25" i="98"/>
  <c r="I24" i="98"/>
  <c r="G26" i="80"/>
  <c r="I26" i="80" s="1"/>
  <c r="I32" i="17"/>
  <c r="B33" i="19"/>
  <c r="I104" i="26"/>
  <c r="H104" i="26"/>
  <c r="B105" i="26"/>
  <c r="E105" i="26"/>
  <c r="F105" i="26" s="1"/>
  <c r="I23" i="95"/>
  <c r="I25" i="83"/>
  <c r="F24" i="95"/>
  <c r="H24" i="95" s="1"/>
  <c r="F29" i="67"/>
  <c r="G29" i="67" s="1"/>
  <c r="B29" i="67"/>
  <c r="G29" i="64"/>
  <c r="I29" i="64" s="1"/>
  <c r="B30" i="46"/>
  <c r="F30" i="46"/>
  <c r="G30" i="46" s="1"/>
  <c r="F34" i="24"/>
  <c r="H34" i="24" s="1"/>
  <c r="B34" i="24"/>
  <c r="I34" i="27"/>
  <c r="F24" i="93"/>
  <c r="H24" i="93" s="1"/>
  <c r="B24" i="93"/>
  <c r="F25" i="94"/>
  <c r="H25" i="94" s="1"/>
  <c r="B25" i="94"/>
  <c r="E28" i="82"/>
  <c r="D28" i="82"/>
  <c r="D27" i="86"/>
  <c r="E27" i="86"/>
  <c r="G26" i="86"/>
  <c r="I26" i="86" s="1"/>
  <c r="H27" i="82"/>
  <c r="I27" i="82" s="1"/>
  <c r="D27" i="80"/>
  <c r="E27" i="80"/>
  <c r="G31" i="58"/>
  <c r="D32" i="58"/>
  <c r="E32" i="58"/>
  <c r="G33" i="3"/>
  <c r="I33" i="3" s="1"/>
  <c r="H32" i="42"/>
  <c r="I32" i="42" s="1"/>
  <c r="D33" i="42"/>
  <c r="E33" i="42"/>
  <c r="F26" i="91"/>
  <c r="H26" i="91" s="1"/>
  <c r="B26" i="91"/>
  <c r="B27" i="90"/>
  <c r="F27" i="90"/>
  <c r="B30" i="53"/>
  <c r="F30" i="53"/>
  <c r="G30" i="53" s="1"/>
  <c r="B29" i="66"/>
  <c r="F29" i="66"/>
  <c r="H29" i="66" s="1"/>
  <c r="F26" i="84"/>
  <c r="B26" i="84"/>
  <c r="D29" i="65"/>
  <c r="E29" i="65"/>
  <c r="F35" i="23"/>
  <c r="B35" i="23"/>
  <c r="H36" i="28"/>
  <c r="I36" i="28" s="1"/>
  <c r="F26" i="85"/>
  <c r="E27" i="85" s="1"/>
  <c r="H31" i="58"/>
  <c r="I34" i="23"/>
  <c r="G28" i="65"/>
  <c r="I28" i="65" s="1"/>
  <c r="G27" i="75"/>
  <c r="I27" i="75" s="1"/>
  <c r="D28" i="75"/>
  <c r="E28" i="75"/>
  <c r="H31" i="55"/>
  <c r="I31" i="55" s="1"/>
  <c r="E32" i="55"/>
  <c r="D32" i="55"/>
  <c r="I24" i="33"/>
  <c r="H34" i="71"/>
  <c r="I34" i="71" s="1"/>
  <c r="B35" i="27"/>
  <c r="F35" i="27"/>
  <c r="F27" i="76"/>
  <c r="B27" i="76"/>
  <c r="G25" i="87"/>
  <c r="I25" i="87" s="1"/>
  <c r="B33" i="22"/>
  <c r="F33" i="22"/>
  <c r="G33" i="22" s="1"/>
  <c r="E33" i="39"/>
  <c r="D33" i="39"/>
  <c r="B32" i="44"/>
  <c r="F32" i="44"/>
  <c r="H32" i="44" s="1"/>
  <c r="B26" i="81"/>
  <c r="F26" i="81"/>
  <c r="H26" i="81" s="1"/>
  <c r="F24" i="96"/>
  <c r="G24" i="96" s="1"/>
  <c r="B24" i="96"/>
  <c r="B29" i="61"/>
  <c r="F29" i="61"/>
  <c r="G29" i="61" s="1"/>
  <c r="I26" i="76"/>
  <c r="B26" i="85"/>
  <c r="H32" i="39"/>
  <c r="I32" i="39" s="1"/>
  <c r="I33" i="32"/>
  <c r="B25" i="92"/>
  <c r="F25" i="92"/>
  <c r="G25" i="92" s="1"/>
  <c r="G31" i="45"/>
  <c r="D32" i="45"/>
  <c r="E32" i="45"/>
  <c r="F30" i="57"/>
  <c r="G30" i="57" s="1"/>
  <c r="B30" i="57"/>
  <c r="D35" i="34"/>
  <c r="E35" i="34"/>
  <c r="F35" i="70"/>
  <c r="B35" i="70"/>
  <c r="B30" i="54"/>
  <c r="F30" i="54"/>
  <c r="G30" i="54" s="1"/>
  <c r="D30" i="56"/>
  <c r="E30" i="56"/>
  <c r="D27" i="88"/>
  <c r="E27" i="88"/>
  <c r="I31" i="73"/>
  <c r="F29" i="63"/>
  <c r="G29" i="63" s="1"/>
  <c r="B29" i="63"/>
  <c r="G35" i="31"/>
  <c r="D36" i="31"/>
  <c r="E36" i="31"/>
  <c r="B33" i="41"/>
  <c r="F33" i="41"/>
  <c r="G33" i="41" s="1"/>
  <c r="F33" i="21"/>
  <c r="H33" i="21" s="1"/>
  <c r="B33" i="21"/>
  <c r="D35" i="30"/>
  <c r="E35" i="30"/>
  <c r="G24" i="26"/>
  <c r="H24" i="26"/>
  <c r="D25" i="26"/>
  <c r="F27" i="78"/>
  <c r="B27" i="78"/>
  <c r="E36" i="69"/>
  <c r="D36" i="69"/>
  <c r="G34" i="34"/>
  <c r="D26" i="83"/>
  <c r="E26" i="83"/>
  <c r="I28" i="60"/>
  <c r="D29" i="60"/>
  <c r="E29" i="60"/>
  <c r="I24" i="92"/>
  <c r="B32" i="73"/>
  <c r="F32" i="73"/>
  <c r="H32" i="73" s="1"/>
  <c r="F27" i="77"/>
  <c r="H27" i="77" s="1"/>
  <c r="B27" i="77"/>
  <c r="F25" i="89"/>
  <c r="H25" i="89" s="1"/>
  <c r="B25" i="89"/>
  <c r="H31" i="45"/>
  <c r="H35" i="69"/>
  <c r="C42" i="17"/>
  <c r="B33" i="17"/>
  <c r="F33" i="17"/>
  <c r="H33" i="17" s="1"/>
  <c r="H34" i="34"/>
  <c r="F27" i="79"/>
  <c r="H27" i="79" s="1"/>
  <c r="B27" i="79"/>
  <c r="D34" i="3"/>
  <c r="E34" i="3"/>
  <c r="I29" i="56"/>
  <c r="E35" i="71"/>
  <c r="D35" i="71"/>
  <c r="B32" i="74"/>
  <c r="F32" i="74"/>
  <c r="H32" i="74" s="1"/>
  <c r="H35" i="31"/>
  <c r="F35" i="29"/>
  <c r="G35" i="29" s="1"/>
  <c r="B35" i="29"/>
  <c r="F34" i="32"/>
  <c r="H34" i="32" s="1"/>
  <c r="B34" i="32"/>
  <c r="G26" i="88"/>
  <c r="I26" i="88" s="1"/>
  <c r="D30" i="64"/>
  <c r="E30" i="64"/>
  <c r="D37" i="28"/>
  <c r="E37" i="28"/>
  <c r="G28" i="68"/>
  <c r="I28" i="68" s="1"/>
  <c r="D29" i="68"/>
  <c r="E29" i="68"/>
  <c r="G35" i="69"/>
  <c r="B25" i="33"/>
  <c r="F25" i="33"/>
  <c r="I32" i="35"/>
  <c r="B29" i="59"/>
  <c r="F29" i="59"/>
  <c r="H29" i="59" s="1"/>
  <c r="I32" i="20"/>
  <c r="B34" i="18"/>
  <c r="F34" i="18"/>
  <c r="G34" i="18" s="1"/>
  <c r="D26" i="87"/>
  <c r="E26" i="87"/>
  <c r="D33" i="20"/>
  <c r="E33" i="20"/>
  <c r="H33" i="35"/>
  <c r="N6" i="35" s="1"/>
  <c r="G33" i="35"/>
  <c r="N5" i="35" s="1"/>
  <c r="E34" i="35"/>
  <c r="F34" i="35" s="1"/>
  <c r="B34" i="35"/>
  <c r="E29" i="62"/>
  <c r="D29" i="62"/>
  <c r="B105" i="86"/>
  <c r="B111" i="74"/>
  <c r="D106" i="25"/>
  <c r="G105" i="25"/>
  <c r="I115" i="35"/>
  <c r="N88" i="35" s="1"/>
  <c r="N89" i="35" s="1"/>
  <c r="H115" i="35"/>
  <c r="D105" i="33"/>
  <c r="E105" i="33" s="1"/>
  <c r="G104" i="33"/>
  <c r="J104" i="25"/>
  <c r="J103" i="33"/>
  <c r="E117" i="35"/>
  <c r="F117" i="35" s="1"/>
  <c r="B117" i="35"/>
  <c r="G116" i="35"/>
  <c r="E105" i="100" l="1"/>
  <c r="F105" i="100" s="1"/>
  <c r="G105" i="100" s="1"/>
  <c r="B23" i="102"/>
  <c r="F23" i="102"/>
  <c r="G23" i="102"/>
  <c r="H23" i="102"/>
  <c r="I23" i="102" s="1"/>
  <c r="B32" i="101"/>
  <c r="F32" i="101"/>
  <c r="D33" i="101" s="1"/>
  <c r="I37" i="100"/>
  <c r="I104" i="100"/>
  <c r="H104" i="100"/>
  <c r="N7" i="35"/>
  <c r="F38" i="100"/>
  <c r="H38" i="100" s="1"/>
  <c r="B38" i="100"/>
  <c r="J114" i="35"/>
  <c r="M88" i="35"/>
  <c r="H30" i="72"/>
  <c r="G30" i="72"/>
  <c r="E31" i="72"/>
  <c r="F31" i="72" s="1"/>
  <c r="I23" i="13"/>
  <c r="E24" i="13"/>
  <c r="F24" i="13" s="1"/>
  <c r="B24" i="13"/>
  <c r="G33" i="19"/>
  <c r="I33" i="19" s="1"/>
  <c r="F33" i="43"/>
  <c r="G33" i="43" s="1"/>
  <c r="D27" i="97"/>
  <c r="B27" i="97" s="1"/>
  <c r="E34" i="19"/>
  <c r="D34" i="19"/>
  <c r="H26" i="97"/>
  <c r="I26" i="97" s="1"/>
  <c r="E27" i="97"/>
  <c r="H24" i="25"/>
  <c r="I24" i="25" s="1"/>
  <c r="E25" i="95"/>
  <c r="D25" i="25"/>
  <c r="E25" i="25" s="1"/>
  <c r="F25" i="25" s="1"/>
  <c r="D26" i="25" s="1"/>
  <c r="B26" i="25" s="1"/>
  <c r="D25" i="95"/>
  <c r="B25" i="95" s="1"/>
  <c r="H25" i="99"/>
  <c r="H25" i="98"/>
  <c r="I25" i="98" s="1"/>
  <c r="G25" i="99"/>
  <c r="D26" i="98"/>
  <c r="E26" i="98"/>
  <c r="E26" i="99"/>
  <c r="F26" i="99" s="1"/>
  <c r="B26" i="99"/>
  <c r="G24" i="95"/>
  <c r="I24" i="95" s="1"/>
  <c r="H26" i="85"/>
  <c r="G26" i="85"/>
  <c r="H30" i="46"/>
  <c r="I30" i="46" s="1"/>
  <c r="G34" i="32"/>
  <c r="I34" i="32" s="1"/>
  <c r="D106" i="26"/>
  <c r="G105" i="26"/>
  <c r="J104" i="26"/>
  <c r="D27" i="85"/>
  <c r="F27" i="85" s="1"/>
  <c r="F27" i="80"/>
  <c r="H27" i="80" s="1"/>
  <c r="G27" i="77"/>
  <c r="I27" i="77" s="1"/>
  <c r="G32" i="74"/>
  <c r="I32" i="74" s="1"/>
  <c r="H29" i="67"/>
  <c r="I29" i="67" s="1"/>
  <c r="E30" i="67"/>
  <c r="D30" i="67"/>
  <c r="D31" i="46"/>
  <c r="E31" i="46"/>
  <c r="G32" i="44"/>
  <c r="I32" i="44" s="1"/>
  <c r="G34" i="24"/>
  <c r="I34" i="24" s="1"/>
  <c r="E35" i="24"/>
  <c r="D35" i="24"/>
  <c r="H33" i="41"/>
  <c r="I33" i="41" s="1"/>
  <c r="G29" i="66"/>
  <c r="I29" i="66" s="1"/>
  <c r="G33" i="21"/>
  <c r="I33" i="21" s="1"/>
  <c r="B27" i="80"/>
  <c r="B27" i="86"/>
  <c r="F27" i="86"/>
  <c r="G24" i="93"/>
  <c r="I24" i="93" s="1"/>
  <c r="D25" i="93"/>
  <c r="E25" i="93"/>
  <c r="B28" i="82"/>
  <c r="F28" i="82"/>
  <c r="G28" i="82" s="1"/>
  <c r="G25" i="94"/>
  <c r="I25" i="94" s="1"/>
  <c r="D26" i="94"/>
  <c r="E26" i="94"/>
  <c r="E27" i="84"/>
  <c r="D27" i="84"/>
  <c r="E28" i="90"/>
  <c r="D28" i="90"/>
  <c r="G26" i="84"/>
  <c r="F32" i="58"/>
  <c r="H32" i="58" s="1"/>
  <c r="B32" i="58"/>
  <c r="B28" i="75"/>
  <c r="F28" i="75"/>
  <c r="G28" i="75" s="1"/>
  <c r="H26" i="84"/>
  <c r="H30" i="53"/>
  <c r="I30" i="53" s="1"/>
  <c r="E31" i="53"/>
  <c r="D31" i="53"/>
  <c r="H27" i="90"/>
  <c r="B33" i="42"/>
  <c r="F33" i="42"/>
  <c r="H33" i="42" s="1"/>
  <c r="I31" i="58"/>
  <c r="B32" i="55"/>
  <c r="F32" i="55"/>
  <c r="G32" i="55" s="1"/>
  <c r="G35" i="23"/>
  <c r="D36" i="23"/>
  <c r="E36" i="23"/>
  <c r="H35" i="23"/>
  <c r="I24" i="26"/>
  <c r="F29" i="65"/>
  <c r="H29" i="65" s="1"/>
  <c r="B29" i="65"/>
  <c r="E30" i="66"/>
  <c r="D30" i="66"/>
  <c r="G27" i="90"/>
  <c r="G26" i="91"/>
  <c r="I26" i="91" s="1"/>
  <c r="D27" i="91"/>
  <c r="E27" i="91"/>
  <c r="H34" i="18"/>
  <c r="I34" i="18" s="1"/>
  <c r="E33" i="44"/>
  <c r="D33" i="44"/>
  <c r="H27" i="76"/>
  <c r="D28" i="76"/>
  <c r="E28" i="76"/>
  <c r="G35" i="27"/>
  <c r="D36" i="27"/>
  <c r="E36" i="27"/>
  <c r="H35" i="27"/>
  <c r="D30" i="61"/>
  <c r="E30" i="61"/>
  <c r="E34" i="22"/>
  <c r="D34" i="22"/>
  <c r="E25" i="96"/>
  <c r="D25" i="96"/>
  <c r="F33" i="39"/>
  <c r="G33" i="39" s="1"/>
  <c r="B33" i="39"/>
  <c r="G27" i="76"/>
  <c r="B31" i="72"/>
  <c r="G33" i="17"/>
  <c r="I33" i="17" s="1"/>
  <c r="I35" i="69"/>
  <c r="H29" i="61"/>
  <c r="I29" i="61" s="1"/>
  <c r="H24" i="96"/>
  <c r="I24" i="96" s="1"/>
  <c r="G26" i="81"/>
  <c r="I26" i="81" s="1"/>
  <c r="E27" i="81"/>
  <c r="D27" i="81"/>
  <c r="H33" i="22"/>
  <c r="I33" i="22" s="1"/>
  <c r="I31" i="45"/>
  <c r="I34" i="34"/>
  <c r="I35" i="31"/>
  <c r="D26" i="33"/>
  <c r="E26" i="33" s="1"/>
  <c r="F26" i="83"/>
  <c r="H26" i="83" s="1"/>
  <c r="B26" i="83"/>
  <c r="G27" i="78"/>
  <c r="E28" i="78"/>
  <c r="D28" i="78"/>
  <c r="F29" i="68"/>
  <c r="G29" i="68" s="1"/>
  <c r="B29" i="68"/>
  <c r="D34" i="17"/>
  <c r="E34" i="17"/>
  <c r="B29" i="60"/>
  <c r="F29" i="60"/>
  <c r="E25" i="26"/>
  <c r="F25" i="26" s="1"/>
  <c r="B25" i="26"/>
  <c r="B35" i="30"/>
  <c r="F35" i="30"/>
  <c r="H35" i="30" s="1"/>
  <c r="D31" i="54"/>
  <c r="E31" i="54"/>
  <c r="G35" i="70"/>
  <c r="D36" i="70"/>
  <c r="E36" i="70"/>
  <c r="F37" i="28"/>
  <c r="B37" i="28"/>
  <c r="E26" i="89"/>
  <c r="D26" i="89"/>
  <c r="F36" i="31"/>
  <c r="G36" i="31" s="1"/>
  <c r="B36" i="31"/>
  <c r="E26" i="92"/>
  <c r="D26" i="92"/>
  <c r="G29" i="59"/>
  <c r="I29" i="59" s="1"/>
  <c r="H25" i="33"/>
  <c r="B30" i="64"/>
  <c r="F30" i="64"/>
  <c r="H30" i="64" s="1"/>
  <c r="B34" i="3"/>
  <c r="F34" i="3"/>
  <c r="G34" i="3" s="1"/>
  <c r="E28" i="79"/>
  <c r="D28" i="79"/>
  <c r="G25" i="89"/>
  <c r="I25" i="89" s="1"/>
  <c r="E33" i="73"/>
  <c r="D33" i="73"/>
  <c r="F27" i="88"/>
  <c r="H27" i="88" s="1"/>
  <c r="B27" i="88"/>
  <c r="D31" i="57"/>
  <c r="E31" i="57"/>
  <c r="H35" i="29"/>
  <c r="I35" i="29" s="1"/>
  <c r="D36" i="29"/>
  <c r="E36" i="29"/>
  <c r="F30" i="56"/>
  <c r="H30" i="56" s="1"/>
  <c r="B30" i="56"/>
  <c r="B32" i="45"/>
  <c r="F32" i="45"/>
  <c r="G25" i="33"/>
  <c r="E35" i="32"/>
  <c r="D35" i="32"/>
  <c r="D33" i="74"/>
  <c r="E33" i="74"/>
  <c r="F35" i="71"/>
  <c r="G35" i="71" s="1"/>
  <c r="B35" i="71"/>
  <c r="G27" i="79"/>
  <c r="I27" i="79" s="1"/>
  <c r="D28" i="77"/>
  <c r="E28" i="77"/>
  <c r="G32" i="73"/>
  <c r="I32" i="73" s="1"/>
  <c r="I34" i="30"/>
  <c r="B36" i="69"/>
  <c r="F36" i="69"/>
  <c r="H27" i="78"/>
  <c r="E34" i="21"/>
  <c r="D34" i="21"/>
  <c r="D34" i="41"/>
  <c r="E34" i="41"/>
  <c r="H29" i="63"/>
  <c r="I29" i="63" s="1"/>
  <c r="D30" i="63"/>
  <c r="E30" i="63"/>
  <c r="H30" i="54"/>
  <c r="I30" i="54" s="1"/>
  <c r="H35" i="70"/>
  <c r="B35" i="34"/>
  <c r="F35" i="34"/>
  <c r="G35" i="34" s="1"/>
  <c r="H30" i="57"/>
  <c r="I30" i="57" s="1"/>
  <c r="H25" i="92"/>
  <c r="I25" i="92" s="1"/>
  <c r="J112" i="34"/>
  <c r="E35" i="35"/>
  <c r="F35" i="35" s="1"/>
  <c r="B35" i="35"/>
  <c r="G34" i="35"/>
  <c r="H34" i="35"/>
  <c r="B33" i="20"/>
  <c r="F33" i="20"/>
  <c r="G33" i="20" s="1"/>
  <c r="B29" i="62"/>
  <c r="F29" i="62"/>
  <c r="H29" i="62" s="1"/>
  <c r="J104" i="86"/>
  <c r="J110" i="74"/>
  <c r="I33" i="35"/>
  <c r="B26" i="87"/>
  <c r="F26" i="87"/>
  <c r="G26" i="87" s="1"/>
  <c r="D35" i="18"/>
  <c r="E35" i="18"/>
  <c r="E30" i="59"/>
  <c r="D30" i="59"/>
  <c r="G117" i="35"/>
  <c r="E118" i="35"/>
  <c r="F118" i="35" s="1"/>
  <c r="B118" i="35"/>
  <c r="H104" i="33"/>
  <c r="I104" i="33"/>
  <c r="I105" i="25"/>
  <c r="H105" i="25"/>
  <c r="B106" i="25"/>
  <c r="H116" i="35"/>
  <c r="I116" i="35"/>
  <c r="F105" i="33"/>
  <c r="B105" i="33"/>
  <c r="J115" i="35"/>
  <c r="E106" i="25"/>
  <c r="F106" i="25" s="1"/>
  <c r="F37" i="36"/>
  <c r="D106" i="100" l="1"/>
  <c r="B106" i="100" s="1"/>
  <c r="H32" i="101"/>
  <c r="G38" i="100"/>
  <c r="G32" i="101"/>
  <c r="E33" i="101"/>
  <c r="F33" i="101" s="1"/>
  <c r="H33" i="101" s="1"/>
  <c r="B33" i="101"/>
  <c r="D24" i="102"/>
  <c r="E24" i="102" s="1"/>
  <c r="I105" i="100"/>
  <c r="H105" i="100"/>
  <c r="J104" i="100"/>
  <c r="G37" i="36"/>
  <c r="I38" i="100"/>
  <c r="D39" i="100"/>
  <c r="E39" i="100" s="1"/>
  <c r="M89" i="35"/>
  <c r="O88" i="35"/>
  <c r="O89" i="35" s="1"/>
  <c r="I30" i="72"/>
  <c r="D34" i="43"/>
  <c r="B34" i="43" s="1"/>
  <c r="H33" i="43"/>
  <c r="I33" i="43" s="1"/>
  <c r="G24" i="13"/>
  <c r="H24" i="13"/>
  <c r="D25" i="13"/>
  <c r="E34" i="43"/>
  <c r="F27" i="97"/>
  <c r="D28" i="97" s="1"/>
  <c r="B28" i="97" s="1"/>
  <c r="F34" i="19"/>
  <c r="G34" i="19" s="1"/>
  <c r="B34" i="19"/>
  <c r="F25" i="95"/>
  <c r="G25" i="95" s="1"/>
  <c r="E26" i="25"/>
  <c r="F26" i="25" s="1"/>
  <c r="D27" i="25" s="1"/>
  <c r="B25" i="25"/>
  <c r="G25" i="25"/>
  <c r="H25" i="25"/>
  <c r="I25" i="99"/>
  <c r="I26" i="85"/>
  <c r="D27" i="99"/>
  <c r="G26" i="99"/>
  <c r="H26" i="99"/>
  <c r="B26" i="98"/>
  <c r="F26" i="98"/>
  <c r="H26" i="98" s="1"/>
  <c r="D28" i="80"/>
  <c r="B28" i="80" s="1"/>
  <c r="B27" i="85"/>
  <c r="E28" i="80"/>
  <c r="G27" i="80"/>
  <c r="I27" i="80" s="1"/>
  <c r="H105" i="26"/>
  <c r="I105" i="26"/>
  <c r="B106" i="26"/>
  <c r="E106" i="26"/>
  <c r="F106" i="26" s="1"/>
  <c r="G27" i="88"/>
  <c r="I27" i="88" s="1"/>
  <c r="B30" i="67"/>
  <c r="F30" i="67"/>
  <c r="G30" i="67" s="1"/>
  <c r="F31" i="46"/>
  <c r="H31" i="46" s="1"/>
  <c r="B31" i="46"/>
  <c r="F35" i="24"/>
  <c r="H35" i="24" s="1"/>
  <c r="B35" i="24"/>
  <c r="B26" i="94"/>
  <c r="F26" i="94"/>
  <c r="G26" i="94" s="1"/>
  <c r="E28" i="86"/>
  <c r="D28" i="86"/>
  <c r="G27" i="86"/>
  <c r="H27" i="86"/>
  <c r="I35" i="27"/>
  <c r="F25" i="93"/>
  <c r="G25" i="93" s="1"/>
  <c r="B25" i="93"/>
  <c r="I35" i="23"/>
  <c r="H28" i="82"/>
  <c r="I28" i="82" s="1"/>
  <c r="D29" i="82"/>
  <c r="E29" i="82"/>
  <c r="I27" i="78"/>
  <c r="H32" i="55"/>
  <c r="I32" i="55" s="1"/>
  <c r="E33" i="55"/>
  <c r="D33" i="55"/>
  <c r="G33" i="42"/>
  <c r="I33" i="42" s="1"/>
  <c r="E34" i="42"/>
  <c r="D34" i="42"/>
  <c r="B31" i="53"/>
  <c r="F31" i="53"/>
  <c r="H31" i="53" s="1"/>
  <c r="H35" i="34"/>
  <c r="I35" i="34" s="1"/>
  <c r="I25" i="33"/>
  <c r="H29" i="68"/>
  <c r="I29" i="68" s="1"/>
  <c r="F30" i="66"/>
  <c r="G30" i="66" s="1"/>
  <c r="B30" i="66"/>
  <c r="G29" i="65"/>
  <c r="I29" i="65" s="1"/>
  <c r="D30" i="65"/>
  <c r="E30" i="65"/>
  <c r="B36" i="23"/>
  <c r="F36" i="23"/>
  <c r="G36" i="23" s="1"/>
  <c r="H28" i="75"/>
  <c r="I28" i="75" s="1"/>
  <c r="E29" i="75"/>
  <c r="D29" i="75"/>
  <c r="G32" i="58"/>
  <c r="I32" i="58" s="1"/>
  <c r="E33" i="58"/>
  <c r="D33" i="58"/>
  <c r="F27" i="84"/>
  <c r="H27" i="84" s="1"/>
  <c r="B27" i="84"/>
  <c r="B28" i="90"/>
  <c r="F28" i="90"/>
  <c r="H34" i="3"/>
  <c r="I34" i="3" s="1"/>
  <c r="H33" i="39"/>
  <c r="I33" i="39" s="1"/>
  <c r="F27" i="91"/>
  <c r="B27" i="91"/>
  <c r="I27" i="90"/>
  <c r="I26" i="84"/>
  <c r="D32" i="72"/>
  <c r="E32" i="72"/>
  <c r="F34" i="22"/>
  <c r="H34" i="22" s="1"/>
  <c r="D28" i="85"/>
  <c r="E28" i="85"/>
  <c r="B27" i="81"/>
  <c r="F27" i="81"/>
  <c r="G27" i="81" s="1"/>
  <c r="G31" i="72"/>
  <c r="B36" i="27"/>
  <c r="F36" i="27"/>
  <c r="H36" i="27" s="1"/>
  <c r="G27" i="85"/>
  <c r="F33" i="44"/>
  <c r="H33" i="44" s="1"/>
  <c r="H31" i="72"/>
  <c r="F25" i="96"/>
  <c r="H25" i="96" s="1"/>
  <c r="B25" i="96"/>
  <c r="F30" i="61"/>
  <c r="H30" i="61" s="1"/>
  <c r="B30" i="61"/>
  <c r="B28" i="76"/>
  <c r="F28" i="76"/>
  <c r="G28" i="76" s="1"/>
  <c r="D34" i="39"/>
  <c r="E34" i="39"/>
  <c r="B34" i="22"/>
  <c r="I27" i="76"/>
  <c r="H27" i="85"/>
  <c r="I35" i="70"/>
  <c r="H25" i="26"/>
  <c r="D26" i="26"/>
  <c r="G25" i="26"/>
  <c r="B34" i="41"/>
  <c r="F34" i="41"/>
  <c r="H29" i="60"/>
  <c r="D30" i="60"/>
  <c r="E30" i="60"/>
  <c r="B30" i="63"/>
  <c r="F30" i="63"/>
  <c r="B34" i="21"/>
  <c r="F34" i="21"/>
  <c r="G34" i="21" s="1"/>
  <c r="G36" i="69"/>
  <c r="D37" i="69"/>
  <c r="E37" i="69"/>
  <c r="B28" i="77"/>
  <c r="F28" i="77"/>
  <c r="H28" i="77" s="1"/>
  <c r="B33" i="74"/>
  <c r="F33" i="74"/>
  <c r="G33" i="74" s="1"/>
  <c r="D33" i="45"/>
  <c r="E33" i="45"/>
  <c r="B26" i="92"/>
  <c r="D37" i="31"/>
  <c r="E37" i="31"/>
  <c r="D38" i="28"/>
  <c r="E38" i="28" s="1"/>
  <c r="B31" i="54"/>
  <c r="F31" i="54"/>
  <c r="G31" i="54" s="1"/>
  <c r="B28" i="78"/>
  <c r="F28" i="78"/>
  <c r="G28" i="78" s="1"/>
  <c r="B26" i="33"/>
  <c r="F26" i="33"/>
  <c r="D27" i="33" s="1"/>
  <c r="E31" i="56"/>
  <c r="D31" i="56"/>
  <c r="H26" i="87"/>
  <c r="I26" i="87" s="1"/>
  <c r="H33" i="20"/>
  <c r="I33" i="20" s="1"/>
  <c r="I34" i="35"/>
  <c r="H36" i="69"/>
  <c r="E36" i="71"/>
  <c r="D36" i="71"/>
  <c r="F35" i="32"/>
  <c r="B35" i="32"/>
  <c r="G32" i="45"/>
  <c r="G30" i="56"/>
  <c r="I30" i="56" s="1"/>
  <c r="B36" i="29"/>
  <c r="F36" i="29"/>
  <c r="G36" i="29" s="1"/>
  <c r="B31" i="57"/>
  <c r="F31" i="57"/>
  <c r="G31" i="57" s="1"/>
  <c r="E28" i="88"/>
  <c r="D28" i="88"/>
  <c r="F33" i="73"/>
  <c r="B33" i="73"/>
  <c r="G30" i="64"/>
  <c r="I30" i="64" s="1"/>
  <c r="E31" i="64"/>
  <c r="D31" i="64"/>
  <c r="F26" i="92"/>
  <c r="H26" i="92" s="1"/>
  <c r="H36" i="31"/>
  <c r="I36" i="31" s="1"/>
  <c r="H37" i="28"/>
  <c r="F36" i="70"/>
  <c r="H36" i="70" s="1"/>
  <c r="B36" i="70"/>
  <c r="G35" i="30"/>
  <c r="I35" i="30" s="1"/>
  <c r="D36" i="30"/>
  <c r="E36" i="30"/>
  <c r="G26" i="83"/>
  <c r="I26" i="83" s="1"/>
  <c r="D27" i="83"/>
  <c r="E27" i="83"/>
  <c r="D36" i="34"/>
  <c r="E36" i="34"/>
  <c r="H35" i="71"/>
  <c r="I35" i="71" s="1"/>
  <c r="H32" i="45"/>
  <c r="F28" i="79"/>
  <c r="B28" i="79"/>
  <c r="D35" i="3"/>
  <c r="E35" i="3"/>
  <c r="B26" i="89"/>
  <c r="F26" i="89"/>
  <c r="H26" i="89" s="1"/>
  <c r="G37" i="28"/>
  <c r="G29" i="60"/>
  <c r="F34" i="17"/>
  <c r="G34" i="17" s="1"/>
  <c r="C43" i="17"/>
  <c r="B34" i="17"/>
  <c r="E30" i="68"/>
  <c r="D30" i="68"/>
  <c r="B30" i="59"/>
  <c r="F30" i="59"/>
  <c r="G30" i="59" s="1"/>
  <c r="E30" i="62"/>
  <c r="D30" i="62"/>
  <c r="G35" i="35"/>
  <c r="E36" i="35"/>
  <c r="F36" i="35" s="1"/>
  <c r="B36" i="35"/>
  <c r="H35" i="35"/>
  <c r="E27" i="87"/>
  <c r="D27" i="87"/>
  <c r="B35" i="18"/>
  <c r="F35" i="18"/>
  <c r="H35" i="18" s="1"/>
  <c r="G29" i="62"/>
  <c r="I29" i="62" s="1"/>
  <c r="E34" i="20"/>
  <c r="D34" i="20"/>
  <c r="J116" i="35"/>
  <c r="J104" i="33"/>
  <c r="E119" i="35"/>
  <c r="F119" i="35" s="1"/>
  <c r="B119" i="35"/>
  <c r="G118" i="35"/>
  <c r="J105" i="25"/>
  <c r="H117" i="35"/>
  <c r="I117" i="35"/>
  <c r="D107" i="25"/>
  <c r="E107" i="25" s="1"/>
  <c r="G106" i="25"/>
  <c r="G105" i="33"/>
  <c r="D106" i="33"/>
  <c r="E106" i="33" s="1"/>
  <c r="I37" i="36"/>
  <c r="E106" i="100" l="1"/>
  <c r="F106" i="100" s="1"/>
  <c r="G106" i="100" s="1"/>
  <c r="B24" i="102"/>
  <c r="G33" i="101"/>
  <c r="I33" i="101" s="1"/>
  <c r="D34" i="101"/>
  <c r="E34" i="101" s="1"/>
  <c r="F24" i="102"/>
  <c r="I32" i="101"/>
  <c r="J105" i="100"/>
  <c r="B39" i="100"/>
  <c r="F39" i="100"/>
  <c r="G39" i="100" s="1"/>
  <c r="F34" i="43"/>
  <c r="G34" i="43" s="1"/>
  <c r="E28" i="97"/>
  <c r="F28" i="97" s="1"/>
  <c r="D29" i="97" s="1"/>
  <c r="I24" i="13"/>
  <c r="B25" i="13"/>
  <c r="E25" i="13"/>
  <c r="F25" i="13" s="1"/>
  <c r="H27" i="97"/>
  <c r="G27" i="97"/>
  <c r="H34" i="19"/>
  <c r="I34" i="19" s="1"/>
  <c r="E35" i="19"/>
  <c r="I36" i="69"/>
  <c r="D35" i="19"/>
  <c r="B35" i="19" s="1"/>
  <c r="H26" i="25"/>
  <c r="G26" i="25"/>
  <c r="H25" i="95"/>
  <c r="I25" i="95" s="1"/>
  <c r="E26" i="95"/>
  <c r="D26" i="95"/>
  <c r="B26" i="95" s="1"/>
  <c r="I25" i="25"/>
  <c r="G26" i="98"/>
  <c r="I26" i="98" s="1"/>
  <c r="F28" i="80"/>
  <c r="E29" i="80" s="1"/>
  <c r="I26" i="99"/>
  <c r="D27" i="98"/>
  <c r="E27" i="98"/>
  <c r="E27" i="99"/>
  <c r="F27" i="99" s="1"/>
  <c r="D28" i="99" s="1"/>
  <c r="B27" i="99"/>
  <c r="I35" i="35"/>
  <c r="H30" i="67"/>
  <c r="I30" i="67" s="1"/>
  <c r="H30" i="59"/>
  <c r="I30" i="59" s="1"/>
  <c r="G35" i="18"/>
  <c r="I35" i="18" s="1"/>
  <c r="D107" i="26"/>
  <c r="G106" i="26"/>
  <c r="J105" i="26"/>
  <c r="I27" i="86"/>
  <c r="H27" i="81"/>
  <c r="I27" i="81" s="1"/>
  <c r="I31" i="72"/>
  <c r="E31" i="67"/>
  <c r="D31" i="67"/>
  <c r="G31" i="46"/>
  <c r="I31" i="46" s="1"/>
  <c r="E32" i="46"/>
  <c r="D32" i="46"/>
  <c r="G35" i="24"/>
  <c r="I35" i="24" s="1"/>
  <c r="D36" i="24"/>
  <c r="E36" i="24"/>
  <c r="B29" i="82"/>
  <c r="F29" i="82"/>
  <c r="G27" i="84"/>
  <c r="I27" i="84" s="1"/>
  <c r="H25" i="93"/>
  <c r="I25" i="93" s="1"/>
  <c r="D26" i="93"/>
  <c r="E26" i="93"/>
  <c r="H26" i="94"/>
  <c r="I26" i="94" s="1"/>
  <c r="D27" i="94"/>
  <c r="E27" i="94"/>
  <c r="F28" i="86"/>
  <c r="B28" i="86"/>
  <c r="G30" i="61"/>
  <c r="I30" i="61" s="1"/>
  <c r="G36" i="27"/>
  <c r="I36" i="27" s="1"/>
  <c r="B33" i="55"/>
  <c r="F33" i="55"/>
  <c r="G33" i="55" s="1"/>
  <c r="F33" i="58"/>
  <c r="G33" i="58" s="1"/>
  <c r="B33" i="58"/>
  <c r="H34" i="17"/>
  <c r="I34" i="17" s="1"/>
  <c r="G34" i="22"/>
  <c r="I34" i="22" s="1"/>
  <c r="F30" i="65"/>
  <c r="H30" i="65" s="1"/>
  <c r="B30" i="65"/>
  <c r="H30" i="66"/>
  <c r="I30" i="66" s="1"/>
  <c r="E31" i="66"/>
  <c r="D31" i="66"/>
  <c r="G31" i="53"/>
  <c r="I31" i="53" s="1"/>
  <c r="D32" i="53"/>
  <c r="E32" i="53"/>
  <c r="F34" i="42"/>
  <c r="B34" i="42"/>
  <c r="G28" i="90"/>
  <c r="D29" i="90"/>
  <c r="E29" i="90"/>
  <c r="D28" i="91"/>
  <c r="E28" i="91"/>
  <c r="G27" i="91"/>
  <c r="H27" i="91"/>
  <c r="H28" i="90"/>
  <c r="E28" i="84"/>
  <c r="D28" i="84"/>
  <c r="B29" i="75"/>
  <c r="F29" i="75"/>
  <c r="D37" i="23"/>
  <c r="E37" i="23"/>
  <c r="H36" i="23"/>
  <c r="I36" i="23" s="1"/>
  <c r="B34" i="39"/>
  <c r="F34" i="39"/>
  <c r="H34" i="39" s="1"/>
  <c r="I27" i="85"/>
  <c r="G28" i="77"/>
  <c r="I28" i="77" s="1"/>
  <c r="F30" i="60"/>
  <c r="E31" i="60" s="1"/>
  <c r="H28" i="76"/>
  <c r="I28" i="76" s="1"/>
  <c r="D29" i="76"/>
  <c r="E29" i="76"/>
  <c r="G25" i="96"/>
  <c r="I25" i="96" s="1"/>
  <c r="D26" i="96"/>
  <c r="E26" i="96"/>
  <c r="G33" i="44"/>
  <c r="I33" i="44" s="1"/>
  <c r="D37" i="27"/>
  <c r="E37" i="27"/>
  <c r="H31" i="57"/>
  <c r="I31" i="57" s="1"/>
  <c r="H36" i="29"/>
  <c r="I36" i="29" s="1"/>
  <c r="D31" i="61"/>
  <c r="E31" i="61"/>
  <c r="B28" i="85"/>
  <c r="F28" i="85"/>
  <c r="G28" i="85" s="1"/>
  <c r="B32" i="72"/>
  <c r="F32" i="72"/>
  <c r="G32" i="72" s="1"/>
  <c r="D34" i="44"/>
  <c r="E34" i="44"/>
  <c r="E28" i="81"/>
  <c r="D28" i="81"/>
  <c r="D35" i="22"/>
  <c r="E35" i="22"/>
  <c r="I32" i="45"/>
  <c r="E27" i="33"/>
  <c r="F27" i="33" s="1"/>
  <c r="B27" i="33"/>
  <c r="E35" i="41"/>
  <c r="D35" i="41"/>
  <c r="B35" i="3"/>
  <c r="F35" i="3"/>
  <c r="H35" i="3" s="1"/>
  <c r="D29" i="79"/>
  <c r="E29" i="79"/>
  <c r="F36" i="30"/>
  <c r="H36" i="30" s="1"/>
  <c r="B36" i="30"/>
  <c r="G36" i="70"/>
  <c r="I36" i="70" s="1"/>
  <c r="D27" i="92"/>
  <c r="E27" i="92"/>
  <c r="D34" i="73"/>
  <c r="E34" i="73"/>
  <c r="E36" i="32"/>
  <c r="D36" i="32"/>
  <c r="H26" i="33"/>
  <c r="D32" i="54"/>
  <c r="E32" i="54"/>
  <c r="E34" i="74"/>
  <c r="D34" i="74"/>
  <c r="F37" i="69"/>
  <c r="H37" i="69" s="1"/>
  <c r="B37" i="69"/>
  <c r="E35" i="21"/>
  <c r="D35" i="21"/>
  <c r="H34" i="41"/>
  <c r="E26" i="26"/>
  <c r="F26" i="26" s="1"/>
  <c r="B26" i="26"/>
  <c r="B27" i="25"/>
  <c r="B30" i="68"/>
  <c r="F30" i="68"/>
  <c r="G30" i="68" s="1"/>
  <c r="B31" i="56"/>
  <c r="F31" i="56"/>
  <c r="B38" i="28"/>
  <c r="F38" i="28"/>
  <c r="G28" i="79"/>
  <c r="B36" i="34"/>
  <c r="F36" i="34"/>
  <c r="F31" i="64"/>
  <c r="B31" i="64"/>
  <c r="G33" i="73"/>
  <c r="B28" i="88"/>
  <c r="F28" i="88"/>
  <c r="H28" i="88" s="1"/>
  <c r="E32" i="57"/>
  <c r="D32" i="57"/>
  <c r="E37" i="29"/>
  <c r="D37" i="29"/>
  <c r="G35" i="32"/>
  <c r="F36" i="71"/>
  <c r="B36" i="71"/>
  <c r="F37" i="31"/>
  <c r="G37" i="31" s="1"/>
  <c r="B37" i="31"/>
  <c r="H33" i="74"/>
  <c r="I33" i="74" s="1"/>
  <c r="D29" i="77"/>
  <c r="E29" i="77"/>
  <c r="B30" i="60"/>
  <c r="I25" i="26"/>
  <c r="E27" i="25"/>
  <c r="F27" i="25" s="1"/>
  <c r="B27" i="83"/>
  <c r="F27" i="83"/>
  <c r="E37" i="70"/>
  <c r="D37" i="70"/>
  <c r="D29" i="78"/>
  <c r="E29" i="78"/>
  <c r="H30" i="63"/>
  <c r="E31" i="63"/>
  <c r="D31" i="63"/>
  <c r="E35" i="17"/>
  <c r="D35" i="17"/>
  <c r="G26" i="89"/>
  <c r="I26" i="89" s="1"/>
  <c r="D27" i="89"/>
  <c r="E27" i="89"/>
  <c r="H28" i="79"/>
  <c r="I37" i="28"/>
  <c r="H33" i="73"/>
  <c r="H35" i="32"/>
  <c r="G26" i="33"/>
  <c r="H28" i="78"/>
  <c r="I28" i="78" s="1"/>
  <c r="H31" i="54"/>
  <c r="I31" i="54" s="1"/>
  <c r="G26" i="92"/>
  <c r="I26" i="92" s="1"/>
  <c r="B33" i="45"/>
  <c r="F33" i="45"/>
  <c r="H34" i="21"/>
  <c r="I34" i="21" s="1"/>
  <c r="G30" i="63"/>
  <c r="I29" i="60"/>
  <c r="G34" i="41"/>
  <c r="H36" i="35"/>
  <c r="E37" i="35"/>
  <c r="F37" i="35" s="1"/>
  <c r="B37" i="35"/>
  <c r="G36" i="35"/>
  <c r="B30" i="62"/>
  <c r="F30" i="62"/>
  <c r="B34" i="20"/>
  <c r="F34" i="20"/>
  <c r="G34" i="20" s="1"/>
  <c r="D36" i="18"/>
  <c r="E36" i="18"/>
  <c r="B27" i="87"/>
  <c r="F27" i="87"/>
  <c r="G27" i="87" s="1"/>
  <c r="E31" i="59"/>
  <c r="D31" i="59"/>
  <c r="J117" i="35"/>
  <c r="I106" i="25"/>
  <c r="H106" i="25"/>
  <c r="B107" i="25"/>
  <c r="F107" i="25"/>
  <c r="H118" i="35"/>
  <c r="I118" i="35"/>
  <c r="E120" i="35"/>
  <c r="F120" i="35" s="1"/>
  <c r="B120" i="35"/>
  <c r="G119" i="35"/>
  <c r="H105" i="33"/>
  <c r="I105" i="33"/>
  <c r="B106" i="33"/>
  <c r="F106" i="33"/>
  <c r="D107" i="100" l="1"/>
  <c r="E107" i="100" s="1"/>
  <c r="D25" i="102"/>
  <c r="E25" i="102"/>
  <c r="B34" i="101"/>
  <c r="F34" i="101"/>
  <c r="G34" i="101" s="1"/>
  <c r="H24" i="102"/>
  <c r="G24" i="102"/>
  <c r="I106" i="100"/>
  <c r="H106" i="100"/>
  <c r="H39" i="100"/>
  <c r="I39" i="100" s="1"/>
  <c r="D40" i="100"/>
  <c r="E40" i="100" s="1"/>
  <c r="D35" i="43"/>
  <c r="B35" i="43" s="1"/>
  <c r="E35" i="43"/>
  <c r="H34" i="43"/>
  <c r="I34" i="43" s="1"/>
  <c r="D26" i="13"/>
  <c r="G25" i="13"/>
  <c r="N5" i="13" s="1"/>
  <c r="H25" i="13"/>
  <c r="N6" i="13" s="1"/>
  <c r="I27" i="97"/>
  <c r="H28" i="97"/>
  <c r="F35" i="19"/>
  <c r="G35" i="19" s="1"/>
  <c r="G28" i="97"/>
  <c r="I26" i="25"/>
  <c r="F26" i="95"/>
  <c r="G26" i="95" s="1"/>
  <c r="I28" i="79"/>
  <c r="H28" i="80"/>
  <c r="G28" i="80"/>
  <c r="D29" i="80"/>
  <c r="B29" i="80" s="1"/>
  <c r="E28" i="99"/>
  <c r="F28" i="99" s="1"/>
  <c r="G28" i="99" s="1"/>
  <c r="B28" i="99"/>
  <c r="F27" i="98"/>
  <c r="G27" i="98" s="1"/>
  <c r="B27" i="98"/>
  <c r="H27" i="99"/>
  <c r="G27" i="99"/>
  <c r="E29" i="97"/>
  <c r="F29" i="97" s="1"/>
  <c r="B29" i="97"/>
  <c r="G30" i="60"/>
  <c r="D31" i="60"/>
  <c r="F31" i="60" s="1"/>
  <c r="G31" i="60" s="1"/>
  <c r="H30" i="60"/>
  <c r="I35" i="32"/>
  <c r="I33" i="73"/>
  <c r="B107" i="26"/>
  <c r="E107" i="26"/>
  <c r="F107" i="26" s="1"/>
  <c r="I106" i="26"/>
  <c r="H106" i="26"/>
  <c r="I28" i="90"/>
  <c r="B31" i="67"/>
  <c r="F31" i="67"/>
  <c r="G31" i="67" s="1"/>
  <c r="F32" i="46"/>
  <c r="G32" i="46" s="1"/>
  <c r="B32" i="46"/>
  <c r="B36" i="24"/>
  <c r="F36" i="24"/>
  <c r="H36" i="24" s="1"/>
  <c r="B26" i="93"/>
  <c r="F26" i="93"/>
  <c r="H30" i="68"/>
  <c r="I30" i="68" s="1"/>
  <c r="G37" i="69"/>
  <c r="I37" i="69" s="1"/>
  <c r="I27" i="91"/>
  <c r="G29" i="82"/>
  <c r="E30" i="82"/>
  <c r="D30" i="82"/>
  <c r="B27" i="94"/>
  <c r="F27" i="94"/>
  <c r="H27" i="94" s="1"/>
  <c r="H28" i="86"/>
  <c r="G28" i="86"/>
  <c r="D29" i="86"/>
  <c r="E29" i="86"/>
  <c r="H29" i="82"/>
  <c r="H26" i="26"/>
  <c r="G26" i="26"/>
  <c r="B37" i="23"/>
  <c r="F37" i="23"/>
  <c r="H34" i="42"/>
  <c r="E35" i="42"/>
  <c r="D35" i="42"/>
  <c r="H33" i="58"/>
  <c r="I33" i="58" s="1"/>
  <c r="E34" i="58"/>
  <c r="D34" i="58"/>
  <c r="D30" i="75"/>
  <c r="E30" i="75"/>
  <c r="B28" i="91"/>
  <c r="F28" i="91"/>
  <c r="H28" i="91" s="1"/>
  <c r="E31" i="65"/>
  <c r="D31" i="65"/>
  <c r="H34" i="20"/>
  <c r="I34" i="20" s="1"/>
  <c r="H29" i="75"/>
  <c r="B28" i="84"/>
  <c r="F28" i="84"/>
  <c r="G28" i="84" s="1"/>
  <c r="F29" i="90"/>
  <c r="B29" i="90"/>
  <c r="G34" i="42"/>
  <c r="F31" i="66"/>
  <c r="H31" i="66" s="1"/>
  <c r="B31" i="66"/>
  <c r="G30" i="65"/>
  <c r="I30" i="65" s="1"/>
  <c r="H33" i="55"/>
  <c r="I33" i="55" s="1"/>
  <c r="E34" i="55"/>
  <c r="D34" i="55"/>
  <c r="F32" i="53"/>
  <c r="B32" i="53"/>
  <c r="I34" i="41"/>
  <c r="G29" i="75"/>
  <c r="F37" i="27"/>
  <c r="B37" i="27"/>
  <c r="G35" i="3"/>
  <c r="I35" i="3" s="1"/>
  <c r="B34" i="44"/>
  <c r="F34" i="44"/>
  <c r="H34" i="44" s="1"/>
  <c r="B31" i="61"/>
  <c r="F31" i="61"/>
  <c r="H31" i="61" s="1"/>
  <c r="D35" i="39"/>
  <c r="E35" i="39"/>
  <c r="F35" i="22"/>
  <c r="H35" i="22" s="1"/>
  <c r="B35" i="22"/>
  <c r="H28" i="85"/>
  <c r="I28" i="85" s="1"/>
  <c r="D29" i="85"/>
  <c r="E29" i="85"/>
  <c r="B29" i="76"/>
  <c r="F29" i="76"/>
  <c r="G34" i="39"/>
  <c r="I34" i="39" s="1"/>
  <c r="F28" i="81"/>
  <c r="H28" i="81" s="1"/>
  <c r="B28" i="81"/>
  <c r="H32" i="72"/>
  <c r="I32" i="72" s="1"/>
  <c r="D33" i="72"/>
  <c r="E33" i="72"/>
  <c r="F26" i="96"/>
  <c r="H26" i="96" s="1"/>
  <c r="B26" i="96"/>
  <c r="G27" i="33"/>
  <c r="D28" i="33"/>
  <c r="H27" i="33"/>
  <c r="E34" i="45"/>
  <c r="D34" i="45"/>
  <c r="F31" i="63"/>
  <c r="G31" i="63" s="1"/>
  <c r="B31" i="63"/>
  <c r="H27" i="83"/>
  <c r="D28" i="83"/>
  <c r="E28" i="83"/>
  <c r="G36" i="34"/>
  <c r="H36" i="34"/>
  <c r="D37" i="34"/>
  <c r="E37" i="34"/>
  <c r="F32" i="57"/>
  <c r="H32" i="57" s="1"/>
  <c r="B32" i="57"/>
  <c r="D32" i="64"/>
  <c r="E32" i="64"/>
  <c r="H27" i="25"/>
  <c r="D28" i="25"/>
  <c r="E28" i="25" s="1"/>
  <c r="G27" i="25"/>
  <c r="D37" i="30"/>
  <c r="E37" i="30"/>
  <c r="H27" i="87"/>
  <c r="I27" i="87" s="1"/>
  <c r="G33" i="45"/>
  <c r="B27" i="89"/>
  <c r="F27" i="89"/>
  <c r="G27" i="89" s="1"/>
  <c r="F29" i="77"/>
  <c r="G29" i="77" s="1"/>
  <c r="B29" i="77"/>
  <c r="H31" i="64"/>
  <c r="E31" i="68"/>
  <c r="D31" i="68"/>
  <c r="D27" i="26"/>
  <c r="E27" i="26" s="1"/>
  <c r="F35" i="21"/>
  <c r="H35" i="21" s="1"/>
  <c r="B35" i="21"/>
  <c r="F32" i="54"/>
  <c r="G32" i="54" s="1"/>
  <c r="B32" i="54"/>
  <c r="B34" i="73"/>
  <c r="F34" i="73"/>
  <c r="G36" i="30"/>
  <c r="I36" i="30" s="1"/>
  <c r="E36" i="3"/>
  <c r="D36" i="3"/>
  <c r="F35" i="41"/>
  <c r="H35" i="41" s="1"/>
  <c r="B35" i="41"/>
  <c r="C44" i="17"/>
  <c r="F35" i="17"/>
  <c r="H35" i="17" s="1"/>
  <c r="B35" i="17"/>
  <c r="F29" i="78"/>
  <c r="H29" i="78" s="1"/>
  <c r="B29" i="78"/>
  <c r="E29" i="88"/>
  <c r="D29" i="88"/>
  <c r="G38" i="28"/>
  <c r="D39" i="28"/>
  <c r="E39" i="28" s="1"/>
  <c r="G31" i="56"/>
  <c r="D32" i="56"/>
  <c r="E32" i="56"/>
  <c r="F27" i="92"/>
  <c r="B27" i="92"/>
  <c r="B37" i="70"/>
  <c r="F37" i="70"/>
  <c r="G37" i="70" s="1"/>
  <c r="E38" i="31"/>
  <c r="D38" i="31"/>
  <c r="G36" i="71"/>
  <c r="D37" i="71"/>
  <c r="E37" i="71"/>
  <c r="H38" i="28"/>
  <c r="I30" i="63"/>
  <c r="H33" i="45"/>
  <c r="G27" i="83"/>
  <c r="H37" i="31"/>
  <c r="I37" i="31" s="1"/>
  <c r="H36" i="71"/>
  <c r="F37" i="29"/>
  <c r="G37" i="29" s="1"/>
  <c r="B37" i="29"/>
  <c r="G28" i="88"/>
  <c r="I28" i="88" s="1"/>
  <c r="G31" i="64"/>
  <c r="H31" i="56"/>
  <c r="E38" i="69"/>
  <c r="D38" i="69"/>
  <c r="F34" i="74"/>
  <c r="G34" i="74" s="1"/>
  <c r="B34" i="74"/>
  <c r="I26" i="33"/>
  <c r="F36" i="32"/>
  <c r="G36" i="32" s="1"/>
  <c r="B36" i="32"/>
  <c r="B29" i="79"/>
  <c r="F29" i="79"/>
  <c r="G29" i="79" s="1"/>
  <c r="J118" i="35"/>
  <c r="B31" i="59"/>
  <c r="F31" i="59"/>
  <c r="H31" i="59" s="1"/>
  <c r="E31" i="62"/>
  <c r="D31" i="62"/>
  <c r="E38" i="35"/>
  <c r="F38" i="35" s="1"/>
  <c r="H37" i="35"/>
  <c r="G37" i="35"/>
  <c r="B38" i="35"/>
  <c r="D28" i="87"/>
  <c r="E28" i="87"/>
  <c r="I36" i="35"/>
  <c r="E35" i="20"/>
  <c r="D35" i="20"/>
  <c r="G30" i="62"/>
  <c r="F36" i="18"/>
  <c r="G36" i="18" s="1"/>
  <c r="B36" i="18"/>
  <c r="H30" i="62"/>
  <c r="J105" i="33"/>
  <c r="G106" i="33"/>
  <c r="D107" i="33"/>
  <c r="E107" i="33" s="1"/>
  <c r="E121" i="35"/>
  <c r="F121" i="35" s="1"/>
  <c r="B121" i="35"/>
  <c r="G120" i="35"/>
  <c r="J106" i="25"/>
  <c r="D108" i="25"/>
  <c r="G107" i="25"/>
  <c r="I119" i="35"/>
  <c r="H119" i="35"/>
  <c r="F107" i="100" l="1"/>
  <c r="G107" i="100" s="1"/>
  <c r="B107" i="100"/>
  <c r="I24" i="102"/>
  <c r="H34" i="101"/>
  <c r="I34" i="101" s="1"/>
  <c r="D35" i="101"/>
  <c r="B25" i="102"/>
  <c r="F25" i="102"/>
  <c r="G25" i="102" s="1"/>
  <c r="N5" i="102" s="1"/>
  <c r="N7" i="102" s="1"/>
  <c r="N7" i="13"/>
  <c r="J106" i="100"/>
  <c r="B40" i="100"/>
  <c r="F40" i="100"/>
  <c r="G40" i="100" s="1"/>
  <c r="F35" i="43"/>
  <c r="H35" i="43" s="1"/>
  <c r="I25" i="13"/>
  <c r="E26" i="13"/>
  <c r="F26" i="13" s="1"/>
  <c r="B26" i="13"/>
  <c r="D36" i="19"/>
  <c r="B36" i="19" s="1"/>
  <c r="H26" i="95"/>
  <c r="I26" i="95" s="1"/>
  <c r="E27" i="95"/>
  <c r="D27" i="95"/>
  <c r="H35" i="19"/>
  <c r="I35" i="19" s="1"/>
  <c r="E36" i="19"/>
  <c r="I28" i="97"/>
  <c r="I28" i="80"/>
  <c r="I26" i="26"/>
  <c r="F29" i="80"/>
  <c r="H29" i="80" s="1"/>
  <c r="B31" i="60"/>
  <c r="I30" i="60"/>
  <c r="D30" i="97"/>
  <c r="E30" i="97"/>
  <c r="G29" i="97"/>
  <c r="H29" i="97"/>
  <c r="G32" i="57"/>
  <c r="I32" i="57" s="1"/>
  <c r="I27" i="99"/>
  <c r="D28" i="98"/>
  <c r="E28" i="98"/>
  <c r="D29" i="99"/>
  <c r="E29" i="99"/>
  <c r="H27" i="98"/>
  <c r="I27" i="98" s="1"/>
  <c r="H28" i="99"/>
  <c r="I28" i="99" s="1"/>
  <c r="I29" i="82"/>
  <c r="H31" i="67"/>
  <c r="I31" i="67" s="1"/>
  <c r="H32" i="46"/>
  <c r="I32" i="46" s="1"/>
  <c r="J106" i="26"/>
  <c r="D108" i="26"/>
  <c r="B108" i="26" s="1"/>
  <c r="G107" i="26"/>
  <c r="H29" i="79"/>
  <c r="I29" i="79" s="1"/>
  <c r="D32" i="67"/>
  <c r="E32" i="67"/>
  <c r="H32" i="54"/>
  <c r="I32" i="54" s="1"/>
  <c r="D33" i="46"/>
  <c r="E33" i="46"/>
  <c r="G36" i="24"/>
  <c r="I36" i="24" s="1"/>
  <c r="E37" i="24"/>
  <c r="D37" i="24"/>
  <c r="G35" i="22"/>
  <c r="I35" i="22" s="1"/>
  <c r="G35" i="21"/>
  <c r="I35" i="21" s="1"/>
  <c r="I28" i="86"/>
  <c r="E27" i="93"/>
  <c r="D27" i="93"/>
  <c r="F30" i="82"/>
  <c r="H30" i="82" s="1"/>
  <c r="B30" i="82"/>
  <c r="I36" i="34"/>
  <c r="B29" i="86"/>
  <c r="F29" i="86"/>
  <c r="H29" i="86" s="1"/>
  <c r="G27" i="94"/>
  <c r="I27" i="94" s="1"/>
  <c r="D28" i="94"/>
  <c r="E28" i="94"/>
  <c r="H26" i="93"/>
  <c r="I29" i="75"/>
  <c r="G26" i="93"/>
  <c r="B34" i="58"/>
  <c r="F34" i="58"/>
  <c r="G32" i="53"/>
  <c r="D33" i="53"/>
  <c r="E33" i="53"/>
  <c r="I34" i="42"/>
  <c r="H29" i="90"/>
  <c r="D30" i="90"/>
  <c r="E30" i="90"/>
  <c r="F30" i="75"/>
  <c r="G30" i="75" s="1"/>
  <c r="B30" i="75"/>
  <c r="I31" i="56"/>
  <c r="I36" i="71"/>
  <c r="G35" i="17"/>
  <c r="I35" i="17" s="1"/>
  <c r="F34" i="55"/>
  <c r="H34" i="55" s="1"/>
  <c r="B34" i="55"/>
  <c r="G29" i="90"/>
  <c r="H28" i="84"/>
  <c r="I28" i="84" s="1"/>
  <c r="E29" i="84"/>
  <c r="D29" i="84"/>
  <c r="B31" i="65"/>
  <c r="F31" i="65"/>
  <c r="H31" i="65" s="1"/>
  <c r="E38" i="23"/>
  <c r="D38" i="23"/>
  <c r="H37" i="23"/>
  <c r="G37" i="23"/>
  <c r="G31" i="66"/>
  <c r="I31" i="66" s="1"/>
  <c r="E32" i="66"/>
  <c r="D32" i="66"/>
  <c r="G28" i="91"/>
  <c r="I28" i="91" s="1"/>
  <c r="E29" i="91"/>
  <c r="D29" i="91"/>
  <c r="G31" i="59"/>
  <c r="I31" i="59" s="1"/>
  <c r="H34" i="74"/>
  <c r="I34" i="74" s="1"/>
  <c r="H32" i="53"/>
  <c r="F35" i="42"/>
  <c r="B35" i="42"/>
  <c r="H36" i="32"/>
  <c r="I36" i="32" s="1"/>
  <c r="H29" i="77"/>
  <c r="I29" i="77" s="1"/>
  <c r="H27" i="89"/>
  <c r="I27" i="89" s="1"/>
  <c r="H31" i="60"/>
  <c r="I31" i="60" s="1"/>
  <c r="B33" i="72"/>
  <c r="F33" i="72"/>
  <c r="H33" i="72" s="1"/>
  <c r="G28" i="81"/>
  <c r="I28" i="81" s="1"/>
  <c r="D29" i="81"/>
  <c r="E29" i="81"/>
  <c r="F29" i="85"/>
  <c r="B29" i="85"/>
  <c r="G29" i="76"/>
  <c r="D30" i="76"/>
  <c r="E30" i="76"/>
  <c r="I30" i="62"/>
  <c r="F35" i="39"/>
  <c r="H35" i="39" s="1"/>
  <c r="B35" i="39"/>
  <c r="G37" i="27"/>
  <c r="D38" i="27"/>
  <c r="E38" i="27"/>
  <c r="H37" i="27"/>
  <c r="G26" i="96"/>
  <c r="I26" i="96" s="1"/>
  <c r="D27" i="96"/>
  <c r="E27" i="96"/>
  <c r="H29" i="76"/>
  <c r="E36" i="22"/>
  <c r="D36" i="22"/>
  <c r="G31" i="61"/>
  <c r="I31" i="61" s="1"/>
  <c r="D32" i="61"/>
  <c r="E32" i="61"/>
  <c r="G34" i="44"/>
  <c r="I34" i="44" s="1"/>
  <c r="D35" i="44"/>
  <c r="E35" i="44"/>
  <c r="I27" i="33"/>
  <c r="F37" i="71"/>
  <c r="B37" i="71"/>
  <c r="B38" i="69"/>
  <c r="F38" i="69"/>
  <c r="H38" i="69" s="1"/>
  <c r="D28" i="92"/>
  <c r="E28" i="92"/>
  <c r="G27" i="92"/>
  <c r="D32" i="63"/>
  <c r="E32" i="63"/>
  <c r="I38" i="28"/>
  <c r="B38" i="31"/>
  <c r="F38" i="31"/>
  <c r="H38" i="31" s="1"/>
  <c r="H27" i="92"/>
  <c r="B29" i="88"/>
  <c r="F29" i="88"/>
  <c r="H29" i="88" s="1"/>
  <c r="G29" i="78"/>
  <c r="I29" i="78" s="1"/>
  <c r="E30" i="78"/>
  <c r="D30" i="78"/>
  <c r="D36" i="17"/>
  <c r="E36" i="17"/>
  <c r="G35" i="41"/>
  <c r="I35" i="41" s="1"/>
  <c r="D36" i="41"/>
  <c r="E36" i="41"/>
  <c r="H34" i="73"/>
  <c r="E35" i="73"/>
  <c r="D35" i="73"/>
  <c r="G34" i="73"/>
  <c r="F31" i="68"/>
  <c r="G31" i="68" s="1"/>
  <c r="B31" i="68"/>
  <c r="E28" i="89"/>
  <c r="D28" i="89"/>
  <c r="B37" i="30"/>
  <c r="F37" i="30"/>
  <c r="H37" i="30" s="1"/>
  <c r="I27" i="25"/>
  <c r="D33" i="57"/>
  <c r="E33" i="57"/>
  <c r="B34" i="45"/>
  <c r="F34" i="45"/>
  <c r="H34" i="45" s="1"/>
  <c r="E28" i="33"/>
  <c r="F28" i="33" s="1"/>
  <c r="B28" i="33"/>
  <c r="H37" i="29"/>
  <c r="I37" i="29" s="1"/>
  <c r="D38" i="29"/>
  <c r="E38" i="29"/>
  <c r="B28" i="83"/>
  <c r="F28" i="83"/>
  <c r="H28" i="83" s="1"/>
  <c r="D38" i="70"/>
  <c r="E38" i="70"/>
  <c r="B32" i="56"/>
  <c r="F32" i="56"/>
  <c r="G32" i="56" s="1"/>
  <c r="B27" i="26"/>
  <c r="F27" i="26"/>
  <c r="H27" i="26" s="1"/>
  <c r="E30" i="79"/>
  <c r="D30" i="79"/>
  <c r="D37" i="32"/>
  <c r="E37" i="32"/>
  <c r="E35" i="74"/>
  <c r="D35" i="74"/>
  <c r="I27" i="83"/>
  <c r="I33" i="45"/>
  <c r="H37" i="70"/>
  <c r="I37" i="70" s="1"/>
  <c r="B39" i="28"/>
  <c r="F39" i="28"/>
  <c r="G39" i="28" s="1"/>
  <c r="N6" i="17"/>
  <c r="N5" i="17"/>
  <c r="M87" i="17"/>
  <c r="N17" i="2" s="1"/>
  <c r="N87" i="17"/>
  <c r="O17" i="2" s="1"/>
  <c r="B36" i="3"/>
  <c r="F36" i="3"/>
  <c r="G36" i="3" s="1"/>
  <c r="E33" i="54"/>
  <c r="D33" i="54"/>
  <c r="E36" i="21"/>
  <c r="D36" i="21"/>
  <c r="I31" i="64"/>
  <c r="E30" i="77"/>
  <c r="D30" i="77"/>
  <c r="D32" i="60"/>
  <c r="E32" i="60"/>
  <c r="B28" i="25"/>
  <c r="F28" i="25"/>
  <c r="G28" i="25" s="1"/>
  <c r="B32" i="64"/>
  <c r="F32" i="64"/>
  <c r="G32" i="64" s="1"/>
  <c r="F37" i="34"/>
  <c r="B37" i="34"/>
  <c r="H31" i="63"/>
  <c r="I31" i="63" s="1"/>
  <c r="B35" i="20"/>
  <c r="F35" i="20"/>
  <c r="I37" i="35"/>
  <c r="E37" i="18"/>
  <c r="D37" i="18"/>
  <c r="H36" i="18"/>
  <c r="I36" i="18" s="1"/>
  <c r="B39" i="35"/>
  <c r="H38" i="35"/>
  <c r="E39" i="35"/>
  <c r="F39" i="35" s="1"/>
  <c r="G38" i="35"/>
  <c r="F28" i="87"/>
  <c r="B28" i="87"/>
  <c r="B31" i="62"/>
  <c r="F31" i="62"/>
  <c r="G31" i="62" s="1"/>
  <c r="D32" i="59"/>
  <c r="E32" i="59"/>
  <c r="J119" i="35"/>
  <c r="I120" i="35"/>
  <c r="H120" i="35"/>
  <c r="H106" i="33"/>
  <c r="I106" i="33"/>
  <c r="B108" i="25"/>
  <c r="H107" i="25"/>
  <c r="I107" i="25"/>
  <c r="E108" i="25"/>
  <c r="F108" i="25" s="1"/>
  <c r="E122" i="35"/>
  <c r="F122" i="35" s="1"/>
  <c r="B122" i="35"/>
  <c r="G121" i="35"/>
  <c r="F107" i="33"/>
  <c r="B107" i="33"/>
  <c r="F93" i="36"/>
  <c r="F92" i="36"/>
  <c r="D108" i="100" l="1"/>
  <c r="E108" i="100" s="1"/>
  <c r="H40" i="100"/>
  <c r="H25" i="102"/>
  <c r="I25" i="102" s="1"/>
  <c r="D26" i="102"/>
  <c r="E26" i="102"/>
  <c r="E35" i="101"/>
  <c r="F35" i="101" s="1"/>
  <c r="H35" i="101" s="1"/>
  <c r="B35" i="101"/>
  <c r="I107" i="100"/>
  <c r="H107" i="100"/>
  <c r="M88" i="100" s="1"/>
  <c r="M89" i="100" s="1"/>
  <c r="I40" i="100"/>
  <c r="D41" i="100"/>
  <c r="E41" i="100" s="1"/>
  <c r="E36" i="43"/>
  <c r="D36" i="43"/>
  <c r="B36" i="43" s="1"/>
  <c r="G35" i="43"/>
  <c r="I35" i="43" s="1"/>
  <c r="G26" i="13"/>
  <c r="D27" i="13"/>
  <c r="H26" i="13"/>
  <c r="F36" i="19"/>
  <c r="G36" i="19" s="1"/>
  <c r="F27" i="95"/>
  <c r="H27" i="95" s="1"/>
  <c r="B27" i="95"/>
  <c r="D30" i="80"/>
  <c r="B30" i="80" s="1"/>
  <c r="G29" i="80"/>
  <c r="I29" i="80" s="1"/>
  <c r="E30" i="80"/>
  <c r="I29" i="97"/>
  <c r="B28" i="98"/>
  <c r="F28" i="98"/>
  <c r="G28" i="98" s="1"/>
  <c r="I29" i="90"/>
  <c r="F29" i="99"/>
  <c r="G29" i="99" s="1"/>
  <c r="B29" i="99"/>
  <c r="F30" i="97"/>
  <c r="G30" i="97" s="1"/>
  <c r="B30" i="97"/>
  <c r="G30" i="82"/>
  <c r="I30" i="82" s="1"/>
  <c r="I32" i="53"/>
  <c r="I26" i="93"/>
  <c r="G31" i="65"/>
  <c r="I31" i="65" s="1"/>
  <c r="I107" i="26"/>
  <c r="H107" i="26"/>
  <c r="E108" i="26"/>
  <c r="F108" i="26" s="1"/>
  <c r="F32" i="67"/>
  <c r="G32" i="67" s="1"/>
  <c r="B32" i="67"/>
  <c r="F33" i="46"/>
  <c r="H33" i="46" s="1"/>
  <c r="B33" i="46"/>
  <c r="F37" i="24"/>
  <c r="G37" i="24" s="1"/>
  <c r="B37" i="24"/>
  <c r="B28" i="94"/>
  <c r="F28" i="94"/>
  <c r="H28" i="94" s="1"/>
  <c r="F27" i="93"/>
  <c r="H27" i="93" s="1"/>
  <c r="B27" i="93"/>
  <c r="H28" i="25"/>
  <c r="G29" i="86"/>
  <c r="I29" i="86" s="1"/>
  <c r="D30" i="86"/>
  <c r="E30" i="86"/>
  <c r="E31" i="82"/>
  <c r="D31" i="82"/>
  <c r="F30" i="90"/>
  <c r="B30" i="90"/>
  <c r="D35" i="58"/>
  <c r="E35" i="58"/>
  <c r="H36" i="3"/>
  <c r="I36" i="3" s="1"/>
  <c r="G28" i="83"/>
  <c r="I28" i="83" s="1"/>
  <c r="G35" i="42"/>
  <c r="E36" i="42"/>
  <c r="D36" i="42"/>
  <c r="B32" i="66"/>
  <c r="F32" i="66"/>
  <c r="H32" i="66" s="1"/>
  <c r="I37" i="23"/>
  <c r="F29" i="84"/>
  <c r="G29" i="84" s="1"/>
  <c r="B29" i="84"/>
  <c r="B33" i="53"/>
  <c r="F33" i="53"/>
  <c r="G33" i="53" s="1"/>
  <c r="F29" i="91"/>
  <c r="G29" i="91" s="1"/>
  <c r="B29" i="91"/>
  <c r="F38" i="23"/>
  <c r="B38" i="23"/>
  <c r="D31" i="75"/>
  <c r="E31" i="75"/>
  <c r="H34" i="58"/>
  <c r="G38" i="31"/>
  <c r="I38" i="31" s="1"/>
  <c r="I29" i="76"/>
  <c r="H35" i="42"/>
  <c r="D32" i="65"/>
  <c r="E32" i="65"/>
  <c r="G34" i="55"/>
  <c r="I34" i="55" s="1"/>
  <c r="E35" i="55"/>
  <c r="D35" i="55"/>
  <c r="H30" i="75"/>
  <c r="I30" i="75" s="1"/>
  <c r="G34" i="58"/>
  <c r="H32" i="56"/>
  <c r="I32" i="56" s="1"/>
  <c r="G29" i="85"/>
  <c r="D30" i="85"/>
  <c r="E30" i="85"/>
  <c r="I34" i="73"/>
  <c r="B36" i="22"/>
  <c r="F36" i="22"/>
  <c r="G36" i="22" s="1"/>
  <c r="F27" i="96"/>
  <c r="H27" i="96" s="1"/>
  <c r="B27" i="96"/>
  <c r="B38" i="27"/>
  <c r="F38" i="27"/>
  <c r="B29" i="81"/>
  <c r="F29" i="81"/>
  <c r="G29" i="81" s="1"/>
  <c r="D34" i="72"/>
  <c r="E34" i="72"/>
  <c r="E36" i="39"/>
  <c r="D36" i="39"/>
  <c r="F30" i="76"/>
  <c r="G30" i="76" s="1"/>
  <c r="B30" i="76"/>
  <c r="H29" i="85"/>
  <c r="G37" i="30"/>
  <c r="I37" i="30" s="1"/>
  <c r="F35" i="44"/>
  <c r="G35" i="44" s="1"/>
  <c r="B35" i="44"/>
  <c r="F32" i="61"/>
  <c r="H32" i="61" s="1"/>
  <c r="B32" i="61"/>
  <c r="I37" i="27"/>
  <c r="G35" i="39"/>
  <c r="I35" i="39" s="1"/>
  <c r="G33" i="72"/>
  <c r="I33" i="72" s="1"/>
  <c r="N7" i="17"/>
  <c r="H28" i="33"/>
  <c r="D29" i="33"/>
  <c r="G28" i="33"/>
  <c r="F30" i="78"/>
  <c r="H30" i="78" s="1"/>
  <c r="B30" i="78"/>
  <c r="B32" i="63"/>
  <c r="F32" i="63"/>
  <c r="G32" i="63" s="1"/>
  <c r="H32" i="64"/>
  <c r="I32" i="64" s="1"/>
  <c r="D29" i="25"/>
  <c r="F35" i="74"/>
  <c r="B35" i="74"/>
  <c r="B38" i="70"/>
  <c r="F38" i="70"/>
  <c r="F38" i="29"/>
  <c r="H38" i="29" s="1"/>
  <c r="B38" i="29"/>
  <c r="E35" i="45"/>
  <c r="D35" i="45"/>
  <c r="B33" i="57"/>
  <c r="F33" i="57"/>
  <c r="G33" i="57" s="1"/>
  <c r="F28" i="89"/>
  <c r="B28" i="89"/>
  <c r="D39" i="31"/>
  <c r="E39" i="31"/>
  <c r="E38" i="71"/>
  <c r="D38" i="71"/>
  <c r="G27" i="26"/>
  <c r="I27" i="26" s="1"/>
  <c r="D28" i="26"/>
  <c r="B35" i="73"/>
  <c r="F35" i="73"/>
  <c r="G35" i="73" s="1"/>
  <c r="E38" i="34"/>
  <c r="G37" i="34"/>
  <c r="H37" i="34"/>
  <c r="D38" i="34"/>
  <c r="B32" i="60"/>
  <c r="F32" i="60"/>
  <c r="H32" i="60" s="1"/>
  <c r="F36" i="21"/>
  <c r="H36" i="21" s="1"/>
  <c r="B36" i="21"/>
  <c r="O87" i="17"/>
  <c r="D40" i="28"/>
  <c r="E40" i="28" s="1"/>
  <c r="D33" i="56"/>
  <c r="E33" i="56"/>
  <c r="E29" i="83"/>
  <c r="D29" i="83"/>
  <c r="H31" i="68"/>
  <c r="I31" i="68" s="1"/>
  <c r="D32" i="68"/>
  <c r="E32" i="68"/>
  <c r="G38" i="69"/>
  <c r="I38" i="69" s="1"/>
  <c r="E39" i="69"/>
  <c r="D39" i="69"/>
  <c r="G37" i="71"/>
  <c r="D33" i="64"/>
  <c r="E33" i="64"/>
  <c r="B33" i="54"/>
  <c r="F33" i="54"/>
  <c r="G33" i="54" s="1"/>
  <c r="B37" i="32"/>
  <c r="F37" i="32"/>
  <c r="G37" i="32" s="1"/>
  <c r="F36" i="41"/>
  <c r="H36" i="41" s="1"/>
  <c r="B36" i="41"/>
  <c r="E30" i="88"/>
  <c r="D30" i="88"/>
  <c r="B28" i="92"/>
  <c r="F28" i="92"/>
  <c r="G28" i="92" s="1"/>
  <c r="H31" i="62"/>
  <c r="I31" i="62" s="1"/>
  <c r="B30" i="77"/>
  <c r="F30" i="77"/>
  <c r="G30" i="77" s="1"/>
  <c r="E37" i="3"/>
  <c r="D37" i="3"/>
  <c r="R132" i="2"/>
  <c r="H39" i="28"/>
  <c r="I39" i="28" s="1"/>
  <c r="B30" i="79"/>
  <c r="F30" i="79"/>
  <c r="H30" i="79" s="1"/>
  <c r="G34" i="45"/>
  <c r="I34" i="45" s="1"/>
  <c r="D38" i="30"/>
  <c r="E38" i="30"/>
  <c r="F36" i="17"/>
  <c r="G36" i="17" s="1"/>
  <c r="B36" i="17"/>
  <c r="C45" i="17"/>
  <c r="G29" i="88"/>
  <c r="I29" i="88" s="1"/>
  <c r="I27" i="92"/>
  <c r="H37" i="71"/>
  <c r="E29" i="87"/>
  <c r="D29" i="87"/>
  <c r="H39" i="35"/>
  <c r="E40" i="35"/>
  <c r="F40" i="35" s="1"/>
  <c r="G39" i="35"/>
  <c r="B40" i="35"/>
  <c r="E36" i="20"/>
  <c r="D36" i="20"/>
  <c r="I38" i="35"/>
  <c r="B37" i="18"/>
  <c r="F37" i="18"/>
  <c r="G37" i="18" s="1"/>
  <c r="H28" i="87"/>
  <c r="G35" i="20"/>
  <c r="B32" i="59"/>
  <c r="F32" i="59"/>
  <c r="H32" i="59" s="1"/>
  <c r="E32" i="62"/>
  <c r="D32" i="62"/>
  <c r="G28" i="87"/>
  <c r="H35" i="20"/>
  <c r="J120" i="35"/>
  <c r="G108" i="25"/>
  <c r="D109" i="25"/>
  <c r="E109" i="25" s="1"/>
  <c r="G122" i="35"/>
  <c r="E123" i="35"/>
  <c r="F123" i="35" s="1"/>
  <c r="B123" i="35"/>
  <c r="J107" i="25"/>
  <c r="G107" i="33"/>
  <c r="D108" i="33"/>
  <c r="H121" i="35"/>
  <c r="I121" i="35"/>
  <c r="J106" i="33"/>
  <c r="F19" i="36"/>
  <c r="B108" i="100" l="1"/>
  <c r="F108" i="100"/>
  <c r="G108" i="100" s="1"/>
  <c r="G35" i="101"/>
  <c r="I35" i="101" s="1"/>
  <c r="D36" i="101"/>
  <c r="E36" i="101" s="1"/>
  <c r="F26" i="102"/>
  <c r="B26" i="102"/>
  <c r="G26" i="102"/>
  <c r="H26" i="102"/>
  <c r="J107" i="100"/>
  <c r="N88" i="100"/>
  <c r="F41" i="100"/>
  <c r="H41" i="100" s="1"/>
  <c r="B41" i="100"/>
  <c r="F36" i="43"/>
  <c r="G36" i="43" s="1"/>
  <c r="D28" i="95"/>
  <c r="B28" i="95" s="1"/>
  <c r="G27" i="95"/>
  <c r="I27" i="95" s="1"/>
  <c r="E28" i="95"/>
  <c r="I26" i="13"/>
  <c r="E37" i="19"/>
  <c r="D37" i="19"/>
  <c r="B37" i="19" s="1"/>
  <c r="H36" i="19"/>
  <c r="I36" i="19" s="1"/>
  <c r="E27" i="13"/>
  <c r="F27" i="13" s="1"/>
  <c r="B27" i="13"/>
  <c r="I29" i="85"/>
  <c r="F30" i="80"/>
  <c r="G30" i="80" s="1"/>
  <c r="G28" i="94"/>
  <c r="I28" i="94" s="1"/>
  <c r="H28" i="98"/>
  <c r="I28" i="98" s="1"/>
  <c r="H37" i="32"/>
  <c r="I37" i="32" s="1"/>
  <c r="D31" i="97"/>
  <c r="E31" i="97"/>
  <c r="D30" i="99"/>
  <c r="E30" i="99"/>
  <c r="D29" i="98"/>
  <c r="E29" i="98"/>
  <c r="H30" i="97"/>
  <c r="I30" i="97" s="1"/>
  <c r="H29" i="99"/>
  <c r="I29" i="99" s="1"/>
  <c r="I28" i="25"/>
  <c r="I37" i="34"/>
  <c r="J107" i="26"/>
  <c r="G33" i="46"/>
  <c r="I33" i="46" s="1"/>
  <c r="H37" i="24"/>
  <c r="I37" i="24" s="1"/>
  <c r="H36" i="22"/>
  <c r="I36" i="22" s="1"/>
  <c r="D109" i="26"/>
  <c r="B109" i="26" s="1"/>
  <c r="G108" i="26"/>
  <c r="H30" i="77"/>
  <c r="I30" i="77" s="1"/>
  <c r="H32" i="67"/>
  <c r="I32" i="67" s="1"/>
  <c r="D33" i="67"/>
  <c r="E33" i="67"/>
  <c r="G32" i="61"/>
  <c r="I32" i="61" s="1"/>
  <c r="E34" i="46"/>
  <c r="D34" i="46"/>
  <c r="G36" i="41"/>
  <c r="I36" i="41" s="1"/>
  <c r="E38" i="24"/>
  <c r="D38" i="24"/>
  <c r="G30" i="79"/>
  <c r="I30" i="79" s="1"/>
  <c r="G36" i="21"/>
  <c r="I36" i="21" s="1"/>
  <c r="I34" i="58"/>
  <c r="F30" i="86"/>
  <c r="H30" i="86" s="1"/>
  <c r="B30" i="86"/>
  <c r="E29" i="94"/>
  <c r="D29" i="94"/>
  <c r="I35" i="20"/>
  <c r="F31" i="82"/>
  <c r="B31" i="82"/>
  <c r="G27" i="93"/>
  <c r="I27" i="93" s="1"/>
  <c r="E28" i="93"/>
  <c r="D28" i="93"/>
  <c r="G38" i="23"/>
  <c r="H38" i="23"/>
  <c r="E39" i="23"/>
  <c r="D39" i="23"/>
  <c r="I35" i="42"/>
  <c r="H30" i="90"/>
  <c r="D31" i="90"/>
  <c r="E31" i="90"/>
  <c r="F35" i="58"/>
  <c r="G35" i="58" s="1"/>
  <c r="B35" i="58"/>
  <c r="H29" i="81"/>
  <c r="I29" i="81" s="1"/>
  <c r="B31" i="75"/>
  <c r="F31" i="75"/>
  <c r="B36" i="42"/>
  <c r="F36" i="42"/>
  <c r="H36" i="42" s="1"/>
  <c r="E33" i="66"/>
  <c r="D33" i="66"/>
  <c r="G30" i="78"/>
  <c r="I30" i="78" s="1"/>
  <c r="H35" i="44"/>
  <c r="I35" i="44" s="1"/>
  <c r="F35" i="55"/>
  <c r="H35" i="55" s="1"/>
  <c r="B35" i="55"/>
  <c r="B32" i="65"/>
  <c r="F32" i="65"/>
  <c r="E30" i="91"/>
  <c r="D30" i="91"/>
  <c r="H33" i="53"/>
  <c r="I33" i="53" s="1"/>
  <c r="E34" i="53"/>
  <c r="D34" i="53"/>
  <c r="H29" i="84"/>
  <c r="I29" i="84" s="1"/>
  <c r="D30" i="84"/>
  <c r="E30" i="84"/>
  <c r="G32" i="66"/>
  <c r="I32" i="66" s="1"/>
  <c r="G30" i="90"/>
  <c r="H29" i="91"/>
  <c r="I29" i="91" s="1"/>
  <c r="H30" i="76"/>
  <c r="I30" i="76" s="1"/>
  <c r="G38" i="27"/>
  <c r="E39" i="27"/>
  <c r="D39" i="27"/>
  <c r="H38" i="27"/>
  <c r="G27" i="96"/>
  <c r="I27" i="96" s="1"/>
  <c r="E28" i="96"/>
  <c r="D28" i="96"/>
  <c r="E33" i="61"/>
  <c r="D33" i="61"/>
  <c r="E36" i="44"/>
  <c r="D36" i="44"/>
  <c r="B34" i="72"/>
  <c r="F34" i="72"/>
  <c r="G34" i="72" s="1"/>
  <c r="D37" i="22"/>
  <c r="E37" i="22"/>
  <c r="E31" i="76"/>
  <c r="D31" i="76"/>
  <c r="F30" i="85"/>
  <c r="G30" i="85" s="1"/>
  <c r="B30" i="85"/>
  <c r="H35" i="73"/>
  <c r="I35" i="73" s="1"/>
  <c r="F36" i="39"/>
  <c r="G36" i="39" s="1"/>
  <c r="B36" i="39"/>
  <c r="E30" i="81"/>
  <c r="D30" i="81"/>
  <c r="G19" i="36"/>
  <c r="I37" i="71"/>
  <c r="I28" i="33"/>
  <c r="E37" i="17"/>
  <c r="D37" i="17"/>
  <c r="F32" i="68"/>
  <c r="G32" i="68" s="1"/>
  <c r="B32" i="68"/>
  <c r="D39" i="70"/>
  <c r="E39" i="70"/>
  <c r="E34" i="54"/>
  <c r="D34" i="54"/>
  <c r="F40" i="28"/>
  <c r="H40" i="28" s="1"/>
  <c r="B40" i="28"/>
  <c r="P17" i="2"/>
  <c r="R133" i="2"/>
  <c r="D37" i="21"/>
  <c r="E37" i="21"/>
  <c r="F38" i="34"/>
  <c r="B38" i="34"/>
  <c r="G28" i="89"/>
  <c r="E29" i="89"/>
  <c r="D29" i="89"/>
  <c r="F35" i="45"/>
  <c r="G35" i="45" s="1"/>
  <c r="B35" i="45"/>
  <c r="G35" i="74"/>
  <c r="D36" i="74"/>
  <c r="E36" i="74"/>
  <c r="D33" i="63"/>
  <c r="E33" i="63"/>
  <c r="F29" i="83"/>
  <c r="G29" i="83" s="1"/>
  <c r="B29" i="83"/>
  <c r="G32" i="59"/>
  <c r="I32" i="59" s="1"/>
  <c r="I39" i="35"/>
  <c r="H36" i="17"/>
  <c r="I36" i="17" s="1"/>
  <c r="D31" i="79"/>
  <c r="E31" i="79"/>
  <c r="H33" i="54"/>
  <c r="I33" i="54" s="1"/>
  <c r="F33" i="64"/>
  <c r="B33" i="64"/>
  <c r="F39" i="69"/>
  <c r="H39" i="69" s="1"/>
  <c r="B39" i="69"/>
  <c r="D36" i="73"/>
  <c r="E36" i="73"/>
  <c r="B28" i="26"/>
  <c r="E28" i="26"/>
  <c r="F28" i="26" s="1"/>
  <c r="B38" i="71"/>
  <c r="F38" i="71"/>
  <c r="H38" i="71" s="1"/>
  <c r="F39" i="31"/>
  <c r="H39" i="31" s="1"/>
  <c r="B39" i="31"/>
  <c r="D39" i="29"/>
  <c r="E39" i="29"/>
  <c r="G38" i="70"/>
  <c r="B29" i="25"/>
  <c r="B29" i="33"/>
  <c r="D29" i="92"/>
  <c r="E29" i="92"/>
  <c r="B33" i="56"/>
  <c r="F33" i="56"/>
  <c r="H33" i="56" s="1"/>
  <c r="D33" i="60"/>
  <c r="E33" i="60"/>
  <c r="F38" i="30"/>
  <c r="H38" i="30" s="1"/>
  <c r="B38" i="30"/>
  <c r="F37" i="3"/>
  <c r="H37" i="3" s="1"/>
  <c r="B37" i="3"/>
  <c r="D31" i="77"/>
  <c r="E31" i="77"/>
  <c r="H28" i="92"/>
  <c r="I28" i="92" s="1"/>
  <c r="F30" i="88"/>
  <c r="H30" i="88" s="1"/>
  <c r="B30" i="88"/>
  <c r="D37" i="41"/>
  <c r="E37" i="41"/>
  <c r="D38" i="32"/>
  <c r="E38" i="32"/>
  <c r="G32" i="60"/>
  <c r="I32" i="60" s="1"/>
  <c r="H28" i="89"/>
  <c r="H33" i="57"/>
  <c r="I33" i="57" s="1"/>
  <c r="E34" i="57"/>
  <c r="D34" i="57"/>
  <c r="G38" i="29"/>
  <c r="I38" i="29" s="1"/>
  <c r="H38" i="70"/>
  <c r="H35" i="74"/>
  <c r="E29" i="25"/>
  <c r="F29" i="25" s="1"/>
  <c r="H32" i="63"/>
  <c r="I32" i="63" s="1"/>
  <c r="D31" i="78"/>
  <c r="E31" i="78"/>
  <c r="E29" i="33"/>
  <c r="F29" i="33" s="1"/>
  <c r="J121" i="35"/>
  <c r="E38" i="18"/>
  <c r="D38" i="18"/>
  <c r="F32" i="62"/>
  <c r="G32" i="62" s="1"/>
  <c r="B32" i="62"/>
  <c r="D33" i="59"/>
  <c r="E33" i="59"/>
  <c r="I28" i="87"/>
  <c r="F36" i="20"/>
  <c r="G36" i="20" s="1"/>
  <c r="B36" i="20"/>
  <c r="F29" i="87"/>
  <c r="G29" i="87" s="1"/>
  <c r="B29" i="87"/>
  <c r="H37" i="18"/>
  <c r="I37" i="18" s="1"/>
  <c r="E41" i="35"/>
  <c r="F41" i="35" s="1"/>
  <c r="H40" i="35"/>
  <c r="B41" i="35"/>
  <c r="G40" i="35"/>
  <c r="I107" i="33"/>
  <c r="H107" i="33"/>
  <c r="I108" i="25"/>
  <c r="H108" i="25"/>
  <c r="B124" i="35"/>
  <c r="E124" i="35"/>
  <c r="F124" i="35" s="1"/>
  <c r="G123" i="35"/>
  <c r="B108" i="33"/>
  <c r="E108" i="33"/>
  <c r="F108" i="33" s="1"/>
  <c r="H122" i="35"/>
  <c r="I122" i="35"/>
  <c r="B109" i="25"/>
  <c r="F109" i="25"/>
  <c r="D109" i="100" l="1"/>
  <c r="E109" i="100" s="1"/>
  <c r="G41" i="100"/>
  <c r="I26" i="102"/>
  <c r="D27" i="102"/>
  <c r="E27" i="102"/>
  <c r="F36" i="101"/>
  <c r="H36" i="101" s="1"/>
  <c r="B36" i="101"/>
  <c r="F109" i="100"/>
  <c r="B109" i="100"/>
  <c r="H108" i="100"/>
  <c r="I108" i="100"/>
  <c r="O88" i="100"/>
  <c r="O89" i="100" s="1"/>
  <c r="N89" i="100"/>
  <c r="I41" i="100"/>
  <c r="D42" i="100"/>
  <c r="E42" i="100" s="1"/>
  <c r="H36" i="43"/>
  <c r="I36" i="43" s="1"/>
  <c r="E37" i="43"/>
  <c r="D37" i="43"/>
  <c r="F28" i="95"/>
  <c r="H28" i="95" s="1"/>
  <c r="F37" i="19"/>
  <c r="G37" i="19" s="1"/>
  <c r="D28" i="13"/>
  <c r="H27" i="13"/>
  <c r="G27" i="13"/>
  <c r="H30" i="80"/>
  <c r="I30" i="80" s="1"/>
  <c r="D31" i="80"/>
  <c r="B31" i="80" s="1"/>
  <c r="E31" i="80"/>
  <c r="F30" i="99"/>
  <c r="G30" i="99" s="1"/>
  <c r="B30" i="99"/>
  <c r="F29" i="98"/>
  <c r="G29" i="98" s="1"/>
  <c r="B29" i="98"/>
  <c r="F31" i="97"/>
  <c r="D32" i="97" s="1"/>
  <c r="B31" i="97"/>
  <c r="I30" i="90"/>
  <c r="I28" i="89"/>
  <c r="I38" i="27"/>
  <c r="E109" i="26"/>
  <c r="F109" i="26" s="1"/>
  <c r="G109" i="26" s="1"/>
  <c r="H108" i="26"/>
  <c r="I108" i="26"/>
  <c r="G30" i="88"/>
  <c r="I30" i="88" s="1"/>
  <c r="B33" i="67"/>
  <c r="F33" i="67"/>
  <c r="G33" i="67" s="1"/>
  <c r="F34" i="46"/>
  <c r="G34" i="46" s="1"/>
  <c r="B34" i="46"/>
  <c r="B38" i="24"/>
  <c r="F38" i="24"/>
  <c r="G38" i="24" s="1"/>
  <c r="H31" i="82"/>
  <c r="D32" i="82"/>
  <c r="E32" i="82"/>
  <c r="G36" i="42"/>
  <c r="I36" i="42" s="1"/>
  <c r="G31" i="82"/>
  <c r="I38" i="23"/>
  <c r="F28" i="93"/>
  <c r="B28" i="93"/>
  <c r="F29" i="94"/>
  <c r="B29" i="94"/>
  <c r="D31" i="86"/>
  <c r="E31" i="86"/>
  <c r="G30" i="86"/>
  <c r="I30" i="86" s="1"/>
  <c r="F31" i="90"/>
  <c r="G31" i="90" s="1"/>
  <c r="B31" i="90"/>
  <c r="F30" i="84"/>
  <c r="G30" i="84" s="1"/>
  <c r="B30" i="84"/>
  <c r="E33" i="65"/>
  <c r="D33" i="65"/>
  <c r="E32" i="75"/>
  <c r="D32" i="75"/>
  <c r="B39" i="23"/>
  <c r="F39" i="23"/>
  <c r="G39" i="23" s="1"/>
  <c r="G38" i="71"/>
  <c r="I38" i="71" s="1"/>
  <c r="B30" i="91"/>
  <c r="F30" i="91"/>
  <c r="H30" i="91" s="1"/>
  <c r="H32" i="65"/>
  <c r="G35" i="55"/>
  <c r="I35" i="55" s="1"/>
  <c r="E36" i="55"/>
  <c r="D36" i="55"/>
  <c r="F33" i="66"/>
  <c r="H33" i="66" s="1"/>
  <c r="B33" i="66"/>
  <c r="H31" i="75"/>
  <c r="H35" i="58"/>
  <c r="I35" i="58" s="1"/>
  <c r="E36" i="58"/>
  <c r="D36" i="58"/>
  <c r="I38" i="70"/>
  <c r="B34" i="53"/>
  <c r="F34" i="53"/>
  <c r="H34" i="53" s="1"/>
  <c r="G32" i="65"/>
  <c r="E37" i="42"/>
  <c r="D37" i="42"/>
  <c r="G31" i="75"/>
  <c r="F30" i="81"/>
  <c r="H30" i="81" s="1"/>
  <c r="B30" i="81"/>
  <c r="D37" i="39"/>
  <c r="E37" i="39"/>
  <c r="E35" i="72"/>
  <c r="D35" i="72"/>
  <c r="G38" i="30"/>
  <c r="I38" i="30" s="1"/>
  <c r="G40" i="28"/>
  <c r="I40" i="28" s="1"/>
  <c r="H30" i="85"/>
  <c r="I30" i="85" s="1"/>
  <c r="B37" i="22"/>
  <c r="F37" i="22"/>
  <c r="H37" i="22" s="1"/>
  <c r="B33" i="61"/>
  <c r="F33" i="61"/>
  <c r="H33" i="61" s="1"/>
  <c r="H29" i="87"/>
  <c r="I29" i="87" s="1"/>
  <c r="H36" i="39"/>
  <c r="I36" i="39" s="1"/>
  <c r="B31" i="76"/>
  <c r="F31" i="76"/>
  <c r="G31" i="76" s="1"/>
  <c r="H34" i="72"/>
  <c r="I34" i="72" s="1"/>
  <c r="D31" i="85"/>
  <c r="E31" i="85"/>
  <c r="B36" i="44"/>
  <c r="F36" i="44"/>
  <c r="H36" i="44" s="1"/>
  <c r="B28" i="96"/>
  <c r="F28" i="96"/>
  <c r="G28" i="96" s="1"/>
  <c r="F39" i="27"/>
  <c r="B39" i="27"/>
  <c r="D30" i="33"/>
  <c r="E30" i="33" s="1"/>
  <c r="G29" i="33"/>
  <c r="H29" i="33"/>
  <c r="G29" i="25"/>
  <c r="D30" i="25"/>
  <c r="B30" i="25" s="1"/>
  <c r="H29" i="25"/>
  <c r="F29" i="92"/>
  <c r="H29" i="92" s="1"/>
  <c r="B29" i="92"/>
  <c r="B39" i="70"/>
  <c r="F39" i="70"/>
  <c r="G39" i="70" s="1"/>
  <c r="H36" i="20"/>
  <c r="I36" i="20" s="1"/>
  <c r="H32" i="62"/>
  <c r="I32" i="62" s="1"/>
  <c r="I35" i="74"/>
  <c r="E34" i="56"/>
  <c r="D34" i="56"/>
  <c r="G28" i="26"/>
  <c r="H28" i="26"/>
  <c r="D29" i="26"/>
  <c r="E29" i="26" s="1"/>
  <c r="E34" i="64"/>
  <c r="D34" i="64"/>
  <c r="F31" i="79"/>
  <c r="H31" i="79" s="1"/>
  <c r="B31" i="79"/>
  <c r="F33" i="63"/>
  <c r="B33" i="63"/>
  <c r="B37" i="21"/>
  <c r="F37" i="21"/>
  <c r="F39" i="29"/>
  <c r="G39" i="29" s="1"/>
  <c r="B39" i="29"/>
  <c r="E40" i="31"/>
  <c r="D40" i="31"/>
  <c r="B31" i="78"/>
  <c r="F31" i="78"/>
  <c r="B31" i="77"/>
  <c r="F31" i="77"/>
  <c r="E38" i="3"/>
  <c r="D38" i="3"/>
  <c r="G33" i="56"/>
  <c r="I33" i="56" s="1"/>
  <c r="G39" i="31"/>
  <c r="I39" i="31" s="1"/>
  <c r="D40" i="69"/>
  <c r="E40" i="69"/>
  <c r="G33" i="64"/>
  <c r="D36" i="45"/>
  <c r="E36" i="45"/>
  <c r="H32" i="68"/>
  <c r="I32" i="68" s="1"/>
  <c r="E33" i="68"/>
  <c r="D33" i="68"/>
  <c r="B34" i="57"/>
  <c r="F34" i="57"/>
  <c r="G34" i="57" s="1"/>
  <c r="B36" i="73"/>
  <c r="F36" i="73"/>
  <c r="B37" i="17"/>
  <c r="C46" i="17"/>
  <c r="F37" i="17"/>
  <c r="G37" i="17" s="1"/>
  <c r="B38" i="32"/>
  <c r="F38" i="32"/>
  <c r="G38" i="32" s="1"/>
  <c r="F37" i="41"/>
  <c r="H37" i="41" s="1"/>
  <c r="B37" i="41"/>
  <c r="D31" i="88"/>
  <c r="E31" i="88"/>
  <c r="G37" i="3"/>
  <c r="I37" i="3" s="1"/>
  <c r="D39" i="30"/>
  <c r="E39" i="30"/>
  <c r="B33" i="60"/>
  <c r="F33" i="60"/>
  <c r="G33" i="60" s="1"/>
  <c r="E39" i="71"/>
  <c r="D39" i="71"/>
  <c r="G39" i="69"/>
  <c r="I39" i="69" s="1"/>
  <c r="H33" i="64"/>
  <c r="H29" i="83"/>
  <c r="I29" i="83" s="1"/>
  <c r="D30" i="83"/>
  <c r="E30" i="83"/>
  <c r="B36" i="74"/>
  <c r="F36" i="74"/>
  <c r="H35" i="45"/>
  <c r="I35" i="45" s="1"/>
  <c r="B29" i="89"/>
  <c r="F29" i="89"/>
  <c r="H29" i="89" s="1"/>
  <c r="D39" i="34"/>
  <c r="H38" i="34"/>
  <c r="E39" i="34"/>
  <c r="G38" i="34"/>
  <c r="E41" i="28"/>
  <c r="D41" i="28"/>
  <c r="F34" i="54"/>
  <c r="H34" i="54" s="1"/>
  <c r="B34" i="54"/>
  <c r="F33" i="59"/>
  <c r="G33" i="59" s="1"/>
  <c r="B33" i="59"/>
  <c r="F38" i="18"/>
  <c r="B38" i="18"/>
  <c r="D30" i="87"/>
  <c r="E30" i="87"/>
  <c r="E37" i="20"/>
  <c r="D37" i="20"/>
  <c r="D33" i="62"/>
  <c r="E33" i="62"/>
  <c r="I40" i="35"/>
  <c r="E42" i="35"/>
  <c r="F42" i="35" s="1"/>
  <c r="H41" i="35"/>
  <c r="B42" i="35"/>
  <c r="G41" i="35"/>
  <c r="J122" i="35"/>
  <c r="G108" i="33"/>
  <c r="D109" i="33"/>
  <c r="E109" i="33" s="1"/>
  <c r="D110" i="25"/>
  <c r="E110" i="25" s="1"/>
  <c r="G109" i="25"/>
  <c r="H123" i="35"/>
  <c r="I123" i="35"/>
  <c r="J108" i="25"/>
  <c r="E125" i="35"/>
  <c r="F125" i="35" s="1"/>
  <c r="B125" i="35"/>
  <c r="G124" i="35"/>
  <c r="J107" i="33"/>
  <c r="G36" i="101" l="1"/>
  <c r="I36" i="101" s="1"/>
  <c r="D37" i="101"/>
  <c r="E37" i="101"/>
  <c r="B27" i="102"/>
  <c r="F27" i="102"/>
  <c r="G27" i="102" s="1"/>
  <c r="D110" i="100"/>
  <c r="E110" i="100" s="1"/>
  <c r="G109" i="100"/>
  <c r="J108" i="100"/>
  <c r="B42" i="100"/>
  <c r="F42" i="100"/>
  <c r="H42" i="100" s="1"/>
  <c r="G42" i="100"/>
  <c r="F37" i="43"/>
  <c r="H37" i="43" s="1"/>
  <c r="B37" i="43"/>
  <c r="E29" i="95"/>
  <c r="D29" i="95"/>
  <c r="B29" i="95" s="1"/>
  <c r="G28" i="95"/>
  <c r="I28" i="95" s="1"/>
  <c r="H37" i="19"/>
  <c r="I37" i="19" s="1"/>
  <c r="D38" i="19"/>
  <c r="B38" i="19" s="1"/>
  <c r="E38" i="19"/>
  <c r="I27" i="13"/>
  <c r="E28" i="13"/>
  <c r="F28" i="13" s="1"/>
  <c r="B28" i="13"/>
  <c r="F31" i="80"/>
  <c r="G31" i="80" s="1"/>
  <c r="H30" i="99"/>
  <c r="I30" i="99" s="1"/>
  <c r="H31" i="97"/>
  <c r="H29" i="98"/>
  <c r="I29" i="98" s="1"/>
  <c r="G31" i="97"/>
  <c r="E32" i="97"/>
  <c r="F32" i="97" s="1"/>
  <c r="D33" i="97" s="1"/>
  <c r="B32" i="97"/>
  <c r="D30" i="98"/>
  <c r="E30" i="98"/>
  <c r="D31" i="99"/>
  <c r="E31" i="99"/>
  <c r="D110" i="26"/>
  <c r="E110" i="26" s="1"/>
  <c r="F110" i="26" s="1"/>
  <c r="J108" i="26"/>
  <c r="I31" i="82"/>
  <c r="I33" i="64"/>
  <c r="I109" i="26"/>
  <c r="H109" i="26"/>
  <c r="G30" i="91"/>
  <c r="I30" i="91" s="1"/>
  <c r="H33" i="67"/>
  <c r="I33" i="67" s="1"/>
  <c r="D34" i="67"/>
  <c r="E34" i="67"/>
  <c r="H34" i="46"/>
  <c r="I34" i="46" s="1"/>
  <c r="D35" i="46"/>
  <c r="E35" i="46"/>
  <c r="H38" i="24"/>
  <c r="I38" i="24" s="1"/>
  <c r="E39" i="24"/>
  <c r="D39" i="24"/>
  <c r="E29" i="93"/>
  <c r="D29" i="93"/>
  <c r="G33" i="66"/>
  <c r="I33" i="66" s="1"/>
  <c r="H39" i="23"/>
  <c r="I39" i="23" s="1"/>
  <c r="H29" i="94"/>
  <c r="E30" i="94"/>
  <c r="D30" i="94"/>
  <c r="H28" i="93"/>
  <c r="G29" i="89"/>
  <c r="I29" i="89" s="1"/>
  <c r="F31" i="86"/>
  <c r="B31" i="86"/>
  <c r="G28" i="93"/>
  <c r="F32" i="82"/>
  <c r="B32" i="82"/>
  <c r="I31" i="75"/>
  <c r="G29" i="94"/>
  <c r="I32" i="65"/>
  <c r="B32" i="75"/>
  <c r="F32" i="75"/>
  <c r="H32" i="75" s="1"/>
  <c r="D31" i="84"/>
  <c r="E31" i="84"/>
  <c r="B37" i="42"/>
  <c r="F37" i="42"/>
  <c r="G34" i="53"/>
  <c r="I34" i="53" s="1"/>
  <c r="E35" i="53"/>
  <c r="D35" i="53"/>
  <c r="B36" i="55"/>
  <c r="F36" i="55"/>
  <c r="H30" i="84"/>
  <c r="I30" i="84" s="1"/>
  <c r="B36" i="58"/>
  <c r="F36" i="58"/>
  <c r="I29" i="33"/>
  <c r="D34" i="66"/>
  <c r="E34" i="66"/>
  <c r="E31" i="91"/>
  <c r="D31" i="91"/>
  <c r="E40" i="23"/>
  <c r="D40" i="23"/>
  <c r="F33" i="65"/>
  <c r="G33" i="65" s="1"/>
  <c r="B33" i="65"/>
  <c r="H31" i="90"/>
  <c r="I31" i="90" s="1"/>
  <c r="D32" i="90"/>
  <c r="E32" i="90"/>
  <c r="H31" i="76"/>
  <c r="I31" i="76" s="1"/>
  <c r="D32" i="76"/>
  <c r="E32" i="76"/>
  <c r="G33" i="61"/>
  <c r="I33" i="61" s="1"/>
  <c r="G37" i="22"/>
  <c r="I37" i="22" s="1"/>
  <c r="H28" i="96"/>
  <c r="I28" i="96" s="1"/>
  <c r="E29" i="96"/>
  <c r="D29" i="96"/>
  <c r="G36" i="44"/>
  <c r="I36" i="44" s="1"/>
  <c r="F31" i="85"/>
  <c r="B31" i="85"/>
  <c r="G30" i="81"/>
  <c r="I30" i="81" s="1"/>
  <c r="E31" i="81"/>
  <c r="D31" i="81"/>
  <c r="E38" i="22"/>
  <c r="D38" i="22"/>
  <c r="B37" i="39"/>
  <c r="F37" i="39"/>
  <c r="H37" i="39" s="1"/>
  <c r="H33" i="59"/>
  <c r="I33" i="59" s="1"/>
  <c r="D40" i="27"/>
  <c r="G39" i="27"/>
  <c r="E40" i="27"/>
  <c r="H39" i="27"/>
  <c r="E37" i="44"/>
  <c r="D37" i="44"/>
  <c r="E34" i="61"/>
  <c r="D34" i="61"/>
  <c r="F35" i="72"/>
  <c r="H35" i="72" s="1"/>
  <c r="B35" i="72"/>
  <c r="I29" i="25"/>
  <c r="D37" i="74"/>
  <c r="E37" i="74"/>
  <c r="D37" i="73"/>
  <c r="G36" i="73"/>
  <c r="E37" i="73"/>
  <c r="F36" i="45"/>
  <c r="G36" i="45" s="1"/>
  <c r="B36" i="45"/>
  <c r="E32" i="78"/>
  <c r="D32" i="78"/>
  <c r="E38" i="21"/>
  <c r="D38" i="21"/>
  <c r="B39" i="71"/>
  <c r="F39" i="71"/>
  <c r="H39" i="71" s="1"/>
  <c r="D34" i="60"/>
  <c r="E34" i="60"/>
  <c r="H34" i="57"/>
  <c r="I34" i="57" s="1"/>
  <c r="D35" i="57"/>
  <c r="E35" i="57"/>
  <c r="B40" i="31"/>
  <c r="F40" i="31"/>
  <c r="G40" i="31" s="1"/>
  <c r="G33" i="63"/>
  <c r="D34" i="63"/>
  <c r="E34" i="63"/>
  <c r="D32" i="79"/>
  <c r="E32" i="79"/>
  <c r="B41" i="28"/>
  <c r="F41" i="28"/>
  <c r="I38" i="34"/>
  <c r="D30" i="89"/>
  <c r="E30" i="89"/>
  <c r="H36" i="74"/>
  <c r="H33" i="60"/>
  <c r="I33" i="60" s="1"/>
  <c r="F31" i="88"/>
  <c r="B31" i="88"/>
  <c r="D38" i="41"/>
  <c r="E38" i="41"/>
  <c r="G31" i="78"/>
  <c r="H37" i="21"/>
  <c r="B34" i="64"/>
  <c r="F34" i="64"/>
  <c r="G34" i="64" s="1"/>
  <c r="B29" i="26"/>
  <c r="F29" i="26"/>
  <c r="B34" i="56"/>
  <c r="F34" i="56"/>
  <c r="G34" i="56" s="1"/>
  <c r="D38" i="17"/>
  <c r="E38" i="17"/>
  <c r="F33" i="68"/>
  <c r="H33" i="68" s="1"/>
  <c r="B33" i="68"/>
  <c r="F40" i="69"/>
  <c r="H40" i="69" s="1"/>
  <c r="B40" i="69"/>
  <c r="H31" i="77"/>
  <c r="D32" i="77"/>
  <c r="E32" i="77"/>
  <c r="F38" i="3"/>
  <c r="G38" i="3" s="1"/>
  <c r="B38" i="3"/>
  <c r="D40" i="29"/>
  <c r="E40" i="29"/>
  <c r="H39" i="70"/>
  <c r="I39" i="70" s="1"/>
  <c r="D40" i="70"/>
  <c r="E40" i="70"/>
  <c r="G34" i="54"/>
  <c r="I34" i="54" s="1"/>
  <c r="D35" i="54"/>
  <c r="E35" i="54"/>
  <c r="F39" i="34"/>
  <c r="H39" i="34" s="1"/>
  <c r="B39" i="34"/>
  <c r="G36" i="74"/>
  <c r="F30" i="83"/>
  <c r="G30" i="83" s="1"/>
  <c r="B30" i="83"/>
  <c r="B39" i="30"/>
  <c r="F39" i="30"/>
  <c r="H39" i="30" s="1"/>
  <c r="G37" i="41"/>
  <c r="I37" i="41" s="1"/>
  <c r="H38" i="32"/>
  <c r="I38" i="32" s="1"/>
  <c r="E39" i="32"/>
  <c r="D39" i="32"/>
  <c r="H37" i="17"/>
  <c r="I37" i="17" s="1"/>
  <c r="H36" i="73"/>
  <c r="G31" i="77"/>
  <c r="H31" i="78"/>
  <c r="H39" i="29"/>
  <c r="I39" i="29" s="1"/>
  <c r="G37" i="21"/>
  <c r="H33" i="63"/>
  <c r="G31" i="79"/>
  <c r="I31" i="79" s="1"/>
  <c r="I28" i="26"/>
  <c r="G29" i="92"/>
  <c r="I29" i="92" s="1"/>
  <c r="E30" i="92"/>
  <c r="D30" i="92"/>
  <c r="E30" i="25"/>
  <c r="F30" i="25" s="1"/>
  <c r="F30" i="33"/>
  <c r="B30" i="33"/>
  <c r="I41" i="35"/>
  <c r="D39" i="18"/>
  <c r="E39" i="18"/>
  <c r="B43" i="35"/>
  <c r="E43" i="35"/>
  <c r="F43" i="35" s="1"/>
  <c r="G42" i="35"/>
  <c r="H42" i="35"/>
  <c r="B33" i="62"/>
  <c r="F33" i="62"/>
  <c r="G33" i="62" s="1"/>
  <c r="B30" i="87"/>
  <c r="F30" i="87"/>
  <c r="G30" i="87" s="1"/>
  <c r="G38" i="18"/>
  <c r="B37" i="20"/>
  <c r="F37" i="20"/>
  <c r="G37" i="20" s="1"/>
  <c r="H38" i="18"/>
  <c r="D34" i="59"/>
  <c r="E34" i="59"/>
  <c r="I124" i="35"/>
  <c r="H124" i="35"/>
  <c r="H109" i="25"/>
  <c r="I109" i="25"/>
  <c r="B109" i="33"/>
  <c r="F109" i="33"/>
  <c r="J123" i="35"/>
  <c r="F110" i="25"/>
  <c r="B110" i="25"/>
  <c r="H108" i="33"/>
  <c r="I108" i="33"/>
  <c r="B126" i="35"/>
  <c r="E126" i="35"/>
  <c r="F126" i="35" s="1"/>
  <c r="G125" i="35"/>
  <c r="H27" i="102" l="1"/>
  <c r="I27" i="102" s="1"/>
  <c r="D28" i="102"/>
  <c r="E28" i="102"/>
  <c r="F37" i="101"/>
  <c r="D38" i="101" s="1"/>
  <c r="B37" i="101"/>
  <c r="I109" i="100"/>
  <c r="H109" i="100"/>
  <c r="F110" i="100"/>
  <c r="B110" i="100"/>
  <c r="I42" i="100"/>
  <c r="D43" i="100"/>
  <c r="G37" i="43"/>
  <c r="I37" i="43" s="1"/>
  <c r="E38" i="43"/>
  <c r="D38" i="43"/>
  <c r="F38" i="19"/>
  <c r="H38" i="19" s="1"/>
  <c r="F29" i="95"/>
  <c r="H29" i="95" s="1"/>
  <c r="H31" i="80"/>
  <c r="I31" i="80" s="1"/>
  <c r="D32" i="80"/>
  <c r="E32" i="80"/>
  <c r="G28" i="13"/>
  <c r="H28" i="13"/>
  <c r="D29" i="13"/>
  <c r="I31" i="97"/>
  <c r="G40" i="69"/>
  <c r="I40" i="69" s="1"/>
  <c r="G32" i="97"/>
  <c r="F31" i="99"/>
  <c r="D32" i="99" s="1"/>
  <c r="B31" i="99"/>
  <c r="F30" i="98"/>
  <c r="G30" i="98" s="1"/>
  <c r="B30" i="98"/>
  <c r="E33" i="97"/>
  <c r="F33" i="97" s="1"/>
  <c r="B33" i="97"/>
  <c r="H32" i="97"/>
  <c r="I28" i="93"/>
  <c r="B110" i="26"/>
  <c r="I29" i="94"/>
  <c r="G39" i="30"/>
  <c r="I39" i="30" s="1"/>
  <c r="J109" i="26"/>
  <c r="G110" i="26"/>
  <c r="D111" i="26"/>
  <c r="H30" i="83"/>
  <c r="I30" i="83" s="1"/>
  <c r="G39" i="71"/>
  <c r="I39" i="71" s="1"/>
  <c r="B34" i="67"/>
  <c r="F34" i="67"/>
  <c r="H34" i="67" s="1"/>
  <c r="B35" i="46"/>
  <c r="F35" i="46"/>
  <c r="G35" i="46" s="1"/>
  <c r="F39" i="24"/>
  <c r="G39" i="24" s="1"/>
  <c r="B39" i="24"/>
  <c r="H32" i="82"/>
  <c r="D33" i="82"/>
  <c r="E33" i="82"/>
  <c r="B30" i="94"/>
  <c r="F30" i="94"/>
  <c r="H30" i="94" s="1"/>
  <c r="H34" i="64"/>
  <c r="I34" i="64" s="1"/>
  <c r="G32" i="82"/>
  <c r="G31" i="86"/>
  <c r="E32" i="86"/>
  <c r="D32" i="86"/>
  <c r="H31" i="86"/>
  <c r="F29" i="93"/>
  <c r="H29" i="93" s="1"/>
  <c r="B29" i="93"/>
  <c r="G37" i="39"/>
  <c r="I37" i="39" s="1"/>
  <c r="H36" i="55"/>
  <c r="E37" i="55"/>
  <c r="D37" i="55"/>
  <c r="H33" i="65"/>
  <c r="I33" i="65" s="1"/>
  <c r="F40" i="23"/>
  <c r="B40" i="23"/>
  <c r="G37" i="42"/>
  <c r="D38" i="42"/>
  <c r="E38" i="42"/>
  <c r="B31" i="84"/>
  <c r="F31" i="84"/>
  <c r="G31" i="84" s="1"/>
  <c r="G32" i="75"/>
  <c r="I32" i="75" s="1"/>
  <c r="H36" i="58"/>
  <c r="G36" i="58"/>
  <c r="E37" i="58"/>
  <c r="D37" i="58"/>
  <c r="I33" i="63"/>
  <c r="F34" i="66"/>
  <c r="G34" i="66" s="1"/>
  <c r="B34" i="66"/>
  <c r="B35" i="53"/>
  <c r="F35" i="53"/>
  <c r="H37" i="42"/>
  <c r="D34" i="65"/>
  <c r="E34" i="65"/>
  <c r="B32" i="90"/>
  <c r="F32" i="90"/>
  <c r="G32" i="90" s="1"/>
  <c r="F31" i="91"/>
  <c r="B31" i="91"/>
  <c r="G36" i="55"/>
  <c r="E33" i="75"/>
  <c r="D33" i="75"/>
  <c r="B40" i="27"/>
  <c r="F40" i="27"/>
  <c r="G40" i="27" s="1"/>
  <c r="B38" i="22"/>
  <c r="F38" i="22"/>
  <c r="G38" i="22" s="1"/>
  <c r="H31" i="85"/>
  <c r="E32" i="85"/>
  <c r="D32" i="85"/>
  <c r="B32" i="76"/>
  <c r="F32" i="76"/>
  <c r="D36" i="72"/>
  <c r="E36" i="72"/>
  <c r="F34" i="61"/>
  <c r="H34" i="61" s="1"/>
  <c r="B34" i="61"/>
  <c r="I39" i="27"/>
  <c r="H34" i="56"/>
  <c r="I34" i="56" s="1"/>
  <c r="G35" i="72"/>
  <c r="I35" i="72" s="1"/>
  <c r="D38" i="39"/>
  <c r="E38" i="39"/>
  <c r="B31" i="81"/>
  <c r="F31" i="81"/>
  <c r="H31" i="81" s="1"/>
  <c r="G31" i="85"/>
  <c r="B29" i="96"/>
  <c r="F29" i="96"/>
  <c r="G29" i="96" s="1"/>
  <c r="F37" i="44"/>
  <c r="G37" i="44" s="1"/>
  <c r="B37" i="44"/>
  <c r="I36" i="73"/>
  <c r="H30" i="25"/>
  <c r="D31" i="25"/>
  <c r="E31" i="25" s="1"/>
  <c r="H41" i="28"/>
  <c r="D42" i="28"/>
  <c r="E42" i="28" s="1"/>
  <c r="B30" i="92"/>
  <c r="F30" i="92"/>
  <c r="H30" i="92" s="1"/>
  <c r="H38" i="3"/>
  <c r="I38" i="3" s="1"/>
  <c r="G31" i="88"/>
  <c r="E32" i="88"/>
  <c r="D32" i="88"/>
  <c r="H40" i="31"/>
  <c r="I40" i="31" s="1"/>
  <c r="D41" i="31"/>
  <c r="E41" i="31"/>
  <c r="F32" i="78"/>
  <c r="G32" i="78" s="1"/>
  <c r="B32" i="78"/>
  <c r="I38" i="18"/>
  <c r="H30" i="87"/>
  <c r="I30" i="87" s="1"/>
  <c r="H33" i="62"/>
  <c r="I33" i="62" s="1"/>
  <c r="E40" i="30"/>
  <c r="D40" i="30"/>
  <c r="B40" i="29"/>
  <c r="F40" i="29"/>
  <c r="H40" i="29" s="1"/>
  <c r="F38" i="17"/>
  <c r="H38" i="17" s="1"/>
  <c r="B38" i="17"/>
  <c r="C47" i="17"/>
  <c r="F38" i="41"/>
  <c r="H38" i="41" s="1"/>
  <c r="B38" i="41"/>
  <c r="B34" i="63"/>
  <c r="F34" i="63"/>
  <c r="G34" i="63" s="1"/>
  <c r="F35" i="57"/>
  <c r="B35" i="57"/>
  <c r="E40" i="71"/>
  <c r="D40" i="71"/>
  <c r="B37" i="73"/>
  <c r="F37" i="73"/>
  <c r="B37" i="74"/>
  <c r="F37" i="74"/>
  <c r="H37" i="74" s="1"/>
  <c r="F39" i="32"/>
  <c r="G39" i="32" s="1"/>
  <c r="B39" i="32"/>
  <c r="D39" i="3"/>
  <c r="E39" i="3"/>
  <c r="I31" i="77"/>
  <c r="G33" i="68"/>
  <c r="I33" i="68" s="1"/>
  <c r="E34" i="68"/>
  <c r="D34" i="68"/>
  <c r="F32" i="79"/>
  <c r="G32" i="79" s="1"/>
  <c r="B32" i="79"/>
  <c r="H36" i="45"/>
  <c r="I36" i="45" s="1"/>
  <c r="E37" i="45"/>
  <c r="D37" i="45"/>
  <c r="B35" i="54"/>
  <c r="F35" i="54"/>
  <c r="F30" i="89"/>
  <c r="B30" i="89"/>
  <c r="F34" i="60"/>
  <c r="G34" i="60" s="1"/>
  <c r="B34" i="60"/>
  <c r="I42" i="35"/>
  <c r="D31" i="33"/>
  <c r="E31" i="33" s="1"/>
  <c r="H30" i="33"/>
  <c r="G30" i="33"/>
  <c r="I31" i="78"/>
  <c r="E31" i="83"/>
  <c r="D31" i="83"/>
  <c r="E40" i="34"/>
  <c r="D40" i="34"/>
  <c r="G39" i="34"/>
  <c r="I39" i="34" s="1"/>
  <c r="G30" i="25"/>
  <c r="F40" i="70"/>
  <c r="H40" i="70" s="1"/>
  <c r="B40" i="70"/>
  <c r="B32" i="77"/>
  <c r="F32" i="77"/>
  <c r="G32" i="77" s="1"/>
  <c r="D41" i="69"/>
  <c r="E41" i="69"/>
  <c r="D35" i="56"/>
  <c r="E35" i="56"/>
  <c r="G29" i="26"/>
  <c r="H29" i="26"/>
  <c r="D30" i="26"/>
  <c r="D35" i="64"/>
  <c r="E35" i="64"/>
  <c r="I37" i="21"/>
  <c r="H31" i="88"/>
  <c r="I36" i="74"/>
  <c r="G41" i="28"/>
  <c r="B38" i="21"/>
  <c r="F38" i="21"/>
  <c r="D31" i="87"/>
  <c r="E31" i="87"/>
  <c r="E34" i="62"/>
  <c r="D34" i="62"/>
  <c r="H37" i="20"/>
  <c r="I37" i="20" s="1"/>
  <c r="F39" i="18"/>
  <c r="B39" i="18"/>
  <c r="B34" i="59"/>
  <c r="F34" i="59"/>
  <c r="G34" i="59" s="1"/>
  <c r="D38" i="20"/>
  <c r="E38" i="20"/>
  <c r="G43" i="35"/>
  <c r="E44" i="35"/>
  <c r="F44" i="35" s="1"/>
  <c r="H43" i="35"/>
  <c r="B44" i="35"/>
  <c r="B127" i="35"/>
  <c r="G126" i="35"/>
  <c r="E127" i="35"/>
  <c r="F127" i="35" s="1"/>
  <c r="J124" i="35"/>
  <c r="J108" i="33"/>
  <c r="D110" i="33"/>
  <c r="E110" i="33" s="1"/>
  <c r="G109" i="33"/>
  <c r="G110" i="25"/>
  <c r="D111" i="25"/>
  <c r="E111" i="25" s="1"/>
  <c r="I125" i="35"/>
  <c r="H125" i="35"/>
  <c r="J109" i="25"/>
  <c r="J109" i="100" l="1"/>
  <c r="G37" i="101"/>
  <c r="H37" i="101"/>
  <c r="E38" i="101"/>
  <c r="F38" i="101" s="1"/>
  <c r="H38" i="101" s="1"/>
  <c r="B38" i="101"/>
  <c r="F28" i="102"/>
  <c r="D29" i="102" s="1"/>
  <c r="B28" i="102"/>
  <c r="D111" i="100"/>
  <c r="G110" i="100"/>
  <c r="B43" i="100"/>
  <c r="E43" i="100"/>
  <c r="F43" i="100" s="1"/>
  <c r="G43" i="100" s="1"/>
  <c r="E39" i="19"/>
  <c r="F38" i="43"/>
  <c r="H38" i="43" s="1"/>
  <c r="B38" i="43"/>
  <c r="G38" i="19"/>
  <c r="I38" i="19" s="1"/>
  <c r="D39" i="19"/>
  <c r="D30" i="95"/>
  <c r="E30" i="95"/>
  <c r="G29" i="95"/>
  <c r="I29" i="95" s="1"/>
  <c r="F32" i="80"/>
  <c r="G32" i="80" s="1"/>
  <c r="B32" i="80"/>
  <c r="E29" i="13"/>
  <c r="F29" i="13" s="1"/>
  <c r="B29" i="13"/>
  <c r="I28" i="13"/>
  <c r="I31" i="88"/>
  <c r="I32" i="97"/>
  <c r="D34" i="97"/>
  <c r="B34" i="97" s="1"/>
  <c r="G33" i="97"/>
  <c r="H30" i="98"/>
  <c r="I30" i="98" s="1"/>
  <c r="H31" i="99"/>
  <c r="G31" i="99"/>
  <c r="E34" i="97"/>
  <c r="H33" i="97"/>
  <c r="D31" i="98"/>
  <c r="E31" i="98"/>
  <c r="E32" i="99"/>
  <c r="F32" i="99" s="1"/>
  <c r="G32" i="99" s="1"/>
  <c r="B32" i="99"/>
  <c r="G29" i="93"/>
  <c r="I29" i="93" s="1"/>
  <c r="G34" i="61"/>
  <c r="I34" i="61" s="1"/>
  <c r="I36" i="58"/>
  <c r="E111" i="26"/>
  <c r="F111" i="26" s="1"/>
  <c r="B111" i="26"/>
  <c r="H110" i="26"/>
  <c r="I110" i="26"/>
  <c r="I32" i="82"/>
  <c r="I31" i="86"/>
  <c r="G34" i="67"/>
  <c r="I34" i="67" s="1"/>
  <c r="D35" i="67"/>
  <c r="E35" i="67"/>
  <c r="I36" i="55"/>
  <c r="H35" i="46"/>
  <c r="I35" i="46" s="1"/>
  <c r="D36" i="46"/>
  <c r="E36" i="46"/>
  <c r="I37" i="42"/>
  <c r="H39" i="24"/>
  <c r="I39" i="24" s="1"/>
  <c r="D40" i="24"/>
  <c r="E40" i="24"/>
  <c r="I31" i="85"/>
  <c r="B32" i="86"/>
  <c r="F32" i="86"/>
  <c r="F33" i="82"/>
  <c r="H33" i="82" s="1"/>
  <c r="B33" i="82"/>
  <c r="E30" i="93"/>
  <c r="D30" i="93"/>
  <c r="G30" i="94"/>
  <c r="I30" i="94" s="1"/>
  <c r="D31" i="94"/>
  <c r="E31" i="94"/>
  <c r="F37" i="58"/>
  <c r="B37" i="58"/>
  <c r="G40" i="23"/>
  <c r="D41" i="23"/>
  <c r="E41" i="23"/>
  <c r="H32" i="90"/>
  <c r="I32" i="90" s="1"/>
  <c r="E33" i="90"/>
  <c r="D33" i="90"/>
  <c r="F34" i="65"/>
  <c r="G34" i="65" s="1"/>
  <c r="B34" i="65"/>
  <c r="B38" i="42"/>
  <c r="F38" i="42"/>
  <c r="H38" i="42" s="1"/>
  <c r="H40" i="23"/>
  <c r="E36" i="53"/>
  <c r="D36" i="53"/>
  <c r="H32" i="78"/>
  <c r="I32" i="78" s="1"/>
  <c r="F33" i="75"/>
  <c r="B33" i="75"/>
  <c r="H35" i="53"/>
  <c r="H31" i="84"/>
  <c r="I31" i="84" s="1"/>
  <c r="D32" i="84"/>
  <c r="E32" i="84"/>
  <c r="D32" i="91"/>
  <c r="H31" i="91"/>
  <c r="G31" i="91"/>
  <c r="E32" i="91"/>
  <c r="G35" i="53"/>
  <c r="H34" i="66"/>
  <c r="I34" i="66" s="1"/>
  <c r="E35" i="66"/>
  <c r="D35" i="66"/>
  <c r="B37" i="55"/>
  <c r="F37" i="55"/>
  <c r="G37" i="55" s="1"/>
  <c r="B36" i="72"/>
  <c r="F36" i="72"/>
  <c r="G32" i="76"/>
  <c r="E33" i="76"/>
  <c r="D33" i="76"/>
  <c r="G38" i="41"/>
  <c r="I38" i="41" s="1"/>
  <c r="E38" i="44"/>
  <c r="D38" i="44"/>
  <c r="D35" i="61"/>
  <c r="E35" i="61"/>
  <c r="H37" i="44"/>
  <c r="I37" i="44" s="1"/>
  <c r="B32" i="85"/>
  <c r="F32" i="85"/>
  <c r="H32" i="85" s="1"/>
  <c r="H38" i="22"/>
  <c r="I38" i="22" s="1"/>
  <c r="D39" i="22"/>
  <c r="E39" i="22"/>
  <c r="H29" i="96"/>
  <c r="I29" i="96" s="1"/>
  <c r="D30" i="96"/>
  <c r="E30" i="96"/>
  <c r="G31" i="81"/>
  <c r="I31" i="81" s="1"/>
  <c r="E32" i="81"/>
  <c r="D32" i="81"/>
  <c r="F38" i="39"/>
  <c r="G38" i="39" s="1"/>
  <c r="B38" i="39"/>
  <c r="H32" i="76"/>
  <c r="D41" i="27"/>
  <c r="H40" i="27"/>
  <c r="I40" i="27" s="1"/>
  <c r="E41" i="27"/>
  <c r="B30" i="26"/>
  <c r="E30" i="26"/>
  <c r="F30" i="26" s="1"/>
  <c r="E33" i="77"/>
  <c r="D33" i="77"/>
  <c r="I30" i="33"/>
  <c r="E35" i="60"/>
  <c r="D35" i="60"/>
  <c r="E31" i="89"/>
  <c r="D31" i="89"/>
  <c r="E33" i="79"/>
  <c r="D33" i="79"/>
  <c r="B40" i="71"/>
  <c r="F40" i="71"/>
  <c r="H40" i="71" s="1"/>
  <c r="E39" i="17"/>
  <c r="D39" i="17"/>
  <c r="F41" i="31"/>
  <c r="G41" i="31" s="1"/>
  <c r="B41" i="31"/>
  <c r="E31" i="92"/>
  <c r="D31" i="92"/>
  <c r="F31" i="25"/>
  <c r="B31" i="25"/>
  <c r="D39" i="21"/>
  <c r="E39" i="21"/>
  <c r="D41" i="70"/>
  <c r="E41" i="70"/>
  <c r="D36" i="54"/>
  <c r="E36" i="54"/>
  <c r="B42" i="28"/>
  <c r="F42" i="28"/>
  <c r="G42" i="28" s="1"/>
  <c r="F40" i="34"/>
  <c r="B40" i="34"/>
  <c r="E36" i="57"/>
  <c r="D36" i="57"/>
  <c r="G40" i="29"/>
  <c r="I40" i="29" s="1"/>
  <c r="D41" i="29"/>
  <c r="E41" i="29"/>
  <c r="H34" i="59"/>
  <c r="I34" i="59" s="1"/>
  <c r="G38" i="21"/>
  <c r="I29" i="26"/>
  <c r="H32" i="77"/>
  <c r="I32" i="77" s="1"/>
  <c r="H34" i="60"/>
  <c r="I34" i="60" s="1"/>
  <c r="H30" i="89"/>
  <c r="G35" i="54"/>
  <c r="H32" i="79"/>
  <c r="I32" i="79" s="1"/>
  <c r="F34" i="68"/>
  <c r="B34" i="68"/>
  <c r="E40" i="32"/>
  <c r="D40" i="32"/>
  <c r="G35" i="57"/>
  <c r="H34" i="63"/>
  <c r="I34" i="63" s="1"/>
  <c r="E35" i="63"/>
  <c r="D35" i="63"/>
  <c r="G38" i="17"/>
  <c r="I38" i="17" s="1"/>
  <c r="B40" i="30"/>
  <c r="F40" i="30"/>
  <c r="I41" i="28"/>
  <c r="I30" i="25"/>
  <c r="F35" i="64"/>
  <c r="B35" i="64"/>
  <c r="E38" i="74"/>
  <c r="D38" i="74"/>
  <c r="H37" i="73"/>
  <c r="E38" i="73"/>
  <c r="G37" i="73"/>
  <c r="D38" i="73"/>
  <c r="B35" i="56"/>
  <c r="F35" i="56"/>
  <c r="H35" i="56" s="1"/>
  <c r="H38" i="21"/>
  <c r="B41" i="69"/>
  <c r="F41" i="69"/>
  <c r="G40" i="70"/>
  <c r="I40" i="70" s="1"/>
  <c r="F31" i="83"/>
  <c r="B31" i="83"/>
  <c r="F31" i="33"/>
  <c r="D32" i="33" s="1"/>
  <c r="E32" i="33" s="1"/>
  <c r="B31" i="33"/>
  <c r="G30" i="89"/>
  <c r="H35" i="54"/>
  <c r="F37" i="45"/>
  <c r="H37" i="45" s="1"/>
  <c r="B37" i="45"/>
  <c r="F39" i="3"/>
  <c r="H39" i="3" s="1"/>
  <c r="B39" i="3"/>
  <c r="H39" i="32"/>
  <c r="I39" i="32" s="1"/>
  <c r="G37" i="74"/>
  <c r="I37" i="74" s="1"/>
  <c r="H35" i="57"/>
  <c r="E39" i="41"/>
  <c r="D39" i="41"/>
  <c r="D33" i="78"/>
  <c r="E33" i="78"/>
  <c r="F32" i="88"/>
  <c r="B32" i="88"/>
  <c r="G30" i="92"/>
  <c r="I30" i="92" s="1"/>
  <c r="E40" i="18"/>
  <c r="D40" i="18"/>
  <c r="I43" i="35"/>
  <c r="G44" i="35"/>
  <c r="B45" i="35"/>
  <c r="H44" i="35"/>
  <c r="E45" i="35"/>
  <c r="F45" i="35" s="1"/>
  <c r="E35" i="59"/>
  <c r="D35" i="59"/>
  <c r="G39" i="18"/>
  <c r="F31" i="87"/>
  <c r="H31" i="87" s="1"/>
  <c r="B31" i="87"/>
  <c r="F38" i="20"/>
  <c r="H38" i="20" s="1"/>
  <c r="B38" i="20"/>
  <c r="H39" i="18"/>
  <c r="F34" i="62"/>
  <c r="H34" i="62" s="1"/>
  <c r="B34" i="62"/>
  <c r="I110" i="25"/>
  <c r="H110" i="25"/>
  <c r="B128" i="35"/>
  <c r="E128" i="35"/>
  <c r="F128" i="35" s="1"/>
  <c r="G127" i="35"/>
  <c r="J125" i="35"/>
  <c r="B110" i="33"/>
  <c r="F110" i="33"/>
  <c r="H126" i="35"/>
  <c r="I126" i="35"/>
  <c r="F111" i="25"/>
  <c r="B111" i="25"/>
  <c r="I109" i="33"/>
  <c r="H109" i="33"/>
  <c r="I37" i="101" l="1"/>
  <c r="G28" i="102"/>
  <c r="E29" i="102"/>
  <c r="F29" i="102" s="1"/>
  <c r="B29" i="102"/>
  <c r="G38" i="101"/>
  <c r="I38" i="101" s="1"/>
  <c r="D39" i="101"/>
  <c r="H43" i="100"/>
  <c r="I43" i="100" s="1"/>
  <c r="H28" i="102"/>
  <c r="I28" i="102" s="1"/>
  <c r="H110" i="100"/>
  <c r="I110" i="100"/>
  <c r="B111" i="100"/>
  <c r="E111" i="100"/>
  <c r="F111" i="100" s="1"/>
  <c r="D44" i="100"/>
  <c r="E44" i="100" s="1"/>
  <c r="F39" i="19"/>
  <c r="D40" i="19" s="1"/>
  <c r="G38" i="43"/>
  <c r="I38" i="43" s="1"/>
  <c r="E39" i="43"/>
  <c r="D39" i="43"/>
  <c r="B39" i="43" s="1"/>
  <c r="B39" i="19"/>
  <c r="F30" i="95"/>
  <c r="G30" i="95" s="1"/>
  <c r="B30" i="95"/>
  <c r="I32" i="76"/>
  <c r="E33" i="80"/>
  <c r="D33" i="80"/>
  <c r="B33" i="80" s="1"/>
  <c r="I35" i="57"/>
  <c r="H32" i="80"/>
  <c r="I32" i="80" s="1"/>
  <c r="D30" i="13"/>
  <c r="H29" i="13"/>
  <c r="G29" i="13"/>
  <c r="F32" i="33"/>
  <c r="H32" i="33" s="1"/>
  <c r="F34" i="97"/>
  <c r="D35" i="97" s="1"/>
  <c r="B35" i="97" s="1"/>
  <c r="I33" i="97"/>
  <c r="B32" i="33"/>
  <c r="I31" i="99"/>
  <c r="F31" i="98"/>
  <c r="H31" i="98" s="1"/>
  <c r="B31" i="98"/>
  <c r="I40" i="23"/>
  <c r="D33" i="99"/>
  <c r="E33" i="99"/>
  <c r="H32" i="99"/>
  <c r="I32" i="99" s="1"/>
  <c r="H34" i="65"/>
  <c r="I34" i="65" s="1"/>
  <c r="I31" i="91"/>
  <c r="J110" i="26"/>
  <c r="G111" i="26"/>
  <c r="D112" i="26"/>
  <c r="B35" i="67"/>
  <c r="F35" i="67"/>
  <c r="H35" i="67" s="1"/>
  <c r="B36" i="46"/>
  <c r="F36" i="46"/>
  <c r="G36" i="46" s="1"/>
  <c r="F40" i="24"/>
  <c r="H40" i="24" s="1"/>
  <c r="B40" i="24"/>
  <c r="G39" i="3"/>
  <c r="I39" i="3" s="1"/>
  <c r="G33" i="82"/>
  <c r="I33" i="82" s="1"/>
  <c r="E34" i="82"/>
  <c r="D34" i="82"/>
  <c r="B31" i="94"/>
  <c r="F31" i="94"/>
  <c r="H31" i="94" s="1"/>
  <c r="E33" i="86"/>
  <c r="G32" i="86"/>
  <c r="H32" i="86"/>
  <c r="D33" i="86"/>
  <c r="B30" i="93"/>
  <c r="F30" i="93"/>
  <c r="H30" i="93" s="1"/>
  <c r="D34" i="75"/>
  <c r="E34" i="75"/>
  <c r="H38" i="39"/>
  <c r="I38" i="39" s="1"/>
  <c r="F35" i="66"/>
  <c r="H35" i="66" s="1"/>
  <c r="B35" i="66"/>
  <c r="B32" i="91"/>
  <c r="F32" i="91"/>
  <c r="I35" i="53"/>
  <c r="H33" i="75"/>
  <c r="G38" i="42"/>
  <c r="I38" i="42" s="1"/>
  <c r="E39" i="42"/>
  <c r="D39" i="42"/>
  <c r="F41" i="23"/>
  <c r="B41" i="23"/>
  <c r="D38" i="58"/>
  <c r="E38" i="58"/>
  <c r="H37" i="55"/>
  <c r="I37" i="55" s="1"/>
  <c r="E38" i="55"/>
  <c r="D38" i="55"/>
  <c r="F33" i="90"/>
  <c r="H33" i="90" s="1"/>
  <c r="B33" i="90"/>
  <c r="I39" i="18"/>
  <c r="B32" i="84"/>
  <c r="F32" i="84"/>
  <c r="H32" i="84" s="1"/>
  <c r="G33" i="75"/>
  <c r="B36" i="53"/>
  <c r="F36" i="53"/>
  <c r="H36" i="53" s="1"/>
  <c r="E35" i="65"/>
  <c r="D35" i="65"/>
  <c r="G37" i="58"/>
  <c r="H37" i="58"/>
  <c r="F39" i="22"/>
  <c r="H39" i="22" s="1"/>
  <c r="B39" i="22"/>
  <c r="D37" i="72"/>
  <c r="E37" i="72"/>
  <c r="F35" i="61"/>
  <c r="G35" i="61" s="1"/>
  <c r="B35" i="61"/>
  <c r="G31" i="33"/>
  <c r="H41" i="31"/>
  <c r="I41" i="31" s="1"/>
  <c r="E39" i="39"/>
  <c r="D39" i="39"/>
  <c r="H36" i="72"/>
  <c r="H31" i="33"/>
  <c r="F41" i="27"/>
  <c r="G41" i="27" s="1"/>
  <c r="B41" i="27"/>
  <c r="B32" i="81"/>
  <c r="F32" i="81"/>
  <c r="F30" i="96"/>
  <c r="H30" i="96" s="1"/>
  <c r="B30" i="96"/>
  <c r="G32" i="85"/>
  <c r="I32" i="85" s="1"/>
  <c r="E33" i="85"/>
  <c r="D33" i="85"/>
  <c r="F38" i="44"/>
  <c r="G38" i="44" s="1"/>
  <c r="B38" i="44"/>
  <c r="F33" i="76"/>
  <c r="H33" i="76" s="1"/>
  <c r="B33" i="76"/>
  <c r="G36" i="72"/>
  <c r="I44" i="35"/>
  <c r="H32" i="88"/>
  <c r="D33" i="88"/>
  <c r="E33" i="88"/>
  <c r="H40" i="30"/>
  <c r="E41" i="30"/>
  <c r="D41" i="30"/>
  <c r="C48" i="17"/>
  <c r="B39" i="17"/>
  <c r="F39" i="17"/>
  <c r="H39" i="17" s="1"/>
  <c r="G32" i="88"/>
  <c r="B38" i="73"/>
  <c r="F38" i="73"/>
  <c r="H38" i="73" s="1"/>
  <c r="F38" i="74"/>
  <c r="H38" i="74" s="1"/>
  <c r="B38" i="74"/>
  <c r="D36" i="64"/>
  <c r="E36" i="64"/>
  <c r="E35" i="68"/>
  <c r="D35" i="68"/>
  <c r="I30" i="89"/>
  <c r="I38" i="21"/>
  <c r="B36" i="57"/>
  <c r="F36" i="57"/>
  <c r="H36" i="57" s="1"/>
  <c r="G31" i="25"/>
  <c r="H31" i="25"/>
  <c r="D32" i="25"/>
  <c r="D31" i="26"/>
  <c r="G30" i="26"/>
  <c r="B39" i="41"/>
  <c r="F39" i="41"/>
  <c r="H39" i="41" s="1"/>
  <c r="E38" i="45"/>
  <c r="D38" i="45"/>
  <c r="D32" i="83"/>
  <c r="E32" i="83"/>
  <c r="D42" i="69"/>
  <c r="E42" i="69"/>
  <c r="B35" i="63"/>
  <c r="F35" i="63"/>
  <c r="H35" i="63" s="1"/>
  <c r="B33" i="79"/>
  <c r="F33" i="79"/>
  <c r="G33" i="79" s="1"/>
  <c r="G38" i="20"/>
  <c r="I38" i="20" s="1"/>
  <c r="G37" i="45"/>
  <c r="I37" i="45" s="1"/>
  <c r="H31" i="83"/>
  <c r="H41" i="69"/>
  <c r="I37" i="73"/>
  <c r="G35" i="64"/>
  <c r="H34" i="68"/>
  <c r="H30" i="26"/>
  <c r="F41" i="29"/>
  <c r="H41" i="29" s="1"/>
  <c r="B41" i="29"/>
  <c r="G40" i="34"/>
  <c r="E41" i="34"/>
  <c r="D41" i="34"/>
  <c r="E43" i="28"/>
  <c r="D43" i="28"/>
  <c r="F36" i="54"/>
  <c r="H36" i="54" s="1"/>
  <c r="B36" i="54"/>
  <c r="F39" i="21"/>
  <c r="H39" i="21" s="1"/>
  <c r="B39" i="21"/>
  <c r="F31" i="92"/>
  <c r="H31" i="92" s="1"/>
  <c r="B31" i="92"/>
  <c r="G40" i="71"/>
  <c r="I40" i="71" s="1"/>
  <c r="E41" i="71"/>
  <c r="D41" i="71"/>
  <c r="B35" i="60"/>
  <c r="F35" i="60"/>
  <c r="G35" i="60" s="1"/>
  <c r="B40" i="32"/>
  <c r="F40" i="32"/>
  <c r="G40" i="32" s="1"/>
  <c r="B41" i="70"/>
  <c r="F41" i="70"/>
  <c r="H41" i="70" s="1"/>
  <c r="F31" i="89"/>
  <c r="G31" i="89" s="1"/>
  <c r="B31" i="89"/>
  <c r="G34" i="62"/>
  <c r="I34" i="62" s="1"/>
  <c r="F33" i="78"/>
  <c r="B33" i="78"/>
  <c r="E40" i="3"/>
  <c r="D40" i="3"/>
  <c r="I35" i="54"/>
  <c r="G31" i="83"/>
  <c r="G41" i="69"/>
  <c r="G35" i="56"/>
  <c r="I35" i="56" s="1"/>
  <c r="D36" i="56"/>
  <c r="E36" i="56"/>
  <c r="H35" i="64"/>
  <c r="G40" i="30"/>
  <c r="G34" i="68"/>
  <c r="H40" i="34"/>
  <c r="H42" i="28"/>
  <c r="I42" i="28" s="1"/>
  <c r="D42" i="31"/>
  <c r="E42" i="31"/>
  <c r="B33" i="77"/>
  <c r="F33" i="77"/>
  <c r="G33" i="77" s="1"/>
  <c r="F40" i="18"/>
  <c r="B40" i="18"/>
  <c r="D39" i="20"/>
  <c r="E39" i="20"/>
  <c r="D32" i="87"/>
  <c r="E32" i="87"/>
  <c r="B35" i="59"/>
  <c r="F35" i="59"/>
  <c r="H35" i="59" s="1"/>
  <c r="E35" i="62"/>
  <c r="D35" i="62"/>
  <c r="G31" i="87"/>
  <c r="I31" i="87" s="1"/>
  <c r="B46" i="35"/>
  <c r="G45" i="35"/>
  <c r="H45" i="35"/>
  <c r="E46" i="35"/>
  <c r="F46" i="35" s="1"/>
  <c r="J126" i="35"/>
  <c r="J109" i="33"/>
  <c r="G111" i="25"/>
  <c r="D112" i="25"/>
  <c r="E112" i="25" s="1"/>
  <c r="I127" i="35"/>
  <c r="H127" i="35"/>
  <c r="G128" i="35"/>
  <c r="B129" i="35"/>
  <c r="E129" i="35"/>
  <c r="F129" i="35" s="1"/>
  <c r="G110" i="33"/>
  <c r="D111" i="33"/>
  <c r="E111" i="33" s="1"/>
  <c r="J110" i="25"/>
  <c r="J110" i="100" l="1"/>
  <c r="D30" i="102"/>
  <c r="E30" i="102"/>
  <c r="G29" i="102"/>
  <c r="H29" i="102"/>
  <c r="E39" i="101"/>
  <c r="F39" i="101" s="1"/>
  <c r="B39" i="101"/>
  <c r="D112" i="100"/>
  <c r="B112" i="100" s="1"/>
  <c r="G111" i="100"/>
  <c r="N6" i="33"/>
  <c r="F44" i="100"/>
  <c r="B44" i="100"/>
  <c r="G44" i="100"/>
  <c r="H44" i="100"/>
  <c r="G39" i="19"/>
  <c r="H39" i="19"/>
  <c r="E40" i="19"/>
  <c r="F40" i="19" s="1"/>
  <c r="G40" i="19" s="1"/>
  <c r="F39" i="43"/>
  <c r="G39" i="43" s="1"/>
  <c r="H30" i="95"/>
  <c r="I30" i="95" s="1"/>
  <c r="E31" i="95"/>
  <c r="D31" i="95"/>
  <c r="F33" i="80"/>
  <c r="G33" i="80" s="1"/>
  <c r="D33" i="33"/>
  <c r="B33" i="33" s="1"/>
  <c r="I29" i="13"/>
  <c r="E30" i="13"/>
  <c r="F30" i="13" s="1"/>
  <c r="B30" i="13"/>
  <c r="G32" i="33"/>
  <c r="I32" i="33" s="1"/>
  <c r="G34" i="97"/>
  <c r="H34" i="97"/>
  <c r="E35" i="97"/>
  <c r="F35" i="97" s="1"/>
  <c r="H35" i="97" s="1"/>
  <c r="G31" i="98"/>
  <c r="I31" i="98" s="1"/>
  <c r="F33" i="99"/>
  <c r="D34" i="99" s="1"/>
  <c r="B33" i="99"/>
  <c r="G31" i="94"/>
  <c r="I31" i="94" s="1"/>
  <c r="D32" i="98"/>
  <c r="E32" i="98"/>
  <c r="I30" i="26"/>
  <c r="G30" i="96"/>
  <c r="I30" i="96" s="1"/>
  <c r="G36" i="54"/>
  <c r="I36" i="54" s="1"/>
  <c r="G39" i="41"/>
  <c r="I39" i="41" s="1"/>
  <c r="E112" i="26"/>
  <c r="F112" i="26" s="1"/>
  <c r="B112" i="26"/>
  <c r="H111" i="26"/>
  <c r="I111" i="26"/>
  <c r="G30" i="93"/>
  <c r="I30" i="93" s="1"/>
  <c r="G33" i="90"/>
  <c r="I33" i="90" s="1"/>
  <c r="G35" i="67"/>
  <c r="I35" i="67" s="1"/>
  <c r="D36" i="67"/>
  <c r="E36" i="67"/>
  <c r="G35" i="66"/>
  <c r="I35" i="66" s="1"/>
  <c r="H36" i="46"/>
  <c r="I36" i="46" s="1"/>
  <c r="E37" i="46"/>
  <c r="D37" i="46"/>
  <c r="G40" i="24"/>
  <c r="I40" i="24" s="1"/>
  <c r="E41" i="24"/>
  <c r="D41" i="24"/>
  <c r="B33" i="86"/>
  <c r="F33" i="86"/>
  <c r="F34" i="82"/>
  <c r="B34" i="82"/>
  <c r="H33" i="77"/>
  <c r="I33" i="77" s="1"/>
  <c r="I31" i="33"/>
  <c r="H35" i="61"/>
  <c r="I35" i="61" s="1"/>
  <c r="I32" i="86"/>
  <c r="H38" i="44"/>
  <c r="I38" i="44" s="1"/>
  <c r="E31" i="93"/>
  <c r="D31" i="93"/>
  <c r="E32" i="94"/>
  <c r="D32" i="94"/>
  <c r="B35" i="65"/>
  <c r="F35" i="65"/>
  <c r="D42" i="23"/>
  <c r="E42" i="23"/>
  <c r="H41" i="23"/>
  <c r="G32" i="91"/>
  <c r="D33" i="91"/>
  <c r="E33" i="91"/>
  <c r="G32" i="84"/>
  <c r="I32" i="84" s="1"/>
  <c r="E33" i="84"/>
  <c r="D33" i="84"/>
  <c r="G41" i="23"/>
  <c r="B38" i="55"/>
  <c r="F38" i="55"/>
  <c r="G38" i="55" s="1"/>
  <c r="B38" i="58"/>
  <c r="F38" i="58"/>
  <c r="I33" i="75"/>
  <c r="H32" i="91"/>
  <c r="D36" i="66"/>
  <c r="E36" i="66"/>
  <c r="H35" i="60"/>
  <c r="I35" i="60" s="1"/>
  <c r="I37" i="58"/>
  <c r="G36" i="53"/>
  <c r="I36" i="53" s="1"/>
  <c r="D37" i="53"/>
  <c r="E37" i="53"/>
  <c r="E34" i="90"/>
  <c r="D34" i="90"/>
  <c r="F39" i="42"/>
  <c r="G39" i="42" s="1"/>
  <c r="B39" i="42"/>
  <c r="F34" i="75"/>
  <c r="G34" i="75" s="1"/>
  <c r="B34" i="75"/>
  <c r="B33" i="85"/>
  <c r="F33" i="85"/>
  <c r="G33" i="85" s="1"/>
  <c r="H32" i="81"/>
  <c r="D33" i="81"/>
  <c r="E33" i="81"/>
  <c r="F37" i="72"/>
  <c r="G37" i="72" s="1"/>
  <c r="B37" i="72"/>
  <c r="H40" i="32"/>
  <c r="I40" i="32" s="1"/>
  <c r="D31" i="96"/>
  <c r="E31" i="96"/>
  <c r="H41" i="27"/>
  <c r="I41" i="27" s="1"/>
  <c r="D42" i="27"/>
  <c r="E42" i="27"/>
  <c r="D36" i="61"/>
  <c r="E36" i="61"/>
  <c r="G39" i="22"/>
  <c r="I39" i="22" s="1"/>
  <c r="E40" i="22"/>
  <c r="D40" i="22"/>
  <c r="G33" i="76"/>
  <c r="I33" i="76" s="1"/>
  <c r="E34" i="76"/>
  <c r="D34" i="76"/>
  <c r="D39" i="44"/>
  <c r="E39" i="44"/>
  <c r="G32" i="81"/>
  <c r="I36" i="72"/>
  <c r="F39" i="39"/>
  <c r="H39" i="39" s="1"/>
  <c r="B39" i="39"/>
  <c r="I45" i="35"/>
  <c r="I40" i="34"/>
  <c r="B42" i="69"/>
  <c r="F42" i="69"/>
  <c r="G42" i="69" s="1"/>
  <c r="B32" i="25"/>
  <c r="I40" i="30"/>
  <c r="D36" i="60"/>
  <c r="E36" i="60"/>
  <c r="G39" i="21"/>
  <c r="I39" i="21" s="1"/>
  <c r="E40" i="21"/>
  <c r="D40" i="21"/>
  <c r="D37" i="54"/>
  <c r="E37" i="54"/>
  <c r="G41" i="29"/>
  <c r="I41" i="29" s="1"/>
  <c r="D42" i="29"/>
  <c r="E42" i="29"/>
  <c r="I41" i="69"/>
  <c r="H33" i="79"/>
  <c r="I33" i="79" s="1"/>
  <c r="E34" i="79"/>
  <c r="D34" i="79"/>
  <c r="E36" i="63"/>
  <c r="D36" i="63"/>
  <c r="I31" i="25"/>
  <c r="F36" i="64"/>
  <c r="H36" i="64" s="1"/>
  <c r="B36" i="64"/>
  <c r="D39" i="74"/>
  <c r="E39" i="74"/>
  <c r="E40" i="17"/>
  <c r="D40" i="17"/>
  <c r="D34" i="78"/>
  <c r="E34" i="78"/>
  <c r="E31" i="26"/>
  <c r="F31" i="26" s="1"/>
  <c r="D32" i="26" s="1"/>
  <c r="B32" i="26" s="1"/>
  <c r="B31" i="26"/>
  <c r="F42" i="31"/>
  <c r="H42" i="31" s="1"/>
  <c r="B42" i="31"/>
  <c r="I35" i="64"/>
  <c r="B36" i="56"/>
  <c r="F36" i="56"/>
  <c r="G36" i="56" s="1"/>
  <c r="H33" i="78"/>
  <c r="H31" i="89"/>
  <c r="I31" i="89" s="1"/>
  <c r="E32" i="89"/>
  <c r="D32" i="89"/>
  <c r="B40" i="19"/>
  <c r="D41" i="32"/>
  <c r="E41" i="32"/>
  <c r="D32" i="92"/>
  <c r="E32" i="92"/>
  <c r="B43" i="28"/>
  <c r="F43" i="28"/>
  <c r="G43" i="28" s="1"/>
  <c r="I31" i="83"/>
  <c r="B32" i="83"/>
  <c r="F32" i="83"/>
  <c r="H32" i="83" s="1"/>
  <c r="B35" i="68"/>
  <c r="F35" i="68"/>
  <c r="H35" i="68" s="1"/>
  <c r="D39" i="73"/>
  <c r="G38" i="73"/>
  <c r="I38" i="73" s="1"/>
  <c r="E39" i="73"/>
  <c r="F41" i="30"/>
  <c r="B41" i="30"/>
  <c r="B33" i="88"/>
  <c r="F33" i="88"/>
  <c r="H33" i="88" s="1"/>
  <c r="F40" i="3"/>
  <c r="B40" i="3"/>
  <c r="E42" i="70"/>
  <c r="D42" i="70"/>
  <c r="B41" i="34"/>
  <c r="F41" i="34"/>
  <c r="G41" i="34" s="1"/>
  <c r="D37" i="57"/>
  <c r="E37" i="57"/>
  <c r="E34" i="77"/>
  <c r="D34" i="77"/>
  <c r="G33" i="78"/>
  <c r="G41" i="70"/>
  <c r="I41" i="70" s="1"/>
  <c r="F41" i="71"/>
  <c r="B41" i="71"/>
  <c r="G31" i="92"/>
  <c r="I31" i="92" s="1"/>
  <c r="I34" i="68"/>
  <c r="G35" i="63"/>
  <c r="I35" i="63" s="1"/>
  <c r="B38" i="45"/>
  <c r="F38" i="45"/>
  <c r="H38" i="45" s="1"/>
  <c r="E40" i="41"/>
  <c r="D40" i="41"/>
  <c r="E32" i="25"/>
  <c r="F32" i="25" s="1"/>
  <c r="G36" i="57"/>
  <c r="I36" i="57" s="1"/>
  <c r="G38" i="74"/>
  <c r="I38" i="74" s="1"/>
  <c r="G39" i="17"/>
  <c r="I39" i="17" s="1"/>
  <c r="I32" i="88"/>
  <c r="F32" i="87"/>
  <c r="B32" i="87"/>
  <c r="E41" i="18"/>
  <c r="D41" i="18"/>
  <c r="E47" i="35"/>
  <c r="F47" i="35" s="1"/>
  <c r="G46" i="35"/>
  <c r="B47" i="35"/>
  <c r="H46" i="35"/>
  <c r="F39" i="20"/>
  <c r="B39" i="20"/>
  <c r="G40" i="18"/>
  <c r="D36" i="59"/>
  <c r="E36" i="59"/>
  <c r="B35" i="62"/>
  <c r="F35" i="62"/>
  <c r="G35" i="62" s="1"/>
  <c r="G35" i="59"/>
  <c r="I35" i="59" s="1"/>
  <c r="H40" i="18"/>
  <c r="J127" i="35"/>
  <c r="F111" i="33"/>
  <c r="B111" i="33"/>
  <c r="B130" i="35"/>
  <c r="E130" i="35"/>
  <c r="F130" i="35" s="1"/>
  <c r="G129" i="35"/>
  <c r="H110" i="33"/>
  <c r="I110" i="33"/>
  <c r="B112" i="25"/>
  <c r="F112" i="25"/>
  <c r="I128" i="35"/>
  <c r="H128" i="35"/>
  <c r="I111" i="25"/>
  <c r="H111" i="25"/>
  <c r="E112" i="100" l="1"/>
  <c r="F112" i="100" s="1"/>
  <c r="D113" i="100" s="1"/>
  <c r="E113" i="100" s="1"/>
  <c r="I29" i="102"/>
  <c r="H39" i="101"/>
  <c r="D40" i="101"/>
  <c r="G39" i="101"/>
  <c r="B30" i="102"/>
  <c r="F30" i="102"/>
  <c r="G30" i="102" s="1"/>
  <c r="H111" i="100"/>
  <c r="I111" i="100"/>
  <c r="I44" i="100"/>
  <c r="D45" i="100"/>
  <c r="E45" i="100"/>
  <c r="N5" i="33"/>
  <c r="N7" i="33" s="1"/>
  <c r="H39" i="43"/>
  <c r="I39" i="43" s="1"/>
  <c r="E40" i="43"/>
  <c r="I39" i="19"/>
  <c r="D40" i="43"/>
  <c r="F31" i="95"/>
  <c r="H31" i="95" s="1"/>
  <c r="B31" i="95"/>
  <c r="D34" i="80"/>
  <c r="B34" i="80" s="1"/>
  <c r="E34" i="80"/>
  <c r="H33" i="80"/>
  <c r="I33" i="80" s="1"/>
  <c r="E33" i="33"/>
  <c r="F33" i="33" s="1"/>
  <c r="G33" i="33" s="1"/>
  <c r="D31" i="13"/>
  <c r="H30" i="13"/>
  <c r="G30" i="13"/>
  <c r="I34" i="97"/>
  <c r="D36" i="97"/>
  <c r="B36" i="97" s="1"/>
  <c r="G35" i="97"/>
  <c r="I35" i="97" s="1"/>
  <c r="E34" i="99"/>
  <c r="F34" i="99" s="1"/>
  <c r="D35" i="99" s="1"/>
  <c r="B34" i="99"/>
  <c r="H33" i="99"/>
  <c r="G33" i="99"/>
  <c r="B32" i="98"/>
  <c r="F32" i="98"/>
  <c r="G32" i="98" s="1"/>
  <c r="E36" i="97"/>
  <c r="H36" i="56"/>
  <c r="I36" i="56" s="1"/>
  <c r="J111" i="26"/>
  <c r="D113" i="26"/>
  <c r="G112" i="26"/>
  <c r="H34" i="75"/>
  <c r="I34" i="75" s="1"/>
  <c r="B36" i="67"/>
  <c r="F36" i="67"/>
  <c r="G36" i="67" s="1"/>
  <c r="H35" i="62"/>
  <c r="I35" i="62" s="1"/>
  <c r="F37" i="46"/>
  <c r="G37" i="46" s="1"/>
  <c r="B37" i="46"/>
  <c r="B41" i="24"/>
  <c r="F41" i="24"/>
  <c r="G41" i="24" s="1"/>
  <c r="G34" i="82"/>
  <c r="D35" i="82"/>
  <c r="E35" i="82"/>
  <c r="F32" i="94"/>
  <c r="G32" i="94" s="1"/>
  <c r="B32" i="94"/>
  <c r="G33" i="86"/>
  <c r="H33" i="86"/>
  <c r="D34" i="86"/>
  <c r="E34" i="86"/>
  <c r="H34" i="82"/>
  <c r="B31" i="93"/>
  <c r="F31" i="93"/>
  <c r="F36" i="66"/>
  <c r="H36" i="66" s="1"/>
  <c r="B36" i="66"/>
  <c r="F33" i="84"/>
  <c r="G33" i="84" s="1"/>
  <c r="B33" i="84"/>
  <c r="E36" i="65"/>
  <c r="D36" i="65"/>
  <c r="H39" i="42"/>
  <c r="I39" i="42" s="1"/>
  <c r="D40" i="42"/>
  <c r="E40" i="42"/>
  <c r="F37" i="53"/>
  <c r="G37" i="53" s="1"/>
  <c r="B37" i="53"/>
  <c r="I32" i="91"/>
  <c r="B42" i="23"/>
  <c r="F42" i="23"/>
  <c r="H42" i="23" s="1"/>
  <c r="E35" i="75"/>
  <c r="D35" i="75"/>
  <c r="F34" i="90"/>
  <c r="G34" i="90" s="1"/>
  <c r="B34" i="90"/>
  <c r="H38" i="55"/>
  <c r="I38" i="55" s="1"/>
  <c r="D39" i="55"/>
  <c r="E39" i="55"/>
  <c r="I41" i="23"/>
  <c r="G35" i="65"/>
  <c r="B33" i="91"/>
  <c r="F33" i="91"/>
  <c r="H38" i="58"/>
  <c r="E39" i="58"/>
  <c r="G38" i="58"/>
  <c r="D39" i="58"/>
  <c r="H35" i="65"/>
  <c r="D33" i="25"/>
  <c r="B33" i="25" s="1"/>
  <c r="H32" i="25"/>
  <c r="B34" i="76"/>
  <c r="F34" i="76"/>
  <c r="H34" i="76" s="1"/>
  <c r="F40" i="22"/>
  <c r="G40" i="22" s="1"/>
  <c r="B40" i="22"/>
  <c r="B33" i="81"/>
  <c r="F33" i="81"/>
  <c r="G33" i="81" s="1"/>
  <c r="I40" i="18"/>
  <c r="B31" i="96"/>
  <c r="F31" i="96"/>
  <c r="H31" i="96" s="1"/>
  <c r="D38" i="72"/>
  <c r="E38" i="72"/>
  <c r="I32" i="81"/>
  <c r="G39" i="39"/>
  <c r="I39" i="39" s="1"/>
  <c r="E40" i="39"/>
  <c r="D40" i="39"/>
  <c r="B42" i="27"/>
  <c r="F42" i="27"/>
  <c r="B39" i="44"/>
  <c r="F39" i="44"/>
  <c r="G39" i="44" s="1"/>
  <c r="F36" i="61"/>
  <c r="G36" i="61" s="1"/>
  <c r="B36" i="61"/>
  <c r="H37" i="72"/>
  <c r="I37" i="72" s="1"/>
  <c r="H33" i="85"/>
  <c r="I33" i="85" s="1"/>
  <c r="E34" i="85"/>
  <c r="D34" i="85"/>
  <c r="B37" i="57"/>
  <c r="F37" i="57"/>
  <c r="H37" i="57" s="1"/>
  <c r="H40" i="3"/>
  <c r="E41" i="3"/>
  <c r="D41" i="3"/>
  <c r="B34" i="79"/>
  <c r="F34" i="79"/>
  <c r="G34" i="79" s="1"/>
  <c r="E42" i="71"/>
  <c r="D42" i="71"/>
  <c r="D42" i="30"/>
  <c r="E42" i="30"/>
  <c r="G35" i="68"/>
  <c r="I35" i="68" s="1"/>
  <c r="D36" i="68"/>
  <c r="E36" i="68"/>
  <c r="G32" i="83"/>
  <c r="I32" i="83" s="1"/>
  <c r="E33" i="83"/>
  <c r="D33" i="83"/>
  <c r="D44" i="28"/>
  <c r="E44" i="28" s="1"/>
  <c r="B32" i="92"/>
  <c r="F32" i="92"/>
  <c r="G32" i="92" s="1"/>
  <c r="G42" i="31"/>
  <c r="I42" i="31" s="1"/>
  <c r="F34" i="78"/>
  <c r="G34" i="78" s="1"/>
  <c r="B34" i="78"/>
  <c r="F39" i="74"/>
  <c r="G39" i="74" s="1"/>
  <c r="B39" i="74"/>
  <c r="F42" i="29"/>
  <c r="G42" i="29" s="1"/>
  <c r="B42" i="29"/>
  <c r="B40" i="21"/>
  <c r="F40" i="21"/>
  <c r="F36" i="60"/>
  <c r="H36" i="60" s="1"/>
  <c r="B36" i="60"/>
  <c r="B37" i="54"/>
  <c r="F37" i="54"/>
  <c r="H37" i="54" s="1"/>
  <c r="E32" i="26"/>
  <c r="F32" i="26" s="1"/>
  <c r="G32" i="26" s="1"/>
  <c r="H41" i="71"/>
  <c r="E42" i="34"/>
  <c r="D42" i="34"/>
  <c r="G40" i="3"/>
  <c r="E34" i="88"/>
  <c r="D34" i="88"/>
  <c r="G41" i="30"/>
  <c r="B39" i="73"/>
  <c r="F39" i="73"/>
  <c r="H40" i="19"/>
  <c r="I40" i="19" s="1"/>
  <c r="E41" i="19"/>
  <c r="D41" i="19"/>
  <c r="C49" i="17"/>
  <c r="B40" i="17"/>
  <c r="F40" i="17"/>
  <c r="F36" i="63"/>
  <c r="G36" i="63" s="1"/>
  <c r="B36" i="63"/>
  <c r="G32" i="25"/>
  <c r="G31" i="26"/>
  <c r="B40" i="41"/>
  <c r="F40" i="41"/>
  <c r="G40" i="41" s="1"/>
  <c r="F34" i="77"/>
  <c r="B34" i="77"/>
  <c r="B42" i="70"/>
  <c r="F42" i="70"/>
  <c r="G42" i="70" s="1"/>
  <c r="E43" i="31"/>
  <c r="D43" i="31"/>
  <c r="G36" i="64"/>
  <c r="I36" i="64" s="1"/>
  <c r="E37" i="64"/>
  <c r="D37" i="64"/>
  <c r="I46" i="35"/>
  <c r="G38" i="45"/>
  <c r="I38" i="45" s="1"/>
  <c r="E39" i="45"/>
  <c r="D39" i="45"/>
  <c r="G41" i="71"/>
  <c r="H41" i="34"/>
  <c r="I41" i="34" s="1"/>
  <c r="G33" i="88"/>
  <c r="I33" i="88" s="1"/>
  <c r="H41" i="30"/>
  <c r="H43" i="28"/>
  <c r="I43" i="28" s="1"/>
  <c r="F41" i="32"/>
  <c r="G41" i="32" s="1"/>
  <c r="B41" i="32"/>
  <c r="B32" i="89"/>
  <c r="F32" i="89"/>
  <c r="H32" i="89" s="1"/>
  <c r="I33" i="78"/>
  <c r="D37" i="56"/>
  <c r="E37" i="56"/>
  <c r="H31" i="26"/>
  <c r="H42" i="69"/>
  <c r="I42" i="69" s="1"/>
  <c r="D43" i="69"/>
  <c r="E43" i="69"/>
  <c r="E40" i="20"/>
  <c r="D40" i="20"/>
  <c r="H47" i="35"/>
  <c r="G47" i="35"/>
  <c r="E48" i="35"/>
  <c r="F48" i="35" s="1"/>
  <c r="B48" i="35"/>
  <c r="D33" i="87"/>
  <c r="E33" i="87"/>
  <c r="J110" i="33"/>
  <c r="E36" i="62"/>
  <c r="D36" i="62"/>
  <c r="G39" i="20"/>
  <c r="F41" i="18"/>
  <c r="H41" i="18" s="1"/>
  <c r="B41" i="18"/>
  <c r="H32" i="87"/>
  <c r="B36" i="59"/>
  <c r="F36" i="59"/>
  <c r="H39" i="20"/>
  <c r="G32" i="87"/>
  <c r="D113" i="25"/>
  <c r="E113" i="25" s="1"/>
  <c r="G112" i="25"/>
  <c r="J111" i="25"/>
  <c r="J128" i="35"/>
  <c r="I129" i="35"/>
  <c r="H129" i="35"/>
  <c r="G130" i="35"/>
  <c r="E131" i="35"/>
  <c r="F131" i="35" s="1"/>
  <c r="B131" i="35"/>
  <c r="D112" i="33"/>
  <c r="E112" i="33" s="1"/>
  <c r="G111" i="33"/>
  <c r="F35" i="36"/>
  <c r="G112" i="100" l="1"/>
  <c r="I112" i="100" s="1"/>
  <c r="J111" i="100"/>
  <c r="H30" i="102"/>
  <c r="I30" i="102" s="1"/>
  <c r="D31" i="102"/>
  <c r="E31" i="102"/>
  <c r="E40" i="101"/>
  <c r="F40" i="101" s="1"/>
  <c r="H40" i="101" s="1"/>
  <c r="B40" i="101"/>
  <c r="I39" i="101"/>
  <c r="B113" i="100"/>
  <c r="F113" i="100"/>
  <c r="H112" i="100"/>
  <c r="B45" i="100"/>
  <c r="F45" i="100"/>
  <c r="G45" i="100" s="1"/>
  <c r="G35" i="36"/>
  <c r="F40" i="43"/>
  <c r="G40" i="43" s="1"/>
  <c r="B40" i="43"/>
  <c r="E32" i="95"/>
  <c r="D32" i="95"/>
  <c r="G31" i="95"/>
  <c r="I31" i="95" s="1"/>
  <c r="F34" i="80"/>
  <c r="H34" i="80" s="1"/>
  <c r="H33" i="33"/>
  <c r="I33" i="33" s="1"/>
  <c r="D34" i="33"/>
  <c r="B34" i="33" s="1"/>
  <c r="I30" i="13"/>
  <c r="E31" i="13"/>
  <c r="F31" i="13" s="1"/>
  <c r="B31" i="13"/>
  <c r="F36" i="97"/>
  <c r="G36" i="97" s="1"/>
  <c r="H32" i="26"/>
  <c r="G34" i="99"/>
  <c r="I32" i="25"/>
  <c r="H32" i="98"/>
  <c r="I32" i="98" s="1"/>
  <c r="I33" i="99"/>
  <c r="E35" i="99"/>
  <c r="F35" i="99" s="1"/>
  <c r="B35" i="99"/>
  <c r="D33" i="98"/>
  <c r="E33" i="98"/>
  <c r="H34" i="99"/>
  <c r="I31" i="26"/>
  <c r="I40" i="3"/>
  <c r="H34" i="90"/>
  <c r="I34" i="90" s="1"/>
  <c r="G36" i="66"/>
  <c r="I36" i="66" s="1"/>
  <c r="I35" i="65"/>
  <c r="I112" i="26"/>
  <c r="H112" i="26"/>
  <c r="E113" i="26"/>
  <c r="F113" i="26" s="1"/>
  <c r="B113" i="26"/>
  <c r="I34" i="82"/>
  <c r="H34" i="78"/>
  <c r="I34" i="78" s="1"/>
  <c r="H36" i="67"/>
  <c r="I36" i="67" s="1"/>
  <c r="E37" i="67"/>
  <c r="D37" i="67"/>
  <c r="H37" i="46"/>
  <c r="I37" i="46" s="1"/>
  <c r="D38" i="46"/>
  <c r="E38" i="46"/>
  <c r="H41" i="24"/>
  <c r="I41" i="24" s="1"/>
  <c r="D42" i="24"/>
  <c r="E42" i="24"/>
  <c r="G32" i="89"/>
  <c r="I32" i="89" s="1"/>
  <c r="E32" i="93"/>
  <c r="D32" i="93"/>
  <c r="E33" i="25"/>
  <c r="F33" i="25" s="1"/>
  <c r="H31" i="93"/>
  <c r="F34" i="86"/>
  <c r="B34" i="86"/>
  <c r="D33" i="94"/>
  <c r="E33" i="94"/>
  <c r="F35" i="82"/>
  <c r="H35" i="82" s="1"/>
  <c r="B35" i="82"/>
  <c r="H42" i="29"/>
  <c r="I42" i="29" s="1"/>
  <c r="G34" i="76"/>
  <c r="I34" i="76" s="1"/>
  <c r="G31" i="93"/>
  <c r="I33" i="86"/>
  <c r="H32" i="94"/>
  <c r="I32" i="94" s="1"/>
  <c r="H36" i="63"/>
  <c r="I36" i="63" s="1"/>
  <c r="G33" i="91"/>
  <c r="D34" i="91"/>
  <c r="E34" i="91"/>
  <c r="B39" i="55"/>
  <c r="F39" i="55"/>
  <c r="G39" i="55" s="1"/>
  <c r="G42" i="23"/>
  <c r="I42" i="23" s="1"/>
  <c r="D43" i="23"/>
  <c r="E43" i="23"/>
  <c r="F40" i="42"/>
  <c r="G40" i="42" s="1"/>
  <c r="B40" i="42"/>
  <c r="F39" i="58"/>
  <c r="B39" i="58"/>
  <c r="H33" i="91"/>
  <c r="E35" i="90"/>
  <c r="D35" i="90"/>
  <c r="H40" i="41"/>
  <c r="I40" i="41" s="1"/>
  <c r="H40" i="22"/>
  <c r="I40" i="22" s="1"/>
  <c r="I38" i="58"/>
  <c r="B35" i="75"/>
  <c r="F35" i="75"/>
  <c r="H37" i="53"/>
  <c r="I37" i="53" s="1"/>
  <c r="E38" i="53"/>
  <c r="D38" i="53"/>
  <c r="B36" i="65"/>
  <c r="F36" i="65"/>
  <c r="H33" i="84"/>
  <c r="I33" i="84" s="1"/>
  <c r="D34" i="84"/>
  <c r="E34" i="84"/>
  <c r="E37" i="66"/>
  <c r="D37" i="66"/>
  <c r="B34" i="85"/>
  <c r="F34" i="85"/>
  <c r="H36" i="61"/>
  <c r="I36" i="61" s="1"/>
  <c r="D37" i="61"/>
  <c r="E37" i="61"/>
  <c r="H39" i="44"/>
  <c r="I39" i="44" s="1"/>
  <c r="G42" i="27"/>
  <c r="E43" i="27"/>
  <c r="H42" i="27"/>
  <c r="D43" i="27"/>
  <c r="B40" i="39"/>
  <c r="F40" i="39"/>
  <c r="G40" i="39" s="1"/>
  <c r="H41" i="32"/>
  <c r="I41" i="32" s="1"/>
  <c r="G31" i="96"/>
  <c r="I31" i="96" s="1"/>
  <c r="H33" i="81"/>
  <c r="I33" i="81" s="1"/>
  <c r="E34" i="81"/>
  <c r="D34" i="81"/>
  <c r="E35" i="76"/>
  <c r="D35" i="76"/>
  <c r="E40" i="44"/>
  <c r="D40" i="44"/>
  <c r="B38" i="72"/>
  <c r="F38" i="72"/>
  <c r="H38" i="72" s="1"/>
  <c r="D41" i="22"/>
  <c r="E41" i="22"/>
  <c r="E32" i="96"/>
  <c r="D32" i="96"/>
  <c r="I39" i="20"/>
  <c r="H40" i="17"/>
  <c r="D41" i="17"/>
  <c r="E41" i="17"/>
  <c r="E41" i="21"/>
  <c r="D41" i="21"/>
  <c r="F43" i="31"/>
  <c r="H43" i="31" s="1"/>
  <c r="B43" i="31"/>
  <c r="E35" i="77"/>
  <c r="D35" i="77"/>
  <c r="B41" i="19"/>
  <c r="F41" i="19"/>
  <c r="H41" i="19" s="1"/>
  <c r="B42" i="34"/>
  <c r="F42" i="34"/>
  <c r="I41" i="71"/>
  <c r="E38" i="54"/>
  <c r="D38" i="54"/>
  <c r="H40" i="21"/>
  <c r="H32" i="92"/>
  <c r="I32" i="92" s="1"/>
  <c r="E33" i="92"/>
  <c r="D33" i="92"/>
  <c r="B33" i="83"/>
  <c r="F33" i="83"/>
  <c r="G33" i="83" s="1"/>
  <c r="B42" i="30"/>
  <c r="F42" i="30"/>
  <c r="H42" i="30" s="1"/>
  <c r="F42" i="71"/>
  <c r="B42" i="71"/>
  <c r="D33" i="26"/>
  <c r="E33" i="26" s="1"/>
  <c r="E33" i="89"/>
  <c r="D33" i="89"/>
  <c r="I41" i="30"/>
  <c r="B37" i="64"/>
  <c r="F37" i="64"/>
  <c r="G37" i="64" s="1"/>
  <c r="G34" i="77"/>
  <c r="D41" i="41"/>
  <c r="E41" i="41"/>
  <c r="F34" i="88"/>
  <c r="B34" i="88"/>
  <c r="D43" i="29"/>
  <c r="E43" i="29"/>
  <c r="H39" i="74"/>
  <c r="I39" i="74" s="1"/>
  <c r="E40" i="74"/>
  <c r="D40" i="74"/>
  <c r="D35" i="78"/>
  <c r="E35" i="78"/>
  <c r="F36" i="68"/>
  <c r="B36" i="68"/>
  <c r="B39" i="45"/>
  <c r="F39" i="45"/>
  <c r="D43" i="70"/>
  <c r="E43" i="70"/>
  <c r="E35" i="79"/>
  <c r="D35" i="79"/>
  <c r="B43" i="69"/>
  <c r="F43" i="69"/>
  <c r="B37" i="56"/>
  <c r="F37" i="56"/>
  <c r="G37" i="56" s="1"/>
  <c r="E42" i="32"/>
  <c r="D42" i="32"/>
  <c r="H42" i="70"/>
  <c r="I42" i="70" s="1"/>
  <c r="H34" i="77"/>
  <c r="D37" i="63"/>
  <c r="E37" i="63"/>
  <c r="G40" i="17"/>
  <c r="H39" i="73"/>
  <c r="G39" i="73"/>
  <c r="D40" i="73"/>
  <c r="E40" i="73"/>
  <c r="G37" i="54"/>
  <c r="I37" i="54" s="1"/>
  <c r="G36" i="60"/>
  <c r="I36" i="60" s="1"/>
  <c r="E37" i="60"/>
  <c r="D37" i="60"/>
  <c r="G40" i="21"/>
  <c r="B44" i="28"/>
  <c r="F44" i="28"/>
  <c r="H34" i="79"/>
  <c r="I34" i="79" s="1"/>
  <c r="B41" i="3"/>
  <c r="F41" i="3"/>
  <c r="G41" i="3" s="1"/>
  <c r="G37" i="57"/>
  <c r="I37" i="57" s="1"/>
  <c r="D38" i="57"/>
  <c r="E38" i="57"/>
  <c r="J129" i="35"/>
  <c r="E37" i="59"/>
  <c r="D37" i="59"/>
  <c r="E42" i="18"/>
  <c r="D42" i="18"/>
  <c r="E49" i="35"/>
  <c r="F49" i="35" s="1"/>
  <c r="B49" i="35"/>
  <c r="H48" i="35"/>
  <c r="G48" i="35"/>
  <c r="F36" i="62"/>
  <c r="B36" i="62"/>
  <c r="B40" i="20"/>
  <c r="F40" i="20"/>
  <c r="G40" i="20" s="1"/>
  <c r="G36" i="59"/>
  <c r="I32" i="87"/>
  <c r="G41" i="18"/>
  <c r="I41" i="18" s="1"/>
  <c r="I47" i="35"/>
  <c r="H36" i="59"/>
  <c r="B33" i="87"/>
  <c r="F33" i="87"/>
  <c r="G33" i="87" s="1"/>
  <c r="H130" i="35"/>
  <c r="I130" i="35"/>
  <c r="I112" i="25"/>
  <c r="H112" i="25"/>
  <c r="I111" i="33"/>
  <c r="H111" i="33"/>
  <c r="F112" i="33"/>
  <c r="B112" i="33"/>
  <c r="B132" i="35"/>
  <c r="E132" i="35"/>
  <c r="F132" i="35" s="1"/>
  <c r="G131" i="35"/>
  <c r="B113" i="25"/>
  <c r="F113" i="25"/>
  <c r="F31" i="102" l="1"/>
  <c r="G40" i="101"/>
  <c r="I40" i="101" s="1"/>
  <c r="D41" i="101"/>
  <c r="D32" i="102"/>
  <c r="E32" i="102"/>
  <c r="B31" i="102"/>
  <c r="G31" i="102"/>
  <c r="H31" i="102"/>
  <c r="J112" i="100"/>
  <c r="G113" i="100"/>
  <c r="D114" i="100"/>
  <c r="B114" i="100" s="1"/>
  <c r="H45" i="100"/>
  <c r="I45" i="100" s="1"/>
  <c r="D46" i="100"/>
  <c r="E46" i="100"/>
  <c r="H40" i="43"/>
  <c r="I40" i="43" s="1"/>
  <c r="E41" i="43"/>
  <c r="D41" i="43"/>
  <c r="B41" i="43" s="1"/>
  <c r="E34" i="33"/>
  <c r="F34" i="33" s="1"/>
  <c r="H34" i="33" s="1"/>
  <c r="F32" i="95"/>
  <c r="H32" i="95" s="1"/>
  <c r="B32" i="95"/>
  <c r="E35" i="80"/>
  <c r="D35" i="80"/>
  <c r="G34" i="80"/>
  <c r="I34" i="80" s="1"/>
  <c r="D37" i="97"/>
  <c r="B37" i="97" s="1"/>
  <c r="I32" i="26"/>
  <c r="H31" i="13"/>
  <c r="G31" i="13"/>
  <c r="D32" i="13"/>
  <c r="H36" i="97"/>
  <c r="I36" i="97" s="1"/>
  <c r="B33" i="26"/>
  <c r="F33" i="26"/>
  <c r="G33" i="26" s="1"/>
  <c r="I34" i="99"/>
  <c r="D36" i="99"/>
  <c r="E36" i="99"/>
  <c r="H35" i="99"/>
  <c r="G35" i="99"/>
  <c r="F33" i="98"/>
  <c r="H33" i="98" s="1"/>
  <c r="B33" i="98"/>
  <c r="E37" i="97"/>
  <c r="G42" i="30"/>
  <c r="I42" i="30" s="1"/>
  <c r="J112" i="26"/>
  <c r="D114" i="26"/>
  <c r="G113" i="26"/>
  <c r="H33" i="83"/>
  <c r="I33" i="83" s="1"/>
  <c r="I34" i="77"/>
  <c r="F37" i="67"/>
  <c r="H37" i="67" s="1"/>
  <c r="B37" i="67"/>
  <c r="B38" i="46"/>
  <c r="F38" i="46"/>
  <c r="H38" i="46" s="1"/>
  <c r="B42" i="24"/>
  <c r="F42" i="24"/>
  <c r="H42" i="24" s="1"/>
  <c r="F32" i="93"/>
  <c r="H32" i="93" s="1"/>
  <c r="B32" i="93"/>
  <c r="H37" i="56"/>
  <c r="I37" i="56" s="1"/>
  <c r="D36" i="82"/>
  <c r="E36" i="82"/>
  <c r="H34" i="86"/>
  <c r="D35" i="86"/>
  <c r="G34" i="86"/>
  <c r="E35" i="86"/>
  <c r="G35" i="82"/>
  <c r="I35" i="82" s="1"/>
  <c r="I31" i="93"/>
  <c r="G38" i="72"/>
  <c r="I38" i="72" s="1"/>
  <c r="F33" i="94"/>
  <c r="H33" i="94" s="1"/>
  <c r="B33" i="94"/>
  <c r="G33" i="25"/>
  <c r="N5" i="25" s="1"/>
  <c r="D34" i="25"/>
  <c r="H33" i="25"/>
  <c r="N6" i="25" s="1"/>
  <c r="B34" i="84"/>
  <c r="F34" i="84"/>
  <c r="H34" i="84" s="1"/>
  <c r="H35" i="75"/>
  <c r="E36" i="75"/>
  <c r="D36" i="75"/>
  <c r="H39" i="58"/>
  <c r="D40" i="58"/>
  <c r="E40" i="58"/>
  <c r="F35" i="90"/>
  <c r="G35" i="90" s="1"/>
  <c r="B35" i="90"/>
  <c r="F37" i="66"/>
  <c r="H37" i="66" s="1"/>
  <c r="B37" i="66"/>
  <c r="B38" i="53"/>
  <c r="F38" i="53"/>
  <c r="I33" i="91"/>
  <c r="D41" i="42"/>
  <c r="E41" i="42"/>
  <c r="H36" i="65"/>
  <c r="E37" i="65"/>
  <c r="D37" i="65"/>
  <c r="F43" i="23"/>
  <c r="B43" i="23"/>
  <c r="I42" i="27"/>
  <c r="G36" i="65"/>
  <c r="G35" i="75"/>
  <c r="G39" i="58"/>
  <c r="H40" i="42"/>
  <c r="I40" i="42" s="1"/>
  <c r="H39" i="55"/>
  <c r="I39" i="55" s="1"/>
  <c r="D40" i="55"/>
  <c r="E40" i="55"/>
  <c r="F34" i="91"/>
  <c r="B34" i="91"/>
  <c r="I39" i="73"/>
  <c r="H37" i="64"/>
  <c r="I37" i="64" s="1"/>
  <c r="G41" i="19"/>
  <c r="I41" i="19" s="1"/>
  <c r="B43" i="27"/>
  <c r="F43" i="27"/>
  <c r="D35" i="85"/>
  <c r="E35" i="85"/>
  <c r="H40" i="20"/>
  <c r="I40" i="20" s="1"/>
  <c r="F32" i="96"/>
  <c r="B32" i="96"/>
  <c r="F34" i="81"/>
  <c r="H34" i="81" s="1"/>
  <c r="B34" i="81"/>
  <c r="D39" i="72"/>
  <c r="E39" i="72"/>
  <c r="H40" i="39"/>
  <c r="I40" i="39" s="1"/>
  <c r="D41" i="39"/>
  <c r="E41" i="39"/>
  <c r="F37" i="61"/>
  <c r="H37" i="61" s="1"/>
  <c r="B37" i="61"/>
  <c r="H34" i="85"/>
  <c r="F41" i="22"/>
  <c r="H41" i="22" s="1"/>
  <c r="B41" i="22"/>
  <c r="F40" i="44"/>
  <c r="H40" i="44" s="1"/>
  <c r="B40" i="44"/>
  <c r="B35" i="76"/>
  <c r="F35" i="76"/>
  <c r="G35" i="76" s="1"/>
  <c r="G34" i="85"/>
  <c r="I36" i="59"/>
  <c r="H44" i="28"/>
  <c r="D45" i="28"/>
  <c r="E45" i="28" s="1"/>
  <c r="F37" i="63"/>
  <c r="G37" i="63" s="1"/>
  <c r="B37" i="63"/>
  <c r="F42" i="32"/>
  <c r="H42" i="32" s="1"/>
  <c r="B42" i="32"/>
  <c r="D44" i="69"/>
  <c r="E44" i="69"/>
  <c r="E40" i="45"/>
  <c r="D40" i="45"/>
  <c r="H34" i="88"/>
  <c r="E35" i="88"/>
  <c r="D35" i="88"/>
  <c r="B38" i="54"/>
  <c r="F38" i="54"/>
  <c r="G38" i="54" s="1"/>
  <c r="F41" i="21"/>
  <c r="G41" i="21" s="1"/>
  <c r="B41" i="21"/>
  <c r="F41" i="17"/>
  <c r="G41" i="17" s="1"/>
  <c r="B41" i="17"/>
  <c r="C50" i="17"/>
  <c r="F38" i="57"/>
  <c r="G38" i="57" s="1"/>
  <c r="B38" i="57"/>
  <c r="D42" i="3"/>
  <c r="E42" i="3"/>
  <c r="E37" i="68"/>
  <c r="D37" i="68"/>
  <c r="B35" i="78"/>
  <c r="F35" i="78"/>
  <c r="G35" i="78" s="1"/>
  <c r="B33" i="89"/>
  <c r="F33" i="89"/>
  <c r="H33" i="89" s="1"/>
  <c r="D43" i="71"/>
  <c r="E43" i="71"/>
  <c r="I40" i="21"/>
  <c r="B35" i="77"/>
  <c r="F35" i="77"/>
  <c r="G35" i="77" s="1"/>
  <c r="I40" i="17"/>
  <c r="H33" i="87"/>
  <c r="I33" i="87" s="1"/>
  <c r="H43" i="69"/>
  <c r="B35" i="79"/>
  <c r="F35" i="79"/>
  <c r="G39" i="45"/>
  <c r="G36" i="68"/>
  <c r="B40" i="74"/>
  <c r="F40" i="74"/>
  <c r="G40" i="74" s="1"/>
  <c r="F43" i="29"/>
  <c r="H43" i="29" s="1"/>
  <c r="B43" i="29"/>
  <c r="G34" i="88"/>
  <c r="B41" i="41"/>
  <c r="F41" i="41"/>
  <c r="G41" i="41" s="1"/>
  <c r="E38" i="64"/>
  <c r="D38" i="64"/>
  <c r="H42" i="71"/>
  <c r="F33" i="92"/>
  <c r="B33" i="92"/>
  <c r="E42" i="19"/>
  <c r="D42" i="19"/>
  <c r="E44" i="31"/>
  <c r="D44" i="31"/>
  <c r="I48" i="35"/>
  <c r="H41" i="3"/>
  <c r="I41" i="3" s="1"/>
  <c r="G44" i="28"/>
  <c r="F37" i="60"/>
  <c r="B37" i="60"/>
  <c r="B40" i="73"/>
  <c r="F40" i="73"/>
  <c r="G40" i="73" s="1"/>
  <c r="D38" i="56"/>
  <c r="E38" i="56"/>
  <c r="G43" i="69"/>
  <c r="F43" i="70"/>
  <c r="B43" i="70"/>
  <c r="H39" i="45"/>
  <c r="H36" i="68"/>
  <c r="G42" i="71"/>
  <c r="E43" i="30"/>
  <c r="D43" i="30"/>
  <c r="E34" i="83"/>
  <c r="D34" i="83"/>
  <c r="G42" i="34"/>
  <c r="D43" i="34"/>
  <c r="H42" i="34"/>
  <c r="E43" i="34"/>
  <c r="G43" i="31"/>
  <c r="I43" i="31" s="1"/>
  <c r="E37" i="62"/>
  <c r="D37" i="62"/>
  <c r="B37" i="59"/>
  <c r="F37" i="59"/>
  <c r="H37" i="59" s="1"/>
  <c r="H36" i="62"/>
  <c r="G36" i="62"/>
  <c r="G49" i="35"/>
  <c r="H49" i="35"/>
  <c r="E50" i="35"/>
  <c r="F50" i="35" s="1"/>
  <c r="B50" i="35"/>
  <c r="F42" i="18"/>
  <c r="H42" i="18" s="1"/>
  <c r="B42" i="18"/>
  <c r="D34" i="87"/>
  <c r="E34" i="87"/>
  <c r="E41" i="20"/>
  <c r="D41" i="20"/>
  <c r="J112" i="25"/>
  <c r="J130" i="35"/>
  <c r="G113" i="25"/>
  <c r="D114" i="25"/>
  <c r="E114" i="25" s="1"/>
  <c r="E133" i="35"/>
  <c r="F133" i="35" s="1"/>
  <c r="G132" i="35"/>
  <c r="B133" i="35"/>
  <c r="G112" i="33"/>
  <c r="D113" i="33"/>
  <c r="E113" i="33" s="1"/>
  <c r="J111" i="33"/>
  <c r="H131" i="35"/>
  <c r="I131" i="35"/>
  <c r="I31" i="102" l="1"/>
  <c r="E114" i="100"/>
  <c r="F114" i="100" s="1"/>
  <c r="G114" i="100" s="1"/>
  <c r="B32" i="102"/>
  <c r="F32" i="102"/>
  <c r="G32" i="102" s="1"/>
  <c r="H32" i="102"/>
  <c r="E41" i="101"/>
  <c r="F41" i="101" s="1"/>
  <c r="H41" i="101" s="1"/>
  <c r="B41" i="101"/>
  <c r="H113" i="100"/>
  <c r="I113" i="100"/>
  <c r="B46" i="100"/>
  <c r="F46" i="100"/>
  <c r="G46" i="100" s="1"/>
  <c r="N7" i="25"/>
  <c r="F41" i="43"/>
  <c r="H41" i="43" s="1"/>
  <c r="G34" i="33"/>
  <c r="I34" i="33" s="1"/>
  <c r="D35" i="33"/>
  <c r="E35" i="33" s="1"/>
  <c r="F35" i="33" s="1"/>
  <c r="E33" i="95"/>
  <c r="D33" i="95"/>
  <c r="G32" i="95"/>
  <c r="I32" i="95" s="1"/>
  <c r="F35" i="80"/>
  <c r="G35" i="80" s="1"/>
  <c r="B35" i="80"/>
  <c r="F37" i="97"/>
  <c r="D38" i="97" s="1"/>
  <c r="B38" i="97" s="1"/>
  <c r="I31" i="13"/>
  <c r="B32" i="13"/>
  <c r="E32" i="13"/>
  <c r="F32" i="13" s="1"/>
  <c r="D34" i="26"/>
  <c r="B34" i="26" s="1"/>
  <c r="H33" i="26"/>
  <c r="G33" i="98"/>
  <c r="I33" i="98" s="1"/>
  <c r="I33" i="25"/>
  <c r="I35" i="99"/>
  <c r="D34" i="98"/>
  <c r="E34" i="98"/>
  <c r="F36" i="99"/>
  <c r="B36" i="99"/>
  <c r="I34" i="86"/>
  <c r="E114" i="26"/>
  <c r="F114" i="26" s="1"/>
  <c r="B114" i="26"/>
  <c r="I113" i="26"/>
  <c r="H113" i="26"/>
  <c r="H35" i="90"/>
  <c r="I35" i="90" s="1"/>
  <c r="G33" i="94"/>
  <c r="I33" i="94" s="1"/>
  <c r="G34" i="84"/>
  <c r="I34" i="84" s="1"/>
  <c r="G37" i="67"/>
  <c r="I37" i="67" s="1"/>
  <c r="E38" i="67"/>
  <c r="D38" i="67"/>
  <c r="G37" i="66"/>
  <c r="I37" i="66" s="1"/>
  <c r="G38" i="46"/>
  <c r="I38" i="46" s="1"/>
  <c r="E39" i="46"/>
  <c r="D39" i="46"/>
  <c r="I39" i="45"/>
  <c r="G42" i="24"/>
  <c r="I42" i="24" s="1"/>
  <c r="E43" i="24"/>
  <c r="D43" i="24"/>
  <c r="G41" i="22"/>
  <c r="I41" i="22" s="1"/>
  <c r="I36" i="65"/>
  <c r="H41" i="17"/>
  <c r="I41" i="17" s="1"/>
  <c r="I39" i="58"/>
  <c r="B36" i="82"/>
  <c r="F36" i="82"/>
  <c r="B34" i="25"/>
  <c r="E34" i="25"/>
  <c r="F34" i="25" s="1"/>
  <c r="B35" i="86"/>
  <c r="F35" i="86"/>
  <c r="G32" i="93"/>
  <c r="I32" i="93" s="1"/>
  <c r="D33" i="93"/>
  <c r="E33" i="93"/>
  <c r="G42" i="18"/>
  <c r="I42" i="18" s="1"/>
  <c r="D34" i="94"/>
  <c r="E34" i="94"/>
  <c r="H41" i="21"/>
  <c r="I41" i="21" s="1"/>
  <c r="H38" i="53"/>
  <c r="E39" i="53"/>
  <c r="D39" i="53"/>
  <c r="F36" i="75"/>
  <c r="G36" i="75" s="1"/>
  <c r="B36" i="75"/>
  <c r="D35" i="91"/>
  <c r="H34" i="91"/>
  <c r="E35" i="91"/>
  <c r="G34" i="91"/>
  <c r="B40" i="55"/>
  <c r="F40" i="55"/>
  <c r="G40" i="55" s="1"/>
  <c r="G43" i="23"/>
  <c r="D44" i="23"/>
  <c r="E44" i="23"/>
  <c r="H43" i="23"/>
  <c r="D38" i="66"/>
  <c r="E38" i="66"/>
  <c r="E35" i="84"/>
  <c r="D35" i="84"/>
  <c r="G37" i="59"/>
  <c r="I37" i="59" s="1"/>
  <c r="B37" i="65"/>
  <c r="F37" i="65"/>
  <c r="F41" i="42"/>
  <c r="B41" i="42"/>
  <c r="G38" i="53"/>
  <c r="D36" i="90"/>
  <c r="E36" i="90"/>
  <c r="F40" i="58"/>
  <c r="B40" i="58"/>
  <c r="I35" i="75"/>
  <c r="B39" i="72"/>
  <c r="F39" i="72"/>
  <c r="G39" i="72" s="1"/>
  <c r="H32" i="96"/>
  <c r="D33" i="96"/>
  <c r="E33" i="96"/>
  <c r="B35" i="85"/>
  <c r="F35" i="85"/>
  <c r="G35" i="85" s="1"/>
  <c r="G43" i="29"/>
  <c r="I43" i="29" s="1"/>
  <c r="G37" i="61"/>
  <c r="I37" i="61" s="1"/>
  <c r="B41" i="39"/>
  <c r="F41" i="39"/>
  <c r="G41" i="39" s="1"/>
  <c r="G43" i="27"/>
  <c r="D44" i="27"/>
  <c r="E44" i="27"/>
  <c r="H43" i="27"/>
  <c r="H35" i="76"/>
  <c r="I35" i="76" s="1"/>
  <c r="D36" i="76"/>
  <c r="E36" i="76"/>
  <c r="G40" i="44"/>
  <c r="I40" i="44" s="1"/>
  <c r="D41" i="44"/>
  <c r="E41" i="44"/>
  <c r="D42" i="22"/>
  <c r="E42" i="22"/>
  <c r="G34" i="81"/>
  <c r="I34" i="81" s="1"/>
  <c r="E35" i="81"/>
  <c r="D35" i="81"/>
  <c r="I34" i="85"/>
  <c r="D38" i="61"/>
  <c r="E38" i="61"/>
  <c r="G32" i="96"/>
  <c r="I44" i="28"/>
  <c r="I36" i="68"/>
  <c r="B43" i="34"/>
  <c r="F43" i="34"/>
  <c r="H43" i="34" s="1"/>
  <c r="F43" i="30"/>
  <c r="H43" i="30" s="1"/>
  <c r="B43" i="30"/>
  <c r="B38" i="56"/>
  <c r="F38" i="56"/>
  <c r="H38" i="56" s="1"/>
  <c r="F42" i="19"/>
  <c r="G42" i="19" s="1"/>
  <c r="B42" i="19"/>
  <c r="I42" i="71"/>
  <c r="H41" i="41"/>
  <c r="I41" i="41" s="1"/>
  <c r="E42" i="41"/>
  <c r="D42" i="41"/>
  <c r="H40" i="74"/>
  <c r="I40" i="74" s="1"/>
  <c r="I43" i="69"/>
  <c r="G33" i="89"/>
  <c r="I33" i="89" s="1"/>
  <c r="D34" i="89"/>
  <c r="E34" i="89"/>
  <c r="F42" i="3"/>
  <c r="H42" i="3" s="1"/>
  <c r="B42" i="3"/>
  <c r="D39" i="57"/>
  <c r="E39" i="57"/>
  <c r="H38" i="54"/>
  <c r="I38" i="54" s="1"/>
  <c r="D39" i="54"/>
  <c r="E39" i="54"/>
  <c r="B44" i="69"/>
  <c r="F44" i="69"/>
  <c r="G44" i="69" s="1"/>
  <c r="D43" i="32"/>
  <c r="E43" i="32"/>
  <c r="G43" i="70"/>
  <c r="D44" i="70"/>
  <c r="E44" i="70"/>
  <c r="E38" i="60"/>
  <c r="D38" i="60"/>
  <c r="H33" i="92"/>
  <c r="E34" i="92"/>
  <c r="D34" i="92"/>
  <c r="B38" i="64"/>
  <c r="F38" i="64"/>
  <c r="H35" i="79"/>
  <c r="D36" i="79"/>
  <c r="E36" i="79"/>
  <c r="E36" i="77"/>
  <c r="D36" i="77"/>
  <c r="D36" i="78"/>
  <c r="E36" i="78"/>
  <c r="I34" i="88"/>
  <c r="B45" i="28"/>
  <c r="F45" i="28"/>
  <c r="G45" i="28" s="1"/>
  <c r="F34" i="83"/>
  <c r="G34" i="83" s="1"/>
  <c r="B34" i="83"/>
  <c r="H40" i="73"/>
  <c r="I40" i="73" s="1"/>
  <c r="D41" i="73"/>
  <c r="E41" i="73"/>
  <c r="G37" i="60"/>
  <c r="F44" i="31"/>
  <c r="G44" i="31" s="1"/>
  <c r="B44" i="31"/>
  <c r="D44" i="29"/>
  <c r="E44" i="29"/>
  <c r="G35" i="79"/>
  <c r="H35" i="77"/>
  <c r="I35" i="77" s="1"/>
  <c r="B43" i="71"/>
  <c r="F43" i="71"/>
  <c r="G43" i="71" s="1"/>
  <c r="H38" i="57"/>
  <c r="I38" i="57" s="1"/>
  <c r="E42" i="17"/>
  <c r="D42" i="17"/>
  <c r="D42" i="21"/>
  <c r="E42" i="21"/>
  <c r="F40" i="45"/>
  <c r="H40" i="45" s="1"/>
  <c r="B40" i="45"/>
  <c r="G42" i="32"/>
  <c r="I42" i="32" s="1"/>
  <c r="E38" i="63"/>
  <c r="D38" i="63"/>
  <c r="I42" i="34"/>
  <c r="H43" i="70"/>
  <c r="H37" i="60"/>
  <c r="G33" i="92"/>
  <c r="D41" i="74"/>
  <c r="E41" i="74"/>
  <c r="H35" i="78"/>
  <c r="I35" i="78" s="1"/>
  <c r="F37" i="68"/>
  <c r="G37" i="68" s="1"/>
  <c r="B37" i="68"/>
  <c r="F35" i="88"/>
  <c r="B35" i="88"/>
  <c r="H37" i="63"/>
  <c r="I37" i="63" s="1"/>
  <c r="B51" i="35"/>
  <c r="E51" i="35"/>
  <c r="F51" i="35" s="1"/>
  <c r="H50" i="35"/>
  <c r="G50" i="35"/>
  <c r="F34" i="87"/>
  <c r="G34" i="87" s="1"/>
  <c r="B34" i="87"/>
  <c r="E43" i="18"/>
  <c r="D43" i="18"/>
  <c r="I49" i="35"/>
  <c r="I36" i="62"/>
  <c r="D38" i="59"/>
  <c r="E38" i="59"/>
  <c r="F37" i="62"/>
  <c r="H37" i="62" s="1"/>
  <c r="B37" i="62"/>
  <c r="F41" i="20"/>
  <c r="B41" i="20"/>
  <c r="J131" i="35"/>
  <c r="B113" i="33"/>
  <c r="F113" i="33"/>
  <c r="H112" i="33"/>
  <c r="I112" i="33"/>
  <c r="I132" i="35"/>
  <c r="H132" i="35"/>
  <c r="I113" i="25"/>
  <c r="H113" i="25"/>
  <c r="E134" i="35"/>
  <c r="F134" i="35" s="1"/>
  <c r="B134" i="35"/>
  <c r="G133" i="35"/>
  <c r="F114" i="25"/>
  <c r="B114" i="25"/>
  <c r="F27" i="36"/>
  <c r="D115" i="100" l="1"/>
  <c r="B115" i="100" s="1"/>
  <c r="J113" i="100"/>
  <c r="H46" i="100"/>
  <c r="I32" i="102"/>
  <c r="G41" i="101"/>
  <c r="I41" i="101" s="1"/>
  <c r="D42" i="101"/>
  <c r="E42" i="101" s="1"/>
  <c r="D33" i="102"/>
  <c r="E33" i="102" s="1"/>
  <c r="H114" i="100"/>
  <c r="I114" i="100"/>
  <c r="I46" i="100"/>
  <c r="D47" i="100"/>
  <c r="E47" i="100"/>
  <c r="G27" i="36"/>
  <c r="I33" i="26"/>
  <c r="D42" i="43"/>
  <c r="B42" i="43" s="1"/>
  <c r="E42" i="43"/>
  <c r="G41" i="43"/>
  <c r="I41" i="43" s="1"/>
  <c r="B35" i="33"/>
  <c r="F33" i="95"/>
  <c r="H33" i="95" s="1"/>
  <c r="B33" i="95"/>
  <c r="H35" i="80"/>
  <c r="I35" i="80" s="1"/>
  <c r="E36" i="80"/>
  <c r="D36" i="80"/>
  <c r="B36" i="80" s="1"/>
  <c r="E38" i="97"/>
  <c r="F38" i="97" s="1"/>
  <c r="D39" i="97" s="1"/>
  <c r="B39" i="97" s="1"/>
  <c r="H37" i="97"/>
  <c r="G37" i="97"/>
  <c r="E34" i="26"/>
  <c r="F34" i="26" s="1"/>
  <c r="G34" i="26" s="1"/>
  <c r="N5" i="26" s="1"/>
  <c r="M19" i="1" s="1"/>
  <c r="R132" i="1" s="1"/>
  <c r="D33" i="13"/>
  <c r="H32" i="13"/>
  <c r="G32" i="13"/>
  <c r="D37" i="99"/>
  <c r="E37" i="99"/>
  <c r="H36" i="99"/>
  <c r="G36" i="99"/>
  <c r="F34" i="98"/>
  <c r="B34" i="98"/>
  <c r="I43" i="70"/>
  <c r="I37" i="60"/>
  <c r="I43" i="23"/>
  <c r="J113" i="26"/>
  <c r="D115" i="26"/>
  <c r="G114" i="26"/>
  <c r="F38" i="67"/>
  <c r="H38" i="67" s="1"/>
  <c r="B38" i="67"/>
  <c r="B39" i="46"/>
  <c r="F39" i="46"/>
  <c r="H39" i="46" s="1"/>
  <c r="H44" i="31"/>
  <c r="I44" i="31" s="1"/>
  <c r="B43" i="24"/>
  <c r="F43" i="24"/>
  <c r="G42" i="3"/>
  <c r="I42" i="3" s="1"/>
  <c r="H39" i="72"/>
  <c r="I39" i="72" s="1"/>
  <c r="I34" i="91"/>
  <c r="H36" i="82"/>
  <c r="E37" i="82"/>
  <c r="D37" i="82"/>
  <c r="G35" i="86"/>
  <c r="H35" i="86"/>
  <c r="E36" i="86"/>
  <c r="D36" i="86"/>
  <c r="F34" i="94"/>
  <c r="G34" i="94" s="1"/>
  <c r="B34" i="94"/>
  <c r="B33" i="93"/>
  <c r="F33" i="93"/>
  <c r="G33" i="93" s="1"/>
  <c r="G34" i="25"/>
  <c r="D35" i="25"/>
  <c r="H34" i="25"/>
  <c r="G36" i="82"/>
  <c r="I33" i="92"/>
  <c r="H44" i="69"/>
  <c r="I44" i="69" s="1"/>
  <c r="B36" i="90"/>
  <c r="F36" i="90"/>
  <c r="G36" i="90" s="1"/>
  <c r="G41" i="42"/>
  <c r="D42" i="42"/>
  <c r="E42" i="42"/>
  <c r="H40" i="55"/>
  <c r="I40" i="55" s="1"/>
  <c r="E41" i="55"/>
  <c r="D41" i="55"/>
  <c r="B39" i="53"/>
  <c r="F39" i="53"/>
  <c r="G39" i="53" s="1"/>
  <c r="E38" i="65"/>
  <c r="D38" i="65"/>
  <c r="G38" i="56"/>
  <c r="I38" i="56" s="1"/>
  <c r="G37" i="65"/>
  <c r="B44" i="23"/>
  <c r="F44" i="23"/>
  <c r="H44" i="23" s="1"/>
  <c r="B35" i="91"/>
  <c r="F35" i="91"/>
  <c r="B35" i="84"/>
  <c r="F35" i="84"/>
  <c r="G40" i="58"/>
  <c r="D41" i="58"/>
  <c r="E41" i="58"/>
  <c r="H40" i="58"/>
  <c r="H41" i="42"/>
  <c r="H37" i="65"/>
  <c r="B38" i="66"/>
  <c r="F38" i="66"/>
  <c r="H38" i="66" s="1"/>
  <c r="H36" i="75"/>
  <c r="I36" i="75" s="1"/>
  <c r="E37" i="75"/>
  <c r="D37" i="75"/>
  <c r="I38" i="53"/>
  <c r="B35" i="81"/>
  <c r="F35" i="81"/>
  <c r="H35" i="81" s="1"/>
  <c r="F41" i="44"/>
  <c r="H41" i="44" s="1"/>
  <c r="B41" i="44"/>
  <c r="H43" i="71"/>
  <c r="I43" i="71" s="1"/>
  <c r="G43" i="34"/>
  <c r="I43" i="34" s="1"/>
  <c r="F38" i="61"/>
  <c r="G38" i="61" s="1"/>
  <c r="B38" i="61"/>
  <c r="I43" i="27"/>
  <c r="H41" i="39"/>
  <c r="I41" i="39" s="1"/>
  <c r="E42" i="39"/>
  <c r="D42" i="39"/>
  <c r="G37" i="62"/>
  <c r="I37" i="62" s="1"/>
  <c r="F42" i="22"/>
  <c r="H42" i="22" s="1"/>
  <c r="B42" i="22"/>
  <c r="H35" i="85"/>
  <c r="I35" i="85" s="1"/>
  <c r="D36" i="85"/>
  <c r="E36" i="85"/>
  <c r="F33" i="96"/>
  <c r="G33" i="96" s="1"/>
  <c r="B33" i="96"/>
  <c r="B36" i="76"/>
  <c r="F36" i="76"/>
  <c r="G36" i="76" s="1"/>
  <c r="B44" i="27"/>
  <c r="F44" i="27"/>
  <c r="I32" i="96"/>
  <c r="D40" i="72"/>
  <c r="E40" i="72"/>
  <c r="I50" i="35"/>
  <c r="E36" i="88"/>
  <c r="D36" i="88"/>
  <c r="F41" i="74"/>
  <c r="H41" i="74" s="1"/>
  <c r="B41" i="74"/>
  <c r="C51" i="17"/>
  <c r="B42" i="17"/>
  <c r="F42" i="17"/>
  <c r="H42" i="17" s="1"/>
  <c r="B44" i="29"/>
  <c r="F44" i="29"/>
  <c r="H44" i="29" s="1"/>
  <c r="D45" i="31"/>
  <c r="E45" i="31"/>
  <c r="D39" i="64"/>
  <c r="E39" i="64"/>
  <c r="B34" i="92"/>
  <c r="F34" i="92"/>
  <c r="H34" i="92" s="1"/>
  <c r="D39" i="56"/>
  <c r="E39" i="56"/>
  <c r="H34" i="87"/>
  <c r="I34" i="87" s="1"/>
  <c r="E38" i="68"/>
  <c r="D38" i="68"/>
  <c r="G40" i="45"/>
  <c r="I40" i="45" s="1"/>
  <c r="H45" i="28"/>
  <c r="I45" i="28" s="1"/>
  <c r="D46" i="28"/>
  <c r="E46" i="28" s="1"/>
  <c r="G38" i="64"/>
  <c r="B44" i="70"/>
  <c r="F44" i="70"/>
  <c r="H44" i="70" s="1"/>
  <c r="D45" i="69"/>
  <c r="E45" i="69"/>
  <c r="D43" i="19"/>
  <c r="E43" i="19"/>
  <c r="G35" i="88"/>
  <c r="B38" i="63"/>
  <c r="F38" i="63"/>
  <c r="H38" i="63" s="1"/>
  <c r="E44" i="71"/>
  <c r="D44" i="71"/>
  <c r="B36" i="78"/>
  <c r="F36" i="78"/>
  <c r="H36" i="78" s="1"/>
  <c r="F36" i="79"/>
  <c r="H36" i="79" s="1"/>
  <c r="B36" i="79"/>
  <c r="B34" i="89"/>
  <c r="F34" i="89"/>
  <c r="G34" i="89" s="1"/>
  <c r="F42" i="41"/>
  <c r="B42" i="41"/>
  <c r="D44" i="34"/>
  <c r="E44" i="34"/>
  <c r="H35" i="88"/>
  <c r="H37" i="68"/>
  <c r="I37" i="68" s="1"/>
  <c r="E41" i="45"/>
  <c r="D41" i="45"/>
  <c r="F42" i="21"/>
  <c r="G42" i="21" s="1"/>
  <c r="B42" i="21"/>
  <c r="B41" i="73"/>
  <c r="F41" i="73"/>
  <c r="H41" i="73" s="1"/>
  <c r="H34" i="83"/>
  <c r="I34" i="83" s="1"/>
  <c r="D35" i="83"/>
  <c r="E35" i="83"/>
  <c r="B36" i="77"/>
  <c r="F36" i="77"/>
  <c r="H36" i="77" s="1"/>
  <c r="I35" i="79"/>
  <c r="H38" i="64"/>
  <c r="B38" i="60"/>
  <c r="F38" i="60"/>
  <c r="G38" i="60" s="1"/>
  <c r="F43" i="32"/>
  <c r="H43" i="32" s="1"/>
  <c r="B43" i="32"/>
  <c r="B39" i="54"/>
  <c r="F39" i="54"/>
  <c r="G39" i="54" s="1"/>
  <c r="B39" i="57"/>
  <c r="F39" i="57"/>
  <c r="H39" i="57" s="1"/>
  <c r="E43" i="3"/>
  <c r="D43" i="3"/>
  <c r="H42" i="19"/>
  <c r="I42" i="19" s="1"/>
  <c r="G43" i="30"/>
  <c r="I43" i="30" s="1"/>
  <c r="D44" i="30"/>
  <c r="E44" i="30"/>
  <c r="J112" i="33"/>
  <c r="D36" i="33"/>
  <c r="E36" i="33" s="1"/>
  <c r="G35" i="33"/>
  <c r="H35" i="33"/>
  <c r="E42" i="20"/>
  <c r="D42" i="20"/>
  <c r="E52" i="35"/>
  <c r="F52" i="35" s="1"/>
  <c r="G51" i="35"/>
  <c r="H51" i="35"/>
  <c r="B52" i="35"/>
  <c r="G41" i="20"/>
  <c r="E38" i="62"/>
  <c r="D38" i="62"/>
  <c r="H41" i="20"/>
  <c r="B38" i="59"/>
  <c r="F38" i="59"/>
  <c r="H38" i="59" s="1"/>
  <c r="B43" i="18"/>
  <c r="F43" i="18"/>
  <c r="H43" i="18" s="1"/>
  <c r="D35" i="87"/>
  <c r="E35" i="87"/>
  <c r="J132" i="35"/>
  <c r="J113" i="25"/>
  <c r="B135" i="35"/>
  <c r="G134" i="35"/>
  <c r="E135" i="35"/>
  <c r="F135" i="35" s="1"/>
  <c r="G114" i="25"/>
  <c r="D115" i="25"/>
  <c r="E115" i="25" s="1"/>
  <c r="H133" i="35"/>
  <c r="I133" i="35"/>
  <c r="G113" i="33"/>
  <c r="D114" i="33"/>
  <c r="E114" i="33" s="1"/>
  <c r="E115" i="100" l="1"/>
  <c r="F115" i="100" s="1"/>
  <c r="J114" i="100"/>
  <c r="B33" i="102"/>
  <c r="F33" i="102"/>
  <c r="G33" i="102"/>
  <c r="F42" i="101"/>
  <c r="H42" i="101" s="1"/>
  <c r="B42" i="101"/>
  <c r="D116" i="100"/>
  <c r="E116" i="100" s="1"/>
  <c r="G115" i="100"/>
  <c r="B47" i="100"/>
  <c r="F47" i="100"/>
  <c r="G47" i="100"/>
  <c r="H47" i="100"/>
  <c r="M20" i="1"/>
  <c r="F42" i="43"/>
  <c r="G42" i="43" s="1"/>
  <c r="G33" i="95"/>
  <c r="I33" i="95" s="1"/>
  <c r="D34" i="95"/>
  <c r="B34" i="95" s="1"/>
  <c r="E34" i="95"/>
  <c r="F36" i="80"/>
  <c r="H36" i="80" s="1"/>
  <c r="E39" i="97"/>
  <c r="F39" i="97" s="1"/>
  <c r="D40" i="97" s="1"/>
  <c r="B40" i="97" s="1"/>
  <c r="G38" i="97"/>
  <c r="H38" i="97"/>
  <c r="D35" i="26"/>
  <c r="E35" i="26" s="1"/>
  <c r="I37" i="97"/>
  <c r="I38" i="64"/>
  <c r="H34" i="26"/>
  <c r="I37" i="65"/>
  <c r="I32" i="13"/>
  <c r="E33" i="13"/>
  <c r="F33" i="13" s="1"/>
  <c r="B33" i="13"/>
  <c r="I41" i="20"/>
  <c r="I36" i="99"/>
  <c r="D35" i="98"/>
  <c r="E35" i="98"/>
  <c r="I34" i="25"/>
  <c r="H34" i="98"/>
  <c r="G34" i="98"/>
  <c r="F37" i="99"/>
  <c r="D38" i="99" s="1"/>
  <c r="B37" i="99"/>
  <c r="H33" i="93"/>
  <c r="I33" i="93" s="1"/>
  <c r="I35" i="88"/>
  <c r="I36" i="82"/>
  <c r="G39" i="57"/>
  <c r="I39" i="57" s="1"/>
  <c r="I41" i="42"/>
  <c r="I114" i="26"/>
  <c r="H114" i="26"/>
  <c r="B115" i="26"/>
  <c r="E115" i="26"/>
  <c r="F115" i="26" s="1"/>
  <c r="H33" i="96"/>
  <c r="I33" i="96" s="1"/>
  <c r="I35" i="86"/>
  <c r="G38" i="67"/>
  <c r="I38" i="67" s="1"/>
  <c r="E39" i="67"/>
  <c r="D39" i="67"/>
  <c r="G38" i="66"/>
  <c r="I38" i="66" s="1"/>
  <c r="H38" i="60"/>
  <c r="I38" i="60" s="1"/>
  <c r="G39" i="46"/>
  <c r="I39" i="46" s="1"/>
  <c r="E40" i="46"/>
  <c r="D40" i="46"/>
  <c r="D44" i="24"/>
  <c r="E44" i="24"/>
  <c r="H43" i="24"/>
  <c r="G43" i="24"/>
  <c r="G42" i="17"/>
  <c r="I42" i="17" s="1"/>
  <c r="G42" i="22"/>
  <c r="I42" i="22" s="1"/>
  <c r="G36" i="79"/>
  <c r="I36" i="79" s="1"/>
  <c r="H38" i="61"/>
  <c r="I38" i="61" s="1"/>
  <c r="B35" i="25"/>
  <c r="E35" i="25"/>
  <c r="F35" i="25" s="1"/>
  <c r="D34" i="93"/>
  <c r="E34" i="93"/>
  <c r="H34" i="94"/>
  <c r="I34" i="94" s="1"/>
  <c r="D35" i="94"/>
  <c r="E35" i="94"/>
  <c r="F36" i="86"/>
  <c r="B36" i="86"/>
  <c r="F37" i="82"/>
  <c r="G37" i="82" s="1"/>
  <c r="B37" i="82"/>
  <c r="H34" i="89"/>
  <c r="I34" i="89" s="1"/>
  <c r="G44" i="70"/>
  <c r="I44" i="70" s="1"/>
  <c r="G41" i="44"/>
  <c r="I41" i="44" s="1"/>
  <c r="D39" i="66"/>
  <c r="E39" i="66"/>
  <c r="I40" i="58"/>
  <c r="D37" i="90"/>
  <c r="E37" i="90"/>
  <c r="H35" i="84"/>
  <c r="E36" i="84"/>
  <c r="D36" i="84"/>
  <c r="H42" i="21"/>
  <c r="I42" i="21" s="1"/>
  <c r="G44" i="23"/>
  <c r="I44" i="23" s="1"/>
  <c r="D45" i="23"/>
  <c r="E45" i="23"/>
  <c r="B41" i="55"/>
  <c r="F41" i="55"/>
  <c r="G41" i="55" s="1"/>
  <c r="F42" i="42"/>
  <c r="G42" i="42" s="1"/>
  <c r="B42" i="42"/>
  <c r="F37" i="75"/>
  <c r="G37" i="75" s="1"/>
  <c r="B37" i="75"/>
  <c r="E36" i="91"/>
  <c r="H35" i="91"/>
  <c r="D36" i="91"/>
  <c r="G35" i="91"/>
  <c r="I51" i="35"/>
  <c r="G44" i="29"/>
  <c r="I44" i="29" s="1"/>
  <c r="B41" i="58"/>
  <c r="F41" i="58"/>
  <c r="G35" i="84"/>
  <c r="B38" i="65"/>
  <c r="F38" i="65"/>
  <c r="H39" i="53"/>
  <c r="I39" i="53" s="1"/>
  <c r="D40" i="53"/>
  <c r="E40" i="53"/>
  <c r="H36" i="90"/>
  <c r="I36" i="90" s="1"/>
  <c r="G43" i="32"/>
  <c r="I43" i="32" s="1"/>
  <c r="D37" i="76"/>
  <c r="E37" i="76"/>
  <c r="B36" i="85"/>
  <c r="F36" i="85"/>
  <c r="G36" i="85" s="1"/>
  <c r="G41" i="73"/>
  <c r="I41" i="73" s="1"/>
  <c r="G34" i="92"/>
  <c r="I34" i="92" s="1"/>
  <c r="E39" i="61"/>
  <c r="D39" i="61"/>
  <c r="E42" i="44"/>
  <c r="D42" i="44"/>
  <c r="B40" i="72"/>
  <c r="F40" i="72"/>
  <c r="G40" i="72" s="1"/>
  <c r="E45" i="27"/>
  <c r="G44" i="27"/>
  <c r="H44" i="27"/>
  <c r="D45" i="27"/>
  <c r="H36" i="76"/>
  <c r="I36" i="76" s="1"/>
  <c r="D34" i="96"/>
  <c r="E34" i="96"/>
  <c r="E43" i="22"/>
  <c r="D43" i="22"/>
  <c r="B42" i="39"/>
  <c r="F42" i="39"/>
  <c r="H42" i="39" s="1"/>
  <c r="G35" i="81"/>
  <c r="I35" i="81" s="1"/>
  <c r="D36" i="81"/>
  <c r="E36" i="81"/>
  <c r="G38" i="59"/>
  <c r="I38" i="59" s="1"/>
  <c r="E39" i="60"/>
  <c r="D39" i="60"/>
  <c r="D42" i="73"/>
  <c r="E42" i="73"/>
  <c r="D43" i="41"/>
  <c r="E43" i="41"/>
  <c r="B44" i="71"/>
  <c r="F44" i="71"/>
  <c r="G44" i="71" s="1"/>
  <c r="D39" i="63"/>
  <c r="E39" i="63"/>
  <c r="B45" i="69"/>
  <c r="F45" i="69"/>
  <c r="H45" i="69" s="1"/>
  <c r="F46" i="28"/>
  <c r="H46" i="28" s="1"/>
  <c r="B46" i="28"/>
  <c r="E45" i="29"/>
  <c r="D45" i="29"/>
  <c r="E42" i="74"/>
  <c r="D42" i="74"/>
  <c r="B44" i="30"/>
  <c r="F44" i="30"/>
  <c r="G44" i="30" s="1"/>
  <c r="B43" i="3"/>
  <c r="F43" i="3"/>
  <c r="G43" i="3" s="1"/>
  <c r="E40" i="57"/>
  <c r="D40" i="57"/>
  <c r="H39" i="54"/>
  <c r="I39" i="54" s="1"/>
  <c r="G36" i="77"/>
  <c r="I36" i="77" s="1"/>
  <c r="D43" i="21"/>
  <c r="E43" i="21"/>
  <c r="H42" i="41"/>
  <c r="B45" i="31"/>
  <c r="F45" i="31"/>
  <c r="G41" i="74"/>
  <c r="I41" i="74" s="1"/>
  <c r="E44" i="32"/>
  <c r="D44" i="32"/>
  <c r="B35" i="83"/>
  <c r="F35" i="83"/>
  <c r="G35" i="83" s="1"/>
  <c r="B41" i="45"/>
  <c r="F41" i="45"/>
  <c r="H41" i="45" s="1"/>
  <c r="G42" i="41"/>
  <c r="E35" i="89"/>
  <c r="D35" i="89"/>
  <c r="E37" i="79"/>
  <c r="D37" i="79"/>
  <c r="G36" i="78"/>
  <c r="I36" i="78" s="1"/>
  <c r="E37" i="78"/>
  <c r="D37" i="78"/>
  <c r="G38" i="63"/>
  <c r="I38" i="63" s="1"/>
  <c r="E45" i="70"/>
  <c r="D45" i="70"/>
  <c r="B36" i="88"/>
  <c r="F36" i="88"/>
  <c r="G36" i="88" s="1"/>
  <c r="I35" i="33"/>
  <c r="E40" i="54"/>
  <c r="D40" i="54"/>
  <c r="D37" i="77"/>
  <c r="E37" i="77"/>
  <c r="B44" i="34"/>
  <c r="F44" i="34"/>
  <c r="F43" i="19"/>
  <c r="B43" i="19"/>
  <c r="F38" i="68"/>
  <c r="H38" i="68" s="1"/>
  <c r="B38" i="68"/>
  <c r="F39" i="56"/>
  <c r="B39" i="56"/>
  <c r="D35" i="92"/>
  <c r="E35" i="92"/>
  <c r="F39" i="64"/>
  <c r="H39" i="64" s="1"/>
  <c r="B39" i="64"/>
  <c r="D43" i="17"/>
  <c r="E43" i="17"/>
  <c r="B38" i="62"/>
  <c r="F38" i="62"/>
  <c r="B42" i="20"/>
  <c r="F42" i="20"/>
  <c r="G42" i="20" s="1"/>
  <c r="D44" i="18"/>
  <c r="E44" i="18"/>
  <c r="D39" i="59"/>
  <c r="E39" i="59"/>
  <c r="G52" i="35"/>
  <c r="B53" i="35"/>
  <c r="E53" i="35"/>
  <c r="F53" i="35" s="1"/>
  <c r="H52" i="35"/>
  <c r="B35" i="87"/>
  <c r="F35" i="87"/>
  <c r="G35" i="87" s="1"/>
  <c r="G43" i="18"/>
  <c r="I43" i="18" s="1"/>
  <c r="B36" i="33"/>
  <c r="F36" i="33"/>
  <c r="G36" i="33" s="1"/>
  <c r="J133" i="35"/>
  <c r="B115" i="25"/>
  <c r="F115" i="25"/>
  <c r="B114" i="33"/>
  <c r="F114" i="33"/>
  <c r="H114" i="25"/>
  <c r="I114" i="25"/>
  <c r="G135" i="35"/>
  <c r="B136" i="35"/>
  <c r="E136" i="35"/>
  <c r="F136" i="35" s="1"/>
  <c r="I113" i="33"/>
  <c r="H113" i="33"/>
  <c r="H134" i="35"/>
  <c r="I134" i="35"/>
  <c r="G42" i="101" l="1"/>
  <c r="I42" i="101" s="1"/>
  <c r="D43" i="101"/>
  <c r="E43" i="101" s="1"/>
  <c r="H33" i="102"/>
  <c r="I33" i="102" s="1"/>
  <c r="D34" i="102"/>
  <c r="E34" i="102"/>
  <c r="I115" i="100"/>
  <c r="H115" i="100"/>
  <c r="B116" i="100"/>
  <c r="F116" i="100"/>
  <c r="I47" i="100"/>
  <c r="D48" i="100"/>
  <c r="E48" i="100" s="1"/>
  <c r="I34" i="26"/>
  <c r="N6" i="26"/>
  <c r="G36" i="80"/>
  <c r="I36" i="80" s="1"/>
  <c r="E43" i="43"/>
  <c r="H42" i="43"/>
  <c r="I42" i="43" s="1"/>
  <c r="D43" i="43"/>
  <c r="F34" i="95"/>
  <c r="G34" i="95" s="1"/>
  <c r="F35" i="26"/>
  <c r="G35" i="26" s="1"/>
  <c r="B35" i="26"/>
  <c r="D37" i="80"/>
  <c r="B37" i="80" s="1"/>
  <c r="E37" i="80"/>
  <c r="I38" i="97"/>
  <c r="E40" i="97"/>
  <c r="F40" i="97" s="1"/>
  <c r="D41" i="97" s="1"/>
  <c r="B41" i="97" s="1"/>
  <c r="G39" i="97"/>
  <c r="H39" i="97"/>
  <c r="H33" i="13"/>
  <c r="D34" i="13"/>
  <c r="G33" i="13"/>
  <c r="G37" i="99"/>
  <c r="E38" i="99"/>
  <c r="F38" i="99" s="1"/>
  <c r="B38" i="99"/>
  <c r="I34" i="98"/>
  <c r="F35" i="98"/>
  <c r="B35" i="98"/>
  <c r="H37" i="99"/>
  <c r="I35" i="84"/>
  <c r="I43" i="24"/>
  <c r="J114" i="26"/>
  <c r="G115" i="26"/>
  <c r="D116" i="26"/>
  <c r="F39" i="67"/>
  <c r="G39" i="67" s="1"/>
  <c r="B39" i="67"/>
  <c r="B40" i="46"/>
  <c r="F40" i="46"/>
  <c r="G40" i="46" s="1"/>
  <c r="F44" i="24"/>
  <c r="H44" i="24" s="1"/>
  <c r="B44" i="24"/>
  <c r="I35" i="91"/>
  <c r="E38" i="82"/>
  <c r="D38" i="82"/>
  <c r="F35" i="94"/>
  <c r="G35" i="94" s="1"/>
  <c r="B35" i="94"/>
  <c r="F34" i="93"/>
  <c r="H34" i="93" s="1"/>
  <c r="B34" i="93"/>
  <c r="H36" i="88"/>
  <c r="I36" i="88" s="1"/>
  <c r="H37" i="82"/>
  <c r="I37" i="82" s="1"/>
  <c r="H36" i="86"/>
  <c r="D37" i="86"/>
  <c r="G36" i="86"/>
  <c r="E37" i="86"/>
  <c r="D36" i="25"/>
  <c r="H35" i="25"/>
  <c r="G35" i="25"/>
  <c r="F40" i="53"/>
  <c r="G40" i="53" s="1"/>
  <c r="B40" i="53"/>
  <c r="D39" i="65"/>
  <c r="E39" i="65"/>
  <c r="F36" i="84"/>
  <c r="H36" i="84" s="1"/>
  <c r="B36" i="84"/>
  <c r="D42" i="55"/>
  <c r="E42" i="55"/>
  <c r="F45" i="23"/>
  <c r="H45" i="23" s="1"/>
  <c r="B45" i="23"/>
  <c r="B39" i="66"/>
  <c r="F39" i="66"/>
  <c r="H39" i="66" s="1"/>
  <c r="B36" i="91"/>
  <c r="F36" i="91"/>
  <c r="G36" i="91" s="1"/>
  <c r="H38" i="65"/>
  <c r="E38" i="75"/>
  <c r="D38" i="75"/>
  <c r="E43" i="42"/>
  <c r="D43" i="42"/>
  <c r="B37" i="90"/>
  <c r="F37" i="90"/>
  <c r="G38" i="65"/>
  <c r="G41" i="58"/>
  <c r="H41" i="58"/>
  <c r="E42" i="58"/>
  <c r="D42" i="58"/>
  <c r="H37" i="75"/>
  <c r="I37" i="75" s="1"/>
  <c r="H42" i="42"/>
  <c r="I42" i="42" s="1"/>
  <c r="H41" i="55"/>
  <c r="I41" i="55" s="1"/>
  <c r="H35" i="87"/>
  <c r="I35" i="87" s="1"/>
  <c r="F34" i="96"/>
  <c r="B34" i="96"/>
  <c r="I44" i="27"/>
  <c r="F37" i="76"/>
  <c r="H37" i="76" s="1"/>
  <c r="B37" i="76"/>
  <c r="F43" i="22"/>
  <c r="B43" i="22"/>
  <c r="B39" i="61"/>
  <c r="F39" i="61"/>
  <c r="G39" i="61" s="1"/>
  <c r="H36" i="85"/>
  <c r="I36" i="85" s="1"/>
  <c r="E37" i="85"/>
  <c r="D37" i="85"/>
  <c r="H35" i="83"/>
  <c r="I35" i="83" s="1"/>
  <c r="G46" i="28"/>
  <c r="I46" i="28" s="1"/>
  <c r="B36" i="81"/>
  <c r="F36" i="81"/>
  <c r="G36" i="81" s="1"/>
  <c r="H40" i="72"/>
  <c r="I40" i="72" s="1"/>
  <c r="D41" i="72"/>
  <c r="E41" i="72"/>
  <c r="G42" i="39"/>
  <c r="I42" i="39" s="1"/>
  <c r="E43" i="39"/>
  <c r="D43" i="39"/>
  <c r="F45" i="27"/>
  <c r="B45" i="27"/>
  <c r="F42" i="44"/>
  <c r="H42" i="44" s="1"/>
  <c r="B42" i="44"/>
  <c r="H39" i="56"/>
  <c r="E40" i="56"/>
  <c r="D40" i="56"/>
  <c r="F37" i="78"/>
  <c r="G37" i="78" s="1"/>
  <c r="B37" i="78"/>
  <c r="D46" i="31"/>
  <c r="E46" i="31"/>
  <c r="B43" i="21"/>
  <c r="F43" i="21"/>
  <c r="H43" i="21" s="1"/>
  <c r="B35" i="92"/>
  <c r="F35" i="92"/>
  <c r="H35" i="92" s="1"/>
  <c r="E44" i="19"/>
  <c r="D44" i="19"/>
  <c r="B35" i="89"/>
  <c r="F35" i="89"/>
  <c r="G35" i="89" s="1"/>
  <c r="G41" i="45"/>
  <c r="I41" i="45" s="1"/>
  <c r="E42" i="45"/>
  <c r="D42" i="45"/>
  <c r="D36" i="83"/>
  <c r="E36" i="83"/>
  <c r="H45" i="31"/>
  <c r="E46" i="69"/>
  <c r="D46" i="69"/>
  <c r="D45" i="71"/>
  <c r="E45" i="71"/>
  <c r="B43" i="41"/>
  <c r="F43" i="41"/>
  <c r="H44" i="34"/>
  <c r="D45" i="34"/>
  <c r="E45" i="34"/>
  <c r="F42" i="74"/>
  <c r="H42" i="74" s="1"/>
  <c r="B42" i="74"/>
  <c r="H42" i="20"/>
  <c r="I42" i="20" s="1"/>
  <c r="F43" i="17"/>
  <c r="B43" i="17"/>
  <c r="C52" i="17"/>
  <c r="G43" i="19"/>
  <c r="G44" i="34"/>
  <c r="E37" i="88"/>
  <c r="D37" i="88"/>
  <c r="G45" i="31"/>
  <c r="I42" i="41"/>
  <c r="D44" i="3"/>
  <c r="E44" i="3"/>
  <c r="H44" i="30"/>
  <c r="I44" i="30" s="1"/>
  <c r="E45" i="30"/>
  <c r="D45" i="30"/>
  <c r="B45" i="29"/>
  <c r="F45" i="29"/>
  <c r="F39" i="63"/>
  <c r="H39" i="63" s="1"/>
  <c r="B39" i="63"/>
  <c r="F40" i="54"/>
  <c r="H40" i="54" s="1"/>
  <c r="B40" i="54"/>
  <c r="F45" i="70"/>
  <c r="H45" i="70" s="1"/>
  <c r="B45" i="70"/>
  <c r="B39" i="60"/>
  <c r="F39" i="60"/>
  <c r="H39" i="60" s="1"/>
  <c r="G39" i="64"/>
  <c r="I39" i="64" s="1"/>
  <c r="E40" i="64"/>
  <c r="D40" i="64"/>
  <c r="G39" i="56"/>
  <c r="G38" i="68"/>
  <c r="I38" i="68" s="1"/>
  <c r="D39" i="68"/>
  <c r="E39" i="68"/>
  <c r="H43" i="19"/>
  <c r="B37" i="77"/>
  <c r="F37" i="77"/>
  <c r="H37" i="77" s="1"/>
  <c r="B37" i="79"/>
  <c r="F37" i="79"/>
  <c r="G37" i="79" s="1"/>
  <c r="F44" i="32"/>
  <c r="B44" i="32"/>
  <c r="B40" i="57"/>
  <c r="F40" i="57"/>
  <c r="H40" i="57" s="1"/>
  <c r="H43" i="3"/>
  <c r="I43" i="3" s="1"/>
  <c r="D47" i="28"/>
  <c r="E47" i="28" s="1"/>
  <c r="G45" i="69"/>
  <c r="I45" i="69" s="1"/>
  <c r="H44" i="71"/>
  <c r="I44" i="71" s="1"/>
  <c r="B42" i="73"/>
  <c r="F42" i="73"/>
  <c r="H42" i="73" s="1"/>
  <c r="J114" i="25"/>
  <c r="E36" i="87"/>
  <c r="D36" i="87"/>
  <c r="I52" i="35"/>
  <c r="F39" i="59"/>
  <c r="B39" i="59"/>
  <c r="D39" i="62"/>
  <c r="E39" i="62"/>
  <c r="H36" i="33"/>
  <c r="I36" i="33" s="1"/>
  <c r="B54" i="35"/>
  <c r="H53" i="35"/>
  <c r="G53" i="35"/>
  <c r="E54" i="35"/>
  <c r="F54" i="35" s="1"/>
  <c r="B44" i="18"/>
  <c r="F44" i="18"/>
  <c r="H44" i="18" s="1"/>
  <c r="E43" i="20"/>
  <c r="D43" i="20"/>
  <c r="G38" i="62"/>
  <c r="D37" i="33"/>
  <c r="E37" i="33" s="1"/>
  <c r="H38" i="62"/>
  <c r="J113" i="33"/>
  <c r="J134" i="35"/>
  <c r="I135" i="35"/>
  <c r="H135" i="35"/>
  <c r="D115" i="33"/>
  <c r="E115" i="33" s="1"/>
  <c r="G114" i="33"/>
  <c r="G115" i="25"/>
  <c r="D116" i="25"/>
  <c r="E116" i="25" s="1"/>
  <c r="E137" i="35"/>
  <c r="F137" i="35" s="1"/>
  <c r="B137" i="35"/>
  <c r="G136" i="35"/>
  <c r="F34" i="102" l="1"/>
  <c r="G34" i="102" s="1"/>
  <c r="B34" i="102"/>
  <c r="F43" i="101"/>
  <c r="H43" i="101" s="1"/>
  <c r="B43" i="101"/>
  <c r="G116" i="100"/>
  <c r="D117" i="100"/>
  <c r="E117" i="100" s="1"/>
  <c r="J115" i="100"/>
  <c r="B48" i="100"/>
  <c r="F48" i="100"/>
  <c r="H48" i="100" s="1"/>
  <c r="G48" i="100"/>
  <c r="N19" i="1"/>
  <c r="N7" i="26"/>
  <c r="F43" i="43"/>
  <c r="H43" i="43" s="1"/>
  <c r="B43" i="43"/>
  <c r="H34" i="95"/>
  <c r="I34" i="95" s="1"/>
  <c r="D35" i="95"/>
  <c r="E35" i="95"/>
  <c r="H35" i="26"/>
  <c r="I35" i="26" s="1"/>
  <c r="D36" i="26"/>
  <c r="E36" i="26" s="1"/>
  <c r="F37" i="80"/>
  <c r="G37" i="80" s="1"/>
  <c r="E41" i="97"/>
  <c r="F41" i="97" s="1"/>
  <c r="D42" i="97" s="1"/>
  <c r="B42" i="97" s="1"/>
  <c r="I39" i="97"/>
  <c r="G40" i="97"/>
  <c r="H40" i="97"/>
  <c r="I43" i="19"/>
  <c r="I33" i="13"/>
  <c r="E34" i="13"/>
  <c r="F34" i="13" s="1"/>
  <c r="B34" i="13"/>
  <c r="I37" i="99"/>
  <c r="D39" i="99"/>
  <c r="E39" i="99"/>
  <c r="H38" i="99"/>
  <c r="G38" i="99"/>
  <c r="D36" i="98"/>
  <c r="E36" i="98"/>
  <c r="H35" i="98"/>
  <c r="G35" i="98"/>
  <c r="I38" i="65"/>
  <c r="B116" i="26"/>
  <c r="E116" i="26"/>
  <c r="F116" i="26" s="1"/>
  <c r="H115" i="26"/>
  <c r="I115" i="26"/>
  <c r="G35" i="92"/>
  <c r="I35" i="92" s="1"/>
  <c r="G37" i="76"/>
  <c r="I37" i="76" s="1"/>
  <c r="G42" i="74"/>
  <c r="I42" i="74" s="1"/>
  <c r="H39" i="67"/>
  <c r="I39" i="67" s="1"/>
  <c r="E40" i="67"/>
  <c r="D40" i="67"/>
  <c r="I41" i="58"/>
  <c r="H40" i="46"/>
  <c r="I40" i="46" s="1"/>
  <c r="E41" i="46"/>
  <c r="D41" i="46"/>
  <c r="G44" i="24"/>
  <c r="I44" i="24" s="1"/>
  <c r="D45" i="24"/>
  <c r="E45" i="24"/>
  <c r="G44" i="18"/>
  <c r="I44" i="18" s="1"/>
  <c r="D36" i="94"/>
  <c r="E36" i="94"/>
  <c r="F37" i="86"/>
  <c r="G37" i="86" s="1"/>
  <c r="B37" i="86"/>
  <c r="B38" i="82"/>
  <c r="F38" i="82"/>
  <c r="G40" i="57"/>
  <c r="I40" i="57" s="1"/>
  <c r="I35" i="25"/>
  <c r="I36" i="86"/>
  <c r="H35" i="94"/>
  <c r="I35" i="94" s="1"/>
  <c r="E36" i="25"/>
  <c r="F36" i="25" s="1"/>
  <c r="B36" i="25"/>
  <c r="G34" i="93"/>
  <c r="I34" i="93" s="1"/>
  <c r="E35" i="93"/>
  <c r="D35" i="93"/>
  <c r="F38" i="75"/>
  <c r="H38" i="75" s="1"/>
  <c r="B38" i="75"/>
  <c r="G45" i="23"/>
  <c r="I45" i="23" s="1"/>
  <c r="E46" i="23"/>
  <c r="D46" i="23"/>
  <c r="D38" i="90"/>
  <c r="E38" i="90"/>
  <c r="H37" i="90"/>
  <c r="F43" i="42"/>
  <c r="H43" i="42" s="1"/>
  <c r="B43" i="42"/>
  <c r="G39" i="66"/>
  <c r="I39" i="66" s="1"/>
  <c r="D40" i="66"/>
  <c r="E40" i="66"/>
  <c r="B42" i="55"/>
  <c r="F42" i="55"/>
  <c r="H42" i="55" s="1"/>
  <c r="E37" i="84"/>
  <c r="D37" i="84"/>
  <c r="F39" i="65"/>
  <c r="H39" i="65" s="1"/>
  <c r="B39" i="65"/>
  <c r="B42" i="58"/>
  <c r="F42" i="58"/>
  <c r="G37" i="90"/>
  <c r="H36" i="91"/>
  <c r="I36" i="91" s="1"/>
  <c r="D37" i="91"/>
  <c r="E37" i="91"/>
  <c r="G36" i="84"/>
  <c r="I36" i="84" s="1"/>
  <c r="H40" i="53"/>
  <c r="I40" i="53" s="1"/>
  <c r="D41" i="53"/>
  <c r="E41" i="53"/>
  <c r="D43" i="44"/>
  <c r="E43" i="44"/>
  <c r="E44" i="22"/>
  <c r="D44" i="22"/>
  <c r="E35" i="96"/>
  <c r="D35" i="96"/>
  <c r="I38" i="62"/>
  <c r="G45" i="70"/>
  <c r="I45" i="70" s="1"/>
  <c r="G40" i="54"/>
  <c r="I40" i="54" s="1"/>
  <c r="H35" i="89"/>
  <c r="I35" i="89" s="1"/>
  <c r="G42" i="44"/>
  <c r="I42" i="44" s="1"/>
  <c r="G34" i="96"/>
  <c r="H45" i="27"/>
  <c r="D46" i="27"/>
  <c r="E46" i="27"/>
  <c r="G45" i="27"/>
  <c r="H36" i="81"/>
  <c r="I36" i="81" s="1"/>
  <c r="D37" i="81"/>
  <c r="E37" i="81"/>
  <c r="H39" i="61"/>
  <c r="I39" i="61" s="1"/>
  <c r="D40" i="61"/>
  <c r="E40" i="61"/>
  <c r="H43" i="22"/>
  <c r="B43" i="39"/>
  <c r="F43" i="39"/>
  <c r="G43" i="39" s="1"/>
  <c r="B41" i="72"/>
  <c r="F41" i="72"/>
  <c r="G41" i="72" s="1"/>
  <c r="B37" i="85"/>
  <c r="F37" i="85"/>
  <c r="G43" i="22"/>
  <c r="E38" i="76"/>
  <c r="D38" i="76"/>
  <c r="H34" i="96"/>
  <c r="G42" i="73"/>
  <c r="I42" i="73" s="1"/>
  <c r="G39" i="60"/>
  <c r="I39" i="60" s="1"/>
  <c r="H45" i="29"/>
  <c r="D46" i="29"/>
  <c r="E46" i="29"/>
  <c r="H43" i="17"/>
  <c r="E44" i="17"/>
  <c r="D44" i="17"/>
  <c r="E44" i="41"/>
  <c r="D44" i="41"/>
  <c r="B45" i="71"/>
  <c r="F45" i="71"/>
  <c r="B42" i="45"/>
  <c r="F42" i="45"/>
  <c r="H42" i="45" s="1"/>
  <c r="I39" i="56"/>
  <c r="E41" i="57"/>
  <c r="D41" i="57"/>
  <c r="H44" i="32"/>
  <c r="E45" i="32"/>
  <c r="D45" i="32"/>
  <c r="D38" i="79"/>
  <c r="E38" i="79"/>
  <c r="F40" i="64"/>
  <c r="G40" i="64" s="1"/>
  <c r="B40" i="64"/>
  <c r="F37" i="88"/>
  <c r="H37" i="88" s="1"/>
  <c r="B37" i="88"/>
  <c r="G43" i="17"/>
  <c r="F46" i="69"/>
  <c r="B46" i="69"/>
  <c r="I45" i="31"/>
  <c r="F46" i="31"/>
  <c r="H46" i="31" s="1"/>
  <c r="B46" i="31"/>
  <c r="D43" i="73"/>
  <c r="E43" i="73"/>
  <c r="F39" i="68"/>
  <c r="H39" i="68" s="1"/>
  <c r="B39" i="68"/>
  <c r="E40" i="60"/>
  <c r="D40" i="60"/>
  <c r="G39" i="63"/>
  <c r="I39" i="63" s="1"/>
  <c r="E40" i="63"/>
  <c r="D40" i="63"/>
  <c r="B45" i="30"/>
  <c r="F45" i="30"/>
  <c r="G45" i="30" s="1"/>
  <c r="B44" i="3"/>
  <c r="F44" i="3"/>
  <c r="G44" i="3" s="1"/>
  <c r="D43" i="74"/>
  <c r="E43" i="74"/>
  <c r="F45" i="34"/>
  <c r="H45" i="34" s="1"/>
  <c r="B45" i="34"/>
  <c r="H43" i="41"/>
  <c r="D36" i="92"/>
  <c r="E36" i="92"/>
  <c r="G43" i="21"/>
  <c r="I43" i="21" s="1"/>
  <c r="E44" i="21"/>
  <c r="D44" i="21"/>
  <c r="D38" i="78"/>
  <c r="E38" i="78"/>
  <c r="B40" i="56"/>
  <c r="F40" i="56"/>
  <c r="H40" i="56" s="1"/>
  <c r="B47" i="28"/>
  <c r="F47" i="28"/>
  <c r="H47" i="28" s="1"/>
  <c r="G44" i="32"/>
  <c r="H37" i="79"/>
  <c r="I37" i="79" s="1"/>
  <c r="G37" i="77"/>
  <c r="I37" i="77" s="1"/>
  <c r="D38" i="77"/>
  <c r="E38" i="77"/>
  <c r="D46" i="70"/>
  <c r="E46" i="70"/>
  <c r="D41" i="54"/>
  <c r="E41" i="54"/>
  <c r="G45" i="29"/>
  <c r="I44" i="34"/>
  <c r="G43" i="41"/>
  <c r="B36" i="83"/>
  <c r="F36" i="83"/>
  <c r="G36" i="83" s="1"/>
  <c r="E36" i="89"/>
  <c r="D36" i="89"/>
  <c r="B44" i="19"/>
  <c r="F44" i="19"/>
  <c r="G44" i="19" s="1"/>
  <c r="H37" i="78"/>
  <c r="I37" i="78" s="1"/>
  <c r="E40" i="59"/>
  <c r="D40" i="59"/>
  <c r="F37" i="33"/>
  <c r="B37" i="33"/>
  <c r="E45" i="18"/>
  <c r="D45" i="18"/>
  <c r="I53" i="35"/>
  <c r="H39" i="59"/>
  <c r="B43" i="20"/>
  <c r="F43" i="20"/>
  <c r="B39" i="62"/>
  <c r="F39" i="62"/>
  <c r="H54" i="35"/>
  <c r="B55" i="35"/>
  <c r="G54" i="35"/>
  <c r="E55" i="35"/>
  <c r="F55" i="35" s="1"/>
  <c r="G39" i="59"/>
  <c r="B36" i="87"/>
  <c r="F36" i="87"/>
  <c r="G36" i="87" s="1"/>
  <c r="J135" i="35"/>
  <c r="I114" i="33"/>
  <c r="N88" i="33" s="1"/>
  <c r="H114" i="33"/>
  <c r="M88" i="33" s="1"/>
  <c r="M89" i="33" s="1"/>
  <c r="I136" i="35"/>
  <c r="H136" i="35"/>
  <c r="B116" i="25"/>
  <c r="F116" i="25"/>
  <c r="I115" i="25"/>
  <c r="N88" i="25" s="1"/>
  <c r="H115" i="25"/>
  <c r="M88" i="25" s="1"/>
  <c r="M89" i="25" s="1"/>
  <c r="F115" i="33"/>
  <c r="B115" i="33"/>
  <c r="B138" i="35"/>
  <c r="E138" i="35"/>
  <c r="F138" i="35" s="1"/>
  <c r="G137" i="35"/>
  <c r="I35" i="36"/>
  <c r="F28" i="36"/>
  <c r="I27" i="36"/>
  <c r="G43" i="101" l="1"/>
  <c r="I43" i="101" s="1"/>
  <c r="D44" i="101"/>
  <c r="E44" i="101"/>
  <c r="H34" i="102"/>
  <c r="I34" i="102" s="1"/>
  <c r="D35" i="102"/>
  <c r="E35" i="102"/>
  <c r="F117" i="100"/>
  <c r="B117" i="100"/>
  <c r="H116" i="100"/>
  <c r="I116" i="100"/>
  <c r="F96" i="36"/>
  <c r="I48" i="100"/>
  <c r="D49" i="100"/>
  <c r="E49" i="100" s="1"/>
  <c r="O88" i="33"/>
  <c r="O89" i="33" s="1"/>
  <c r="N89" i="33"/>
  <c r="G28" i="36"/>
  <c r="G96" i="36" s="1"/>
  <c r="O19" i="1"/>
  <c r="N20" i="1"/>
  <c r="R133" i="1"/>
  <c r="O88" i="25"/>
  <c r="O89" i="25" s="1"/>
  <c r="N89" i="25"/>
  <c r="D44" i="43"/>
  <c r="B44" i="43" s="1"/>
  <c r="G43" i="43"/>
  <c r="I43" i="43" s="1"/>
  <c r="E44" i="43"/>
  <c r="F35" i="95"/>
  <c r="G35" i="95" s="1"/>
  <c r="B35" i="95"/>
  <c r="F36" i="26"/>
  <c r="H36" i="26" s="1"/>
  <c r="B36" i="26"/>
  <c r="D38" i="80"/>
  <c r="B38" i="80" s="1"/>
  <c r="E38" i="80"/>
  <c r="H37" i="80"/>
  <c r="I37" i="80" s="1"/>
  <c r="G41" i="97"/>
  <c r="H41" i="97"/>
  <c r="E42" i="97"/>
  <c r="F42" i="97" s="1"/>
  <c r="G42" i="97" s="1"/>
  <c r="I40" i="97"/>
  <c r="H34" i="13"/>
  <c r="D35" i="13"/>
  <c r="G34" i="13"/>
  <c r="I34" i="96"/>
  <c r="J115" i="26"/>
  <c r="F36" i="98"/>
  <c r="H36" i="98" s="1"/>
  <c r="B36" i="98"/>
  <c r="I38" i="99"/>
  <c r="I35" i="98"/>
  <c r="F39" i="99"/>
  <c r="G39" i="99" s="1"/>
  <c r="B39" i="99"/>
  <c r="I54" i="35"/>
  <c r="G38" i="75"/>
  <c r="I38" i="75" s="1"/>
  <c r="I43" i="17"/>
  <c r="G116" i="26"/>
  <c r="D117" i="26"/>
  <c r="B40" i="67"/>
  <c r="F40" i="67"/>
  <c r="G40" i="67" s="1"/>
  <c r="H40" i="64"/>
  <c r="I40" i="64" s="1"/>
  <c r="B41" i="46"/>
  <c r="F41" i="46"/>
  <c r="H41" i="46" s="1"/>
  <c r="F45" i="24"/>
  <c r="H45" i="24" s="1"/>
  <c r="B45" i="24"/>
  <c r="H44" i="19"/>
  <c r="I44" i="19" s="1"/>
  <c r="G36" i="25"/>
  <c r="H36" i="25"/>
  <c r="D37" i="25"/>
  <c r="B37" i="25" s="1"/>
  <c r="F36" i="94"/>
  <c r="H36" i="94" s="1"/>
  <c r="B36" i="94"/>
  <c r="G39" i="65"/>
  <c r="I39" i="65" s="1"/>
  <c r="G38" i="82"/>
  <c r="E39" i="82"/>
  <c r="D39" i="82"/>
  <c r="G46" i="31"/>
  <c r="I46" i="31" s="1"/>
  <c r="H38" i="82"/>
  <c r="B35" i="93"/>
  <c r="F35" i="93"/>
  <c r="H35" i="93" s="1"/>
  <c r="E38" i="86"/>
  <c r="H37" i="86"/>
  <c r="I37" i="86" s="1"/>
  <c r="D38" i="86"/>
  <c r="G42" i="58"/>
  <c r="D43" i="58"/>
  <c r="H42" i="58"/>
  <c r="E43" i="58"/>
  <c r="B40" i="66"/>
  <c r="F40" i="66"/>
  <c r="H40" i="66" s="1"/>
  <c r="B41" i="53"/>
  <c r="F41" i="53"/>
  <c r="H41" i="53" s="1"/>
  <c r="B37" i="91"/>
  <c r="F37" i="91"/>
  <c r="D40" i="65"/>
  <c r="E40" i="65"/>
  <c r="G42" i="55"/>
  <c r="I42" i="55" s="1"/>
  <c r="D43" i="55"/>
  <c r="E43" i="55"/>
  <c r="E44" i="42"/>
  <c r="D44" i="42"/>
  <c r="I44" i="32"/>
  <c r="H43" i="39"/>
  <c r="I43" i="39" s="1"/>
  <c r="B37" i="84"/>
  <c r="F37" i="84"/>
  <c r="I37" i="90"/>
  <c r="B38" i="90"/>
  <c r="F38" i="90"/>
  <c r="H41" i="72"/>
  <c r="I41" i="72" s="1"/>
  <c r="I45" i="27"/>
  <c r="G43" i="42"/>
  <c r="I43" i="42" s="1"/>
  <c r="F46" i="23"/>
  <c r="B46" i="23"/>
  <c r="E39" i="75"/>
  <c r="D39" i="75"/>
  <c r="G37" i="85"/>
  <c r="D38" i="85"/>
  <c r="E38" i="85"/>
  <c r="B37" i="81"/>
  <c r="F37" i="81"/>
  <c r="F44" i="22"/>
  <c r="G44" i="22" s="1"/>
  <c r="B44" i="22"/>
  <c r="G47" i="28"/>
  <c r="I47" i="28" s="1"/>
  <c r="G37" i="88"/>
  <c r="I37" i="88" s="1"/>
  <c r="I43" i="22"/>
  <c r="F40" i="61"/>
  <c r="H40" i="61" s="1"/>
  <c r="B40" i="61"/>
  <c r="F38" i="76"/>
  <c r="G38" i="76" s="1"/>
  <c r="B38" i="76"/>
  <c r="D42" i="72"/>
  <c r="E42" i="72"/>
  <c r="E44" i="39"/>
  <c r="D44" i="39"/>
  <c r="B46" i="27"/>
  <c r="F46" i="27"/>
  <c r="H37" i="85"/>
  <c r="B35" i="96"/>
  <c r="F35" i="96"/>
  <c r="H35" i="96" s="1"/>
  <c r="B43" i="44"/>
  <c r="F43" i="44"/>
  <c r="I45" i="29"/>
  <c r="H36" i="83"/>
  <c r="I36" i="83" s="1"/>
  <c r="D37" i="83"/>
  <c r="E37" i="83"/>
  <c r="B46" i="70"/>
  <c r="F46" i="70"/>
  <c r="H46" i="70" s="1"/>
  <c r="B43" i="74"/>
  <c r="F43" i="74"/>
  <c r="G43" i="74" s="1"/>
  <c r="B40" i="60"/>
  <c r="F40" i="60"/>
  <c r="G40" i="60" s="1"/>
  <c r="H46" i="69"/>
  <c r="D47" i="69"/>
  <c r="E47" i="69"/>
  <c r="B45" i="32"/>
  <c r="F45" i="32"/>
  <c r="G45" i="32" s="1"/>
  <c r="G45" i="71"/>
  <c r="D46" i="71"/>
  <c r="E46" i="71"/>
  <c r="F44" i="17"/>
  <c r="H44" i="17" s="1"/>
  <c r="C53" i="17"/>
  <c r="B44" i="17"/>
  <c r="B46" i="29"/>
  <c r="F46" i="29"/>
  <c r="H46" i="29" s="1"/>
  <c r="F36" i="89"/>
  <c r="H36" i="89" s="1"/>
  <c r="B36" i="89"/>
  <c r="D46" i="34"/>
  <c r="E46" i="34"/>
  <c r="H45" i="30"/>
  <c r="I45" i="30" s="1"/>
  <c r="E46" i="30"/>
  <c r="D46" i="30"/>
  <c r="E40" i="68"/>
  <c r="D40" i="68"/>
  <c r="D47" i="31"/>
  <c r="E47" i="31"/>
  <c r="E38" i="88"/>
  <c r="D38" i="88"/>
  <c r="E41" i="64"/>
  <c r="D41" i="64"/>
  <c r="D45" i="19"/>
  <c r="E45" i="19"/>
  <c r="I43" i="41"/>
  <c r="B41" i="54"/>
  <c r="F41" i="54"/>
  <c r="H41" i="54" s="1"/>
  <c r="D48" i="28"/>
  <c r="E48" i="28" s="1"/>
  <c r="F38" i="78"/>
  <c r="G38" i="78" s="1"/>
  <c r="B38" i="78"/>
  <c r="G45" i="34"/>
  <c r="I45" i="34" s="1"/>
  <c r="H44" i="3"/>
  <c r="I44" i="3" s="1"/>
  <c r="E45" i="3"/>
  <c r="D45" i="3"/>
  <c r="G39" i="68"/>
  <c r="I39" i="68" s="1"/>
  <c r="G46" i="69"/>
  <c r="D43" i="45"/>
  <c r="E43" i="45"/>
  <c r="F44" i="41"/>
  <c r="B44" i="41"/>
  <c r="F38" i="77"/>
  <c r="B38" i="77"/>
  <c r="G40" i="56"/>
  <c r="I40" i="56" s="1"/>
  <c r="D41" i="56"/>
  <c r="E41" i="56"/>
  <c r="F44" i="21"/>
  <c r="B44" i="21"/>
  <c r="B36" i="92"/>
  <c r="F36" i="92"/>
  <c r="B40" i="63"/>
  <c r="F40" i="63"/>
  <c r="G40" i="63" s="1"/>
  <c r="B43" i="73"/>
  <c r="F43" i="73"/>
  <c r="G43" i="73" s="1"/>
  <c r="B38" i="79"/>
  <c r="F38" i="79"/>
  <c r="H38" i="79" s="1"/>
  <c r="F41" i="57"/>
  <c r="H41" i="57" s="1"/>
  <c r="B41" i="57"/>
  <c r="G42" i="45"/>
  <c r="I42" i="45" s="1"/>
  <c r="H45" i="71"/>
  <c r="D40" i="62"/>
  <c r="E40" i="62"/>
  <c r="E44" i="20"/>
  <c r="D44" i="20"/>
  <c r="I39" i="59"/>
  <c r="D38" i="33"/>
  <c r="E38" i="33" s="1"/>
  <c r="B40" i="59"/>
  <c r="F40" i="59"/>
  <c r="H40" i="59" s="1"/>
  <c r="D37" i="87"/>
  <c r="E37" i="87"/>
  <c r="H43" i="20"/>
  <c r="G55" i="35"/>
  <c r="H55" i="35"/>
  <c r="B56" i="35"/>
  <c r="E56" i="35"/>
  <c r="F56" i="35" s="1"/>
  <c r="G39" i="62"/>
  <c r="H37" i="33"/>
  <c r="H36" i="87"/>
  <c r="I36" i="87" s="1"/>
  <c r="H39" i="62"/>
  <c r="G43" i="20"/>
  <c r="B45" i="18"/>
  <c r="F45" i="18"/>
  <c r="G45" i="18" s="1"/>
  <c r="G37" i="33"/>
  <c r="J136" i="35"/>
  <c r="J115" i="25"/>
  <c r="J114" i="33"/>
  <c r="I137" i="35"/>
  <c r="H137" i="35"/>
  <c r="G116" i="25"/>
  <c r="D117" i="25"/>
  <c r="E117" i="25" s="1"/>
  <c r="B139" i="35"/>
  <c r="G138" i="35"/>
  <c r="E139" i="35"/>
  <c r="F139" i="35" s="1"/>
  <c r="G115" i="33"/>
  <c r="D116" i="33"/>
  <c r="E116" i="33" s="1"/>
  <c r="B35" i="102" l="1"/>
  <c r="F35" i="102"/>
  <c r="G35" i="102"/>
  <c r="F44" i="101"/>
  <c r="H44" i="101" s="1"/>
  <c r="B44" i="101"/>
  <c r="J116" i="100"/>
  <c r="G117" i="100"/>
  <c r="D118" i="100"/>
  <c r="E118" i="100" s="1"/>
  <c r="F49" i="100"/>
  <c r="H49" i="100" s="1"/>
  <c r="B49" i="100"/>
  <c r="O20" i="1"/>
  <c r="R134" i="1"/>
  <c r="F44" i="43"/>
  <c r="D45" i="43" s="1"/>
  <c r="D37" i="26"/>
  <c r="E37" i="26" s="1"/>
  <c r="E36" i="95"/>
  <c r="D36" i="95"/>
  <c r="B36" i="95" s="1"/>
  <c r="H35" i="95"/>
  <c r="I35" i="95" s="1"/>
  <c r="G36" i="26"/>
  <c r="I36" i="26" s="1"/>
  <c r="F38" i="80"/>
  <c r="G38" i="80" s="1"/>
  <c r="E43" i="97"/>
  <c r="I41" i="97"/>
  <c r="D43" i="97"/>
  <c r="B43" i="97" s="1"/>
  <c r="H42" i="97"/>
  <c r="I42" i="97" s="1"/>
  <c r="I34" i="13"/>
  <c r="E35" i="13"/>
  <c r="F35" i="13" s="1"/>
  <c r="B35" i="13"/>
  <c r="I38" i="82"/>
  <c r="G36" i="98"/>
  <c r="I36" i="98" s="1"/>
  <c r="H39" i="99"/>
  <c r="I39" i="99" s="1"/>
  <c r="G36" i="94"/>
  <c r="I36" i="94" s="1"/>
  <c r="D40" i="99"/>
  <c r="E40" i="99"/>
  <c r="D37" i="98"/>
  <c r="E37" i="98"/>
  <c r="I36" i="25"/>
  <c r="I37" i="85"/>
  <c r="G41" i="57"/>
  <c r="I41" i="57" s="1"/>
  <c r="H116" i="26"/>
  <c r="M88" i="26" s="1"/>
  <c r="M89" i="26" s="1"/>
  <c r="I116" i="26"/>
  <c r="N88" i="26" s="1"/>
  <c r="E117" i="26"/>
  <c r="F117" i="26" s="1"/>
  <c r="B117" i="26"/>
  <c r="G38" i="79"/>
  <c r="I38" i="79" s="1"/>
  <c r="H40" i="67"/>
  <c r="I40" i="67" s="1"/>
  <c r="E41" i="67"/>
  <c r="D41" i="67"/>
  <c r="D42" i="46"/>
  <c r="E42" i="46"/>
  <c r="G41" i="46"/>
  <c r="I41" i="46" s="1"/>
  <c r="G45" i="24"/>
  <c r="I45" i="24" s="1"/>
  <c r="E46" i="24"/>
  <c r="D46" i="24"/>
  <c r="B39" i="82"/>
  <c r="F39" i="82"/>
  <c r="G39" i="82" s="1"/>
  <c r="H43" i="74"/>
  <c r="I43" i="74" s="1"/>
  <c r="F38" i="86"/>
  <c r="B38" i="86"/>
  <c r="D36" i="93"/>
  <c r="E36" i="93"/>
  <c r="G40" i="66"/>
  <c r="I40" i="66" s="1"/>
  <c r="I42" i="58"/>
  <c r="G35" i="93"/>
  <c r="I35" i="93" s="1"/>
  <c r="D37" i="94"/>
  <c r="E37" i="94"/>
  <c r="E37" i="25"/>
  <c r="F37" i="25" s="1"/>
  <c r="F39" i="75"/>
  <c r="H39" i="75" s="1"/>
  <c r="B39" i="75"/>
  <c r="H38" i="90"/>
  <c r="E39" i="90"/>
  <c r="D39" i="90"/>
  <c r="G37" i="84"/>
  <c r="E38" i="84"/>
  <c r="D38" i="84"/>
  <c r="B43" i="55"/>
  <c r="F43" i="55"/>
  <c r="G43" i="55" s="1"/>
  <c r="G37" i="91"/>
  <c r="H37" i="91"/>
  <c r="D38" i="91"/>
  <c r="E38" i="91"/>
  <c r="F44" i="42"/>
  <c r="H44" i="42" s="1"/>
  <c r="B44" i="42"/>
  <c r="H44" i="22"/>
  <c r="I44" i="22" s="1"/>
  <c r="F43" i="58"/>
  <c r="B43" i="58"/>
  <c r="H46" i="23"/>
  <c r="E47" i="23"/>
  <c r="G46" i="23"/>
  <c r="D47" i="23"/>
  <c r="G38" i="90"/>
  <c r="H37" i="84"/>
  <c r="B40" i="65"/>
  <c r="F40" i="65"/>
  <c r="G41" i="53"/>
  <c r="I41" i="53" s="1"/>
  <c r="D42" i="53"/>
  <c r="E42" i="53"/>
  <c r="D41" i="66"/>
  <c r="E41" i="66"/>
  <c r="E44" i="44"/>
  <c r="D44" i="44"/>
  <c r="H46" i="27"/>
  <c r="D47" i="27"/>
  <c r="E47" i="27"/>
  <c r="G46" i="27"/>
  <c r="B42" i="72"/>
  <c r="F42" i="72"/>
  <c r="G42" i="72" s="1"/>
  <c r="G37" i="81"/>
  <c r="E38" i="81"/>
  <c r="D38" i="81"/>
  <c r="B38" i="85"/>
  <c r="F38" i="85"/>
  <c r="G38" i="85" s="1"/>
  <c r="D36" i="96"/>
  <c r="E36" i="96"/>
  <c r="F44" i="39"/>
  <c r="H44" i="39" s="1"/>
  <c r="B44" i="39"/>
  <c r="E41" i="61"/>
  <c r="D41" i="61"/>
  <c r="H40" i="60"/>
  <c r="I40" i="60" s="1"/>
  <c r="G46" i="70"/>
  <c r="I46" i="70" s="1"/>
  <c r="G43" i="44"/>
  <c r="G40" i="61"/>
  <c r="I40" i="61" s="1"/>
  <c r="E45" i="22"/>
  <c r="D45" i="22"/>
  <c r="H43" i="44"/>
  <c r="G35" i="96"/>
  <c r="I35" i="96" s="1"/>
  <c r="H38" i="76"/>
  <c r="I38" i="76" s="1"/>
  <c r="D39" i="76"/>
  <c r="E39" i="76"/>
  <c r="H37" i="81"/>
  <c r="F46" i="34"/>
  <c r="G46" i="34" s="1"/>
  <c r="B46" i="34"/>
  <c r="B41" i="56"/>
  <c r="F41" i="56"/>
  <c r="H41" i="56" s="1"/>
  <c r="D45" i="21"/>
  <c r="E45" i="21"/>
  <c r="E39" i="77"/>
  <c r="D39" i="77"/>
  <c r="H44" i="41"/>
  <c r="D45" i="41"/>
  <c r="E45" i="41"/>
  <c r="F45" i="19"/>
  <c r="G45" i="19" s="1"/>
  <c r="B45" i="19"/>
  <c r="F41" i="64"/>
  <c r="G41" i="64" s="1"/>
  <c r="B41" i="64"/>
  <c r="E46" i="32"/>
  <c r="D46" i="32"/>
  <c r="I39" i="62"/>
  <c r="G40" i="59"/>
  <c r="I40" i="59" s="1"/>
  <c r="I45" i="71"/>
  <c r="H44" i="21"/>
  <c r="H38" i="77"/>
  <c r="E39" i="78"/>
  <c r="D39" i="78"/>
  <c r="B48" i="28"/>
  <c r="F48" i="28"/>
  <c r="G48" i="28" s="1"/>
  <c r="B47" i="31"/>
  <c r="F47" i="31"/>
  <c r="G47" i="31" s="1"/>
  <c r="F40" i="68"/>
  <c r="B40" i="68"/>
  <c r="E37" i="89"/>
  <c r="D37" i="89"/>
  <c r="D47" i="70"/>
  <c r="E47" i="70"/>
  <c r="B37" i="83"/>
  <c r="F37" i="83"/>
  <c r="G37" i="83" s="1"/>
  <c r="E37" i="92"/>
  <c r="D37" i="92"/>
  <c r="F46" i="30"/>
  <c r="G46" i="30" s="1"/>
  <c r="B46" i="30"/>
  <c r="D41" i="63"/>
  <c r="E41" i="63"/>
  <c r="H36" i="92"/>
  <c r="B45" i="3"/>
  <c r="F45" i="3"/>
  <c r="G45" i="3" s="1"/>
  <c r="E42" i="54"/>
  <c r="D42" i="54"/>
  <c r="D45" i="17"/>
  <c r="E45" i="17"/>
  <c r="E42" i="57"/>
  <c r="D42" i="57"/>
  <c r="E39" i="79"/>
  <c r="D39" i="79"/>
  <c r="H43" i="73"/>
  <c r="I43" i="73" s="1"/>
  <c r="D44" i="73"/>
  <c r="E44" i="73"/>
  <c r="H40" i="63"/>
  <c r="I40" i="63" s="1"/>
  <c r="G36" i="92"/>
  <c r="G44" i="21"/>
  <c r="G38" i="77"/>
  <c r="G44" i="41"/>
  <c r="B43" i="45"/>
  <c r="F43" i="45"/>
  <c r="I46" i="69"/>
  <c r="H38" i="78"/>
  <c r="I38" i="78" s="1"/>
  <c r="G41" i="54"/>
  <c r="I41" i="54" s="1"/>
  <c r="B38" i="88"/>
  <c r="F38" i="88"/>
  <c r="H38" i="88" s="1"/>
  <c r="G36" i="89"/>
  <c r="I36" i="89" s="1"/>
  <c r="G46" i="29"/>
  <c r="I46" i="29" s="1"/>
  <c r="D47" i="29"/>
  <c r="E47" i="29"/>
  <c r="G44" i="17"/>
  <c r="I44" i="17" s="1"/>
  <c r="B46" i="71"/>
  <c r="F46" i="71"/>
  <c r="H46" i="71" s="1"/>
  <c r="H45" i="32"/>
  <c r="I45" i="32" s="1"/>
  <c r="B47" i="69"/>
  <c r="F47" i="69"/>
  <c r="D41" i="60"/>
  <c r="E41" i="60"/>
  <c r="E44" i="74"/>
  <c r="D44" i="74"/>
  <c r="H45" i="18"/>
  <c r="I45" i="18" s="1"/>
  <c r="I37" i="33"/>
  <c r="F37" i="87"/>
  <c r="H37" i="87" s="1"/>
  <c r="B37" i="87"/>
  <c r="B57" i="35"/>
  <c r="G56" i="35"/>
  <c r="H56" i="35"/>
  <c r="E57" i="35"/>
  <c r="F57" i="35" s="1"/>
  <c r="D41" i="59"/>
  <c r="E41" i="59"/>
  <c r="F38" i="33"/>
  <c r="G38" i="33" s="1"/>
  <c r="B38" i="33"/>
  <c r="E46" i="18"/>
  <c r="D46" i="18"/>
  <c r="I43" i="20"/>
  <c r="B40" i="62"/>
  <c r="F40" i="62"/>
  <c r="H40" i="62" s="1"/>
  <c r="I55" i="35"/>
  <c r="F44" i="20"/>
  <c r="B44" i="20"/>
  <c r="J137" i="35"/>
  <c r="I138" i="35"/>
  <c r="H138" i="35"/>
  <c r="F117" i="25"/>
  <c r="B117" i="25"/>
  <c r="B116" i="33"/>
  <c r="F116" i="33"/>
  <c r="H116" i="25"/>
  <c r="I116" i="25"/>
  <c r="I115" i="33"/>
  <c r="H115" i="33"/>
  <c r="G139" i="35"/>
  <c r="B140" i="35"/>
  <c r="E140" i="35"/>
  <c r="F140" i="35" s="1"/>
  <c r="I28" i="36"/>
  <c r="G44" i="101" l="1"/>
  <c r="I44" i="101" s="1"/>
  <c r="D45" i="101"/>
  <c r="E45" i="101" s="1"/>
  <c r="G49" i="100"/>
  <c r="I49" i="100" s="1"/>
  <c r="H35" i="102"/>
  <c r="I35" i="102" s="1"/>
  <c r="D36" i="102"/>
  <c r="E36" i="102" s="1"/>
  <c r="F118" i="100"/>
  <c r="B118" i="100"/>
  <c r="H117" i="100"/>
  <c r="I117" i="100"/>
  <c r="D50" i="100"/>
  <c r="E50" i="100" s="1"/>
  <c r="O88" i="26"/>
  <c r="O89" i="26" s="1"/>
  <c r="N89" i="26"/>
  <c r="G44" i="43"/>
  <c r="H44" i="43"/>
  <c r="E45" i="43"/>
  <c r="F45" i="43" s="1"/>
  <c r="G45" i="43" s="1"/>
  <c r="H38" i="80"/>
  <c r="I38" i="80" s="1"/>
  <c r="B37" i="26"/>
  <c r="F37" i="26"/>
  <c r="D38" i="26" s="1"/>
  <c r="E38" i="26" s="1"/>
  <c r="F36" i="95"/>
  <c r="H36" i="95" s="1"/>
  <c r="E39" i="80"/>
  <c r="D39" i="80"/>
  <c r="B39" i="80" s="1"/>
  <c r="F43" i="97"/>
  <c r="G43" i="97" s="1"/>
  <c r="D36" i="13"/>
  <c r="H35" i="13"/>
  <c r="G35" i="13"/>
  <c r="I43" i="44"/>
  <c r="J116" i="26"/>
  <c r="I37" i="81"/>
  <c r="B37" i="98"/>
  <c r="F37" i="98"/>
  <c r="H37" i="98" s="1"/>
  <c r="B40" i="99"/>
  <c r="F40" i="99"/>
  <c r="D41" i="99" s="1"/>
  <c r="I44" i="41"/>
  <c r="I37" i="84"/>
  <c r="I44" i="21"/>
  <c r="D118" i="26"/>
  <c r="G117" i="26"/>
  <c r="I38" i="90"/>
  <c r="G39" i="75"/>
  <c r="I39" i="75" s="1"/>
  <c r="F41" i="67"/>
  <c r="G41" i="67" s="1"/>
  <c r="B41" i="67"/>
  <c r="F42" i="46"/>
  <c r="G42" i="46" s="1"/>
  <c r="B42" i="46"/>
  <c r="G44" i="42"/>
  <c r="I44" i="42" s="1"/>
  <c r="F46" i="24"/>
  <c r="G46" i="24" s="1"/>
  <c r="B46" i="24"/>
  <c r="D38" i="25"/>
  <c r="G37" i="25"/>
  <c r="H37" i="25"/>
  <c r="G38" i="86"/>
  <c r="H38" i="86"/>
  <c r="D39" i="86"/>
  <c r="E39" i="86"/>
  <c r="H39" i="82"/>
  <c r="I39" i="82" s="1"/>
  <c r="E40" i="82"/>
  <c r="D40" i="82"/>
  <c r="I46" i="23"/>
  <c r="B37" i="94"/>
  <c r="F37" i="94"/>
  <c r="G37" i="94" s="1"/>
  <c r="F36" i="93"/>
  <c r="B36" i="93"/>
  <c r="I46" i="27"/>
  <c r="H40" i="65"/>
  <c r="E41" i="65"/>
  <c r="D41" i="65"/>
  <c r="F47" i="23"/>
  <c r="B47" i="23"/>
  <c r="D45" i="42"/>
  <c r="E45" i="42"/>
  <c r="I37" i="91"/>
  <c r="E44" i="55"/>
  <c r="D44" i="55"/>
  <c r="F42" i="53"/>
  <c r="G42" i="53" s="1"/>
  <c r="B42" i="53"/>
  <c r="B39" i="90"/>
  <c r="F39" i="90"/>
  <c r="H39" i="90" s="1"/>
  <c r="G41" i="56"/>
  <c r="I41" i="56" s="1"/>
  <c r="G43" i="58"/>
  <c r="E44" i="58"/>
  <c r="D44" i="58"/>
  <c r="B38" i="84"/>
  <c r="F38" i="84"/>
  <c r="B41" i="66"/>
  <c r="F41" i="66"/>
  <c r="G40" i="65"/>
  <c r="H43" i="58"/>
  <c r="B38" i="91"/>
  <c r="F38" i="91"/>
  <c r="H38" i="91" s="1"/>
  <c r="H43" i="55"/>
  <c r="I43" i="55" s="1"/>
  <c r="D40" i="75"/>
  <c r="E40" i="75"/>
  <c r="G44" i="39"/>
  <c r="I44" i="39" s="1"/>
  <c r="D39" i="85"/>
  <c r="E39" i="85"/>
  <c r="G38" i="88"/>
  <c r="I38" i="88" s="1"/>
  <c r="H41" i="64"/>
  <c r="I41" i="64" s="1"/>
  <c r="B41" i="61"/>
  <c r="F41" i="61"/>
  <c r="G41" i="61" s="1"/>
  <c r="H38" i="33"/>
  <c r="I38" i="33" s="1"/>
  <c r="I56" i="35"/>
  <c r="B39" i="76"/>
  <c r="F39" i="76"/>
  <c r="G39" i="76" s="1"/>
  <c r="B45" i="22"/>
  <c r="F45" i="22"/>
  <c r="H45" i="22" s="1"/>
  <c r="B36" i="96"/>
  <c r="F36" i="96"/>
  <c r="H36" i="96" s="1"/>
  <c r="H38" i="85"/>
  <c r="I38" i="85" s="1"/>
  <c r="B44" i="44"/>
  <c r="F44" i="44"/>
  <c r="D45" i="39"/>
  <c r="E45" i="39"/>
  <c r="B38" i="81"/>
  <c r="F38" i="81"/>
  <c r="H38" i="81" s="1"/>
  <c r="H42" i="72"/>
  <c r="I42" i="72" s="1"/>
  <c r="E43" i="72"/>
  <c r="D43" i="72"/>
  <c r="B47" i="27"/>
  <c r="F47" i="27"/>
  <c r="I36" i="92"/>
  <c r="E48" i="69"/>
  <c r="D48" i="69"/>
  <c r="B47" i="29"/>
  <c r="F47" i="29"/>
  <c r="H47" i="29" s="1"/>
  <c r="D44" i="45"/>
  <c r="E44" i="45"/>
  <c r="F39" i="79"/>
  <c r="H39" i="79" s="1"/>
  <c r="B39" i="79"/>
  <c r="F41" i="63"/>
  <c r="G41" i="63" s="1"/>
  <c r="B41" i="63"/>
  <c r="F37" i="89"/>
  <c r="G37" i="89" s="1"/>
  <c r="B37" i="89"/>
  <c r="E41" i="68"/>
  <c r="D41" i="68"/>
  <c r="I38" i="77"/>
  <c r="F46" i="32"/>
  <c r="G46" i="32" s="1"/>
  <c r="B46" i="32"/>
  <c r="H46" i="34"/>
  <c r="I46" i="34" s="1"/>
  <c r="E47" i="34"/>
  <c r="D47" i="34"/>
  <c r="F41" i="60"/>
  <c r="H41" i="60" s="1"/>
  <c r="B41" i="60"/>
  <c r="D47" i="30"/>
  <c r="E47" i="30"/>
  <c r="F47" i="70"/>
  <c r="H47" i="70" s="1"/>
  <c r="B47" i="70"/>
  <c r="G40" i="68"/>
  <c r="H47" i="31"/>
  <c r="I47" i="31" s="1"/>
  <c r="H48" i="28"/>
  <c r="I48" i="28" s="1"/>
  <c r="F39" i="78"/>
  <c r="G39" i="78" s="1"/>
  <c r="B39" i="78"/>
  <c r="D42" i="64"/>
  <c r="E42" i="64"/>
  <c r="H45" i="19"/>
  <c r="I45" i="19" s="1"/>
  <c r="F45" i="41"/>
  <c r="G45" i="41" s="1"/>
  <c r="B45" i="41"/>
  <c r="G37" i="87"/>
  <c r="I37" i="87" s="1"/>
  <c r="F44" i="74"/>
  <c r="G44" i="74" s="1"/>
  <c r="B44" i="74"/>
  <c r="H47" i="69"/>
  <c r="G43" i="45"/>
  <c r="B44" i="73"/>
  <c r="F44" i="73"/>
  <c r="B42" i="57"/>
  <c r="F42" i="57"/>
  <c r="H42" i="57" s="1"/>
  <c r="F45" i="17"/>
  <c r="G45" i="17" s="1"/>
  <c r="C54" i="17"/>
  <c r="B45" i="17"/>
  <c r="H45" i="3"/>
  <c r="I45" i="3" s="1"/>
  <c r="E46" i="3"/>
  <c r="D46" i="3"/>
  <c r="H46" i="30"/>
  <c r="I46" i="30" s="1"/>
  <c r="H37" i="83"/>
  <c r="I37" i="83" s="1"/>
  <c r="D38" i="83"/>
  <c r="E38" i="83"/>
  <c r="B45" i="21"/>
  <c r="F45" i="21"/>
  <c r="H45" i="21" s="1"/>
  <c r="D42" i="56"/>
  <c r="E42" i="56"/>
  <c r="G47" i="69"/>
  <c r="G46" i="71"/>
  <c r="I46" i="71" s="1"/>
  <c r="E47" i="71"/>
  <c r="D47" i="71"/>
  <c r="D39" i="88"/>
  <c r="E39" i="88"/>
  <c r="H43" i="45"/>
  <c r="F42" i="54"/>
  <c r="H42" i="54" s="1"/>
  <c r="B42" i="54"/>
  <c r="B37" i="92"/>
  <c r="F37" i="92"/>
  <c r="H37" i="92" s="1"/>
  <c r="H40" i="68"/>
  <c r="E48" i="31"/>
  <c r="D48" i="31"/>
  <c r="D49" i="28"/>
  <c r="E49" i="28"/>
  <c r="E46" i="19"/>
  <c r="D46" i="19"/>
  <c r="F39" i="77"/>
  <c r="G39" i="77" s="1"/>
  <c r="B39" i="77"/>
  <c r="B45" i="43"/>
  <c r="E41" i="62"/>
  <c r="D41" i="62"/>
  <c r="B41" i="59"/>
  <c r="F41" i="59"/>
  <c r="H41" i="59" s="1"/>
  <c r="D45" i="20"/>
  <c r="E45" i="20"/>
  <c r="G44" i="20"/>
  <c r="D39" i="33"/>
  <c r="E39" i="33" s="1"/>
  <c r="E38" i="87"/>
  <c r="D38" i="87"/>
  <c r="H44" i="20"/>
  <c r="G40" i="62"/>
  <c r="I40" i="62" s="1"/>
  <c r="B46" i="18"/>
  <c r="F46" i="18"/>
  <c r="H46" i="18" s="1"/>
  <c r="H57" i="35"/>
  <c r="B58" i="35"/>
  <c r="E58" i="35"/>
  <c r="F58" i="35" s="1"/>
  <c r="G57" i="35"/>
  <c r="J138" i="35"/>
  <c r="J115" i="33"/>
  <c r="J116" i="25"/>
  <c r="I139" i="35"/>
  <c r="H139" i="35"/>
  <c r="G116" i="33"/>
  <c r="D117" i="33"/>
  <c r="E117" i="33" s="1"/>
  <c r="B141" i="35"/>
  <c r="E141" i="35"/>
  <c r="F141" i="35" s="1"/>
  <c r="G140" i="35"/>
  <c r="D118" i="25"/>
  <c r="E118" i="25" s="1"/>
  <c r="G117" i="25"/>
  <c r="B45" i="101" l="1"/>
  <c r="F45" i="101"/>
  <c r="H45" i="101" s="1"/>
  <c r="F36" i="102"/>
  <c r="H36" i="102" s="1"/>
  <c r="B36" i="102"/>
  <c r="G118" i="100"/>
  <c r="D119" i="100"/>
  <c r="E119" i="100" s="1"/>
  <c r="J117" i="100"/>
  <c r="F50" i="100"/>
  <c r="G50" i="100" s="1"/>
  <c r="B50" i="100"/>
  <c r="I44" i="43"/>
  <c r="G37" i="26"/>
  <c r="H37" i="26"/>
  <c r="E37" i="95"/>
  <c r="D37" i="95"/>
  <c r="B37" i="95" s="1"/>
  <c r="G36" i="95"/>
  <c r="I36" i="95" s="1"/>
  <c r="F39" i="80"/>
  <c r="G39" i="80" s="1"/>
  <c r="D44" i="97"/>
  <c r="B44" i="97" s="1"/>
  <c r="E44" i="97"/>
  <c r="H43" i="97"/>
  <c r="I43" i="97" s="1"/>
  <c r="I35" i="13"/>
  <c r="B36" i="13"/>
  <c r="E36" i="13"/>
  <c r="F36" i="13" s="1"/>
  <c r="G37" i="98"/>
  <c r="I37" i="98" s="1"/>
  <c r="I37" i="25"/>
  <c r="G40" i="99"/>
  <c r="E41" i="99"/>
  <c r="F41" i="99" s="1"/>
  <c r="G41" i="99" s="1"/>
  <c r="B41" i="99"/>
  <c r="D38" i="98"/>
  <c r="E38" i="98"/>
  <c r="H40" i="99"/>
  <c r="G47" i="70"/>
  <c r="I47" i="70" s="1"/>
  <c r="H45" i="17"/>
  <c r="I45" i="17" s="1"/>
  <c r="I40" i="65"/>
  <c r="G42" i="57"/>
  <c r="I42" i="57" s="1"/>
  <c r="H42" i="46"/>
  <c r="I42" i="46" s="1"/>
  <c r="H117" i="26"/>
  <c r="I117" i="26"/>
  <c r="E118" i="26"/>
  <c r="F118" i="26" s="1"/>
  <c r="B118" i="26"/>
  <c r="H37" i="89"/>
  <c r="I37" i="89" s="1"/>
  <c r="H39" i="76"/>
  <c r="I39" i="76" s="1"/>
  <c r="H41" i="67"/>
  <c r="I41" i="67" s="1"/>
  <c r="E42" i="67"/>
  <c r="D42" i="67"/>
  <c r="E43" i="46"/>
  <c r="D43" i="46"/>
  <c r="H46" i="24"/>
  <c r="I46" i="24" s="1"/>
  <c r="D47" i="24"/>
  <c r="E47" i="24"/>
  <c r="G41" i="60"/>
  <c r="I41" i="60" s="1"/>
  <c r="G45" i="22"/>
  <c r="I45" i="22" s="1"/>
  <c r="D37" i="93"/>
  <c r="E37" i="93"/>
  <c r="H44" i="74"/>
  <c r="I44" i="74" s="1"/>
  <c r="H36" i="93"/>
  <c r="G36" i="93"/>
  <c r="H37" i="94"/>
  <c r="I37" i="94" s="1"/>
  <c r="D38" i="94"/>
  <c r="E38" i="94"/>
  <c r="B40" i="82"/>
  <c r="F40" i="82"/>
  <c r="H40" i="82" s="1"/>
  <c r="F39" i="86"/>
  <c r="B39" i="86"/>
  <c r="H39" i="78"/>
  <c r="I39" i="78" s="1"/>
  <c r="I38" i="86"/>
  <c r="E38" i="25"/>
  <c r="F38" i="25" s="1"/>
  <c r="B38" i="25"/>
  <c r="G38" i="81"/>
  <c r="I38" i="81" s="1"/>
  <c r="G41" i="66"/>
  <c r="D42" i="66"/>
  <c r="E42" i="66"/>
  <c r="H38" i="84"/>
  <c r="E39" i="84"/>
  <c r="D39" i="84"/>
  <c r="B41" i="65"/>
  <c r="F41" i="65"/>
  <c r="H41" i="65" s="1"/>
  <c r="I43" i="58"/>
  <c r="G39" i="90"/>
  <c r="I39" i="90" s="1"/>
  <c r="E40" i="90"/>
  <c r="D40" i="90"/>
  <c r="F44" i="55"/>
  <c r="H44" i="55" s="1"/>
  <c r="B44" i="55"/>
  <c r="F45" i="42"/>
  <c r="G45" i="42" s="1"/>
  <c r="B45" i="42"/>
  <c r="G47" i="29"/>
  <c r="I47" i="29" s="1"/>
  <c r="E39" i="91"/>
  <c r="D39" i="91"/>
  <c r="G38" i="91"/>
  <c r="I38" i="91" s="1"/>
  <c r="F40" i="75"/>
  <c r="H40" i="75" s="1"/>
  <c r="B40" i="75"/>
  <c r="H41" i="66"/>
  <c r="G38" i="84"/>
  <c r="B44" i="58"/>
  <c r="F44" i="58"/>
  <c r="H42" i="53"/>
  <c r="I42" i="53" s="1"/>
  <c r="D43" i="53"/>
  <c r="E43" i="53"/>
  <c r="H47" i="23"/>
  <c r="G47" i="23"/>
  <c r="D48" i="23"/>
  <c r="E48" i="23"/>
  <c r="D45" i="44"/>
  <c r="E45" i="44"/>
  <c r="H41" i="61"/>
  <c r="I41" i="61" s="1"/>
  <c r="B43" i="72"/>
  <c r="F43" i="72"/>
  <c r="G43" i="72" s="1"/>
  <c r="F45" i="39"/>
  <c r="H45" i="39" s="1"/>
  <c r="B45" i="39"/>
  <c r="G44" i="44"/>
  <c r="E40" i="76"/>
  <c r="D40" i="76"/>
  <c r="D39" i="81"/>
  <c r="E39" i="81"/>
  <c r="D42" i="61"/>
  <c r="E42" i="61"/>
  <c r="B39" i="85"/>
  <c r="F39" i="85"/>
  <c r="H39" i="85" s="1"/>
  <c r="H46" i="32"/>
  <c r="I46" i="32" s="1"/>
  <c r="G47" i="27"/>
  <c r="H47" i="27"/>
  <c r="D48" i="27"/>
  <c r="E48" i="27"/>
  <c r="H44" i="44"/>
  <c r="G36" i="96"/>
  <c r="I36" i="96" s="1"/>
  <c r="E37" i="96"/>
  <c r="D37" i="96"/>
  <c r="E46" i="22"/>
  <c r="D46" i="22"/>
  <c r="I44" i="20"/>
  <c r="H45" i="43"/>
  <c r="I45" i="43" s="1"/>
  <c r="H39" i="77"/>
  <c r="I39" i="77" s="1"/>
  <c r="B47" i="71"/>
  <c r="F47" i="71"/>
  <c r="H47" i="71" s="1"/>
  <c r="B38" i="83"/>
  <c r="F38" i="83"/>
  <c r="F47" i="34"/>
  <c r="G47" i="34" s="1"/>
  <c r="B47" i="34"/>
  <c r="E40" i="79"/>
  <c r="D40" i="79"/>
  <c r="I57" i="35"/>
  <c r="G42" i="54"/>
  <c r="I42" i="54" s="1"/>
  <c r="E43" i="57"/>
  <c r="D43" i="57"/>
  <c r="I43" i="45"/>
  <c r="I47" i="69"/>
  <c r="D45" i="74"/>
  <c r="E45" i="74"/>
  <c r="H41" i="63"/>
  <c r="I41" i="63" s="1"/>
  <c r="E42" i="63"/>
  <c r="D42" i="63"/>
  <c r="G39" i="79"/>
  <c r="I39" i="79" s="1"/>
  <c r="D48" i="29"/>
  <c r="E48" i="29"/>
  <c r="E46" i="43"/>
  <c r="D46" i="43"/>
  <c r="B46" i="19"/>
  <c r="F46" i="19"/>
  <c r="G46" i="19" s="1"/>
  <c r="B49" i="28"/>
  <c r="F49" i="28"/>
  <c r="G49" i="28" s="1"/>
  <c r="G37" i="92"/>
  <c r="I37" i="92" s="1"/>
  <c r="E38" i="92"/>
  <c r="D38" i="92"/>
  <c r="B42" i="56"/>
  <c r="F42" i="56"/>
  <c r="E46" i="17"/>
  <c r="D46" i="17"/>
  <c r="F42" i="64"/>
  <c r="H42" i="64" s="1"/>
  <c r="B42" i="64"/>
  <c r="B47" i="30"/>
  <c r="F47" i="30"/>
  <c r="H47" i="30" s="1"/>
  <c r="D47" i="32"/>
  <c r="E47" i="32"/>
  <c r="F41" i="68"/>
  <c r="G41" i="68" s="1"/>
  <c r="B41" i="68"/>
  <c r="F44" i="45"/>
  <c r="B44" i="45"/>
  <c r="D40" i="77"/>
  <c r="E40" i="77"/>
  <c r="B48" i="31"/>
  <c r="F48" i="31"/>
  <c r="H48" i="31" s="1"/>
  <c r="E43" i="54"/>
  <c r="D43" i="54"/>
  <c r="F39" i="88"/>
  <c r="G39" i="88" s="1"/>
  <c r="B39" i="88"/>
  <c r="G45" i="21"/>
  <c r="I45" i="21" s="1"/>
  <c r="D46" i="21"/>
  <c r="E46" i="21"/>
  <c r="F46" i="3"/>
  <c r="G46" i="3" s="1"/>
  <c r="B46" i="3"/>
  <c r="G44" i="73"/>
  <c r="E45" i="73"/>
  <c r="H44" i="73"/>
  <c r="D45" i="73"/>
  <c r="H45" i="41"/>
  <c r="I45" i="41" s="1"/>
  <c r="E46" i="41"/>
  <c r="D46" i="41"/>
  <c r="E40" i="78"/>
  <c r="D40" i="78"/>
  <c r="I40" i="68"/>
  <c r="E48" i="70"/>
  <c r="D48" i="70"/>
  <c r="D42" i="60"/>
  <c r="E42" i="60"/>
  <c r="E38" i="89"/>
  <c r="D38" i="89"/>
  <c r="F48" i="69"/>
  <c r="H48" i="69" s="1"/>
  <c r="B48" i="69"/>
  <c r="E47" i="18"/>
  <c r="D47" i="18"/>
  <c r="B39" i="33"/>
  <c r="F39" i="33"/>
  <c r="H39" i="33" s="1"/>
  <c r="F45" i="20"/>
  <c r="G45" i="20" s="1"/>
  <c r="B45" i="20"/>
  <c r="E42" i="59"/>
  <c r="D42" i="59"/>
  <c r="B38" i="26"/>
  <c r="F38" i="26"/>
  <c r="G38" i="26" s="1"/>
  <c r="B41" i="62"/>
  <c r="F41" i="62"/>
  <c r="H41" i="62" s="1"/>
  <c r="G41" i="59"/>
  <c r="I41" i="59" s="1"/>
  <c r="B38" i="87"/>
  <c r="F38" i="87"/>
  <c r="G38" i="87" s="1"/>
  <c r="G58" i="35"/>
  <c r="E59" i="35"/>
  <c r="F59" i="35" s="1"/>
  <c r="B59" i="35"/>
  <c r="H58" i="35"/>
  <c r="G46" i="18"/>
  <c r="I46" i="18" s="1"/>
  <c r="J139" i="35"/>
  <c r="B118" i="25"/>
  <c r="F118" i="25"/>
  <c r="H116" i="33"/>
  <c r="I116" i="33"/>
  <c r="H140" i="35"/>
  <c r="I140" i="35"/>
  <c r="H117" i="25"/>
  <c r="I117" i="25"/>
  <c r="G141" i="35"/>
  <c r="B142" i="35"/>
  <c r="E142" i="35"/>
  <c r="F142" i="35" s="1"/>
  <c r="B117" i="33"/>
  <c r="F117" i="33"/>
  <c r="G36" i="102" l="1"/>
  <c r="I36" i="102" s="1"/>
  <c r="D37" i="102"/>
  <c r="E37" i="102" s="1"/>
  <c r="H50" i="100"/>
  <c r="I50" i="100" s="1"/>
  <c r="G45" i="101"/>
  <c r="I45" i="101" s="1"/>
  <c r="D46" i="101"/>
  <c r="B119" i="100"/>
  <c r="F119" i="100"/>
  <c r="I118" i="100"/>
  <c r="H118" i="100"/>
  <c r="D51" i="100"/>
  <c r="E51" i="100"/>
  <c r="I37" i="26"/>
  <c r="F37" i="95"/>
  <c r="G37" i="95" s="1"/>
  <c r="E40" i="80"/>
  <c r="D40" i="80"/>
  <c r="H39" i="80"/>
  <c r="I39" i="80" s="1"/>
  <c r="F44" i="97"/>
  <c r="D45" i="97" s="1"/>
  <c r="B45" i="97" s="1"/>
  <c r="D37" i="13"/>
  <c r="H36" i="13"/>
  <c r="G36" i="13"/>
  <c r="I40" i="99"/>
  <c r="B38" i="98"/>
  <c r="F38" i="98"/>
  <c r="G38" i="98" s="1"/>
  <c r="D42" i="99"/>
  <c r="E42" i="99"/>
  <c r="H41" i="99"/>
  <c r="I41" i="99" s="1"/>
  <c r="J117" i="26"/>
  <c r="D119" i="26"/>
  <c r="G118" i="26"/>
  <c r="G40" i="75"/>
  <c r="I40" i="75" s="1"/>
  <c r="I36" i="93"/>
  <c r="B42" i="67"/>
  <c r="F42" i="67"/>
  <c r="H42" i="67" s="1"/>
  <c r="I41" i="66"/>
  <c r="B43" i="46"/>
  <c r="F43" i="46"/>
  <c r="H43" i="46" s="1"/>
  <c r="F47" i="24"/>
  <c r="G47" i="24" s="1"/>
  <c r="B47" i="24"/>
  <c r="H38" i="25"/>
  <c r="G38" i="25"/>
  <c r="D39" i="25"/>
  <c r="B39" i="25" s="1"/>
  <c r="G48" i="31"/>
  <c r="I48" i="31" s="1"/>
  <c r="G47" i="71"/>
  <c r="I47" i="71" s="1"/>
  <c r="B38" i="94"/>
  <c r="F38" i="94"/>
  <c r="H38" i="94" s="1"/>
  <c r="F37" i="93"/>
  <c r="B37" i="93"/>
  <c r="H39" i="88"/>
  <c r="I39" i="88" s="1"/>
  <c r="G40" i="82"/>
  <c r="I40" i="82" s="1"/>
  <c r="D41" i="82"/>
  <c r="E41" i="82"/>
  <c r="H38" i="87"/>
  <c r="I38" i="87" s="1"/>
  <c r="I44" i="73"/>
  <c r="G39" i="86"/>
  <c r="H39" i="86"/>
  <c r="E40" i="86"/>
  <c r="D40" i="86"/>
  <c r="I44" i="44"/>
  <c r="H43" i="72"/>
  <c r="I43" i="72" s="1"/>
  <c r="I47" i="23"/>
  <c r="D45" i="58"/>
  <c r="H44" i="58"/>
  <c r="E45" i="58"/>
  <c r="G44" i="58"/>
  <c r="G41" i="65"/>
  <c r="I41" i="65" s="1"/>
  <c r="G47" i="30"/>
  <c r="I47" i="30" s="1"/>
  <c r="E41" i="75"/>
  <c r="D41" i="75"/>
  <c r="I38" i="84"/>
  <c r="B48" i="23"/>
  <c r="F48" i="23"/>
  <c r="F43" i="53"/>
  <c r="G43" i="53" s="1"/>
  <c r="B43" i="53"/>
  <c r="B39" i="91"/>
  <c r="F39" i="91"/>
  <c r="H39" i="91" s="1"/>
  <c r="G44" i="55"/>
  <c r="I44" i="55" s="1"/>
  <c r="D45" i="55"/>
  <c r="E45" i="55"/>
  <c r="H45" i="42"/>
  <c r="I45" i="42" s="1"/>
  <c r="E46" i="42"/>
  <c r="D46" i="42"/>
  <c r="F40" i="90"/>
  <c r="G40" i="90" s="1"/>
  <c r="B40" i="90"/>
  <c r="E42" i="65"/>
  <c r="D42" i="65"/>
  <c r="B39" i="84"/>
  <c r="F39" i="84"/>
  <c r="F42" i="66"/>
  <c r="G42" i="66" s="1"/>
  <c r="B42" i="66"/>
  <c r="G39" i="85"/>
  <c r="I39" i="85" s="1"/>
  <c r="D40" i="85"/>
  <c r="E40" i="85"/>
  <c r="F39" i="81"/>
  <c r="H39" i="81" s="1"/>
  <c r="B39" i="81"/>
  <c r="G39" i="33"/>
  <c r="I39" i="33" s="1"/>
  <c r="G48" i="69"/>
  <c r="I48" i="69" s="1"/>
  <c r="H41" i="68"/>
  <c r="I41" i="68" s="1"/>
  <c r="B37" i="96"/>
  <c r="F37" i="96"/>
  <c r="H37" i="96" s="1"/>
  <c r="B48" i="27"/>
  <c r="F48" i="27"/>
  <c r="E46" i="39"/>
  <c r="D46" i="39"/>
  <c r="B45" i="44"/>
  <c r="F45" i="44"/>
  <c r="H45" i="44" s="1"/>
  <c r="B46" i="22"/>
  <c r="F46" i="22"/>
  <c r="H46" i="22" s="1"/>
  <c r="B40" i="76"/>
  <c r="F40" i="76"/>
  <c r="G40" i="76" s="1"/>
  <c r="I47" i="27"/>
  <c r="B42" i="61"/>
  <c r="F42" i="61"/>
  <c r="H42" i="61" s="1"/>
  <c r="G45" i="39"/>
  <c r="I45" i="39" s="1"/>
  <c r="D44" i="72"/>
  <c r="E44" i="72"/>
  <c r="F42" i="60"/>
  <c r="H42" i="60" s="1"/>
  <c r="B42" i="60"/>
  <c r="E47" i="3"/>
  <c r="D47" i="3"/>
  <c r="D43" i="56"/>
  <c r="E43" i="56"/>
  <c r="B38" i="92"/>
  <c r="F38" i="92"/>
  <c r="G38" i="92" s="1"/>
  <c r="D50" i="28"/>
  <c r="E50" i="28" s="1"/>
  <c r="B43" i="57"/>
  <c r="F43" i="57"/>
  <c r="G43" i="57" s="1"/>
  <c r="D39" i="83"/>
  <c r="E39" i="83"/>
  <c r="G41" i="62"/>
  <c r="I41" i="62" s="1"/>
  <c r="E49" i="69"/>
  <c r="D49" i="69"/>
  <c r="B40" i="78"/>
  <c r="F40" i="78"/>
  <c r="H40" i="78" s="1"/>
  <c r="B45" i="73"/>
  <c r="F45" i="73"/>
  <c r="G45" i="73" s="1"/>
  <c r="G44" i="45"/>
  <c r="E45" i="45"/>
  <c r="D45" i="45"/>
  <c r="F47" i="32"/>
  <c r="G47" i="32" s="1"/>
  <c r="B47" i="32"/>
  <c r="F46" i="17"/>
  <c r="H46" i="17" s="1"/>
  <c r="B46" i="17"/>
  <c r="C55" i="17"/>
  <c r="D47" i="19"/>
  <c r="E47" i="19"/>
  <c r="F42" i="63"/>
  <c r="H42" i="63" s="1"/>
  <c r="B42" i="63"/>
  <c r="B45" i="74"/>
  <c r="F45" i="74"/>
  <c r="H45" i="74" s="1"/>
  <c r="F40" i="79"/>
  <c r="G40" i="79" s="1"/>
  <c r="B40" i="79"/>
  <c r="B38" i="89"/>
  <c r="F38" i="89"/>
  <c r="H38" i="89" s="1"/>
  <c r="F48" i="70"/>
  <c r="H48" i="70" s="1"/>
  <c r="B48" i="70"/>
  <c r="B46" i="41"/>
  <c r="F46" i="41"/>
  <c r="H46" i="41" s="1"/>
  <c r="F46" i="21"/>
  <c r="H46" i="21" s="1"/>
  <c r="B46" i="21"/>
  <c r="E40" i="88"/>
  <c r="D40" i="88"/>
  <c r="D49" i="31"/>
  <c r="E49" i="31"/>
  <c r="B40" i="77"/>
  <c r="F40" i="77"/>
  <c r="G40" i="77" s="1"/>
  <c r="D42" i="68"/>
  <c r="E42" i="68"/>
  <c r="D43" i="64"/>
  <c r="E43" i="64"/>
  <c r="G42" i="56"/>
  <c r="H49" i="28"/>
  <c r="I49" i="28" s="1"/>
  <c r="B48" i="29"/>
  <c r="F48" i="29"/>
  <c r="H48" i="29" s="1"/>
  <c r="E48" i="34"/>
  <c r="D48" i="34"/>
  <c r="H47" i="34"/>
  <c r="I47" i="34" s="1"/>
  <c r="G38" i="83"/>
  <c r="H46" i="3"/>
  <c r="I46" i="3" s="1"/>
  <c r="B43" i="54"/>
  <c r="F43" i="54"/>
  <c r="H43" i="54" s="1"/>
  <c r="H44" i="45"/>
  <c r="E48" i="30"/>
  <c r="D48" i="30"/>
  <c r="G42" i="64"/>
  <c r="I42" i="64" s="1"/>
  <c r="H42" i="56"/>
  <c r="H46" i="19"/>
  <c r="I46" i="19" s="1"/>
  <c r="F46" i="43"/>
  <c r="H46" i="43" s="1"/>
  <c r="B46" i="43"/>
  <c r="H38" i="83"/>
  <c r="E48" i="71"/>
  <c r="D48" i="71"/>
  <c r="D39" i="26"/>
  <c r="E39" i="26" s="1"/>
  <c r="E46" i="20"/>
  <c r="D46" i="20"/>
  <c r="H59" i="35"/>
  <c r="B60" i="35"/>
  <c r="E60" i="35"/>
  <c r="F60" i="35" s="1"/>
  <c r="G59" i="35"/>
  <c r="B42" i="59"/>
  <c r="F42" i="59"/>
  <c r="H42" i="59" s="1"/>
  <c r="I58" i="35"/>
  <c r="E39" i="87"/>
  <c r="D39" i="87"/>
  <c r="E42" i="62"/>
  <c r="D42" i="62"/>
  <c r="H38" i="26"/>
  <c r="I38" i="26" s="1"/>
  <c r="H45" i="20"/>
  <c r="I45" i="20" s="1"/>
  <c r="D40" i="33"/>
  <c r="E40" i="33" s="1"/>
  <c r="F47" i="18"/>
  <c r="H47" i="18" s="1"/>
  <c r="B47" i="18"/>
  <c r="J140" i="35"/>
  <c r="J116" i="33"/>
  <c r="J117" i="25"/>
  <c r="E143" i="35"/>
  <c r="F143" i="35" s="1"/>
  <c r="G142" i="35"/>
  <c r="B143" i="35"/>
  <c r="G118" i="25"/>
  <c r="D119" i="25"/>
  <c r="E119" i="25" s="1"/>
  <c r="D118" i="33"/>
  <c r="E118" i="33" s="1"/>
  <c r="G117" i="33"/>
  <c r="I141" i="35"/>
  <c r="H141" i="35"/>
  <c r="E46" i="101" l="1"/>
  <c r="F46" i="101" s="1"/>
  <c r="H46" i="101" s="1"/>
  <c r="B46" i="101"/>
  <c r="B37" i="102"/>
  <c r="F37" i="102"/>
  <c r="G37" i="102"/>
  <c r="G119" i="100"/>
  <c r="D120" i="100"/>
  <c r="J118" i="100"/>
  <c r="F51" i="100"/>
  <c r="B51" i="100"/>
  <c r="G51" i="100"/>
  <c r="H51" i="100"/>
  <c r="E38" i="95"/>
  <c r="H37" i="95"/>
  <c r="I37" i="95" s="1"/>
  <c r="D38" i="95"/>
  <c r="B38" i="95" s="1"/>
  <c r="F40" i="80"/>
  <c r="E41" i="80" s="1"/>
  <c r="B40" i="80"/>
  <c r="G44" i="97"/>
  <c r="E45" i="97"/>
  <c r="F45" i="97" s="1"/>
  <c r="D46" i="97" s="1"/>
  <c r="B46" i="97" s="1"/>
  <c r="H44" i="97"/>
  <c r="I36" i="13"/>
  <c r="E37" i="13"/>
  <c r="F37" i="13" s="1"/>
  <c r="B37" i="13"/>
  <c r="I38" i="83"/>
  <c r="I44" i="45"/>
  <c r="F42" i="99"/>
  <c r="D43" i="99" s="1"/>
  <c r="B42" i="99"/>
  <c r="D39" i="98"/>
  <c r="E39" i="98"/>
  <c r="H38" i="98"/>
  <c r="I38" i="98" s="1"/>
  <c r="I39" i="86"/>
  <c r="G46" i="17"/>
  <c r="I46" i="17" s="1"/>
  <c r="G38" i="94"/>
  <c r="I38" i="94" s="1"/>
  <c r="H47" i="24"/>
  <c r="I47" i="24" s="1"/>
  <c r="H118" i="26"/>
  <c r="I118" i="26"/>
  <c r="E119" i="26"/>
  <c r="F119" i="26" s="1"/>
  <c r="B119" i="26"/>
  <c r="H40" i="90"/>
  <c r="I40" i="90" s="1"/>
  <c r="H40" i="77"/>
  <c r="I40" i="77" s="1"/>
  <c r="G42" i="67"/>
  <c r="I42" i="67" s="1"/>
  <c r="E43" i="67"/>
  <c r="D43" i="67"/>
  <c r="G42" i="60"/>
  <c r="I42" i="60" s="1"/>
  <c r="I42" i="56"/>
  <c r="G43" i="46"/>
  <c r="I43" i="46" s="1"/>
  <c r="E44" i="46"/>
  <c r="D44" i="46"/>
  <c r="E48" i="24"/>
  <c r="D48" i="24"/>
  <c r="I38" i="25"/>
  <c r="F40" i="86"/>
  <c r="B40" i="86"/>
  <c r="E39" i="25"/>
  <c r="F39" i="25" s="1"/>
  <c r="G47" i="18"/>
  <c r="I47" i="18" s="1"/>
  <c r="G42" i="63"/>
  <c r="I42" i="63" s="1"/>
  <c r="E38" i="93"/>
  <c r="D38" i="93"/>
  <c r="G37" i="96"/>
  <c r="I37" i="96" s="1"/>
  <c r="G39" i="81"/>
  <c r="I39" i="81" s="1"/>
  <c r="G37" i="93"/>
  <c r="G46" i="43"/>
  <c r="I46" i="43" s="1"/>
  <c r="F41" i="82"/>
  <c r="H41" i="82" s="1"/>
  <c r="B41" i="82"/>
  <c r="H37" i="93"/>
  <c r="E39" i="94"/>
  <c r="D39" i="94"/>
  <c r="G43" i="54"/>
  <c r="I43" i="54" s="1"/>
  <c r="G45" i="44"/>
  <c r="I45" i="44" s="1"/>
  <c r="H39" i="84"/>
  <c r="E40" i="84"/>
  <c r="D40" i="84"/>
  <c r="F46" i="42"/>
  <c r="G46" i="42" s="1"/>
  <c r="B46" i="42"/>
  <c r="B45" i="55"/>
  <c r="F45" i="55"/>
  <c r="G45" i="55" s="1"/>
  <c r="G48" i="23"/>
  <c r="H48" i="23"/>
  <c r="E49" i="23"/>
  <c r="D49" i="23"/>
  <c r="F45" i="58"/>
  <c r="B45" i="58"/>
  <c r="H42" i="66"/>
  <c r="I42" i="66" s="1"/>
  <c r="E43" i="66"/>
  <c r="D43" i="66"/>
  <c r="B42" i="65"/>
  <c r="F42" i="65"/>
  <c r="H42" i="65" s="1"/>
  <c r="G39" i="91"/>
  <c r="I39" i="91" s="1"/>
  <c r="E40" i="91"/>
  <c r="D40" i="91"/>
  <c r="I44" i="58"/>
  <c r="G48" i="29"/>
  <c r="I48" i="29" s="1"/>
  <c r="G39" i="84"/>
  <c r="D41" i="90"/>
  <c r="E41" i="90"/>
  <c r="H43" i="53"/>
  <c r="I43" i="53" s="1"/>
  <c r="E44" i="53"/>
  <c r="D44" i="53"/>
  <c r="B41" i="75"/>
  <c r="F41" i="75"/>
  <c r="H41" i="75" s="1"/>
  <c r="E47" i="22"/>
  <c r="D47" i="22"/>
  <c r="F40" i="85"/>
  <c r="G40" i="85" s="1"/>
  <c r="B40" i="85"/>
  <c r="B46" i="39"/>
  <c r="F46" i="39"/>
  <c r="H46" i="39" s="1"/>
  <c r="G46" i="41"/>
  <c r="I46" i="41" s="1"/>
  <c r="G48" i="70"/>
  <c r="I48" i="70" s="1"/>
  <c r="G45" i="74"/>
  <c r="I45" i="74" s="1"/>
  <c r="B44" i="72"/>
  <c r="F44" i="72"/>
  <c r="G44" i="72" s="1"/>
  <c r="G48" i="27"/>
  <c r="D49" i="27"/>
  <c r="E49" i="27"/>
  <c r="H48" i="27"/>
  <c r="D38" i="96"/>
  <c r="E38" i="96"/>
  <c r="E40" i="81"/>
  <c r="D40" i="81"/>
  <c r="E43" i="61"/>
  <c r="D43" i="61"/>
  <c r="G46" i="21"/>
  <c r="I46" i="21" s="1"/>
  <c r="G42" i="61"/>
  <c r="I42" i="61" s="1"/>
  <c r="H40" i="76"/>
  <c r="I40" i="76" s="1"/>
  <c r="D41" i="76"/>
  <c r="E41" i="76"/>
  <c r="G46" i="22"/>
  <c r="I46" i="22" s="1"/>
  <c r="E46" i="44"/>
  <c r="D46" i="44"/>
  <c r="B48" i="71"/>
  <c r="F48" i="71"/>
  <c r="G48" i="71" s="1"/>
  <c r="F48" i="30"/>
  <c r="H48" i="30" s="1"/>
  <c r="B48" i="30"/>
  <c r="F48" i="34"/>
  <c r="B48" i="34"/>
  <c r="F43" i="64"/>
  <c r="G43" i="64" s="1"/>
  <c r="B43" i="64"/>
  <c r="F49" i="31"/>
  <c r="H49" i="31" s="1"/>
  <c r="B49" i="31"/>
  <c r="H40" i="79"/>
  <c r="I40" i="79" s="1"/>
  <c r="B47" i="19"/>
  <c r="F47" i="19"/>
  <c r="H47" i="19" s="1"/>
  <c r="H47" i="32"/>
  <c r="I47" i="32" s="1"/>
  <c r="B45" i="45"/>
  <c r="F45" i="45"/>
  <c r="H45" i="45" s="1"/>
  <c r="B50" i="28"/>
  <c r="F50" i="28"/>
  <c r="G50" i="28" s="1"/>
  <c r="E39" i="92"/>
  <c r="D39" i="92"/>
  <c r="G42" i="59"/>
  <c r="I42" i="59" s="1"/>
  <c r="I59" i="35"/>
  <c r="E44" i="54"/>
  <c r="D44" i="54"/>
  <c r="E41" i="77"/>
  <c r="D41" i="77"/>
  <c r="F40" i="88"/>
  <c r="H40" i="88" s="1"/>
  <c r="B40" i="88"/>
  <c r="D47" i="41"/>
  <c r="E47" i="41"/>
  <c r="D46" i="74"/>
  <c r="E46" i="74"/>
  <c r="H45" i="73"/>
  <c r="I45" i="73" s="1"/>
  <c r="F49" i="69"/>
  <c r="B49" i="69"/>
  <c r="H43" i="57"/>
  <c r="I43" i="57" s="1"/>
  <c r="D44" i="57"/>
  <c r="E44" i="57"/>
  <c r="B47" i="3"/>
  <c r="F47" i="3"/>
  <c r="H47" i="3" s="1"/>
  <c r="D49" i="29"/>
  <c r="E49" i="29"/>
  <c r="F42" i="68"/>
  <c r="G42" i="68" s="1"/>
  <c r="B42" i="68"/>
  <c r="D47" i="21"/>
  <c r="E47" i="21"/>
  <c r="D49" i="70"/>
  <c r="E49" i="70"/>
  <c r="E43" i="63"/>
  <c r="D43" i="63"/>
  <c r="G40" i="78"/>
  <c r="I40" i="78" s="1"/>
  <c r="E41" i="78"/>
  <c r="D41" i="78"/>
  <c r="F39" i="83"/>
  <c r="G39" i="83" s="1"/>
  <c r="B39" i="83"/>
  <c r="H38" i="92"/>
  <c r="I38" i="92" s="1"/>
  <c r="E43" i="60"/>
  <c r="D43" i="60"/>
  <c r="E47" i="43"/>
  <c r="D47" i="43"/>
  <c r="G38" i="89"/>
  <c r="I38" i="89" s="1"/>
  <c r="D39" i="89"/>
  <c r="E39" i="89"/>
  <c r="D41" i="79"/>
  <c r="E41" i="79"/>
  <c r="D47" i="17"/>
  <c r="E47" i="17"/>
  <c r="E48" i="32"/>
  <c r="D48" i="32"/>
  <c r="E46" i="73"/>
  <c r="D46" i="73"/>
  <c r="B43" i="56"/>
  <c r="F43" i="56"/>
  <c r="G43" i="56" s="1"/>
  <c r="F40" i="33"/>
  <c r="B40" i="33"/>
  <c r="B61" i="35"/>
  <c r="G60" i="35"/>
  <c r="H60" i="35"/>
  <c r="E61" i="35"/>
  <c r="F61" i="35" s="1"/>
  <c r="F46" i="20"/>
  <c r="G46" i="20" s="1"/>
  <c r="B46" i="20"/>
  <c r="F42" i="62"/>
  <c r="B42" i="62"/>
  <c r="F39" i="87"/>
  <c r="H39" i="87" s="1"/>
  <c r="B39" i="87"/>
  <c r="E43" i="59"/>
  <c r="D43" i="59"/>
  <c r="E48" i="18"/>
  <c r="D48" i="18"/>
  <c r="F39" i="26"/>
  <c r="B39" i="26"/>
  <c r="J141" i="35"/>
  <c r="I117" i="33"/>
  <c r="H117" i="33"/>
  <c r="I142" i="35"/>
  <c r="H142" i="35"/>
  <c r="B118" i="33"/>
  <c r="F118" i="33"/>
  <c r="B119" i="25"/>
  <c r="F119" i="25"/>
  <c r="B144" i="35"/>
  <c r="G143" i="35"/>
  <c r="E144" i="35"/>
  <c r="F144" i="35" s="1"/>
  <c r="H118" i="25"/>
  <c r="I118" i="25"/>
  <c r="D38" i="102" l="1"/>
  <c r="E38" i="102"/>
  <c r="H37" i="102"/>
  <c r="I37" i="102" s="1"/>
  <c r="G46" i="101"/>
  <c r="I46" i="101" s="1"/>
  <c r="D47" i="101"/>
  <c r="E47" i="101" s="1"/>
  <c r="B120" i="100"/>
  <c r="H119" i="100"/>
  <c r="I119" i="100"/>
  <c r="E120" i="100"/>
  <c r="F120" i="100" s="1"/>
  <c r="I51" i="100"/>
  <c r="D52" i="100"/>
  <c r="E52" i="100" s="1"/>
  <c r="F38" i="95"/>
  <c r="H38" i="95" s="1"/>
  <c r="H40" i="80"/>
  <c r="G40" i="80"/>
  <c r="D41" i="80"/>
  <c r="F41" i="80" s="1"/>
  <c r="E46" i="97"/>
  <c r="F46" i="97" s="1"/>
  <c r="G46" i="97" s="1"/>
  <c r="I44" i="97"/>
  <c r="H45" i="97"/>
  <c r="G45" i="97"/>
  <c r="H37" i="13"/>
  <c r="D38" i="13"/>
  <c r="G37" i="13"/>
  <c r="J118" i="26"/>
  <c r="H42" i="99"/>
  <c r="G42" i="99"/>
  <c r="F39" i="98"/>
  <c r="H39" i="98" s="1"/>
  <c r="B39" i="98"/>
  <c r="E43" i="99"/>
  <c r="F43" i="99" s="1"/>
  <c r="B43" i="99"/>
  <c r="G46" i="39"/>
  <c r="I46" i="39" s="1"/>
  <c r="I39" i="84"/>
  <c r="G119" i="26"/>
  <c r="D120" i="26"/>
  <c r="G40" i="88"/>
  <c r="I40" i="88" s="1"/>
  <c r="G41" i="75"/>
  <c r="I41" i="75" s="1"/>
  <c r="B43" i="67"/>
  <c r="F43" i="67"/>
  <c r="H43" i="67" s="1"/>
  <c r="B44" i="46"/>
  <c r="F44" i="46"/>
  <c r="G44" i="46" s="1"/>
  <c r="F48" i="24"/>
  <c r="G48" i="24" s="1"/>
  <c r="B48" i="24"/>
  <c r="I48" i="23"/>
  <c r="G47" i="19"/>
  <c r="I47" i="19" s="1"/>
  <c r="I37" i="93"/>
  <c r="B39" i="94"/>
  <c r="F39" i="94"/>
  <c r="H39" i="94" s="1"/>
  <c r="B38" i="93"/>
  <c r="F38" i="93"/>
  <c r="H38" i="93" s="1"/>
  <c r="H39" i="25"/>
  <c r="G39" i="25"/>
  <c r="D40" i="25"/>
  <c r="H46" i="42"/>
  <c r="I46" i="42" s="1"/>
  <c r="D42" i="82"/>
  <c r="E42" i="82"/>
  <c r="D41" i="86"/>
  <c r="E41" i="86"/>
  <c r="H40" i="86"/>
  <c r="G40" i="86"/>
  <c r="G41" i="82"/>
  <c r="I41" i="82" s="1"/>
  <c r="H46" i="20"/>
  <c r="I46" i="20" s="1"/>
  <c r="G45" i="45"/>
  <c r="I45" i="45" s="1"/>
  <c r="B44" i="53"/>
  <c r="F44" i="53"/>
  <c r="F41" i="90"/>
  <c r="B41" i="90"/>
  <c r="B40" i="91"/>
  <c r="F40" i="91"/>
  <c r="G42" i="65"/>
  <c r="I42" i="65" s="1"/>
  <c r="E43" i="65"/>
  <c r="D43" i="65"/>
  <c r="B49" i="23"/>
  <c r="F49" i="23"/>
  <c r="B40" i="84"/>
  <c r="F40" i="84"/>
  <c r="E42" i="75"/>
  <c r="D42" i="75"/>
  <c r="B43" i="66"/>
  <c r="F43" i="66"/>
  <c r="H43" i="66" s="1"/>
  <c r="G45" i="58"/>
  <c r="E46" i="58"/>
  <c r="H45" i="58"/>
  <c r="D46" i="58"/>
  <c r="H45" i="55"/>
  <c r="I45" i="55" s="1"/>
  <c r="D46" i="55"/>
  <c r="E46" i="55"/>
  <c r="D47" i="42"/>
  <c r="E47" i="42"/>
  <c r="B43" i="61"/>
  <c r="F43" i="61"/>
  <c r="G43" i="61" s="1"/>
  <c r="F46" i="44"/>
  <c r="H46" i="44" s="1"/>
  <c r="B46" i="44"/>
  <c r="B41" i="76"/>
  <c r="F41" i="76"/>
  <c r="F40" i="81"/>
  <c r="G40" i="81" s="1"/>
  <c r="B40" i="81"/>
  <c r="I48" i="27"/>
  <c r="G49" i="31"/>
  <c r="I49" i="31" s="1"/>
  <c r="E41" i="85"/>
  <c r="D41" i="85"/>
  <c r="F47" i="22"/>
  <c r="B47" i="22"/>
  <c r="B38" i="96"/>
  <c r="F38" i="96"/>
  <c r="H38" i="96" s="1"/>
  <c r="D45" i="72"/>
  <c r="E45" i="72"/>
  <c r="F49" i="27"/>
  <c r="B49" i="27"/>
  <c r="H44" i="72"/>
  <c r="I44" i="72" s="1"/>
  <c r="E47" i="39"/>
  <c r="D47" i="39"/>
  <c r="H40" i="85"/>
  <c r="I40" i="85" s="1"/>
  <c r="I60" i="35"/>
  <c r="F41" i="79"/>
  <c r="B41" i="79"/>
  <c r="H39" i="83"/>
  <c r="I39" i="83" s="1"/>
  <c r="D40" i="83"/>
  <c r="E40" i="83"/>
  <c r="F43" i="63"/>
  <c r="B43" i="63"/>
  <c r="B44" i="57"/>
  <c r="F44" i="57"/>
  <c r="H44" i="57" s="1"/>
  <c r="B41" i="77"/>
  <c r="F41" i="77"/>
  <c r="G41" i="77" s="1"/>
  <c r="E48" i="19"/>
  <c r="D48" i="19"/>
  <c r="E50" i="31"/>
  <c r="D50" i="31"/>
  <c r="F46" i="73"/>
  <c r="H46" i="73" s="1"/>
  <c r="B46" i="73"/>
  <c r="F41" i="78"/>
  <c r="B41" i="78"/>
  <c r="F47" i="21"/>
  <c r="G47" i="21" s="1"/>
  <c r="B47" i="21"/>
  <c r="D43" i="68"/>
  <c r="E43" i="68"/>
  <c r="E48" i="3"/>
  <c r="D48" i="3"/>
  <c r="G49" i="69"/>
  <c r="E50" i="69"/>
  <c r="D50" i="69"/>
  <c r="F46" i="74"/>
  <c r="H46" i="74" s="1"/>
  <c r="B46" i="74"/>
  <c r="F39" i="92"/>
  <c r="B39" i="92"/>
  <c r="D51" i="28"/>
  <c r="E51" i="28"/>
  <c r="D44" i="64"/>
  <c r="E44" i="64"/>
  <c r="G48" i="30"/>
  <c r="I48" i="30" s="1"/>
  <c r="E49" i="30"/>
  <c r="D49" i="30"/>
  <c r="G39" i="87"/>
  <c r="I39" i="87" s="1"/>
  <c r="H43" i="56"/>
  <c r="I43" i="56" s="1"/>
  <c r="D44" i="56"/>
  <c r="E44" i="56"/>
  <c r="F47" i="17"/>
  <c r="G47" i="17" s="1"/>
  <c r="C56" i="17"/>
  <c r="B47" i="17"/>
  <c r="F39" i="89"/>
  <c r="B39" i="89"/>
  <c r="F47" i="43"/>
  <c r="B47" i="43"/>
  <c r="B44" i="54"/>
  <c r="F44" i="54"/>
  <c r="H43" i="64"/>
  <c r="I43" i="64" s="1"/>
  <c r="B48" i="32"/>
  <c r="F48" i="32"/>
  <c r="H48" i="32" s="1"/>
  <c r="F43" i="60"/>
  <c r="G43" i="60" s="1"/>
  <c r="B43" i="60"/>
  <c r="F49" i="70"/>
  <c r="H49" i="70" s="1"/>
  <c r="B49" i="70"/>
  <c r="H42" i="68"/>
  <c r="I42" i="68" s="1"/>
  <c r="F49" i="29"/>
  <c r="H49" i="29" s="1"/>
  <c r="B49" i="29"/>
  <c r="G47" i="3"/>
  <c r="I47" i="3" s="1"/>
  <c r="H49" i="69"/>
  <c r="F47" i="41"/>
  <c r="B47" i="41"/>
  <c r="D41" i="88"/>
  <c r="E41" i="88"/>
  <c r="H50" i="28"/>
  <c r="I50" i="28" s="1"/>
  <c r="E46" i="45"/>
  <c r="D46" i="45"/>
  <c r="H48" i="34"/>
  <c r="E49" i="34"/>
  <c r="D49" i="34"/>
  <c r="G48" i="34"/>
  <c r="H48" i="71"/>
  <c r="I48" i="71" s="1"/>
  <c r="D49" i="71"/>
  <c r="E49" i="71"/>
  <c r="D40" i="26"/>
  <c r="D41" i="33"/>
  <c r="E41" i="33" s="1"/>
  <c r="D43" i="62"/>
  <c r="E43" i="62"/>
  <c r="D47" i="20"/>
  <c r="E47" i="20"/>
  <c r="H40" i="33"/>
  <c r="H39" i="26"/>
  <c r="F48" i="18"/>
  <c r="B48" i="18"/>
  <c r="H42" i="62"/>
  <c r="G40" i="33"/>
  <c r="G39" i="26"/>
  <c r="B43" i="59"/>
  <c r="F43" i="59"/>
  <c r="G43" i="59" s="1"/>
  <c r="D40" i="87"/>
  <c r="E40" i="87"/>
  <c r="G42" i="62"/>
  <c r="H61" i="35"/>
  <c r="G61" i="35"/>
  <c r="E62" i="35"/>
  <c r="F62" i="35" s="1"/>
  <c r="B62" i="35"/>
  <c r="J142" i="35"/>
  <c r="B145" i="35"/>
  <c r="G144" i="35"/>
  <c r="E145" i="35"/>
  <c r="F145" i="35" s="1"/>
  <c r="I143" i="35"/>
  <c r="H143" i="35"/>
  <c r="J117" i="33"/>
  <c r="J118" i="25"/>
  <c r="G119" i="25"/>
  <c r="D120" i="25"/>
  <c r="E120" i="25" s="1"/>
  <c r="G118" i="33"/>
  <c r="D119" i="33"/>
  <c r="E119" i="33" s="1"/>
  <c r="J119" i="100" l="1"/>
  <c r="B47" i="101"/>
  <c r="F47" i="101"/>
  <c r="H47" i="101" s="1"/>
  <c r="F38" i="102"/>
  <c r="H38" i="102" s="1"/>
  <c r="B38" i="102"/>
  <c r="D121" i="100"/>
  <c r="E121" i="100" s="1"/>
  <c r="G120" i="100"/>
  <c r="F52" i="100"/>
  <c r="G52" i="100" s="1"/>
  <c r="B52" i="100"/>
  <c r="H52" i="100"/>
  <c r="E39" i="95"/>
  <c r="D39" i="95"/>
  <c r="B39" i="95" s="1"/>
  <c r="G38" i="95"/>
  <c r="I38" i="95" s="1"/>
  <c r="I40" i="80"/>
  <c r="B41" i="80"/>
  <c r="H46" i="97"/>
  <c r="I46" i="97" s="1"/>
  <c r="E47" i="97"/>
  <c r="D47" i="97"/>
  <c r="B47" i="97" s="1"/>
  <c r="I45" i="97"/>
  <c r="I37" i="13"/>
  <c r="E38" i="13"/>
  <c r="F38" i="13" s="1"/>
  <c r="B38" i="13"/>
  <c r="H44" i="46"/>
  <c r="I44" i="46" s="1"/>
  <c r="I42" i="99"/>
  <c r="D44" i="99"/>
  <c r="G43" i="99"/>
  <c r="H43" i="99"/>
  <c r="D40" i="98"/>
  <c r="E40" i="98"/>
  <c r="G39" i="98"/>
  <c r="I39" i="98" s="1"/>
  <c r="E120" i="26"/>
  <c r="F120" i="26" s="1"/>
  <c r="B120" i="26"/>
  <c r="H119" i="26"/>
  <c r="I119" i="26"/>
  <c r="G43" i="67"/>
  <c r="I43" i="67" s="1"/>
  <c r="D44" i="67"/>
  <c r="E44" i="67"/>
  <c r="E45" i="46"/>
  <c r="D45" i="46"/>
  <c r="H48" i="24"/>
  <c r="I48" i="24" s="1"/>
  <c r="D49" i="24"/>
  <c r="E49" i="24"/>
  <c r="B41" i="86"/>
  <c r="F41" i="86"/>
  <c r="H41" i="80"/>
  <c r="D42" i="80"/>
  <c r="E42" i="80"/>
  <c r="I39" i="25"/>
  <c r="I45" i="58"/>
  <c r="I40" i="86"/>
  <c r="F42" i="82"/>
  <c r="H42" i="82" s="1"/>
  <c r="B42" i="82"/>
  <c r="G38" i="93"/>
  <c r="I38" i="93" s="1"/>
  <c r="E39" i="93"/>
  <c r="D39" i="93"/>
  <c r="G39" i="94"/>
  <c r="I39" i="94" s="1"/>
  <c r="E40" i="94"/>
  <c r="D40" i="94"/>
  <c r="G41" i="80"/>
  <c r="E40" i="25"/>
  <c r="F40" i="25" s="1"/>
  <c r="B40" i="25"/>
  <c r="G44" i="57"/>
  <c r="I44" i="57" s="1"/>
  <c r="H43" i="61"/>
  <c r="I43" i="61" s="1"/>
  <c r="B46" i="58"/>
  <c r="F46" i="58"/>
  <c r="B42" i="75"/>
  <c r="F42" i="75"/>
  <c r="H42" i="75" s="1"/>
  <c r="D41" i="84"/>
  <c r="E41" i="84"/>
  <c r="G49" i="23"/>
  <c r="D50" i="23"/>
  <c r="E50" i="23"/>
  <c r="H40" i="91"/>
  <c r="D41" i="91"/>
  <c r="E41" i="91"/>
  <c r="G40" i="91"/>
  <c r="H41" i="90"/>
  <c r="E42" i="90"/>
  <c r="D42" i="90"/>
  <c r="E44" i="66"/>
  <c r="D44" i="66"/>
  <c r="B43" i="65"/>
  <c r="F43" i="65"/>
  <c r="G43" i="65" s="1"/>
  <c r="H44" i="53"/>
  <c r="D45" i="53"/>
  <c r="E45" i="53"/>
  <c r="G49" i="70"/>
  <c r="I49" i="70" s="1"/>
  <c r="H47" i="17"/>
  <c r="I47" i="17" s="1"/>
  <c r="B47" i="42"/>
  <c r="F47" i="42"/>
  <c r="H47" i="42" s="1"/>
  <c r="B46" i="55"/>
  <c r="F46" i="55"/>
  <c r="H46" i="55" s="1"/>
  <c r="G40" i="84"/>
  <c r="G41" i="90"/>
  <c r="H41" i="77"/>
  <c r="I41" i="77" s="1"/>
  <c r="G43" i="66"/>
  <c r="I43" i="66" s="1"/>
  <c r="H40" i="84"/>
  <c r="H49" i="23"/>
  <c r="G44" i="53"/>
  <c r="G41" i="76"/>
  <c r="E42" i="76"/>
  <c r="D42" i="76"/>
  <c r="F45" i="72"/>
  <c r="H45" i="72" s="1"/>
  <c r="B45" i="72"/>
  <c r="H47" i="22"/>
  <c r="E48" i="22"/>
  <c r="D48" i="22"/>
  <c r="D47" i="44"/>
  <c r="E47" i="44"/>
  <c r="F47" i="39"/>
  <c r="G47" i="39" s="1"/>
  <c r="B47" i="39"/>
  <c r="B41" i="85"/>
  <c r="F41" i="85"/>
  <c r="G41" i="85" s="1"/>
  <c r="H40" i="81"/>
  <c r="I40" i="81" s="1"/>
  <c r="E41" i="81"/>
  <c r="D41" i="81"/>
  <c r="D39" i="96"/>
  <c r="E39" i="96"/>
  <c r="E50" i="27"/>
  <c r="G49" i="27"/>
  <c r="D50" i="27"/>
  <c r="H49" i="27"/>
  <c r="G38" i="96"/>
  <c r="I38" i="96" s="1"/>
  <c r="G47" i="22"/>
  <c r="H41" i="76"/>
  <c r="G46" i="44"/>
  <c r="I46" i="44" s="1"/>
  <c r="D44" i="61"/>
  <c r="E44" i="61"/>
  <c r="I49" i="69"/>
  <c r="B49" i="71"/>
  <c r="F49" i="71"/>
  <c r="F46" i="45"/>
  <c r="H46" i="45" s="1"/>
  <c r="B46" i="45"/>
  <c r="B49" i="30"/>
  <c r="F49" i="30"/>
  <c r="H49" i="30" s="1"/>
  <c r="F44" i="64"/>
  <c r="G44" i="64" s="1"/>
  <c r="B44" i="64"/>
  <c r="G46" i="74"/>
  <c r="I46" i="74" s="1"/>
  <c r="D47" i="74"/>
  <c r="E47" i="74"/>
  <c r="F48" i="3"/>
  <c r="G48" i="3" s="1"/>
  <c r="B48" i="3"/>
  <c r="H41" i="78"/>
  <c r="D42" i="78"/>
  <c r="E42" i="78"/>
  <c r="E47" i="73"/>
  <c r="G46" i="73"/>
  <c r="I46" i="73" s="1"/>
  <c r="D47" i="73"/>
  <c r="F50" i="31"/>
  <c r="B50" i="31"/>
  <c r="B41" i="88"/>
  <c r="F41" i="88"/>
  <c r="D48" i="41"/>
  <c r="E48" i="41"/>
  <c r="H44" i="54"/>
  <c r="E45" i="54"/>
  <c r="D45" i="54"/>
  <c r="E48" i="43"/>
  <c r="D48" i="43"/>
  <c r="E40" i="89"/>
  <c r="D40" i="89"/>
  <c r="H39" i="92"/>
  <c r="D40" i="92"/>
  <c r="E40" i="92"/>
  <c r="B50" i="69"/>
  <c r="F50" i="69"/>
  <c r="H50" i="69" s="1"/>
  <c r="G43" i="63"/>
  <c r="D44" i="63"/>
  <c r="E44" i="63"/>
  <c r="I48" i="34"/>
  <c r="H47" i="41"/>
  <c r="E50" i="29"/>
  <c r="D50" i="29"/>
  <c r="G44" i="54"/>
  <c r="H47" i="43"/>
  <c r="H39" i="89"/>
  <c r="D48" i="17"/>
  <c r="E48" i="17"/>
  <c r="B51" i="28"/>
  <c r="F51" i="28"/>
  <c r="H51" i="28" s="1"/>
  <c r="D48" i="21"/>
  <c r="E48" i="21"/>
  <c r="B48" i="19"/>
  <c r="F48" i="19"/>
  <c r="H48" i="19" s="1"/>
  <c r="D42" i="77"/>
  <c r="E42" i="77"/>
  <c r="G41" i="79"/>
  <c r="D42" i="79"/>
  <c r="E42" i="79"/>
  <c r="I61" i="35"/>
  <c r="F49" i="34"/>
  <c r="B49" i="34"/>
  <c r="G47" i="41"/>
  <c r="G49" i="29"/>
  <c r="I49" i="29" s="1"/>
  <c r="D50" i="70"/>
  <c r="E50" i="70"/>
  <c r="H43" i="60"/>
  <c r="I43" i="60" s="1"/>
  <c r="E44" i="60"/>
  <c r="D44" i="60"/>
  <c r="G48" i="32"/>
  <c r="I48" i="32" s="1"/>
  <c r="E49" i="32"/>
  <c r="D49" i="32"/>
  <c r="G47" i="43"/>
  <c r="G39" i="89"/>
  <c r="B44" i="56"/>
  <c r="F44" i="56"/>
  <c r="G44" i="56" s="1"/>
  <c r="G39" i="92"/>
  <c r="B43" i="68"/>
  <c r="F43" i="68"/>
  <c r="H47" i="21"/>
  <c r="I47" i="21" s="1"/>
  <c r="G41" i="78"/>
  <c r="D45" i="57"/>
  <c r="E45" i="57"/>
  <c r="H43" i="63"/>
  <c r="F40" i="83"/>
  <c r="H40" i="83" s="1"/>
  <c r="B40" i="83"/>
  <c r="H41" i="79"/>
  <c r="E49" i="18"/>
  <c r="D49" i="18"/>
  <c r="I39" i="26"/>
  <c r="F47" i="20"/>
  <c r="B47" i="20"/>
  <c r="D44" i="59"/>
  <c r="E44" i="59"/>
  <c r="I42" i="62"/>
  <c r="B40" i="26"/>
  <c r="B63" i="35"/>
  <c r="E63" i="35"/>
  <c r="F63" i="35" s="1"/>
  <c r="G62" i="35"/>
  <c r="H62" i="35"/>
  <c r="B40" i="87"/>
  <c r="F40" i="87"/>
  <c r="G40" i="87" s="1"/>
  <c r="G48" i="18"/>
  <c r="I40" i="33"/>
  <c r="B43" i="62"/>
  <c r="F43" i="62"/>
  <c r="G43" i="62" s="1"/>
  <c r="E40" i="26"/>
  <c r="F40" i="26" s="1"/>
  <c r="H43" i="59"/>
  <c r="I43" i="59" s="1"/>
  <c r="H48" i="18"/>
  <c r="F41" i="33"/>
  <c r="G41" i="33" s="1"/>
  <c r="B41" i="33"/>
  <c r="J143" i="35"/>
  <c r="H144" i="35"/>
  <c r="I144" i="35"/>
  <c r="F119" i="33"/>
  <c r="B119" i="33"/>
  <c r="F120" i="25"/>
  <c r="B120" i="25"/>
  <c r="H118" i="33"/>
  <c r="I118" i="33"/>
  <c r="H119" i="25"/>
  <c r="I119" i="25"/>
  <c r="G145" i="35"/>
  <c r="E146" i="35"/>
  <c r="F146" i="35" s="1"/>
  <c r="B146" i="35"/>
  <c r="G38" i="102" l="1"/>
  <c r="I38" i="102" s="1"/>
  <c r="D39" i="102"/>
  <c r="E39" i="102" s="1"/>
  <c r="G47" i="101"/>
  <c r="I47" i="101" s="1"/>
  <c r="D48" i="101"/>
  <c r="E48" i="101" s="1"/>
  <c r="B121" i="100"/>
  <c r="F121" i="100"/>
  <c r="I120" i="100"/>
  <c r="H120" i="100"/>
  <c r="I52" i="100"/>
  <c r="D53" i="100"/>
  <c r="E53" i="100"/>
  <c r="F39" i="95"/>
  <c r="G39" i="95" s="1"/>
  <c r="F47" i="97"/>
  <c r="D48" i="97" s="1"/>
  <c r="B48" i="97" s="1"/>
  <c r="H38" i="13"/>
  <c r="D39" i="13"/>
  <c r="G38" i="13"/>
  <c r="I40" i="84"/>
  <c r="I49" i="23"/>
  <c r="I43" i="99"/>
  <c r="F40" i="98"/>
  <c r="H40" i="98" s="1"/>
  <c r="B40" i="98"/>
  <c r="E44" i="99"/>
  <c r="F44" i="99" s="1"/>
  <c r="D45" i="99" s="1"/>
  <c r="B44" i="99"/>
  <c r="I41" i="76"/>
  <c r="I39" i="92"/>
  <c r="G42" i="82"/>
  <c r="I42" i="82" s="1"/>
  <c r="I41" i="79"/>
  <c r="G120" i="26"/>
  <c r="D121" i="26"/>
  <c r="J119" i="26"/>
  <c r="B44" i="67"/>
  <c r="F44" i="67"/>
  <c r="G44" i="67" s="1"/>
  <c r="I43" i="63"/>
  <c r="B45" i="46"/>
  <c r="F45" i="46"/>
  <c r="H45" i="46" s="1"/>
  <c r="G49" i="30"/>
  <c r="I49" i="30" s="1"/>
  <c r="B49" i="24"/>
  <c r="F49" i="24"/>
  <c r="G49" i="24" s="1"/>
  <c r="I41" i="90"/>
  <c r="G46" i="55"/>
  <c r="I46" i="55" s="1"/>
  <c r="G47" i="42"/>
  <c r="I47" i="42" s="1"/>
  <c r="F39" i="93"/>
  <c r="G39" i="93" s="1"/>
  <c r="B39" i="93"/>
  <c r="B42" i="80"/>
  <c r="F42" i="80"/>
  <c r="G42" i="80" s="1"/>
  <c r="F40" i="94"/>
  <c r="B40" i="94"/>
  <c r="I41" i="80"/>
  <c r="G42" i="75"/>
  <c r="I42" i="75" s="1"/>
  <c r="E43" i="82"/>
  <c r="D43" i="82"/>
  <c r="D42" i="86"/>
  <c r="G41" i="86"/>
  <c r="E42" i="86"/>
  <c r="H41" i="86"/>
  <c r="H44" i="64"/>
  <c r="I44" i="64" s="1"/>
  <c r="D41" i="25"/>
  <c r="G40" i="25"/>
  <c r="H40" i="25"/>
  <c r="G45" i="72"/>
  <c r="I45" i="72" s="1"/>
  <c r="I44" i="53"/>
  <c r="B44" i="66"/>
  <c r="F44" i="66"/>
  <c r="H44" i="66" s="1"/>
  <c r="I40" i="91"/>
  <c r="B41" i="84"/>
  <c r="F41" i="84"/>
  <c r="H41" i="84" s="1"/>
  <c r="D47" i="55"/>
  <c r="E47" i="55"/>
  <c r="D48" i="42"/>
  <c r="E48" i="42"/>
  <c r="H43" i="65"/>
  <c r="I43" i="65" s="1"/>
  <c r="E44" i="65"/>
  <c r="D44" i="65"/>
  <c r="B42" i="90"/>
  <c r="F42" i="90"/>
  <c r="B50" i="23"/>
  <c r="F50" i="23"/>
  <c r="E43" i="75"/>
  <c r="D43" i="75"/>
  <c r="H46" i="58"/>
  <c r="D47" i="58"/>
  <c r="G46" i="58"/>
  <c r="E47" i="58"/>
  <c r="F45" i="53"/>
  <c r="B45" i="53"/>
  <c r="F41" i="91"/>
  <c r="B41" i="91"/>
  <c r="F44" i="61"/>
  <c r="H44" i="61" s="1"/>
  <c r="B44" i="61"/>
  <c r="F48" i="22"/>
  <c r="H48" i="22" s="1"/>
  <c r="B48" i="22"/>
  <c r="B41" i="81"/>
  <c r="F41" i="81"/>
  <c r="G41" i="81" s="1"/>
  <c r="B47" i="44"/>
  <c r="F47" i="44"/>
  <c r="F50" i="27"/>
  <c r="H50" i="27" s="1"/>
  <c r="B50" i="27"/>
  <c r="F39" i="96"/>
  <c r="G39" i="96" s="1"/>
  <c r="B39" i="96"/>
  <c r="H47" i="39"/>
  <c r="I47" i="39" s="1"/>
  <c r="D48" i="39"/>
  <c r="E48" i="39"/>
  <c r="I47" i="22"/>
  <c r="D46" i="72"/>
  <c r="E46" i="72"/>
  <c r="H40" i="87"/>
  <c r="I40" i="87" s="1"/>
  <c r="I49" i="27"/>
  <c r="H41" i="85"/>
  <c r="I41" i="85" s="1"/>
  <c r="D42" i="85"/>
  <c r="E42" i="85"/>
  <c r="F42" i="76"/>
  <c r="G42" i="76" s="1"/>
  <c r="B42" i="76"/>
  <c r="I48" i="18"/>
  <c r="I62" i="35"/>
  <c r="I47" i="43"/>
  <c r="G40" i="83"/>
  <c r="I40" i="83" s="1"/>
  <c r="H43" i="68"/>
  <c r="E44" i="68"/>
  <c r="D44" i="68"/>
  <c r="E45" i="56"/>
  <c r="D45" i="56"/>
  <c r="B49" i="32"/>
  <c r="F49" i="32"/>
  <c r="E50" i="34"/>
  <c r="D50" i="34"/>
  <c r="H49" i="34"/>
  <c r="B42" i="79"/>
  <c r="F42" i="79"/>
  <c r="G42" i="79" s="1"/>
  <c r="I39" i="89"/>
  <c r="B44" i="63"/>
  <c r="F44" i="63"/>
  <c r="H44" i="63" s="1"/>
  <c r="E42" i="88"/>
  <c r="D42" i="88"/>
  <c r="E51" i="31"/>
  <c r="D51" i="31"/>
  <c r="E50" i="71"/>
  <c r="D50" i="71"/>
  <c r="H41" i="33"/>
  <c r="I41" i="33" s="1"/>
  <c r="G43" i="68"/>
  <c r="G48" i="19"/>
  <c r="I48" i="19" s="1"/>
  <c r="D49" i="19"/>
  <c r="E49" i="19"/>
  <c r="G51" i="28"/>
  <c r="I51" i="28" s="1"/>
  <c r="I47" i="41"/>
  <c r="D51" i="69"/>
  <c r="E51" i="69"/>
  <c r="B40" i="92"/>
  <c r="F40" i="92"/>
  <c r="F48" i="43"/>
  <c r="H48" i="43" s="1"/>
  <c r="B48" i="43"/>
  <c r="I44" i="54"/>
  <c r="B47" i="73"/>
  <c r="F47" i="73"/>
  <c r="G47" i="73" s="1"/>
  <c r="B42" i="78"/>
  <c r="F42" i="78"/>
  <c r="H42" i="78" s="1"/>
  <c r="B47" i="74"/>
  <c r="F47" i="74"/>
  <c r="G47" i="74" s="1"/>
  <c r="D47" i="45"/>
  <c r="E47" i="45"/>
  <c r="B45" i="57"/>
  <c r="F45" i="57"/>
  <c r="H44" i="56"/>
  <c r="I44" i="56" s="1"/>
  <c r="G49" i="34"/>
  <c r="B50" i="29"/>
  <c r="F50" i="29"/>
  <c r="H50" i="29" s="1"/>
  <c r="G50" i="69"/>
  <c r="I50" i="69" s="1"/>
  <c r="H41" i="88"/>
  <c r="G50" i="31"/>
  <c r="I41" i="78"/>
  <c r="D45" i="64"/>
  <c r="E45" i="64"/>
  <c r="D50" i="30"/>
  <c r="E50" i="30"/>
  <c r="G46" i="45"/>
  <c r="I46" i="45" s="1"/>
  <c r="G49" i="71"/>
  <c r="E41" i="83"/>
  <c r="D41" i="83"/>
  <c r="B44" i="60"/>
  <c r="F44" i="60"/>
  <c r="H44" i="60" s="1"/>
  <c r="F50" i="70"/>
  <c r="G50" i="70" s="1"/>
  <c r="B50" i="70"/>
  <c r="B42" i="77"/>
  <c r="F42" i="77"/>
  <c r="G42" i="77" s="1"/>
  <c r="F48" i="21"/>
  <c r="H48" i="21" s="1"/>
  <c r="B48" i="21"/>
  <c r="D52" i="28"/>
  <c r="E52" i="28" s="1"/>
  <c r="F48" i="17"/>
  <c r="G48" i="17" s="1"/>
  <c r="B48" i="17"/>
  <c r="C57" i="17"/>
  <c r="F40" i="89"/>
  <c r="G40" i="89" s="1"/>
  <c r="B40" i="89"/>
  <c r="F45" i="54"/>
  <c r="G45" i="54" s="1"/>
  <c r="B45" i="54"/>
  <c r="B48" i="41"/>
  <c r="F48" i="41"/>
  <c r="H48" i="41" s="1"/>
  <c r="G41" i="88"/>
  <c r="H50" i="31"/>
  <c r="H48" i="3"/>
  <c r="I48" i="3" s="1"/>
  <c r="D49" i="3"/>
  <c r="E49" i="3"/>
  <c r="H49" i="71"/>
  <c r="D41" i="26"/>
  <c r="E41" i="26" s="1"/>
  <c r="G40" i="26"/>
  <c r="H40" i="26"/>
  <c r="G63" i="35"/>
  <c r="B64" i="35"/>
  <c r="E64" i="35"/>
  <c r="F64" i="35" s="1"/>
  <c r="H63" i="35"/>
  <c r="B44" i="59"/>
  <c r="F44" i="59"/>
  <c r="G44" i="59" s="1"/>
  <c r="D44" i="62"/>
  <c r="E44" i="62"/>
  <c r="E48" i="20"/>
  <c r="D48" i="20"/>
  <c r="B49" i="18"/>
  <c r="F49" i="18"/>
  <c r="G49" i="18" s="1"/>
  <c r="G47" i="20"/>
  <c r="D42" i="33"/>
  <c r="E42" i="33" s="1"/>
  <c r="H43" i="62"/>
  <c r="I43" i="62" s="1"/>
  <c r="D41" i="87"/>
  <c r="E41" i="87"/>
  <c r="H47" i="20"/>
  <c r="J144" i="35"/>
  <c r="J118" i="33"/>
  <c r="B147" i="35"/>
  <c r="G146" i="35"/>
  <c r="E147" i="35"/>
  <c r="F147" i="35" s="1"/>
  <c r="G120" i="25"/>
  <c r="D121" i="25"/>
  <c r="E121" i="25" s="1"/>
  <c r="I145" i="35"/>
  <c r="H145" i="35"/>
  <c r="J119" i="25"/>
  <c r="G119" i="33"/>
  <c r="D120" i="33"/>
  <c r="J120" i="100" l="1"/>
  <c r="B48" i="101"/>
  <c r="F48" i="101"/>
  <c r="H48" i="101" s="1"/>
  <c r="F39" i="102"/>
  <c r="B39" i="102"/>
  <c r="G39" i="102"/>
  <c r="G121" i="100"/>
  <c r="D122" i="100"/>
  <c r="E122" i="100" s="1"/>
  <c r="B53" i="100"/>
  <c r="F53" i="100"/>
  <c r="G53" i="100" s="1"/>
  <c r="E40" i="95"/>
  <c r="D40" i="95"/>
  <c r="B40" i="95" s="1"/>
  <c r="H39" i="95"/>
  <c r="I39" i="95" s="1"/>
  <c r="H47" i="97"/>
  <c r="G47" i="97"/>
  <c r="E48" i="97"/>
  <c r="F48" i="97" s="1"/>
  <c r="D49" i="97" s="1"/>
  <c r="B49" i="97" s="1"/>
  <c r="I38" i="13"/>
  <c r="E39" i="13"/>
  <c r="F39" i="13" s="1"/>
  <c r="B39" i="13"/>
  <c r="G45" i="46"/>
  <c r="I45" i="46" s="1"/>
  <c r="G44" i="99"/>
  <c r="D41" i="98"/>
  <c r="E41" i="98"/>
  <c r="E45" i="99"/>
  <c r="F45" i="99" s="1"/>
  <c r="B45" i="99"/>
  <c r="I50" i="31"/>
  <c r="G40" i="98"/>
  <c r="I40" i="98" s="1"/>
  <c r="H44" i="99"/>
  <c r="I40" i="25"/>
  <c r="I49" i="71"/>
  <c r="H50" i="70"/>
  <c r="I50" i="70" s="1"/>
  <c r="G48" i="22"/>
  <c r="I48" i="22" s="1"/>
  <c r="I120" i="26"/>
  <c r="H120" i="26"/>
  <c r="E121" i="26"/>
  <c r="F121" i="26" s="1"/>
  <c r="B121" i="26"/>
  <c r="H42" i="76"/>
  <c r="I42" i="76" s="1"/>
  <c r="I41" i="86"/>
  <c r="H42" i="80"/>
  <c r="I42" i="80" s="1"/>
  <c r="H44" i="67"/>
  <c r="I44" i="67" s="1"/>
  <c r="D45" i="67"/>
  <c r="E45" i="67"/>
  <c r="D46" i="46"/>
  <c r="E46" i="46"/>
  <c r="H49" i="24"/>
  <c r="I49" i="24" s="1"/>
  <c r="E50" i="24"/>
  <c r="D50" i="24"/>
  <c r="F42" i="86"/>
  <c r="B42" i="86"/>
  <c r="E41" i="94"/>
  <c r="D41" i="94"/>
  <c r="B43" i="82"/>
  <c r="F43" i="82"/>
  <c r="G43" i="82" s="1"/>
  <c r="H40" i="94"/>
  <c r="G40" i="94"/>
  <c r="G44" i="66"/>
  <c r="I44" i="66" s="1"/>
  <c r="E41" i="25"/>
  <c r="F41" i="25" s="1"/>
  <c r="B41" i="25"/>
  <c r="D43" i="80"/>
  <c r="E43" i="80"/>
  <c r="H39" i="93"/>
  <c r="I39" i="93" s="1"/>
  <c r="E40" i="93"/>
  <c r="D40" i="93"/>
  <c r="H45" i="53"/>
  <c r="D46" i="53"/>
  <c r="E46" i="53"/>
  <c r="I46" i="58"/>
  <c r="G42" i="90"/>
  <c r="E43" i="90"/>
  <c r="D43" i="90"/>
  <c r="B47" i="55"/>
  <c r="F47" i="55"/>
  <c r="H47" i="55" s="1"/>
  <c r="H42" i="77"/>
  <c r="I42" i="77" s="1"/>
  <c r="E42" i="91"/>
  <c r="H41" i="91"/>
  <c r="D42" i="91"/>
  <c r="F47" i="58"/>
  <c r="B47" i="58"/>
  <c r="G50" i="23"/>
  <c r="H50" i="23"/>
  <c r="D51" i="23"/>
  <c r="E51" i="23"/>
  <c r="F44" i="65"/>
  <c r="B44" i="65"/>
  <c r="B48" i="42"/>
  <c r="F48" i="42"/>
  <c r="G41" i="84"/>
  <c r="I41" i="84" s="1"/>
  <c r="D42" i="84"/>
  <c r="E42" i="84"/>
  <c r="G48" i="41"/>
  <c r="I48" i="41" s="1"/>
  <c r="G41" i="91"/>
  <c r="G45" i="53"/>
  <c r="F43" i="75"/>
  <c r="G43" i="75" s="1"/>
  <c r="B43" i="75"/>
  <c r="H42" i="90"/>
  <c r="D45" i="66"/>
  <c r="E45" i="66"/>
  <c r="F42" i="85"/>
  <c r="H42" i="85" s="1"/>
  <c r="B42" i="85"/>
  <c r="G47" i="44"/>
  <c r="D48" i="44"/>
  <c r="E48" i="44"/>
  <c r="H44" i="59"/>
  <c r="I44" i="59" s="1"/>
  <c r="H40" i="89"/>
  <c r="I40" i="89" s="1"/>
  <c r="G42" i="78"/>
  <c r="I42" i="78" s="1"/>
  <c r="E43" i="76"/>
  <c r="D43" i="76"/>
  <c r="B48" i="39"/>
  <c r="F48" i="39"/>
  <c r="G48" i="39" s="1"/>
  <c r="G50" i="27"/>
  <c r="I50" i="27" s="1"/>
  <c r="E51" i="27"/>
  <c r="D51" i="27"/>
  <c r="G44" i="60"/>
  <c r="I44" i="60" s="1"/>
  <c r="H39" i="96"/>
  <c r="I39" i="96" s="1"/>
  <c r="E40" i="96"/>
  <c r="D40" i="96"/>
  <c r="H41" i="81"/>
  <c r="I41" i="81" s="1"/>
  <c r="D42" i="81"/>
  <c r="E42" i="81"/>
  <c r="E49" i="22"/>
  <c r="D49" i="22"/>
  <c r="D45" i="61"/>
  <c r="E45" i="61"/>
  <c r="F46" i="72"/>
  <c r="H46" i="72" s="1"/>
  <c r="B46" i="72"/>
  <c r="H47" i="44"/>
  <c r="G44" i="61"/>
  <c r="I44" i="61" s="1"/>
  <c r="I47" i="20"/>
  <c r="D49" i="17"/>
  <c r="E49" i="17"/>
  <c r="B45" i="64"/>
  <c r="F45" i="64"/>
  <c r="H45" i="64" s="1"/>
  <c r="E46" i="57"/>
  <c r="D46" i="57"/>
  <c r="F47" i="45"/>
  <c r="G47" i="45" s="1"/>
  <c r="B47" i="45"/>
  <c r="D41" i="92"/>
  <c r="E41" i="92"/>
  <c r="F50" i="71"/>
  <c r="B50" i="71"/>
  <c r="B51" i="31"/>
  <c r="F51" i="31"/>
  <c r="G44" i="63"/>
  <c r="I44" i="63" s="1"/>
  <c r="E45" i="63"/>
  <c r="D45" i="63"/>
  <c r="H42" i="79"/>
  <c r="I42" i="79" s="1"/>
  <c r="H49" i="18"/>
  <c r="I49" i="18" s="1"/>
  <c r="B49" i="3"/>
  <c r="F49" i="3"/>
  <c r="E46" i="54"/>
  <c r="D46" i="54"/>
  <c r="F52" i="28"/>
  <c r="G52" i="28" s="1"/>
  <c r="B52" i="28"/>
  <c r="G48" i="21"/>
  <c r="I48" i="21" s="1"/>
  <c r="D49" i="21"/>
  <c r="E49" i="21"/>
  <c r="E45" i="60"/>
  <c r="D45" i="60"/>
  <c r="H45" i="57"/>
  <c r="H47" i="74"/>
  <c r="I47" i="74" s="1"/>
  <c r="H47" i="73"/>
  <c r="I47" i="73" s="1"/>
  <c r="G48" i="43"/>
  <c r="I48" i="43" s="1"/>
  <c r="B51" i="69"/>
  <c r="F51" i="69"/>
  <c r="G51" i="69" s="1"/>
  <c r="G49" i="32"/>
  <c r="E50" i="32"/>
  <c r="D50" i="32"/>
  <c r="F45" i="56"/>
  <c r="H45" i="56" s="1"/>
  <c r="B45" i="56"/>
  <c r="I43" i="68"/>
  <c r="I63" i="35"/>
  <c r="E49" i="41"/>
  <c r="D49" i="41"/>
  <c r="H45" i="54"/>
  <c r="I45" i="54" s="1"/>
  <c r="D41" i="89"/>
  <c r="E41" i="89"/>
  <c r="D51" i="70"/>
  <c r="E51" i="70"/>
  <c r="B50" i="30"/>
  <c r="F50" i="30"/>
  <c r="H50" i="30" s="1"/>
  <c r="E43" i="78"/>
  <c r="D43" i="78"/>
  <c r="G40" i="92"/>
  <c r="B42" i="88"/>
  <c r="F42" i="88"/>
  <c r="H42" i="88" s="1"/>
  <c r="E43" i="79"/>
  <c r="D43" i="79"/>
  <c r="I49" i="34"/>
  <c r="I40" i="26"/>
  <c r="H48" i="17"/>
  <c r="I48" i="17" s="1"/>
  <c r="D43" i="77"/>
  <c r="E43" i="77"/>
  <c r="F41" i="83"/>
  <c r="B41" i="83"/>
  <c r="I41" i="88"/>
  <c r="G50" i="29"/>
  <c r="I50" i="29" s="1"/>
  <c r="D51" i="29"/>
  <c r="E51" i="29"/>
  <c r="G45" i="57"/>
  <c r="D48" i="74"/>
  <c r="E48" i="74"/>
  <c r="D48" i="73"/>
  <c r="E48" i="73"/>
  <c r="E49" i="43"/>
  <c r="D49" i="43"/>
  <c r="H40" i="92"/>
  <c r="B49" i="19"/>
  <c r="F49" i="19"/>
  <c r="H49" i="19" s="1"/>
  <c r="B50" i="34"/>
  <c r="F50" i="34"/>
  <c r="H49" i="32"/>
  <c r="B44" i="68"/>
  <c r="F44" i="68"/>
  <c r="G44" i="68" s="1"/>
  <c r="B41" i="87"/>
  <c r="F41" i="87"/>
  <c r="G41" i="87" s="1"/>
  <c r="B44" i="62"/>
  <c r="F44" i="62"/>
  <c r="E65" i="35"/>
  <c r="F65" i="35" s="1"/>
  <c r="H64" i="35"/>
  <c r="B65" i="35"/>
  <c r="G64" i="35"/>
  <c r="B42" i="33"/>
  <c r="F42" i="33"/>
  <c r="H42" i="33" s="1"/>
  <c r="E50" i="18"/>
  <c r="D50" i="18"/>
  <c r="F48" i="20"/>
  <c r="G48" i="20" s="1"/>
  <c r="B48" i="20"/>
  <c r="D45" i="59"/>
  <c r="E45" i="59"/>
  <c r="B41" i="26"/>
  <c r="F41" i="26"/>
  <c r="H41" i="26" s="1"/>
  <c r="B120" i="33"/>
  <c r="H119" i="33"/>
  <c r="I119" i="33"/>
  <c r="B121" i="25"/>
  <c r="F121" i="25"/>
  <c r="E148" i="35"/>
  <c r="F148" i="35" s="1"/>
  <c r="G147" i="35"/>
  <c r="B148" i="35"/>
  <c r="E120" i="33"/>
  <c r="F120" i="33" s="1"/>
  <c r="I120" i="25"/>
  <c r="H120" i="25"/>
  <c r="I146" i="35"/>
  <c r="H146" i="35"/>
  <c r="J145" i="35"/>
  <c r="H39" i="102" l="1"/>
  <c r="I39" i="102" s="1"/>
  <c r="D40" i="102"/>
  <c r="E40" i="102" s="1"/>
  <c r="H53" i="100"/>
  <c r="I53" i="100" s="1"/>
  <c r="G48" i="101"/>
  <c r="I48" i="101" s="1"/>
  <c r="D49" i="101"/>
  <c r="E49" i="101" s="1"/>
  <c r="F122" i="100"/>
  <c r="B122" i="100"/>
  <c r="I121" i="100"/>
  <c r="H121" i="100"/>
  <c r="D54" i="100"/>
  <c r="E54" i="100" s="1"/>
  <c r="F40" i="95"/>
  <c r="G40" i="95" s="1"/>
  <c r="I47" i="97"/>
  <c r="H48" i="97"/>
  <c r="E49" i="97"/>
  <c r="F49" i="97" s="1"/>
  <c r="D50" i="97" s="1"/>
  <c r="B50" i="97" s="1"/>
  <c r="G48" i="97"/>
  <c r="H39" i="13"/>
  <c r="D40" i="13"/>
  <c r="G39" i="13"/>
  <c r="I44" i="99"/>
  <c r="I47" i="44"/>
  <c r="D46" i="99"/>
  <c r="G45" i="99"/>
  <c r="H45" i="99"/>
  <c r="I49" i="32"/>
  <c r="F41" i="98"/>
  <c r="B41" i="98"/>
  <c r="I40" i="92"/>
  <c r="I50" i="23"/>
  <c r="H48" i="20"/>
  <c r="I48" i="20" s="1"/>
  <c r="I42" i="90"/>
  <c r="G47" i="55"/>
  <c r="I47" i="55" s="1"/>
  <c r="J120" i="26"/>
  <c r="D122" i="26"/>
  <c r="G121" i="26"/>
  <c r="H43" i="75"/>
  <c r="I43" i="75" s="1"/>
  <c r="H44" i="68"/>
  <c r="I44" i="68" s="1"/>
  <c r="B45" i="67"/>
  <c r="F45" i="67"/>
  <c r="G45" i="67" s="1"/>
  <c r="B46" i="46"/>
  <c r="F46" i="46"/>
  <c r="B50" i="24"/>
  <c r="F50" i="24"/>
  <c r="G50" i="24" s="1"/>
  <c r="G50" i="30"/>
  <c r="I50" i="30" s="1"/>
  <c r="H47" i="45"/>
  <c r="I47" i="45" s="1"/>
  <c r="G46" i="72"/>
  <c r="I46" i="72" s="1"/>
  <c r="G41" i="25"/>
  <c r="H41" i="25"/>
  <c r="D42" i="25"/>
  <c r="E44" i="82"/>
  <c r="D44" i="82"/>
  <c r="G45" i="64"/>
  <c r="I45" i="64" s="1"/>
  <c r="I40" i="94"/>
  <c r="G42" i="86"/>
  <c r="E43" i="86"/>
  <c r="H42" i="86"/>
  <c r="D43" i="86"/>
  <c r="B40" i="93"/>
  <c r="F40" i="93"/>
  <c r="G40" i="93" s="1"/>
  <c r="F43" i="80"/>
  <c r="B43" i="80"/>
  <c r="H43" i="82"/>
  <c r="I43" i="82" s="1"/>
  <c r="B41" i="94"/>
  <c r="F41" i="94"/>
  <c r="G41" i="94" s="1"/>
  <c r="D49" i="42"/>
  <c r="E49" i="42"/>
  <c r="B51" i="23"/>
  <c r="F51" i="23"/>
  <c r="E48" i="58"/>
  <c r="D48" i="58"/>
  <c r="H47" i="58"/>
  <c r="G47" i="58"/>
  <c r="F42" i="84"/>
  <c r="H42" i="84" s="1"/>
  <c r="B42" i="84"/>
  <c r="G44" i="65"/>
  <c r="E45" i="65"/>
  <c r="D45" i="65"/>
  <c r="F42" i="91"/>
  <c r="G42" i="91" s="1"/>
  <c r="B42" i="91"/>
  <c r="F43" i="90"/>
  <c r="H43" i="90" s="1"/>
  <c r="B43" i="90"/>
  <c r="G41" i="26"/>
  <c r="I41" i="26" s="1"/>
  <c r="B45" i="66"/>
  <c r="F45" i="66"/>
  <c r="H48" i="42"/>
  <c r="I41" i="91"/>
  <c r="B46" i="53"/>
  <c r="F46" i="53"/>
  <c r="G46" i="53" s="1"/>
  <c r="E44" i="75"/>
  <c r="D44" i="75"/>
  <c r="G48" i="42"/>
  <c r="H44" i="65"/>
  <c r="E48" i="55"/>
  <c r="D48" i="55"/>
  <c r="I45" i="53"/>
  <c r="B49" i="22"/>
  <c r="F49" i="22"/>
  <c r="B48" i="44"/>
  <c r="F48" i="44"/>
  <c r="G48" i="44" s="1"/>
  <c r="G42" i="88"/>
  <c r="I42" i="88" s="1"/>
  <c r="F45" i="61"/>
  <c r="G45" i="61" s="1"/>
  <c r="B45" i="61"/>
  <c r="B43" i="76"/>
  <c r="F43" i="76"/>
  <c r="H43" i="76" s="1"/>
  <c r="H51" i="69"/>
  <c r="I51" i="69" s="1"/>
  <c r="D47" i="72"/>
  <c r="E47" i="72"/>
  <c r="B40" i="96"/>
  <c r="F40" i="96"/>
  <c r="G40" i="96" s="1"/>
  <c r="G42" i="85"/>
  <c r="I42" i="85" s="1"/>
  <c r="E43" i="85"/>
  <c r="D43" i="85"/>
  <c r="E49" i="39"/>
  <c r="D49" i="39"/>
  <c r="G42" i="33"/>
  <c r="I42" i="33" s="1"/>
  <c r="I45" i="57"/>
  <c r="F42" i="81"/>
  <c r="H42" i="81" s="1"/>
  <c r="B42" i="81"/>
  <c r="F51" i="27"/>
  <c r="B51" i="27"/>
  <c r="H48" i="39"/>
  <c r="I48" i="39" s="1"/>
  <c r="I64" i="35"/>
  <c r="E42" i="83"/>
  <c r="D42" i="83"/>
  <c r="B43" i="77"/>
  <c r="F43" i="77"/>
  <c r="H43" i="77" s="1"/>
  <c r="F43" i="79"/>
  <c r="B43" i="79"/>
  <c r="F51" i="70"/>
  <c r="B51" i="70"/>
  <c r="F49" i="41"/>
  <c r="B49" i="41"/>
  <c r="B49" i="21"/>
  <c r="F49" i="21"/>
  <c r="H49" i="21" s="1"/>
  <c r="D50" i="3"/>
  <c r="E50" i="3"/>
  <c r="F45" i="63"/>
  <c r="G45" i="63" s="1"/>
  <c r="B45" i="63"/>
  <c r="E52" i="31"/>
  <c r="D52" i="31"/>
  <c r="E51" i="71"/>
  <c r="D51" i="71"/>
  <c r="C58" i="17"/>
  <c r="B49" i="17"/>
  <c r="F49" i="17"/>
  <c r="H41" i="87"/>
  <c r="I41" i="87" s="1"/>
  <c r="E45" i="68"/>
  <c r="D45" i="68"/>
  <c r="F48" i="73"/>
  <c r="H48" i="73" s="1"/>
  <c r="B48" i="73"/>
  <c r="H41" i="83"/>
  <c r="B45" i="60"/>
  <c r="F45" i="60"/>
  <c r="D53" i="28"/>
  <c r="E53" i="28"/>
  <c r="H50" i="71"/>
  <c r="F41" i="92"/>
  <c r="G41" i="92" s="1"/>
  <c r="B41" i="92"/>
  <c r="D48" i="45"/>
  <c r="E48" i="45"/>
  <c r="G50" i="34"/>
  <c r="E51" i="34"/>
  <c r="H50" i="34"/>
  <c r="D51" i="34"/>
  <c r="G49" i="19"/>
  <c r="I49" i="19" s="1"/>
  <c r="D50" i="19"/>
  <c r="E50" i="19"/>
  <c r="B49" i="43"/>
  <c r="F49" i="43"/>
  <c r="H49" i="43" s="1"/>
  <c r="B51" i="29"/>
  <c r="F51" i="29"/>
  <c r="H51" i="29" s="1"/>
  <c r="G41" i="83"/>
  <c r="D43" i="88"/>
  <c r="E43" i="88"/>
  <c r="D51" i="30"/>
  <c r="E51" i="30"/>
  <c r="F41" i="89"/>
  <c r="H41" i="89" s="1"/>
  <c r="B41" i="89"/>
  <c r="G45" i="56"/>
  <c r="I45" i="56" s="1"/>
  <c r="D46" i="56"/>
  <c r="E46" i="56"/>
  <c r="B46" i="54"/>
  <c r="F46" i="54"/>
  <c r="H46" i="54" s="1"/>
  <c r="G49" i="3"/>
  <c r="G51" i="31"/>
  <c r="F46" i="57"/>
  <c r="H46" i="57" s="1"/>
  <c r="B46" i="57"/>
  <c r="E46" i="64"/>
  <c r="D46" i="64"/>
  <c r="B48" i="74"/>
  <c r="F48" i="74"/>
  <c r="G48" i="74" s="1"/>
  <c r="B43" i="78"/>
  <c r="F43" i="78"/>
  <c r="F50" i="32"/>
  <c r="G50" i="32" s="1"/>
  <c r="B50" i="32"/>
  <c r="E52" i="69"/>
  <c r="D52" i="69"/>
  <c r="H52" i="28"/>
  <c r="I52" i="28" s="1"/>
  <c r="H49" i="3"/>
  <c r="H51" i="31"/>
  <c r="G50" i="71"/>
  <c r="E45" i="62"/>
  <c r="D45" i="62"/>
  <c r="G65" i="35"/>
  <c r="E66" i="35"/>
  <c r="F66" i="35" s="1"/>
  <c r="B66" i="35"/>
  <c r="H65" i="35"/>
  <c r="D42" i="26"/>
  <c r="E42" i="26" s="1"/>
  <c r="E49" i="20"/>
  <c r="D49" i="20"/>
  <c r="D43" i="33"/>
  <c r="H44" i="62"/>
  <c r="B45" i="59"/>
  <c r="F45" i="59"/>
  <c r="B50" i="18"/>
  <c r="F50" i="18"/>
  <c r="G44" i="62"/>
  <c r="D42" i="87"/>
  <c r="E42" i="87"/>
  <c r="J146" i="35"/>
  <c r="J120" i="25"/>
  <c r="G120" i="33"/>
  <c r="D121" i="33"/>
  <c r="E121" i="33" s="1"/>
  <c r="H147" i="35"/>
  <c r="I147" i="35"/>
  <c r="G121" i="25"/>
  <c r="D122" i="25"/>
  <c r="E122" i="25" s="1"/>
  <c r="G148" i="35"/>
  <c r="B149" i="35"/>
  <c r="E149" i="35"/>
  <c r="F149" i="35" s="1"/>
  <c r="J119" i="33"/>
  <c r="B49" i="101" l="1"/>
  <c r="F49" i="101"/>
  <c r="H49" i="101" s="1"/>
  <c r="B40" i="102"/>
  <c r="F40" i="102"/>
  <c r="H40" i="102" s="1"/>
  <c r="D123" i="100"/>
  <c r="G122" i="100"/>
  <c r="J121" i="100"/>
  <c r="F54" i="100"/>
  <c r="G54" i="100" s="1"/>
  <c r="B54" i="100"/>
  <c r="H40" i="95"/>
  <c r="I40" i="95" s="1"/>
  <c r="E41" i="95"/>
  <c r="D41" i="95"/>
  <c r="B41" i="95" s="1"/>
  <c r="I48" i="97"/>
  <c r="I39" i="13"/>
  <c r="H49" i="97"/>
  <c r="G49" i="97"/>
  <c r="B40" i="13"/>
  <c r="E40" i="13"/>
  <c r="F40" i="13" s="1"/>
  <c r="E50" i="97"/>
  <c r="F50" i="97" s="1"/>
  <c r="I49" i="3"/>
  <c r="I45" i="99"/>
  <c r="D42" i="98"/>
  <c r="E42" i="98"/>
  <c r="H41" i="98"/>
  <c r="G41" i="98"/>
  <c r="E46" i="99"/>
  <c r="F46" i="99" s="1"/>
  <c r="D47" i="99" s="1"/>
  <c r="B46" i="99"/>
  <c r="I41" i="25"/>
  <c r="H121" i="26"/>
  <c r="I121" i="26"/>
  <c r="E122" i="26"/>
  <c r="F122" i="26" s="1"/>
  <c r="B122" i="26"/>
  <c r="H41" i="92"/>
  <c r="I41" i="92" s="1"/>
  <c r="H42" i="91"/>
  <c r="I42" i="91" s="1"/>
  <c r="H45" i="67"/>
  <c r="I45" i="67" s="1"/>
  <c r="D46" i="67"/>
  <c r="E46" i="67"/>
  <c r="I44" i="65"/>
  <c r="G46" i="57"/>
  <c r="I46" i="57" s="1"/>
  <c r="H46" i="53"/>
  <c r="I46" i="53" s="1"/>
  <c r="G46" i="46"/>
  <c r="E47" i="46"/>
  <c r="D47" i="46"/>
  <c r="H46" i="46"/>
  <c r="E51" i="24"/>
  <c r="D51" i="24"/>
  <c r="H50" i="24"/>
  <c r="I50" i="24" s="1"/>
  <c r="G43" i="80"/>
  <c r="E44" i="80"/>
  <c r="D44" i="80"/>
  <c r="F43" i="86"/>
  <c r="B43" i="86"/>
  <c r="E42" i="25"/>
  <c r="F42" i="25" s="1"/>
  <c r="B42" i="25"/>
  <c r="I48" i="42"/>
  <c r="H43" i="80"/>
  <c r="H40" i="93"/>
  <c r="I40" i="93" s="1"/>
  <c r="D41" i="93"/>
  <c r="E41" i="93"/>
  <c r="I42" i="86"/>
  <c r="H41" i="94"/>
  <c r="I41" i="94" s="1"/>
  <c r="E42" i="94"/>
  <c r="D42" i="94"/>
  <c r="B44" i="82"/>
  <c r="F44" i="82"/>
  <c r="H50" i="32"/>
  <c r="I50" i="32" s="1"/>
  <c r="G49" i="21"/>
  <c r="I49" i="21" s="1"/>
  <c r="G43" i="76"/>
  <c r="I43" i="76" s="1"/>
  <c r="G45" i="66"/>
  <c r="E46" i="66"/>
  <c r="D46" i="66"/>
  <c r="B45" i="65"/>
  <c r="F45" i="65"/>
  <c r="G45" i="65" s="1"/>
  <c r="F48" i="58"/>
  <c r="H48" i="58" s="1"/>
  <c r="B48" i="58"/>
  <c r="G41" i="89"/>
  <c r="I41" i="89" s="1"/>
  <c r="H40" i="96"/>
  <c r="I40" i="96" s="1"/>
  <c r="B48" i="55"/>
  <c r="F48" i="55"/>
  <c r="G48" i="55" s="1"/>
  <c r="G43" i="90"/>
  <c r="I43" i="90" s="1"/>
  <c r="D44" i="90"/>
  <c r="E44" i="90"/>
  <c r="D43" i="91"/>
  <c r="E43" i="91"/>
  <c r="G42" i="84"/>
  <c r="I42" i="84" s="1"/>
  <c r="D43" i="84"/>
  <c r="E43" i="84"/>
  <c r="G48" i="73"/>
  <c r="I48" i="73" s="1"/>
  <c r="F44" i="75"/>
  <c r="H44" i="75" s="1"/>
  <c r="B44" i="75"/>
  <c r="D47" i="53"/>
  <c r="E47" i="53"/>
  <c r="H51" i="23"/>
  <c r="D52" i="23"/>
  <c r="E52" i="23"/>
  <c r="B49" i="42"/>
  <c r="F49" i="42"/>
  <c r="G49" i="42" s="1"/>
  <c r="H45" i="66"/>
  <c r="I47" i="58"/>
  <c r="G51" i="23"/>
  <c r="G49" i="43"/>
  <c r="I49" i="43" s="1"/>
  <c r="G42" i="81"/>
  <c r="I42" i="81" s="1"/>
  <c r="B49" i="39"/>
  <c r="F49" i="39"/>
  <c r="H49" i="39" s="1"/>
  <c r="E46" i="61"/>
  <c r="D46" i="61"/>
  <c r="H48" i="44"/>
  <c r="I48" i="44" s="1"/>
  <c r="E49" i="44"/>
  <c r="D49" i="44"/>
  <c r="F47" i="72"/>
  <c r="B47" i="72"/>
  <c r="H49" i="22"/>
  <c r="D50" i="22"/>
  <c r="E50" i="22"/>
  <c r="H48" i="74"/>
  <c r="I48" i="74" s="1"/>
  <c r="H51" i="27"/>
  <c r="D52" i="27"/>
  <c r="E52" i="27"/>
  <c r="G51" i="27"/>
  <c r="E41" i="96"/>
  <c r="D41" i="96"/>
  <c r="D43" i="81"/>
  <c r="E43" i="81"/>
  <c r="H45" i="63"/>
  <c r="I45" i="63" s="1"/>
  <c r="B43" i="85"/>
  <c r="F43" i="85"/>
  <c r="H43" i="85" s="1"/>
  <c r="E44" i="76"/>
  <c r="D44" i="76"/>
  <c r="H45" i="61"/>
  <c r="I45" i="61" s="1"/>
  <c r="G49" i="22"/>
  <c r="I51" i="31"/>
  <c r="H43" i="78"/>
  <c r="E44" i="78"/>
  <c r="D44" i="78"/>
  <c r="F46" i="64"/>
  <c r="G46" i="64" s="1"/>
  <c r="B46" i="64"/>
  <c r="F51" i="30"/>
  <c r="G51" i="30" s="1"/>
  <c r="B51" i="30"/>
  <c r="F51" i="34"/>
  <c r="G51" i="34" s="1"/>
  <c r="B51" i="34"/>
  <c r="I50" i="71"/>
  <c r="D46" i="60"/>
  <c r="E46" i="60"/>
  <c r="I41" i="83"/>
  <c r="E50" i="17"/>
  <c r="D50" i="17"/>
  <c r="F51" i="71"/>
  <c r="G51" i="71" s="1"/>
  <c r="B51" i="71"/>
  <c r="F50" i="3"/>
  <c r="G50" i="3" s="1"/>
  <c r="B50" i="3"/>
  <c r="H49" i="41"/>
  <c r="E50" i="41"/>
  <c r="D50" i="41"/>
  <c r="E52" i="70"/>
  <c r="D52" i="70"/>
  <c r="D44" i="79"/>
  <c r="E44" i="79"/>
  <c r="B42" i="83"/>
  <c r="F42" i="83"/>
  <c r="H42" i="83" s="1"/>
  <c r="E49" i="74"/>
  <c r="D49" i="74"/>
  <c r="E47" i="57"/>
  <c r="D47" i="57"/>
  <c r="B46" i="56"/>
  <c r="F46" i="56"/>
  <c r="G51" i="29"/>
  <c r="I51" i="29" s="1"/>
  <c r="D52" i="29"/>
  <c r="E52" i="29"/>
  <c r="E50" i="43"/>
  <c r="D50" i="43"/>
  <c r="I50" i="34"/>
  <c r="G49" i="17"/>
  <c r="E50" i="21"/>
  <c r="D50" i="21"/>
  <c r="H51" i="70"/>
  <c r="H43" i="79"/>
  <c r="B52" i="69"/>
  <c r="F52" i="69"/>
  <c r="G52" i="69" s="1"/>
  <c r="D51" i="32"/>
  <c r="E51" i="32"/>
  <c r="G46" i="54"/>
  <c r="I46" i="54" s="1"/>
  <c r="E47" i="54"/>
  <c r="D47" i="54"/>
  <c r="E42" i="89"/>
  <c r="D42" i="89"/>
  <c r="F43" i="88"/>
  <c r="B43" i="88"/>
  <c r="F50" i="19"/>
  <c r="G50" i="19" s="1"/>
  <c r="B50" i="19"/>
  <c r="F48" i="45"/>
  <c r="H48" i="45" s="1"/>
  <c r="B48" i="45"/>
  <c r="D42" i="92"/>
  <c r="E42" i="92"/>
  <c r="B53" i="28"/>
  <c r="F53" i="28"/>
  <c r="H53" i="28" s="1"/>
  <c r="H45" i="60"/>
  <c r="E49" i="73"/>
  <c r="D49" i="73"/>
  <c r="F52" i="31"/>
  <c r="H52" i="31" s="1"/>
  <c r="B52" i="31"/>
  <c r="E46" i="63"/>
  <c r="D46" i="63"/>
  <c r="G49" i="41"/>
  <c r="G51" i="70"/>
  <c r="G43" i="79"/>
  <c r="G43" i="77"/>
  <c r="I43" i="77" s="1"/>
  <c r="E44" i="77"/>
  <c r="D44" i="77"/>
  <c r="G43" i="78"/>
  <c r="G45" i="60"/>
  <c r="F45" i="68"/>
  <c r="H45" i="68" s="1"/>
  <c r="B45" i="68"/>
  <c r="H49" i="17"/>
  <c r="D51" i="18"/>
  <c r="E51" i="18"/>
  <c r="D46" i="59"/>
  <c r="E46" i="59"/>
  <c r="G50" i="18"/>
  <c r="H45" i="59"/>
  <c r="I44" i="62"/>
  <c r="B43" i="33"/>
  <c r="B49" i="20"/>
  <c r="F49" i="20"/>
  <c r="H49" i="20" s="1"/>
  <c r="I65" i="35"/>
  <c r="F45" i="62"/>
  <c r="B45" i="62"/>
  <c r="F42" i="87"/>
  <c r="B42" i="87"/>
  <c r="E43" i="33"/>
  <c r="F43" i="33" s="1"/>
  <c r="F42" i="26"/>
  <c r="H42" i="26" s="1"/>
  <c r="B42" i="26"/>
  <c r="H50" i="18"/>
  <c r="G45" i="59"/>
  <c r="H66" i="35"/>
  <c r="G66" i="35"/>
  <c r="B67" i="35"/>
  <c r="E67" i="35"/>
  <c r="F67" i="35" s="1"/>
  <c r="J147" i="35"/>
  <c r="G149" i="35"/>
  <c r="B150" i="35"/>
  <c r="E150" i="35"/>
  <c r="F150" i="35" s="1"/>
  <c r="H148" i="35"/>
  <c r="I148" i="35"/>
  <c r="F122" i="25"/>
  <c r="B122" i="25"/>
  <c r="B121" i="33"/>
  <c r="F121" i="33"/>
  <c r="H121" i="25"/>
  <c r="I121" i="25"/>
  <c r="I120" i="33"/>
  <c r="H120" i="33"/>
  <c r="G40" i="102" l="1"/>
  <c r="I40" i="102" s="1"/>
  <c r="D41" i="102"/>
  <c r="E41" i="102"/>
  <c r="H54" i="100"/>
  <c r="I54" i="100" s="1"/>
  <c r="G49" i="101"/>
  <c r="I49" i="101" s="1"/>
  <c r="D50" i="101"/>
  <c r="H122" i="100"/>
  <c r="I122" i="100"/>
  <c r="B123" i="100"/>
  <c r="E123" i="100"/>
  <c r="F123" i="100" s="1"/>
  <c r="D55" i="100"/>
  <c r="E55" i="100" s="1"/>
  <c r="F41" i="95"/>
  <c r="H41" i="95" s="1"/>
  <c r="I49" i="41"/>
  <c r="I49" i="22"/>
  <c r="I49" i="97"/>
  <c r="H40" i="13"/>
  <c r="G40" i="13"/>
  <c r="D41" i="13"/>
  <c r="D51" i="97"/>
  <c r="B51" i="97" s="1"/>
  <c r="H50" i="97"/>
  <c r="E51" i="97"/>
  <c r="G50" i="97"/>
  <c r="I41" i="98"/>
  <c r="J121" i="26"/>
  <c r="E47" i="99"/>
  <c r="F47" i="99" s="1"/>
  <c r="G47" i="99" s="1"/>
  <c r="B47" i="99"/>
  <c r="I46" i="46"/>
  <c r="H46" i="99"/>
  <c r="G46" i="99"/>
  <c r="F42" i="98"/>
  <c r="G42" i="98" s="1"/>
  <c r="B42" i="98"/>
  <c r="I49" i="17"/>
  <c r="D123" i="26"/>
  <c r="G122" i="26"/>
  <c r="I43" i="80"/>
  <c r="F46" i="67"/>
  <c r="H46" i="67" s="1"/>
  <c r="B46" i="67"/>
  <c r="I45" i="66"/>
  <c r="B47" i="46"/>
  <c r="F47" i="46"/>
  <c r="G47" i="46" s="1"/>
  <c r="H51" i="30"/>
  <c r="I51" i="30" s="1"/>
  <c r="F51" i="24"/>
  <c r="H51" i="24" s="1"/>
  <c r="B51" i="24"/>
  <c r="I45" i="60"/>
  <c r="H48" i="55"/>
  <c r="I48" i="55" s="1"/>
  <c r="D45" i="82"/>
  <c r="E45" i="82"/>
  <c r="G42" i="25"/>
  <c r="D43" i="25"/>
  <c r="H43" i="86"/>
  <c r="E44" i="86"/>
  <c r="D44" i="86"/>
  <c r="B44" i="80"/>
  <c r="F44" i="80"/>
  <c r="G44" i="80" s="1"/>
  <c r="H46" i="64"/>
  <c r="I46" i="64" s="1"/>
  <c r="G43" i="86"/>
  <c r="G44" i="82"/>
  <c r="F42" i="94"/>
  <c r="B42" i="94"/>
  <c r="H44" i="82"/>
  <c r="F41" i="93"/>
  <c r="B41" i="93"/>
  <c r="H42" i="25"/>
  <c r="H49" i="42"/>
  <c r="I49" i="42" s="1"/>
  <c r="F52" i="23"/>
  <c r="B52" i="23"/>
  <c r="G44" i="75"/>
  <c r="I44" i="75" s="1"/>
  <c r="G48" i="58"/>
  <c r="I48" i="58" s="1"/>
  <c r="E49" i="58"/>
  <c r="D49" i="58"/>
  <c r="I51" i="23"/>
  <c r="F43" i="91"/>
  <c r="B43" i="91"/>
  <c r="F46" i="66"/>
  <c r="G46" i="66" s="1"/>
  <c r="B46" i="66"/>
  <c r="F43" i="84"/>
  <c r="G43" i="84" s="1"/>
  <c r="B43" i="84"/>
  <c r="E49" i="55"/>
  <c r="D49" i="55"/>
  <c r="D50" i="42"/>
  <c r="E50" i="42"/>
  <c r="B47" i="53"/>
  <c r="F47" i="53"/>
  <c r="D45" i="75"/>
  <c r="E45" i="75"/>
  <c r="B44" i="90"/>
  <c r="F44" i="90"/>
  <c r="H44" i="90" s="1"/>
  <c r="H45" i="65"/>
  <c r="I45" i="65" s="1"/>
  <c r="D46" i="65"/>
  <c r="E46" i="65"/>
  <c r="G48" i="45"/>
  <c r="I48" i="45" s="1"/>
  <c r="B44" i="76"/>
  <c r="F44" i="76"/>
  <c r="H44" i="76" s="1"/>
  <c r="I51" i="27"/>
  <c r="E48" i="72"/>
  <c r="D48" i="72"/>
  <c r="B46" i="61"/>
  <c r="F46" i="61"/>
  <c r="G46" i="61" s="1"/>
  <c r="G49" i="39"/>
  <c r="I49" i="39" s="1"/>
  <c r="D50" i="39"/>
  <c r="E50" i="39"/>
  <c r="H47" i="72"/>
  <c r="B49" i="44"/>
  <c r="F49" i="44"/>
  <c r="H49" i="44" s="1"/>
  <c r="D44" i="85"/>
  <c r="E44" i="85"/>
  <c r="B50" i="22"/>
  <c r="F50" i="22"/>
  <c r="G50" i="22" s="1"/>
  <c r="G43" i="85"/>
  <c r="I43" i="85" s="1"/>
  <c r="F43" i="81"/>
  <c r="B43" i="81"/>
  <c r="F41" i="96"/>
  <c r="B41" i="96"/>
  <c r="F52" i="27"/>
  <c r="B52" i="27"/>
  <c r="G47" i="72"/>
  <c r="I50" i="18"/>
  <c r="I43" i="78"/>
  <c r="G45" i="68"/>
  <c r="I45" i="68" s="1"/>
  <c r="D46" i="68"/>
  <c r="E46" i="68"/>
  <c r="B46" i="63"/>
  <c r="F46" i="63"/>
  <c r="G46" i="63" s="1"/>
  <c r="G52" i="31"/>
  <c r="I52" i="31" s="1"/>
  <c r="D53" i="31"/>
  <c r="E53" i="31"/>
  <c r="B42" i="92"/>
  <c r="F42" i="92"/>
  <c r="E51" i="19"/>
  <c r="D51" i="19"/>
  <c r="D44" i="88"/>
  <c r="E44" i="88"/>
  <c r="B51" i="32"/>
  <c r="F51" i="32"/>
  <c r="H51" i="32" s="1"/>
  <c r="H52" i="69"/>
  <c r="I52" i="69" s="1"/>
  <c r="I43" i="79"/>
  <c r="B52" i="29"/>
  <c r="F52" i="29"/>
  <c r="H52" i="29" s="1"/>
  <c r="G46" i="56"/>
  <c r="E47" i="56"/>
  <c r="D47" i="56"/>
  <c r="B49" i="74"/>
  <c r="F49" i="74"/>
  <c r="F44" i="79"/>
  <c r="G44" i="79" s="1"/>
  <c r="B44" i="79"/>
  <c r="B44" i="78"/>
  <c r="F44" i="78"/>
  <c r="G44" i="78" s="1"/>
  <c r="G42" i="26"/>
  <c r="I42" i="26" s="1"/>
  <c r="B49" i="73"/>
  <c r="F49" i="73"/>
  <c r="H49" i="73" s="1"/>
  <c r="G53" i="28"/>
  <c r="I53" i="28" s="1"/>
  <c r="D54" i="28"/>
  <c r="E54" i="28" s="1"/>
  <c r="H43" i="88"/>
  <c r="B42" i="89"/>
  <c r="F42" i="89"/>
  <c r="I51" i="70"/>
  <c r="B50" i="43"/>
  <c r="F50" i="43"/>
  <c r="E43" i="83"/>
  <c r="D43" i="83"/>
  <c r="B52" i="70"/>
  <c r="F52" i="70"/>
  <c r="D51" i="3"/>
  <c r="E51" i="3"/>
  <c r="E52" i="71"/>
  <c r="D52" i="71"/>
  <c r="D47" i="64"/>
  <c r="E47" i="64"/>
  <c r="F44" i="77"/>
  <c r="G44" i="77" s="1"/>
  <c r="B44" i="77"/>
  <c r="D53" i="69"/>
  <c r="E53" i="69"/>
  <c r="F50" i="21"/>
  <c r="B50" i="21"/>
  <c r="F47" i="57"/>
  <c r="H47" i="57" s="1"/>
  <c r="B47" i="57"/>
  <c r="C59" i="17"/>
  <c r="F50" i="17"/>
  <c r="H50" i="17" s="1"/>
  <c r="B50" i="17"/>
  <c r="B46" i="60"/>
  <c r="F46" i="60"/>
  <c r="G46" i="60" s="1"/>
  <c r="I45" i="59"/>
  <c r="E49" i="45"/>
  <c r="D49" i="45"/>
  <c r="H50" i="19"/>
  <c r="I50" i="19" s="1"/>
  <c r="G43" i="88"/>
  <c r="F47" i="54"/>
  <c r="B47" i="54"/>
  <c r="H46" i="56"/>
  <c r="G42" i="83"/>
  <c r="I42" i="83" s="1"/>
  <c r="F50" i="41"/>
  <c r="G50" i="41" s="1"/>
  <c r="B50" i="41"/>
  <c r="H50" i="3"/>
  <c r="I50" i="3" s="1"/>
  <c r="H51" i="71"/>
  <c r="I51" i="71" s="1"/>
  <c r="H51" i="34"/>
  <c r="I51" i="34" s="1"/>
  <c r="E52" i="34"/>
  <c r="D52" i="34"/>
  <c r="D52" i="30"/>
  <c r="E52" i="30"/>
  <c r="D44" i="33"/>
  <c r="G43" i="33"/>
  <c r="H43" i="33"/>
  <c r="G67" i="35"/>
  <c r="B68" i="35"/>
  <c r="E68" i="35"/>
  <c r="F68" i="35" s="1"/>
  <c r="H67" i="35"/>
  <c r="E43" i="87"/>
  <c r="D43" i="87"/>
  <c r="B46" i="59"/>
  <c r="F46" i="59"/>
  <c r="G46" i="59" s="1"/>
  <c r="H42" i="87"/>
  <c r="D46" i="62"/>
  <c r="E46" i="62"/>
  <c r="E50" i="20"/>
  <c r="D50" i="20"/>
  <c r="G42" i="87"/>
  <c r="G45" i="62"/>
  <c r="B51" i="18"/>
  <c r="F51" i="18"/>
  <c r="G51" i="18" s="1"/>
  <c r="I66" i="35"/>
  <c r="D43" i="26"/>
  <c r="E43" i="26" s="1"/>
  <c r="H45" i="62"/>
  <c r="G49" i="20"/>
  <c r="I49" i="20" s="1"/>
  <c r="J121" i="25"/>
  <c r="J120" i="33"/>
  <c r="G121" i="33"/>
  <c r="D122" i="33"/>
  <c r="E122" i="33" s="1"/>
  <c r="H149" i="35"/>
  <c r="I149" i="35"/>
  <c r="J148" i="35"/>
  <c r="G122" i="25"/>
  <c r="D123" i="25"/>
  <c r="E123" i="25" s="1"/>
  <c r="G150" i="35"/>
  <c r="B151" i="35"/>
  <c r="E151" i="35"/>
  <c r="F151" i="35" s="1"/>
  <c r="E50" i="101" l="1"/>
  <c r="F50" i="101" s="1"/>
  <c r="B50" i="101"/>
  <c r="B41" i="102"/>
  <c r="F41" i="102"/>
  <c r="G41" i="102" s="1"/>
  <c r="G123" i="100"/>
  <c r="D124" i="100"/>
  <c r="E124" i="100" s="1"/>
  <c r="J122" i="100"/>
  <c r="B55" i="100"/>
  <c r="F55" i="100"/>
  <c r="H55" i="100" s="1"/>
  <c r="D42" i="95"/>
  <c r="B42" i="95" s="1"/>
  <c r="E42" i="95"/>
  <c r="G41" i="95"/>
  <c r="I41" i="95" s="1"/>
  <c r="E41" i="13"/>
  <c r="F41" i="13" s="1"/>
  <c r="B41" i="13"/>
  <c r="I40" i="13"/>
  <c r="F51" i="97"/>
  <c r="D52" i="97" s="1"/>
  <c r="B52" i="97" s="1"/>
  <c r="I50" i="97"/>
  <c r="H42" i="98"/>
  <c r="I42" i="98" s="1"/>
  <c r="I46" i="99"/>
  <c r="D48" i="99"/>
  <c r="E48" i="99"/>
  <c r="D43" i="98"/>
  <c r="E43" i="98"/>
  <c r="H47" i="99"/>
  <c r="I47" i="99" s="1"/>
  <c r="I42" i="25"/>
  <c r="H47" i="46"/>
  <c r="I47" i="46" s="1"/>
  <c r="G51" i="24"/>
  <c r="I51" i="24" s="1"/>
  <c r="I46" i="56"/>
  <c r="I122" i="26"/>
  <c r="H122" i="26"/>
  <c r="E123" i="26"/>
  <c r="F123" i="26" s="1"/>
  <c r="B123" i="26"/>
  <c r="I44" i="82"/>
  <c r="H43" i="84"/>
  <c r="I43" i="84" s="1"/>
  <c r="H44" i="80"/>
  <c r="I44" i="80" s="1"/>
  <c r="G46" i="67"/>
  <c r="I46" i="67" s="1"/>
  <c r="E47" i="67"/>
  <c r="D47" i="67"/>
  <c r="H46" i="59"/>
  <c r="I46" i="59" s="1"/>
  <c r="D48" i="46"/>
  <c r="E48" i="46"/>
  <c r="E52" i="24"/>
  <c r="D52" i="24"/>
  <c r="E42" i="93"/>
  <c r="D42" i="93"/>
  <c r="H42" i="94"/>
  <c r="D43" i="94"/>
  <c r="E43" i="94"/>
  <c r="B44" i="86"/>
  <c r="F44" i="86"/>
  <c r="H44" i="86" s="1"/>
  <c r="H41" i="93"/>
  <c r="G41" i="93"/>
  <c r="G42" i="94"/>
  <c r="E45" i="80"/>
  <c r="D45" i="80"/>
  <c r="I43" i="86"/>
  <c r="B45" i="82"/>
  <c r="F45" i="82"/>
  <c r="G45" i="82" s="1"/>
  <c r="E43" i="25"/>
  <c r="F43" i="25" s="1"/>
  <c r="B43" i="25"/>
  <c r="B46" i="65"/>
  <c r="F46" i="65"/>
  <c r="H46" i="65" s="1"/>
  <c r="G47" i="53"/>
  <c r="D48" i="53"/>
  <c r="E48" i="53"/>
  <c r="F50" i="42"/>
  <c r="H50" i="42" s="1"/>
  <c r="B50" i="42"/>
  <c r="B49" i="55"/>
  <c r="F49" i="55"/>
  <c r="H49" i="55" s="1"/>
  <c r="H43" i="91"/>
  <c r="D44" i="91"/>
  <c r="G43" i="91"/>
  <c r="E44" i="91"/>
  <c r="F49" i="58"/>
  <c r="H49" i="58" s="1"/>
  <c r="B49" i="58"/>
  <c r="F45" i="75"/>
  <c r="G45" i="75" s="1"/>
  <c r="B45" i="75"/>
  <c r="D44" i="84"/>
  <c r="E44" i="84"/>
  <c r="H46" i="66"/>
  <c r="I46" i="66" s="1"/>
  <c r="E47" i="66"/>
  <c r="D47" i="66"/>
  <c r="H52" i="23"/>
  <c r="G52" i="23"/>
  <c r="D53" i="23"/>
  <c r="E53" i="23"/>
  <c r="H44" i="77"/>
  <c r="I44" i="77" s="1"/>
  <c r="G44" i="90"/>
  <c r="I44" i="90" s="1"/>
  <c r="E45" i="90"/>
  <c r="D45" i="90"/>
  <c r="H47" i="53"/>
  <c r="H52" i="27"/>
  <c r="D53" i="27"/>
  <c r="G52" i="27"/>
  <c r="E53" i="27"/>
  <c r="D42" i="96"/>
  <c r="E42" i="96"/>
  <c r="F44" i="85"/>
  <c r="H44" i="85" s="1"/>
  <c r="B44" i="85"/>
  <c r="H41" i="96"/>
  <c r="H43" i="81"/>
  <c r="E44" i="81"/>
  <c r="D44" i="81"/>
  <c r="H50" i="22"/>
  <c r="I50" i="22" s="1"/>
  <c r="E51" i="22"/>
  <c r="D51" i="22"/>
  <c r="G49" i="44"/>
  <c r="I49" i="44" s="1"/>
  <c r="E50" i="44"/>
  <c r="D50" i="44"/>
  <c r="B50" i="39"/>
  <c r="F50" i="39"/>
  <c r="G50" i="39" s="1"/>
  <c r="E47" i="61"/>
  <c r="D47" i="61"/>
  <c r="G51" i="32"/>
  <c r="I51" i="32" s="1"/>
  <c r="I45" i="62"/>
  <c r="H44" i="78"/>
  <c r="I44" i="78" s="1"/>
  <c r="H46" i="63"/>
  <c r="I46" i="63" s="1"/>
  <c r="G41" i="96"/>
  <c r="G43" i="81"/>
  <c r="I47" i="72"/>
  <c r="H46" i="61"/>
  <c r="I46" i="61" s="1"/>
  <c r="F48" i="72"/>
  <c r="H48" i="72" s="1"/>
  <c r="B48" i="72"/>
  <c r="G44" i="76"/>
  <c r="I44" i="76" s="1"/>
  <c r="E45" i="76"/>
  <c r="D45" i="76"/>
  <c r="I67" i="35"/>
  <c r="B52" i="34"/>
  <c r="F52" i="34"/>
  <c r="H47" i="54"/>
  <c r="E48" i="54"/>
  <c r="D48" i="54"/>
  <c r="G50" i="21"/>
  <c r="D51" i="21"/>
  <c r="E51" i="21"/>
  <c r="G52" i="70"/>
  <c r="D53" i="70"/>
  <c r="E53" i="70"/>
  <c r="D51" i="43"/>
  <c r="E51" i="43"/>
  <c r="E43" i="89"/>
  <c r="D43" i="89"/>
  <c r="G49" i="74"/>
  <c r="E50" i="74"/>
  <c r="D50" i="74"/>
  <c r="F44" i="88"/>
  <c r="G44" i="88" s="1"/>
  <c r="B44" i="88"/>
  <c r="G42" i="92"/>
  <c r="E43" i="92"/>
  <c r="D43" i="92"/>
  <c r="B53" i="31"/>
  <c r="F53" i="31"/>
  <c r="H53" i="31" s="1"/>
  <c r="D51" i="17"/>
  <c r="E51" i="17"/>
  <c r="D48" i="57"/>
  <c r="E48" i="57"/>
  <c r="F47" i="64"/>
  <c r="G47" i="64" s="1"/>
  <c r="B47" i="64"/>
  <c r="F54" i="28"/>
  <c r="H54" i="28" s="1"/>
  <c r="B54" i="28"/>
  <c r="D50" i="73"/>
  <c r="E50" i="73"/>
  <c r="B51" i="19"/>
  <c r="F51" i="19"/>
  <c r="H51" i="19" s="1"/>
  <c r="F46" i="68"/>
  <c r="H46" i="68" s="1"/>
  <c r="B46" i="68"/>
  <c r="I43" i="33"/>
  <c r="H50" i="41"/>
  <c r="I50" i="41" s="1"/>
  <c r="D51" i="41"/>
  <c r="E51" i="41"/>
  <c r="G47" i="54"/>
  <c r="G50" i="17"/>
  <c r="I50" i="17" s="1"/>
  <c r="G47" i="57"/>
  <c r="I47" i="57" s="1"/>
  <c r="H50" i="21"/>
  <c r="B53" i="69"/>
  <c r="F53" i="69"/>
  <c r="H53" i="69" s="1"/>
  <c r="F51" i="3"/>
  <c r="G51" i="3" s="1"/>
  <c r="B51" i="3"/>
  <c r="F43" i="83"/>
  <c r="H43" i="83" s="1"/>
  <c r="B43" i="83"/>
  <c r="G50" i="43"/>
  <c r="G42" i="89"/>
  <c r="I43" i="88"/>
  <c r="H44" i="79"/>
  <c r="I44" i="79" s="1"/>
  <c r="D45" i="79"/>
  <c r="E45" i="79"/>
  <c r="D47" i="63"/>
  <c r="E47" i="63"/>
  <c r="F52" i="30"/>
  <c r="G52" i="30" s="1"/>
  <c r="B52" i="30"/>
  <c r="F49" i="45"/>
  <c r="B49" i="45"/>
  <c r="H46" i="60"/>
  <c r="I46" i="60" s="1"/>
  <c r="E47" i="60"/>
  <c r="D47" i="60"/>
  <c r="D45" i="77"/>
  <c r="E45" i="77"/>
  <c r="F52" i="71"/>
  <c r="H52" i="71" s="1"/>
  <c r="B52" i="71"/>
  <c r="H52" i="70"/>
  <c r="H50" i="43"/>
  <c r="H42" i="89"/>
  <c r="G49" i="73"/>
  <c r="I49" i="73" s="1"/>
  <c r="E45" i="78"/>
  <c r="D45" i="78"/>
  <c r="H49" i="74"/>
  <c r="F47" i="56"/>
  <c r="H47" i="56" s="1"/>
  <c r="B47" i="56"/>
  <c r="G52" i="29"/>
  <c r="I52" i="29" s="1"/>
  <c r="E53" i="29"/>
  <c r="D53" i="29"/>
  <c r="D52" i="32"/>
  <c r="E52" i="32"/>
  <c r="H42" i="92"/>
  <c r="F43" i="87"/>
  <c r="G43" i="87" s="1"/>
  <c r="B43" i="87"/>
  <c r="B46" i="62"/>
  <c r="F46" i="62"/>
  <c r="H46" i="62" s="1"/>
  <c r="I42" i="87"/>
  <c r="G68" i="35"/>
  <c r="H68" i="35"/>
  <c r="E69" i="35"/>
  <c r="F69" i="35" s="1"/>
  <c r="B69" i="35"/>
  <c r="E52" i="18"/>
  <c r="D52" i="18"/>
  <c r="F50" i="20"/>
  <c r="G50" i="20" s="1"/>
  <c r="B50" i="20"/>
  <c r="B44" i="33"/>
  <c r="F43" i="26"/>
  <c r="H43" i="26" s="1"/>
  <c r="B43" i="26"/>
  <c r="H51" i="18"/>
  <c r="I51" i="18" s="1"/>
  <c r="E47" i="59"/>
  <c r="D47" i="59"/>
  <c r="E44" i="33"/>
  <c r="F44" i="33" s="1"/>
  <c r="H150" i="35"/>
  <c r="I150" i="35"/>
  <c r="I121" i="33"/>
  <c r="H121" i="33"/>
  <c r="F123" i="25"/>
  <c r="B123" i="25"/>
  <c r="J149" i="35"/>
  <c r="G151" i="35"/>
  <c r="B152" i="35"/>
  <c r="E152" i="35"/>
  <c r="F152" i="35" s="1"/>
  <c r="H122" i="25"/>
  <c r="I122" i="25"/>
  <c r="F122" i="33"/>
  <c r="B122" i="33"/>
  <c r="G50" i="101" l="1"/>
  <c r="D51" i="101"/>
  <c r="H50" i="101"/>
  <c r="H41" i="102"/>
  <c r="I41" i="102" s="1"/>
  <c r="D42" i="102"/>
  <c r="E42" i="102" s="1"/>
  <c r="F124" i="100"/>
  <c r="B124" i="100"/>
  <c r="H123" i="100"/>
  <c r="I123" i="100"/>
  <c r="G55" i="100"/>
  <c r="I55" i="100" s="1"/>
  <c r="D56" i="100"/>
  <c r="E56" i="100" s="1"/>
  <c r="F42" i="95"/>
  <c r="H42" i="95" s="1"/>
  <c r="I47" i="53"/>
  <c r="E52" i="97"/>
  <c r="F52" i="97" s="1"/>
  <c r="H51" i="97"/>
  <c r="H41" i="13"/>
  <c r="G41" i="13"/>
  <c r="D42" i="13"/>
  <c r="G51" i="97"/>
  <c r="F48" i="99"/>
  <c r="B48" i="99"/>
  <c r="F43" i="98"/>
  <c r="B43" i="98"/>
  <c r="I42" i="92"/>
  <c r="I52" i="70"/>
  <c r="I42" i="94"/>
  <c r="H45" i="82"/>
  <c r="I45" i="82" s="1"/>
  <c r="I49" i="74"/>
  <c r="J122" i="26"/>
  <c r="D124" i="26"/>
  <c r="B124" i="26" s="1"/>
  <c r="G123" i="26"/>
  <c r="F47" i="67"/>
  <c r="G47" i="67" s="1"/>
  <c r="B47" i="67"/>
  <c r="G49" i="58"/>
  <c r="I49" i="58" s="1"/>
  <c r="B48" i="46"/>
  <c r="F48" i="46"/>
  <c r="B52" i="24"/>
  <c r="F52" i="24"/>
  <c r="G52" i="24" s="1"/>
  <c r="I50" i="21"/>
  <c r="I47" i="54"/>
  <c r="G44" i="85"/>
  <c r="I44" i="85" s="1"/>
  <c r="D44" i="25"/>
  <c r="G43" i="25"/>
  <c r="H43" i="25"/>
  <c r="F43" i="94"/>
  <c r="H43" i="94" s="1"/>
  <c r="B43" i="94"/>
  <c r="F45" i="80"/>
  <c r="B45" i="80"/>
  <c r="I41" i="93"/>
  <c r="F42" i="93"/>
  <c r="H42" i="93" s="1"/>
  <c r="B42" i="93"/>
  <c r="H51" i="3"/>
  <c r="I51" i="3" s="1"/>
  <c r="I52" i="23"/>
  <c r="E46" i="82"/>
  <c r="D46" i="82"/>
  <c r="E45" i="86"/>
  <c r="D45" i="86"/>
  <c r="G44" i="86"/>
  <c r="I44" i="86" s="1"/>
  <c r="I43" i="91"/>
  <c r="G49" i="55"/>
  <c r="I49" i="55" s="1"/>
  <c r="E50" i="55"/>
  <c r="D50" i="55"/>
  <c r="G50" i="42"/>
  <c r="I50" i="42" s="1"/>
  <c r="D51" i="42"/>
  <c r="E51" i="42"/>
  <c r="G53" i="31"/>
  <c r="I53" i="31" s="1"/>
  <c r="F45" i="90"/>
  <c r="H45" i="90" s="1"/>
  <c r="B45" i="90"/>
  <c r="B47" i="66"/>
  <c r="F47" i="66"/>
  <c r="B44" i="84"/>
  <c r="F44" i="84"/>
  <c r="G44" i="84" s="1"/>
  <c r="E46" i="75"/>
  <c r="D46" i="75"/>
  <c r="F44" i="91"/>
  <c r="G44" i="91" s="1"/>
  <c r="B44" i="91"/>
  <c r="G46" i="65"/>
  <c r="I46" i="65" s="1"/>
  <c r="D47" i="65"/>
  <c r="E47" i="65"/>
  <c r="I50" i="43"/>
  <c r="B53" i="23"/>
  <c r="F53" i="23"/>
  <c r="H45" i="75"/>
  <c r="I45" i="75" s="1"/>
  <c r="D50" i="58"/>
  <c r="E50" i="58"/>
  <c r="B48" i="53"/>
  <c r="F48" i="53"/>
  <c r="G48" i="53" s="1"/>
  <c r="F47" i="61"/>
  <c r="G47" i="61" s="1"/>
  <c r="B47" i="61"/>
  <c r="G46" i="62"/>
  <c r="I46" i="62" s="1"/>
  <c r="B50" i="44"/>
  <c r="F50" i="44"/>
  <c r="H50" i="44" s="1"/>
  <c r="I41" i="96"/>
  <c r="D45" i="85"/>
  <c r="E45" i="85"/>
  <c r="F45" i="76"/>
  <c r="B45" i="76"/>
  <c r="G48" i="72"/>
  <c r="I48" i="72" s="1"/>
  <c r="D49" i="72"/>
  <c r="E49" i="72"/>
  <c r="H50" i="39"/>
  <c r="I50" i="39" s="1"/>
  <c r="D51" i="39"/>
  <c r="E51" i="39"/>
  <c r="F44" i="81"/>
  <c r="H44" i="81" s="1"/>
  <c r="B44" i="81"/>
  <c r="B53" i="27"/>
  <c r="F53" i="27"/>
  <c r="H53" i="27" s="1"/>
  <c r="I43" i="81"/>
  <c r="F51" i="22"/>
  <c r="H51" i="22" s="1"/>
  <c r="B51" i="22"/>
  <c r="B42" i="96"/>
  <c r="F42" i="96"/>
  <c r="H42" i="96" s="1"/>
  <c r="I52" i="27"/>
  <c r="F47" i="60"/>
  <c r="H47" i="60" s="1"/>
  <c r="B47" i="60"/>
  <c r="H52" i="30"/>
  <c r="I52" i="30" s="1"/>
  <c r="E53" i="30"/>
  <c r="D53" i="30"/>
  <c r="B47" i="63"/>
  <c r="F47" i="63"/>
  <c r="H47" i="63" s="1"/>
  <c r="B48" i="57"/>
  <c r="F48" i="57"/>
  <c r="G48" i="57" s="1"/>
  <c r="B43" i="92"/>
  <c r="F43" i="92"/>
  <c r="G43" i="92" s="1"/>
  <c r="D53" i="34"/>
  <c r="E53" i="34"/>
  <c r="H52" i="34"/>
  <c r="G52" i="34"/>
  <c r="H50" i="20"/>
  <c r="I50" i="20" s="1"/>
  <c r="D48" i="56"/>
  <c r="E48" i="56"/>
  <c r="G52" i="71"/>
  <c r="I52" i="71" s="1"/>
  <c r="D53" i="71"/>
  <c r="E53" i="71"/>
  <c r="B45" i="77"/>
  <c r="F45" i="77"/>
  <c r="H45" i="77" s="1"/>
  <c r="G49" i="45"/>
  <c r="E50" i="45"/>
  <c r="D50" i="45"/>
  <c r="G53" i="69"/>
  <c r="I53" i="69" s="1"/>
  <c r="D54" i="69"/>
  <c r="E54" i="69"/>
  <c r="F51" i="43"/>
  <c r="H51" i="43" s="1"/>
  <c r="B51" i="43"/>
  <c r="B51" i="21"/>
  <c r="F51" i="21"/>
  <c r="H51" i="21" s="1"/>
  <c r="G47" i="56"/>
  <c r="I47" i="56" s="1"/>
  <c r="H49" i="45"/>
  <c r="I42" i="89"/>
  <c r="E44" i="83"/>
  <c r="D44" i="83"/>
  <c r="E47" i="68"/>
  <c r="D47" i="68"/>
  <c r="G51" i="19"/>
  <c r="I51" i="19" s="1"/>
  <c r="E52" i="19"/>
  <c r="D52" i="19"/>
  <c r="F50" i="73"/>
  <c r="B50" i="73"/>
  <c r="D55" i="28"/>
  <c r="E55" i="28"/>
  <c r="D48" i="64"/>
  <c r="E48" i="64"/>
  <c r="F51" i="17"/>
  <c r="H51" i="17" s="1"/>
  <c r="B51" i="17"/>
  <c r="C60" i="17"/>
  <c r="D54" i="31"/>
  <c r="E54" i="31"/>
  <c r="E45" i="88"/>
  <c r="D45" i="88"/>
  <c r="F53" i="70"/>
  <c r="H53" i="70" s="1"/>
  <c r="B53" i="70"/>
  <c r="B48" i="54"/>
  <c r="F48" i="54"/>
  <c r="H48" i="54" s="1"/>
  <c r="F52" i="32"/>
  <c r="G52" i="32" s="1"/>
  <c r="B52" i="32"/>
  <c r="F53" i="29"/>
  <c r="H53" i="29" s="1"/>
  <c r="B53" i="29"/>
  <c r="F45" i="78"/>
  <c r="G45" i="78" s="1"/>
  <c r="B45" i="78"/>
  <c r="B45" i="79"/>
  <c r="F45" i="79"/>
  <c r="G45" i="79" s="1"/>
  <c r="G43" i="83"/>
  <c r="I43" i="83" s="1"/>
  <c r="E52" i="3"/>
  <c r="D52" i="3"/>
  <c r="F51" i="41"/>
  <c r="H51" i="41" s="1"/>
  <c r="B51" i="41"/>
  <c r="G46" i="68"/>
  <c r="I46" i="68" s="1"/>
  <c r="G54" i="28"/>
  <c r="I54" i="28" s="1"/>
  <c r="H47" i="64"/>
  <c r="I47" i="64" s="1"/>
  <c r="H44" i="88"/>
  <c r="I44" i="88" s="1"/>
  <c r="F50" i="74"/>
  <c r="G50" i="74" s="1"/>
  <c r="B50" i="74"/>
  <c r="F43" i="89"/>
  <c r="G43" i="89" s="1"/>
  <c r="B43" i="89"/>
  <c r="D45" i="33"/>
  <c r="G44" i="33"/>
  <c r="H44" i="33"/>
  <c r="E51" i="20"/>
  <c r="D51" i="20"/>
  <c r="H69" i="35"/>
  <c r="G69" i="35"/>
  <c r="B70" i="35"/>
  <c r="E70" i="35"/>
  <c r="F70" i="35" s="1"/>
  <c r="E44" i="87"/>
  <c r="D44" i="87"/>
  <c r="I68" i="35"/>
  <c r="E47" i="62"/>
  <c r="D47" i="62"/>
  <c r="H43" i="87"/>
  <c r="I43" i="87" s="1"/>
  <c r="D44" i="26"/>
  <c r="E44" i="26" s="1"/>
  <c r="B47" i="59"/>
  <c r="F47" i="59"/>
  <c r="H47" i="59" s="1"/>
  <c r="G43" i="26"/>
  <c r="I43" i="26" s="1"/>
  <c r="B52" i="18"/>
  <c r="F52" i="18"/>
  <c r="H52" i="18" s="1"/>
  <c r="J150" i="35"/>
  <c r="G152" i="35"/>
  <c r="B153" i="35"/>
  <c r="E153" i="35"/>
  <c r="F153" i="35" s="1"/>
  <c r="D124" i="25"/>
  <c r="E124" i="25" s="1"/>
  <c r="G123" i="25"/>
  <c r="G122" i="33"/>
  <c r="D123" i="33"/>
  <c r="E123" i="33" s="1"/>
  <c r="I151" i="35"/>
  <c r="H151" i="35"/>
  <c r="J122" i="25"/>
  <c r="J121" i="33"/>
  <c r="I50" i="101" l="1"/>
  <c r="B42" i="102"/>
  <c r="F42" i="102"/>
  <c r="E51" i="101"/>
  <c r="F51" i="101" s="1"/>
  <c r="H51" i="101" s="1"/>
  <c r="B51" i="101"/>
  <c r="D125" i="100"/>
  <c r="E125" i="100" s="1"/>
  <c r="G124" i="100"/>
  <c r="J123" i="100"/>
  <c r="B56" i="100"/>
  <c r="F56" i="100"/>
  <c r="G56" i="100" s="1"/>
  <c r="D43" i="95"/>
  <c r="B43" i="95" s="1"/>
  <c r="G42" i="95"/>
  <c r="I42" i="95" s="1"/>
  <c r="E43" i="95"/>
  <c r="I51" i="97"/>
  <c r="D53" i="97"/>
  <c r="B53" i="97" s="1"/>
  <c r="H52" i="97"/>
  <c r="G52" i="97"/>
  <c r="E53" i="97"/>
  <c r="E42" i="13"/>
  <c r="F42" i="13" s="1"/>
  <c r="B42" i="13"/>
  <c r="I41" i="13"/>
  <c r="H52" i="24"/>
  <c r="I52" i="24" s="1"/>
  <c r="D44" i="98"/>
  <c r="E44" i="98"/>
  <c r="D49" i="99"/>
  <c r="E49" i="99"/>
  <c r="H43" i="98"/>
  <c r="H48" i="99"/>
  <c r="G43" i="98"/>
  <c r="G48" i="99"/>
  <c r="I43" i="25"/>
  <c r="G53" i="70"/>
  <c r="I53" i="70" s="1"/>
  <c r="H47" i="67"/>
  <c r="I47" i="67" s="1"/>
  <c r="H123" i="26"/>
  <c r="I123" i="26"/>
  <c r="E124" i="26"/>
  <c r="F124" i="26" s="1"/>
  <c r="E48" i="67"/>
  <c r="D48" i="67"/>
  <c r="G47" i="59"/>
  <c r="I47" i="59" s="1"/>
  <c r="H48" i="46"/>
  <c r="D49" i="46"/>
  <c r="E49" i="46"/>
  <c r="G48" i="46"/>
  <c r="D53" i="24"/>
  <c r="E53" i="24"/>
  <c r="D43" i="93"/>
  <c r="E43" i="93"/>
  <c r="H45" i="80"/>
  <c r="D46" i="80"/>
  <c r="E46" i="80"/>
  <c r="F46" i="82"/>
  <c r="H46" i="82" s="1"/>
  <c r="B46" i="82"/>
  <c r="G42" i="93"/>
  <c r="I42" i="93" s="1"/>
  <c r="G45" i="80"/>
  <c r="B44" i="25"/>
  <c r="E44" i="25"/>
  <c r="F44" i="25" s="1"/>
  <c r="H48" i="53"/>
  <c r="I48" i="53" s="1"/>
  <c r="B45" i="86"/>
  <c r="F45" i="86"/>
  <c r="G45" i="86" s="1"/>
  <c r="G43" i="94"/>
  <c r="I43" i="94" s="1"/>
  <c r="E44" i="94"/>
  <c r="D44" i="94"/>
  <c r="H53" i="23"/>
  <c r="E54" i="23"/>
  <c r="D54" i="23"/>
  <c r="G53" i="23"/>
  <c r="F51" i="42"/>
  <c r="B51" i="42"/>
  <c r="I69" i="35"/>
  <c r="G51" i="22"/>
  <c r="I51" i="22" s="1"/>
  <c r="F47" i="65"/>
  <c r="H47" i="65" s="1"/>
  <c r="B47" i="65"/>
  <c r="H44" i="91"/>
  <c r="I44" i="91" s="1"/>
  <c r="D45" i="91"/>
  <c r="E45" i="91"/>
  <c r="H44" i="84"/>
  <c r="I44" i="84" s="1"/>
  <c r="E45" i="84"/>
  <c r="D45" i="84"/>
  <c r="H47" i="66"/>
  <c r="E48" i="66"/>
  <c r="D48" i="66"/>
  <c r="G51" i="41"/>
  <c r="I51" i="41" s="1"/>
  <c r="H45" i="78"/>
  <c r="I45" i="78" s="1"/>
  <c r="E49" i="53"/>
  <c r="D49" i="53"/>
  <c r="B50" i="58"/>
  <c r="F50" i="58"/>
  <c r="H50" i="58" s="1"/>
  <c r="F46" i="75"/>
  <c r="H46" i="75" s="1"/>
  <c r="B46" i="75"/>
  <c r="B50" i="55"/>
  <c r="F50" i="55"/>
  <c r="H50" i="55" s="1"/>
  <c r="G45" i="90"/>
  <c r="I45" i="90" s="1"/>
  <c r="D46" i="90"/>
  <c r="E46" i="90"/>
  <c r="G53" i="27"/>
  <c r="I53" i="27" s="1"/>
  <c r="G47" i="66"/>
  <c r="G48" i="54"/>
  <c r="I48" i="54" s="1"/>
  <c r="H43" i="92"/>
  <c r="I43" i="92" s="1"/>
  <c r="B51" i="39"/>
  <c r="F51" i="39"/>
  <c r="G51" i="39" s="1"/>
  <c r="G45" i="76"/>
  <c r="E46" i="76"/>
  <c r="D46" i="76"/>
  <c r="D54" i="27"/>
  <c r="E54" i="27"/>
  <c r="F49" i="72"/>
  <c r="B49" i="72"/>
  <c r="G50" i="44"/>
  <c r="I50" i="44" s="1"/>
  <c r="D51" i="44"/>
  <c r="E51" i="44"/>
  <c r="E48" i="61"/>
  <c r="D48" i="61"/>
  <c r="B45" i="85"/>
  <c r="F45" i="85"/>
  <c r="G42" i="96"/>
  <c r="I42" i="96" s="1"/>
  <c r="D43" i="96"/>
  <c r="E43" i="96"/>
  <c r="E52" i="22"/>
  <c r="D52" i="22"/>
  <c r="G44" i="81"/>
  <c r="I44" i="81" s="1"/>
  <c r="D45" i="81"/>
  <c r="E45" i="81"/>
  <c r="H45" i="76"/>
  <c r="H47" i="61"/>
  <c r="I47" i="61" s="1"/>
  <c r="I49" i="45"/>
  <c r="G52" i="18"/>
  <c r="I52" i="18" s="1"/>
  <c r="D44" i="89"/>
  <c r="E44" i="89"/>
  <c r="D46" i="79"/>
  <c r="E46" i="79"/>
  <c r="F45" i="88"/>
  <c r="H45" i="88" s="1"/>
  <c r="B45" i="88"/>
  <c r="E52" i="17"/>
  <c r="D52" i="17"/>
  <c r="B55" i="28"/>
  <c r="F55" i="28"/>
  <c r="H55" i="28" s="1"/>
  <c r="B44" i="83"/>
  <c r="F44" i="83"/>
  <c r="H44" i="83" s="1"/>
  <c r="F54" i="69"/>
  <c r="H54" i="69" s="1"/>
  <c r="B54" i="69"/>
  <c r="B48" i="56"/>
  <c r="F48" i="56"/>
  <c r="H48" i="56" s="1"/>
  <c r="B53" i="30"/>
  <c r="F53" i="30"/>
  <c r="H53" i="30" s="1"/>
  <c r="I44" i="33"/>
  <c r="H43" i="89"/>
  <c r="I43" i="89" s="1"/>
  <c r="E52" i="41"/>
  <c r="D52" i="41"/>
  <c r="B52" i="3"/>
  <c r="F52" i="3"/>
  <c r="H52" i="3" s="1"/>
  <c r="H45" i="79"/>
  <c r="I45" i="79" s="1"/>
  <c r="H52" i="32"/>
  <c r="I52" i="32" s="1"/>
  <c r="D53" i="32"/>
  <c r="E53" i="32"/>
  <c r="D54" i="70"/>
  <c r="E54" i="70"/>
  <c r="D52" i="21"/>
  <c r="E52" i="21"/>
  <c r="F53" i="71"/>
  <c r="H53" i="71" s="1"/>
  <c r="B53" i="71"/>
  <c r="I52" i="34"/>
  <c r="E49" i="57"/>
  <c r="D49" i="57"/>
  <c r="D48" i="63"/>
  <c r="E48" i="63"/>
  <c r="G53" i="29"/>
  <c r="I53" i="29" s="1"/>
  <c r="E54" i="29"/>
  <c r="D54" i="29"/>
  <c r="G51" i="17"/>
  <c r="I51" i="17" s="1"/>
  <c r="B48" i="64"/>
  <c r="F48" i="64"/>
  <c r="H48" i="64" s="1"/>
  <c r="E51" i="73"/>
  <c r="H50" i="73"/>
  <c r="D51" i="73"/>
  <c r="G50" i="73"/>
  <c r="F47" i="68"/>
  <c r="H47" i="68" s="1"/>
  <c r="B47" i="68"/>
  <c r="E52" i="43"/>
  <c r="D52" i="43"/>
  <c r="F50" i="45"/>
  <c r="G50" i="45" s="1"/>
  <c r="B50" i="45"/>
  <c r="G45" i="77"/>
  <c r="I45" i="77" s="1"/>
  <c r="E46" i="77"/>
  <c r="D46" i="77"/>
  <c r="D44" i="92"/>
  <c r="E44" i="92"/>
  <c r="G47" i="63"/>
  <c r="I47" i="63" s="1"/>
  <c r="E48" i="60"/>
  <c r="D48" i="60"/>
  <c r="H50" i="74"/>
  <c r="I50" i="74" s="1"/>
  <c r="E51" i="74"/>
  <c r="D51" i="74"/>
  <c r="E46" i="78"/>
  <c r="D46" i="78"/>
  <c r="D49" i="54"/>
  <c r="E49" i="54"/>
  <c r="F54" i="31"/>
  <c r="H54" i="31" s="1"/>
  <c r="B54" i="31"/>
  <c r="B52" i="19"/>
  <c r="F52" i="19"/>
  <c r="G52" i="19" s="1"/>
  <c r="G51" i="21"/>
  <c r="I51" i="21" s="1"/>
  <c r="G51" i="43"/>
  <c r="I51" i="43" s="1"/>
  <c r="B53" i="34"/>
  <c r="F53" i="34"/>
  <c r="H53" i="34" s="1"/>
  <c r="H48" i="57"/>
  <c r="I48" i="57" s="1"/>
  <c r="G47" i="60"/>
  <c r="I47" i="60" s="1"/>
  <c r="B45" i="33"/>
  <c r="D48" i="59"/>
  <c r="E48" i="59"/>
  <c r="H70" i="35"/>
  <c r="E71" i="35"/>
  <c r="F71" i="35" s="1"/>
  <c r="G70" i="35"/>
  <c r="B71" i="35"/>
  <c r="E45" i="33"/>
  <c r="F45" i="33" s="1"/>
  <c r="D53" i="18"/>
  <c r="E53" i="18"/>
  <c r="B44" i="26"/>
  <c r="F44" i="26"/>
  <c r="H44" i="26" s="1"/>
  <c r="F47" i="62"/>
  <c r="H47" i="62" s="1"/>
  <c r="B47" i="62"/>
  <c r="B44" i="87"/>
  <c r="F44" i="87"/>
  <c r="H44" i="87" s="1"/>
  <c r="F51" i="20"/>
  <c r="H51" i="20" s="1"/>
  <c r="B51" i="20"/>
  <c r="I152" i="35"/>
  <c r="H152" i="35"/>
  <c r="F123" i="33"/>
  <c r="B123" i="33"/>
  <c r="J151" i="35"/>
  <c r="H122" i="33"/>
  <c r="I122" i="33"/>
  <c r="I123" i="25"/>
  <c r="H123" i="25"/>
  <c r="G153" i="35"/>
  <c r="B154" i="35"/>
  <c r="E154" i="35"/>
  <c r="F154" i="35" s="1"/>
  <c r="G154" i="35" s="1"/>
  <c r="F124" i="25"/>
  <c r="B124" i="25"/>
  <c r="H56" i="100" l="1"/>
  <c r="G51" i="101"/>
  <c r="I51" i="101" s="1"/>
  <c r="D52" i="101"/>
  <c r="H42" i="102"/>
  <c r="D43" i="102"/>
  <c r="E43" i="102"/>
  <c r="G42" i="102"/>
  <c r="H124" i="100"/>
  <c r="I124" i="100"/>
  <c r="B125" i="100"/>
  <c r="F125" i="100"/>
  <c r="I56" i="100"/>
  <c r="D57" i="100"/>
  <c r="E57" i="100" s="1"/>
  <c r="F43" i="95"/>
  <c r="H43" i="95" s="1"/>
  <c r="I52" i="97"/>
  <c r="F53" i="97"/>
  <c r="H53" i="97" s="1"/>
  <c r="G42" i="13"/>
  <c r="D43" i="13"/>
  <c r="H42" i="13"/>
  <c r="F49" i="99"/>
  <c r="G49" i="99" s="1"/>
  <c r="B49" i="99"/>
  <c r="G44" i="26"/>
  <c r="I44" i="26" s="1"/>
  <c r="I48" i="99"/>
  <c r="I43" i="98"/>
  <c r="B44" i="98"/>
  <c r="F44" i="98"/>
  <c r="I47" i="66"/>
  <c r="G50" i="58"/>
  <c r="I50" i="58" s="1"/>
  <c r="J123" i="26"/>
  <c r="D125" i="26"/>
  <c r="G124" i="26"/>
  <c r="G46" i="82"/>
  <c r="I46" i="82" s="1"/>
  <c r="G46" i="75"/>
  <c r="I46" i="75" s="1"/>
  <c r="G54" i="69"/>
  <c r="I54" i="69" s="1"/>
  <c r="B48" i="67"/>
  <c r="F48" i="67"/>
  <c r="H48" i="67" s="1"/>
  <c r="G48" i="56"/>
  <c r="I48" i="56" s="1"/>
  <c r="G50" i="55"/>
  <c r="I50" i="55" s="1"/>
  <c r="F49" i="46"/>
  <c r="H49" i="46" s="1"/>
  <c r="B49" i="46"/>
  <c r="I48" i="46"/>
  <c r="H51" i="39"/>
  <c r="I51" i="39" s="1"/>
  <c r="G53" i="30"/>
  <c r="I53" i="30" s="1"/>
  <c r="F53" i="24"/>
  <c r="G53" i="24" s="1"/>
  <c r="B53" i="24"/>
  <c r="B46" i="80"/>
  <c r="F46" i="80"/>
  <c r="G46" i="80" s="1"/>
  <c r="D45" i="25"/>
  <c r="H44" i="25"/>
  <c r="G44" i="25"/>
  <c r="I45" i="80"/>
  <c r="B44" i="94"/>
  <c r="F44" i="94"/>
  <c r="G44" i="94" s="1"/>
  <c r="H45" i="86"/>
  <c r="I45" i="86" s="1"/>
  <c r="D46" i="86"/>
  <c r="E46" i="86" s="1"/>
  <c r="D47" i="82"/>
  <c r="E47" i="82"/>
  <c r="G52" i="3"/>
  <c r="I52" i="3" s="1"/>
  <c r="F43" i="93"/>
  <c r="G43" i="93" s="1"/>
  <c r="B43" i="93"/>
  <c r="D52" i="42"/>
  <c r="E52" i="42"/>
  <c r="B48" i="66"/>
  <c r="F48" i="66"/>
  <c r="H48" i="66" s="1"/>
  <c r="F45" i="84"/>
  <c r="H45" i="84" s="1"/>
  <c r="B45" i="84"/>
  <c r="B45" i="91"/>
  <c r="F45" i="91"/>
  <c r="D48" i="65"/>
  <c r="E48" i="65"/>
  <c r="G51" i="42"/>
  <c r="I53" i="23"/>
  <c r="B49" i="53"/>
  <c r="F49" i="53"/>
  <c r="H49" i="53" s="1"/>
  <c r="G47" i="62"/>
  <c r="I47" i="62" s="1"/>
  <c r="F46" i="90"/>
  <c r="H46" i="90" s="1"/>
  <c r="B46" i="90"/>
  <c r="D51" i="55"/>
  <c r="E51" i="55"/>
  <c r="E51" i="58"/>
  <c r="D51" i="58"/>
  <c r="H51" i="42"/>
  <c r="B54" i="23"/>
  <c r="F54" i="23"/>
  <c r="H50" i="45"/>
  <c r="I50" i="45" s="1"/>
  <c r="G48" i="64"/>
  <c r="I48" i="64" s="1"/>
  <c r="D47" i="75"/>
  <c r="E47" i="75"/>
  <c r="G47" i="65"/>
  <c r="I47" i="65" s="1"/>
  <c r="H45" i="85"/>
  <c r="E46" i="85"/>
  <c r="D46" i="85"/>
  <c r="G54" i="31"/>
  <c r="I54" i="31" s="1"/>
  <c r="G45" i="88"/>
  <c r="I45" i="88" s="1"/>
  <c r="B51" i="44"/>
  <c r="F51" i="44"/>
  <c r="H51" i="44" s="1"/>
  <c r="D50" i="72"/>
  <c r="E50" i="72"/>
  <c r="G53" i="71"/>
  <c r="I53" i="71" s="1"/>
  <c r="I45" i="76"/>
  <c r="B52" i="22"/>
  <c r="F52" i="22"/>
  <c r="G52" i="22" s="1"/>
  <c r="F48" i="61"/>
  <c r="B48" i="61"/>
  <c r="H49" i="72"/>
  <c r="F54" i="27"/>
  <c r="B54" i="27"/>
  <c r="F46" i="76"/>
  <c r="G46" i="76" s="1"/>
  <c r="B46" i="76"/>
  <c r="B45" i="81"/>
  <c r="F45" i="81"/>
  <c r="G45" i="81" s="1"/>
  <c r="B43" i="96"/>
  <c r="F43" i="96"/>
  <c r="H43" i="96" s="1"/>
  <c r="H52" i="19"/>
  <c r="I52" i="19" s="1"/>
  <c r="G55" i="28"/>
  <c r="I55" i="28" s="1"/>
  <c r="G45" i="85"/>
  <c r="G49" i="72"/>
  <c r="D52" i="39"/>
  <c r="E52" i="39"/>
  <c r="I50" i="73"/>
  <c r="G51" i="20"/>
  <c r="I51" i="20" s="1"/>
  <c r="G53" i="34"/>
  <c r="I53" i="34" s="1"/>
  <c r="D54" i="34"/>
  <c r="E54" i="34"/>
  <c r="F49" i="54"/>
  <c r="G49" i="54" s="1"/>
  <c r="B49" i="54"/>
  <c r="G47" i="68"/>
  <c r="I47" i="68" s="1"/>
  <c r="D48" i="68"/>
  <c r="E48" i="68"/>
  <c r="B54" i="29"/>
  <c r="F54" i="29"/>
  <c r="G54" i="29" s="1"/>
  <c r="B54" i="70"/>
  <c r="F54" i="70"/>
  <c r="H54" i="70" s="1"/>
  <c r="D53" i="3"/>
  <c r="E53" i="3"/>
  <c r="D54" i="30"/>
  <c r="E54" i="30"/>
  <c r="D53" i="19"/>
  <c r="E53" i="19"/>
  <c r="D55" i="31"/>
  <c r="E55" i="31"/>
  <c r="F44" i="92"/>
  <c r="B44" i="92"/>
  <c r="F52" i="43"/>
  <c r="H52" i="43" s="1"/>
  <c r="B52" i="43"/>
  <c r="E54" i="71"/>
  <c r="D54" i="71"/>
  <c r="E55" i="69"/>
  <c r="D55" i="69"/>
  <c r="G44" i="83"/>
  <c r="I44" i="83" s="1"/>
  <c r="B52" i="17"/>
  <c r="C61" i="17"/>
  <c r="F52" i="17"/>
  <c r="B46" i="79"/>
  <c r="F46" i="79"/>
  <c r="G46" i="79" s="1"/>
  <c r="F46" i="78"/>
  <c r="H46" i="78" s="1"/>
  <c r="B46" i="78"/>
  <c r="B46" i="77"/>
  <c r="F46" i="77"/>
  <c r="G46" i="77" s="1"/>
  <c r="F51" i="73"/>
  <c r="H51" i="73" s="1"/>
  <c r="B51" i="73"/>
  <c r="B48" i="63"/>
  <c r="F48" i="63"/>
  <c r="G48" i="63" s="1"/>
  <c r="F52" i="21"/>
  <c r="G52" i="21" s="1"/>
  <c r="B52" i="21"/>
  <c r="F53" i="32"/>
  <c r="H53" i="32" s="1"/>
  <c r="B53" i="32"/>
  <c r="B52" i="41"/>
  <c r="F52" i="41"/>
  <c r="D56" i="28"/>
  <c r="E56" i="28"/>
  <c r="E46" i="88"/>
  <c r="D46" i="88"/>
  <c r="F51" i="74"/>
  <c r="H51" i="74" s="1"/>
  <c r="B51" i="74"/>
  <c r="F48" i="60"/>
  <c r="B48" i="60"/>
  <c r="D51" i="45"/>
  <c r="E51" i="45"/>
  <c r="E49" i="64"/>
  <c r="D49" i="64"/>
  <c r="B49" i="57"/>
  <c r="F49" i="57"/>
  <c r="G49" i="57" s="1"/>
  <c r="D49" i="56"/>
  <c r="E49" i="56"/>
  <c r="E45" i="83"/>
  <c r="D45" i="83"/>
  <c r="F44" i="89"/>
  <c r="G44" i="89" s="1"/>
  <c r="B44" i="89"/>
  <c r="D46" i="33"/>
  <c r="E46" i="33" s="1"/>
  <c r="G45" i="33"/>
  <c r="H45" i="33"/>
  <c r="E45" i="87"/>
  <c r="D45" i="87"/>
  <c r="E52" i="20"/>
  <c r="D52" i="20"/>
  <c r="E48" i="62"/>
  <c r="D48" i="62"/>
  <c r="D45" i="26"/>
  <c r="E45" i="26" s="1"/>
  <c r="F53" i="18"/>
  <c r="G53" i="18" s="1"/>
  <c r="B53" i="18"/>
  <c r="G71" i="35"/>
  <c r="H71" i="35"/>
  <c r="E72" i="35"/>
  <c r="F72" i="35" s="1"/>
  <c r="B72" i="35"/>
  <c r="G44" i="87"/>
  <c r="I44" i="87" s="1"/>
  <c r="I70" i="35"/>
  <c r="F48" i="59"/>
  <c r="H48" i="59" s="1"/>
  <c r="B48" i="59"/>
  <c r="J152" i="35"/>
  <c r="J123" i="25"/>
  <c r="G123" i="33"/>
  <c r="D124" i="33"/>
  <c r="E124" i="33" s="1"/>
  <c r="D125" i="25"/>
  <c r="G124" i="25"/>
  <c r="I154" i="35"/>
  <c r="H154" i="35"/>
  <c r="J122" i="33"/>
  <c r="H153" i="35"/>
  <c r="I153" i="35"/>
  <c r="J124" i="100" l="1"/>
  <c r="B43" i="102"/>
  <c r="F43" i="102"/>
  <c r="G43" i="102" s="1"/>
  <c r="I42" i="102"/>
  <c r="E52" i="101"/>
  <c r="F52" i="101" s="1"/>
  <c r="B52" i="101"/>
  <c r="G125" i="100"/>
  <c r="D126" i="100"/>
  <c r="F57" i="100"/>
  <c r="G57" i="100" s="1"/>
  <c r="B57" i="100"/>
  <c r="G43" i="95"/>
  <c r="I43" i="95" s="1"/>
  <c r="D44" i="95"/>
  <c r="B44" i="95" s="1"/>
  <c r="E44" i="95"/>
  <c r="I51" i="42"/>
  <c r="D54" i="97"/>
  <c r="B54" i="97" s="1"/>
  <c r="G53" i="97"/>
  <c r="I53" i="97" s="1"/>
  <c r="E54" i="97"/>
  <c r="I42" i="13"/>
  <c r="E43" i="13"/>
  <c r="F43" i="13" s="1"/>
  <c r="B43" i="13"/>
  <c r="D45" i="98"/>
  <c r="E45" i="98"/>
  <c r="H44" i="98"/>
  <c r="D50" i="99"/>
  <c r="E50" i="99"/>
  <c r="H46" i="80"/>
  <c r="I46" i="80" s="1"/>
  <c r="G44" i="98"/>
  <c r="H49" i="99"/>
  <c r="I49" i="99" s="1"/>
  <c r="H52" i="22"/>
  <c r="I52" i="22" s="1"/>
  <c r="I124" i="26"/>
  <c r="H124" i="26"/>
  <c r="B125" i="26"/>
  <c r="E125" i="26"/>
  <c r="F125" i="26" s="1"/>
  <c r="H44" i="89"/>
  <c r="I44" i="89" s="1"/>
  <c r="G43" i="96"/>
  <c r="I43" i="96" s="1"/>
  <c r="H43" i="93"/>
  <c r="I43" i="93" s="1"/>
  <c r="G48" i="67"/>
  <c r="I48" i="67" s="1"/>
  <c r="E49" i="67"/>
  <c r="D49" i="67"/>
  <c r="G49" i="46"/>
  <c r="I49" i="46" s="1"/>
  <c r="E50" i="46"/>
  <c r="D50" i="46"/>
  <c r="H53" i="24"/>
  <c r="I53" i="24" s="1"/>
  <c r="E54" i="24"/>
  <c r="D54" i="24"/>
  <c r="H49" i="57"/>
  <c r="I49" i="57" s="1"/>
  <c r="G49" i="53"/>
  <c r="I49" i="53" s="1"/>
  <c r="F47" i="82"/>
  <c r="B47" i="82"/>
  <c r="H49" i="54"/>
  <c r="I49" i="54" s="1"/>
  <c r="H45" i="81"/>
  <c r="I45" i="81" s="1"/>
  <c r="E44" i="93"/>
  <c r="D44" i="93"/>
  <c r="H44" i="94"/>
  <c r="I44" i="94" s="1"/>
  <c r="D45" i="94"/>
  <c r="E45" i="94"/>
  <c r="I44" i="25"/>
  <c r="D47" i="80"/>
  <c r="E47" i="80"/>
  <c r="B46" i="86"/>
  <c r="F46" i="86"/>
  <c r="E45" i="25"/>
  <c r="F45" i="25" s="1"/>
  <c r="B45" i="25"/>
  <c r="B47" i="75"/>
  <c r="F47" i="75"/>
  <c r="G47" i="75" s="1"/>
  <c r="F51" i="58"/>
  <c r="B51" i="58"/>
  <c r="D50" i="53"/>
  <c r="E50" i="53"/>
  <c r="D46" i="84"/>
  <c r="E46" i="84"/>
  <c r="B51" i="55"/>
  <c r="F51" i="55"/>
  <c r="H51" i="55" s="1"/>
  <c r="E47" i="90"/>
  <c r="D47" i="90"/>
  <c r="E46" i="91"/>
  <c r="D46" i="91"/>
  <c r="G45" i="91"/>
  <c r="H54" i="23"/>
  <c r="E55" i="23"/>
  <c r="G54" i="23"/>
  <c r="D55" i="23"/>
  <c r="G46" i="90"/>
  <c r="I46" i="90" s="1"/>
  <c r="B48" i="65"/>
  <c r="F48" i="65"/>
  <c r="H48" i="65" s="1"/>
  <c r="G45" i="84"/>
  <c r="I45" i="84" s="1"/>
  <c r="H45" i="91"/>
  <c r="G48" i="66"/>
  <c r="I48" i="66" s="1"/>
  <c r="D49" i="66"/>
  <c r="E49" i="66"/>
  <c r="F52" i="42"/>
  <c r="G52" i="42" s="1"/>
  <c r="B52" i="42"/>
  <c r="E49" i="61"/>
  <c r="D49" i="61"/>
  <c r="G46" i="78"/>
  <c r="I46" i="78" s="1"/>
  <c r="I45" i="85"/>
  <c r="G48" i="61"/>
  <c r="B50" i="72"/>
  <c r="F50" i="72"/>
  <c r="H50" i="72" s="1"/>
  <c r="G48" i="59"/>
  <c r="I48" i="59" s="1"/>
  <c r="F52" i="39"/>
  <c r="B52" i="39"/>
  <c r="D44" i="96"/>
  <c r="E44" i="96"/>
  <c r="H54" i="27"/>
  <c r="G54" i="27"/>
  <c r="E55" i="27"/>
  <c r="D55" i="27"/>
  <c r="I49" i="72"/>
  <c r="H48" i="61"/>
  <c r="B46" i="85"/>
  <c r="F46" i="85"/>
  <c r="G46" i="85" s="1"/>
  <c r="H46" i="76"/>
  <c r="I46" i="76" s="1"/>
  <c r="E47" i="76"/>
  <c r="D47" i="76"/>
  <c r="E46" i="81"/>
  <c r="D46" i="81"/>
  <c r="D53" i="22"/>
  <c r="E53" i="22"/>
  <c r="G51" i="44"/>
  <c r="I51" i="44" s="1"/>
  <c r="D52" i="44"/>
  <c r="E52" i="44"/>
  <c r="B45" i="83"/>
  <c r="F45" i="83"/>
  <c r="G45" i="83" s="1"/>
  <c r="F49" i="64"/>
  <c r="G49" i="64" s="1"/>
  <c r="B49" i="64"/>
  <c r="F51" i="45"/>
  <c r="H51" i="45" s="1"/>
  <c r="B51" i="45"/>
  <c r="E49" i="60"/>
  <c r="D49" i="60"/>
  <c r="B46" i="88"/>
  <c r="F46" i="88"/>
  <c r="G46" i="88" s="1"/>
  <c r="E53" i="41"/>
  <c r="D53" i="41"/>
  <c r="G51" i="73"/>
  <c r="I51" i="73" s="1"/>
  <c r="H46" i="77"/>
  <c r="I46" i="77" s="1"/>
  <c r="E45" i="92"/>
  <c r="D45" i="92"/>
  <c r="B54" i="34"/>
  <c r="F54" i="34"/>
  <c r="H54" i="34" s="1"/>
  <c r="F49" i="56"/>
  <c r="H49" i="56" s="1"/>
  <c r="B49" i="56"/>
  <c r="E50" i="57"/>
  <c r="D50" i="57"/>
  <c r="H48" i="60"/>
  <c r="G51" i="74"/>
  <c r="I51" i="74" s="1"/>
  <c r="D52" i="74"/>
  <c r="E52" i="74"/>
  <c r="G53" i="32"/>
  <c r="I53" i="32" s="1"/>
  <c r="D54" i="32"/>
  <c r="E54" i="32"/>
  <c r="D53" i="21"/>
  <c r="E53" i="21"/>
  <c r="H48" i="63"/>
  <c r="I48" i="63" s="1"/>
  <c r="E47" i="78"/>
  <c r="D47" i="78"/>
  <c r="H46" i="79"/>
  <c r="I46" i="79" s="1"/>
  <c r="G52" i="17"/>
  <c r="D53" i="17"/>
  <c r="E53" i="17"/>
  <c r="D53" i="43"/>
  <c r="E53" i="43"/>
  <c r="H44" i="92"/>
  <c r="B53" i="19"/>
  <c r="F53" i="19"/>
  <c r="H53" i="19" s="1"/>
  <c r="F53" i="3"/>
  <c r="H53" i="3" s="1"/>
  <c r="B53" i="3"/>
  <c r="I45" i="33"/>
  <c r="E45" i="89"/>
  <c r="D45" i="89"/>
  <c r="G52" i="41"/>
  <c r="H52" i="21"/>
  <c r="I52" i="21" s="1"/>
  <c r="H52" i="17"/>
  <c r="B54" i="71"/>
  <c r="F54" i="71"/>
  <c r="H54" i="71" s="1"/>
  <c r="G52" i="43"/>
  <c r="I52" i="43" s="1"/>
  <c r="G44" i="92"/>
  <c r="H54" i="29"/>
  <c r="I54" i="29" s="1"/>
  <c r="E55" i="29"/>
  <c r="D55" i="29"/>
  <c r="B48" i="68"/>
  <c r="F48" i="68"/>
  <c r="H48" i="68" s="1"/>
  <c r="D50" i="54"/>
  <c r="E50" i="54"/>
  <c r="G48" i="60"/>
  <c r="F56" i="28"/>
  <c r="B56" i="28"/>
  <c r="H52" i="41"/>
  <c r="E49" i="63"/>
  <c r="D49" i="63"/>
  <c r="D52" i="73"/>
  <c r="E52" i="73"/>
  <c r="D47" i="77"/>
  <c r="E47" i="77"/>
  <c r="D47" i="79"/>
  <c r="E47" i="79"/>
  <c r="B55" i="69"/>
  <c r="F55" i="69"/>
  <c r="H55" i="69" s="1"/>
  <c r="B55" i="31"/>
  <c r="F55" i="31"/>
  <c r="G55" i="31" s="1"/>
  <c r="F54" i="30"/>
  <c r="G54" i="30" s="1"/>
  <c r="B54" i="30"/>
  <c r="G54" i="70"/>
  <c r="I54" i="70" s="1"/>
  <c r="D55" i="70"/>
  <c r="E55" i="70"/>
  <c r="G72" i="35"/>
  <c r="H72" i="35"/>
  <c r="F52" i="20"/>
  <c r="H52" i="20" s="1"/>
  <c r="B52" i="20"/>
  <c r="B45" i="87"/>
  <c r="F45" i="87"/>
  <c r="I71" i="35"/>
  <c r="D54" i="18"/>
  <c r="E54" i="18"/>
  <c r="B45" i="26"/>
  <c r="F45" i="26"/>
  <c r="G45" i="26" s="1"/>
  <c r="B48" i="62"/>
  <c r="F48" i="62"/>
  <c r="H48" i="62" s="1"/>
  <c r="B46" i="33"/>
  <c r="F46" i="33"/>
  <c r="G46" i="33" s="1"/>
  <c r="D49" i="59"/>
  <c r="E49" i="59"/>
  <c r="H53" i="18"/>
  <c r="I53" i="18" s="1"/>
  <c r="J154" i="35"/>
  <c r="J153" i="35"/>
  <c r="I124" i="25"/>
  <c r="H124" i="25"/>
  <c r="B124" i="33"/>
  <c r="F124" i="33"/>
  <c r="B125" i="25"/>
  <c r="I123" i="33"/>
  <c r="H123" i="33"/>
  <c r="E125" i="25"/>
  <c r="F125" i="25" s="1"/>
  <c r="G52" i="101" l="1"/>
  <c r="D53" i="101"/>
  <c r="H52" i="101"/>
  <c r="H57" i="100"/>
  <c r="I57" i="100" s="1"/>
  <c r="H43" i="102"/>
  <c r="I43" i="102" s="1"/>
  <c r="D44" i="102"/>
  <c r="E126" i="100"/>
  <c r="F126" i="100" s="1"/>
  <c r="B126" i="100"/>
  <c r="I125" i="100"/>
  <c r="H125" i="100"/>
  <c r="D58" i="100"/>
  <c r="E58" i="100" s="1"/>
  <c r="F44" i="95"/>
  <c r="G44" i="95" s="1"/>
  <c r="F54" i="97"/>
  <c r="D55" i="97" s="1"/>
  <c r="J155" i="35"/>
  <c r="G43" i="13"/>
  <c r="H43" i="13"/>
  <c r="D44" i="13"/>
  <c r="F50" i="99"/>
  <c r="H50" i="99" s="1"/>
  <c r="B50" i="99"/>
  <c r="I44" i="98"/>
  <c r="B45" i="98"/>
  <c r="F45" i="98"/>
  <c r="G45" i="98" s="1"/>
  <c r="D126" i="26"/>
  <c r="B126" i="26" s="1"/>
  <c r="G125" i="26"/>
  <c r="J124" i="26"/>
  <c r="B49" i="67"/>
  <c r="F49" i="67"/>
  <c r="G49" i="67" s="1"/>
  <c r="G48" i="65"/>
  <c r="I48" i="65" s="1"/>
  <c r="B50" i="46"/>
  <c r="F50" i="46"/>
  <c r="H50" i="46" s="1"/>
  <c r="B54" i="24"/>
  <c r="F54" i="24"/>
  <c r="H54" i="24" s="1"/>
  <c r="B45" i="94"/>
  <c r="F45" i="94"/>
  <c r="G45" i="94" s="1"/>
  <c r="H47" i="82"/>
  <c r="D48" i="82"/>
  <c r="E48" i="82"/>
  <c r="G53" i="3"/>
  <c r="I53" i="3" s="1"/>
  <c r="G50" i="72"/>
  <c r="I50" i="72" s="1"/>
  <c r="D46" i="25"/>
  <c r="H45" i="25"/>
  <c r="G45" i="25"/>
  <c r="F47" i="80"/>
  <c r="G47" i="80" s="1"/>
  <c r="B47" i="80"/>
  <c r="H47" i="75"/>
  <c r="I47" i="75" s="1"/>
  <c r="H46" i="86"/>
  <c r="D47" i="86"/>
  <c r="E47" i="86" s="1"/>
  <c r="G46" i="86"/>
  <c r="F44" i="93"/>
  <c r="B44" i="93"/>
  <c r="G47" i="82"/>
  <c r="B46" i="91"/>
  <c r="F46" i="91"/>
  <c r="H46" i="91" s="1"/>
  <c r="G49" i="56"/>
  <c r="I49" i="56" s="1"/>
  <c r="G51" i="55"/>
  <c r="I51" i="55" s="1"/>
  <c r="E52" i="55"/>
  <c r="D52" i="55"/>
  <c r="F49" i="66"/>
  <c r="B49" i="66"/>
  <c r="G51" i="58"/>
  <c r="H51" i="58"/>
  <c r="D52" i="58"/>
  <c r="E52" i="58"/>
  <c r="I52" i="17"/>
  <c r="H52" i="42"/>
  <c r="I52" i="42" s="1"/>
  <c r="D53" i="42"/>
  <c r="E53" i="42"/>
  <c r="F55" i="23"/>
  <c r="B55" i="23"/>
  <c r="B47" i="90"/>
  <c r="F47" i="90"/>
  <c r="G47" i="90" s="1"/>
  <c r="F50" i="53"/>
  <c r="B50" i="53"/>
  <c r="E48" i="75"/>
  <c r="D48" i="75"/>
  <c r="F46" i="84"/>
  <c r="G46" i="84" s="1"/>
  <c r="B46" i="84"/>
  <c r="H46" i="33"/>
  <c r="I46" i="33" s="1"/>
  <c r="G54" i="71"/>
  <c r="I54" i="71" s="1"/>
  <c r="I54" i="27"/>
  <c r="D49" i="65"/>
  <c r="E49" i="65"/>
  <c r="I54" i="23"/>
  <c r="I45" i="91"/>
  <c r="B53" i="22"/>
  <c r="F53" i="22"/>
  <c r="H53" i="22" s="1"/>
  <c r="H46" i="88"/>
  <c r="I46" i="88" s="1"/>
  <c r="G51" i="45"/>
  <c r="I51" i="45" s="1"/>
  <c r="H45" i="83"/>
  <c r="I45" i="83" s="1"/>
  <c r="B46" i="81"/>
  <c r="F46" i="81"/>
  <c r="H46" i="81" s="1"/>
  <c r="H46" i="85"/>
  <c r="I46" i="85" s="1"/>
  <c r="D47" i="85"/>
  <c r="E47" i="85"/>
  <c r="E53" i="39"/>
  <c r="D53" i="39"/>
  <c r="B49" i="61"/>
  <c r="F49" i="61"/>
  <c r="H54" i="30"/>
  <c r="I54" i="30" s="1"/>
  <c r="B52" i="44"/>
  <c r="F52" i="44"/>
  <c r="G52" i="44" s="1"/>
  <c r="B55" i="27"/>
  <c r="F55" i="27"/>
  <c r="G52" i="39"/>
  <c r="F47" i="76"/>
  <c r="H47" i="76" s="1"/>
  <c r="B47" i="76"/>
  <c r="F44" i="96"/>
  <c r="G44" i="96" s="1"/>
  <c r="B44" i="96"/>
  <c r="H52" i="39"/>
  <c r="E51" i="72"/>
  <c r="D51" i="72"/>
  <c r="I48" i="61"/>
  <c r="I52" i="41"/>
  <c r="B47" i="79"/>
  <c r="F47" i="79"/>
  <c r="F52" i="73"/>
  <c r="G52" i="73" s="1"/>
  <c r="B52" i="73"/>
  <c r="D57" i="28"/>
  <c r="E57" i="28" s="1"/>
  <c r="G53" i="19"/>
  <c r="I53" i="19" s="1"/>
  <c r="D54" i="19"/>
  <c r="E54" i="19"/>
  <c r="F50" i="57"/>
  <c r="H50" i="57" s="1"/>
  <c r="B50" i="57"/>
  <c r="B49" i="60"/>
  <c r="F49" i="60"/>
  <c r="H49" i="60" s="1"/>
  <c r="E50" i="64"/>
  <c r="D50" i="64"/>
  <c r="H55" i="31"/>
  <c r="I55" i="31" s="1"/>
  <c r="D56" i="31"/>
  <c r="E56" i="31" s="1"/>
  <c r="G55" i="69"/>
  <c r="I55" i="69" s="1"/>
  <c r="F49" i="63"/>
  <c r="B49" i="63"/>
  <c r="H56" i="28"/>
  <c r="F50" i="54"/>
  <c r="B50" i="54"/>
  <c r="F55" i="29"/>
  <c r="G55" i="29" s="1"/>
  <c r="B55" i="29"/>
  <c r="I44" i="92"/>
  <c r="D55" i="71"/>
  <c r="E55" i="71"/>
  <c r="B45" i="89"/>
  <c r="F45" i="89"/>
  <c r="D54" i="3"/>
  <c r="E54" i="3"/>
  <c r="B53" i="43"/>
  <c r="F53" i="43"/>
  <c r="H53" i="43" s="1"/>
  <c r="F54" i="32"/>
  <c r="B54" i="32"/>
  <c r="I48" i="60"/>
  <c r="D50" i="56"/>
  <c r="E50" i="56"/>
  <c r="D47" i="88"/>
  <c r="E47" i="88"/>
  <c r="D52" i="45"/>
  <c r="E52" i="45"/>
  <c r="H49" i="64"/>
  <c r="I49" i="64" s="1"/>
  <c r="B55" i="70"/>
  <c r="F55" i="70"/>
  <c r="H55" i="70" s="1"/>
  <c r="F47" i="77"/>
  <c r="H47" i="77" s="1"/>
  <c r="B47" i="77"/>
  <c r="G56" i="28"/>
  <c r="B53" i="41"/>
  <c r="F53" i="41"/>
  <c r="G53" i="41" s="1"/>
  <c r="D46" i="83"/>
  <c r="E46" i="83"/>
  <c r="E55" i="30"/>
  <c r="D55" i="30"/>
  <c r="E56" i="69"/>
  <c r="D56" i="69"/>
  <c r="G48" i="68"/>
  <c r="I48" i="68" s="1"/>
  <c r="E49" i="68"/>
  <c r="D49" i="68"/>
  <c r="F53" i="17"/>
  <c r="B53" i="17"/>
  <c r="C62" i="17"/>
  <c r="F47" i="78"/>
  <c r="H47" i="78" s="1"/>
  <c r="B47" i="78"/>
  <c r="B53" i="21"/>
  <c r="F53" i="21"/>
  <c r="H53" i="21" s="1"/>
  <c r="B52" i="74"/>
  <c r="F52" i="74"/>
  <c r="H52" i="74" s="1"/>
  <c r="D55" i="34"/>
  <c r="E55" i="34"/>
  <c r="G54" i="34"/>
  <c r="I54" i="34" s="1"/>
  <c r="B45" i="92"/>
  <c r="F45" i="92"/>
  <c r="H45" i="92" s="1"/>
  <c r="E46" i="87"/>
  <c r="D46" i="87"/>
  <c r="E53" i="20"/>
  <c r="D53" i="20"/>
  <c r="E49" i="62"/>
  <c r="D49" i="62"/>
  <c r="D46" i="26"/>
  <c r="E46" i="26" s="1"/>
  <c r="B54" i="18"/>
  <c r="F54" i="18"/>
  <c r="H54" i="18" s="1"/>
  <c r="B49" i="59"/>
  <c r="F49" i="59"/>
  <c r="H49" i="59" s="1"/>
  <c r="G48" i="62"/>
  <c r="I48" i="62" s="1"/>
  <c r="H45" i="26"/>
  <c r="I45" i="26" s="1"/>
  <c r="G45" i="87"/>
  <c r="D47" i="33"/>
  <c r="E47" i="33" s="1"/>
  <c r="H45" i="87"/>
  <c r="G52" i="20"/>
  <c r="I52" i="20" s="1"/>
  <c r="I72" i="35"/>
  <c r="I73" i="35" s="1"/>
  <c r="G125" i="25"/>
  <c r="D126" i="25"/>
  <c r="E126" i="25" s="1"/>
  <c r="G124" i="33"/>
  <c r="D125" i="33"/>
  <c r="E125" i="33" s="1"/>
  <c r="J124" i="25"/>
  <c r="J123" i="33"/>
  <c r="I52" i="101" l="1"/>
  <c r="E44" i="102"/>
  <c r="F44" i="102" s="1"/>
  <c r="B44" i="102"/>
  <c r="E53" i="101"/>
  <c r="F53" i="101" s="1"/>
  <c r="B53" i="101"/>
  <c r="D127" i="100"/>
  <c r="G126" i="100"/>
  <c r="J125" i="100"/>
  <c r="F58" i="100"/>
  <c r="G58" i="100" s="1"/>
  <c r="B58" i="100"/>
  <c r="H58" i="100"/>
  <c r="D45" i="95"/>
  <c r="B45" i="95" s="1"/>
  <c r="E45" i="95"/>
  <c r="H44" i="95"/>
  <c r="I44" i="95" s="1"/>
  <c r="G54" i="97"/>
  <c r="H54" i="97"/>
  <c r="E55" i="97"/>
  <c r="F55" i="97" s="1"/>
  <c r="B55" i="97"/>
  <c r="I43" i="13"/>
  <c r="B44" i="13"/>
  <c r="E44" i="13"/>
  <c r="F44" i="13" s="1"/>
  <c r="G50" i="99"/>
  <c r="I50" i="99" s="1"/>
  <c r="H45" i="98"/>
  <c r="I45" i="98" s="1"/>
  <c r="G46" i="91"/>
  <c r="I46" i="91" s="1"/>
  <c r="I45" i="25"/>
  <c r="H45" i="94"/>
  <c r="I45" i="94" s="1"/>
  <c r="D46" i="98"/>
  <c r="E46" i="98"/>
  <c r="D51" i="99"/>
  <c r="E51" i="99"/>
  <c r="E126" i="26"/>
  <c r="F126" i="26" s="1"/>
  <c r="G54" i="24"/>
  <c r="I54" i="24" s="1"/>
  <c r="H125" i="26"/>
  <c r="I125" i="26"/>
  <c r="H46" i="84"/>
  <c r="I46" i="84" s="1"/>
  <c r="I46" i="86"/>
  <c r="G55" i="70"/>
  <c r="I55" i="70" s="1"/>
  <c r="H49" i="67"/>
  <c r="I49" i="67" s="1"/>
  <c r="D50" i="67"/>
  <c r="E50" i="67"/>
  <c r="G50" i="46"/>
  <c r="I50" i="46" s="1"/>
  <c r="E51" i="46"/>
  <c r="D51" i="46"/>
  <c r="E55" i="24"/>
  <c r="D55" i="24"/>
  <c r="I47" i="82"/>
  <c r="G47" i="76"/>
  <c r="I47" i="76" s="1"/>
  <c r="E45" i="93"/>
  <c r="D45" i="93"/>
  <c r="B47" i="86"/>
  <c r="F47" i="86"/>
  <c r="G44" i="93"/>
  <c r="B46" i="25"/>
  <c r="E46" i="25"/>
  <c r="F46" i="25" s="1"/>
  <c r="D48" i="80"/>
  <c r="E48" i="80"/>
  <c r="F48" i="82"/>
  <c r="B48" i="82"/>
  <c r="E46" i="94"/>
  <c r="D46" i="94"/>
  <c r="I51" i="58"/>
  <c r="H44" i="93"/>
  <c r="H47" i="80"/>
  <c r="I47" i="80" s="1"/>
  <c r="F48" i="75"/>
  <c r="G48" i="75" s="1"/>
  <c r="B48" i="75"/>
  <c r="G50" i="53"/>
  <c r="D51" i="53"/>
  <c r="E51" i="53"/>
  <c r="H49" i="66"/>
  <c r="D50" i="66"/>
  <c r="E50" i="66"/>
  <c r="G53" i="43"/>
  <c r="I53" i="43" s="1"/>
  <c r="G49" i="60"/>
  <c r="I49" i="60" s="1"/>
  <c r="E56" i="23"/>
  <c r="H55" i="23"/>
  <c r="G55" i="23"/>
  <c r="D56" i="23"/>
  <c r="I52" i="39"/>
  <c r="F49" i="65"/>
  <c r="G49" i="65" s="1"/>
  <c r="B49" i="65"/>
  <c r="H50" i="53"/>
  <c r="H47" i="90"/>
  <c r="I47" i="90" s="1"/>
  <c r="E48" i="90"/>
  <c r="D48" i="90"/>
  <c r="G49" i="66"/>
  <c r="B52" i="55"/>
  <c r="F52" i="55"/>
  <c r="H52" i="55" s="1"/>
  <c r="E47" i="91"/>
  <c r="D47" i="91"/>
  <c r="G50" i="57"/>
  <c r="I50" i="57" s="1"/>
  <c r="G53" i="22"/>
  <c r="I53" i="22" s="1"/>
  <c r="D47" i="84"/>
  <c r="E47" i="84"/>
  <c r="B53" i="42"/>
  <c r="F53" i="42"/>
  <c r="H53" i="42" s="1"/>
  <c r="B52" i="58"/>
  <c r="F52" i="58"/>
  <c r="H52" i="44"/>
  <c r="I52" i="44" s="1"/>
  <c r="E53" i="44"/>
  <c r="D53" i="44"/>
  <c r="G47" i="77"/>
  <c r="I47" i="77" s="1"/>
  <c r="B51" i="72"/>
  <c r="F51" i="72"/>
  <c r="H51" i="72" s="1"/>
  <c r="E48" i="76"/>
  <c r="D48" i="76"/>
  <c r="G46" i="81"/>
  <c r="I46" i="81" s="1"/>
  <c r="E47" i="81"/>
  <c r="D47" i="81"/>
  <c r="D54" i="22"/>
  <c r="E54" i="22"/>
  <c r="H55" i="27"/>
  <c r="D56" i="27"/>
  <c r="E56" i="27"/>
  <c r="G55" i="27"/>
  <c r="G49" i="61"/>
  <c r="E50" i="61"/>
  <c r="D50" i="61"/>
  <c r="I45" i="87"/>
  <c r="G45" i="92"/>
  <c r="I45" i="92" s="1"/>
  <c r="H53" i="41"/>
  <c r="I53" i="41" s="1"/>
  <c r="H44" i="96"/>
  <c r="I44" i="96" s="1"/>
  <c r="D45" i="96"/>
  <c r="E45" i="96"/>
  <c r="H49" i="61"/>
  <c r="B53" i="39"/>
  <c r="F53" i="39"/>
  <c r="H53" i="39" s="1"/>
  <c r="B47" i="85"/>
  <c r="F47" i="85"/>
  <c r="G47" i="85" s="1"/>
  <c r="F55" i="34"/>
  <c r="G55" i="34" s="1"/>
  <c r="B55" i="34"/>
  <c r="E53" i="74"/>
  <c r="D53" i="74"/>
  <c r="D48" i="78"/>
  <c r="E48" i="78"/>
  <c r="E54" i="17"/>
  <c r="D54" i="17"/>
  <c r="B52" i="45"/>
  <c r="F52" i="45"/>
  <c r="H52" i="45" s="1"/>
  <c r="F50" i="56"/>
  <c r="H50" i="56" s="1"/>
  <c r="B50" i="56"/>
  <c r="G45" i="89"/>
  <c r="E46" i="89"/>
  <c r="D46" i="89"/>
  <c r="B55" i="71"/>
  <c r="F55" i="71"/>
  <c r="H55" i="71" s="1"/>
  <c r="D48" i="79"/>
  <c r="E48" i="79"/>
  <c r="G47" i="78"/>
  <c r="I47" i="78" s="1"/>
  <c r="G53" i="17"/>
  <c r="H53" i="17"/>
  <c r="B56" i="69"/>
  <c r="F56" i="69"/>
  <c r="H56" i="69" s="1"/>
  <c r="G54" i="32"/>
  <c r="E55" i="32"/>
  <c r="D55" i="32"/>
  <c r="D56" i="29"/>
  <c r="E56" i="29"/>
  <c r="D51" i="54"/>
  <c r="E51" i="54"/>
  <c r="I56" i="28"/>
  <c r="D50" i="63"/>
  <c r="E50" i="63"/>
  <c r="F56" i="31"/>
  <c r="G56" i="31" s="1"/>
  <c r="B56" i="31"/>
  <c r="B50" i="64"/>
  <c r="F50" i="64"/>
  <c r="G50" i="64" s="1"/>
  <c r="B54" i="19"/>
  <c r="F54" i="19"/>
  <c r="H54" i="19" s="1"/>
  <c r="G52" i="74"/>
  <c r="I52" i="74" s="1"/>
  <c r="B49" i="68"/>
  <c r="F49" i="68"/>
  <c r="H49" i="68" s="1"/>
  <c r="F46" i="83"/>
  <c r="H46" i="83" s="1"/>
  <c r="B46" i="83"/>
  <c r="E54" i="41"/>
  <c r="D54" i="41"/>
  <c r="D56" i="70"/>
  <c r="E56" i="70"/>
  <c r="F47" i="88"/>
  <c r="H47" i="88" s="1"/>
  <c r="B47" i="88"/>
  <c r="D54" i="43"/>
  <c r="E54" i="43"/>
  <c r="H45" i="89"/>
  <c r="G50" i="54"/>
  <c r="G49" i="63"/>
  <c r="D51" i="57"/>
  <c r="E51" i="57"/>
  <c r="H52" i="73"/>
  <c r="I52" i="73" s="1"/>
  <c r="D53" i="73"/>
  <c r="E53" i="73"/>
  <c r="G47" i="79"/>
  <c r="E46" i="92"/>
  <c r="D46" i="92"/>
  <c r="G53" i="21"/>
  <c r="I53" i="21" s="1"/>
  <c r="D54" i="21"/>
  <c r="E54" i="21"/>
  <c r="B55" i="30"/>
  <c r="F55" i="30"/>
  <c r="G55" i="30" s="1"/>
  <c r="D48" i="77"/>
  <c r="E48" i="77"/>
  <c r="H54" i="32"/>
  <c r="B54" i="3"/>
  <c r="F54" i="3"/>
  <c r="G54" i="3" s="1"/>
  <c r="H55" i="29"/>
  <c r="I55" i="29" s="1"/>
  <c r="H50" i="54"/>
  <c r="H49" i="63"/>
  <c r="D50" i="60"/>
  <c r="E50" i="60"/>
  <c r="F57" i="28"/>
  <c r="G57" i="28" s="1"/>
  <c r="B57" i="28"/>
  <c r="H47" i="79"/>
  <c r="B47" i="33"/>
  <c r="F47" i="33"/>
  <c r="D50" i="59"/>
  <c r="E50" i="59"/>
  <c r="D55" i="18"/>
  <c r="E55" i="18"/>
  <c r="F46" i="26"/>
  <c r="G46" i="26" s="1"/>
  <c r="B46" i="26"/>
  <c r="B53" i="20"/>
  <c r="F53" i="20"/>
  <c r="H53" i="20" s="1"/>
  <c r="G49" i="59"/>
  <c r="I49" i="59" s="1"/>
  <c r="G54" i="18"/>
  <c r="I54" i="18" s="1"/>
  <c r="B49" i="62"/>
  <c r="F49" i="62"/>
  <c r="H49" i="62" s="1"/>
  <c r="F46" i="87"/>
  <c r="G46" i="87" s="1"/>
  <c r="B46" i="87"/>
  <c r="B126" i="25"/>
  <c r="F126" i="25"/>
  <c r="B125" i="33"/>
  <c r="F125" i="33"/>
  <c r="I125" i="25"/>
  <c r="H125" i="25"/>
  <c r="H124" i="33"/>
  <c r="I124" i="33"/>
  <c r="D54" i="101" l="1"/>
  <c r="E54" i="101" s="1"/>
  <c r="H53" i="101"/>
  <c r="G53" i="101"/>
  <c r="H44" i="102"/>
  <c r="D45" i="102"/>
  <c r="E45" i="102" s="1"/>
  <c r="G44" i="102"/>
  <c r="I44" i="102" s="1"/>
  <c r="H126" i="100"/>
  <c r="I126" i="100"/>
  <c r="B127" i="100"/>
  <c r="E127" i="100"/>
  <c r="F127" i="100" s="1"/>
  <c r="I58" i="100"/>
  <c r="D59" i="100"/>
  <c r="E59" i="100" s="1"/>
  <c r="F45" i="95"/>
  <c r="G45" i="95" s="1"/>
  <c r="I54" i="97"/>
  <c r="H55" i="97"/>
  <c r="G55" i="97"/>
  <c r="D56" i="97"/>
  <c r="E56" i="97"/>
  <c r="H44" i="13"/>
  <c r="D45" i="13"/>
  <c r="G44" i="13"/>
  <c r="I49" i="66"/>
  <c r="I49" i="61"/>
  <c r="B46" i="98"/>
  <c r="F46" i="98"/>
  <c r="G46" i="98" s="1"/>
  <c r="B51" i="99"/>
  <c r="F51" i="99"/>
  <c r="G51" i="99" s="1"/>
  <c r="J125" i="26"/>
  <c r="G126" i="26"/>
  <c r="D127" i="26"/>
  <c r="G49" i="68"/>
  <c r="I49" i="68" s="1"/>
  <c r="G50" i="56"/>
  <c r="I50" i="56" s="1"/>
  <c r="I50" i="54"/>
  <c r="I54" i="32"/>
  <c r="I55" i="23"/>
  <c r="I45" i="89"/>
  <c r="F50" i="67"/>
  <c r="G50" i="67" s="1"/>
  <c r="B50" i="67"/>
  <c r="F51" i="46"/>
  <c r="G51" i="46" s="1"/>
  <c r="B51" i="46"/>
  <c r="F55" i="24"/>
  <c r="H55" i="24" s="1"/>
  <c r="B55" i="24"/>
  <c r="H50" i="64"/>
  <c r="I50" i="64" s="1"/>
  <c r="D47" i="25"/>
  <c r="G46" i="25"/>
  <c r="H46" i="25"/>
  <c r="F46" i="94"/>
  <c r="H46" i="94" s="1"/>
  <c r="B46" i="94"/>
  <c r="H48" i="82"/>
  <c r="D49" i="82"/>
  <c r="E49" i="82"/>
  <c r="F45" i="93"/>
  <c r="H45" i="93" s="1"/>
  <c r="B45" i="93"/>
  <c r="G53" i="42"/>
  <c r="I53" i="42" s="1"/>
  <c r="H48" i="75"/>
  <c r="I48" i="75" s="1"/>
  <c r="I44" i="93"/>
  <c r="G49" i="62"/>
  <c r="I49" i="62" s="1"/>
  <c r="I55" i="27"/>
  <c r="I50" i="53"/>
  <c r="G48" i="82"/>
  <c r="B48" i="80"/>
  <c r="F48" i="80"/>
  <c r="G47" i="86"/>
  <c r="H47" i="86"/>
  <c r="D48" i="86"/>
  <c r="E48" i="86" s="1"/>
  <c r="G52" i="55"/>
  <c r="I52" i="55" s="1"/>
  <c r="E53" i="55"/>
  <c r="D53" i="55"/>
  <c r="F47" i="91"/>
  <c r="G47" i="91" s="1"/>
  <c r="B47" i="91"/>
  <c r="H49" i="65"/>
  <c r="I49" i="65" s="1"/>
  <c r="D50" i="65"/>
  <c r="E50" i="65"/>
  <c r="I47" i="79"/>
  <c r="F47" i="84"/>
  <c r="B47" i="84"/>
  <c r="B51" i="53"/>
  <c r="F51" i="53"/>
  <c r="H51" i="53" s="1"/>
  <c r="G52" i="58"/>
  <c r="D53" i="58"/>
  <c r="H52" i="58"/>
  <c r="E53" i="58"/>
  <c r="E54" i="42"/>
  <c r="D54" i="42"/>
  <c r="F48" i="90"/>
  <c r="H48" i="90" s="1"/>
  <c r="B48" i="90"/>
  <c r="B56" i="23"/>
  <c r="F56" i="23"/>
  <c r="B50" i="66"/>
  <c r="F50" i="66"/>
  <c r="H50" i="66" s="1"/>
  <c r="E49" i="75"/>
  <c r="D49" i="75"/>
  <c r="B54" i="22"/>
  <c r="F54" i="22"/>
  <c r="G54" i="22" s="1"/>
  <c r="I53" i="17"/>
  <c r="G53" i="39"/>
  <c r="I53" i="39" s="1"/>
  <c r="E54" i="39"/>
  <c r="D54" i="39"/>
  <c r="F45" i="96"/>
  <c r="B45" i="96"/>
  <c r="B56" i="27"/>
  <c r="F56" i="27"/>
  <c r="F47" i="81"/>
  <c r="H47" i="81" s="1"/>
  <c r="B47" i="81"/>
  <c r="G51" i="72"/>
  <c r="I51" i="72" s="1"/>
  <c r="E52" i="72"/>
  <c r="D52" i="72"/>
  <c r="F53" i="44"/>
  <c r="G53" i="44" s="1"/>
  <c r="B53" i="44"/>
  <c r="F50" i="61"/>
  <c r="H50" i="61" s="1"/>
  <c r="B50" i="61"/>
  <c r="G54" i="19"/>
  <c r="I54" i="19" s="1"/>
  <c r="G55" i="71"/>
  <c r="I55" i="71" s="1"/>
  <c r="H47" i="85"/>
  <c r="I47" i="85" s="1"/>
  <c r="D48" i="85"/>
  <c r="E48" i="85"/>
  <c r="B48" i="76"/>
  <c r="F48" i="76"/>
  <c r="H48" i="76" s="1"/>
  <c r="I49" i="63"/>
  <c r="G53" i="20"/>
  <c r="I53" i="20" s="1"/>
  <c r="H46" i="26"/>
  <c r="I46" i="26" s="1"/>
  <c r="B46" i="92"/>
  <c r="F46" i="92"/>
  <c r="H46" i="92" s="1"/>
  <c r="G47" i="88"/>
  <c r="I47" i="88" s="1"/>
  <c r="F54" i="41"/>
  <c r="B54" i="41"/>
  <c r="G46" i="83"/>
  <c r="I46" i="83" s="1"/>
  <c r="D47" i="83"/>
  <c r="E47" i="83"/>
  <c r="D51" i="64"/>
  <c r="E51" i="64"/>
  <c r="F56" i="29"/>
  <c r="H56" i="29" s="1"/>
  <c r="B56" i="29"/>
  <c r="E51" i="56"/>
  <c r="D51" i="56"/>
  <c r="E55" i="19"/>
  <c r="D55" i="19"/>
  <c r="H56" i="31"/>
  <c r="I56" i="31" s="1"/>
  <c r="D57" i="31"/>
  <c r="E57" i="31" s="1"/>
  <c r="F55" i="32"/>
  <c r="G55" i="32" s="1"/>
  <c r="B55" i="32"/>
  <c r="D56" i="71"/>
  <c r="E56" i="71"/>
  <c r="B46" i="89"/>
  <c r="F46" i="89"/>
  <c r="H46" i="89" s="1"/>
  <c r="F48" i="78"/>
  <c r="B48" i="78"/>
  <c r="E56" i="30"/>
  <c r="D56" i="30"/>
  <c r="H57" i="28"/>
  <c r="I57" i="28" s="1"/>
  <c r="D58" i="28"/>
  <c r="E58" i="28" s="1"/>
  <c r="H54" i="3"/>
  <c r="I54" i="3" s="1"/>
  <c r="D55" i="3"/>
  <c r="E55" i="3"/>
  <c r="F48" i="77"/>
  <c r="G48" i="77" s="1"/>
  <c r="B48" i="77"/>
  <c r="B53" i="73"/>
  <c r="F53" i="73"/>
  <c r="H53" i="73" s="1"/>
  <c r="F51" i="57"/>
  <c r="G51" i="57" s="1"/>
  <c r="B51" i="57"/>
  <c r="F51" i="54"/>
  <c r="G51" i="54" s="1"/>
  <c r="B51" i="54"/>
  <c r="D57" i="69"/>
  <c r="E57" i="69" s="1"/>
  <c r="F48" i="79"/>
  <c r="B48" i="79"/>
  <c r="G52" i="45"/>
  <c r="I52" i="45" s="1"/>
  <c r="D53" i="45"/>
  <c r="E53" i="45"/>
  <c r="C63" i="17"/>
  <c r="F54" i="17"/>
  <c r="G54" i="17" s="1"/>
  <c r="B54" i="17"/>
  <c r="B53" i="74"/>
  <c r="F53" i="74"/>
  <c r="G53" i="74" s="1"/>
  <c r="H55" i="34"/>
  <c r="I55" i="34" s="1"/>
  <c r="D56" i="34"/>
  <c r="E56" i="34" s="1"/>
  <c r="B50" i="60"/>
  <c r="F50" i="60"/>
  <c r="H50" i="60" s="1"/>
  <c r="F54" i="21"/>
  <c r="G54" i="21" s="1"/>
  <c r="B54" i="21"/>
  <c r="B56" i="70"/>
  <c r="F56" i="70"/>
  <c r="H55" i="30"/>
  <c r="I55" i="30" s="1"/>
  <c r="B54" i="43"/>
  <c r="F54" i="43"/>
  <c r="D48" i="88"/>
  <c r="E48" i="88"/>
  <c r="E50" i="68"/>
  <c r="D50" i="68"/>
  <c r="B50" i="63"/>
  <c r="F50" i="63"/>
  <c r="H50" i="63" s="1"/>
  <c r="G56" i="69"/>
  <c r="I56" i="69" s="1"/>
  <c r="H46" i="87"/>
  <c r="I46" i="87" s="1"/>
  <c r="D48" i="33"/>
  <c r="D54" i="20"/>
  <c r="E54" i="20"/>
  <c r="D47" i="26"/>
  <c r="E47" i="26" s="1"/>
  <c r="D47" i="87"/>
  <c r="E47" i="87"/>
  <c r="B50" i="59"/>
  <c r="F50" i="59"/>
  <c r="G50" i="59" s="1"/>
  <c r="H47" i="33"/>
  <c r="D50" i="62"/>
  <c r="E50" i="62"/>
  <c r="B55" i="18"/>
  <c r="F55" i="18"/>
  <c r="H55" i="18" s="1"/>
  <c r="G47" i="33"/>
  <c r="J125" i="25"/>
  <c r="J124" i="33"/>
  <c r="G126" i="25"/>
  <c r="D127" i="25"/>
  <c r="E127" i="25" s="1"/>
  <c r="G125" i="33"/>
  <c r="D126" i="33"/>
  <c r="E126" i="33" s="1"/>
  <c r="F45" i="102" l="1"/>
  <c r="B45" i="102"/>
  <c r="H45" i="102"/>
  <c r="I53" i="101"/>
  <c r="B54" i="101"/>
  <c r="F54" i="101"/>
  <c r="H54" i="101" s="1"/>
  <c r="G127" i="100"/>
  <c r="D128" i="100"/>
  <c r="E128" i="100" s="1"/>
  <c r="J126" i="100"/>
  <c r="F59" i="100"/>
  <c r="H59" i="100" s="1"/>
  <c r="B59" i="100"/>
  <c r="G59" i="100"/>
  <c r="H45" i="95"/>
  <c r="I45" i="95" s="1"/>
  <c r="E46" i="95"/>
  <c r="D46" i="95"/>
  <c r="I55" i="97"/>
  <c r="I44" i="13"/>
  <c r="B56" i="97"/>
  <c r="F56" i="97"/>
  <c r="H56" i="97" s="1"/>
  <c r="E45" i="13"/>
  <c r="F45" i="13" s="1"/>
  <c r="B45" i="13"/>
  <c r="H46" i="98"/>
  <c r="I46" i="98" s="1"/>
  <c r="D52" i="99"/>
  <c r="E52" i="99"/>
  <c r="D47" i="98"/>
  <c r="E47" i="98"/>
  <c r="H51" i="99"/>
  <c r="I51" i="99" s="1"/>
  <c r="I47" i="86"/>
  <c r="B127" i="26"/>
  <c r="E127" i="26"/>
  <c r="F127" i="26" s="1"/>
  <c r="I126" i="26"/>
  <c r="H126" i="26"/>
  <c r="H51" i="46"/>
  <c r="I51" i="46" s="1"/>
  <c r="G45" i="93"/>
  <c r="I45" i="93" s="1"/>
  <c r="H50" i="67"/>
  <c r="I50" i="67" s="1"/>
  <c r="E51" i="67"/>
  <c r="D51" i="67"/>
  <c r="E52" i="46"/>
  <c r="D52" i="46"/>
  <c r="G55" i="24"/>
  <c r="I55" i="24" s="1"/>
  <c r="D56" i="24"/>
  <c r="E56" i="24"/>
  <c r="I48" i="82"/>
  <c r="B48" i="86"/>
  <c r="F48" i="86"/>
  <c r="G48" i="80"/>
  <c r="D49" i="80"/>
  <c r="E49" i="80"/>
  <c r="D46" i="93"/>
  <c r="E46" i="93"/>
  <c r="E47" i="25"/>
  <c r="F47" i="25" s="1"/>
  <c r="B47" i="25"/>
  <c r="F49" i="82"/>
  <c r="B49" i="82"/>
  <c r="G46" i="94"/>
  <c r="I46" i="94" s="1"/>
  <c r="D47" i="94"/>
  <c r="E47" i="94"/>
  <c r="H48" i="80"/>
  <c r="I46" i="25"/>
  <c r="G56" i="29"/>
  <c r="I56" i="29" s="1"/>
  <c r="G48" i="76"/>
  <c r="I48" i="76" s="1"/>
  <c r="G56" i="23"/>
  <c r="H56" i="23"/>
  <c r="D57" i="23"/>
  <c r="E57" i="23" s="1"/>
  <c r="B54" i="42"/>
  <c r="F54" i="42"/>
  <c r="H54" i="42" s="1"/>
  <c r="F53" i="58"/>
  <c r="B53" i="58"/>
  <c r="B50" i="65"/>
  <c r="F50" i="65"/>
  <c r="G47" i="84"/>
  <c r="D48" i="84"/>
  <c r="E48" i="84"/>
  <c r="F53" i="55"/>
  <c r="H53" i="55" s="1"/>
  <c r="B53" i="55"/>
  <c r="G47" i="81"/>
  <c r="I47" i="81" s="1"/>
  <c r="G50" i="66"/>
  <c r="I50" i="66" s="1"/>
  <c r="D51" i="66"/>
  <c r="E51" i="66"/>
  <c r="G48" i="90"/>
  <c r="I48" i="90" s="1"/>
  <c r="D49" i="90"/>
  <c r="E49" i="90"/>
  <c r="F49" i="75"/>
  <c r="H49" i="75" s="1"/>
  <c r="B49" i="75"/>
  <c r="I52" i="58"/>
  <c r="G51" i="53"/>
  <c r="I51" i="53" s="1"/>
  <c r="D52" i="53"/>
  <c r="E52" i="53"/>
  <c r="H47" i="84"/>
  <c r="H47" i="91"/>
  <c r="I47" i="91" s="1"/>
  <c r="E48" i="91"/>
  <c r="D48" i="91"/>
  <c r="F48" i="85"/>
  <c r="G48" i="85" s="1"/>
  <c r="B48" i="85"/>
  <c r="G56" i="27"/>
  <c r="D57" i="27"/>
  <c r="E57" i="27" s="1"/>
  <c r="F52" i="72"/>
  <c r="G52" i="72" s="1"/>
  <c r="B52" i="72"/>
  <c r="H45" i="96"/>
  <c r="E46" i="96"/>
  <c r="D46" i="96"/>
  <c r="G50" i="63"/>
  <c r="I50" i="63" s="1"/>
  <c r="G50" i="60"/>
  <c r="I50" i="60" s="1"/>
  <c r="D49" i="76"/>
  <c r="E49" i="76"/>
  <c r="H56" i="27"/>
  <c r="H54" i="22"/>
  <c r="I54" i="22" s="1"/>
  <c r="D55" i="22"/>
  <c r="E55" i="22" s="1"/>
  <c r="H54" i="17"/>
  <c r="I54" i="17" s="1"/>
  <c r="H51" i="57"/>
  <c r="I51" i="57" s="1"/>
  <c r="G50" i="61"/>
  <c r="I50" i="61" s="1"/>
  <c r="E51" i="61"/>
  <c r="D51" i="61"/>
  <c r="H53" i="44"/>
  <c r="I53" i="44" s="1"/>
  <c r="D54" i="44"/>
  <c r="E54" i="44"/>
  <c r="D48" i="81"/>
  <c r="E48" i="81"/>
  <c r="G45" i="96"/>
  <c r="B54" i="39"/>
  <c r="F54" i="39"/>
  <c r="H54" i="39" s="1"/>
  <c r="D55" i="43"/>
  <c r="E55" i="43"/>
  <c r="D57" i="70"/>
  <c r="E57" i="70" s="1"/>
  <c r="D49" i="79"/>
  <c r="E49" i="79"/>
  <c r="F56" i="30"/>
  <c r="B56" i="30"/>
  <c r="E49" i="78"/>
  <c r="D49" i="78"/>
  <c r="F57" i="31"/>
  <c r="B57" i="31"/>
  <c r="D55" i="41"/>
  <c r="E55" i="41" s="1"/>
  <c r="G55" i="18"/>
  <c r="I55" i="18" s="1"/>
  <c r="H53" i="74"/>
  <c r="I53" i="74" s="1"/>
  <c r="H48" i="79"/>
  <c r="B57" i="69"/>
  <c r="F57" i="69"/>
  <c r="E52" i="54"/>
  <c r="D52" i="54"/>
  <c r="G53" i="73"/>
  <c r="I53" i="73" s="1"/>
  <c r="D54" i="73"/>
  <c r="E54" i="73"/>
  <c r="E49" i="77"/>
  <c r="D49" i="77"/>
  <c r="B58" i="28"/>
  <c r="F58" i="28"/>
  <c r="G48" i="78"/>
  <c r="E47" i="89"/>
  <c r="D47" i="89"/>
  <c r="F51" i="64"/>
  <c r="H51" i="64" s="1"/>
  <c r="B51" i="64"/>
  <c r="G54" i="41"/>
  <c r="B56" i="71"/>
  <c r="F56" i="71"/>
  <c r="H56" i="71" s="1"/>
  <c r="H50" i="59"/>
  <c r="I50" i="59" s="1"/>
  <c r="D51" i="63"/>
  <c r="E51" i="63"/>
  <c r="F50" i="68"/>
  <c r="H50" i="68" s="1"/>
  <c r="B50" i="68"/>
  <c r="F48" i="88"/>
  <c r="G48" i="88" s="1"/>
  <c r="B48" i="88"/>
  <c r="G54" i="43"/>
  <c r="G56" i="70"/>
  <c r="D51" i="60"/>
  <c r="E51" i="60"/>
  <c r="F56" i="34"/>
  <c r="G56" i="34" s="1"/>
  <c r="B56" i="34"/>
  <c r="H51" i="54"/>
  <c r="I51" i="54" s="1"/>
  <c r="H48" i="77"/>
  <c r="I48" i="77" s="1"/>
  <c r="H48" i="78"/>
  <c r="H55" i="32"/>
  <c r="I55" i="32" s="1"/>
  <c r="D56" i="32"/>
  <c r="E56" i="32"/>
  <c r="F55" i="19"/>
  <c r="G55" i="19" s="1"/>
  <c r="B55" i="19"/>
  <c r="H54" i="41"/>
  <c r="H54" i="21"/>
  <c r="I54" i="21" s="1"/>
  <c r="E55" i="21"/>
  <c r="D55" i="21"/>
  <c r="H54" i="43"/>
  <c r="H56" i="70"/>
  <c r="E54" i="74"/>
  <c r="D54" i="74"/>
  <c r="D55" i="17"/>
  <c r="E55" i="17" s="1"/>
  <c r="B53" i="45"/>
  <c r="F53" i="45"/>
  <c r="H53" i="45" s="1"/>
  <c r="G48" i="79"/>
  <c r="E52" i="57"/>
  <c r="D52" i="57"/>
  <c r="F55" i="3"/>
  <c r="H55" i="3" s="1"/>
  <c r="B55" i="3"/>
  <c r="G46" i="89"/>
  <c r="I46" i="89" s="1"/>
  <c r="F51" i="56"/>
  <c r="G51" i="56" s="1"/>
  <c r="B51" i="56"/>
  <c r="D57" i="29"/>
  <c r="E57" i="29"/>
  <c r="B47" i="83"/>
  <c r="F47" i="83"/>
  <c r="G46" i="92"/>
  <c r="I46" i="92" s="1"/>
  <c r="D47" i="92"/>
  <c r="E47" i="92"/>
  <c r="D56" i="18"/>
  <c r="E56" i="18"/>
  <c r="D51" i="59"/>
  <c r="E51" i="59"/>
  <c r="B47" i="26"/>
  <c r="F47" i="26"/>
  <c r="G47" i="26" s="1"/>
  <c r="B54" i="20"/>
  <c r="F54" i="20"/>
  <c r="H54" i="20" s="1"/>
  <c r="B48" i="33"/>
  <c r="B50" i="62"/>
  <c r="F50" i="62"/>
  <c r="H50" i="62" s="1"/>
  <c r="I47" i="33"/>
  <c r="B47" i="87"/>
  <c r="F47" i="87"/>
  <c r="G47" i="87" s="1"/>
  <c r="E48" i="33"/>
  <c r="F48" i="33" s="1"/>
  <c r="B126" i="33"/>
  <c r="F126" i="33"/>
  <c r="H126" i="25"/>
  <c r="I126" i="25"/>
  <c r="H125" i="33"/>
  <c r="I125" i="33"/>
  <c r="B127" i="25"/>
  <c r="F127" i="25"/>
  <c r="G54" i="101" l="1"/>
  <c r="I54" i="101" s="1"/>
  <c r="D55" i="101"/>
  <c r="G45" i="102"/>
  <c r="I45" i="102" s="1"/>
  <c r="D46" i="102"/>
  <c r="E46" i="102"/>
  <c r="F128" i="100"/>
  <c r="B128" i="100"/>
  <c r="I127" i="100"/>
  <c r="H127" i="100"/>
  <c r="I59" i="100"/>
  <c r="D60" i="100"/>
  <c r="E60" i="100" s="1"/>
  <c r="F46" i="95"/>
  <c r="H46" i="95" s="1"/>
  <c r="B46" i="95"/>
  <c r="G56" i="97"/>
  <c r="I56" i="97" s="1"/>
  <c r="D57" i="97"/>
  <c r="E57" i="97"/>
  <c r="H45" i="13"/>
  <c r="D46" i="13"/>
  <c r="G45" i="13"/>
  <c r="F52" i="99"/>
  <c r="G52" i="99" s="1"/>
  <c r="B52" i="99"/>
  <c r="F47" i="98"/>
  <c r="G47" i="98" s="1"/>
  <c r="B47" i="98"/>
  <c r="J126" i="26"/>
  <c r="I48" i="78"/>
  <c r="G56" i="71"/>
  <c r="I56" i="71" s="1"/>
  <c r="G127" i="26"/>
  <c r="D128" i="26"/>
  <c r="B128" i="26" s="1"/>
  <c r="I56" i="27"/>
  <c r="H48" i="85"/>
  <c r="I48" i="85" s="1"/>
  <c r="I45" i="96"/>
  <c r="I47" i="84"/>
  <c r="I48" i="80"/>
  <c r="B51" i="67"/>
  <c r="F51" i="67"/>
  <c r="H51" i="67" s="1"/>
  <c r="F52" i="46"/>
  <c r="G52" i="46" s="1"/>
  <c r="B52" i="46"/>
  <c r="G54" i="39"/>
  <c r="I54" i="39" s="1"/>
  <c r="F56" i="24"/>
  <c r="G56" i="24" s="1"/>
  <c r="B56" i="24"/>
  <c r="G50" i="62"/>
  <c r="I50" i="62" s="1"/>
  <c r="F47" i="94"/>
  <c r="H47" i="94" s="1"/>
  <c r="B47" i="94"/>
  <c r="H49" i="82"/>
  <c r="D50" i="82"/>
  <c r="E50" i="82"/>
  <c r="B49" i="80"/>
  <c r="F49" i="80"/>
  <c r="G47" i="25"/>
  <c r="H47" i="25"/>
  <c r="D48" i="25"/>
  <c r="H48" i="88"/>
  <c r="I48" i="88" s="1"/>
  <c r="F46" i="93"/>
  <c r="G46" i="93" s="1"/>
  <c r="B46" i="93"/>
  <c r="G48" i="86"/>
  <c r="H48" i="86"/>
  <c r="D49" i="86"/>
  <c r="E49" i="86" s="1"/>
  <c r="I56" i="23"/>
  <c r="G49" i="82"/>
  <c r="F52" i="53"/>
  <c r="G52" i="53" s="1"/>
  <c r="B52" i="53"/>
  <c r="B51" i="66"/>
  <c r="F51" i="66"/>
  <c r="B48" i="84"/>
  <c r="F48" i="84"/>
  <c r="H48" i="84" s="1"/>
  <c r="E51" i="65"/>
  <c r="D51" i="65"/>
  <c r="B57" i="23"/>
  <c r="F57" i="23"/>
  <c r="H47" i="26"/>
  <c r="I47" i="26" s="1"/>
  <c r="I54" i="43"/>
  <c r="B49" i="90"/>
  <c r="F49" i="90"/>
  <c r="H49" i="90" s="1"/>
  <c r="G54" i="42"/>
  <c r="I54" i="42" s="1"/>
  <c r="D55" i="42"/>
  <c r="E55" i="42" s="1"/>
  <c r="G54" i="20"/>
  <c r="I54" i="20" s="1"/>
  <c r="E50" i="75"/>
  <c r="D50" i="75"/>
  <c r="D54" i="55"/>
  <c r="E54" i="55"/>
  <c r="G50" i="65"/>
  <c r="B48" i="91"/>
  <c r="F48" i="91"/>
  <c r="G48" i="91" s="1"/>
  <c r="G49" i="75"/>
  <c r="I49" i="75" s="1"/>
  <c r="G53" i="55"/>
  <c r="I53" i="55" s="1"/>
  <c r="H50" i="65"/>
  <c r="H53" i="58"/>
  <c r="E54" i="58"/>
  <c r="D54" i="58"/>
  <c r="G53" i="58"/>
  <c r="B55" i="22"/>
  <c r="F55" i="22"/>
  <c r="H55" i="22" s="1"/>
  <c r="B49" i="76"/>
  <c r="F49" i="76"/>
  <c r="H49" i="76" s="1"/>
  <c r="H55" i="19"/>
  <c r="I55" i="19" s="1"/>
  <c r="B54" i="44"/>
  <c r="F54" i="44"/>
  <c r="G54" i="44" s="1"/>
  <c r="B46" i="96"/>
  <c r="F46" i="96"/>
  <c r="H46" i="96" s="1"/>
  <c r="B57" i="27"/>
  <c r="F57" i="27"/>
  <c r="H47" i="87"/>
  <c r="I47" i="87" s="1"/>
  <c r="D55" i="39"/>
  <c r="E55" i="39"/>
  <c r="F48" i="81"/>
  <c r="G48" i="81" s="1"/>
  <c r="B48" i="81"/>
  <c r="F51" i="61"/>
  <c r="G51" i="61" s="1"/>
  <c r="B51" i="61"/>
  <c r="H52" i="72"/>
  <c r="I52" i="72" s="1"/>
  <c r="D53" i="72"/>
  <c r="E53" i="72"/>
  <c r="D49" i="85"/>
  <c r="E49" i="85"/>
  <c r="G58" i="28"/>
  <c r="D59" i="28"/>
  <c r="E59" i="28" s="1"/>
  <c r="D58" i="69"/>
  <c r="E58" i="69" s="1"/>
  <c r="D58" i="31"/>
  <c r="E58" i="31"/>
  <c r="B47" i="92"/>
  <c r="F47" i="92"/>
  <c r="G47" i="92" s="1"/>
  <c r="F55" i="17"/>
  <c r="C64" i="17"/>
  <c r="B55" i="17"/>
  <c r="B51" i="60"/>
  <c r="F51" i="60"/>
  <c r="G51" i="60" s="1"/>
  <c r="B51" i="63"/>
  <c r="F51" i="63"/>
  <c r="H51" i="63" s="1"/>
  <c r="D57" i="71"/>
  <c r="E57" i="71" s="1"/>
  <c r="H57" i="31"/>
  <c r="F49" i="78"/>
  <c r="B49" i="78"/>
  <c r="D57" i="30"/>
  <c r="E57" i="30" s="1"/>
  <c r="F57" i="70"/>
  <c r="G57" i="70" s="1"/>
  <c r="B57" i="70"/>
  <c r="G47" i="83"/>
  <c r="D48" i="83"/>
  <c r="E48" i="83"/>
  <c r="D52" i="64"/>
  <c r="E52" i="64"/>
  <c r="B52" i="54"/>
  <c r="F52" i="54"/>
  <c r="H52" i="54" s="1"/>
  <c r="F49" i="79"/>
  <c r="B49" i="79"/>
  <c r="H51" i="56"/>
  <c r="I51" i="56" s="1"/>
  <c r="D52" i="56"/>
  <c r="E52" i="56"/>
  <c r="D56" i="3"/>
  <c r="E56" i="3"/>
  <c r="B55" i="21"/>
  <c r="F55" i="21"/>
  <c r="H55" i="21" s="1"/>
  <c r="F56" i="32"/>
  <c r="H56" i="32" s="1"/>
  <c r="B56" i="32"/>
  <c r="D57" i="34"/>
  <c r="E57" i="34"/>
  <c r="I56" i="70"/>
  <c r="G51" i="64"/>
  <c r="I51" i="64" s="1"/>
  <c r="B49" i="77"/>
  <c r="F49" i="77"/>
  <c r="G49" i="77" s="1"/>
  <c r="B54" i="73"/>
  <c r="F54" i="73"/>
  <c r="H57" i="69"/>
  <c r="I48" i="79"/>
  <c r="H56" i="30"/>
  <c r="F47" i="89"/>
  <c r="H47" i="89" s="1"/>
  <c r="B47" i="89"/>
  <c r="F55" i="43"/>
  <c r="G55" i="43" s="1"/>
  <c r="B55" i="43"/>
  <c r="H47" i="83"/>
  <c r="B57" i="29"/>
  <c r="F57" i="29"/>
  <c r="H57" i="29" s="1"/>
  <c r="G55" i="3"/>
  <c r="I55" i="3" s="1"/>
  <c r="B52" i="57"/>
  <c r="F52" i="57"/>
  <c r="G52" i="57" s="1"/>
  <c r="G53" i="45"/>
  <c r="I53" i="45" s="1"/>
  <c r="D54" i="45"/>
  <c r="E54" i="45"/>
  <c r="F54" i="74"/>
  <c r="G54" i="74" s="1"/>
  <c r="B54" i="74"/>
  <c r="I54" i="41"/>
  <c r="D56" i="19"/>
  <c r="E56" i="19" s="1"/>
  <c r="H56" i="34"/>
  <c r="I56" i="34" s="1"/>
  <c r="D49" i="88"/>
  <c r="E49" i="88"/>
  <c r="G50" i="68"/>
  <c r="I50" i="68" s="1"/>
  <c r="D51" i="68"/>
  <c r="E51" i="68"/>
  <c r="H58" i="28"/>
  <c r="G57" i="69"/>
  <c r="B55" i="41"/>
  <c r="F55" i="41"/>
  <c r="G57" i="31"/>
  <c r="G56" i="30"/>
  <c r="D49" i="33"/>
  <c r="E49" i="33" s="1"/>
  <c r="G48" i="33"/>
  <c r="H48" i="33"/>
  <c r="B51" i="59"/>
  <c r="F51" i="59"/>
  <c r="H51" i="59" s="1"/>
  <c r="J125" i="33"/>
  <c r="E55" i="20"/>
  <c r="D55" i="20"/>
  <c r="D48" i="26"/>
  <c r="E48" i="26" s="1"/>
  <c r="D48" i="87"/>
  <c r="E48" i="87"/>
  <c r="F56" i="18"/>
  <c r="G56" i="18" s="1"/>
  <c r="B56" i="18"/>
  <c r="D51" i="62"/>
  <c r="E51" i="62"/>
  <c r="D128" i="25"/>
  <c r="G127" i="25"/>
  <c r="J126" i="25"/>
  <c r="G126" i="33"/>
  <c r="D127" i="33"/>
  <c r="E127" i="33" s="1"/>
  <c r="J127" i="100" l="1"/>
  <c r="B46" i="102"/>
  <c r="F46" i="102"/>
  <c r="H46" i="102" s="1"/>
  <c r="E55" i="101"/>
  <c r="F55" i="101" s="1"/>
  <c r="H55" i="101" s="1"/>
  <c r="B55" i="101"/>
  <c r="G128" i="100"/>
  <c r="D129" i="100"/>
  <c r="F60" i="100"/>
  <c r="H60" i="100" s="1"/>
  <c r="B60" i="100"/>
  <c r="G46" i="95"/>
  <c r="I46" i="95" s="1"/>
  <c r="E47" i="95"/>
  <c r="D47" i="95"/>
  <c r="I45" i="13"/>
  <c r="F57" i="97"/>
  <c r="G57" i="97" s="1"/>
  <c r="B57" i="97"/>
  <c r="E46" i="13"/>
  <c r="F46" i="13" s="1"/>
  <c r="B46" i="13"/>
  <c r="D48" i="98"/>
  <c r="E48" i="98"/>
  <c r="D53" i="99"/>
  <c r="E53" i="99"/>
  <c r="H47" i="98"/>
  <c r="I47" i="98" s="1"/>
  <c r="H52" i="99"/>
  <c r="I52" i="99" s="1"/>
  <c r="I47" i="83"/>
  <c r="I50" i="65"/>
  <c r="I56" i="30"/>
  <c r="I58" i="28"/>
  <c r="E128" i="26"/>
  <c r="F128" i="26" s="1"/>
  <c r="G128" i="26" s="1"/>
  <c r="H128" i="26" s="1"/>
  <c r="H127" i="26"/>
  <c r="I127" i="26"/>
  <c r="H56" i="24"/>
  <c r="I56" i="24" s="1"/>
  <c r="G55" i="21"/>
  <c r="I55" i="21" s="1"/>
  <c r="G49" i="76"/>
  <c r="I49" i="76" s="1"/>
  <c r="G51" i="67"/>
  <c r="I51" i="67" s="1"/>
  <c r="E52" i="67"/>
  <c r="D52" i="67"/>
  <c r="H52" i="46"/>
  <c r="I52" i="46" s="1"/>
  <c r="E53" i="46"/>
  <c r="D53" i="46"/>
  <c r="G57" i="29"/>
  <c r="I57" i="29" s="1"/>
  <c r="E57" i="24"/>
  <c r="D57" i="24"/>
  <c r="G51" i="59"/>
  <c r="I51" i="59" s="1"/>
  <c r="H47" i="92"/>
  <c r="I47" i="92" s="1"/>
  <c r="G48" i="84"/>
  <c r="I48" i="84" s="1"/>
  <c r="I48" i="86"/>
  <c r="H46" i="93"/>
  <c r="I46" i="93" s="1"/>
  <c r="E47" i="93"/>
  <c r="D47" i="93"/>
  <c r="H49" i="80"/>
  <c r="D50" i="80"/>
  <c r="E50" i="80"/>
  <c r="B50" i="82"/>
  <c r="F50" i="82"/>
  <c r="H50" i="82" s="1"/>
  <c r="H52" i="57"/>
  <c r="I52" i="57" s="1"/>
  <c r="E48" i="25"/>
  <c r="F48" i="25" s="1"/>
  <c r="B48" i="25"/>
  <c r="I49" i="82"/>
  <c r="E48" i="94"/>
  <c r="D48" i="94"/>
  <c r="I48" i="33"/>
  <c r="F49" i="86"/>
  <c r="B49" i="86"/>
  <c r="I47" i="25"/>
  <c r="G49" i="80"/>
  <c r="G47" i="94"/>
  <c r="I47" i="94" s="1"/>
  <c r="F54" i="58"/>
  <c r="B54" i="58"/>
  <c r="B50" i="75"/>
  <c r="F50" i="75"/>
  <c r="G50" i="75" s="1"/>
  <c r="D49" i="91"/>
  <c r="E49" i="91"/>
  <c r="H48" i="91"/>
  <c r="I48" i="91" s="1"/>
  <c r="G51" i="66"/>
  <c r="E52" i="66"/>
  <c r="D52" i="66"/>
  <c r="H51" i="61"/>
  <c r="I51" i="61" s="1"/>
  <c r="F51" i="65"/>
  <c r="G51" i="65" s="1"/>
  <c r="B51" i="65"/>
  <c r="D49" i="84"/>
  <c r="E49" i="84"/>
  <c r="D53" i="53"/>
  <c r="E53" i="53"/>
  <c r="I53" i="58"/>
  <c r="B54" i="55"/>
  <c r="F54" i="55"/>
  <c r="B55" i="42"/>
  <c r="F55" i="42"/>
  <c r="G49" i="90"/>
  <c r="I49" i="90" s="1"/>
  <c r="E50" i="90"/>
  <c r="D50" i="90"/>
  <c r="H57" i="23"/>
  <c r="G57" i="23"/>
  <c r="D58" i="23"/>
  <c r="H51" i="66"/>
  <c r="H52" i="53"/>
  <c r="I52" i="53" s="1"/>
  <c r="F55" i="39"/>
  <c r="H55" i="39" s="1"/>
  <c r="B55" i="39"/>
  <c r="E55" i="44"/>
  <c r="D55" i="44"/>
  <c r="F53" i="72"/>
  <c r="G53" i="72" s="1"/>
  <c r="B53" i="72"/>
  <c r="H49" i="77"/>
  <c r="I49" i="77" s="1"/>
  <c r="D52" i="61"/>
  <c r="E52" i="61"/>
  <c r="H48" i="81"/>
  <c r="I48" i="81" s="1"/>
  <c r="E49" i="81"/>
  <c r="D49" i="81"/>
  <c r="G57" i="27"/>
  <c r="H57" i="27"/>
  <c r="D58" i="27"/>
  <c r="E58" i="27" s="1"/>
  <c r="G46" i="96"/>
  <c r="I46" i="96" s="1"/>
  <c r="E47" i="96"/>
  <c r="D47" i="96"/>
  <c r="H54" i="44"/>
  <c r="I54" i="44" s="1"/>
  <c r="D50" i="76"/>
  <c r="E50" i="76"/>
  <c r="B49" i="85"/>
  <c r="F49" i="85"/>
  <c r="G49" i="85" s="1"/>
  <c r="G55" i="22"/>
  <c r="I55" i="22" s="1"/>
  <c r="D56" i="22"/>
  <c r="E56" i="22" s="1"/>
  <c r="D56" i="41"/>
  <c r="E56" i="41" s="1"/>
  <c r="E50" i="79"/>
  <c r="D50" i="79"/>
  <c r="H56" i="18"/>
  <c r="I56" i="18" s="1"/>
  <c r="B49" i="88"/>
  <c r="F49" i="88"/>
  <c r="H49" i="88" s="1"/>
  <c r="B56" i="19"/>
  <c r="F56" i="19"/>
  <c r="H56" i="19" s="1"/>
  <c r="G56" i="32"/>
  <c r="I56" i="32" s="1"/>
  <c r="G49" i="79"/>
  <c r="F52" i="64"/>
  <c r="B52" i="64"/>
  <c r="B57" i="30"/>
  <c r="F57" i="30"/>
  <c r="H57" i="30" s="1"/>
  <c r="G49" i="78"/>
  <c r="E50" i="78"/>
  <c r="D50" i="78"/>
  <c r="G51" i="63"/>
  <c r="I51" i="63" s="1"/>
  <c r="D52" i="63"/>
  <c r="E52" i="63"/>
  <c r="F58" i="69"/>
  <c r="G58" i="69" s="1"/>
  <c r="B58" i="69"/>
  <c r="F54" i="45"/>
  <c r="G54" i="45" s="1"/>
  <c r="B54" i="45"/>
  <c r="D56" i="43"/>
  <c r="E56" i="43"/>
  <c r="H54" i="73"/>
  <c r="G54" i="73"/>
  <c r="D55" i="73"/>
  <c r="E55" i="73" s="1"/>
  <c r="D56" i="17"/>
  <c r="E56" i="17" s="1"/>
  <c r="H55" i="41"/>
  <c r="F51" i="68"/>
  <c r="B51" i="68"/>
  <c r="H54" i="74"/>
  <c r="I54" i="74" s="1"/>
  <c r="D55" i="74"/>
  <c r="E55" i="74"/>
  <c r="D58" i="29"/>
  <c r="E58" i="29" s="1"/>
  <c r="B56" i="3"/>
  <c r="F56" i="3"/>
  <c r="H56" i="3" s="1"/>
  <c r="B52" i="56"/>
  <c r="F52" i="56"/>
  <c r="H52" i="56" s="1"/>
  <c r="H49" i="79"/>
  <c r="G52" i="54"/>
  <c r="I52" i="54" s="1"/>
  <c r="D53" i="54"/>
  <c r="E53" i="54"/>
  <c r="I57" i="31"/>
  <c r="B57" i="71"/>
  <c r="F57" i="71"/>
  <c r="H57" i="71" s="1"/>
  <c r="H55" i="17"/>
  <c r="B58" i="31"/>
  <c r="F58" i="31"/>
  <c r="H58" i="31" s="1"/>
  <c r="D57" i="32"/>
  <c r="E57" i="32" s="1"/>
  <c r="B48" i="83"/>
  <c r="F48" i="83"/>
  <c r="G48" i="83" s="1"/>
  <c r="B59" i="28"/>
  <c r="F59" i="28"/>
  <c r="G59" i="28" s="1"/>
  <c r="G55" i="41"/>
  <c r="D53" i="57"/>
  <c r="E53" i="57"/>
  <c r="H55" i="43"/>
  <c r="I55" i="43" s="1"/>
  <c r="G47" i="89"/>
  <c r="I47" i="89" s="1"/>
  <c r="D48" i="89"/>
  <c r="E48" i="89"/>
  <c r="I57" i="69"/>
  <c r="E50" i="77"/>
  <c r="D50" i="77"/>
  <c r="B57" i="34"/>
  <c r="F57" i="34"/>
  <c r="G57" i="34" s="1"/>
  <c r="D56" i="21"/>
  <c r="E56" i="21"/>
  <c r="H57" i="70"/>
  <c r="I57" i="70" s="1"/>
  <c r="D58" i="70"/>
  <c r="E58" i="70" s="1"/>
  <c r="H49" i="78"/>
  <c r="H51" i="60"/>
  <c r="I51" i="60" s="1"/>
  <c r="D52" i="60"/>
  <c r="E52" i="60"/>
  <c r="G55" i="17"/>
  <c r="D48" i="92"/>
  <c r="E48" i="92"/>
  <c r="B48" i="87"/>
  <c r="F48" i="87"/>
  <c r="G48" i="87" s="1"/>
  <c r="B55" i="20"/>
  <c r="F55" i="20"/>
  <c r="H55" i="20" s="1"/>
  <c r="D52" i="59"/>
  <c r="E52" i="59"/>
  <c r="F51" i="62"/>
  <c r="H51" i="62" s="1"/>
  <c r="B51" i="62"/>
  <c r="D57" i="18"/>
  <c r="E57" i="18"/>
  <c r="F48" i="26"/>
  <c r="H48" i="26" s="1"/>
  <c r="B48" i="26"/>
  <c r="B49" i="33"/>
  <c r="F49" i="33"/>
  <c r="F127" i="33"/>
  <c r="B127" i="33"/>
  <c r="H127" i="25"/>
  <c r="I127" i="25"/>
  <c r="H126" i="33"/>
  <c r="I126" i="33"/>
  <c r="B128" i="25"/>
  <c r="E128" i="25"/>
  <c r="F128" i="25" s="1"/>
  <c r="G60" i="100" l="1"/>
  <c r="G55" i="101"/>
  <c r="I55" i="101" s="1"/>
  <c r="D56" i="101"/>
  <c r="G46" i="102"/>
  <c r="I46" i="102" s="1"/>
  <c r="D47" i="102"/>
  <c r="E47" i="102"/>
  <c r="B129" i="100"/>
  <c r="H128" i="100"/>
  <c r="I128" i="100"/>
  <c r="E129" i="100"/>
  <c r="F129" i="100" s="1"/>
  <c r="I60" i="100"/>
  <c r="D61" i="100"/>
  <c r="E61" i="100" s="1"/>
  <c r="F47" i="95"/>
  <c r="H47" i="95" s="1"/>
  <c r="B47" i="95"/>
  <c r="H57" i="97"/>
  <c r="I57" i="97" s="1"/>
  <c r="D58" i="97"/>
  <c r="E58" i="97"/>
  <c r="G46" i="13"/>
  <c r="D47" i="13"/>
  <c r="H46" i="13"/>
  <c r="I49" i="79"/>
  <c r="I128" i="26"/>
  <c r="J128" i="26" s="1"/>
  <c r="F53" i="99"/>
  <c r="D54" i="99" s="1"/>
  <c r="B53" i="99"/>
  <c r="B48" i="98"/>
  <c r="F48" i="98"/>
  <c r="D129" i="26"/>
  <c r="J127" i="26"/>
  <c r="B52" i="67"/>
  <c r="F52" i="67"/>
  <c r="G52" i="67" s="1"/>
  <c r="I51" i="66"/>
  <c r="H51" i="65"/>
  <c r="I51" i="65" s="1"/>
  <c r="B53" i="46"/>
  <c r="F53" i="46"/>
  <c r="G53" i="46" s="1"/>
  <c r="G58" i="31"/>
  <c r="I58" i="31" s="1"/>
  <c r="H59" i="28"/>
  <c r="I59" i="28" s="1"/>
  <c r="F57" i="24"/>
  <c r="H57" i="24" s="1"/>
  <c r="B57" i="24"/>
  <c r="G57" i="30"/>
  <c r="I57" i="30" s="1"/>
  <c r="G49" i="86"/>
  <c r="H49" i="86"/>
  <c r="D50" i="86"/>
  <c r="E50" i="86" s="1"/>
  <c r="B50" i="80"/>
  <c r="F50" i="80"/>
  <c r="G50" i="80" s="1"/>
  <c r="B47" i="93"/>
  <c r="F47" i="93"/>
  <c r="H47" i="93" s="1"/>
  <c r="G56" i="3"/>
  <c r="I56" i="3" s="1"/>
  <c r="I57" i="27"/>
  <c r="B48" i="94"/>
  <c r="F48" i="94"/>
  <c r="H48" i="94" s="1"/>
  <c r="D49" i="25"/>
  <c r="H48" i="25"/>
  <c r="G48" i="25"/>
  <c r="G50" i="82"/>
  <c r="I50" i="82" s="1"/>
  <c r="D51" i="82"/>
  <c r="E51" i="82"/>
  <c r="I49" i="80"/>
  <c r="B50" i="90"/>
  <c r="F50" i="90"/>
  <c r="G50" i="90" s="1"/>
  <c r="D56" i="42"/>
  <c r="E56" i="42" s="1"/>
  <c r="G54" i="55"/>
  <c r="D55" i="55"/>
  <c r="E55" i="55"/>
  <c r="F53" i="53"/>
  <c r="H53" i="53" s="1"/>
  <c r="B53" i="53"/>
  <c r="E58" i="23"/>
  <c r="F58" i="23" s="1"/>
  <c r="B58" i="23"/>
  <c r="G55" i="42"/>
  <c r="E51" i="75"/>
  <c r="D51" i="75"/>
  <c r="E55" i="58"/>
  <c r="H54" i="58"/>
  <c r="D55" i="58"/>
  <c r="G54" i="58"/>
  <c r="H49" i="85"/>
  <c r="I49" i="85" s="1"/>
  <c r="I57" i="23"/>
  <c r="B49" i="84"/>
  <c r="F49" i="84"/>
  <c r="E52" i="65"/>
  <c r="D52" i="65"/>
  <c r="B52" i="66"/>
  <c r="F52" i="66"/>
  <c r="G52" i="66" s="1"/>
  <c r="H50" i="75"/>
  <c r="I50" i="75" s="1"/>
  <c r="H54" i="45"/>
  <c r="I54" i="45" s="1"/>
  <c r="H55" i="42"/>
  <c r="H54" i="55"/>
  <c r="B49" i="91"/>
  <c r="F49" i="91"/>
  <c r="B50" i="76"/>
  <c r="F50" i="76"/>
  <c r="H50" i="76" s="1"/>
  <c r="I49" i="78"/>
  <c r="B49" i="81"/>
  <c r="F49" i="81"/>
  <c r="H49" i="81" s="1"/>
  <c r="F52" i="61"/>
  <c r="H52" i="61" s="1"/>
  <c r="B52" i="61"/>
  <c r="D54" i="72"/>
  <c r="E54" i="72"/>
  <c r="D56" i="39"/>
  <c r="E56" i="39" s="1"/>
  <c r="F56" i="22"/>
  <c r="G56" i="22" s="1"/>
  <c r="B56" i="22"/>
  <c r="F47" i="96"/>
  <c r="B47" i="96"/>
  <c r="G49" i="88"/>
  <c r="I49" i="88" s="1"/>
  <c r="E50" i="85"/>
  <c r="D50" i="85"/>
  <c r="B58" i="27"/>
  <c r="F58" i="27"/>
  <c r="H53" i="72"/>
  <c r="I53" i="72" s="1"/>
  <c r="F55" i="44"/>
  <c r="H55" i="44" s="1"/>
  <c r="B55" i="44"/>
  <c r="G55" i="39"/>
  <c r="I55" i="39" s="1"/>
  <c r="I55" i="17"/>
  <c r="B48" i="92"/>
  <c r="F48" i="92"/>
  <c r="H48" i="92" s="1"/>
  <c r="F48" i="89"/>
  <c r="G48" i="89" s="1"/>
  <c r="B48" i="89"/>
  <c r="F55" i="74"/>
  <c r="G55" i="74" s="1"/>
  <c r="B55" i="74"/>
  <c r="E52" i="68"/>
  <c r="D52" i="68"/>
  <c r="B56" i="43"/>
  <c r="F56" i="43"/>
  <c r="G56" i="43" s="1"/>
  <c r="D53" i="64"/>
  <c r="E53" i="64"/>
  <c r="B52" i="60"/>
  <c r="F52" i="60"/>
  <c r="G52" i="60" s="1"/>
  <c r="D58" i="34"/>
  <c r="E58" i="34" s="1"/>
  <c r="B57" i="32"/>
  <c r="F57" i="32"/>
  <c r="G57" i="32" s="1"/>
  <c r="D58" i="71"/>
  <c r="E58" i="71" s="1"/>
  <c r="G51" i="68"/>
  <c r="C65" i="17"/>
  <c r="F56" i="17"/>
  <c r="B56" i="17"/>
  <c r="I54" i="73"/>
  <c r="G52" i="64"/>
  <c r="B56" i="41"/>
  <c r="F56" i="41"/>
  <c r="G56" i="41" s="1"/>
  <c r="B53" i="57"/>
  <c r="F53" i="57"/>
  <c r="H53" i="57" s="1"/>
  <c r="B58" i="70"/>
  <c r="F58" i="70"/>
  <c r="H58" i="70" s="1"/>
  <c r="F56" i="21"/>
  <c r="G56" i="21" s="1"/>
  <c r="B56" i="21"/>
  <c r="H48" i="83"/>
  <c r="I48" i="83" s="1"/>
  <c r="D49" i="83"/>
  <c r="E49" i="83"/>
  <c r="D59" i="31"/>
  <c r="E59" i="31" s="1"/>
  <c r="D53" i="56"/>
  <c r="E53" i="56"/>
  <c r="F58" i="29"/>
  <c r="B58" i="29"/>
  <c r="B50" i="78"/>
  <c r="F50" i="78"/>
  <c r="H50" i="78" s="1"/>
  <c r="G56" i="19"/>
  <c r="I56" i="19" s="1"/>
  <c r="D57" i="19"/>
  <c r="E57" i="19" s="1"/>
  <c r="E50" i="88"/>
  <c r="D50" i="88"/>
  <c r="F50" i="79"/>
  <c r="G50" i="79" s="1"/>
  <c r="B50" i="79"/>
  <c r="B50" i="77"/>
  <c r="F50" i="77"/>
  <c r="G50" i="77" s="1"/>
  <c r="F55" i="73"/>
  <c r="B55" i="73"/>
  <c r="D59" i="69"/>
  <c r="E59" i="69" s="1"/>
  <c r="H57" i="34"/>
  <c r="I57" i="34" s="1"/>
  <c r="D60" i="28"/>
  <c r="E60" i="28" s="1"/>
  <c r="G57" i="71"/>
  <c r="I57" i="71" s="1"/>
  <c r="B53" i="54"/>
  <c r="F53" i="54"/>
  <c r="G52" i="56"/>
  <c r="I52" i="56" s="1"/>
  <c r="D57" i="3"/>
  <c r="E57" i="3" s="1"/>
  <c r="H51" i="68"/>
  <c r="I55" i="41"/>
  <c r="E55" i="45"/>
  <c r="D55" i="45"/>
  <c r="H58" i="69"/>
  <c r="I58" i="69" s="1"/>
  <c r="F52" i="63"/>
  <c r="G52" i="63" s="1"/>
  <c r="B52" i="63"/>
  <c r="D58" i="30"/>
  <c r="E58" i="30" s="1"/>
  <c r="H52" i="64"/>
  <c r="D50" i="33"/>
  <c r="F57" i="18"/>
  <c r="G57" i="18" s="1"/>
  <c r="B57" i="18"/>
  <c r="D52" i="62"/>
  <c r="E52" i="62"/>
  <c r="D56" i="20"/>
  <c r="E56" i="20"/>
  <c r="E49" i="87"/>
  <c r="D49" i="87"/>
  <c r="H49" i="33"/>
  <c r="D49" i="26"/>
  <c r="E49" i="26" s="1"/>
  <c r="G51" i="62"/>
  <c r="I51" i="62" s="1"/>
  <c r="B52" i="59"/>
  <c r="F52" i="59"/>
  <c r="H52" i="59" s="1"/>
  <c r="G49" i="33"/>
  <c r="G48" i="26"/>
  <c r="I48" i="26" s="1"/>
  <c r="G55" i="20"/>
  <c r="I55" i="20" s="1"/>
  <c r="H48" i="87"/>
  <c r="I48" i="87" s="1"/>
  <c r="J127" i="25"/>
  <c r="G128" i="25"/>
  <c r="D129" i="25"/>
  <c r="E129" i="25" s="1"/>
  <c r="J126" i="33"/>
  <c r="G127" i="33"/>
  <c r="D128" i="33"/>
  <c r="E128" i="33" s="1"/>
  <c r="F47" i="102" l="1"/>
  <c r="B47" i="102"/>
  <c r="G47" i="102"/>
  <c r="E56" i="101"/>
  <c r="F56" i="101" s="1"/>
  <c r="H56" i="101" s="1"/>
  <c r="B56" i="101"/>
  <c r="D130" i="100"/>
  <c r="E130" i="100" s="1"/>
  <c r="G129" i="100"/>
  <c r="J128" i="100"/>
  <c r="B61" i="100"/>
  <c r="F61" i="100"/>
  <c r="G61" i="100" s="1"/>
  <c r="H61" i="100"/>
  <c r="G47" i="95"/>
  <c r="I47" i="95" s="1"/>
  <c r="D48" i="95"/>
  <c r="B48" i="95" s="1"/>
  <c r="E48" i="95"/>
  <c r="F58" i="97"/>
  <c r="G58" i="97" s="1"/>
  <c r="B58" i="97"/>
  <c r="I46" i="13"/>
  <c r="E47" i="13"/>
  <c r="F47" i="13" s="1"/>
  <c r="B47" i="13"/>
  <c r="G53" i="99"/>
  <c r="H53" i="99"/>
  <c r="H52" i="67"/>
  <c r="I52" i="67" s="1"/>
  <c r="D49" i="98"/>
  <c r="E49" i="98"/>
  <c r="H48" i="98"/>
  <c r="G48" i="98"/>
  <c r="E54" i="99"/>
  <c r="F54" i="99" s="1"/>
  <c r="D55" i="99" s="1"/>
  <c r="B54" i="99"/>
  <c r="G48" i="94"/>
  <c r="I48" i="94" s="1"/>
  <c r="B129" i="26"/>
  <c r="E129" i="26"/>
  <c r="F129" i="26" s="1"/>
  <c r="I55" i="42"/>
  <c r="I49" i="86"/>
  <c r="E53" i="67"/>
  <c r="D53" i="67"/>
  <c r="G52" i="59"/>
  <c r="I52" i="59" s="1"/>
  <c r="I54" i="55"/>
  <c r="H53" i="46"/>
  <c r="I53" i="46" s="1"/>
  <c r="D54" i="46"/>
  <c r="E54" i="46"/>
  <c r="G57" i="24"/>
  <c r="I57" i="24" s="1"/>
  <c r="D58" i="24"/>
  <c r="E58" i="24" s="1"/>
  <c r="D48" i="93"/>
  <c r="E48" i="93"/>
  <c r="G49" i="81"/>
  <c r="I49" i="81" s="1"/>
  <c r="I48" i="25"/>
  <c r="E49" i="94"/>
  <c r="D49" i="94"/>
  <c r="G47" i="93"/>
  <c r="I47" i="93" s="1"/>
  <c r="H50" i="80"/>
  <c r="I50" i="80" s="1"/>
  <c r="D51" i="80"/>
  <c r="E51" i="80"/>
  <c r="B50" i="86"/>
  <c r="F50" i="86"/>
  <c r="B51" i="82"/>
  <c r="F51" i="82"/>
  <c r="H51" i="82" s="1"/>
  <c r="E49" i="25"/>
  <c r="F49" i="25" s="1"/>
  <c r="B49" i="25"/>
  <c r="H50" i="77"/>
  <c r="I50" i="77" s="1"/>
  <c r="G49" i="84"/>
  <c r="E50" i="84"/>
  <c r="D50" i="84"/>
  <c r="B51" i="75"/>
  <c r="F51" i="75"/>
  <c r="G51" i="75" s="1"/>
  <c r="G50" i="78"/>
  <c r="I50" i="78" s="1"/>
  <c r="F52" i="65"/>
  <c r="H52" i="65" s="1"/>
  <c r="B52" i="65"/>
  <c r="F55" i="58"/>
  <c r="G55" i="58" s="1"/>
  <c r="B55" i="58"/>
  <c r="G58" i="23"/>
  <c r="H58" i="23"/>
  <c r="D59" i="23"/>
  <c r="F55" i="55"/>
  <c r="G55" i="55" s="1"/>
  <c r="B55" i="55"/>
  <c r="H57" i="18"/>
  <c r="I57" i="18" s="1"/>
  <c r="H56" i="41"/>
  <c r="I56" i="41" s="1"/>
  <c r="E50" i="91"/>
  <c r="G49" i="91"/>
  <c r="H49" i="91"/>
  <c r="D50" i="91"/>
  <c r="I54" i="58"/>
  <c r="H50" i="90"/>
  <c r="I50" i="90" s="1"/>
  <c r="D51" i="90"/>
  <c r="E51" i="90"/>
  <c r="H52" i="63"/>
  <c r="I52" i="63" s="1"/>
  <c r="H52" i="66"/>
  <c r="I52" i="66" s="1"/>
  <c r="D53" i="66"/>
  <c r="E53" i="66"/>
  <c r="H49" i="84"/>
  <c r="G53" i="53"/>
  <c r="I53" i="53" s="1"/>
  <c r="D54" i="53"/>
  <c r="E54" i="53"/>
  <c r="B56" i="42"/>
  <c r="F56" i="42"/>
  <c r="G56" i="42" s="1"/>
  <c r="H47" i="96"/>
  <c r="E48" i="96"/>
  <c r="D48" i="96"/>
  <c r="H56" i="21"/>
  <c r="I56" i="21" s="1"/>
  <c r="H57" i="32"/>
  <c r="I57" i="32" s="1"/>
  <c r="B50" i="85"/>
  <c r="F50" i="85"/>
  <c r="G50" i="76"/>
  <c r="I50" i="76" s="1"/>
  <c r="D51" i="76"/>
  <c r="E51" i="76"/>
  <c r="G58" i="27"/>
  <c r="D59" i="27"/>
  <c r="E59" i="27" s="1"/>
  <c r="H58" i="27"/>
  <c r="G47" i="96"/>
  <c r="D50" i="81"/>
  <c r="E50" i="81"/>
  <c r="B54" i="72"/>
  <c r="F54" i="72"/>
  <c r="G54" i="72" s="1"/>
  <c r="G58" i="70"/>
  <c r="I58" i="70" s="1"/>
  <c r="G53" i="57"/>
  <c r="I53" i="57" s="1"/>
  <c r="G55" i="44"/>
  <c r="I55" i="44" s="1"/>
  <c r="D56" i="44"/>
  <c r="E56" i="44"/>
  <c r="H56" i="22"/>
  <c r="I56" i="22" s="1"/>
  <c r="D57" i="22"/>
  <c r="E57" i="22"/>
  <c r="B56" i="39"/>
  <c r="F56" i="39"/>
  <c r="G56" i="39" s="1"/>
  <c r="G52" i="61"/>
  <c r="I52" i="61" s="1"/>
  <c r="E53" i="61"/>
  <c r="D53" i="61"/>
  <c r="B57" i="3"/>
  <c r="F57" i="3"/>
  <c r="G57" i="3" s="1"/>
  <c r="G53" i="54"/>
  <c r="E54" i="54"/>
  <c r="D54" i="54"/>
  <c r="B50" i="88"/>
  <c r="F50" i="88"/>
  <c r="G50" i="88" s="1"/>
  <c r="D59" i="29"/>
  <c r="E59" i="29" s="1"/>
  <c r="G55" i="73"/>
  <c r="D56" i="73"/>
  <c r="E56" i="73" s="1"/>
  <c r="H50" i="79"/>
  <c r="I50" i="79" s="1"/>
  <c r="G58" i="29"/>
  <c r="D57" i="17"/>
  <c r="E57" i="17" s="1"/>
  <c r="F58" i="34"/>
  <c r="G58" i="34" s="1"/>
  <c r="B58" i="34"/>
  <c r="B53" i="64"/>
  <c r="F53" i="64"/>
  <c r="H53" i="64" s="1"/>
  <c r="B52" i="68"/>
  <c r="F52" i="68"/>
  <c r="H52" i="68" s="1"/>
  <c r="D49" i="92"/>
  <c r="E49" i="92"/>
  <c r="B55" i="45"/>
  <c r="F55" i="45"/>
  <c r="G55" i="45" s="1"/>
  <c r="F59" i="31"/>
  <c r="D60" i="31" s="1"/>
  <c r="B59" i="31"/>
  <c r="F58" i="30"/>
  <c r="G58" i="30" s="1"/>
  <c r="B58" i="30"/>
  <c r="E53" i="63"/>
  <c r="D53" i="63"/>
  <c r="B59" i="69"/>
  <c r="F59" i="69"/>
  <c r="G59" i="69" s="1"/>
  <c r="E51" i="77"/>
  <c r="D51" i="77"/>
  <c r="F57" i="19"/>
  <c r="H57" i="19" s="1"/>
  <c r="B57" i="19"/>
  <c r="E51" i="78"/>
  <c r="D51" i="78"/>
  <c r="H58" i="29"/>
  <c r="F53" i="56"/>
  <c r="H53" i="56" s="1"/>
  <c r="B53" i="56"/>
  <c r="D57" i="21"/>
  <c r="E57" i="21" s="1"/>
  <c r="H56" i="17"/>
  <c r="D58" i="32"/>
  <c r="E58" i="32" s="1"/>
  <c r="D56" i="74"/>
  <c r="E56" i="74"/>
  <c r="E49" i="89"/>
  <c r="D49" i="89"/>
  <c r="F60" i="28"/>
  <c r="D61" i="28" s="1"/>
  <c r="B60" i="28"/>
  <c r="D51" i="79"/>
  <c r="E51" i="79"/>
  <c r="F49" i="83"/>
  <c r="H49" i="83" s="1"/>
  <c r="B49" i="83"/>
  <c r="I52" i="64"/>
  <c r="I51" i="68"/>
  <c r="H53" i="54"/>
  <c r="D59" i="70"/>
  <c r="E59" i="70" s="1"/>
  <c r="E54" i="57"/>
  <c r="D54" i="57"/>
  <c r="D57" i="41"/>
  <c r="E57" i="41" s="1"/>
  <c r="G56" i="17"/>
  <c r="F58" i="71"/>
  <c r="D59" i="71" s="1"/>
  <c r="B58" i="71"/>
  <c r="H52" i="60"/>
  <c r="I52" i="60" s="1"/>
  <c r="D53" i="60"/>
  <c r="E53" i="60"/>
  <c r="H56" i="43"/>
  <c r="I56" i="43" s="1"/>
  <c r="D57" i="43"/>
  <c r="E57" i="43" s="1"/>
  <c r="H55" i="74"/>
  <c r="I55" i="74" s="1"/>
  <c r="H48" i="89"/>
  <c r="I48" i="89" s="1"/>
  <c r="G48" i="92"/>
  <c r="I48" i="92" s="1"/>
  <c r="H55" i="73"/>
  <c r="B50" i="33"/>
  <c r="E53" i="59"/>
  <c r="D53" i="59"/>
  <c r="B49" i="26"/>
  <c r="F49" i="26"/>
  <c r="H49" i="26" s="1"/>
  <c r="B52" i="62"/>
  <c r="F52" i="62"/>
  <c r="H52" i="62" s="1"/>
  <c r="I49" i="33"/>
  <c r="B49" i="87"/>
  <c r="F49" i="87"/>
  <c r="G49" i="87" s="1"/>
  <c r="B56" i="20"/>
  <c r="F56" i="20"/>
  <c r="H56" i="20" s="1"/>
  <c r="D58" i="18"/>
  <c r="E58" i="18" s="1"/>
  <c r="E50" i="33"/>
  <c r="F50" i="33" s="1"/>
  <c r="H127" i="33"/>
  <c r="I127" i="33"/>
  <c r="F129" i="25"/>
  <c r="B129" i="25"/>
  <c r="F128" i="33"/>
  <c r="B128" i="33"/>
  <c r="H128" i="25"/>
  <c r="I128" i="25"/>
  <c r="G56" i="101" l="1"/>
  <c r="I56" i="101" s="1"/>
  <c r="D57" i="101"/>
  <c r="H47" i="102"/>
  <c r="I47" i="102" s="1"/>
  <c r="D48" i="102"/>
  <c r="E48" i="102"/>
  <c r="H129" i="100"/>
  <c r="I129" i="100"/>
  <c r="F130" i="100"/>
  <c r="B130" i="100"/>
  <c r="I61" i="100"/>
  <c r="D62" i="100"/>
  <c r="E62" i="100" s="1"/>
  <c r="F48" i="95"/>
  <c r="H48" i="95" s="1"/>
  <c r="H58" i="97"/>
  <c r="I58" i="97" s="1"/>
  <c r="D59" i="97"/>
  <c r="E59" i="97"/>
  <c r="H47" i="13"/>
  <c r="G47" i="13"/>
  <c r="D48" i="13"/>
  <c r="I53" i="99"/>
  <c r="G54" i="99"/>
  <c r="I48" i="98"/>
  <c r="I49" i="91"/>
  <c r="E55" i="99"/>
  <c r="F55" i="99" s="1"/>
  <c r="D56" i="99" s="1"/>
  <c r="B55" i="99"/>
  <c r="H54" i="99"/>
  <c r="B49" i="98"/>
  <c r="F49" i="98"/>
  <c r="H49" i="98" s="1"/>
  <c r="I53" i="54"/>
  <c r="I49" i="84"/>
  <c r="G53" i="56"/>
  <c r="I53" i="56" s="1"/>
  <c r="D130" i="26"/>
  <c r="G129" i="26"/>
  <c r="H58" i="71"/>
  <c r="G52" i="68"/>
  <c r="I52" i="68" s="1"/>
  <c r="F53" i="67"/>
  <c r="G53" i="67" s="1"/>
  <c r="B53" i="67"/>
  <c r="H55" i="58"/>
  <c r="I55" i="58" s="1"/>
  <c r="F54" i="46"/>
  <c r="H54" i="46" s="1"/>
  <c r="B54" i="46"/>
  <c r="I58" i="29"/>
  <c r="I58" i="27"/>
  <c r="F58" i="24"/>
  <c r="G58" i="24" s="1"/>
  <c r="B58" i="24"/>
  <c r="H59" i="31"/>
  <c r="G53" i="64"/>
  <c r="I53" i="64" s="1"/>
  <c r="G51" i="82"/>
  <c r="I51" i="82" s="1"/>
  <c r="E52" i="82"/>
  <c r="D52" i="82"/>
  <c r="B49" i="94"/>
  <c r="F49" i="94"/>
  <c r="H49" i="94" s="1"/>
  <c r="H49" i="25"/>
  <c r="G49" i="25"/>
  <c r="D50" i="25"/>
  <c r="F51" i="80"/>
  <c r="G51" i="80" s="1"/>
  <c r="B51" i="80"/>
  <c r="B48" i="93"/>
  <c r="F48" i="93"/>
  <c r="H48" i="93" s="1"/>
  <c r="I47" i="96"/>
  <c r="G50" i="86"/>
  <c r="D51" i="86"/>
  <c r="E51" i="86" s="1"/>
  <c r="H50" i="86"/>
  <c r="G58" i="71"/>
  <c r="H58" i="30"/>
  <c r="I58" i="30" s="1"/>
  <c r="H56" i="39"/>
  <c r="I56" i="39" s="1"/>
  <c r="F50" i="91"/>
  <c r="B50" i="91"/>
  <c r="I58" i="23"/>
  <c r="G52" i="65"/>
  <c r="I52" i="65" s="1"/>
  <c r="E53" i="65"/>
  <c r="D53" i="65"/>
  <c r="D52" i="75"/>
  <c r="E52" i="75"/>
  <c r="D57" i="42"/>
  <c r="E57" i="42"/>
  <c r="B54" i="53"/>
  <c r="F54" i="53"/>
  <c r="H54" i="53" s="1"/>
  <c r="B53" i="66"/>
  <c r="F53" i="66"/>
  <c r="B51" i="90"/>
  <c r="F51" i="90"/>
  <c r="G51" i="90" s="1"/>
  <c r="H55" i="55"/>
  <c r="I55" i="55" s="1"/>
  <c r="E56" i="55"/>
  <c r="D56" i="55"/>
  <c r="F50" i="84"/>
  <c r="B50" i="84"/>
  <c r="H56" i="42"/>
  <c r="I56" i="42" s="1"/>
  <c r="E59" i="23"/>
  <c r="F59" i="23" s="1"/>
  <c r="B59" i="23"/>
  <c r="E56" i="58"/>
  <c r="D56" i="58"/>
  <c r="H51" i="75"/>
  <c r="I51" i="75" s="1"/>
  <c r="G50" i="85"/>
  <c r="D51" i="85"/>
  <c r="E51" i="85"/>
  <c r="B48" i="96"/>
  <c r="F48" i="96"/>
  <c r="H48" i="96" s="1"/>
  <c r="G49" i="83"/>
  <c r="I49" i="83" s="1"/>
  <c r="B56" i="44"/>
  <c r="F56" i="44"/>
  <c r="H56" i="44" s="1"/>
  <c r="D55" i="72"/>
  <c r="E55" i="72" s="1"/>
  <c r="B51" i="76"/>
  <c r="F51" i="76"/>
  <c r="G51" i="76" s="1"/>
  <c r="F53" i="61"/>
  <c r="B53" i="61"/>
  <c r="B57" i="22"/>
  <c r="F57" i="22"/>
  <c r="H54" i="72"/>
  <c r="I54" i="72" s="1"/>
  <c r="B59" i="27"/>
  <c r="F59" i="27"/>
  <c r="H59" i="27" s="1"/>
  <c r="H50" i="85"/>
  <c r="H60" i="28"/>
  <c r="D57" i="39"/>
  <c r="E57" i="39"/>
  <c r="F50" i="81"/>
  <c r="G50" i="81" s="1"/>
  <c r="B50" i="81"/>
  <c r="I55" i="73"/>
  <c r="B57" i="41"/>
  <c r="F57" i="41"/>
  <c r="H57" i="41" s="1"/>
  <c r="F57" i="21"/>
  <c r="G57" i="21" s="1"/>
  <c r="B57" i="21"/>
  <c r="B53" i="63"/>
  <c r="F53" i="63"/>
  <c r="G52" i="62"/>
  <c r="I52" i="62" s="1"/>
  <c r="E59" i="71"/>
  <c r="F59" i="71" s="1"/>
  <c r="B59" i="71"/>
  <c r="F54" i="57"/>
  <c r="H54" i="57" s="1"/>
  <c r="B54" i="57"/>
  <c r="F59" i="70"/>
  <c r="D60" i="70" s="1"/>
  <c r="B59" i="70"/>
  <c r="E50" i="83"/>
  <c r="D50" i="83"/>
  <c r="B58" i="32"/>
  <c r="F58" i="32"/>
  <c r="B51" i="78"/>
  <c r="F51" i="78"/>
  <c r="D59" i="30"/>
  <c r="E59" i="30" s="1"/>
  <c r="H58" i="34"/>
  <c r="I58" i="34" s="1"/>
  <c r="D59" i="34"/>
  <c r="E59" i="34" s="1"/>
  <c r="D58" i="3"/>
  <c r="E58" i="3"/>
  <c r="B56" i="73"/>
  <c r="F56" i="73"/>
  <c r="G56" i="73" s="1"/>
  <c r="B57" i="43"/>
  <c r="F57" i="43"/>
  <c r="G57" i="43" s="1"/>
  <c r="F53" i="60"/>
  <c r="B53" i="60"/>
  <c r="E61" i="28"/>
  <c r="F61" i="28" s="1"/>
  <c r="B61" i="28"/>
  <c r="D58" i="19"/>
  <c r="E58" i="19" s="1"/>
  <c r="H59" i="69"/>
  <c r="I59" i="69" s="1"/>
  <c r="D60" i="69"/>
  <c r="E60" i="69" s="1"/>
  <c r="F60" i="69" s="1"/>
  <c r="E60" i="31"/>
  <c r="F60" i="31" s="1"/>
  <c r="G60" i="31" s="1"/>
  <c r="B60" i="31"/>
  <c r="D56" i="45"/>
  <c r="E56" i="45"/>
  <c r="B49" i="92"/>
  <c r="F49" i="92"/>
  <c r="F57" i="17"/>
  <c r="H57" i="17" s="1"/>
  <c r="C66" i="17"/>
  <c r="B57" i="17"/>
  <c r="H50" i="88"/>
  <c r="I50" i="88" s="1"/>
  <c r="E51" i="88"/>
  <c r="D51" i="88"/>
  <c r="F49" i="89"/>
  <c r="G49" i="89" s="1"/>
  <c r="B49" i="89"/>
  <c r="B54" i="54"/>
  <c r="F54" i="54"/>
  <c r="F51" i="79"/>
  <c r="B51" i="79"/>
  <c r="G60" i="28"/>
  <c r="F56" i="74"/>
  <c r="B56" i="74"/>
  <c r="I56" i="17"/>
  <c r="D54" i="56"/>
  <c r="E54" i="56"/>
  <c r="G57" i="19"/>
  <c r="I57" i="19" s="1"/>
  <c r="B51" i="77"/>
  <c r="F51" i="77"/>
  <c r="H51" i="77" s="1"/>
  <c r="G59" i="31"/>
  <c r="H55" i="45"/>
  <c r="I55" i="45" s="1"/>
  <c r="E53" i="68"/>
  <c r="D53" i="68"/>
  <c r="D54" i="64"/>
  <c r="E54" i="64"/>
  <c r="B59" i="29"/>
  <c r="F59" i="29"/>
  <c r="D60" i="29" s="1"/>
  <c r="H57" i="3"/>
  <c r="I57" i="3" s="1"/>
  <c r="D51" i="33"/>
  <c r="E51" i="33" s="1"/>
  <c r="G50" i="33"/>
  <c r="H50" i="33"/>
  <c r="B58" i="18"/>
  <c r="F58" i="18"/>
  <c r="G56" i="20"/>
  <c r="I56" i="20" s="1"/>
  <c r="D53" i="62"/>
  <c r="E53" i="62"/>
  <c r="D50" i="87"/>
  <c r="E50" i="87"/>
  <c r="D50" i="26"/>
  <c r="E50" i="26" s="1"/>
  <c r="F53" i="59"/>
  <c r="G53" i="59" s="1"/>
  <c r="B53" i="59"/>
  <c r="E57" i="20"/>
  <c r="D57" i="20"/>
  <c r="H49" i="87"/>
  <c r="I49" i="87" s="1"/>
  <c r="G49" i="26"/>
  <c r="I49" i="26" s="1"/>
  <c r="J127" i="33"/>
  <c r="J128" i="25"/>
  <c r="D129" i="33"/>
  <c r="E129" i="33" s="1"/>
  <c r="G128" i="33"/>
  <c r="D130" i="25"/>
  <c r="E130" i="25" s="1"/>
  <c r="G129" i="25"/>
  <c r="J129" i="100" l="1"/>
  <c r="B48" i="102"/>
  <c r="F48" i="102"/>
  <c r="D49" i="102" s="1"/>
  <c r="H48" i="102"/>
  <c r="G48" i="102"/>
  <c r="I48" i="102" s="1"/>
  <c r="E57" i="101"/>
  <c r="F57" i="101" s="1"/>
  <c r="B57" i="101"/>
  <c r="D131" i="100"/>
  <c r="E131" i="100" s="1"/>
  <c r="G130" i="100"/>
  <c r="F62" i="100"/>
  <c r="B62" i="100"/>
  <c r="G62" i="100"/>
  <c r="H62" i="100"/>
  <c r="E49" i="95"/>
  <c r="G48" i="95"/>
  <c r="I48" i="95" s="1"/>
  <c r="D49" i="95"/>
  <c r="B49" i="95" s="1"/>
  <c r="F59" i="97"/>
  <c r="G59" i="97" s="1"/>
  <c r="B59" i="97"/>
  <c r="I47" i="13"/>
  <c r="E48" i="13"/>
  <c r="F48" i="13" s="1"/>
  <c r="G48" i="13" s="1"/>
  <c r="B48" i="13"/>
  <c r="I58" i="71"/>
  <c r="I54" i="99"/>
  <c r="I59" i="31"/>
  <c r="G49" i="98"/>
  <c r="I49" i="98" s="1"/>
  <c r="E56" i="99"/>
  <c r="F56" i="99" s="1"/>
  <c r="D57" i="99" s="1"/>
  <c r="B56" i="99"/>
  <c r="H55" i="99"/>
  <c r="D50" i="98"/>
  <c r="E50" i="98"/>
  <c r="G55" i="99"/>
  <c r="G49" i="94"/>
  <c r="I49" i="94" s="1"/>
  <c r="G54" i="46"/>
  <c r="I54" i="46" s="1"/>
  <c r="I129" i="26"/>
  <c r="H129" i="26"/>
  <c r="E130" i="26"/>
  <c r="F130" i="26" s="1"/>
  <c r="B130" i="26"/>
  <c r="I60" i="28"/>
  <c r="I49" i="25"/>
  <c r="I50" i="85"/>
  <c r="H57" i="21"/>
  <c r="I57" i="21" s="1"/>
  <c r="H51" i="80"/>
  <c r="I51" i="80" s="1"/>
  <c r="H51" i="76"/>
  <c r="I51" i="76" s="1"/>
  <c r="H53" i="67"/>
  <c r="I53" i="67" s="1"/>
  <c r="D54" i="67"/>
  <c r="E54" i="67"/>
  <c r="D55" i="46"/>
  <c r="E55" i="46"/>
  <c r="H58" i="24"/>
  <c r="I58" i="24" s="1"/>
  <c r="D59" i="24"/>
  <c r="E50" i="25"/>
  <c r="F50" i="25" s="1"/>
  <c r="B50" i="25"/>
  <c r="F52" i="82"/>
  <c r="B52" i="82"/>
  <c r="D49" i="93"/>
  <c r="E49" i="93"/>
  <c r="I50" i="86"/>
  <c r="D50" i="94"/>
  <c r="E50" i="94"/>
  <c r="B51" i="86"/>
  <c r="F51" i="86"/>
  <c r="G48" i="93"/>
  <c r="I48" i="93" s="1"/>
  <c r="D52" i="80"/>
  <c r="E52" i="80"/>
  <c r="G59" i="23"/>
  <c r="D60" i="23"/>
  <c r="B60" i="23" s="1"/>
  <c r="H59" i="23"/>
  <c r="G57" i="17"/>
  <c r="I57" i="17" s="1"/>
  <c r="F56" i="58"/>
  <c r="B56" i="58"/>
  <c r="B56" i="55"/>
  <c r="F56" i="55"/>
  <c r="H56" i="55" s="1"/>
  <c r="G53" i="66"/>
  <c r="D54" i="66"/>
  <c r="E54" i="66"/>
  <c r="B52" i="75"/>
  <c r="F52" i="75"/>
  <c r="G52" i="75" s="1"/>
  <c r="H50" i="84"/>
  <c r="D51" i="84"/>
  <c r="E51" i="84"/>
  <c r="D52" i="90"/>
  <c r="E52" i="90"/>
  <c r="F53" i="65"/>
  <c r="B53" i="65"/>
  <c r="B57" i="42"/>
  <c r="F57" i="42"/>
  <c r="G50" i="91"/>
  <c r="D51" i="91"/>
  <c r="E51" i="91"/>
  <c r="H50" i="91"/>
  <c r="G50" i="84"/>
  <c r="H51" i="90"/>
  <c r="I51" i="90" s="1"/>
  <c r="H53" i="66"/>
  <c r="G54" i="53"/>
  <c r="I54" i="53" s="1"/>
  <c r="D55" i="53"/>
  <c r="E55" i="53"/>
  <c r="D58" i="22"/>
  <c r="D54" i="61"/>
  <c r="E54" i="61"/>
  <c r="H59" i="29"/>
  <c r="H57" i="22"/>
  <c r="G53" i="61"/>
  <c r="F55" i="72"/>
  <c r="G55" i="72" s="1"/>
  <c r="B55" i="72"/>
  <c r="D57" i="44"/>
  <c r="E57" i="44"/>
  <c r="F57" i="39"/>
  <c r="G57" i="39" s="1"/>
  <c r="B57" i="39"/>
  <c r="G57" i="22"/>
  <c r="E49" i="96"/>
  <c r="D49" i="96"/>
  <c r="F51" i="85"/>
  <c r="B51" i="85"/>
  <c r="H53" i="59"/>
  <c r="I53" i="59" s="1"/>
  <c r="H50" i="81"/>
  <c r="I50" i="81" s="1"/>
  <c r="E51" i="81"/>
  <c r="D51" i="81"/>
  <c r="D60" i="27"/>
  <c r="E60" i="27" s="1"/>
  <c r="G59" i="27"/>
  <c r="I59" i="27" s="1"/>
  <c r="H53" i="61"/>
  <c r="D52" i="76"/>
  <c r="E52" i="76"/>
  <c r="G56" i="44"/>
  <c r="I56" i="44" s="1"/>
  <c r="G48" i="96"/>
  <c r="I48" i="96" s="1"/>
  <c r="D62" i="28"/>
  <c r="H61" i="28"/>
  <c r="G61" i="28"/>
  <c r="H59" i="71"/>
  <c r="D60" i="71"/>
  <c r="E60" i="71" s="1"/>
  <c r="F60" i="71" s="1"/>
  <c r="G59" i="71"/>
  <c r="D55" i="54"/>
  <c r="E55" i="54"/>
  <c r="D50" i="92"/>
  <c r="E50" i="92"/>
  <c r="D54" i="60"/>
  <c r="E54" i="60"/>
  <c r="G51" i="78"/>
  <c r="D52" i="78"/>
  <c r="E52" i="78"/>
  <c r="G58" i="32"/>
  <c r="D59" i="32"/>
  <c r="E59" i="32" s="1"/>
  <c r="F59" i="32" s="1"/>
  <c r="D60" i="32" s="1"/>
  <c r="D52" i="77"/>
  <c r="E52" i="77"/>
  <c r="F54" i="56"/>
  <c r="G54" i="56" s="1"/>
  <c r="B54" i="56"/>
  <c r="H56" i="74"/>
  <c r="D57" i="74"/>
  <c r="E57" i="74" s="1"/>
  <c r="H51" i="79"/>
  <c r="D52" i="79"/>
  <c r="E52" i="79"/>
  <c r="D58" i="17"/>
  <c r="E58" i="17" s="1"/>
  <c r="F58" i="17" s="1"/>
  <c r="D59" i="17" s="1"/>
  <c r="B60" i="69"/>
  <c r="G60" i="69"/>
  <c r="H60" i="69"/>
  <c r="H53" i="60"/>
  <c r="E57" i="73"/>
  <c r="D57" i="73"/>
  <c r="B58" i="3"/>
  <c r="F58" i="3"/>
  <c r="D59" i="3" s="1"/>
  <c r="H51" i="78"/>
  <c r="E60" i="70"/>
  <c r="F60" i="70" s="1"/>
  <c r="B60" i="70"/>
  <c r="H53" i="63"/>
  <c r="E54" i="63"/>
  <c r="D54" i="63"/>
  <c r="D58" i="41"/>
  <c r="E58" i="41" s="1"/>
  <c r="D61" i="69"/>
  <c r="E61" i="69" s="1"/>
  <c r="G59" i="29"/>
  <c r="F54" i="64"/>
  <c r="G54" i="64" s="1"/>
  <c r="B54" i="64"/>
  <c r="H54" i="54"/>
  <c r="H49" i="89"/>
  <c r="I49" i="89" s="1"/>
  <c r="D50" i="89"/>
  <c r="E50" i="89"/>
  <c r="F51" i="88"/>
  <c r="H51" i="88" s="1"/>
  <c r="B51" i="88"/>
  <c r="H49" i="92"/>
  <c r="G53" i="60"/>
  <c r="H57" i="43"/>
  <c r="I57" i="43" s="1"/>
  <c r="D58" i="43"/>
  <c r="E58" i="43" s="1"/>
  <c r="H56" i="73"/>
  <c r="I56" i="73" s="1"/>
  <c r="B50" i="83"/>
  <c r="F50" i="83"/>
  <c r="G59" i="70"/>
  <c r="G54" i="57"/>
  <c r="I54" i="57" s="1"/>
  <c r="D55" i="57"/>
  <c r="E55" i="57"/>
  <c r="G53" i="63"/>
  <c r="H60" i="31"/>
  <c r="I60" i="31" s="1"/>
  <c r="D61" i="31"/>
  <c r="E60" i="29"/>
  <c r="F60" i="29" s="1"/>
  <c r="B60" i="29"/>
  <c r="F53" i="68"/>
  <c r="B53" i="68"/>
  <c r="G51" i="77"/>
  <c r="I51" i="77" s="1"/>
  <c r="G56" i="74"/>
  <c r="G51" i="79"/>
  <c r="G54" i="54"/>
  <c r="G49" i="92"/>
  <c r="F56" i="45"/>
  <c r="G56" i="45" s="1"/>
  <c r="B56" i="45"/>
  <c r="B58" i="19"/>
  <c r="F58" i="19"/>
  <c r="H58" i="19" s="1"/>
  <c r="B59" i="34"/>
  <c r="F59" i="34"/>
  <c r="B59" i="30"/>
  <c r="F59" i="30"/>
  <c r="D60" i="30" s="1"/>
  <c r="H58" i="32"/>
  <c r="H59" i="70"/>
  <c r="D58" i="21"/>
  <c r="E58" i="21" s="1"/>
  <c r="G57" i="41"/>
  <c r="I57" i="41" s="1"/>
  <c r="B57" i="20"/>
  <c r="F57" i="20"/>
  <c r="G57" i="20" s="1"/>
  <c r="B53" i="62"/>
  <c r="F53" i="62"/>
  <c r="H53" i="62" s="1"/>
  <c r="D59" i="18"/>
  <c r="E59" i="18" s="1"/>
  <c r="D54" i="59"/>
  <c r="E54" i="59"/>
  <c r="B50" i="26"/>
  <c r="F50" i="26"/>
  <c r="G50" i="26" s="1"/>
  <c r="F50" i="87"/>
  <c r="G50" i="87" s="1"/>
  <c r="B50" i="87"/>
  <c r="H58" i="18"/>
  <c r="F51" i="33"/>
  <c r="H51" i="33" s="1"/>
  <c r="B51" i="33"/>
  <c r="G58" i="18"/>
  <c r="I50" i="33"/>
  <c r="I129" i="25"/>
  <c r="H129" i="25"/>
  <c r="I128" i="33"/>
  <c r="H128" i="33"/>
  <c r="B130" i="25"/>
  <c r="F130" i="25"/>
  <c r="B129" i="33"/>
  <c r="F129" i="33"/>
  <c r="G57" i="101" l="1"/>
  <c r="D58" i="101"/>
  <c r="H57" i="101"/>
  <c r="I57" i="101" s="1"/>
  <c r="E49" i="102"/>
  <c r="F49" i="102" s="1"/>
  <c r="B49" i="102"/>
  <c r="H130" i="100"/>
  <c r="I130" i="100"/>
  <c r="B131" i="100"/>
  <c r="F131" i="100"/>
  <c r="I62" i="100"/>
  <c r="D63" i="100"/>
  <c r="E63" i="100" s="1"/>
  <c r="F49" i="95"/>
  <c r="D50" i="95" s="1"/>
  <c r="I53" i="66"/>
  <c r="H59" i="97"/>
  <c r="I59" i="97" s="1"/>
  <c r="D60" i="97"/>
  <c r="E60" i="97" s="1"/>
  <c r="F60" i="97" s="1"/>
  <c r="H48" i="13"/>
  <c r="I48" i="13" s="1"/>
  <c r="D49" i="13"/>
  <c r="I59" i="29"/>
  <c r="H54" i="56"/>
  <c r="I54" i="56" s="1"/>
  <c r="G56" i="99"/>
  <c r="I55" i="99"/>
  <c r="H56" i="99"/>
  <c r="I51" i="78"/>
  <c r="B50" i="98"/>
  <c r="F50" i="98"/>
  <c r="G50" i="98" s="1"/>
  <c r="E57" i="99"/>
  <c r="F57" i="99" s="1"/>
  <c r="D58" i="99" s="1"/>
  <c r="B57" i="99"/>
  <c r="I50" i="91"/>
  <c r="G130" i="26"/>
  <c r="D131" i="26"/>
  <c r="J129" i="26"/>
  <c r="I56" i="74"/>
  <c r="I50" i="84"/>
  <c r="I59" i="23"/>
  <c r="G58" i="19"/>
  <c r="I58" i="19" s="1"/>
  <c r="I59" i="70"/>
  <c r="I60" i="69"/>
  <c r="B54" i="67"/>
  <c r="F54" i="67"/>
  <c r="H54" i="67" s="1"/>
  <c r="F55" i="46"/>
  <c r="G55" i="46" s="1"/>
  <c r="B55" i="46"/>
  <c r="E59" i="24"/>
  <c r="F59" i="24" s="1"/>
  <c r="G59" i="24" s="1"/>
  <c r="B59" i="24"/>
  <c r="G50" i="25"/>
  <c r="H50" i="25"/>
  <c r="D51" i="25"/>
  <c r="B51" i="25" s="1"/>
  <c r="I57" i="22"/>
  <c r="E53" i="82"/>
  <c r="D53" i="82"/>
  <c r="B52" i="80"/>
  <c r="F52" i="80"/>
  <c r="H52" i="82"/>
  <c r="B50" i="94"/>
  <c r="F50" i="94"/>
  <c r="H50" i="94" s="1"/>
  <c r="B49" i="93"/>
  <c r="F49" i="93"/>
  <c r="G49" i="93" s="1"/>
  <c r="G52" i="82"/>
  <c r="H51" i="86"/>
  <c r="G51" i="86"/>
  <c r="D52" i="86"/>
  <c r="E52" i="86" s="1"/>
  <c r="B51" i="91"/>
  <c r="F51" i="91"/>
  <c r="H51" i="91" s="1"/>
  <c r="D58" i="42"/>
  <c r="E58" i="42" s="1"/>
  <c r="F54" i="66"/>
  <c r="G54" i="66" s="1"/>
  <c r="B54" i="66"/>
  <c r="E60" i="23"/>
  <c r="F60" i="23" s="1"/>
  <c r="B55" i="53"/>
  <c r="F55" i="53"/>
  <c r="G55" i="53" s="1"/>
  <c r="G53" i="65"/>
  <c r="E54" i="65"/>
  <c r="D54" i="65"/>
  <c r="B51" i="84"/>
  <c r="F51" i="84"/>
  <c r="G51" i="84" s="1"/>
  <c r="D53" i="75"/>
  <c r="E53" i="75"/>
  <c r="H57" i="42"/>
  <c r="H56" i="58"/>
  <c r="D57" i="58"/>
  <c r="E57" i="58"/>
  <c r="G56" i="58"/>
  <c r="H50" i="87"/>
  <c r="I50" i="87" s="1"/>
  <c r="G53" i="62"/>
  <c r="I53" i="62" s="1"/>
  <c r="H54" i="64"/>
  <c r="I54" i="64" s="1"/>
  <c r="G57" i="42"/>
  <c r="H53" i="65"/>
  <c r="B52" i="90"/>
  <c r="F52" i="90"/>
  <c r="H52" i="90" s="1"/>
  <c r="H52" i="75"/>
  <c r="I52" i="75" s="1"/>
  <c r="G56" i="55"/>
  <c r="I56" i="55" s="1"/>
  <c r="D57" i="55"/>
  <c r="E57" i="55" s="1"/>
  <c r="F52" i="76"/>
  <c r="G52" i="76" s="1"/>
  <c r="B52" i="76"/>
  <c r="I51" i="79"/>
  <c r="B60" i="27"/>
  <c r="F60" i="27"/>
  <c r="H51" i="85"/>
  <c r="D52" i="85"/>
  <c r="E52" i="85"/>
  <c r="H57" i="39"/>
  <c r="I57" i="39" s="1"/>
  <c r="B57" i="44"/>
  <c r="F57" i="44"/>
  <c r="G57" i="44" s="1"/>
  <c r="D56" i="72"/>
  <c r="E56" i="72"/>
  <c r="F54" i="61"/>
  <c r="H54" i="61" s="1"/>
  <c r="B54" i="61"/>
  <c r="B51" i="81"/>
  <c r="F51" i="81"/>
  <c r="G51" i="81" s="1"/>
  <c r="B49" i="96"/>
  <c r="F49" i="96"/>
  <c r="G49" i="96" s="1"/>
  <c r="B58" i="22"/>
  <c r="D58" i="39"/>
  <c r="E58" i="39" s="1"/>
  <c r="G59" i="30"/>
  <c r="G51" i="85"/>
  <c r="H55" i="72"/>
  <c r="I55" i="72" s="1"/>
  <c r="I53" i="61"/>
  <c r="E58" i="22"/>
  <c r="F58" i="22" s="1"/>
  <c r="D61" i="71"/>
  <c r="E61" i="71" s="1"/>
  <c r="F61" i="71" s="1"/>
  <c r="D62" i="71" s="1"/>
  <c r="G60" i="70"/>
  <c r="D61" i="70"/>
  <c r="H60" i="70"/>
  <c r="E60" i="32"/>
  <c r="F60" i="32" s="1"/>
  <c r="H60" i="32" s="1"/>
  <c r="B60" i="32"/>
  <c r="H60" i="29"/>
  <c r="D61" i="29"/>
  <c r="G60" i="29"/>
  <c r="D60" i="34"/>
  <c r="B55" i="57"/>
  <c r="F55" i="57"/>
  <c r="H55" i="57" s="1"/>
  <c r="D51" i="83"/>
  <c r="E51" i="83"/>
  <c r="E59" i="17"/>
  <c r="F59" i="17" s="1"/>
  <c r="B59" i="17"/>
  <c r="E60" i="30"/>
  <c r="F60" i="30" s="1"/>
  <c r="B60" i="30"/>
  <c r="D59" i="19"/>
  <c r="E59" i="19" s="1"/>
  <c r="H56" i="45"/>
  <c r="I56" i="45" s="1"/>
  <c r="D57" i="45"/>
  <c r="E57" i="45" s="1"/>
  <c r="B61" i="31"/>
  <c r="I49" i="92"/>
  <c r="B54" i="63"/>
  <c r="F54" i="63"/>
  <c r="G54" i="63" s="1"/>
  <c r="I53" i="60"/>
  <c r="C67" i="17"/>
  <c r="C68" i="17" s="1"/>
  <c r="B58" i="17"/>
  <c r="H58" i="17"/>
  <c r="G58" i="17"/>
  <c r="B52" i="79"/>
  <c r="F52" i="79"/>
  <c r="G52" i="79" s="1"/>
  <c r="D55" i="56"/>
  <c r="E55" i="56" s="1"/>
  <c r="B54" i="60"/>
  <c r="F54" i="60"/>
  <c r="G54" i="60" s="1"/>
  <c r="F55" i="54"/>
  <c r="G55" i="54" s="1"/>
  <c r="B55" i="54"/>
  <c r="I59" i="71"/>
  <c r="H53" i="68"/>
  <c r="D54" i="68"/>
  <c r="E54" i="68"/>
  <c r="F58" i="43"/>
  <c r="B58" i="43"/>
  <c r="B58" i="41"/>
  <c r="F58" i="41"/>
  <c r="G58" i="41" s="1"/>
  <c r="H57" i="20"/>
  <c r="I57" i="20" s="1"/>
  <c r="I58" i="32"/>
  <c r="H59" i="34"/>
  <c r="E61" i="31"/>
  <c r="F61" i="31" s="1"/>
  <c r="H61" i="31" s="1"/>
  <c r="H50" i="83"/>
  <c r="G51" i="88"/>
  <c r="I51" i="88" s="1"/>
  <c r="D52" i="88"/>
  <c r="E52" i="88"/>
  <c r="I54" i="54"/>
  <c r="B61" i="69"/>
  <c r="F61" i="69"/>
  <c r="G61" i="69" s="1"/>
  <c r="H58" i="3"/>
  <c r="F57" i="73"/>
  <c r="B57" i="73"/>
  <c r="F52" i="78"/>
  <c r="H52" i="78" s="1"/>
  <c r="B52" i="78"/>
  <c r="I61" i="28"/>
  <c r="B50" i="89"/>
  <c r="F50" i="89"/>
  <c r="G50" i="89" s="1"/>
  <c r="E59" i="3"/>
  <c r="F59" i="3" s="1"/>
  <c r="B59" i="3"/>
  <c r="B58" i="21"/>
  <c r="F58" i="21"/>
  <c r="G58" i="21" s="1"/>
  <c r="H59" i="30"/>
  <c r="G59" i="34"/>
  <c r="G53" i="68"/>
  <c r="G50" i="83"/>
  <c r="D55" i="64"/>
  <c r="E55" i="64"/>
  <c r="I53" i="63"/>
  <c r="G58" i="3"/>
  <c r="F57" i="74"/>
  <c r="G57" i="74" s="1"/>
  <c r="B57" i="74"/>
  <c r="F52" i="77"/>
  <c r="G52" i="77" s="1"/>
  <c r="B52" i="77"/>
  <c r="B59" i="32"/>
  <c r="G59" i="32"/>
  <c r="H59" i="32"/>
  <c r="B50" i="92"/>
  <c r="F50" i="92"/>
  <c r="B60" i="71"/>
  <c r="G60" i="71"/>
  <c r="H60" i="71"/>
  <c r="E62" i="28"/>
  <c r="F62" i="28" s="1"/>
  <c r="D63" i="28" s="1"/>
  <c r="B62" i="28"/>
  <c r="G51" i="33"/>
  <c r="I51" i="33" s="1"/>
  <c r="I58" i="18"/>
  <c r="D51" i="87"/>
  <c r="E51" i="87"/>
  <c r="H50" i="26"/>
  <c r="I50" i="26" s="1"/>
  <c r="D58" i="20"/>
  <c r="E58" i="20"/>
  <c r="F54" i="59"/>
  <c r="H54" i="59" s="1"/>
  <c r="B54" i="59"/>
  <c r="E54" i="62"/>
  <c r="D54" i="62"/>
  <c r="D52" i="33"/>
  <c r="E52" i="33" s="1"/>
  <c r="D51" i="26"/>
  <c r="E51" i="26" s="1"/>
  <c r="B59" i="18"/>
  <c r="F59" i="18"/>
  <c r="H59" i="18" s="1"/>
  <c r="J129" i="25"/>
  <c r="D131" i="25"/>
  <c r="E131" i="25" s="1"/>
  <c r="G130" i="25"/>
  <c r="J128" i="33"/>
  <c r="G129" i="33"/>
  <c r="D130" i="33"/>
  <c r="E130" i="33" s="1"/>
  <c r="J130" i="100" l="1"/>
  <c r="J155" i="100" s="1"/>
  <c r="H49" i="102"/>
  <c r="D50" i="102"/>
  <c r="G49" i="102"/>
  <c r="E58" i="101"/>
  <c r="F58" i="101" s="1"/>
  <c r="G58" i="101" s="1"/>
  <c r="B58" i="101"/>
  <c r="D132" i="100"/>
  <c r="G131" i="100"/>
  <c r="B63" i="100"/>
  <c r="F63" i="100"/>
  <c r="G63" i="100" s="1"/>
  <c r="H49" i="95"/>
  <c r="G49" i="95"/>
  <c r="E50" i="95"/>
  <c r="F50" i="95" s="1"/>
  <c r="G50" i="95" s="1"/>
  <c r="D61" i="97"/>
  <c r="E61" i="97" s="1"/>
  <c r="F61" i="97" s="1"/>
  <c r="B60" i="97"/>
  <c r="H60" i="97"/>
  <c r="G60" i="97"/>
  <c r="E49" i="13"/>
  <c r="F49" i="13" s="1"/>
  <c r="B49" i="13"/>
  <c r="I56" i="99"/>
  <c r="E58" i="99"/>
  <c r="F58" i="99" s="1"/>
  <c r="B58" i="99"/>
  <c r="H57" i="99"/>
  <c r="D51" i="98"/>
  <c r="E51" i="98"/>
  <c r="G57" i="99"/>
  <c r="H49" i="93"/>
  <c r="I49" i="93" s="1"/>
  <c r="H50" i="98"/>
  <c r="I50" i="98" s="1"/>
  <c r="I50" i="25"/>
  <c r="H61" i="69"/>
  <c r="I61" i="69" s="1"/>
  <c r="H55" i="53"/>
  <c r="I55" i="53" s="1"/>
  <c r="B131" i="26"/>
  <c r="E131" i="26"/>
  <c r="F131" i="26" s="1"/>
  <c r="H130" i="26"/>
  <c r="I130" i="26"/>
  <c r="I53" i="65"/>
  <c r="H51" i="84"/>
  <c r="I51" i="84" s="1"/>
  <c r="I51" i="86"/>
  <c r="G54" i="67"/>
  <c r="I54" i="67" s="1"/>
  <c r="D55" i="67"/>
  <c r="E55" i="67" s="1"/>
  <c r="H55" i="46"/>
  <c r="I55" i="46" s="1"/>
  <c r="E56" i="46"/>
  <c r="D56" i="46"/>
  <c r="H57" i="44"/>
  <c r="I57" i="44" s="1"/>
  <c r="I59" i="30"/>
  <c r="H59" i="24"/>
  <c r="I59" i="24" s="1"/>
  <c r="D60" i="24"/>
  <c r="I56" i="58"/>
  <c r="B52" i="86"/>
  <c r="F52" i="86"/>
  <c r="I52" i="82"/>
  <c r="E51" i="25"/>
  <c r="F51" i="25" s="1"/>
  <c r="I57" i="42"/>
  <c r="D53" i="80"/>
  <c r="E53" i="80"/>
  <c r="B53" i="82"/>
  <c r="F53" i="82"/>
  <c r="G53" i="82" s="1"/>
  <c r="I60" i="29"/>
  <c r="D50" i="93"/>
  <c r="E50" i="93"/>
  <c r="G50" i="94"/>
  <c r="I50" i="94" s="1"/>
  <c r="E51" i="94"/>
  <c r="D51" i="94"/>
  <c r="H52" i="80"/>
  <c r="G52" i="80"/>
  <c r="F57" i="58"/>
  <c r="G57" i="58" s="1"/>
  <c r="B57" i="58"/>
  <c r="D61" i="23"/>
  <c r="H60" i="23"/>
  <c r="G60" i="23"/>
  <c r="H57" i="74"/>
  <c r="I57" i="74" s="1"/>
  <c r="H50" i="89"/>
  <c r="I50" i="89" s="1"/>
  <c r="G55" i="57"/>
  <c r="I55" i="57" s="1"/>
  <c r="I51" i="85"/>
  <c r="B57" i="55"/>
  <c r="F57" i="55"/>
  <c r="G57" i="55" s="1"/>
  <c r="G52" i="90"/>
  <c r="I52" i="90" s="1"/>
  <c r="D53" i="90"/>
  <c r="E53" i="90"/>
  <c r="D52" i="84"/>
  <c r="E52" i="84"/>
  <c r="F58" i="42"/>
  <c r="G58" i="42" s="1"/>
  <c r="B58" i="42"/>
  <c r="H58" i="21"/>
  <c r="I58" i="21" s="1"/>
  <c r="G54" i="61"/>
  <c r="I54" i="61" s="1"/>
  <c r="B53" i="75"/>
  <c r="F53" i="75"/>
  <c r="D56" i="53"/>
  <c r="E56" i="53" s="1"/>
  <c r="G51" i="91"/>
  <c r="I51" i="91" s="1"/>
  <c r="D52" i="91"/>
  <c r="E52" i="91"/>
  <c r="F54" i="65"/>
  <c r="G54" i="65" s="1"/>
  <c r="B54" i="65"/>
  <c r="H54" i="66"/>
  <c r="I54" i="66" s="1"/>
  <c r="D55" i="66"/>
  <c r="E55" i="66"/>
  <c r="H58" i="22"/>
  <c r="D59" i="22"/>
  <c r="G58" i="22"/>
  <c r="B58" i="39"/>
  <c r="F58" i="39"/>
  <c r="H58" i="39" s="1"/>
  <c r="H51" i="81"/>
  <c r="I51" i="81" s="1"/>
  <c r="E52" i="81"/>
  <c r="D52" i="81"/>
  <c r="E58" i="44"/>
  <c r="D58" i="44"/>
  <c r="G60" i="27"/>
  <c r="D61" i="27"/>
  <c r="E61" i="27" s="1"/>
  <c r="H60" i="27"/>
  <c r="H49" i="96"/>
  <c r="I49" i="96" s="1"/>
  <c r="E50" i="96"/>
  <c r="D50" i="96"/>
  <c r="F56" i="72"/>
  <c r="H56" i="72" s="1"/>
  <c r="B56" i="72"/>
  <c r="B50" i="95"/>
  <c r="D55" i="61"/>
  <c r="E55" i="61"/>
  <c r="B52" i="85"/>
  <c r="F52" i="85"/>
  <c r="H52" i="85" s="1"/>
  <c r="H52" i="76"/>
  <c r="I52" i="76" s="1"/>
  <c r="D53" i="76"/>
  <c r="E53" i="76"/>
  <c r="I58" i="17"/>
  <c r="D60" i="3"/>
  <c r="G59" i="3"/>
  <c r="H59" i="3"/>
  <c r="D60" i="17"/>
  <c r="G59" i="17"/>
  <c r="H59" i="17"/>
  <c r="H60" i="30"/>
  <c r="D61" i="30"/>
  <c r="G60" i="30"/>
  <c r="H50" i="92"/>
  <c r="E51" i="92"/>
  <c r="D51" i="92"/>
  <c r="D58" i="73"/>
  <c r="E58" i="73" s="1"/>
  <c r="H57" i="73"/>
  <c r="G57" i="73"/>
  <c r="B60" i="34"/>
  <c r="G62" i="28"/>
  <c r="G50" i="92"/>
  <c r="H52" i="77"/>
  <c r="I52" i="77" s="1"/>
  <c r="E53" i="77"/>
  <c r="D53" i="77"/>
  <c r="E58" i="74"/>
  <c r="D58" i="74"/>
  <c r="D59" i="21"/>
  <c r="E59" i="21" s="1"/>
  <c r="I58" i="3"/>
  <c r="D62" i="69"/>
  <c r="E62" i="69" s="1"/>
  <c r="F62" i="69" s="1"/>
  <c r="I50" i="83"/>
  <c r="D56" i="54"/>
  <c r="E56" i="54" s="1"/>
  <c r="F55" i="56"/>
  <c r="G55" i="56" s="1"/>
  <c r="B55" i="56"/>
  <c r="H54" i="63"/>
  <c r="I54" i="63" s="1"/>
  <c r="E60" i="34"/>
  <c r="F60" i="34" s="1"/>
  <c r="E62" i="71"/>
  <c r="F62" i="71" s="1"/>
  <c r="B62" i="71"/>
  <c r="E63" i="28"/>
  <c r="F63" i="28" s="1"/>
  <c r="B63" i="28"/>
  <c r="H58" i="43"/>
  <c r="D59" i="43"/>
  <c r="D62" i="31"/>
  <c r="B61" i="29"/>
  <c r="G54" i="59"/>
  <c r="I54" i="59" s="1"/>
  <c r="H62" i="28"/>
  <c r="I60" i="71"/>
  <c r="B55" i="64"/>
  <c r="F55" i="64"/>
  <c r="G55" i="64" s="1"/>
  <c r="E51" i="89"/>
  <c r="D51" i="89"/>
  <c r="G52" i="78"/>
  <c r="I52" i="78" s="1"/>
  <c r="D53" i="78"/>
  <c r="E53" i="78"/>
  <c r="G58" i="43"/>
  <c r="B54" i="68"/>
  <c r="F54" i="68"/>
  <c r="G54" i="68" s="1"/>
  <c r="H55" i="54"/>
  <c r="I55" i="54" s="1"/>
  <c r="B59" i="19"/>
  <c r="F59" i="19"/>
  <c r="H59" i="19" s="1"/>
  <c r="D56" i="57"/>
  <c r="E56" i="57" s="1"/>
  <c r="I60" i="70"/>
  <c r="B61" i="71"/>
  <c r="H61" i="71"/>
  <c r="G61" i="71"/>
  <c r="B52" i="88"/>
  <c r="F52" i="88"/>
  <c r="G52" i="88" s="1"/>
  <c r="I59" i="32"/>
  <c r="I59" i="34"/>
  <c r="H58" i="41"/>
  <c r="I58" i="41" s="1"/>
  <c r="D59" i="41"/>
  <c r="E59" i="41" s="1"/>
  <c r="I53" i="68"/>
  <c r="H54" i="60"/>
  <c r="I54" i="60" s="1"/>
  <c r="D55" i="60"/>
  <c r="E55" i="60" s="1"/>
  <c r="H52" i="79"/>
  <c r="I52" i="79" s="1"/>
  <c r="D53" i="79"/>
  <c r="E53" i="79"/>
  <c r="D55" i="63"/>
  <c r="E55" i="63"/>
  <c r="G61" i="31"/>
  <c r="I61" i="31" s="1"/>
  <c r="B57" i="45"/>
  <c r="F57" i="45"/>
  <c r="G57" i="45" s="1"/>
  <c r="B51" i="83"/>
  <c r="F51" i="83"/>
  <c r="E61" i="29"/>
  <c r="F61" i="29" s="1"/>
  <c r="D62" i="29" s="1"/>
  <c r="G60" i="32"/>
  <c r="I60" i="32" s="1"/>
  <c r="D61" i="32"/>
  <c r="E61" i="70"/>
  <c r="F61" i="70" s="1"/>
  <c r="B61" i="70"/>
  <c r="B51" i="26"/>
  <c r="F51" i="26"/>
  <c r="G51" i="26" s="1"/>
  <c r="B58" i="20"/>
  <c r="F58" i="20"/>
  <c r="G58" i="20" s="1"/>
  <c r="D60" i="18"/>
  <c r="E60" i="18" s="1"/>
  <c r="B51" i="87"/>
  <c r="F51" i="87"/>
  <c r="G51" i="87" s="1"/>
  <c r="G59" i="18"/>
  <c r="I59" i="18" s="1"/>
  <c r="B52" i="33"/>
  <c r="F52" i="33"/>
  <c r="H52" i="33" s="1"/>
  <c r="F54" i="62"/>
  <c r="G54" i="62" s="1"/>
  <c r="B54" i="62"/>
  <c r="E55" i="59"/>
  <c r="D55" i="59"/>
  <c r="F130" i="33"/>
  <c r="B130" i="33"/>
  <c r="I130" i="25"/>
  <c r="H130" i="25"/>
  <c r="I129" i="33"/>
  <c r="H129" i="33"/>
  <c r="F131" i="25"/>
  <c r="B131" i="25"/>
  <c r="H58" i="101" l="1"/>
  <c r="I58" i="101" s="1"/>
  <c r="D59" i="101"/>
  <c r="H63" i="100"/>
  <c r="I63" i="100" s="1"/>
  <c r="E50" i="102"/>
  <c r="F50" i="102" s="1"/>
  <c r="B50" i="102"/>
  <c r="I49" i="102"/>
  <c r="B132" i="100"/>
  <c r="E132" i="100"/>
  <c r="F132" i="100" s="1"/>
  <c r="H131" i="100"/>
  <c r="I131" i="100"/>
  <c r="D64" i="100"/>
  <c r="I49" i="95"/>
  <c r="I60" i="97"/>
  <c r="G61" i="97"/>
  <c r="D62" i="97"/>
  <c r="B61" i="97"/>
  <c r="H61" i="97"/>
  <c r="G49" i="13"/>
  <c r="H49" i="13"/>
  <c r="D50" i="13"/>
  <c r="J130" i="26"/>
  <c r="D59" i="99"/>
  <c r="G58" i="99"/>
  <c r="H58" i="99"/>
  <c r="F51" i="98"/>
  <c r="B51" i="98"/>
  <c r="I57" i="99"/>
  <c r="G131" i="26"/>
  <c r="D132" i="26"/>
  <c r="I58" i="43"/>
  <c r="B55" i="67"/>
  <c r="F55" i="67"/>
  <c r="H55" i="67" s="1"/>
  <c r="F56" i="46"/>
  <c r="G56" i="46" s="1"/>
  <c r="B56" i="46"/>
  <c r="E60" i="24"/>
  <c r="F60" i="24" s="1"/>
  <c r="G60" i="24" s="1"/>
  <c r="B60" i="24"/>
  <c r="G52" i="33"/>
  <c r="I52" i="33" s="1"/>
  <c r="G58" i="39"/>
  <c r="I58" i="39" s="1"/>
  <c r="B53" i="80"/>
  <c r="F53" i="80"/>
  <c r="G53" i="80" s="1"/>
  <c r="I60" i="23"/>
  <c r="I52" i="80"/>
  <c r="H53" i="82"/>
  <c r="I53" i="82" s="1"/>
  <c r="E54" i="82"/>
  <c r="D54" i="82"/>
  <c r="B51" i="94"/>
  <c r="F51" i="94"/>
  <c r="H51" i="94" s="1"/>
  <c r="B50" i="93"/>
  <c r="F50" i="93"/>
  <c r="G50" i="93" s="1"/>
  <c r="G52" i="86"/>
  <c r="D53" i="86"/>
  <c r="E53" i="86" s="1"/>
  <c r="H52" i="86"/>
  <c r="D52" i="25"/>
  <c r="G51" i="25"/>
  <c r="H51" i="25"/>
  <c r="B52" i="84"/>
  <c r="F52" i="84"/>
  <c r="H52" i="84" s="1"/>
  <c r="G56" i="72"/>
  <c r="I56" i="72" s="1"/>
  <c r="B56" i="53"/>
  <c r="F56" i="53"/>
  <c r="H57" i="55"/>
  <c r="I57" i="55" s="1"/>
  <c r="D58" i="55"/>
  <c r="E58" i="55" s="1"/>
  <c r="E61" i="23"/>
  <c r="F61" i="23" s="1"/>
  <c r="H61" i="23" s="1"/>
  <c r="B61" i="23"/>
  <c r="H57" i="58"/>
  <c r="I57" i="58" s="1"/>
  <c r="D58" i="58"/>
  <c r="E58" i="58"/>
  <c r="D55" i="65"/>
  <c r="E55" i="65"/>
  <c r="H54" i="65"/>
  <c r="I54" i="65" s="1"/>
  <c r="H58" i="42"/>
  <c r="I58" i="42" s="1"/>
  <c r="D59" i="42"/>
  <c r="E59" i="42" s="1"/>
  <c r="F59" i="42" s="1"/>
  <c r="B53" i="90"/>
  <c r="F53" i="90"/>
  <c r="G53" i="75"/>
  <c r="E54" i="75"/>
  <c r="D54" i="75"/>
  <c r="I58" i="22"/>
  <c r="B55" i="66"/>
  <c r="F55" i="66"/>
  <c r="G55" i="66" s="1"/>
  <c r="F52" i="91"/>
  <c r="B52" i="91"/>
  <c r="H53" i="75"/>
  <c r="H62" i="71"/>
  <c r="G62" i="71"/>
  <c r="H54" i="68"/>
  <c r="I54" i="68" s="1"/>
  <c r="F50" i="96"/>
  <c r="G50" i="96" s="1"/>
  <c r="B50" i="96"/>
  <c r="F58" i="44"/>
  <c r="H58" i="44" s="1"/>
  <c r="B58" i="44"/>
  <c r="H58" i="20"/>
  <c r="I58" i="20" s="1"/>
  <c r="H55" i="64"/>
  <c r="I55" i="64" s="1"/>
  <c r="H61" i="29"/>
  <c r="F53" i="76"/>
  <c r="H53" i="76" s="1"/>
  <c r="B53" i="76"/>
  <c r="G52" i="85"/>
  <c r="I52" i="85" s="1"/>
  <c r="D53" i="85"/>
  <c r="E53" i="85"/>
  <c r="F55" i="61"/>
  <c r="G55" i="61" s="1"/>
  <c r="B55" i="61"/>
  <c r="I60" i="27"/>
  <c r="B52" i="81"/>
  <c r="F52" i="81"/>
  <c r="H52" i="81" s="1"/>
  <c r="E59" i="22"/>
  <c r="F59" i="22" s="1"/>
  <c r="H59" i="22" s="1"/>
  <c r="B59" i="22"/>
  <c r="H50" i="95"/>
  <c r="I50" i="95" s="1"/>
  <c r="D51" i="95"/>
  <c r="E51" i="95"/>
  <c r="D57" i="72"/>
  <c r="E57" i="72" s="1"/>
  <c r="F61" i="27"/>
  <c r="G61" i="27" s="1"/>
  <c r="B61" i="27"/>
  <c r="D59" i="39"/>
  <c r="I50" i="92"/>
  <c r="I60" i="30"/>
  <c r="I59" i="17"/>
  <c r="I59" i="3"/>
  <c r="I62" i="28"/>
  <c r="G60" i="34"/>
  <c r="D61" i="34"/>
  <c r="E61" i="34" s="1"/>
  <c r="H60" i="34"/>
  <c r="H61" i="70"/>
  <c r="D62" i="70"/>
  <c r="G61" i="70"/>
  <c r="D52" i="83"/>
  <c r="E52" i="83"/>
  <c r="B62" i="31"/>
  <c r="B59" i="21"/>
  <c r="F59" i="21"/>
  <c r="G59" i="21" s="1"/>
  <c r="B61" i="30"/>
  <c r="E61" i="32"/>
  <c r="F61" i="32" s="1"/>
  <c r="B61" i="32"/>
  <c r="H57" i="45"/>
  <c r="I57" i="45" s="1"/>
  <c r="D58" i="45"/>
  <c r="E58" i="45"/>
  <c r="F55" i="63"/>
  <c r="G55" i="63" s="1"/>
  <c r="B55" i="63"/>
  <c r="B53" i="78"/>
  <c r="F53" i="78"/>
  <c r="G53" i="78" s="1"/>
  <c r="G61" i="29"/>
  <c r="B59" i="43"/>
  <c r="G63" i="28"/>
  <c r="D64" i="28"/>
  <c r="F58" i="74"/>
  <c r="G58" i="74" s="1"/>
  <c r="B58" i="74"/>
  <c r="I57" i="73"/>
  <c r="G51" i="83"/>
  <c r="B55" i="60"/>
  <c r="F55" i="60"/>
  <c r="G55" i="60" s="1"/>
  <c r="B59" i="41"/>
  <c r="F59" i="41"/>
  <c r="H59" i="41" s="1"/>
  <c r="H52" i="88"/>
  <c r="I52" i="88" s="1"/>
  <c r="D53" i="88"/>
  <c r="E53" i="88"/>
  <c r="B56" i="57"/>
  <c r="F56" i="57"/>
  <c r="G56" i="57" s="1"/>
  <c r="D60" i="19"/>
  <c r="E60" i="19" s="1"/>
  <c r="D56" i="64"/>
  <c r="E56" i="64"/>
  <c r="E59" i="43"/>
  <c r="F59" i="43" s="1"/>
  <c r="D56" i="56"/>
  <c r="E56" i="56" s="1"/>
  <c r="D63" i="69"/>
  <c r="E63" i="69" s="1"/>
  <c r="F58" i="73"/>
  <c r="D59" i="73" s="1"/>
  <c r="E59" i="73" s="1"/>
  <c r="B58" i="73"/>
  <c r="F51" i="92"/>
  <c r="G51" i="92" s="1"/>
  <c r="B51" i="92"/>
  <c r="E60" i="17"/>
  <c r="F60" i="17" s="1"/>
  <c r="C69" i="17"/>
  <c r="B60" i="17"/>
  <c r="F56" i="54"/>
  <c r="B56" i="54"/>
  <c r="E62" i="29"/>
  <c r="F62" i="29" s="1"/>
  <c r="D63" i="29" s="1"/>
  <c r="B62" i="29"/>
  <c r="H51" i="83"/>
  <c r="B53" i="79"/>
  <c r="F53" i="79"/>
  <c r="H53" i="79" s="1"/>
  <c r="I61" i="71"/>
  <c r="G59" i="19"/>
  <c r="I59" i="19" s="1"/>
  <c r="D55" i="68"/>
  <c r="E55" i="68"/>
  <c r="B51" i="89"/>
  <c r="F51" i="89"/>
  <c r="E62" i="31"/>
  <c r="F62" i="31" s="1"/>
  <c r="G62" i="31" s="1"/>
  <c r="H63" i="28"/>
  <c r="D63" i="71"/>
  <c r="E63" i="71" s="1"/>
  <c r="H55" i="56"/>
  <c r="I55" i="56" s="1"/>
  <c r="B62" i="69"/>
  <c r="G62" i="69"/>
  <c r="H62" i="69"/>
  <c r="B53" i="77"/>
  <c r="F53" i="77"/>
  <c r="H53" i="77" s="1"/>
  <c r="E61" i="30"/>
  <c r="F61" i="30" s="1"/>
  <c r="E60" i="3"/>
  <c r="F60" i="3" s="1"/>
  <c r="B60" i="3"/>
  <c r="D52" i="26"/>
  <c r="H54" i="62"/>
  <c r="I54" i="62" s="1"/>
  <c r="F55" i="59"/>
  <c r="H55" i="59" s="1"/>
  <c r="B55" i="59"/>
  <c r="B60" i="18"/>
  <c r="F60" i="18"/>
  <c r="G60" i="18" s="1"/>
  <c r="D59" i="20"/>
  <c r="H51" i="26"/>
  <c r="I51" i="26" s="1"/>
  <c r="D55" i="62"/>
  <c r="E55" i="62" s="1"/>
  <c r="D52" i="87"/>
  <c r="E52" i="87"/>
  <c r="D53" i="33"/>
  <c r="E53" i="33" s="1"/>
  <c r="H51" i="87"/>
  <c r="I51" i="87" s="1"/>
  <c r="J129" i="33"/>
  <c r="G130" i="33"/>
  <c r="D131" i="33"/>
  <c r="E131" i="33" s="1"/>
  <c r="G131" i="25"/>
  <c r="D132" i="25"/>
  <c r="J130" i="25"/>
  <c r="G50" i="102" l="1"/>
  <c r="D51" i="102"/>
  <c r="E51" i="102" s="1"/>
  <c r="H50" i="102"/>
  <c r="I50" i="102" s="1"/>
  <c r="E59" i="101"/>
  <c r="F59" i="101" s="1"/>
  <c r="B59" i="101"/>
  <c r="D133" i="100"/>
  <c r="E133" i="100" s="1"/>
  <c r="G132" i="100"/>
  <c r="B64" i="100"/>
  <c r="E64" i="100"/>
  <c r="F64" i="100" s="1"/>
  <c r="I61" i="97"/>
  <c r="E62" i="97"/>
  <c r="F62" i="97" s="1"/>
  <c r="G62" i="97" s="1"/>
  <c r="B62" i="97"/>
  <c r="I49" i="13"/>
  <c r="B50" i="13"/>
  <c r="E50" i="13"/>
  <c r="F50" i="13" s="1"/>
  <c r="F59" i="73"/>
  <c r="H59" i="73" s="1"/>
  <c r="B59" i="73"/>
  <c r="H51" i="92"/>
  <c r="I51" i="92" s="1"/>
  <c r="I58" i="99"/>
  <c r="I62" i="71"/>
  <c r="D52" i="98"/>
  <c r="E52" i="98"/>
  <c r="H51" i="98"/>
  <c r="G51" i="98"/>
  <c r="E59" i="99"/>
  <c r="F59" i="99" s="1"/>
  <c r="B59" i="99"/>
  <c r="H50" i="93"/>
  <c r="I50" i="93" s="1"/>
  <c r="B132" i="26"/>
  <c r="E132" i="26"/>
  <c r="F132" i="26" s="1"/>
  <c r="I131" i="26"/>
  <c r="H131" i="26"/>
  <c r="H53" i="80"/>
  <c r="I53" i="80" s="1"/>
  <c r="I53" i="75"/>
  <c r="I61" i="29"/>
  <c r="I63" i="28"/>
  <c r="I51" i="83"/>
  <c r="G55" i="67"/>
  <c r="I55" i="67" s="1"/>
  <c r="D56" i="67"/>
  <c r="E56" i="67"/>
  <c r="H56" i="46"/>
  <c r="I56" i="46" s="1"/>
  <c r="D57" i="46"/>
  <c r="E57" i="46" s="1"/>
  <c r="H60" i="24"/>
  <c r="I60" i="24" s="1"/>
  <c r="D61" i="24"/>
  <c r="E52" i="25"/>
  <c r="F52" i="25" s="1"/>
  <c r="G52" i="25" s="1"/>
  <c r="B52" i="25"/>
  <c r="B54" i="82"/>
  <c r="F54" i="82"/>
  <c r="G54" i="82" s="1"/>
  <c r="G53" i="79"/>
  <c r="I53" i="79" s="1"/>
  <c r="I51" i="25"/>
  <c r="I52" i="86"/>
  <c r="E51" i="93"/>
  <c r="D51" i="93"/>
  <c r="G51" i="94"/>
  <c r="I51" i="94" s="1"/>
  <c r="E52" i="94"/>
  <c r="D52" i="94"/>
  <c r="E54" i="80"/>
  <c r="D54" i="80"/>
  <c r="H55" i="61"/>
  <c r="I55" i="61" s="1"/>
  <c r="B53" i="86"/>
  <c r="F53" i="86"/>
  <c r="G53" i="86" s="1"/>
  <c r="D60" i="42"/>
  <c r="E60" i="42" s="1"/>
  <c r="F60" i="42" s="1"/>
  <c r="H56" i="53"/>
  <c r="D57" i="53"/>
  <c r="E57" i="53"/>
  <c r="G52" i="91"/>
  <c r="E53" i="91"/>
  <c r="D53" i="91"/>
  <c r="D56" i="66"/>
  <c r="E56" i="66"/>
  <c r="F54" i="75"/>
  <c r="G54" i="75" s="1"/>
  <c r="B54" i="75"/>
  <c r="B59" i="42"/>
  <c r="G59" i="42"/>
  <c r="H59" i="42"/>
  <c r="E54" i="90"/>
  <c r="D54" i="90"/>
  <c r="D53" i="84"/>
  <c r="E53" i="84"/>
  <c r="I62" i="69"/>
  <c r="H52" i="91"/>
  <c r="G53" i="90"/>
  <c r="G61" i="23"/>
  <c r="I61" i="23" s="1"/>
  <c r="D62" i="23"/>
  <c r="B58" i="55"/>
  <c r="F58" i="55"/>
  <c r="D59" i="55" s="1"/>
  <c r="H55" i="66"/>
  <c r="I55" i="66" s="1"/>
  <c r="H53" i="90"/>
  <c r="F55" i="65"/>
  <c r="G55" i="65" s="1"/>
  <c r="B55" i="65"/>
  <c r="B58" i="58"/>
  <c r="F58" i="58"/>
  <c r="G58" i="58" s="1"/>
  <c r="G56" i="53"/>
  <c r="G52" i="84"/>
  <c r="I52" i="84" s="1"/>
  <c r="B59" i="39"/>
  <c r="G59" i="22"/>
  <c r="I59" i="22" s="1"/>
  <c r="D59" i="44"/>
  <c r="E59" i="44" s="1"/>
  <c r="H62" i="31"/>
  <c r="I62" i="31" s="1"/>
  <c r="F57" i="72"/>
  <c r="H57" i="72" s="1"/>
  <c r="B57" i="72"/>
  <c r="G52" i="81"/>
  <c r="I52" i="81" s="1"/>
  <c r="D53" i="81"/>
  <c r="E53" i="81"/>
  <c r="F51" i="95"/>
  <c r="H51" i="95" s="1"/>
  <c r="B51" i="95"/>
  <c r="D60" i="22"/>
  <c r="E60" i="22" s="1"/>
  <c r="F60" i="22" s="1"/>
  <c r="D54" i="76"/>
  <c r="E54" i="76"/>
  <c r="G58" i="73"/>
  <c r="E59" i="39"/>
  <c r="F59" i="39" s="1"/>
  <c r="D60" i="39" s="1"/>
  <c r="H61" i="27"/>
  <c r="I61" i="27" s="1"/>
  <c r="D62" i="27"/>
  <c r="D56" i="61"/>
  <c r="E56" i="61" s="1"/>
  <c r="F53" i="85"/>
  <c r="G53" i="85" s="1"/>
  <c r="B53" i="85"/>
  <c r="G53" i="76"/>
  <c r="I53" i="76" s="1"/>
  <c r="G58" i="44"/>
  <c r="I58" i="44" s="1"/>
  <c r="H50" i="96"/>
  <c r="I50" i="96" s="1"/>
  <c r="D51" i="96"/>
  <c r="E51" i="96"/>
  <c r="I60" i="34"/>
  <c r="G59" i="43"/>
  <c r="D60" i="43"/>
  <c r="E60" i="43" s="1"/>
  <c r="F60" i="43" s="1"/>
  <c r="H59" i="43"/>
  <c r="H60" i="3"/>
  <c r="D61" i="3"/>
  <c r="E61" i="3" s="1"/>
  <c r="F61" i="3" s="1"/>
  <c r="G60" i="3"/>
  <c r="D61" i="17"/>
  <c r="G60" i="17"/>
  <c r="H60" i="17"/>
  <c r="G61" i="32"/>
  <c r="D62" i="32"/>
  <c r="H61" i="32"/>
  <c r="H56" i="54"/>
  <c r="D57" i="54"/>
  <c r="E57" i="54" s="1"/>
  <c r="H60" i="18"/>
  <c r="I60" i="18" s="1"/>
  <c r="D62" i="30"/>
  <c r="E62" i="30" s="1"/>
  <c r="F55" i="68"/>
  <c r="B55" i="68"/>
  <c r="E63" i="29"/>
  <c r="F63" i="29" s="1"/>
  <c r="B63" i="29"/>
  <c r="B63" i="69"/>
  <c r="F63" i="69"/>
  <c r="G63" i="69" s="1"/>
  <c r="E57" i="57"/>
  <c r="D57" i="57"/>
  <c r="B53" i="88"/>
  <c r="F53" i="88"/>
  <c r="D56" i="63"/>
  <c r="E56" i="63"/>
  <c r="F52" i="83"/>
  <c r="H52" i="83" s="1"/>
  <c r="B52" i="83"/>
  <c r="D52" i="89"/>
  <c r="E52" i="89"/>
  <c r="H58" i="74"/>
  <c r="I58" i="74" s="1"/>
  <c r="D59" i="74"/>
  <c r="E59" i="74" s="1"/>
  <c r="F59" i="74" s="1"/>
  <c r="B62" i="70"/>
  <c r="D63" i="31"/>
  <c r="E63" i="31" s="1"/>
  <c r="H51" i="89"/>
  <c r="E54" i="79"/>
  <c r="D54" i="79"/>
  <c r="G62" i="29"/>
  <c r="G56" i="54"/>
  <c r="B56" i="56"/>
  <c r="F56" i="56"/>
  <c r="B56" i="64"/>
  <c r="F56" i="64"/>
  <c r="B60" i="19"/>
  <c r="F60" i="19"/>
  <c r="H60" i="19" s="1"/>
  <c r="H55" i="60"/>
  <c r="I55" i="60" s="1"/>
  <c r="D56" i="60"/>
  <c r="E56" i="60"/>
  <c r="H55" i="63"/>
  <c r="I55" i="63" s="1"/>
  <c r="H61" i="30"/>
  <c r="H59" i="21"/>
  <c r="I59" i="21" s="1"/>
  <c r="D60" i="21"/>
  <c r="I61" i="70"/>
  <c r="F61" i="34"/>
  <c r="H61" i="34" s="1"/>
  <c r="B61" i="34"/>
  <c r="B64" i="28"/>
  <c r="D54" i="78"/>
  <c r="E54" i="78"/>
  <c r="G53" i="77"/>
  <c r="I53" i="77" s="1"/>
  <c r="E54" i="77"/>
  <c r="D54" i="77"/>
  <c r="B63" i="71"/>
  <c r="F63" i="71"/>
  <c r="G63" i="71" s="1"/>
  <c r="G51" i="89"/>
  <c r="H62" i="29"/>
  <c r="D52" i="92"/>
  <c r="E52" i="92"/>
  <c r="H58" i="73"/>
  <c r="H56" i="57"/>
  <c r="I56" i="57" s="1"/>
  <c r="G59" i="41"/>
  <c r="I59" i="41" s="1"/>
  <c r="D60" i="41"/>
  <c r="E60" i="41" s="1"/>
  <c r="E64" i="28"/>
  <c r="F64" i="28" s="1"/>
  <c r="D65" i="28" s="1"/>
  <c r="H53" i="78"/>
  <c r="I53" i="78" s="1"/>
  <c r="F58" i="45"/>
  <c r="H58" i="45" s="1"/>
  <c r="B58" i="45"/>
  <c r="G61" i="30"/>
  <c r="E62" i="70"/>
  <c r="F62" i="70" s="1"/>
  <c r="B59" i="20"/>
  <c r="B52" i="26"/>
  <c r="B52" i="87"/>
  <c r="F52" i="87"/>
  <c r="G52" i="87" s="1"/>
  <c r="E59" i="20"/>
  <c r="F59" i="20" s="1"/>
  <c r="G55" i="59"/>
  <c r="I55" i="59" s="1"/>
  <c r="F53" i="33"/>
  <c r="G53" i="33" s="1"/>
  <c r="B53" i="33"/>
  <c r="D61" i="18"/>
  <c r="E61" i="18" s="1"/>
  <c r="F55" i="62"/>
  <c r="G55" i="62" s="1"/>
  <c r="B55" i="62"/>
  <c r="D56" i="59"/>
  <c r="E56" i="59" s="1"/>
  <c r="E52" i="26"/>
  <c r="F52" i="26" s="1"/>
  <c r="I131" i="25"/>
  <c r="H131" i="25"/>
  <c r="I130" i="33"/>
  <c r="H130" i="33"/>
  <c r="B132" i="25"/>
  <c r="E132" i="25"/>
  <c r="F132" i="25" s="1"/>
  <c r="B131" i="33"/>
  <c r="F131" i="33"/>
  <c r="G59" i="101" l="1"/>
  <c r="D60" i="101"/>
  <c r="H59" i="101"/>
  <c r="G64" i="100"/>
  <c r="H64" i="100"/>
  <c r="B51" i="102"/>
  <c r="F51" i="102"/>
  <c r="H51" i="102" s="1"/>
  <c r="I132" i="100"/>
  <c r="H132" i="100"/>
  <c r="B133" i="100"/>
  <c r="F133" i="100"/>
  <c r="D65" i="100"/>
  <c r="E65" i="100"/>
  <c r="G59" i="73"/>
  <c r="I59" i="73" s="1"/>
  <c r="H62" i="97"/>
  <c r="I62" i="97" s="1"/>
  <c r="D63" i="97"/>
  <c r="G50" i="13"/>
  <c r="D51" i="13"/>
  <c r="H50" i="13"/>
  <c r="D60" i="73"/>
  <c r="E60" i="73" s="1"/>
  <c r="F60" i="73" s="1"/>
  <c r="H60" i="73" s="1"/>
  <c r="I58" i="73"/>
  <c r="I51" i="98"/>
  <c r="D60" i="99"/>
  <c r="G59" i="99"/>
  <c r="H59" i="99"/>
  <c r="F52" i="98"/>
  <c r="H52" i="98" s="1"/>
  <c r="B52" i="98"/>
  <c r="J131" i="26"/>
  <c r="D133" i="26"/>
  <c r="G132" i="26"/>
  <c r="I52" i="91"/>
  <c r="I56" i="53"/>
  <c r="F56" i="67"/>
  <c r="G56" i="67" s="1"/>
  <c r="B56" i="67"/>
  <c r="G58" i="55"/>
  <c r="H58" i="55"/>
  <c r="B57" i="46"/>
  <c r="F57" i="46"/>
  <c r="H57" i="46" s="1"/>
  <c r="E61" i="24"/>
  <c r="F61" i="24" s="1"/>
  <c r="G61" i="24" s="1"/>
  <c r="B61" i="24"/>
  <c r="D54" i="86"/>
  <c r="E54" i="86" s="1"/>
  <c r="H53" i="86"/>
  <c r="I53" i="86" s="1"/>
  <c r="B51" i="93"/>
  <c r="F51" i="93"/>
  <c r="G51" i="93" s="1"/>
  <c r="D55" i="82"/>
  <c r="E55" i="82" s="1"/>
  <c r="B52" i="94"/>
  <c r="F52" i="94"/>
  <c r="H52" i="94" s="1"/>
  <c r="H52" i="25"/>
  <c r="I52" i="25" s="1"/>
  <c r="D53" i="25"/>
  <c r="F54" i="80"/>
  <c r="B54" i="80"/>
  <c r="H63" i="69"/>
  <c r="I63" i="69" s="1"/>
  <c r="H54" i="82"/>
  <c r="I54" i="82" s="1"/>
  <c r="D61" i="42"/>
  <c r="E61" i="42" s="1"/>
  <c r="F61" i="42" s="1"/>
  <c r="B57" i="53"/>
  <c r="F57" i="53"/>
  <c r="G57" i="53" s="1"/>
  <c r="B62" i="23"/>
  <c r="B54" i="90"/>
  <c r="F54" i="90"/>
  <c r="H54" i="90" s="1"/>
  <c r="D55" i="75"/>
  <c r="E55" i="75"/>
  <c r="G51" i="95"/>
  <c r="I51" i="95" s="1"/>
  <c r="H58" i="58"/>
  <c r="I58" i="58" s="1"/>
  <c r="D59" i="58"/>
  <c r="E59" i="58" s="1"/>
  <c r="H55" i="65"/>
  <c r="I55" i="65" s="1"/>
  <c r="D56" i="65"/>
  <c r="E56" i="65" s="1"/>
  <c r="E59" i="55"/>
  <c r="F59" i="55" s="1"/>
  <c r="D60" i="55" s="1"/>
  <c r="B59" i="55"/>
  <c r="E62" i="23"/>
  <c r="F62" i="23" s="1"/>
  <c r="D63" i="23" s="1"/>
  <c r="H54" i="75"/>
  <c r="I54" i="75" s="1"/>
  <c r="F53" i="84"/>
  <c r="G53" i="84" s="1"/>
  <c r="B53" i="84"/>
  <c r="F53" i="91"/>
  <c r="B53" i="91"/>
  <c r="I51" i="89"/>
  <c r="I59" i="43"/>
  <c r="I53" i="90"/>
  <c r="I59" i="42"/>
  <c r="F56" i="66"/>
  <c r="H56" i="66" s="1"/>
  <c r="B56" i="66"/>
  <c r="B60" i="42"/>
  <c r="G60" i="42"/>
  <c r="H60" i="42"/>
  <c r="D61" i="22"/>
  <c r="E61" i="22" s="1"/>
  <c r="F61" i="22" s="1"/>
  <c r="H63" i="71"/>
  <c r="I63" i="71" s="1"/>
  <c r="H53" i="85"/>
  <c r="I53" i="85" s="1"/>
  <c r="D54" i="85"/>
  <c r="E54" i="85"/>
  <c r="E60" i="39"/>
  <c r="F60" i="39" s="1"/>
  <c r="G60" i="39" s="1"/>
  <c r="B60" i="39"/>
  <c r="B54" i="76"/>
  <c r="F54" i="76"/>
  <c r="G54" i="76" s="1"/>
  <c r="G57" i="72"/>
  <c r="I57" i="72" s="1"/>
  <c r="D58" i="72"/>
  <c r="E58" i="72" s="1"/>
  <c r="H59" i="39"/>
  <c r="G59" i="39"/>
  <c r="B53" i="81"/>
  <c r="F53" i="81"/>
  <c r="G53" i="81" s="1"/>
  <c r="F51" i="96"/>
  <c r="B51" i="96"/>
  <c r="B56" i="61"/>
  <c r="F56" i="61"/>
  <c r="H56" i="61" s="1"/>
  <c r="B62" i="27"/>
  <c r="E62" i="27"/>
  <c r="F62" i="27" s="1"/>
  <c r="B60" i="22"/>
  <c r="G60" i="22"/>
  <c r="H60" i="22"/>
  <c r="E52" i="95"/>
  <c r="D52" i="95"/>
  <c r="B59" i="44"/>
  <c r="F59" i="44"/>
  <c r="G59" i="44" s="1"/>
  <c r="I60" i="3"/>
  <c r="I62" i="29"/>
  <c r="I56" i="54"/>
  <c r="D64" i="29"/>
  <c r="G63" i="29"/>
  <c r="H63" i="29"/>
  <c r="D61" i="43"/>
  <c r="E61" i="43" s="1"/>
  <c r="D63" i="70"/>
  <c r="E63" i="70" s="1"/>
  <c r="H62" i="70"/>
  <c r="G62" i="70"/>
  <c r="D60" i="74"/>
  <c r="E60" i="74" s="1"/>
  <c r="F60" i="74" s="1"/>
  <c r="B60" i="21"/>
  <c r="D57" i="56"/>
  <c r="E57" i="56" s="1"/>
  <c r="F56" i="63"/>
  <c r="G56" i="63" s="1"/>
  <c r="B56" i="63"/>
  <c r="D62" i="3"/>
  <c r="E62" i="3" s="1"/>
  <c r="F62" i="3" s="1"/>
  <c r="H64" i="28"/>
  <c r="D62" i="34"/>
  <c r="G61" i="34"/>
  <c r="I61" i="34" s="1"/>
  <c r="E60" i="21"/>
  <c r="F60" i="21" s="1"/>
  <c r="F56" i="60"/>
  <c r="G56" i="60" s="1"/>
  <c r="B56" i="60"/>
  <c r="B57" i="54"/>
  <c r="F57" i="54"/>
  <c r="G57" i="54" s="1"/>
  <c r="B61" i="3"/>
  <c r="H61" i="3"/>
  <c r="G61" i="3"/>
  <c r="F54" i="78"/>
  <c r="H54" i="78" s="1"/>
  <c r="B54" i="78"/>
  <c r="D61" i="19"/>
  <c r="E61" i="19" s="1"/>
  <c r="F61" i="19" s="1"/>
  <c r="G56" i="64"/>
  <c r="D57" i="64"/>
  <c r="E57" i="64"/>
  <c r="D53" i="83"/>
  <c r="E53" i="83"/>
  <c r="H53" i="88"/>
  <c r="D54" i="88"/>
  <c r="E54" i="88"/>
  <c r="D56" i="68"/>
  <c r="E56" i="68" s="1"/>
  <c r="C70" i="17"/>
  <c r="B61" i="17"/>
  <c r="G58" i="45"/>
  <c r="I58" i="45" s="1"/>
  <c r="D59" i="45"/>
  <c r="E59" i="45" s="1"/>
  <c r="B52" i="92"/>
  <c r="F52" i="92"/>
  <c r="F54" i="77"/>
  <c r="H54" i="77" s="1"/>
  <c r="B54" i="77"/>
  <c r="G64" i="28"/>
  <c r="H56" i="56"/>
  <c r="B52" i="89"/>
  <c r="F52" i="89"/>
  <c r="H52" i="89" s="1"/>
  <c r="G52" i="83"/>
  <c r="I52" i="83" s="1"/>
  <c r="G53" i="88"/>
  <c r="D64" i="69"/>
  <c r="G55" i="68"/>
  <c r="F62" i="30"/>
  <c r="B62" i="30"/>
  <c r="I61" i="32"/>
  <c r="I60" i="17"/>
  <c r="B60" i="43"/>
  <c r="G60" i="43"/>
  <c r="H60" i="43"/>
  <c r="E65" i="28"/>
  <c r="F65" i="28" s="1"/>
  <c r="B65" i="28"/>
  <c r="B60" i="41"/>
  <c r="F60" i="41"/>
  <c r="G60" i="41" s="1"/>
  <c r="D64" i="71"/>
  <c r="I61" i="30"/>
  <c r="G60" i="19"/>
  <c r="I60" i="19" s="1"/>
  <c r="H56" i="64"/>
  <c r="G56" i="56"/>
  <c r="F54" i="79"/>
  <c r="G54" i="79" s="1"/>
  <c r="B54" i="79"/>
  <c r="B63" i="31"/>
  <c r="F63" i="31"/>
  <c r="D64" i="31" s="1"/>
  <c r="B59" i="74"/>
  <c r="H59" i="74"/>
  <c r="G59" i="74"/>
  <c r="F57" i="57"/>
  <c r="G57" i="57" s="1"/>
  <c r="B57" i="57"/>
  <c r="H55" i="68"/>
  <c r="E62" i="32"/>
  <c r="F62" i="32" s="1"/>
  <c r="B62" i="32"/>
  <c r="E61" i="17"/>
  <c r="F61" i="17" s="1"/>
  <c r="G61" i="17" s="1"/>
  <c r="J130" i="33"/>
  <c r="D60" i="20"/>
  <c r="E60" i="20" s="1"/>
  <c r="H59" i="20"/>
  <c r="G59" i="20"/>
  <c r="D53" i="26"/>
  <c r="E53" i="26" s="1"/>
  <c r="H52" i="26"/>
  <c r="G52" i="26"/>
  <c r="F56" i="59"/>
  <c r="G56" i="59" s="1"/>
  <c r="B56" i="59"/>
  <c r="F61" i="18"/>
  <c r="G61" i="18" s="1"/>
  <c r="B61" i="18"/>
  <c r="D56" i="62"/>
  <c r="E56" i="62"/>
  <c r="D54" i="33"/>
  <c r="E54" i="33" s="1"/>
  <c r="E53" i="87"/>
  <c r="D53" i="87"/>
  <c r="H55" i="62"/>
  <c r="I55" i="62" s="1"/>
  <c r="H53" i="33"/>
  <c r="I53" i="33" s="1"/>
  <c r="H52" i="87"/>
  <c r="I52" i="87" s="1"/>
  <c r="J131" i="25"/>
  <c r="G132" i="25"/>
  <c r="D133" i="25"/>
  <c r="G131" i="33"/>
  <c r="D132" i="33"/>
  <c r="E132" i="33" s="1"/>
  <c r="I59" i="101" l="1"/>
  <c r="I64" i="100"/>
  <c r="G51" i="102"/>
  <c r="D52" i="102"/>
  <c r="E52" i="102"/>
  <c r="I51" i="102"/>
  <c r="E60" i="101"/>
  <c r="F60" i="101" s="1"/>
  <c r="B60" i="101"/>
  <c r="G133" i="100"/>
  <c r="D134" i="100"/>
  <c r="F65" i="100"/>
  <c r="B65" i="100"/>
  <c r="G65" i="100"/>
  <c r="H65" i="100"/>
  <c r="B60" i="73"/>
  <c r="E63" i="97"/>
  <c r="F63" i="97" s="1"/>
  <c r="H63" i="97" s="1"/>
  <c r="B63" i="97"/>
  <c r="I50" i="13"/>
  <c r="B51" i="13"/>
  <c r="E51" i="13"/>
  <c r="F51" i="13" s="1"/>
  <c r="G52" i="98"/>
  <c r="I52" i="98" s="1"/>
  <c r="I59" i="99"/>
  <c r="G57" i="46"/>
  <c r="I57" i="46" s="1"/>
  <c r="D53" i="98"/>
  <c r="E53" i="98"/>
  <c r="E60" i="99"/>
  <c r="F60" i="99" s="1"/>
  <c r="D61" i="99" s="1"/>
  <c r="B60" i="99"/>
  <c r="I58" i="55"/>
  <c r="I132" i="26"/>
  <c r="H132" i="26"/>
  <c r="E133" i="26"/>
  <c r="F133" i="26" s="1"/>
  <c r="B133" i="26"/>
  <c r="I55" i="68"/>
  <c r="G56" i="61"/>
  <c r="I56" i="61" s="1"/>
  <c r="I60" i="22"/>
  <c r="G54" i="90"/>
  <c r="I54" i="90" s="1"/>
  <c r="H56" i="67"/>
  <c r="I56" i="67" s="1"/>
  <c r="E57" i="67"/>
  <c r="D57" i="67"/>
  <c r="H59" i="55"/>
  <c r="D58" i="46"/>
  <c r="E58" i="46" s="1"/>
  <c r="F58" i="46" s="1"/>
  <c r="D59" i="46" s="1"/>
  <c r="I60" i="42"/>
  <c r="I59" i="39"/>
  <c r="D62" i="24"/>
  <c r="E62" i="24" s="1"/>
  <c r="F62" i="24" s="1"/>
  <c r="H61" i="24"/>
  <c r="I61" i="24" s="1"/>
  <c r="F55" i="82"/>
  <c r="G55" i="82" s="1"/>
  <c r="B55" i="82"/>
  <c r="H62" i="23"/>
  <c r="G54" i="80"/>
  <c r="D55" i="80"/>
  <c r="E55" i="80"/>
  <c r="G52" i="94"/>
  <c r="I52" i="94" s="1"/>
  <c r="E53" i="94"/>
  <c r="D53" i="94"/>
  <c r="H63" i="31"/>
  <c r="E53" i="25"/>
  <c r="F53" i="25" s="1"/>
  <c r="B53" i="25"/>
  <c r="H54" i="80"/>
  <c r="H51" i="93"/>
  <c r="I51" i="93" s="1"/>
  <c r="E52" i="93"/>
  <c r="D52" i="93"/>
  <c r="F54" i="86"/>
  <c r="B54" i="86"/>
  <c r="D62" i="42"/>
  <c r="G56" i="66"/>
  <c r="I56" i="66" s="1"/>
  <c r="D57" i="66"/>
  <c r="E57" i="66" s="1"/>
  <c r="G59" i="55"/>
  <c r="G62" i="23"/>
  <c r="H57" i="53"/>
  <c r="I57" i="53" s="1"/>
  <c r="D58" i="53"/>
  <c r="E54" i="91"/>
  <c r="D54" i="91"/>
  <c r="F56" i="65"/>
  <c r="G56" i="65" s="1"/>
  <c r="B56" i="65"/>
  <c r="E63" i="23"/>
  <c r="F63" i="23" s="1"/>
  <c r="B63" i="23"/>
  <c r="E60" i="55"/>
  <c r="F60" i="55" s="1"/>
  <c r="B60" i="55"/>
  <c r="E55" i="90"/>
  <c r="D55" i="90"/>
  <c r="B61" i="42"/>
  <c r="H61" i="42"/>
  <c r="G61" i="42"/>
  <c r="F59" i="58"/>
  <c r="B59" i="58"/>
  <c r="H53" i="84"/>
  <c r="I53" i="84" s="1"/>
  <c r="D54" i="84"/>
  <c r="E54" i="84"/>
  <c r="F55" i="75"/>
  <c r="B55" i="75"/>
  <c r="H53" i="91"/>
  <c r="G53" i="91"/>
  <c r="H51" i="96"/>
  <c r="E52" i="96"/>
  <c r="D52" i="96"/>
  <c r="G63" i="31"/>
  <c r="G54" i="78"/>
  <c r="I54" i="78" s="1"/>
  <c r="H56" i="63"/>
  <c r="I56" i="63" s="1"/>
  <c r="F58" i="72"/>
  <c r="G58" i="72" s="1"/>
  <c r="B58" i="72"/>
  <c r="H54" i="76"/>
  <c r="I54" i="76" s="1"/>
  <c r="D55" i="76"/>
  <c r="E55" i="76"/>
  <c r="B54" i="85"/>
  <c r="F54" i="85"/>
  <c r="G54" i="85" s="1"/>
  <c r="H59" i="44"/>
  <c r="I59" i="44" s="1"/>
  <c r="D60" i="44"/>
  <c r="F52" i="95"/>
  <c r="B52" i="95"/>
  <c r="D57" i="61"/>
  <c r="E57" i="61" s="1"/>
  <c r="G51" i="96"/>
  <c r="H53" i="81"/>
  <c r="I53" i="81" s="1"/>
  <c r="E54" i="81"/>
  <c r="D54" i="81"/>
  <c r="D61" i="39"/>
  <c r="D62" i="22"/>
  <c r="H61" i="18"/>
  <c r="I61" i="18" s="1"/>
  <c r="I63" i="29"/>
  <c r="D63" i="27"/>
  <c r="H62" i="27"/>
  <c r="G62" i="27"/>
  <c r="H60" i="39"/>
  <c r="I60" i="39" s="1"/>
  <c r="B61" i="22"/>
  <c r="H61" i="22"/>
  <c r="G61" i="22"/>
  <c r="I56" i="64"/>
  <c r="I59" i="74"/>
  <c r="I60" i="43"/>
  <c r="I53" i="88"/>
  <c r="D62" i="19"/>
  <c r="E62" i="19" s="1"/>
  <c r="D63" i="32"/>
  <c r="G62" i="32"/>
  <c r="H62" i="32"/>
  <c r="H60" i="21"/>
  <c r="D61" i="21"/>
  <c r="G60" i="21"/>
  <c r="D53" i="92"/>
  <c r="E53" i="92"/>
  <c r="H61" i="17"/>
  <c r="I61" i="17" s="1"/>
  <c r="E62" i="34"/>
  <c r="F62" i="34" s="1"/>
  <c r="B62" i="34"/>
  <c r="D58" i="57"/>
  <c r="E58" i="57" s="1"/>
  <c r="D61" i="41"/>
  <c r="E61" i="41" s="1"/>
  <c r="F61" i="41" s="1"/>
  <c r="G62" i="30"/>
  <c r="D63" i="30"/>
  <c r="I56" i="56"/>
  <c r="I61" i="3"/>
  <c r="H56" i="60"/>
  <c r="I56" i="60" s="1"/>
  <c r="B62" i="3"/>
  <c r="H62" i="3"/>
  <c r="G62" i="3"/>
  <c r="B60" i="74"/>
  <c r="G60" i="74"/>
  <c r="H60" i="74"/>
  <c r="F63" i="70"/>
  <c r="H63" i="70" s="1"/>
  <c r="B63" i="70"/>
  <c r="G65" i="28"/>
  <c r="D66" i="28"/>
  <c r="B56" i="68"/>
  <c r="F56" i="68"/>
  <c r="G56" i="68" s="1"/>
  <c r="D63" i="3"/>
  <c r="E63" i="3" s="1"/>
  <c r="F63" i="3" s="1"/>
  <c r="D64" i="3" s="1"/>
  <c r="B57" i="56"/>
  <c r="F57" i="56"/>
  <c r="D61" i="74"/>
  <c r="E61" i="74" s="1"/>
  <c r="F61" i="74" s="1"/>
  <c r="G60" i="73"/>
  <c r="I60" i="73" s="1"/>
  <c r="B64" i="71"/>
  <c r="H60" i="41"/>
  <c r="I60" i="41" s="1"/>
  <c r="H65" i="28"/>
  <c r="G54" i="77"/>
  <c r="I54" i="77" s="1"/>
  <c r="D55" i="77"/>
  <c r="E55" i="77" s="1"/>
  <c r="H52" i="92"/>
  <c r="B53" i="83"/>
  <c r="F53" i="83"/>
  <c r="G53" i="83" s="1"/>
  <c r="I64" i="28"/>
  <c r="E64" i="29"/>
  <c r="F64" i="29" s="1"/>
  <c r="B64" i="29"/>
  <c r="D62" i="17"/>
  <c r="E62" i="17" s="1"/>
  <c r="F62" i="17" s="1"/>
  <c r="B64" i="69"/>
  <c r="B59" i="45"/>
  <c r="F59" i="45"/>
  <c r="G59" i="45" s="1"/>
  <c r="F57" i="64"/>
  <c r="G57" i="64" s="1"/>
  <c r="B57" i="64"/>
  <c r="D58" i="54"/>
  <c r="E58" i="54"/>
  <c r="D57" i="60"/>
  <c r="E57" i="60"/>
  <c r="H57" i="57"/>
  <c r="I57" i="57" s="1"/>
  <c r="E64" i="31"/>
  <c r="F64" i="31" s="1"/>
  <c r="B64" i="31"/>
  <c r="H54" i="79"/>
  <c r="I54" i="79" s="1"/>
  <c r="D55" i="79"/>
  <c r="E55" i="79"/>
  <c r="E64" i="71"/>
  <c r="F64" i="71" s="1"/>
  <c r="H62" i="30"/>
  <c r="E64" i="69"/>
  <c r="F64" i="69" s="1"/>
  <c r="G52" i="89"/>
  <c r="I52" i="89" s="1"/>
  <c r="E53" i="89"/>
  <c r="D53" i="89"/>
  <c r="G52" i="92"/>
  <c r="F54" i="88"/>
  <c r="G54" i="88" s="1"/>
  <c r="B54" i="88"/>
  <c r="B61" i="19"/>
  <c r="G61" i="19"/>
  <c r="H61" i="19"/>
  <c r="D55" i="78"/>
  <c r="E55" i="78" s="1"/>
  <c r="H57" i="54"/>
  <c r="I57" i="54" s="1"/>
  <c r="D57" i="63"/>
  <c r="E57" i="63" s="1"/>
  <c r="I62" i="70"/>
  <c r="F61" i="43"/>
  <c r="H61" i="43" s="1"/>
  <c r="B61" i="43"/>
  <c r="D61" i="73"/>
  <c r="B54" i="33"/>
  <c r="F54" i="33"/>
  <c r="G54" i="33" s="1"/>
  <c r="B60" i="20"/>
  <c r="F60" i="20"/>
  <c r="G60" i="20" s="1"/>
  <c r="F56" i="62"/>
  <c r="G56" i="62" s="1"/>
  <c r="B56" i="62"/>
  <c r="D62" i="18"/>
  <c r="D57" i="59"/>
  <c r="E57" i="59" s="1"/>
  <c r="I52" i="26"/>
  <c r="H56" i="59"/>
  <c r="I56" i="59" s="1"/>
  <c r="I59" i="20"/>
  <c r="B53" i="87"/>
  <c r="F53" i="87"/>
  <c r="F53" i="26"/>
  <c r="G53" i="26" s="1"/>
  <c r="B53" i="26"/>
  <c r="H132" i="25"/>
  <c r="I132" i="25"/>
  <c r="F132" i="33"/>
  <c r="B132" i="33"/>
  <c r="B133" i="25"/>
  <c r="H131" i="33"/>
  <c r="I131" i="33"/>
  <c r="E133" i="25"/>
  <c r="F133" i="25" s="1"/>
  <c r="G60" i="101" l="1"/>
  <c r="D61" i="101"/>
  <c r="H60" i="101"/>
  <c r="F52" i="102"/>
  <c r="B52" i="102"/>
  <c r="G52" i="102"/>
  <c r="H133" i="100"/>
  <c r="I133" i="100"/>
  <c r="B134" i="100"/>
  <c r="E134" i="100"/>
  <c r="F134" i="100" s="1"/>
  <c r="I65" i="100"/>
  <c r="D66" i="100"/>
  <c r="E66" i="100" s="1"/>
  <c r="D64" i="97"/>
  <c r="E64" i="97" s="1"/>
  <c r="F64" i="97" s="1"/>
  <c r="G63" i="97"/>
  <c r="I63" i="97" s="1"/>
  <c r="D52" i="13"/>
  <c r="G51" i="13"/>
  <c r="H51" i="13"/>
  <c r="I51" i="96"/>
  <c r="E61" i="99"/>
  <c r="F61" i="99" s="1"/>
  <c r="D62" i="99" s="1"/>
  <c r="B61" i="99"/>
  <c r="H60" i="99"/>
  <c r="G60" i="99"/>
  <c r="B53" i="98"/>
  <c r="F53" i="98"/>
  <c r="G53" i="98" s="1"/>
  <c r="J132" i="26"/>
  <c r="G61" i="43"/>
  <c r="I61" i="43" s="1"/>
  <c r="I65" i="28"/>
  <c r="G133" i="26"/>
  <c r="D134" i="26"/>
  <c r="I59" i="55"/>
  <c r="I63" i="31"/>
  <c r="I54" i="80"/>
  <c r="B57" i="67"/>
  <c r="F57" i="67"/>
  <c r="H57" i="67" s="1"/>
  <c r="H56" i="65"/>
  <c r="I56" i="65" s="1"/>
  <c r="E59" i="46"/>
  <c r="F59" i="46" s="1"/>
  <c r="G59" i="46" s="1"/>
  <c r="B59" i="46"/>
  <c r="B58" i="46"/>
  <c r="H58" i="46"/>
  <c r="G58" i="46"/>
  <c r="D63" i="24"/>
  <c r="E63" i="24" s="1"/>
  <c r="F63" i="24" s="1"/>
  <c r="B62" i="24"/>
  <c r="H62" i="24"/>
  <c r="G62" i="24"/>
  <c r="I62" i="23"/>
  <c r="F52" i="93"/>
  <c r="G52" i="93" s="1"/>
  <c r="B52" i="93"/>
  <c r="B53" i="94"/>
  <c r="F53" i="94"/>
  <c r="G53" i="94" s="1"/>
  <c r="F55" i="80"/>
  <c r="G55" i="80" s="1"/>
  <c r="B55" i="80"/>
  <c r="I61" i="22"/>
  <c r="H53" i="25"/>
  <c r="D54" i="25"/>
  <c r="G53" i="25"/>
  <c r="H55" i="82"/>
  <c r="I55" i="82" s="1"/>
  <c r="D56" i="82"/>
  <c r="E56" i="82" s="1"/>
  <c r="G54" i="86"/>
  <c r="D55" i="86"/>
  <c r="E55" i="86" s="1"/>
  <c r="H54" i="86"/>
  <c r="F54" i="91"/>
  <c r="G54" i="91" s="1"/>
  <c r="B54" i="91"/>
  <c r="I53" i="91"/>
  <c r="D56" i="75"/>
  <c r="E56" i="75"/>
  <c r="F55" i="90"/>
  <c r="G55" i="90" s="1"/>
  <c r="B55" i="90"/>
  <c r="H60" i="55"/>
  <c r="D61" i="55"/>
  <c r="B62" i="42"/>
  <c r="D60" i="58"/>
  <c r="E60" i="58" s="1"/>
  <c r="F60" i="58" s="1"/>
  <c r="G59" i="58"/>
  <c r="H59" i="58"/>
  <c r="H63" i="23"/>
  <c r="D64" i="23"/>
  <c r="H55" i="75"/>
  <c r="E58" i="53"/>
  <c r="F58" i="53" s="1"/>
  <c r="B58" i="53"/>
  <c r="F57" i="66"/>
  <c r="G57" i="66" s="1"/>
  <c r="B57" i="66"/>
  <c r="E62" i="42"/>
  <c r="F62" i="42" s="1"/>
  <c r="D63" i="42" s="1"/>
  <c r="G55" i="75"/>
  <c r="B54" i="84"/>
  <c r="F54" i="84"/>
  <c r="I61" i="42"/>
  <c r="G60" i="55"/>
  <c r="G63" i="23"/>
  <c r="D57" i="65"/>
  <c r="E57" i="65"/>
  <c r="D63" i="34"/>
  <c r="H62" i="34"/>
  <c r="E53" i="95"/>
  <c r="D53" i="95"/>
  <c r="I62" i="27"/>
  <c r="B61" i="39"/>
  <c r="H52" i="95"/>
  <c r="B60" i="44"/>
  <c r="D55" i="85"/>
  <c r="E55" i="85" s="1"/>
  <c r="H54" i="88"/>
  <c r="I54" i="88" s="1"/>
  <c r="E63" i="27"/>
  <c r="F63" i="27" s="1"/>
  <c r="B63" i="27"/>
  <c r="E61" i="39"/>
  <c r="F61" i="39" s="1"/>
  <c r="H61" i="39" s="1"/>
  <c r="G52" i="95"/>
  <c r="E60" i="44"/>
  <c r="F60" i="44" s="1"/>
  <c r="B62" i="22"/>
  <c r="D59" i="72"/>
  <c r="E62" i="22"/>
  <c r="F62" i="22" s="1"/>
  <c r="F54" i="81"/>
  <c r="B54" i="81"/>
  <c r="B57" i="61"/>
  <c r="F57" i="61"/>
  <c r="G57" i="61" s="1"/>
  <c r="H54" i="85"/>
  <c r="I54" i="85" s="1"/>
  <c r="F55" i="76"/>
  <c r="G55" i="76" s="1"/>
  <c r="B55" i="76"/>
  <c r="H58" i="72"/>
  <c r="I58" i="72" s="1"/>
  <c r="B52" i="96"/>
  <c r="F52" i="96"/>
  <c r="H52" i="96" s="1"/>
  <c r="I62" i="3"/>
  <c r="I61" i="19"/>
  <c r="I60" i="74"/>
  <c r="I62" i="32"/>
  <c r="G64" i="69"/>
  <c r="D65" i="69"/>
  <c r="E65" i="69" s="1"/>
  <c r="H64" i="69"/>
  <c r="D65" i="71"/>
  <c r="G64" i="71"/>
  <c r="H64" i="71"/>
  <c r="D65" i="29"/>
  <c r="E65" i="29" s="1"/>
  <c r="F65" i="29" s="1"/>
  <c r="D66" i="29" s="1"/>
  <c r="F53" i="92"/>
  <c r="G53" i="92" s="1"/>
  <c r="B53" i="92"/>
  <c r="B57" i="63"/>
  <c r="F57" i="63"/>
  <c r="H57" i="63" s="1"/>
  <c r="B53" i="89"/>
  <c r="F53" i="89"/>
  <c r="H53" i="89" s="1"/>
  <c r="G64" i="29"/>
  <c r="B63" i="3"/>
  <c r="G63" i="3"/>
  <c r="H63" i="3"/>
  <c r="D64" i="70"/>
  <c r="E64" i="70" s="1"/>
  <c r="F64" i="70" s="1"/>
  <c r="D65" i="70" s="1"/>
  <c r="B58" i="57"/>
  <c r="F58" i="57"/>
  <c r="H58" i="57" s="1"/>
  <c r="F62" i="19"/>
  <c r="G62" i="19" s="1"/>
  <c r="B62" i="19"/>
  <c r="D58" i="56"/>
  <c r="E58" i="56" s="1"/>
  <c r="D55" i="88"/>
  <c r="E55" i="88" s="1"/>
  <c r="I62" i="30"/>
  <c r="H64" i="31"/>
  <c r="G64" i="31"/>
  <c r="D65" i="31"/>
  <c r="F58" i="54"/>
  <c r="H58" i="54" s="1"/>
  <c r="B58" i="54"/>
  <c r="D58" i="64"/>
  <c r="E58" i="64" s="1"/>
  <c r="D63" i="17"/>
  <c r="E63" i="17" s="1"/>
  <c r="F63" i="17" s="1"/>
  <c r="D64" i="17" s="1"/>
  <c r="H64" i="29"/>
  <c r="D54" i="83"/>
  <c r="E54" i="83"/>
  <c r="I52" i="92"/>
  <c r="D62" i="74"/>
  <c r="H57" i="56"/>
  <c r="E66" i="28"/>
  <c r="F66" i="28" s="1"/>
  <c r="D67" i="28" s="1"/>
  <c r="B66" i="28"/>
  <c r="D62" i="41"/>
  <c r="E62" i="41" s="1"/>
  <c r="G62" i="34"/>
  <c r="E61" i="21"/>
  <c r="F61" i="21" s="1"/>
  <c r="B61" i="21"/>
  <c r="E63" i="32"/>
  <c r="F63" i="32" s="1"/>
  <c r="G63" i="32" s="1"/>
  <c r="B63" i="32"/>
  <c r="B57" i="60"/>
  <c r="F57" i="60"/>
  <c r="G57" i="60" s="1"/>
  <c r="D60" i="45"/>
  <c r="E64" i="3"/>
  <c r="F64" i="3" s="1"/>
  <c r="B64" i="3"/>
  <c r="E63" i="30"/>
  <c r="F63" i="30" s="1"/>
  <c r="B63" i="30"/>
  <c r="H56" i="62"/>
  <c r="I56" i="62" s="1"/>
  <c r="D62" i="43"/>
  <c r="E62" i="43" s="1"/>
  <c r="F55" i="78"/>
  <c r="G55" i="78" s="1"/>
  <c r="B55" i="78"/>
  <c r="B55" i="79"/>
  <c r="F55" i="79"/>
  <c r="G55" i="79" s="1"/>
  <c r="H57" i="64"/>
  <c r="I57" i="64" s="1"/>
  <c r="H59" i="45"/>
  <c r="I59" i="45" s="1"/>
  <c r="B62" i="17"/>
  <c r="C71" i="17"/>
  <c r="H62" i="17"/>
  <c r="G62" i="17"/>
  <c r="H53" i="83"/>
  <c r="I53" i="83" s="1"/>
  <c r="F55" i="77"/>
  <c r="H55" i="77" s="1"/>
  <c r="B55" i="77"/>
  <c r="B61" i="74"/>
  <c r="H61" i="74"/>
  <c r="G61" i="74"/>
  <c r="G57" i="56"/>
  <c r="H56" i="68"/>
  <c r="I56" i="68" s="1"/>
  <c r="D57" i="68"/>
  <c r="E57" i="68" s="1"/>
  <c r="G63" i="70"/>
  <c r="I63" i="70" s="1"/>
  <c r="B61" i="41"/>
  <c r="H61" i="41"/>
  <c r="G61" i="41"/>
  <c r="I60" i="21"/>
  <c r="E54" i="87"/>
  <c r="D54" i="87"/>
  <c r="B62" i="18"/>
  <c r="D61" i="20"/>
  <c r="H54" i="33"/>
  <c r="I54" i="33" s="1"/>
  <c r="B57" i="59"/>
  <c r="F57" i="59"/>
  <c r="H57" i="59" s="1"/>
  <c r="D54" i="26"/>
  <c r="E54" i="26" s="1"/>
  <c r="G53" i="87"/>
  <c r="E62" i="18"/>
  <c r="F62" i="18" s="1"/>
  <c r="H60" i="20"/>
  <c r="I60" i="20" s="1"/>
  <c r="B61" i="73"/>
  <c r="H53" i="26"/>
  <c r="I53" i="26" s="1"/>
  <c r="H53" i="87"/>
  <c r="D57" i="62"/>
  <c r="E57" i="62" s="1"/>
  <c r="E61" i="73"/>
  <c r="F61" i="73" s="1"/>
  <c r="D55" i="33"/>
  <c r="E55" i="33" s="1"/>
  <c r="G133" i="25"/>
  <c r="D134" i="25"/>
  <c r="G132" i="33"/>
  <c r="D133" i="33"/>
  <c r="E133" i="33" s="1"/>
  <c r="J131" i="33"/>
  <c r="J132" i="25"/>
  <c r="I60" i="101" l="1"/>
  <c r="H52" i="102"/>
  <c r="I52" i="102" s="1"/>
  <c r="D53" i="102"/>
  <c r="E61" i="101"/>
  <c r="F61" i="101" s="1"/>
  <c r="H61" i="101" s="1"/>
  <c r="B61" i="101"/>
  <c r="D135" i="100"/>
  <c r="E135" i="100" s="1"/>
  <c r="G134" i="100"/>
  <c r="F66" i="100"/>
  <c r="G66" i="100" s="1"/>
  <c r="B66" i="100"/>
  <c r="D65" i="97"/>
  <c r="E65" i="97" s="1"/>
  <c r="F65" i="97" s="1"/>
  <c r="D66" i="97" s="1"/>
  <c r="B64" i="97"/>
  <c r="H64" i="97"/>
  <c r="G64" i="97"/>
  <c r="I51" i="13"/>
  <c r="E52" i="13"/>
  <c r="F52" i="13" s="1"/>
  <c r="B52" i="13"/>
  <c r="H53" i="98"/>
  <c r="I53" i="98" s="1"/>
  <c r="G61" i="99"/>
  <c r="I60" i="99"/>
  <c r="E62" i="99"/>
  <c r="F62" i="99" s="1"/>
  <c r="D63" i="99" s="1"/>
  <c r="B62" i="99"/>
  <c r="D54" i="98"/>
  <c r="E54" i="98"/>
  <c r="H61" i="99"/>
  <c r="I63" i="23"/>
  <c r="H53" i="94"/>
  <c r="I53" i="94" s="1"/>
  <c r="I62" i="34"/>
  <c r="B134" i="26"/>
  <c r="E134" i="26"/>
  <c r="F134" i="26" s="1"/>
  <c r="I133" i="26"/>
  <c r="H133" i="26"/>
  <c r="H52" i="93"/>
  <c r="I52" i="93" s="1"/>
  <c r="I58" i="46"/>
  <c r="I62" i="24"/>
  <c r="I54" i="86"/>
  <c r="G57" i="67"/>
  <c r="I57" i="67" s="1"/>
  <c r="D58" i="67"/>
  <c r="H57" i="60"/>
  <c r="I57" i="60" s="1"/>
  <c r="D60" i="46"/>
  <c r="E60" i="46" s="1"/>
  <c r="F60" i="46" s="1"/>
  <c r="H59" i="46"/>
  <c r="I59" i="46" s="1"/>
  <c r="D64" i="24"/>
  <c r="B64" i="24" s="1"/>
  <c r="B63" i="24"/>
  <c r="G63" i="24"/>
  <c r="H63" i="24"/>
  <c r="H57" i="66"/>
  <c r="I57" i="66" s="1"/>
  <c r="F56" i="82"/>
  <c r="G56" i="82" s="1"/>
  <c r="B56" i="82"/>
  <c r="E54" i="25"/>
  <c r="F54" i="25" s="1"/>
  <c r="B54" i="25"/>
  <c r="B55" i="86"/>
  <c r="F55" i="86"/>
  <c r="I53" i="25"/>
  <c r="D56" i="80"/>
  <c r="E56" i="80" s="1"/>
  <c r="D54" i="94"/>
  <c r="E54" i="94"/>
  <c r="G57" i="59"/>
  <c r="I57" i="59" s="1"/>
  <c r="H55" i="79"/>
  <c r="I55" i="79" s="1"/>
  <c r="H55" i="80"/>
  <c r="I55" i="80" s="1"/>
  <c r="D53" i="93"/>
  <c r="E53" i="93"/>
  <c r="G58" i="53"/>
  <c r="D59" i="53"/>
  <c r="E59" i="53" s="1"/>
  <c r="H58" i="53"/>
  <c r="D61" i="58"/>
  <c r="B61" i="58" s="1"/>
  <c r="H62" i="42"/>
  <c r="E61" i="55"/>
  <c r="F61" i="55" s="1"/>
  <c r="B61" i="55"/>
  <c r="H55" i="90"/>
  <c r="I55" i="90" s="1"/>
  <c r="D56" i="90"/>
  <c r="E56" i="90" s="1"/>
  <c r="G55" i="77"/>
  <c r="I55" i="77" s="1"/>
  <c r="G58" i="57"/>
  <c r="I58" i="57" s="1"/>
  <c r="I55" i="75"/>
  <c r="I59" i="58"/>
  <c r="G62" i="42"/>
  <c r="I60" i="55"/>
  <c r="G54" i="84"/>
  <c r="D55" i="84"/>
  <c r="E55" i="84"/>
  <c r="B60" i="58"/>
  <c r="H60" i="58"/>
  <c r="G60" i="58"/>
  <c r="I64" i="29"/>
  <c r="F57" i="65"/>
  <c r="D58" i="65" s="1"/>
  <c r="B57" i="65"/>
  <c r="H54" i="84"/>
  <c r="E63" i="42"/>
  <c r="F63" i="42" s="1"/>
  <c r="G63" i="42" s="1"/>
  <c r="B63" i="42"/>
  <c r="D58" i="66"/>
  <c r="E58" i="66" s="1"/>
  <c r="E64" i="23"/>
  <c r="F64" i="23" s="1"/>
  <c r="B64" i="23"/>
  <c r="B56" i="75"/>
  <c r="F56" i="75"/>
  <c r="G56" i="75" s="1"/>
  <c r="H54" i="91"/>
  <c r="I54" i="91" s="1"/>
  <c r="E55" i="91"/>
  <c r="D55" i="91"/>
  <c r="D61" i="44"/>
  <c r="E61" i="44" s="1"/>
  <c r="H60" i="44"/>
  <c r="G60" i="44"/>
  <c r="G53" i="89"/>
  <c r="I53" i="89" s="1"/>
  <c r="H55" i="76"/>
  <c r="I55" i="76" s="1"/>
  <c r="D56" i="76"/>
  <c r="E56" i="76" s="1"/>
  <c r="D63" i="22"/>
  <c r="E63" i="22" s="1"/>
  <c r="F63" i="22" s="1"/>
  <c r="G62" i="22"/>
  <c r="F55" i="85"/>
  <c r="H55" i="85" s="1"/>
  <c r="B55" i="85"/>
  <c r="G61" i="39"/>
  <c r="I61" i="39" s="1"/>
  <c r="D62" i="39"/>
  <c r="E62" i="39" s="1"/>
  <c r="H54" i="81"/>
  <c r="D55" i="81"/>
  <c r="E55" i="81" s="1"/>
  <c r="G57" i="63"/>
  <c r="I57" i="63" s="1"/>
  <c r="G54" i="81"/>
  <c r="H62" i="22"/>
  <c r="I52" i="95"/>
  <c r="B59" i="72"/>
  <c r="B53" i="95"/>
  <c r="F53" i="95"/>
  <c r="H53" i="95" s="1"/>
  <c r="I63" i="3"/>
  <c r="I64" i="71"/>
  <c r="G52" i="96"/>
  <c r="I52" i="96" s="1"/>
  <c r="D53" i="96"/>
  <c r="E53" i="96"/>
  <c r="H57" i="61"/>
  <c r="I57" i="61" s="1"/>
  <c r="D58" i="61"/>
  <c r="E58" i="61" s="1"/>
  <c r="E59" i="72"/>
  <c r="F59" i="72" s="1"/>
  <c r="H63" i="27"/>
  <c r="D64" i="27"/>
  <c r="G63" i="27"/>
  <c r="E63" i="34"/>
  <c r="F63" i="34" s="1"/>
  <c r="B63" i="34"/>
  <c r="I53" i="87"/>
  <c r="I61" i="41"/>
  <c r="I61" i="74"/>
  <c r="I62" i="17"/>
  <c r="I64" i="31"/>
  <c r="I64" i="69"/>
  <c r="D64" i="30"/>
  <c r="E64" i="30" s="1"/>
  <c r="H63" i="30"/>
  <c r="G63" i="30"/>
  <c r="D62" i="21"/>
  <c r="H61" i="21"/>
  <c r="G61" i="21"/>
  <c r="E64" i="17"/>
  <c r="F64" i="17" s="1"/>
  <c r="B64" i="17"/>
  <c r="B60" i="45"/>
  <c r="E67" i="28"/>
  <c r="F67" i="28" s="1"/>
  <c r="B67" i="28"/>
  <c r="E65" i="31"/>
  <c r="F65" i="31" s="1"/>
  <c r="B65" i="31"/>
  <c r="E56" i="77"/>
  <c r="D56" i="77"/>
  <c r="D56" i="79"/>
  <c r="E56" i="79" s="1"/>
  <c r="B55" i="88"/>
  <c r="F55" i="88"/>
  <c r="H55" i="88" s="1"/>
  <c r="F58" i="56"/>
  <c r="B58" i="56"/>
  <c r="D59" i="57"/>
  <c r="E59" i="57" s="1"/>
  <c r="F59" i="57" s="1"/>
  <c r="D54" i="89"/>
  <c r="E54" i="89"/>
  <c r="B62" i="74"/>
  <c r="D58" i="60"/>
  <c r="E58" i="60" s="1"/>
  <c r="G66" i="28"/>
  <c r="I57" i="56"/>
  <c r="C72" i="17"/>
  <c r="B63" i="17"/>
  <c r="G63" i="17"/>
  <c r="H63" i="17"/>
  <c r="E65" i="70"/>
  <c r="F65" i="70" s="1"/>
  <c r="B65" i="70"/>
  <c r="D58" i="63"/>
  <c r="E58" i="63"/>
  <c r="E54" i="92"/>
  <c r="D54" i="92"/>
  <c r="E66" i="29"/>
  <c r="F66" i="29" s="1"/>
  <c r="B66" i="29"/>
  <c r="B65" i="71"/>
  <c r="F65" i="69"/>
  <c r="D66" i="69" s="1"/>
  <c r="B65" i="69"/>
  <c r="H55" i="78"/>
  <c r="I55" i="78" s="1"/>
  <c r="E56" i="78"/>
  <c r="D56" i="78"/>
  <c r="H64" i="3"/>
  <c r="D65" i="3"/>
  <c r="E65" i="3" s="1"/>
  <c r="F65" i="3" s="1"/>
  <c r="D66" i="3" s="1"/>
  <c r="B57" i="68"/>
  <c r="F57" i="68"/>
  <c r="G57" i="68" s="1"/>
  <c r="B62" i="43"/>
  <c r="F62" i="43"/>
  <c r="G62" i="43" s="1"/>
  <c r="G64" i="3"/>
  <c r="E60" i="45"/>
  <c r="F60" i="45" s="1"/>
  <c r="H63" i="32"/>
  <c r="I63" i="32" s="1"/>
  <c r="D64" i="32"/>
  <c r="F62" i="41"/>
  <c r="G62" i="41" s="1"/>
  <c r="B62" i="41"/>
  <c r="H66" i="28"/>
  <c r="E62" i="74"/>
  <c r="F62" i="74" s="1"/>
  <c r="F54" i="83"/>
  <c r="H54" i="83" s="1"/>
  <c r="B54" i="83"/>
  <c r="F58" i="64"/>
  <c r="D59" i="64" s="1"/>
  <c r="B58" i="64"/>
  <c r="G58" i="54"/>
  <c r="I58" i="54" s="1"/>
  <c r="D59" i="54"/>
  <c r="E59" i="54" s="1"/>
  <c r="H62" i="19"/>
  <c r="I62" i="19" s="1"/>
  <c r="D63" i="19"/>
  <c r="E63" i="19" s="1"/>
  <c r="B64" i="70"/>
  <c r="H64" i="70"/>
  <c r="G64" i="70"/>
  <c r="H53" i="92"/>
  <c r="I53" i="92" s="1"/>
  <c r="B65" i="29"/>
  <c r="G65" i="29"/>
  <c r="H65" i="29"/>
  <c r="E65" i="71"/>
  <c r="F65" i="71" s="1"/>
  <c r="D62" i="73"/>
  <c r="G61" i="73"/>
  <c r="H61" i="73"/>
  <c r="D63" i="18"/>
  <c r="E63" i="18" s="1"/>
  <c r="G62" i="18"/>
  <c r="H62" i="18"/>
  <c r="D58" i="59"/>
  <c r="E58" i="59" s="1"/>
  <c r="F55" i="33"/>
  <c r="H55" i="33" s="1"/>
  <c r="B55" i="33"/>
  <c r="B54" i="26"/>
  <c r="F54" i="26"/>
  <c r="G54" i="26" s="1"/>
  <c r="B61" i="20"/>
  <c r="B54" i="87"/>
  <c r="F54" i="87"/>
  <c r="H54" i="87" s="1"/>
  <c r="B57" i="62"/>
  <c r="F57" i="62"/>
  <c r="H57" i="62" s="1"/>
  <c r="E61" i="20"/>
  <c r="F61" i="20" s="1"/>
  <c r="H132" i="33"/>
  <c r="I132" i="33"/>
  <c r="B134" i="25"/>
  <c r="H133" i="25"/>
  <c r="I133" i="25"/>
  <c r="E134" i="25"/>
  <c r="F134" i="25" s="1"/>
  <c r="F133" i="33"/>
  <c r="B133" i="33"/>
  <c r="G61" i="101" l="1"/>
  <c r="I61" i="101" s="1"/>
  <c r="D62" i="101"/>
  <c r="H66" i="100"/>
  <c r="E53" i="102"/>
  <c r="F53" i="102" s="1"/>
  <c r="B53" i="102"/>
  <c r="I134" i="100"/>
  <c r="H134" i="100"/>
  <c r="B135" i="100"/>
  <c r="F135" i="100"/>
  <c r="I66" i="100"/>
  <c r="D67" i="100"/>
  <c r="E67" i="100" s="1"/>
  <c r="I64" i="97"/>
  <c r="E66" i="97"/>
  <c r="F66" i="97" s="1"/>
  <c r="H66" i="97" s="1"/>
  <c r="B66" i="97"/>
  <c r="B65" i="97"/>
  <c r="H65" i="97"/>
  <c r="G65" i="97"/>
  <c r="G52" i="13"/>
  <c r="D53" i="13"/>
  <c r="H52" i="13"/>
  <c r="I66" i="28"/>
  <c r="I61" i="99"/>
  <c r="F54" i="98"/>
  <c r="H54" i="98" s="1"/>
  <c r="B54" i="98"/>
  <c r="E63" i="99"/>
  <c r="F63" i="99" s="1"/>
  <c r="G63" i="99" s="1"/>
  <c r="B63" i="99"/>
  <c r="H62" i="99"/>
  <c r="G62" i="99"/>
  <c r="I63" i="24"/>
  <c r="J133" i="26"/>
  <c r="D135" i="26"/>
  <c r="G134" i="26"/>
  <c r="I62" i="22"/>
  <c r="E58" i="67"/>
  <c r="F58" i="67" s="1"/>
  <c r="H58" i="67" s="1"/>
  <c r="B58" i="67"/>
  <c r="H57" i="65"/>
  <c r="G57" i="65"/>
  <c r="E61" i="58"/>
  <c r="F61" i="58" s="1"/>
  <c r="I58" i="53"/>
  <c r="D61" i="46"/>
  <c r="E61" i="46" s="1"/>
  <c r="F61" i="46" s="1"/>
  <c r="B60" i="46"/>
  <c r="H60" i="46"/>
  <c r="G60" i="46"/>
  <c r="E64" i="24"/>
  <c r="F64" i="24" s="1"/>
  <c r="I54" i="81"/>
  <c r="I60" i="44"/>
  <c r="B53" i="93"/>
  <c r="F53" i="93"/>
  <c r="H53" i="93" s="1"/>
  <c r="G54" i="25"/>
  <c r="D55" i="25"/>
  <c r="H54" i="25"/>
  <c r="H58" i="64"/>
  <c r="F54" i="94"/>
  <c r="B54" i="94"/>
  <c r="G55" i="86"/>
  <c r="D56" i="86"/>
  <c r="E56" i="86" s="1"/>
  <c r="H55" i="86"/>
  <c r="H56" i="82"/>
  <c r="I56" i="82" s="1"/>
  <c r="D57" i="82"/>
  <c r="E57" i="82" s="1"/>
  <c r="B56" i="80"/>
  <c r="F56" i="80"/>
  <c r="H64" i="23"/>
  <c r="D65" i="23"/>
  <c r="G64" i="23"/>
  <c r="D62" i="55"/>
  <c r="G61" i="55"/>
  <c r="H61" i="55"/>
  <c r="G55" i="88"/>
  <c r="I55" i="88" s="1"/>
  <c r="B55" i="91"/>
  <c r="F55" i="91"/>
  <c r="D57" i="75"/>
  <c r="E57" i="75"/>
  <c r="B58" i="66"/>
  <c r="F58" i="66"/>
  <c r="H58" i="66" s="1"/>
  <c r="H63" i="42"/>
  <c r="I63" i="42" s="1"/>
  <c r="D64" i="42"/>
  <c r="B55" i="84"/>
  <c r="F55" i="84"/>
  <c r="H55" i="84" s="1"/>
  <c r="I62" i="42"/>
  <c r="H54" i="26"/>
  <c r="I54" i="26" s="1"/>
  <c r="G58" i="64"/>
  <c r="I63" i="27"/>
  <c r="I60" i="58"/>
  <c r="B56" i="90"/>
  <c r="F56" i="90"/>
  <c r="G56" i="90" s="1"/>
  <c r="F59" i="53"/>
  <c r="D60" i="53" s="1"/>
  <c r="B59" i="53"/>
  <c r="I64" i="3"/>
  <c r="H56" i="75"/>
  <c r="I56" i="75" s="1"/>
  <c r="I54" i="84"/>
  <c r="E58" i="65"/>
  <c r="F58" i="65" s="1"/>
  <c r="B58" i="65"/>
  <c r="G65" i="31"/>
  <c r="H65" i="31"/>
  <c r="D64" i="22"/>
  <c r="H59" i="72"/>
  <c r="D60" i="72"/>
  <c r="E60" i="72" s="1"/>
  <c r="F60" i="72" s="1"/>
  <c r="F55" i="81"/>
  <c r="G55" i="81" s="1"/>
  <c r="B55" i="81"/>
  <c r="I63" i="17"/>
  <c r="F62" i="39"/>
  <c r="G62" i="39" s="1"/>
  <c r="B62" i="39"/>
  <c r="G65" i="69"/>
  <c r="E64" i="27"/>
  <c r="F64" i="27" s="1"/>
  <c r="B64" i="27"/>
  <c r="G53" i="95"/>
  <c r="I53" i="95" s="1"/>
  <c r="E54" i="95"/>
  <c r="D54" i="95"/>
  <c r="G59" i="72"/>
  <c r="D56" i="85"/>
  <c r="E56" i="85" s="1"/>
  <c r="B63" i="22"/>
  <c r="G63" i="22"/>
  <c r="H63" i="22"/>
  <c r="H63" i="34"/>
  <c r="D64" i="34"/>
  <c r="G63" i="34"/>
  <c r="F58" i="61"/>
  <c r="H58" i="61" s="1"/>
  <c r="B58" i="61"/>
  <c r="F53" i="96"/>
  <c r="B53" i="96"/>
  <c r="G55" i="85"/>
  <c r="I55" i="85" s="1"/>
  <c r="B56" i="76"/>
  <c r="F56" i="76"/>
  <c r="G56" i="76" s="1"/>
  <c r="B61" i="44"/>
  <c r="F61" i="44"/>
  <c r="G61" i="44" s="1"/>
  <c r="I61" i="73"/>
  <c r="I61" i="21"/>
  <c r="D66" i="71"/>
  <c r="G65" i="71"/>
  <c r="H65" i="71"/>
  <c r="D66" i="70"/>
  <c r="H65" i="70"/>
  <c r="G65" i="70"/>
  <c r="E66" i="3"/>
  <c r="F66" i="3" s="1"/>
  <c r="H66" i="3" s="1"/>
  <c r="B66" i="3"/>
  <c r="G60" i="45"/>
  <c r="D61" i="45"/>
  <c r="E61" i="45" s="1"/>
  <c r="H60" i="45"/>
  <c r="B64" i="32"/>
  <c r="H66" i="29"/>
  <c r="D67" i="29"/>
  <c r="D63" i="74"/>
  <c r="E63" i="74" s="1"/>
  <c r="D60" i="57"/>
  <c r="G58" i="56"/>
  <c r="D59" i="56"/>
  <c r="F56" i="77"/>
  <c r="H56" i="77" s="1"/>
  <c r="B56" i="77"/>
  <c r="H67" i="28"/>
  <c r="D68" i="28"/>
  <c r="E68" i="28" s="1"/>
  <c r="D65" i="17"/>
  <c r="E65" i="17" s="1"/>
  <c r="B62" i="21"/>
  <c r="G55" i="33"/>
  <c r="I55" i="33" s="1"/>
  <c r="I65" i="29"/>
  <c r="E59" i="64"/>
  <c r="F59" i="64" s="1"/>
  <c r="B59" i="64"/>
  <c r="F58" i="63"/>
  <c r="G58" i="63" s="1"/>
  <c r="B58" i="63"/>
  <c r="B59" i="57"/>
  <c r="H59" i="57"/>
  <c r="G59" i="57"/>
  <c r="G67" i="28"/>
  <c r="H64" i="17"/>
  <c r="I63" i="30"/>
  <c r="D55" i="83"/>
  <c r="E55" i="83"/>
  <c r="B63" i="19"/>
  <c r="F63" i="19"/>
  <c r="G63" i="19" s="1"/>
  <c r="G54" i="83"/>
  <c r="I54" i="83" s="1"/>
  <c r="H62" i="41"/>
  <c r="I62" i="41" s="1"/>
  <c r="D63" i="41"/>
  <c r="H62" i="43"/>
  <c r="I62" i="43" s="1"/>
  <c r="D63" i="43"/>
  <c r="E63" i="43" s="1"/>
  <c r="H57" i="68"/>
  <c r="I57" i="68" s="1"/>
  <c r="D58" i="68"/>
  <c r="E58" i="68" s="1"/>
  <c r="B65" i="3"/>
  <c r="G65" i="3"/>
  <c r="H65" i="3"/>
  <c r="E66" i="69"/>
  <c r="F66" i="69" s="1"/>
  <c r="H66" i="69" s="1"/>
  <c r="B66" i="69"/>
  <c r="H62" i="74"/>
  <c r="H58" i="56"/>
  <c r="F56" i="79"/>
  <c r="H56" i="79" s="1"/>
  <c r="B56" i="79"/>
  <c r="F56" i="78"/>
  <c r="H56" i="78" s="1"/>
  <c r="B56" i="78"/>
  <c r="I64" i="70"/>
  <c r="F59" i="54"/>
  <c r="H59" i="54" s="1"/>
  <c r="B59" i="54"/>
  <c r="E64" i="32"/>
  <c r="F64" i="32" s="1"/>
  <c r="D65" i="32" s="1"/>
  <c r="H65" i="69"/>
  <c r="G66" i="29"/>
  <c r="B54" i="92"/>
  <c r="F54" i="92"/>
  <c r="G54" i="92" s="1"/>
  <c r="B58" i="60"/>
  <c r="F58" i="60"/>
  <c r="D59" i="60" s="1"/>
  <c r="G62" i="74"/>
  <c r="B54" i="89"/>
  <c r="F54" i="89"/>
  <c r="E56" i="88"/>
  <c r="D56" i="88"/>
  <c r="D66" i="31"/>
  <c r="E66" i="31" s="1"/>
  <c r="G64" i="17"/>
  <c r="E62" i="21"/>
  <c r="F62" i="21" s="1"/>
  <c r="F64" i="30"/>
  <c r="H64" i="30" s="1"/>
  <c r="B64" i="30"/>
  <c r="D62" i="20"/>
  <c r="E62" i="20" s="1"/>
  <c r="H61" i="20"/>
  <c r="G61" i="20"/>
  <c r="G57" i="62"/>
  <c r="I57" i="62" s="1"/>
  <c r="D55" i="87"/>
  <c r="E55" i="87"/>
  <c r="F63" i="18"/>
  <c r="H63" i="18" s="1"/>
  <c r="B63" i="18"/>
  <c r="D58" i="62"/>
  <c r="E58" i="62" s="1"/>
  <c r="B58" i="59"/>
  <c r="F58" i="59"/>
  <c r="G58" i="59" s="1"/>
  <c r="B62" i="73"/>
  <c r="G54" i="87"/>
  <c r="I54" i="87" s="1"/>
  <c r="D55" i="26"/>
  <c r="E55" i="26" s="1"/>
  <c r="D56" i="33"/>
  <c r="E56" i="33" s="1"/>
  <c r="I62" i="18"/>
  <c r="E62" i="73"/>
  <c r="F62" i="73" s="1"/>
  <c r="J132" i="33"/>
  <c r="J133" i="25"/>
  <c r="G134" i="25"/>
  <c r="D135" i="25"/>
  <c r="E135" i="25" s="1"/>
  <c r="G133" i="33"/>
  <c r="D134" i="33"/>
  <c r="G53" i="102" l="1"/>
  <c r="D54" i="102"/>
  <c r="E54" i="102"/>
  <c r="H53" i="102"/>
  <c r="I53" i="102" s="1"/>
  <c r="E62" i="101"/>
  <c r="F62" i="101" s="1"/>
  <c r="B62" i="101"/>
  <c r="D136" i="100"/>
  <c r="G135" i="100"/>
  <c r="F67" i="100"/>
  <c r="B67" i="100"/>
  <c r="G67" i="100"/>
  <c r="H67" i="100"/>
  <c r="I65" i="97"/>
  <c r="G66" i="97"/>
  <c r="I66" i="97" s="1"/>
  <c r="D67" i="97"/>
  <c r="I52" i="13"/>
  <c r="E53" i="13"/>
  <c r="F53" i="13" s="1"/>
  <c r="B53" i="13"/>
  <c r="G54" i="98"/>
  <c r="I54" i="98" s="1"/>
  <c r="D64" i="99"/>
  <c r="E64" i="99" s="1"/>
  <c r="F64" i="99" s="1"/>
  <c r="D65" i="99" s="1"/>
  <c r="I62" i="99"/>
  <c r="H63" i="99"/>
  <c r="I63" i="99" s="1"/>
  <c r="D55" i="98"/>
  <c r="E55" i="98"/>
  <c r="I58" i="64"/>
  <c r="I60" i="46"/>
  <c r="I134" i="26"/>
  <c r="H134" i="26"/>
  <c r="B135" i="26"/>
  <c r="E135" i="26"/>
  <c r="F135" i="26" s="1"/>
  <c r="I59" i="72"/>
  <c r="I57" i="65"/>
  <c r="I65" i="31"/>
  <c r="G53" i="93"/>
  <c r="I53" i="93" s="1"/>
  <c r="H56" i="76"/>
  <c r="I56" i="76" s="1"/>
  <c r="I65" i="69"/>
  <c r="G58" i="67"/>
  <c r="I58" i="67" s="1"/>
  <c r="D59" i="67"/>
  <c r="E59" i="67" s="1"/>
  <c r="D62" i="58"/>
  <c r="E62" i="58" s="1"/>
  <c r="F62" i="58" s="1"/>
  <c r="H61" i="58"/>
  <c r="G61" i="58"/>
  <c r="G61" i="46"/>
  <c r="D62" i="46"/>
  <c r="B62" i="46" s="1"/>
  <c r="B61" i="46"/>
  <c r="H61" i="46"/>
  <c r="D65" i="24"/>
  <c r="H64" i="24"/>
  <c r="G64" i="24"/>
  <c r="G56" i="80"/>
  <c r="D57" i="80"/>
  <c r="E57" i="80"/>
  <c r="F56" i="86"/>
  <c r="B56" i="86"/>
  <c r="H54" i="94"/>
  <c r="D55" i="94"/>
  <c r="E55" i="94" s="1"/>
  <c r="G64" i="30"/>
  <c r="I64" i="30" s="1"/>
  <c r="G59" i="54"/>
  <c r="I59" i="54" s="1"/>
  <c r="I61" i="55"/>
  <c r="H56" i="80"/>
  <c r="I55" i="86"/>
  <c r="G54" i="94"/>
  <c r="I54" i="25"/>
  <c r="I66" i="29"/>
  <c r="I63" i="34"/>
  <c r="B57" i="82"/>
  <c r="F57" i="82"/>
  <c r="G57" i="82" s="1"/>
  <c r="E55" i="25"/>
  <c r="F55" i="25" s="1"/>
  <c r="B55" i="25"/>
  <c r="D54" i="93"/>
  <c r="E54" i="93"/>
  <c r="D59" i="65"/>
  <c r="E59" i="65" s="1"/>
  <c r="F59" i="65" s="1"/>
  <c r="G58" i="65"/>
  <c r="H58" i="65"/>
  <c r="E62" i="55"/>
  <c r="F62" i="55" s="1"/>
  <c r="B62" i="55"/>
  <c r="H63" i="19"/>
  <c r="I63" i="19" s="1"/>
  <c r="E60" i="53"/>
  <c r="F60" i="53" s="1"/>
  <c r="B60" i="53"/>
  <c r="G55" i="84"/>
  <c r="I55" i="84" s="1"/>
  <c r="D56" i="84"/>
  <c r="E56" i="84" s="1"/>
  <c r="B57" i="75"/>
  <c r="F57" i="75"/>
  <c r="G66" i="3"/>
  <c r="I66" i="3" s="1"/>
  <c r="H59" i="53"/>
  <c r="G58" i="66"/>
  <c r="I58" i="66" s="1"/>
  <c r="D59" i="66"/>
  <c r="D56" i="91"/>
  <c r="G55" i="91"/>
  <c r="H55" i="91"/>
  <c r="E56" i="91"/>
  <c r="E65" i="23"/>
  <c r="F65" i="23" s="1"/>
  <c r="B65" i="23"/>
  <c r="G59" i="53"/>
  <c r="H56" i="90"/>
  <c r="I56" i="90" s="1"/>
  <c r="D57" i="90"/>
  <c r="E57" i="90"/>
  <c r="E64" i="42"/>
  <c r="F64" i="42" s="1"/>
  <c r="B64" i="42"/>
  <c r="I64" i="23"/>
  <c r="H60" i="72"/>
  <c r="D61" i="72"/>
  <c r="E61" i="72" s="1"/>
  <c r="F61" i="72" s="1"/>
  <c r="G64" i="27"/>
  <c r="D65" i="27"/>
  <c r="H64" i="27"/>
  <c r="B64" i="22"/>
  <c r="D62" i="44"/>
  <c r="E62" i="44" s="1"/>
  <c r="F62" i="44" s="1"/>
  <c r="G53" i="96"/>
  <c r="D54" i="96"/>
  <c r="E54" i="96"/>
  <c r="D59" i="61"/>
  <c r="E59" i="61" s="1"/>
  <c r="F59" i="61" s="1"/>
  <c r="E64" i="34"/>
  <c r="F64" i="34" s="1"/>
  <c r="B64" i="34"/>
  <c r="B54" i="95"/>
  <c r="F54" i="95"/>
  <c r="G54" i="95" s="1"/>
  <c r="E64" i="22"/>
  <c r="F64" i="22" s="1"/>
  <c r="D65" i="22" s="1"/>
  <c r="D63" i="39"/>
  <c r="B60" i="72"/>
  <c r="G60" i="72"/>
  <c r="H55" i="81"/>
  <c r="I55" i="81" s="1"/>
  <c r="D56" i="81"/>
  <c r="E56" i="81"/>
  <c r="I58" i="56"/>
  <c r="H61" i="44"/>
  <c r="I61" i="44" s="1"/>
  <c r="E57" i="76"/>
  <c r="D57" i="76"/>
  <c r="H53" i="96"/>
  <c r="G58" i="61"/>
  <c r="I58" i="61" s="1"/>
  <c r="I63" i="22"/>
  <c r="F56" i="85"/>
  <c r="B56" i="85"/>
  <c r="H62" i="39"/>
  <c r="I62" i="39" s="1"/>
  <c r="I62" i="74"/>
  <c r="I59" i="57"/>
  <c r="H59" i="64"/>
  <c r="D60" i="64"/>
  <c r="G59" i="64"/>
  <c r="D63" i="21"/>
  <c r="H62" i="21"/>
  <c r="G62" i="21"/>
  <c r="E55" i="89"/>
  <c r="D55" i="89"/>
  <c r="E67" i="29"/>
  <c r="F67" i="29" s="1"/>
  <c r="B67" i="29"/>
  <c r="G58" i="60"/>
  <c r="G56" i="79"/>
  <c r="I56" i="79" s="1"/>
  <c r="E57" i="79"/>
  <c r="D57" i="79"/>
  <c r="B58" i="68"/>
  <c r="F58" i="68"/>
  <c r="G58" i="68" s="1"/>
  <c r="B55" i="83"/>
  <c r="F55" i="83"/>
  <c r="F65" i="17"/>
  <c r="B65" i="17"/>
  <c r="E59" i="56"/>
  <c r="F59" i="56" s="1"/>
  <c r="B59" i="56"/>
  <c r="I60" i="45"/>
  <c r="I65" i="70"/>
  <c r="I65" i="71"/>
  <c r="F56" i="88"/>
  <c r="H56" i="88" s="1"/>
  <c r="B56" i="88"/>
  <c r="D57" i="78"/>
  <c r="E57" i="78" s="1"/>
  <c r="D67" i="69"/>
  <c r="E67" i="69" s="1"/>
  <c r="B60" i="57"/>
  <c r="D65" i="30"/>
  <c r="E65" i="30" s="1"/>
  <c r="F66" i="31"/>
  <c r="B66" i="31"/>
  <c r="G54" i="89"/>
  <c r="I65" i="3"/>
  <c r="F63" i="74"/>
  <c r="B63" i="74"/>
  <c r="H64" i="32"/>
  <c r="D67" i="3"/>
  <c r="E66" i="70"/>
  <c r="F66" i="70" s="1"/>
  <c r="B66" i="70"/>
  <c r="B66" i="71"/>
  <c r="E59" i="60"/>
  <c r="F59" i="60" s="1"/>
  <c r="G59" i="60" s="1"/>
  <c r="B59" i="60"/>
  <c r="B63" i="43"/>
  <c r="F63" i="43"/>
  <c r="H58" i="63"/>
  <c r="I58" i="63" s="1"/>
  <c r="D59" i="63"/>
  <c r="E59" i="63" s="1"/>
  <c r="I67" i="28"/>
  <c r="H54" i="89"/>
  <c r="H58" i="60"/>
  <c r="H54" i="92"/>
  <c r="I54" i="92" s="1"/>
  <c r="E55" i="92"/>
  <c r="D55" i="92"/>
  <c r="E65" i="32"/>
  <c r="F65" i="32" s="1"/>
  <c r="D66" i="32" s="1"/>
  <c r="B65" i="32"/>
  <c r="D60" i="54"/>
  <c r="E60" i="54" s="1"/>
  <c r="G56" i="78"/>
  <c r="I56" i="78" s="1"/>
  <c r="G66" i="69"/>
  <c r="I66" i="69" s="1"/>
  <c r="E63" i="41"/>
  <c r="F63" i="41" s="1"/>
  <c r="B63" i="41"/>
  <c r="D64" i="19"/>
  <c r="I64" i="17"/>
  <c r="B68" i="28"/>
  <c r="F68" i="28"/>
  <c r="G56" i="77"/>
  <c r="I56" i="77" s="1"/>
  <c r="D57" i="77"/>
  <c r="E57" i="77" s="1"/>
  <c r="E60" i="57"/>
  <c r="F60" i="57" s="1"/>
  <c r="G64" i="32"/>
  <c r="B61" i="45"/>
  <c r="F61" i="45"/>
  <c r="H61" i="45" s="1"/>
  <c r="E66" i="71"/>
  <c r="F66" i="71" s="1"/>
  <c r="D63" i="73"/>
  <c r="G62" i="73"/>
  <c r="H62" i="73"/>
  <c r="B56" i="33"/>
  <c r="F56" i="33"/>
  <c r="D64" i="18"/>
  <c r="H58" i="59"/>
  <c r="I58" i="59" s="1"/>
  <c r="I61" i="20"/>
  <c r="B58" i="62"/>
  <c r="F58" i="62"/>
  <c r="G58" i="62" s="1"/>
  <c r="G63" i="18"/>
  <c r="I63" i="18" s="1"/>
  <c r="F55" i="87"/>
  <c r="G55" i="87" s="1"/>
  <c r="B55" i="87"/>
  <c r="F55" i="26"/>
  <c r="B55" i="26"/>
  <c r="D59" i="59"/>
  <c r="E59" i="59" s="1"/>
  <c r="F62" i="20"/>
  <c r="B62" i="20"/>
  <c r="B134" i="33"/>
  <c r="H133" i="33"/>
  <c r="I133" i="33"/>
  <c r="F135" i="25"/>
  <c r="B135" i="25"/>
  <c r="E134" i="33"/>
  <c r="F134" i="33" s="1"/>
  <c r="I134" i="25"/>
  <c r="H134" i="25"/>
  <c r="G62" i="101" l="1"/>
  <c r="D63" i="101"/>
  <c r="H62" i="101"/>
  <c r="B54" i="102"/>
  <c r="F54" i="102"/>
  <c r="G54" i="102" s="1"/>
  <c r="I67" i="100"/>
  <c r="B136" i="100"/>
  <c r="E136" i="100"/>
  <c r="F136" i="100" s="1"/>
  <c r="H135" i="100"/>
  <c r="I135" i="100"/>
  <c r="D68" i="100"/>
  <c r="E68" i="100" s="1"/>
  <c r="E67" i="97"/>
  <c r="F67" i="97" s="1"/>
  <c r="B67" i="97"/>
  <c r="G53" i="13"/>
  <c r="H53" i="13"/>
  <c r="D54" i="13"/>
  <c r="I55" i="91"/>
  <c r="E65" i="99"/>
  <c r="F65" i="99" s="1"/>
  <c r="D66" i="99" s="1"/>
  <c r="B65" i="99"/>
  <c r="F55" i="98"/>
  <c r="G55" i="98" s="1"/>
  <c r="B55" i="98"/>
  <c r="B64" i="99"/>
  <c r="G64" i="99"/>
  <c r="H64" i="99"/>
  <c r="I64" i="27"/>
  <c r="D136" i="26"/>
  <c r="G135" i="26"/>
  <c r="J134" i="26"/>
  <c r="I56" i="80"/>
  <c r="D63" i="58"/>
  <c r="B63" i="58" s="1"/>
  <c r="I61" i="58"/>
  <c r="I61" i="46"/>
  <c r="I54" i="89"/>
  <c r="B59" i="67"/>
  <c r="F59" i="67"/>
  <c r="H59" i="67" s="1"/>
  <c r="B62" i="58"/>
  <c r="G62" i="58"/>
  <c r="H62" i="58"/>
  <c r="E62" i="46"/>
  <c r="F62" i="46" s="1"/>
  <c r="I64" i="24"/>
  <c r="E65" i="24"/>
  <c r="F65" i="24" s="1"/>
  <c r="B65" i="24"/>
  <c r="D65" i="42"/>
  <c r="E65" i="42" s="1"/>
  <c r="F65" i="42" s="1"/>
  <c r="H65" i="42" s="1"/>
  <c r="G64" i="42"/>
  <c r="I54" i="94"/>
  <c r="F57" i="80"/>
  <c r="B57" i="80"/>
  <c r="H55" i="25"/>
  <c r="G55" i="25"/>
  <c r="D56" i="25"/>
  <c r="D58" i="82"/>
  <c r="E58" i="82" s="1"/>
  <c r="F58" i="82" s="1"/>
  <c r="I59" i="64"/>
  <c r="I58" i="65"/>
  <c r="F54" i="93"/>
  <c r="H54" i="93" s="1"/>
  <c r="B54" i="93"/>
  <c r="H57" i="82"/>
  <c r="I57" i="82" s="1"/>
  <c r="B55" i="94"/>
  <c r="F55" i="94"/>
  <c r="G55" i="94" s="1"/>
  <c r="G56" i="86"/>
  <c r="D57" i="86"/>
  <c r="E57" i="86" s="1"/>
  <c r="H56" i="86"/>
  <c r="H62" i="55"/>
  <c r="D63" i="55"/>
  <c r="G62" i="55"/>
  <c r="G65" i="23"/>
  <c r="D66" i="23"/>
  <c r="E66" i="23" s="1"/>
  <c r="F66" i="23" s="1"/>
  <c r="D67" i="23" s="1"/>
  <c r="H65" i="23"/>
  <c r="D60" i="65"/>
  <c r="B60" i="65" s="1"/>
  <c r="E59" i="66"/>
  <c r="F59" i="66" s="1"/>
  <c r="B59" i="66"/>
  <c r="D58" i="75"/>
  <c r="E58" i="75" s="1"/>
  <c r="F58" i="75" s="1"/>
  <c r="D59" i="75" s="1"/>
  <c r="F56" i="84"/>
  <c r="B56" i="84"/>
  <c r="D61" i="53"/>
  <c r="E61" i="53" s="1"/>
  <c r="F61" i="53" s="1"/>
  <c r="B57" i="90"/>
  <c r="F57" i="90"/>
  <c r="H57" i="90" s="1"/>
  <c r="H57" i="75"/>
  <c r="H60" i="53"/>
  <c r="H64" i="42"/>
  <c r="B56" i="91"/>
  <c r="F56" i="91"/>
  <c r="I59" i="53"/>
  <c r="G57" i="75"/>
  <c r="G60" i="53"/>
  <c r="B59" i="65"/>
  <c r="H59" i="65"/>
  <c r="G59" i="65"/>
  <c r="D63" i="44"/>
  <c r="E63" i="44" s="1"/>
  <c r="G56" i="85"/>
  <c r="D57" i="85"/>
  <c r="E57" i="85" s="1"/>
  <c r="B63" i="39"/>
  <c r="G64" i="34"/>
  <c r="D65" i="34"/>
  <c r="H64" i="34"/>
  <c r="D60" i="61"/>
  <c r="E60" i="61" s="1"/>
  <c r="E65" i="27"/>
  <c r="F65" i="27" s="1"/>
  <c r="B65" i="27"/>
  <c r="H56" i="85"/>
  <c r="I53" i="96"/>
  <c r="I60" i="72"/>
  <c r="H54" i="95"/>
  <c r="I54" i="95" s="1"/>
  <c r="D55" i="95"/>
  <c r="E55" i="95" s="1"/>
  <c r="B59" i="61"/>
  <c r="H59" i="61"/>
  <c r="G59" i="61"/>
  <c r="G64" i="22"/>
  <c r="F57" i="76"/>
  <c r="H57" i="76" s="1"/>
  <c r="B57" i="76"/>
  <c r="E65" i="22"/>
  <c r="F65" i="22" s="1"/>
  <c r="B65" i="22"/>
  <c r="H64" i="22"/>
  <c r="D62" i="72"/>
  <c r="F56" i="81"/>
  <c r="G56" i="81" s="1"/>
  <c r="B56" i="81"/>
  <c r="E63" i="39"/>
  <c r="F63" i="39" s="1"/>
  <c r="B54" i="96"/>
  <c r="F54" i="96"/>
  <c r="H54" i="96" s="1"/>
  <c r="B62" i="44"/>
  <c r="G62" i="44"/>
  <c r="H62" i="44"/>
  <c r="B61" i="72"/>
  <c r="G61" i="72"/>
  <c r="H61" i="72"/>
  <c r="I58" i="60"/>
  <c r="G60" i="57"/>
  <c r="D61" i="57"/>
  <c r="H60" i="57"/>
  <c r="H59" i="56"/>
  <c r="D60" i="56"/>
  <c r="E60" i="56" s="1"/>
  <c r="F60" i="56" s="1"/>
  <c r="D61" i="56" s="1"/>
  <c r="G59" i="56"/>
  <c r="H66" i="71"/>
  <c r="D67" i="71"/>
  <c r="E67" i="71" s="1"/>
  <c r="F67" i="71" s="1"/>
  <c r="G66" i="71"/>
  <c r="D67" i="70"/>
  <c r="H66" i="70"/>
  <c r="G66" i="70"/>
  <c r="H63" i="41"/>
  <c r="D64" i="41"/>
  <c r="E64" i="41" s="1"/>
  <c r="G63" i="41"/>
  <c r="D68" i="29"/>
  <c r="H67" i="29"/>
  <c r="G67" i="29"/>
  <c r="E66" i="32"/>
  <c r="F66" i="32" s="1"/>
  <c r="B66" i="32"/>
  <c r="F59" i="63"/>
  <c r="B59" i="63"/>
  <c r="B67" i="3"/>
  <c r="H63" i="74"/>
  <c r="D64" i="74"/>
  <c r="F57" i="78"/>
  <c r="H57" i="78" s="1"/>
  <c r="B57" i="78"/>
  <c r="E56" i="83"/>
  <c r="D56" i="83"/>
  <c r="F57" i="79"/>
  <c r="G57" i="79" s="1"/>
  <c r="B57" i="79"/>
  <c r="H55" i="87"/>
  <c r="I55" i="87" s="1"/>
  <c r="I64" i="32"/>
  <c r="D67" i="31"/>
  <c r="E67" i="31" s="1"/>
  <c r="H66" i="31"/>
  <c r="D59" i="68"/>
  <c r="E59" i="68" s="1"/>
  <c r="I62" i="21"/>
  <c r="E60" i="64"/>
  <c r="F60" i="64" s="1"/>
  <c r="B60" i="64"/>
  <c r="B64" i="19"/>
  <c r="B55" i="92"/>
  <c r="F55" i="92"/>
  <c r="G55" i="92" s="1"/>
  <c r="D64" i="43"/>
  <c r="E64" i="43" s="1"/>
  <c r="D60" i="60"/>
  <c r="E60" i="60" s="1"/>
  <c r="I62" i="73"/>
  <c r="G61" i="45"/>
  <c r="I61" i="45" s="1"/>
  <c r="D62" i="45"/>
  <c r="G68" i="28"/>
  <c r="D69" i="28"/>
  <c r="H68" i="28"/>
  <c r="B60" i="54"/>
  <c r="F60" i="54"/>
  <c r="D61" i="54" s="1"/>
  <c r="G65" i="32"/>
  <c r="H63" i="43"/>
  <c r="H59" i="60"/>
  <c r="I59" i="60" s="1"/>
  <c r="G63" i="74"/>
  <c r="G66" i="31"/>
  <c r="F67" i="69"/>
  <c r="D68" i="69" s="1"/>
  <c r="B67" i="69"/>
  <c r="H65" i="17"/>
  <c r="D66" i="17"/>
  <c r="G55" i="83"/>
  <c r="F55" i="89"/>
  <c r="B55" i="89"/>
  <c r="E63" i="21"/>
  <c r="F63" i="21" s="1"/>
  <c r="B63" i="21"/>
  <c r="B57" i="77"/>
  <c r="F57" i="77"/>
  <c r="H57" i="77" s="1"/>
  <c r="E64" i="19"/>
  <c r="F64" i="19" s="1"/>
  <c r="H65" i="32"/>
  <c r="G63" i="43"/>
  <c r="E67" i="3"/>
  <c r="F67" i="3" s="1"/>
  <c r="D68" i="3" s="1"/>
  <c r="F65" i="30"/>
  <c r="D66" i="30" s="1"/>
  <c r="B65" i="30"/>
  <c r="G56" i="88"/>
  <c r="I56" i="88" s="1"/>
  <c r="E57" i="88"/>
  <c r="D57" i="88"/>
  <c r="G65" i="17"/>
  <c r="H55" i="83"/>
  <c r="H58" i="68"/>
  <c r="I58" i="68" s="1"/>
  <c r="J133" i="33"/>
  <c r="D63" i="20"/>
  <c r="E63" i="20" s="1"/>
  <c r="D57" i="33"/>
  <c r="E57" i="33" s="1"/>
  <c r="B63" i="73"/>
  <c r="D59" i="62"/>
  <c r="E63" i="73"/>
  <c r="F63" i="73" s="1"/>
  <c r="D56" i="26"/>
  <c r="E56" i="26" s="1"/>
  <c r="B64" i="18"/>
  <c r="G62" i="20"/>
  <c r="G55" i="26"/>
  <c r="H56" i="33"/>
  <c r="H62" i="20"/>
  <c r="F59" i="59"/>
  <c r="B59" i="59"/>
  <c r="H55" i="26"/>
  <c r="D56" i="87"/>
  <c r="E56" i="87"/>
  <c r="H58" i="62"/>
  <c r="I58" i="62" s="1"/>
  <c r="E64" i="18"/>
  <c r="F64" i="18" s="1"/>
  <c r="G56" i="33"/>
  <c r="J134" i="25"/>
  <c r="G134" i="33"/>
  <c r="D135" i="33"/>
  <c r="E135" i="33" s="1"/>
  <c r="D136" i="25"/>
  <c r="E136" i="25" s="1"/>
  <c r="G135" i="25"/>
  <c r="I62" i="101" l="1"/>
  <c r="H54" i="102"/>
  <c r="I54" i="102" s="1"/>
  <c r="D55" i="102"/>
  <c r="E55" i="102"/>
  <c r="E63" i="101"/>
  <c r="F63" i="101" s="1"/>
  <c r="H63" i="101" s="1"/>
  <c r="B63" i="101"/>
  <c r="D137" i="100"/>
  <c r="E137" i="100" s="1"/>
  <c r="G136" i="100"/>
  <c r="F68" i="100"/>
  <c r="G68" i="100" s="1"/>
  <c r="B68" i="100"/>
  <c r="D68" i="97"/>
  <c r="E68" i="97" s="1"/>
  <c r="F68" i="97" s="1"/>
  <c r="H67" i="97"/>
  <c r="G67" i="97"/>
  <c r="I53" i="13"/>
  <c r="E54" i="13"/>
  <c r="F54" i="13" s="1"/>
  <c r="B54" i="13"/>
  <c r="I64" i="99"/>
  <c r="I65" i="23"/>
  <c r="G57" i="90"/>
  <c r="I57" i="90" s="1"/>
  <c r="G65" i="99"/>
  <c r="D56" i="98"/>
  <c r="E56" i="98"/>
  <c r="E66" i="99"/>
  <c r="F66" i="99" s="1"/>
  <c r="D67" i="99" s="1"/>
  <c r="B66" i="99"/>
  <c r="H55" i="98"/>
  <c r="I55" i="98" s="1"/>
  <c r="H65" i="99"/>
  <c r="I55" i="25"/>
  <c r="E63" i="58"/>
  <c r="F63" i="58" s="1"/>
  <c r="I135" i="26"/>
  <c r="H135" i="26"/>
  <c r="B136" i="26"/>
  <c r="E136" i="26"/>
  <c r="F136" i="26" s="1"/>
  <c r="G59" i="67"/>
  <c r="I59" i="67" s="1"/>
  <c r="I62" i="58"/>
  <c r="I64" i="42"/>
  <c r="D60" i="67"/>
  <c r="E60" i="67" s="1"/>
  <c r="I60" i="57"/>
  <c r="D63" i="46"/>
  <c r="E63" i="46" s="1"/>
  <c r="F63" i="46" s="1"/>
  <c r="G62" i="46"/>
  <c r="H62" i="46"/>
  <c r="B65" i="42"/>
  <c r="H65" i="24"/>
  <c r="D66" i="24"/>
  <c r="G65" i="24"/>
  <c r="D66" i="27"/>
  <c r="B66" i="27" s="1"/>
  <c r="H55" i="94"/>
  <c r="I55" i="94" s="1"/>
  <c r="E55" i="93"/>
  <c r="D55" i="93"/>
  <c r="D59" i="82"/>
  <c r="E59" i="82" s="1"/>
  <c r="F59" i="82" s="1"/>
  <c r="G57" i="80"/>
  <c r="D58" i="80"/>
  <c r="G67" i="69"/>
  <c r="I61" i="72"/>
  <c r="I56" i="86"/>
  <c r="G54" i="93"/>
  <c r="I54" i="93" s="1"/>
  <c r="B58" i="82"/>
  <c r="G58" i="82"/>
  <c r="H58" i="82"/>
  <c r="H57" i="80"/>
  <c r="E60" i="65"/>
  <c r="F60" i="65" s="1"/>
  <c r="D61" i="65" s="1"/>
  <c r="E61" i="65" s="1"/>
  <c r="F57" i="86"/>
  <c r="H57" i="86" s="1"/>
  <c r="B57" i="86"/>
  <c r="D56" i="94"/>
  <c r="E56" i="94" s="1"/>
  <c r="E56" i="25"/>
  <c r="F56" i="25" s="1"/>
  <c r="B56" i="25"/>
  <c r="D60" i="66"/>
  <c r="E60" i="66" s="1"/>
  <c r="F60" i="66" s="1"/>
  <c r="G59" i="66"/>
  <c r="H59" i="66"/>
  <c r="D57" i="84"/>
  <c r="E57" i="84"/>
  <c r="I64" i="22"/>
  <c r="I59" i="65"/>
  <c r="G65" i="42"/>
  <c r="I65" i="42" s="1"/>
  <c r="D66" i="42"/>
  <c r="B61" i="53"/>
  <c r="G61" i="53"/>
  <c r="H61" i="53"/>
  <c r="G56" i="84"/>
  <c r="E59" i="75"/>
  <c r="F59" i="75" s="1"/>
  <c r="B59" i="75"/>
  <c r="E67" i="23"/>
  <c r="F67" i="23" s="1"/>
  <c r="B67" i="23"/>
  <c r="B63" i="55"/>
  <c r="D62" i="53"/>
  <c r="G57" i="76"/>
  <c r="I57" i="76" s="1"/>
  <c r="I59" i="61"/>
  <c r="I60" i="53"/>
  <c r="D58" i="90"/>
  <c r="E58" i="90" s="1"/>
  <c r="H56" i="84"/>
  <c r="B58" i="75"/>
  <c r="H58" i="75"/>
  <c r="G58" i="75"/>
  <c r="B66" i="23"/>
  <c r="H66" i="23"/>
  <c r="G66" i="23"/>
  <c r="E63" i="55"/>
  <c r="F63" i="55" s="1"/>
  <c r="I65" i="32"/>
  <c r="H56" i="91"/>
  <c r="G56" i="91"/>
  <c r="D57" i="91"/>
  <c r="E57" i="91" s="1"/>
  <c r="I57" i="75"/>
  <c r="I62" i="55"/>
  <c r="D64" i="39"/>
  <c r="E64" i="39" s="1"/>
  <c r="G63" i="39"/>
  <c r="H63" i="39"/>
  <c r="B65" i="34"/>
  <c r="D66" i="22"/>
  <c r="F60" i="61"/>
  <c r="B60" i="61"/>
  <c r="B62" i="72"/>
  <c r="G65" i="30"/>
  <c r="H60" i="54"/>
  <c r="E57" i="81"/>
  <c r="D57" i="81"/>
  <c r="H65" i="22"/>
  <c r="B55" i="95"/>
  <c r="F55" i="95"/>
  <c r="H55" i="95" s="1"/>
  <c r="I56" i="85"/>
  <c r="H65" i="27"/>
  <c r="I64" i="34"/>
  <c r="H65" i="30"/>
  <c r="I62" i="44"/>
  <c r="G54" i="96"/>
  <c r="I54" i="96" s="1"/>
  <c r="D55" i="96"/>
  <c r="E55" i="96" s="1"/>
  <c r="H56" i="81"/>
  <c r="I56" i="81" s="1"/>
  <c r="E62" i="72"/>
  <c r="F62" i="72" s="1"/>
  <c r="G65" i="22"/>
  <c r="D58" i="76"/>
  <c r="E58" i="76" s="1"/>
  <c r="G65" i="27"/>
  <c r="E65" i="34"/>
  <c r="F65" i="34" s="1"/>
  <c r="B57" i="85"/>
  <c r="F57" i="85"/>
  <c r="H57" i="85" s="1"/>
  <c r="B63" i="44"/>
  <c r="F63" i="44"/>
  <c r="I66" i="70"/>
  <c r="I65" i="17"/>
  <c r="I55" i="83"/>
  <c r="D65" i="19"/>
  <c r="G64" i="19"/>
  <c r="H64" i="19"/>
  <c r="D61" i="64"/>
  <c r="E61" i="64" s="1"/>
  <c r="H60" i="64"/>
  <c r="G60" i="64"/>
  <c r="D64" i="21"/>
  <c r="E64" i="21" s="1"/>
  <c r="H63" i="21"/>
  <c r="G63" i="21"/>
  <c r="D68" i="71"/>
  <c r="E68" i="71" s="1"/>
  <c r="F68" i="71" s="1"/>
  <c r="E68" i="3"/>
  <c r="F68" i="3" s="1"/>
  <c r="B68" i="3"/>
  <c r="F56" i="83"/>
  <c r="H56" i="83" s="1"/>
  <c r="B56" i="83"/>
  <c r="G67" i="3"/>
  <c r="D67" i="32"/>
  <c r="E67" i="32" s="1"/>
  <c r="G55" i="89"/>
  <c r="E56" i="89"/>
  <c r="D56" i="89"/>
  <c r="I63" i="43"/>
  <c r="E62" i="45"/>
  <c r="F62" i="45" s="1"/>
  <c r="B62" i="45"/>
  <c r="H67" i="3"/>
  <c r="E67" i="70"/>
  <c r="F67" i="70" s="1"/>
  <c r="G67" i="70" s="1"/>
  <c r="B67" i="70"/>
  <c r="I59" i="56"/>
  <c r="E68" i="69"/>
  <c r="F68" i="69" s="1"/>
  <c r="B68" i="69"/>
  <c r="I68" i="28"/>
  <c r="H55" i="92"/>
  <c r="I55" i="92" s="1"/>
  <c r="E56" i="92"/>
  <c r="D56" i="92"/>
  <c r="F59" i="68"/>
  <c r="D60" i="68" s="1"/>
  <c r="B59" i="68"/>
  <c r="I66" i="31"/>
  <c r="D58" i="79"/>
  <c r="E58" i="79" s="1"/>
  <c r="E64" i="74"/>
  <c r="F64" i="74" s="1"/>
  <c r="H64" i="74" s="1"/>
  <c r="B64" i="74"/>
  <c r="E68" i="29"/>
  <c r="F68" i="29" s="1"/>
  <c r="B68" i="29"/>
  <c r="E61" i="56"/>
  <c r="F61" i="56" s="1"/>
  <c r="B61" i="56"/>
  <c r="E61" i="57"/>
  <c r="F61" i="57" s="1"/>
  <c r="H61" i="57" s="1"/>
  <c r="B61" i="57"/>
  <c r="B66" i="17"/>
  <c r="D58" i="78"/>
  <c r="E58" i="78" s="1"/>
  <c r="H59" i="63"/>
  <c r="D60" i="63"/>
  <c r="F57" i="88"/>
  <c r="B57" i="88"/>
  <c r="D58" i="77"/>
  <c r="E58" i="77" s="1"/>
  <c r="E61" i="54"/>
  <c r="F61" i="54" s="1"/>
  <c r="B61" i="54"/>
  <c r="B60" i="60"/>
  <c r="F60" i="60"/>
  <c r="H60" i="60" s="1"/>
  <c r="G57" i="78"/>
  <c r="I57" i="78" s="1"/>
  <c r="G59" i="63"/>
  <c r="G66" i="32"/>
  <c r="I67" i="29"/>
  <c r="F64" i="41"/>
  <c r="B64" i="41"/>
  <c r="I66" i="71"/>
  <c r="E66" i="30"/>
  <c r="F66" i="30" s="1"/>
  <c r="B66" i="30"/>
  <c r="G57" i="77"/>
  <c r="I57" i="77" s="1"/>
  <c r="H55" i="89"/>
  <c r="E66" i="17"/>
  <c r="F66" i="17" s="1"/>
  <c r="H66" i="17" s="1"/>
  <c r="H67" i="69"/>
  <c r="G60" i="54"/>
  <c r="E69" i="28"/>
  <c r="F69" i="28" s="1"/>
  <c r="B69" i="28"/>
  <c r="F64" i="43"/>
  <c r="B64" i="43"/>
  <c r="F67" i="31"/>
  <c r="H67" i="31" s="1"/>
  <c r="B67" i="31"/>
  <c r="H57" i="79"/>
  <c r="I57" i="79" s="1"/>
  <c r="I63" i="74"/>
  <c r="H66" i="32"/>
  <c r="I63" i="41"/>
  <c r="B67" i="71"/>
  <c r="G67" i="71"/>
  <c r="H67" i="71"/>
  <c r="B60" i="56"/>
  <c r="G60" i="56"/>
  <c r="H60" i="56"/>
  <c r="D64" i="73"/>
  <c r="E64" i="73" s="1"/>
  <c r="H63" i="73"/>
  <c r="G63" i="73"/>
  <c r="D65" i="18"/>
  <c r="G64" i="18"/>
  <c r="H64" i="18"/>
  <c r="D60" i="59"/>
  <c r="E60" i="59" s="1"/>
  <c r="I62" i="20"/>
  <c r="B56" i="26"/>
  <c r="F56" i="26"/>
  <c r="G56" i="26" s="1"/>
  <c r="B59" i="62"/>
  <c r="I55" i="26"/>
  <c r="H59" i="59"/>
  <c r="I56" i="33"/>
  <c r="B57" i="33"/>
  <c r="F57" i="33"/>
  <c r="H57" i="33" s="1"/>
  <c r="B56" i="87"/>
  <c r="F56" i="87"/>
  <c r="H56" i="87" s="1"/>
  <c r="G59" i="59"/>
  <c r="E59" i="62"/>
  <c r="F59" i="62" s="1"/>
  <c r="B63" i="20"/>
  <c r="F63" i="20"/>
  <c r="H63" i="20" s="1"/>
  <c r="B136" i="25"/>
  <c r="F136" i="25"/>
  <c r="B135" i="33"/>
  <c r="F135" i="33"/>
  <c r="H134" i="33"/>
  <c r="I134" i="33"/>
  <c r="H135" i="25"/>
  <c r="I135" i="25"/>
  <c r="G63" i="101" l="1"/>
  <c r="I63" i="101" s="1"/>
  <c r="D64" i="101"/>
  <c r="H68" i="100"/>
  <c r="F55" i="102"/>
  <c r="H55" i="102" s="1"/>
  <c r="B55" i="102"/>
  <c r="I136" i="100"/>
  <c r="H136" i="100"/>
  <c r="B137" i="100"/>
  <c r="F137" i="100"/>
  <c r="I68" i="100"/>
  <c r="D69" i="100"/>
  <c r="E69" i="100" s="1"/>
  <c r="I67" i="97"/>
  <c r="B68" i="97"/>
  <c r="D69" i="97"/>
  <c r="E69" i="97" s="1"/>
  <c r="F69" i="97" s="1"/>
  <c r="H69" i="97" s="1"/>
  <c r="G68" i="97"/>
  <c r="H68" i="97"/>
  <c r="H54" i="13"/>
  <c r="D55" i="13"/>
  <c r="G54" i="13"/>
  <c r="H60" i="65"/>
  <c r="I66" i="32"/>
  <c r="G57" i="33"/>
  <c r="I57" i="33" s="1"/>
  <c r="I65" i="99"/>
  <c r="E67" i="99"/>
  <c r="F67" i="99" s="1"/>
  <c r="B67" i="99"/>
  <c r="H66" i="99"/>
  <c r="F60" i="67"/>
  <c r="D61" i="67" s="1"/>
  <c r="E61" i="67" s="1"/>
  <c r="F61" i="67" s="1"/>
  <c r="D62" i="67" s="1"/>
  <c r="G66" i="99"/>
  <c r="F56" i="98"/>
  <c r="B56" i="98"/>
  <c r="I65" i="30"/>
  <c r="I59" i="66"/>
  <c r="G63" i="58"/>
  <c r="H63" i="58"/>
  <c r="D64" i="58"/>
  <c r="D137" i="26"/>
  <c r="B137" i="26" s="1"/>
  <c r="G136" i="26"/>
  <c r="J135" i="26"/>
  <c r="G55" i="95"/>
  <c r="I55" i="95" s="1"/>
  <c r="I55" i="89"/>
  <c r="I67" i="69"/>
  <c r="B61" i="65"/>
  <c r="G60" i="65"/>
  <c r="F61" i="65"/>
  <c r="D62" i="65" s="1"/>
  <c r="I63" i="39"/>
  <c r="I56" i="84"/>
  <c r="I58" i="82"/>
  <c r="G64" i="74"/>
  <c r="I64" i="74" s="1"/>
  <c r="B60" i="67"/>
  <c r="I62" i="46"/>
  <c r="D64" i="46"/>
  <c r="E64" i="46" s="1"/>
  <c r="F64" i="46" s="1"/>
  <c r="D65" i="46" s="1"/>
  <c r="B63" i="46"/>
  <c r="G63" i="46"/>
  <c r="H63" i="46"/>
  <c r="E66" i="24"/>
  <c r="F66" i="24" s="1"/>
  <c r="G66" i="24" s="1"/>
  <c r="B66" i="24"/>
  <c r="I65" i="24"/>
  <c r="H56" i="25"/>
  <c r="G56" i="25"/>
  <c r="D57" i="25"/>
  <c r="I56" i="91"/>
  <c r="D60" i="82"/>
  <c r="D58" i="86"/>
  <c r="G57" i="86"/>
  <c r="I57" i="86" s="1"/>
  <c r="I60" i="54"/>
  <c r="B56" i="94"/>
  <c r="F56" i="94"/>
  <c r="H56" i="94" s="1"/>
  <c r="B59" i="82"/>
  <c r="H59" i="82"/>
  <c r="G59" i="82"/>
  <c r="E66" i="27"/>
  <c r="F66" i="27" s="1"/>
  <c r="I64" i="19"/>
  <c r="I57" i="80"/>
  <c r="E58" i="80"/>
  <c r="F58" i="80" s="1"/>
  <c r="B58" i="80"/>
  <c r="F55" i="93"/>
  <c r="B55" i="93"/>
  <c r="H63" i="55"/>
  <c r="D64" i="55"/>
  <c r="G63" i="55"/>
  <c r="D60" i="75"/>
  <c r="G59" i="75"/>
  <c r="H59" i="75"/>
  <c r="G67" i="23"/>
  <c r="H67" i="23"/>
  <c r="D68" i="23"/>
  <c r="B68" i="23" s="1"/>
  <c r="D61" i="66"/>
  <c r="E61" i="66" s="1"/>
  <c r="F61" i="66" s="1"/>
  <c r="G57" i="85"/>
  <c r="I57" i="85" s="1"/>
  <c r="I58" i="75"/>
  <c r="F58" i="90"/>
  <c r="B58" i="90"/>
  <c r="E66" i="42"/>
  <c r="F66" i="42" s="1"/>
  <c r="H66" i="42" s="1"/>
  <c r="B66" i="42"/>
  <c r="B62" i="53"/>
  <c r="I66" i="23"/>
  <c r="I61" i="53"/>
  <c r="H59" i="68"/>
  <c r="F57" i="91"/>
  <c r="G57" i="91" s="1"/>
  <c r="B57" i="91"/>
  <c r="E62" i="53"/>
  <c r="F62" i="53" s="1"/>
  <c r="B57" i="84"/>
  <c r="F57" i="84"/>
  <c r="H57" i="84" s="1"/>
  <c r="B60" i="66"/>
  <c r="H60" i="66"/>
  <c r="G60" i="66"/>
  <c r="H68" i="69"/>
  <c r="G68" i="69"/>
  <c r="D66" i="34"/>
  <c r="G65" i="34"/>
  <c r="H65" i="34"/>
  <c r="D63" i="72"/>
  <c r="E63" i="72" s="1"/>
  <c r="F63" i="72" s="1"/>
  <c r="H62" i="72"/>
  <c r="G62" i="72"/>
  <c r="B57" i="81"/>
  <c r="F57" i="81"/>
  <c r="G57" i="81" s="1"/>
  <c r="B66" i="22"/>
  <c r="G67" i="31"/>
  <c r="I67" i="31" s="1"/>
  <c r="G59" i="68"/>
  <c r="I65" i="27"/>
  <c r="D56" i="95"/>
  <c r="E56" i="95" s="1"/>
  <c r="H60" i="61"/>
  <c r="D61" i="61"/>
  <c r="D58" i="85"/>
  <c r="E58" i="85" s="1"/>
  <c r="F55" i="96"/>
  <c r="B55" i="96"/>
  <c r="G56" i="87"/>
  <c r="I56" i="87" s="1"/>
  <c r="D64" i="44"/>
  <c r="E64" i="44" s="1"/>
  <c r="H63" i="44"/>
  <c r="G63" i="44"/>
  <c r="B58" i="76"/>
  <c r="F58" i="76"/>
  <c r="G58" i="76" s="1"/>
  <c r="I65" i="22"/>
  <c r="G60" i="61"/>
  <c r="E66" i="22"/>
  <c r="F66" i="22" s="1"/>
  <c r="B64" i="39"/>
  <c r="F64" i="39"/>
  <c r="G64" i="39" s="1"/>
  <c r="I67" i="71"/>
  <c r="I63" i="21"/>
  <c r="I60" i="64"/>
  <c r="I59" i="63"/>
  <c r="I60" i="56"/>
  <c r="I67" i="3"/>
  <c r="D70" i="28"/>
  <c r="G69" i="28"/>
  <c r="H69" i="28"/>
  <c r="G66" i="30"/>
  <c r="D67" i="30"/>
  <c r="H66" i="30"/>
  <c r="D69" i="29"/>
  <c r="G68" i="29"/>
  <c r="H68" i="29"/>
  <c r="H62" i="45"/>
  <c r="D63" i="45"/>
  <c r="G62" i="45"/>
  <c r="G68" i="3"/>
  <c r="D69" i="3"/>
  <c r="B69" i="3" s="1"/>
  <c r="H68" i="3"/>
  <c r="D65" i="41"/>
  <c r="E65" i="41" s="1"/>
  <c r="H61" i="54"/>
  <c r="D62" i="54"/>
  <c r="F58" i="79"/>
  <c r="H58" i="79" s="1"/>
  <c r="B58" i="79"/>
  <c r="D58" i="88"/>
  <c r="E58" i="88" s="1"/>
  <c r="D69" i="71"/>
  <c r="E69" i="71" s="1"/>
  <c r="F69" i="71" s="1"/>
  <c r="G64" i="43"/>
  <c r="D65" i="43"/>
  <c r="G64" i="41"/>
  <c r="H57" i="88"/>
  <c r="B60" i="63"/>
  <c r="B58" i="78"/>
  <c r="F58" i="78"/>
  <c r="G58" i="78" s="1"/>
  <c r="D65" i="74"/>
  <c r="E65" i="74" s="1"/>
  <c r="F65" i="74" s="1"/>
  <c r="D68" i="70"/>
  <c r="E68" i="70" s="1"/>
  <c r="B67" i="32"/>
  <c r="F67" i="32"/>
  <c r="H67" i="32" s="1"/>
  <c r="G56" i="83"/>
  <c r="I56" i="83" s="1"/>
  <c r="D57" i="83"/>
  <c r="E57" i="83"/>
  <c r="B68" i="71"/>
  <c r="G68" i="71"/>
  <c r="H68" i="71"/>
  <c r="B64" i="21"/>
  <c r="F64" i="21"/>
  <c r="B61" i="64"/>
  <c r="F61" i="64"/>
  <c r="G61" i="64" s="1"/>
  <c r="D62" i="57"/>
  <c r="E62" i="57" s="1"/>
  <c r="G61" i="56"/>
  <c r="D62" i="56"/>
  <c r="F56" i="92"/>
  <c r="H56" i="92" s="1"/>
  <c r="B56" i="92"/>
  <c r="G60" i="60"/>
  <c r="I60" i="60" s="1"/>
  <c r="D61" i="60"/>
  <c r="E61" i="60" s="1"/>
  <c r="F61" i="60" s="1"/>
  <c r="D62" i="60" s="1"/>
  <c r="G61" i="57"/>
  <c r="I61" i="57" s="1"/>
  <c r="D69" i="69"/>
  <c r="I59" i="59"/>
  <c r="D68" i="31"/>
  <c r="E68" i="31" s="1"/>
  <c r="H64" i="43"/>
  <c r="D67" i="17"/>
  <c r="E67" i="17" s="1"/>
  <c r="H64" i="41"/>
  <c r="G61" i="54"/>
  <c r="F58" i="77"/>
  <c r="D59" i="77" s="1"/>
  <c r="B58" i="77"/>
  <c r="G57" i="88"/>
  <c r="E60" i="63"/>
  <c r="F60" i="63" s="1"/>
  <c r="G66" i="17"/>
  <c r="I66" i="17" s="1"/>
  <c r="H61" i="56"/>
  <c r="E60" i="68"/>
  <c r="F60" i="68" s="1"/>
  <c r="H60" i="68" s="1"/>
  <c r="B60" i="68"/>
  <c r="H67" i="70"/>
  <c r="I67" i="70" s="1"/>
  <c r="F56" i="89"/>
  <c r="H56" i="89" s="1"/>
  <c r="B56" i="89"/>
  <c r="E65" i="19"/>
  <c r="F65" i="19" s="1"/>
  <c r="H65" i="19" s="1"/>
  <c r="B65" i="19"/>
  <c r="D60" i="62"/>
  <c r="H59" i="62"/>
  <c r="G59" i="62"/>
  <c r="D64" i="20"/>
  <c r="E64" i="20" s="1"/>
  <c r="D57" i="87"/>
  <c r="E57" i="87" s="1"/>
  <c r="B65" i="18"/>
  <c r="I63" i="73"/>
  <c r="D57" i="26"/>
  <c r="G63" i="20"/>
  <c r="I63" i="20" s="1"/>
  <c r="D58" i="33"/>
  <c r="E65" i="18"/>
  <c r="F65" i="18" s="1"/>
  <c r="H56" i="26"/>
  <c r="I56" i="26" s="1"/>
  <c r="F60" i="59"/>
  <c r="G60" i="59" s="1"/>
  <c r="B60" i="59"/>
  <c r="I64" i="18"/>
  <c r="F64" i="73"/>
  <c r="G64" i="73" s="1"/>
  <c r="B64" i="73"/>
  <c r="G135" i="33"/>
  <c r="D136" i="33"/>
  <c r="E136" i="33" s="1"/>
  <c r="G136" i="25"/>
  <c r="D137" i="25"/>
  <c r="E137" i="25" s="1"/>
  <c r="J135" i="25"/>
  <c r="J134" i="33"/>
  <c r="G55" i="102" l="1"/>
  <c r="I55" i="102" s="1"/>
  <c r="D56" i="102"/>
  <c r="E64" i="101"/>
  <c r="F64" i="101" s="1"/>
  <c r="G64" i="101" s="1"/>
  <c r="B64" i="101"/>
  <c r="D138" i="100"/>
  <c r="G137" i="100"/>
  <c r="B69" i="100"/>
  <c r="F69" i="100"/>
  <c r="G69" i="100"/>
  <c r="H69" i="100"/>
  <c r="G60" i="67"/>
  <c r="B69" i="97"/>
  <c r="I68" i="97"/>
  <c r="D70" i="97"/>
  <c r="E70" i="97" s="1"/>
  <c r="F70" i="97" s="1"/>
  <c r="D71" i="97" s="1"/>
  <c r="I54" i="13"/>
  <c r="G69" i="97"/>
  <c r="I69" i="97" s="1"/>
  <c r="B55" i="13"/>
  <c r="E55" i="13"/>
  <c r="F55" i="13" s="1"/>
  <c r="I60" i="65"/>
  <c r="H60" i="67"/>
  <c r="E137" i="26"/>
  <c r="F137" i="26" s="1"/>
  <c r="I63" i="58"/>
  <c r="D68" i="99"/>
  <c r="H67" i="99"/>
  <c r="G67" i="99"/>
  <c r="D57" i="98"/>
  <c r="E57" i="98" s="1"/>
  <c r="H56" i="98"/>
  <c r="I66" i="99"/>
  <c r="I63" i="46"/>
  <c r="G56" i="98"/>
  <c r="G61" i="65"/>
  <c r="E64" i="58"/>
  <c r="F64" i="58" s="1"/>
  <c r="D65" i="58" s="1"/>
  <c r="B65" i="58" s="1"/>
  <c r="B64" i="58"/>
  <c r="H66" i="24"/>
  <c r="I66" i="24" s="1"/>
  <c r="H136" i="26"/>
  <c r="I136" i="26"/>
  <c r="I59" i="68"/>
  <c r="E62" i="67"/>
  <c r="F62" i="67" s="1"/>
  <c r="B62" i="67"/>
  <c r="H61" i="65"/>
  <c r="I64" i="41"/>
  <c r="H64" i="39"/>
  <c r="I64" i="39" s="1"/>
  <c r="G56" i="94"/>
  <c r="I56" i="94" s="1"/>
  <c r="I59" i="82"/>
  <c r="B61" i="67"/>
  <c r="G61" i="67"/>
  <c r="H61" i="67"/>
  <c r="E65" i="46"/>
  <c r="F65" i="46" s="1"/>
  <c r="H65" i="46" s="1"/>
  <c r="B65" i="46"/>
  <c r="B64" i="46"/>
  <c r="G64" i="46"/>
  <c r="H64" i="46"/>
  <c r="I69" i="28"/>
  <c r="D67" i="24"/>
  <c r="E67" i="24" s="1"/>
  <c r="F67" i="24" s="1"/>
  <c r="D68" i="24" s="1"/>
  <c r="I60" i="61"/>
  <c r="D56" i="93"/>
  <c r="E56" i="93"/>
  <c r="D59" i="80"/>
  <c r="E59" i="80" s="1"/>
  <c r="B60" i="82"/>
  <c r="I62" i="45"/>
  <c r="G55" i="93"/>
  <c r="H58" i="80"/>
  <c r="D67" i="27"/>
  <c r="G66" i="27"/>
  <c r="H66" i="27"/>
  <c r="E60" i="82"/>
  <c r="F60" i="82" s="1"/>
  <c r="E57" i="25"/>
  <c r="F57" i="25" s="1"/>
  <c r="B57" i="25"/>
  <c r="H61" i="64"/>
  <c r="I61" i="64" s="1"/>
  <c r="I68" i="29"/>
  <c r="H57" i="91"/>
  <c r="I57" i="91" s="1"/>
  <c r="I63" i="55"/>
  <c r="H55" i="93"/>
  <c r="G58" i="80"/>
  <c r="E57" i="94"/>
  <c r="D57" i="94"/>
  <c r="E58" i="86"/>
  <c r="F58" i="86" s="1"/>
  <c r="B58" i="86"/>
  <c r="I56" i="25"/>
  <c r="D62" i="66"/>
  <c r="B62" i="66" s="1"/>
  <c r="D70" i="71"/>
  <c r="B70" i="71" s="1"/>
  <c r="I67" i="23"/>
  <c r="I59" i="75"/>
  <c r="D63" i="53"/>
  <c r="H62" i="53"/>
  <c r="G58" i="90"/>
  <c r="D59" i="90"/>
  <c r="G56" i="89"/>
  <c r="I56" i="89" s="1"/>
  <c r="G57" i="84"/>
  <c r="I57" i="84" s="1"/>
  <c r="D58" i="84"/>
  <c r="E58" i="84" s="1"/>
  <c r="H58" i="90"/>
  <c r="H61" i="66"/>
  <c r="G61" i="66"/>
  <c r="B61" i="66"/>
  <c r="E64" i="55"/>
  <c r="F64" i="55" s="1"/>
  <c r="B64" i="55"/>
  <c r="B60" i="75"/>
  <c r="I60" i="66"/>
  <c r="D58" i="91"/>
  <c r="E58" i="91" s="1"/>
  <c r="G62" i="53"/>
  <c r="G66" i="42"/>
  <c r="I66" i="42" s="1"/>
  <c r="D67" i="42"/>
  <c r="E67" i="42" s="1"/>
  <c r="F67" i="42" s="1"/>
  <c r="E68" i="23"/>
  <c r="F68" i="23" s="1"/>
  <c r="E60" i="75"/>
  <c r="F60" i="75" s="1"/>
  <c r="H60" i="75" s="1"/>
  <c r="D67" i="22"/>
  <c r="E67" i="22" s="1"/>
  <c r="H66" i="22"/>
  <c r="G66" i="22"/>
  <c r="D64" i="72"/>
  <c r="E64" i="72" s="1"/>
  <c r="F64" i="72" s="1"/>
  <c r="H60" i="59"/>
  <c r="I60" i="59" s="1"/>
  <c r="I68" i="71"/>
  <c r="E69" i="3"/>
  <c r="F69" i="3" s="1"/>
  <c r="D70" i="3" s="1"/>
  <c r="B70" i="3" s="1"/>
  <c r="H58" i="76"/>
  <c r="I58" i="76" s="1"/>
  <c r="D59" i="76"/>
  <c r="E59" i="76" s="1"/>
  <c r="I63" i="44"/>
  <c r="D56" i="96"/>
  <c r="E56" i="96"/>
  <c r="E61" i="61"/>
  <c r="F61" i="61" s="1"/>
  <c r="H61" i="61" s="1"/>
  <c r="B61" i="61"/>
  <c r="B63" i="72"/>
  <c r="G63" i="72"/>
  <c r="H63" i="72"/>
  <c r="B66" i="34"/>
  <c r="I68" i="3"/>
  <c r="F64" i="44"/>
  <c r="H64" i="44" s="1"/>
  <c r="B64" i="44"/>
  <c r="G55" i="96"/>
  <c r="I65" i="34"/>
  <c r="D65" i="39"/>
  <c r="E65" i="39" s="1"/>
  <c r="H55" i="96"/>
  <c r="F58" i="85"/>
  <c r="H58" i="85" s="1"/>
  <c r="B58" i="85"/>
  <c r="F56" i="95"/>
  <c r="G56" i="95" s="1"/>
  <c r="B56" i="95"/>
  <c r="H57" i="81"/>
  <c r="I57" i="81" s="1"/>
  <c r="D58" i="81"/>
  <c r="I62" i="72"/>
  <c r="E66" i="34"/>
  <c r="F66" i="34" s="1"/>
  <c r="I68" i="69"/>
  <c r="I61" i="56"/>
  <c r="H60" i="63"/>
  <c r="D61" i="63"/>
  <c r="G60" i="63"/>
  <c r="B69" i="69"/>
  <c r="B62" i="65"/>
  <c r="E62" i="65"/>
  <c r="F62" i="65" s="1"/>
  <c r="B69" i="29"/>
  <c r="G65" i="19"/>
  <c r="I65" i="19" s="1"/>
  <c r="D66" i="19"/>
  <c r="G60" i="68"/>
  <c r="I60" i="68" s="1"/>
  <c r="D61" i="68"/>
  <c r="E61" i="68" s="1"/>
  <c r="F61" i="68" s="1"/>
  <c r="H58" i="77"/>
  <c r="I61" i="54"/>
  <c r="G67" i="32"/>
  <c r="I67" i="32" s="1"/>
  <c r="D68" i="32"/>
  <c r="B63" i="45"/>
  <c r="E69" i="29"/>
  <c r="F69" i="29" s="1"/>
  <c r="H64" i="73"/>
  <c r="I64" i="73" s="1"/>
  <c r="G58" i="77"/>
  <c r="I64" i="43"/>
  <c r="E62" i="60"/>
  <c r="F62" i="60" s="1"/>
  <c r="G62" i="60" s="1"/>
  <c r="B62" i="60"/>
  <c r="E62" i="56"/>
  <c r="F62" i="56" s="1"/>
  <c r="H62" i="56" s="1"/>
  <c r="B62" i="56"/>
  <c r="B57" i="83"/>
  <c r="F57" i="83"/>
  <c r="H57" i="83" s="1"/>
  <c r="B65" i="74"/>
  <c r="G65" i="74"/>
  <c r="H65" i="74"/>
  <c r="B58" i="88"/>
  <c r="F58" i="88"/>
  <c r="D59" i="88" s="1"/>
  <c r="D59" i="79"/>
  <c r="E63" i="45"/>
  <c r="F63" i="45" s="1"/>
  <c r="I66" i="30"/>
  <c r="E70" i="28"/>
  <c r="F70" i="28" s="1"/>
  <c r="B70" i="28"/>
  <c r="E59" i="77"/>
  <c r="F59" i="77" s="1"/>
  <c r="B59" i="77"/>
  <c r="G64" i="21"/>
  <c r="D65" i="21"/>
  <c r="B65" i="43"/>
  <c r="B67" i="30"/>
  <c r="F67" i="17"/>
  <c r="D68" i="17" s="1"/>
  <c r="B67" i="17"/>
  <c r="E69" i="69"/>
  <c r="F69" i="69" s="1"/>
  <c r="F62" i="57"/>
  <c r="G62" i="57" s="1"/>
  <c r="B62" i="57"/>
  <c r="D66" i="74"/>
  <c r="E66" i="74" s="1"/>
  <c r="F66" i="74" s="1"/>
  <c r="I57" i="88"/>
  <c r="D57" i="89"/>
  <c r="E57" i="89"/>
  <c r="B68" i="31"/>
  <c r="F68" i="31"/>
  <c r="B61" i="60"/>
  <c r="H61" i="60"/>
  <c r="G61" i="60"/>
  <c r="G56" i="92"/>
  <c r="I56" i="92" s="1"/>
  <c r="D57" i="92"/>
  <c r="E57" i="92"/>
  <c r="D62" i="64"/>
  <c r="H64" i="21"/>
  <c r="F68" i="70"/>
  <c r="G68" i="70" s="1"/>
  <c r="B68" i="70"/>
  <c r="H58" i="78"/>
  <c r="I58" i="78" s="1"/>
  <c r="D59" i="78"/>
  <c r="E65" i="43"/>
  <c r="F65" i="43" s="1"/>
  <c r="H65" i="43" s="1"/>
  <c r="B69" i="71"/>
  <c r="G69" i="71"/>
  <c r="H69" i="71"/>
  <c r="G58" i="79"/>
  <c r="I58" i="79" s="1"/>
  <c r="E62" i="54"/>
  <c r="F62" i="54" s="1"/>
  <c r="B62" i="54"/>
  <c r="B65" i="41"/>
  <c r="F65" i="41"/>
  <c r="E67" i="30"/>
  <c r="F67" i="30" s="1"/>
  <c r="D68" i="30" s="1"/>
  <c r="D66" i="18"/>
  <c r="E66" i="18" s="1"/>
  <c r="H65" i="18"/>
  <c r="G65" i="18"/>
  <c r="B58" i="33"/>
  <c r="E58" i="33"/>
  <c r="F58" i="33" s="1"/>
  <c r="I59" i="62"/>
  <c r="B57" i="87"/>
  <c r="F57" i="87"/>
  <c r="G57" i="87" s="1"/>
  <c r="B57" i="26"/>
  <c r="B60" i="62"/>
  <c r="D65" i="73"/>
  <c r="E65" i="73" s="1"/>
  <c r="D61" i="59"/>
  <c r="E61" i="59" s="1"/>
  <c r="E57" i="26"/>
  <c r="F57" i="26" s="1"/>
  <c r="B64" i="20"/>
  <c r="F64" i="20"/>
  <c r="H64" i="20" s="1"/>
  <c r="E60" i="62"/>
  <c r="F60" i="62" s="1"/>
  <c r="F137" i="25"/>
  <c r="B137" i="25"/>
  <c r="B136" i="33"/>
  <c r="F136" i="33"/>
  <c r="I136" i="25"/>
  <c r="H136" i="25"/>
  <c r="I135" i="33"/>
  <c r="H135" i="33"/>
  <c r="H64" i="101" l="1"/>
  <c r="I64" i="101" s="1"/>
  <c r="D65" i="101"/>
  <c r="E56" i="102"/>
  <c r="F56" i="102" s="1"/>
  <c r="G56" i="102" s="1"/>
  <c r="B56" i="102"/>
  <c r="B138" i="100"/>
  <c r="E138" i="100"/>
  <c r="F138" i="100" s="1"/>
  <c r="I137" i="100"/>
  <c r="H137" i="100"/>
  <c r="I69" i="100"/>
  <c r="D70" i="100"/>
  <c r="E70" i="100" s="1"/>
  <c r="I60" i="67"/>
  <c r="E71" i="97"/>
  <c r="F71" i="97" s="1"/>
  <c r="G71" i="97" s="1"/>
  <c r="B71" i="97"/>
  <c r="B70" i="97"/>
  <c r="G70" i="97"/>
  <c r="H70" i="97"/>
  <c r="G55" i="13"/>
  <c r="H55" i="13"/>
  <c r="D56" i="13"/>
  <c r="I55" i="93"/>
  <c r="I61" i="65"/>
  <c r="E65" i="58"/>
  <c r="F65" i="58" s="1"/>
  <c r="D66" i="58" s="1"/>
  <c r="G64" i="58"/>
  <c r="J136" i="26"/>
  <c r="D138" i="26"/>
  <c r="G137" i="26"/>
  <c r="H64" i="58"/>
  <c r="F57" i="98"/>
  <c r="D58" i="98" s="1"/>
  <c r="B57" i="98"/>
  <c r="G65" i="46"/>
  <c r="I65" i="46" s="1"/>
  <c r="I56" i="98"/>
  <c r="I67" i="99"/>
  <c r="E68" i="99"/>
  <c r="F68" i="99" s="1"/>
  <c r="D69" i="99" s="1"/>
  <c r="B68" i="99"/>
  <c r="D63" i="67"/>
  <c r="B63" i="67" s="1"/>
  <c r="G62" i="67"/>
  <c r="H62" i="67"/>
  <c r="I61" i="67"/>
  <c r="I64" i="46"/>
  <c r="D66" i="46"/>
  <c r="E66" i="46" s="1"/>
  <c r="F66" i="46" s="1"/>
  <c r="D67" i="46" s="1"/>
  <c r="E68" i="24"/>
  <c r="F68" i="24" s="1"/>
  <c r="D69" i="24" s="1"/>
  <c r="B68" i="24"/>
  <c r="B67" i="24"/>
  <c r="G67" i="24"/>
  <c r="H67" i="24"/>
  <c r="H67" i="17"/>
  <c r="H69" i="3"/>
  <c r="D59" i="86"/>
  <c r="E59" i="86" s="1"/>
  <c r="F59" i="86" s="1"/>
  <c r="G58" i="86"/>
  <c r="H58" i="86"/>
  <c r="G57" i="25"/>
  <c r="D58" i="25"/>
  <c r="H57" i="25"/>
  <c r="G64" i="44"/>
  <c r="I64" i="44" s="1"/>
  <c r="I61" i="66"/>
  <c r="F57" i="94"/>
  <c r="D58" i="94" s="1"/>
  <c r="B57" i="94"/>
  <c r="E67" i="27"/>
  <c r="F67" i="27" s="1"/>
  <c r="B67" i="27"/>
  <c r="E70" i="3"/>
  <c r="F70" i="3" s="1"/>
  <c r="D71" i="3" s="1"/>
  <c r="E71" i="3" s="1"/>
  <c r="G69" i="3"/>
  <c r="H60" i="82"/>
  <c r="D61" i="82"/>
  <c r="I58" i="80"/>
  <c r="G60" i="82"/>
  <c r="F59" i="80"/>
  <c r="B59" i="80"/>
  <c r="I66" i="27"/>
  <c r="F56" i="93"/>
  <c r="G56" i="93" s="1"/>
  <c r="B56" i="93"/>
  <c r="G64" i="55"/>
  <c r="D65" i="55"/>
  <c r="H64" i="55"/>
  <c r="H67" i="42"/>
  <c r="D68" i="42"/>
  <c r="G68" i="23"/>
  <c r="D69" i="23"/>
  <c r="B69" i="23" s="1"/>
  <c r="H68" i="23"/>
  <c r="I58" i="90"/>
  <c r="B63" i="53"/>
  <c r="I66" i="22"/>
  <c r="I62" i="53"/>
  <c r="E70" i="71"/>
  <c r="F70" i="71" s="1"/>
  <c r="B67" i="42"/>
  <c r="G67" i="42"/>
  <c r="F58" i="91"/>
  <c r="B58" i="91"/>
  <c r="B58" i="84"/>
  <c r="F58" i="84"/>
  <c r="G58" i="84" s="1"/>
  <c r="E62" i="66"/>
  <c r="F62" i="66" s="1"/>
  <c r="I58" i="77"/>
  <c r="D61" i="75"/>
  <c r="E61" i="75" s="1"/>
  <c r="G60" i="75"/>
  <c r="I60" i="75" s="1"/>
  <c r="E59" i="90"/>
  <c r="F59" i="90" s="1"/>
  <c r="G59" i="90" s="1"/>
  <c r="B59" i="90"/>
  <c r="E63" i="53"/>
  <c r="F63" i="53" s="1"/>
  <c r="G63" i="45"/>
  <c r="H63" i="45"/>
  <c r="H66" i="34"/>
  <c r="G66" i="34"/>
  <c r="D67" i="34"/>
  <c r="B67" i="34" s="1"/>
  <c r="G67" i="30"/>
  <c r="I63" i="72"/>
  <c r="D65" i="72"/>
  <c r="E65" i="72" s="1"/>
  <c r="F65" i="72" s="1"/>
  <c r="H67" i="30"/>
  <c r="B58" i="81"/>
  <c r="D59" i="85"/>
  <c r="B65" i="39"/>
  <c r="F65" i="39"/>
  <c r="G65" i="39" s="1"/>
  <c r="D62" i="61"/>
  <c r="E62" i="61" s="1"/>
  <c r="F62" i="61" s="1"/>
  <c r="F67" i="22"/>
  <c r="B67" i="22"/>
  <c r="E58" i="81"/>
  <c r="F58" i="81" s="1"/>
  <c r="H56" i="95"/>
  <c r="I56" i="95" s="1"/>
  <c r="E57" i="95"/>
  <c r="D57" i="95"/>
  <c r="G58" i="85"/>
  <c r="I58" i="85" s="1"/>
  <c r="I55" i="96"/>
  <c r="D65" i="44"/>
  <c r="E65" i="44" s="1"/>
  <c r="G61" i="61"/>
  <c r="I61" i="61" s="1"/>
  <c r="F56" i="96"/>
  <c r="H56" i="96" s="1"/>
  <c r="B56" i="96"/>
  <c r="B59" i="76"/>
  <c r="F59" i="76"/>
  <c r="G59" i="76" s="1"/>
  <c r="H64" i="72"/>
  <c r="G64" i="72"/>
  <c r="B64" i="72"/>
  <c r="G69" i="69"/>
  <c r="D70" i="69"/>
  <c r="H69" i="69"/>
  <c r="G62" i="54"/>
  <c r="D63" i="54"/>
  <c r="H62" i="54"/>
  <c r="D71" i="28"/>
  <c r="G70" i="28"/>
  <c r="H70" i="28"/>
  <c r="G69" i="29"/>
  <c r="D70" i="29"/>
  <c r="E70" i="29" s="1"/>
  <c r="F70" i="29" s="1"/>
  <c r="H69" i="29"/>
  <c r="H62" i="65"/>
  <c r="D63" i="65"/>
  <c r="B63" i="65" s="1"/>
  <c r="G62" i="65"/>
  <c r="H59" i="77"/>
  <c r="D60" i="77"/>
  <c r="E60" i="77" s="1"/>
  <c r="F60" i="77" s="1"/>
  <c r="D61" i="77" s="1"/>
  <c r="G59" i="77"/>
  <c r="H65" i="41"/>
  <c r="D66" i="41"/>
  <c r="B62" i="64"/>
  <c r="B65" i="21"/>
  <c r="E59" i="88"/>
  <c r="F59" i="88" s="1"/>
  <c r="B59" i="88"/>
  <c r="E61" i="63"/>
  <c r="F61" i="63" s="1"/>
  <c r="B61" i="63"/>
  <c r="B59" i="78"/>
  <c r="E62" i="64"/>
  <c r="F62" i="64" s="1"/>
  <c r="G68" i="31"/>
  <c r="D69" i="31"/>
  <c r="B66" i="74"/>
  <c r="G66" i="74"/>
  <c r="H66" i="74"/>
  <c r="E68" i="30"/>
  <c r="F68" i="30" s="1"/>
  <c r="D69" i="30" s="1"/>
  <c r="B68" i="30"/>
  <c r="D66" i="43"/>
  <c r="E59" i="78"/>
  <c r="F59" i="78" s="1"/>
  <c r="H68" i="70"/>
  <c r="I68" i="70" s="1"/>
  <c r="D69" i="70"/>
  <c r="I61" i="60"/>
  <c r="G67" i="17"/>
  <c r="G58" i="88"/>
  <c r="H62" i="60"/>
  <c r="I62" i="60" s="1"/>
  <c r="D63" i="60"/>
  <c r="E63" i="60" s="1"/>
  <c r="F63" i="60" s="1"/>
  <c r="D64" i="60" s="1"/>
  <c r="D64" i="45"/>
  <c r="E64" i="45" s="1"/>
  <c r="E68" i="32"/>
  <c r="F68" i="32" s="1"/>
  <c r="B68" i="32"/>
  <c r="B61" i="68"/>
  <c r="H61" i="68"/>
  <c r="G61" i="68"/>
  <c r="E66" i="19"/>
  <c r="F66" i="19" s="1"/>
  <c r="B66" i="19"/>
  <c r="D67" i="74"/>
  <c r="E67" i="74" s="1"/>
  <c r="H62" i="57"/>
  <c r="I62" i="57" s="1"/>
  <c r="D63" i="57"/>
  <c r="E63" i="57" s="1"/>
  <c r="F63" i="57" s="1"/>
  <c r="B59" i="79"/>
  <c r="D58" i="83"/>
  <c r="E58" i="83" s="1"/>
  <c r="F57" i="89"/>
  <c r="G57" i="89" s="1"/>
  <c r="B57" i="89"/>
  <c r="E68" i="17"/>
  <c r="F68" i="17" s="1"/>
  <c r="B68" i="17"/>
  <c r="E59" i="79"/>
  <c r="F59" i="79" s="1"/>
  <c r="H59" i="79" s="1"/>
  <c r="D63" i="56"/>
  <c r="E63" i="56" s="1"/>
  <c r="D62" i="68"/>
  <c r="E62" i="68" s="1"/>
  <c r="F62" i="68" s="1"/>
  <c r="G65" i="41"/>
  <c r="I69" i="71"/>
  <c r="I64" i="21"/>
  <c r="B57" i="92"/>
  <c r="F57" i="92"/>
  <c r="G57" i="92" s="1"/>
  <c r="H68" i="31"/>
  <c r="G65" i="43"/>
  <c r="I65" i="43" s="1"/>
  <c r="E65" i="21"/>
  <c r="F65" i="21" s="1"/>
  <c r="H65" i="21" s="1"/>
  <c r="H58" i="88"/>
  <c r="I65" i="74"/>
  <c r="G57" i="83"/>
  <c r="I57" i="83" s="1"/>
  <c r="G62" i="56"/>
  <c r="I62" i="56" s="1"/>
  <c r="I60" i="63"/>
  <c r="D58" i="26"/>
  <c r="E58" i="26" s="1"/>
  <c r="G57" i="26"/>
  <c r="H57" i="26"/>
  <c r="D61" i="62"/>
  <c r="E61" i="62" s="1"/>
  <c r="G60" i="62"/>
  <c r="H60" i="62"/>
  <c r="I65" i="18"/>
  <c r="D59" i="33"/>
  <c r="E59" i="33" s="1"/>
  <c r="D65" i="20"/>
  <c r="G58" i="33"/>
  <c r="F66" i="18"/>
  <c r="G66" i="18" s="1"/>
  <c r="B66" i="18"/>
  <c r="D58" i="87"/>
  <c r="E58" i="87" s="1"/>
  <c r="G64" i="20"/>
  <c r="I64" i="20" s="1"/>
  <c r="B61" i="59"/>
  <c r="F61" i="59"/>
  <c r="G61" i="59" s="1"/>
  <c r="B65" i="73"/>
  <c r="F65" i="73"/>
  <c r="G65" i="73" s="1"/>
  <c r="H57" i="87"/>
  <c r="I57" i="87" s="1"/>
  <c r="H58" i="33"/>
  <c r="J135" i="33"/>
  <c r="J136" i="25"/>
  <c r="G137" i="25"/>
  <c r="D138" i="25"/>
  <c r="D137" i="33"/>
  <c r="E137" i="33" s="1"/>
  <c r="G136" i="33"/>
  <c r="H56" i="102" l="1"/>
  <c r="I56" i="102" s="1"/>
  <c r="D57" i="102"/>
  <c r="E57" i="102"/>
  <c r="E65" i="101"/>
  <c r="F65" i="101" s="1"/>
  <c r="H65" i="101" s="1"/>
  <c r="B65" i="101"/>
  <c r="D139" i="100"/>
  <c r="E139" i="100" s="1"/>
  <c r="G138" i="100"/>
  <c r="B70" i="100"/>
  <c r="F70" i="100"/>
  <c r="G70" i="100" s="1"/>
  <c r="I70" i="97"/>
  <c r="H71" i="97"/>
  <c r="I71" i="97" s="1"/>
  <c r="D72" i="97"/>
  <c r="E72" i="97" s="1"/>
  <c r="E73" i="97" s="1"/>
  <c r="E56" i="13"/>
  <c r="F56" i="13" s="1"/>
  <c r="B56" i="13"/>
  <c r="I55" i="13"/>
  <c r="I64" i="58"/>
  <c r="G65" i="58"/>
  <c r="H65" i="58"/>
  <c r="H137" i="26"/>
  <c r="I137" i="26"/>
  <c r="E138" i="26"/>
  <c r="F138" i="26" s="1"/>
  <c r="B138" i="26"/>
  <c r="H57" i="98"/>
  <c r="I62" i="67"/>
  <c r="E69" i="99"/>
  <c r="F69" i="99" s="1"/>
  <c r="D70" i="99" s="1"/>
  <c r="B69" i="99"/>
  <c r="H68" i="99"/>
  <c r="E58" i="98"/>
  <c r="F58" i="98" s="1"/>
  <c r="B58" i="98"/>
  <c r="I69" i="3"/>
  <c r="G68" i="99"/>
  <c r="G57" i="98"/>
  <c r="E63" i="67"/>
  <c r="F63" i="67" s="1"/>
  <c r="D64" i="67" s="1"/>
  <c r="B64" i="67" s="1"/>
  <c r="G70" i="3"/>
  <c r="H70" i="3"/>
  <c r="I67" i="17"/>
  <c r="I58" i="86"/>
  <c r="H68" i="24"/>
  <c r="I67" i="24"/>
  <c r="G68" i="24"/>
  <c r="H57" i="94"/>
  <c r="G57" i="94"/>
  <c r="H59" i="76"/>
  <c r="I59" i="76" s="1"/>
  <c r="E67" i="46"/>
  <c r="F67" i="46" s="1"/>
  <c r="B67" i="46"/>
  <c r="B66" i="46"/>
  <c r="H66" i="46"/>
  <c r="G66" i="46"/>
  <c r="E69" i="24"/>
  <c r="F69" i="24" s="1"/>
  <c r="B69" i="24"/>
  <c r="I68" i="23"/>
  <c r="I63" i="45"/>
  <c r="I60" i="82"/>
  <c r="D63" i="61"/>
  <c r="B63" i="61" s="1"/>
  <c r="B61" i="82"/>
  <c r="H59" i="86"/>
  <c r="D60" i="86"/>
  <c r="B60" i="86" s="1"/>
  <c r="I66" i="74"/>
  <c r="G67" i="27"/>
  <c r="H67" i="27"/>
  <c r="D68" i="27"/>
  <c r="E58" i="94"/>
  <c r="F58" i="94" s="1"/>
  <c r="B58" i="94"/>
  <c r="I57" i="25"/>
  <c r="E57" i="93"/>
  <c r="D57" i="93"/>
  <c r="G59" i="80"/>
  <c r="D60" i="80"/>
  <c r="E60" i="80" s="1"/>
  <c r="F60" i="80" s="1"/>
  <c r="I64" i="55"/>
  <c r="H56" i="93"/>
  <c r="I56" i="93" s="1"/>
  <c r="H59" i="80"/>
  <c r="E58" i="25"/>
  <c r="F58" i="25" s="1"/>
  <c r="B58" i="25"/>
  <c r="E61" i="82"/>
  <c r="F61" i="82" s="1"/>
  <c r="D62" i="82" s="1"/>
  <c r="B59" i="86"/>
  <c r="G59" i="86"/>
  <c r="D67" i="19"/>
  <c r="E67" i="19" s="1"/>
  <c r="G66" i="19"/>
  <c r="D66" i="72"/>
  <c r="B66" i="72" s="1"/>
  <c r="G63" i="53"/>
  <c r="D64" i="53"/>
  <c r="E64" i="53" s="1"/>
  <c r="H63" i="53"/>
  <c r="E67" i="34"/>
  <c r="F67" i="34" s="1"/>
  <c r="H67" i="34" s="1"/>
  <c r="H59" i="90"/>
  <c r="I59" i="90" s="1"/>
  <c r="H58" i="84"/>
  <c r="I58" i="84" s="1"/>
  <c r="D59" i="84"/>
  <c r="I67" i="42"/>
  <c r="E69" i="23"/>
  <c r="F69" i="23" s="1"/>
  <c r="D70" i="23" s="1"/>
  <c r="E70" i="23" s="1"/>
  <c r="B61" i="75"/>
  <c r="F61" i="75"/>
  <c r="G61" i="75" s="1"/>
  <c r="H58" i="91"/>
  <c r="G58" i="91"/>
  <c r="D59" i="91"/>
  <c r="E59" i="91" s="1"/>
  <c r="I67" i="30"/>
  <c r="G70" i="71"/>
  <c r="H70" i="71"/>
  <c r="D71" i="71"/>
  <c r="E65" i="55"/>
  <c r="F65" i="55" s="1"/>
  <c r="B65" i="55"/>
  <c r="D60" i="90"/>
  <c r="E60" i="90" s="1"/>
  <c r="G62" i="66"/>
  <c r="D63" i="66"/>
  <c r="E63" i="66" s="1"/>
  <c r="H62" i="66"/>
  <c r="E68" i="42"/>
  <c r="F68" i="42" s="1"/>
  <c r="B68" i="42"/>
  <c r="D69" i="32"/>
  <c r="B69" i="32" s="1"/>
  <c r="H68" i="32"/>
  <c r="D71" i="29"/>
  <c r="B71" i="29" s="1"/>
  <c r="G58" i="81"/>
  <c r="D59" i="81"/>
  <c r="H58" i="81"/>
  <c r="B59" i="85"/>
  <c r="F65" i="44"/>
  <c r="H65" i="44" s="1"/>
  <c r="B65" i="44"/>
  <c r="F57" i="95"/>
  <c r="H57" i="95" s="1"/>
  <c r="B57" i="95"/>
  <c r="D68" i="22"/>
  <c r="E68" i="22" s="1"/>
  <c r="D66" i="39"/>
  <c r="E66" i="39" s="1"/>
  <c r="I69" i="29"/>
  <c r="I64" i="72"/>
  <c r="D57" i="96"/>
  <c r="E57" i="96" s="1"/>
  <c r="G67" i="22"/>
  <c r="B62" i="61"/>
  <c r="G62" i="61"/>
  <c r="H62" i="61"/>
  <c r="B65" i="72"/>
  <c r="G65" i="72"/>
  <c r="H65" i="72"/>
  <c r="I59" i="77"/>
  <c r="D60" i="76"/>
  <c r="E60" i="76" s="1"/>
  <c r="F60" i="76" s="1"/>
  <c r="D61" i="76" s="1"/>
  <c r="G56" i="96"/>
  <c r="I56" i="96" s="1"/>
  <c r="H67" i="22"/>
  <c r="H65" i="39"/>
  <c r="I65" i="39" s="1"/>
  <c r="E59" i="85"/>
  <c r="F59" i="85" s="1"/>
  <c r="I66" i="34"/>
  <c r="I70" i="28"/>
  <c r="I58" i="33"/>
  <c r="I69" i="69"/>
  <c r="I61" i="68"/>
  <c r="I65" i="41"/>
  <c r="G59" i="78"/>
  <c r="D60" i="78"/>
  <c r="E60" i="78" s="1"/>
  <c r="H59" i="78"/>
  <c r="D63" i="64"/>
  <c r="H62" i="64"/>
  <c r="G62" i="64"/>
  <c r="D64" i="57"/>
  <c r="D69" i="17"/>
  <c r="E69" i="17" s="1"/>
  <c r="H68" i="17"/>
  <c r="G68" i="17"/>
  <c r="D62" i="63"/>
  <c r="E62" i="63" s="1"/>
  <c r="F62" i="63" s="1"/>
  <c r="D63" i="63" s="1"/>
  <c r="G61" i="63"/>
  <c r="H61" i="63"/>
  <c r="G59" i="88"/>
  <c r="D60" i="88"/>
  <c r="H59" i="88"/>
  <c r="E61" i="77"/>
  <c r="F61" i="77" s="1"/>
  <c r="H61" i="77" s="1"/>
  <c r="B61" i="77"/>
  <c r="B58" i="83"/>
  <c r="F58" i="83"/>
  <c r="G58" i="83" s="1"/>
  <c r="B66" i="43"/>
  <c r="H65" i="73"/>
  <c r="I65" i="73" s="1"/>
  <c r="I68" i="31"/>
  <c r="H57" i="92"/>
  <c r="I57" i="92" s="1"/>
  <c r="D58" i="92"/>
  <c r="E58" i="92" s="1"/>
  <c r="D63" i="68"/>
  <c r="G68" i="30"/>
  <c r="B66" i="58"/>
  <c r="E71" i="28"/>
  <c r="F71" i="28" s="1"/>
  <c r="B71" i="28"/>
  <c r="H61" i="59"/>
  <c r="I61" i="59" s="1"/>
  <c r="I60" i="62"/>
  <c r="I58" i="88"/>
  <c r="B62" i="68"/>
  <c r="H62" i="68"/>
  <c r="G62" i="68"/>
  <c r="F67" i="74"/>
  <c r="G67" i="74" s="1"/>
  <c r="B67" i="74"/>
  <c r="G68" i="32"/>
  <c r="B63" i="60"/>
  <c r="G63" i="60"/>
  <c r="H63" i="60"/>
  <c r="H68" i="30"/>
  <c r="E66" i="41"/>
  <c r="F66" i="41" s="1"/>
  <c r="B66" i="41"/>
  <c r="E63" i="65"/>
  <c r="F63" i="65" s="1"/>
  <c r="E66" i="58"/>
  <c r="F66" i="58" s="1"/>
  <c r="G66" i="58" s="1"/>
  <c r="I62" i="54"/>
  <c r="E70" i="69"/>
  <c r="F70" i="69" s="1"/>
  <c r="B70" i="69"/>
  <c r="D58" i="89"/>
  <c r="E58" i="89" s="1"/>
  <c r="E69" i="70"/>
  <c r="F69" i="70" s="1"/>
  <c r="B69" i="70"/>
  <c r="E69" i="30"/>
  <c r="F69" i="30" s="1"/>
  <c r="H69" i="30" s="1"/>
  <c r="B69" i="30"/>
  <c r="F63" i="56"/>
  <c r="D64" i="56" s="1"/>
  <c r="B63" i="56"/>
  <c r="D60" i="79"/>
  <c r="E60" i="79" s="1"/>
  <c r="E64" i="60"/>
  <c r="F64" i="60" s="1"/>
  <c r="B64" i="60"/>
  <c r="D66" i="21"/>
  <c r="E66" i="21" s="1"/>
  <c r="B70" i="29"/>
  <c r="H70" i="29"/>
  <c r="G70" i="29"/>
  <c r="H57" i="89"/>
  <c r="I57" i="89" s="1"/>
  <c r="G59" i="79"/>
  <c r="I59" i="79" s="1"/>
  <c r="B63" i="57"/>
  <c r="G63" i="57"/>
  <c r="H63" i="57"/>
  <c r="H66" i="19"/>
  <c r="F64" i="45"/>
  <c r="H64" i="45" s="1"/>
  <c r="B64" i="45"/>
  <c r="E66" i="43"/>
  <c r="F66" i="43" s="1"/>
  <c r="H66" i="43" s="1"/>
  <c r="E69" i="31"/>
  <c r="F69" i="31" s="1"/>
  <c r="B69" i="31"/>
  <c r="G65" i="21"/>
  <c r="I65" i="21" s="1"/>
  <c r="B60" i="77"/>
  <c r="G60" i="77"/>
  <c r="H60" i="77"/>
  <c r="I62" i="65"/>
  <c r="E63" i="54"/>
  <c r="F63" i="54" s="1"/>
  <c r="H63" i="54" s="1"/>
  <c r="B63" i="54"/>
  <c r="F58" i="87"/>
  <c r="H58" i="87" s="1"/>
  <c r="B58" i="87"/>
  <c r="B71" i="3"/>
  <c r="F71" i="3"/>
  <c r="G71" i="3" s="1"/>
  <c r="B61" i="62"/>
  <c r="F61" i="62"/>
  <c r="G61" i="62" s="1"/>
  <c r="D66" i="73"/>
  <c r="D62" i="59"/>
  <c r="E62" i="59" s="1"/>
  <c r="B65" i="20"/>
  <c r="F58" i="26"/>
  <c r="H58" i="26" s="1"/>
  <c r="B58" i="26"/>
  <c r="D67" i="18"/>
  <c r="H66" i="18"/>
  <c r="I66" i="18" s="1"/>
  <c r="E65" i="20"/>
  <c r="F65" i="20" s="1"/>
  <c r="H65" i="20" s="1"/>
  <c r="B59" i="33"/>
  <c r="F59" i="33"/>
  <c r="H59" i="33" s="1"/>
  <c r="I57" i="26"/>
  <c r="B138" i="25"/>
  <c r="H136" i="33"/>
  <c r="I136" i="33"/>
  <c r="E138" i="25"/>
  <c r="F138" i="25" s="1"/>
  <c r="F137" i="33"/>
  <c r="B137" i="33"/>
  <c r="I137" i="25"/>
  <c r="H137" i="25"/>
  <c r="G65" i="101" l="1"/>
  <c r="I65" i="101" s="1"/>
  <c r="D66" i="101"/>
  <c r="H70" i="100"/>
  <c r="I70" i="100" s="1"/>
  <c r="B57" i="102"/>
  <c r="F57" i="102"/>
  <c r="H57" i="102" s="1"/>
  <c r="I138" i="100"/>
  <c r="H138" i="100"/>
  <c r="F139" i="100"/>
  <c r="B139" i="100"/>
  <c r="D71" i="100"/>
  <c r="E71" i="100" s="1"/>
  <c r="B72" i="97"/>
  <c r="F72" i="97"/>
  <c r="H72" i="97" s="1"/>
  <c r="G56" i="13"/>
  <c r="D57" i="13"/>
  <c r="H56" i="13"/>
  <c r="I65" i="58"/>
  <c r="J137" i="26"/>
  <c r="I57" i="98"/>
  <c r="E64" i="67"/>
  <c r="F64" i="67" s="1"/>
  <c r="D139" i="26"/>
  <c r="B139" i="26" s="1"/>
  <c r="G138" i="26"/>
  <c r="H69" i="99"/>
  <c r="I68" i="99"/>
  <c r="E69" i="32"/>
  <c r="F69" i="32" s="1"/>
  <c r="D70" i="32" s="1"/>
  <c r="E70" i="32" s="1"/>
  <c r="F70" i="32" s="1"/>
  <c r="D71" i="32" s="1"/>
  <c r="H63" i="67"/>
  <c r="G69" i="99"/>
  <c r="G63" i="67"/>
  <c r="I70" i="3"/>
  <c r="D59" i="98"/>
  <c r="G58" i="98"/>
  <c r="H58" i="98"/>
  <c r="G58" i="26"/>
  <c r="I58" i="26" s="1"/>
  <c r="I68" i="24"/>
  <c r="E70" i="99"/>
  <c r="F70" i="99" s="1"/>
  <c r="D71" i="99" s="1"/>
  <c r="B70" i="99"/>
  <c r="I66" i="19"/>
  <c r="I57" i="94"/>
  <c r="I59" i="86"/>
  <c r="I67" i="27"/>
  <c r="E66" i="72"/>
  <c r="F66" i="72" s="1"/>
  <c r="G66" i="72" s="1"/>
  <c r="G67" i="46"/>
  <c r="D68" i="46"/>
  <c r="H67" i="46"/>
  <c r="I66" i="46"/>
  <c r="G67" i="34"/>
  <c r="I67" i="34" s="1"/>
  <c r="H69" i="24"/>
  <c r="G69" i="24"/>
  <c r="D70" i="24"/>
  <c r="B70" i="23"/>
  <c r="F70" i="23"/>
  <c r="G70" i="23" s="1"/>
  <c r="G69" i="23"/>
  <c r="I67" i="22"/>
  <c r="F67" i="19"/>
  <c r="H67" i="19" s="1"/>
  <c r="D61" i="80"/>
  <c r="E61" i="80" s="1"/>
  <c r="G58" i="94"/>
  <c r="D59" i="94"/>
  <c r="B59" i="94" s="1"/>
  <c r="H58" i="94"/>
  <c r="H58" i="25"/>
  <c r="D59" i="25"/>
  <c r="B59" i="25" s="1"/>
  <c r="G58" i="25"/>
  <c r="I68" i="32"/>
  <c r="I58" i="91"/>
  <c r="I63" i="53"/>
  <c r="B57" i="93"/>
  <c r="F57" i="93"/>
  <c r="G57" i="93" s="1"/>
  <c r="B67" i="19"/>
  <c r="E71" i="29"/>
  <c r="F71" i="29" s="1"/>
  <c r="D72" i="29" s="1"/>
  <c r="B72" i="29" s="1"/>
  <c r="E60" i="86"/>
  <c r="F60" i="86" s="1"/>
  <c r="D61" i="86" s="1"/>
  <c r="E61" i="86" s="1"/>
  <c r="F61" i="86" s="1"/>
  <c r="D62" i="86" s="1"/>
  <c r="E62" i="86" s="1"/>
  <c r="H61" i="82"/>
  <c r="E63" i="61"/>
  <c r="F63" i="61" s="1"/>
  <c r="I61" i="63"/>
  <c r="G65" i="44"/>
  <c r="I65" i="44" s="1"/>
  <c r="E62" i="82"/>
  <c r="F62" i="82" s="1"/>
  <c r="D63" i="82" s="1"/>
  <c r="B62" i="82"/>
  <c r="I59" i="80"/>
  <c r="B60" i="80"/>
  <c r="H60" i="80"/>
  <c r="G60" i="80"/>
  <c r="B68" i="27"/>
  <c r="E68" i="27"/>
  <c r="F68" i="27" s="1"/>
  <c r="G61" i="82"/>
  <c r="H68" i="42"/>
  <c r="D69" i="42"/>
  <c r="G68" i="42"/>
  <c r="D66" i="55"/>
  <c r="H65" i="55"/>
  <c r="G65" i="55"/>
  <c r="I59" i="88"/>
  <c r="I58" i="81"/>
  <c r="I62" i="66"/>
  <c r="E71" i="71"/>
  <c r="F71" i="71" s="1"/>
  <c r="B71" i="71"/>
  <c r="D62" i="75"/>
  <c r="E62" i="75" s="1"/>
  <c r="F62" i="75" s="1"/>
  <c r="B59" i="84"/>
  <c r="D68" i="34"/>
  <c r="E68" i="34" s="1"/>
  <c r="G64" i="45"/>
  <c r="I64" i="45" s="1"/>
  <c r="G63" i="56"/>
  <c r="I63" i="60"/>
  <c r="G66" i="43"/>
  <c r="I66" i="43" s="1"/>
  <c r="I62" i="61"/>
  <c r="F60" i="90"/>
  <c r="B60" i="90"/>
  <c r="I70" i="71"/>
  <c r="E59" i="84"/>
  <c r="F59" i="84" s="1"/>
  <c r="F64" i="53"/>
  <c r="B64" i="53"/>
  <c r="I63" i="57"/>
  <c r="B63" i="66"/>
  <c r="F63" i="66"/>
  <c r="D64" i="66" s="1"/>
  <c r="E64" i="66" s="1"/>
  <c r="F64" i="66" s="1"/>
  <c r="D65" i="66" s="1"/>
  <c r="B59" i="91"/>
  <c r="F59" i="91"/>
  <c r="H61" i="75"/>
  <c r="I61" i="75" s="1"/>
  <c r="H69" i="23"/>
  <c r="E61" i="76"/>
  <c r="F61" i="76" s="1"/>
  <c r="B61" i="76"/>
  <c r="H67" i="74"/>
  <c r="I67" i="74" s="1"/>
  <c r="D60" i="85"/>
  <c r="F68" i="22"/>
  <c r="B68" i="22"/>
  <c r="I65" i="72"/>
  <c r="F57" i="96"/>
  <c r="G57" i="96" s="1"/>
  <c r="B57" i="96"/>
  <c r="H59" i="85"/>
  <c r="E59" i="81"/>
  <c r="F59" i="81" s="1"/>
  <c r="B59" i="81"/>
  <c r="G57" i="95"/>
  <c r="I57" i="95" s="1"/>
  <c r="D58" i="95"/>
  <c r="B60" i="76"/>
  <c r="H60" i="76"/>
  <c r="G60" i="76"/>
  <c r="F66" i="39"/>
  <c r="H66" i="39" s="1"/>
  <c r="B66" i="39"/>
  <c r="D66" i="44"/>
  <c r="E66" i="44" s="1"/>
  <c r="F66" i="44" s="1"/>
  <c r="D67" i="44" s="1"/>
  <c r="G59" i="85"/>
  <c r="I60" i="77"/>
  <c r="I70" i="29"/>
  <c r="D71" i="69"/>
  <c r="H70" i="69"/>
  <c r="G70" i="69"/>
  <c r="E63" i="63"/>
  <c r="F63" i="63" s="1"/>
  <c r="G63" i="63" s="1"/>
  <c r="B63" i="63"/>
  <c r="D65" i="60"/>
  <c r="G64" i="60"/>
  <c r="H64" i="60"/>
  <c r="G66" i="41"/>
  <c r="D67" i="41"/>
  <c r="E67" i="41" s="1"/>
  <c r="F67" i="41" s="1"/>
  <c r="D68" i="41" s="1"/>
  <c r="H66" i="41"/>
  <c r="D70" i="70"/>
  <c r="E70" i="70" s="1"/>
  <c r="G69" i="70"/>
  <c r="H69" i="70"/>
  <c r="G71" i="28"/>
  <c r="D72" i="28"/>
  <c r="H71" i="28"/>
  <c r="B63" i="68"/>
  <c r="B64" i="57"/>
  <c r="D64" i="54"/>
  <c r="H69" i="31"/>
  <c r="G69" i="31"/>
  <c r="D70" i="31"/>
  <c r="F58" i="92"/>
  <c r="H58" i="92" s="1"/>
  <c r="B58" i="92"/>
  <c r="D59" i="83"/>
  <c r="E59" i="83" s="1"/>
  <c r="G61" i="77"/>
  <c r="I61" i="77" s="1"/>
  <c r="D62" i="77"/>
  <c r="G63" i="54"/>
  <c r="I63" i="54" s="1"/>
  <c r="B60" i="79"/>
  <c r="F60" i="79"/>
  <c r="G60" i="79" s="1"/>
  <c r="E64" i="56"/>
  <c r="F64" i="56" s="1"/>
  <c r="B64" i="56"/>
  <c r="D70" i="30"/>
  <c r="B58" i="89"/>
  <c r="F58" i="89"/>
  <c r="G58" i="89" s="1"/>
  <c r="H58" i="83"/>
  <c r="I58" i="83" s="1"/>
  <c r="I62" i="64"/>
  <c r="F60" i="78"/>
  <c r="H60" i="78" s="1"/>
  <c r="B60" i="78"/>
  <c r="D64" i="65"/>
  <c r="B64" i="65" s="1"/>
  <c r="H63" i="65"/>
  <c r="D67" i="58"/>
  <c r="E67" i="58" s="1"/>
  <c r="F67" i="58" s="1"/>
  <c r="G63" i="65"/>
  <c r="I62" i="68"/>
  <c r="H66" i="58"/>
  <c r="I66" i="58" s="1"/>
  <c r="E60" i="88"/>
  <c r="F60" i="88" s="1"/>
  <c r="D61" i="88" s="1"/>
  <c r="B60" i="88"/>
  <c r="I68" i="17"/>
  <c r="I59" i="78"/>
  <c r="D67" i="43"/>
  <c r="E67" i="43" s="1"/>
  <c r="F67" i="43" s="1"/>
  <c r="D68" i="43" s="1"/>
  <c r="D65" i="45"/>
  <c r="E65" i="45" s="1"/>
  <c r="B66" i="21"/>
  <c r="F66" i="21"/>
  <c r="G66" i="21" s="1"/>
  <c r="H63" i="56"/>
  <c r="G69" i="30"/>
  <c r="I69" i="30" s="1"/>
  <c r="I68" i="30"/>
  <c r="D68" i="74"/>
  <c r="E68" i="74" s="1"/>
  <c r="E63" i="68"/>
  <c r="F63" i="68" s="1"/>
  <c r="B62" i="63"/>
  <c r="G62" i="63"/>
  <c r="H62" i="63"/>
  <c r="F69" i="17"/>
  <c r="G69" i="17" s="1"/>
  <c r="B69" i="17"/>
  <c r="E64" i="57"/>
  <c r="F64" i="57" s="1"/>
  <c r="G64" i="57" s="1"/>
  <c r="E63" i="64"/>
  <c r="F63" i="64" s="1"/>
  <c r="H63" i="64" s="1"/>
  <c r="B63" i="64"/>
  <c r="B66" i="73"/>
  <c r="D62" i="62"/>
  <c r="E62" i="62" s="1"/>
  <c r="D72" i="3"/>
  <c r="E72" i="3" s="1"/>
  <c r="E73" i="3" s="1"/>
  <c r="D59" i="87"/>
  <c r="E59" i="87" s="1"/>
  <c r="D60" i="33"/>
  <c r="E60" i="33" s="1"/>
  <c r="E66" i="73"/>
  <c r="F66" i="73" s="1"/>
  <c r="H66" i="73" s="1"/>
  <c r="B67" i="18"/>
  <c r="D66" i="20"/>
  <c r="E66" i="20" s="1"/>
  <c r="G59" i="33"/>
  <c r="I59" i="33" s="1"/>
  <c r="E67" i="18"/>
  <c r="F67" i="18" s="1"/>
  <c r="G67" i="18" s="1"/>
  <c r="D59" i="26"/>
  <c r="E59" i="26" s="1"/>
  <c r="G65" i="20"/>
  <c r="I65" i="20" s="1"/>
  <c r="F62" i="59"/>
  <c r="B62" i="59"/>
  <c r="H61" i="62"/>
  <c r="I61" i="62" s="1"/>
  <c r="H71" i="3"/>
  <c r="I71" i="3" s="1"/>
  <c r="G58" i="87"/>
  <c r="I58" i="87" s="1"/>
  <c r="J137" i="25"/>
  <c r="D139" i="25"/>
  <c r="G138" i="25"/>
  <c r="J136" i="33"/>
  <c r="G137" i="33"/>
  <c r="D138" i="33"/>
  <c r="G57" i="102" l="1"/>
  <c r="I57" i="102" s="1"/>
  <c r="D58" i="102"/>
  <c r="E58" i="102"/>
  <c r="E66" i="101"/>
  <c r="F66" i="101" s="1"/>
  <c r="B66" i="101"/>
  <c r="D140" i="100"/>
  <c r="E140" i="100" s="1"/>
  <c r="G139" i="100"/>
  <c r="B71" i="100"/>
  <c r="F71" i="100"/>
  <c r="G71" i="100" s="1"/>
  <c r="G72" i="97"/>
  <c r="G73" i="97" s="1"/>
  <c r="I56" i="13"/>
  <c r="H73" i="97"/>
  <c r="E57" i="13"/>
  <c r="F57" i="13" s="1"/>
  <c r="B57" i="13"/>
  <c r="G69" i="32"/>
  <c r="H69" i="32"/>
  <c r="I63" i="67"/>
  <c r="H70" i="23"/>
  <c r="I70" i="23" s="1"/>
  <c r="D71" i="23"/>
  <c r="E71" i="23" s="1"/>
  <c r="I69" i="99"/>
  <c r="B64" i="66"/>
  <c r="D68" i="19"/>
  <c r="E68" i="19" s="1"/>
  <c r="G64" i="67"/>
  <c r="D65" i="67"/>
  <c r="H64" i="67"/>
  <c r="I58" i="98"/>
  <c r="E139" i="26"/>
  <c r="F139" i="26" s="1"/>
  <c r="H138" i="26"/>
  <c r="I138" i="26"/>
  <c r="I62" i="63"/>
  <c r="E71" i="99"/>
  <c r="F71" i="99" s="1"/>
  <c r="D72" i="99" s="1"/>
  <c r="B71" i="99"/>
  <c r="H70" i="99"/>
  <c r="G70" i="99"/>
  <c r="E59" i="98"/>
  <c r="F59" i="98" s="1"/>
  <c r="D60" i="98" s="1"/>
  <c r="B59" i="98"/>
  <c r="I63" i="56"/>
  <c r="I69" i="24"/>
  <c r="I58" i="94"/>
  <c r="H57" i="93"/>
  <c r="I57" i="93" s="1"/>
  <c r="D67" i="72"/>
  <c r="E67" i="72" s="1"/>
  <c r="F67" i="72" s="1"/>
  <c r="D68" i="72" s="1"/>
  <c r="B68" i="72" s="1"/>
  <c r="H66" i="72"/>
  <c r="I66" i="72" s="1"/>
  <c r="H64" i="66"/>
  <c r="G64" i="66"/>
  <c r="I67" i="46"/>
  <c r="H71" i="29"/>
  <c r="G71" i="29"/>
  <c r="E72" i="29"/>
  <c r="E73" i="29" s="1"/>
  <c r="I71" i="28"/>
  <c r="I69" i="23"/>
  <c r="G67" i="19"/>
  <c r="I67" i="19" s="1"/>
  <c r="H61" i="86"/>
  <c r="G61" i="86"/>
  <c r="G60" i="86"/>
  <c r="B61" i="86"/>
  <c r="I60" i="80"/>
  <c r="B68" i="46"/>
  <c r="E68" i="46"/>
  <c r="F68" i="46" s="1"/>
  <c r="E70" i="24"/>
  <c r="F70" i="24" s="1"/>
  <c r="H70" i="24" s="1"/>
  <c r="B70" i="24"/>
  <c r="I68" i="42"/>
  <c r="E63" i="82"/>
  <c r="F63" i="82" s="1"/>
  <c r="B63" i="82"/>
  <c r="G63" i="66"/>
  <c r="I65" i="55"/>
  <c r="G62" i="82"/>
  <c r="I61" i="82"/>
  <c r="D58" i="93"/>
  <c r="E58" i="93" s="1"/>
  <c r="F58" i="93" s="1"/>
  <c r="D59" i="93" s="1"/>
  <c r="B59" i="93" s="1"/>
  <c r="H60" i="86"/>
  <c r="I58" i="25"/>
  <c r="G63" i="61"/>
  <c r="H63" i="61"/>
  <c r="D64" i="61"/>
  <c r="B64" i="61" s="1"/>
  <c r="H69" i="17"/>
  <c r="I69" i="17" s="1"/>
  <c r="H63" i="66"/>
  <c r="E59" i="25"/>
  <c r="F59" i="25" s="1"/>
  <c r="D60" i="25" s="1"/>
  <c r="E60" i="25" s="1"/>
  <c r="E59" i="94"/>
  <c r="F59" i="94" s="1"/>
  <c r="G68" i="27"/>
  <c r="H68" i="27"/>
  <c r="D69" i="27"/>
  <c r="H62" i="82"/>
  <c r="F61" i="80"/>
  <c r="H61" i="80" s="1"/>
  <c r="B61" i="80"/>
  <c r="H59" i="84"/>
  <c r="D60" i="84"/>
  <c r="G59" i="84"/>
  <c r="D60" i="91"/>
  <c r="E60" i="91" s="1"/>
  <c r="G59" i="91"/>
  <c r="H59" i="91"/>
  <c r="D63" i="75"/>
  <c r="E63" i="75" s="1"/>
  <c r="G71" i="71"/>
  <c r="D72" i="71"/>
  <c r="D61" i="90"/>
  <c r="E61" i="90" s="1"/>
  <c r="F61" i="90" s="1"/>
  <c r="G58" i="92"/>
  <c r="I58" i="92" s="1"/>
  <c r="H64" i="53"/>
  <c r="D65" i="53"/>
  <c r="G60" i="90"/>
  <c r="B62" i="75"/>
  <c r="H62" i="75"/>
  <c r="G62" i="75"/>
  <c r="E66" i="55"/>
  <c r="F66" i="55" s="1"/>
  <c r="H66" i="55" s="1"/>
  <c r="B66" i="55"/>
  <c r="G64" i="53"/>
  <c r="H60" i="90"/>
  <c r="E69" i="42"/>
  <c r="F69" i="42" s="1"/>
  <c r="B69" i="42"/>
  <c r="I60" i="76"/>
  <c r="B68" i="34"/>
  <c r="F68" i="34"/>
  <c r="H71" i="71"/>
  <c r="E67" i="44"/>
  <c r="F67" i="44" s="1"/>
  <c r="B67" i="44"/>
  <c r="D69" i="22"/>
  <c r="G61" i="76"/>
  <c r="D62" i="76"/>
  <c r="H57" i="96"/>
  <c r="I57" i="96" s="1"/>
  <c r="D58" i="96"/>
  <c r="E58" i="96" s="1"/>
  <c r="G68" i="22"/>
  <c r="H59" i="81"/>
  <c r="D60" i="81"/>
  <c r="B66" i="44"/>
  <c r="H66" i="44"/>
  <c r="G66" i="44"/>
  <c r="D67" i="39"/>
  <c r="E67" i="39" s="1"/>
  <c r="B58" i="95"/>
  <c r="G59" i="81"/>
  <c r="I59" i="85"/>
  <c r="H68" i="22"/>
  <c r="F62" i="86"/>
  <c r="D63" i="86" s="1"/>
  <c r="B62" i="86"/>
  <c r="B60" i="85"/>
  <c r="H63" i="63"/>
  <c r="I63" i="63" s="1"/>
  <c r="G66" i="39"/>
  <c r="I66" i="39" s="1"/>
  <c r="E58" i="95"/>
  <c r="F58" i="95" s="1"/>
  <c r="E60" i="85"/>
  <c r="F60" i="85" s="1"/>
  <c r="H60" i="85" s="1"/>
  <c r="H61" i="76"/>
  <c r="I69" i="70"/>
  <c r="I66" i="41"/>
  <c r="I64" i="60"/>
  <c r="D68" i="58"/>
  <c r="B68" i="58" s="1"/>
  <c r="D64" i="68"/>
  <c r="E64" i="68" s="1"/>
  <c r="G63" i="68"/>
  <c r="H63" i="68"/>
  <c r="E68" i="43"/>
  <c r="F68" i="43" s="1"/>
  <c r="H68" i="43" s="1"/>
  <c r="B68" i="43"/>
  <c r="B65" i="66"/>
  <c r="D65" i="56"/>
  <c r="E65" i="56" s="1"/>
  <c r="B70" i="31"/>
  <c r="D64" i="64"/>
  <c r="B67" i="43"/>
  <c r="G67" i="43"/>
  <c r="H67" i="43"/>
  <c r="G60" i="88"/>
  <c r="B72" i="28"/>
  <c r="E71" i="32"/>
  <c r="F71" i="32" s="1"/>
  <c r="B71" i="32"/>
  <c r="I63" i="65"/>
  <c r="B70" i="30"/>
  <c r="H60" i="79"/>
  <c r="I60" i="79" s="1"/>
  <c r="D61" i="79"/>
  <c r="B67" i="41"/>
  <c r="G67" i="41"/>
  <c r="H67" i="41"/>
  <c r="E65" i="60"/>
  <c r="F65" i="60" s="1"/>
  <c r="D66" i="60" s="1"/>
  <c r="B65" i="60"/>
  <c r="B70" i="32"/>
  <c r="G70" i="32"/>
  <c r="H70" i="32"/>
  <c r="I70" i="69"/>
  <c r="D65" i="57"/>
  <c r="E65" i="57" s="1"/>
  <c r="E61" i="88"/>
  <c r="F61" i="88" s="1"/>
  <c r="B61" i="88"/>
  <c r="D61" i="78"/>
  <c r="E62" i="77"/>
  <c r="F62" i="77" s="1"/>
  <c r="B62" i="77"/>
  <c r="B64" i="54"/>
  <c r="G60" i="78"/>
  <c r="I60" i="78" s="1"/>
  <c r="H64" i="56"/>
  <c r="E70" i="31"/>
  <c r="F70" i="31" s="1"/>
  <c r="E64" i="54"/>
  <c r="F64" i="54" s="1"/>
  <c r="E68" i="41"/>
  <c r="F68" i="41" s="1"/>
  <c r="B68" i="41"/>
  <c r="G63" i="64"/>
  <c r="I63" i="64" s="1"/>
  <c r="D70" i="17"/>
  <c r="B68" i="74"/>
  <c r="F68" i="74"/>
  <c r="H66" i="21"/>
  <c r="I66" i="21" s="1"/>
  <c r="D67" i="21"/>
  <c r="F65" i="45"/>
  <c r="G65" i="45" s="1"/>
  <c r="B65" i="45"/>
  <c r="H60" i="88"/>
  <c r="E65" i="66"/>
  <c r="F65" i="66" s="1"/>
  <c r="B67" i="58"/>
  <c r="G67" i="58"/>
  <c r="H67" i="58"/>
  <c r="H58" i="89"/>
  <c r="I58" i="89" s="1"/>
  <c r="D59" i="89"/>
  <c r="E59" i="89" s="1"/>
  <c r="E70" i="30"/>
  <c r="F70" i="30" s="1"/>
  <c r="G64" i="56"/>
  <c r="F59" i="83"/>
  <c r="D60" i="83" s="1"/>
  <c r="B59" i="83"/>
  <c r="D59" i="92"/>
  <c r="I69" i="31"/>
  <c r="H64" i="57"/>
  <c r="I64" i="57" s="1"/>
  <c r="E72" i="28"/>
  <c r="E73" i="28" s="1"/>
  <c r="E64" i="65"/>
  <c r="F64" i="65" s="1"/>
  <c r="B70" i="70"/>
  <c r="F70" i="70"/>
  <c r="G70" i="70" s="1"/>
  <c r="D64" i="63"/>
  <c r="E64" i="63" s="1"/>
  <c r="E71" i="69"/>
  <c r="F71" i="69" s="1"/>
  <c r="H71" i="69" s="1"/>
  <c r="B71" i="69"/>
  <c r="D68" i="18"/>
  <c r="E68" i="18" s="1"/>
  <c r="F72" i="3"/>
  <c r="H72" i="3" s="1"/>
  <c r="B72" i="3"/>
  <c r="D63" i="59"/>
  <c r="E63" i="59" s="1"/>
  <c r="H62" i="59"/>
  <c r="F60" i="33"/>
  <c r="H60" i="33" s="1"/>
  <c r="B60" i="33"/>
  <c r="B59" i="87"/>
  <c r="F59" i="87"/>
  <c r="H59" i="87" s="1"/>
  <c r="F62" i="62"/>
  <c r="G62" i="62" s="1"/>
  <c r="B62" i="62"/>
  <c r="D67" i="73"/>
  <c r="E67" i="73" s="1"/>
  <c r="G62" i="59"/>
  <c r="B59" i="26"/>
  <c r="F59" i="26"/>
  <c r="G59" i="26" s="1"/>
  <c r="F66" i="20"/>
  <c r="H66" i="20" s="1"/>
  <c r="B66" i="20"/>
  <c r="H67" i="18"/>
  <c r="I67" i="18" s="1"/>
  <c r="G66" i="73"/>
  <c r="I66" i="73" s="1"/>
  <c r="B138" i="33"/>
  <c r="B139" i="25"/>
  <c r="H137" i="33"/>
  <c r="I137" i="33"/>
  <c r="E139" i="25"/>
  <c r="F139" i="25" s="1"/>
  <c r="E138" i="33"/>
  <c r="F138" i="33" s="1"/>
  <c r="I138" i="25"/>
  <c r="H138" i="25"/>
  <c r="H71" i="100" l="1"/>
  <c r="D67" i="101"/>
  <c r="G66" i="101"/>
  <c r="H66" i="101"/>
  <c r="I71" i="100"/>
  <c r="F58" i="102"/>
  <c r="B58" i="102"/>
  <c r="H58" i="102"/>
  <c r="H139" i="100"/>
  <c r="I139" i="100"/>
  <c r="F140" i="100"/>
  <c r="B140" i="100"/>
  <c r="D72" i="100"/>
  <c r="E72" i="100" s="1"/>
  <c r="E73" i="100" s="1"/>
  <c r="I72" i="97"/>
  <c r="I73" i="97" s="1"/>
  <c r="F71" i="23"/>
  <c r="G71" i="23" s="1"/>
  <c r="D58" i="13"/>
  <c r="G57" i="13"/>
  <c r="H57" i="13"/>
  <c r="I63" i="66"/>
  <c r="I69" i="32"/>
  <c r="F68" i="19"/>
  <c r="D69" i="19" s="1"/>
  <c r="B69" i="19" s="1"/>
  <c r="B67" i="72"/>
  <c r="B68" i="19"/>
  <c r="B71" i="23"/>
  <c r="J138" i="26"/>
  <c r="I64" i="67"/>
  <c r="B65" i="67"/>
  <c r="E65" i="67"/>
  <c r="F65" i="67" s="1"/>
  <c r="D140" i="26"/>
  <c r="G139" i="26"/>
  <c r="F60" i="25"/>
  <c r="H60" i="25" s="1"/>
  <c r="H59" i="98"/>
  <c r="F72" i="29"/>
  <c r="H72" i="29" s="1"/>
  <c r="B60" i="25"/>
  <c r="G59" i="98"/>
  <c r="I64" i="66"/>
  <c r="I70" i="99"/>
  <c r="E72" i="99"/>
  <c r="E73" i="99" s="1"/>
  <c r="B72" i="99"/>
  <c r="E60" i="98"/>
  <c r="F60" i="98" s="1"/>
  <c r="D61" i="98" s="1"/>
  <c r="B60" i="98"/>
  <c r="H71" i="99"/>
  <c r="G59" i="25"/>
  <c r="G71" i="99"/>
  <c r="I59" i="91"/>
  <c r="I61" i="86"/>
  <c r="I71" i="29"/>
  <c r="I60" i="90"/>
  <c r="I60" i="86"/>
  <c r="I59" i="84"/>
  <c r="I61" i="76"/>
  <c r="E68" i="72"/>
  <c r="F68" i="72" s="1"/>
  <c r="G68" i="72" s="1"/>
  <c r="G67" i="72"/>
  <c r="H67" i="72"/>
  <c r="I63" i="61"/>
  <c r="G59" i="87"/>
  <c r="I59" i="87" s="1"/>
  <c r="G62" i="86"/>
  <c r="I62" i="82"/>
  <c r="G61" i="80"/>
  <c r="I61" i="80" s="1"/>
  <c r="D69" i="46"/>
  <c r="H68" i="46"/>
  <c r="G68" i="46"/>
  <c r="I68" i="27"/>
  <c r="G70" i="24"/>
  <c r="I70" i="24" s="1"/>
  <c r="D71" i="24"/>
  <c r="D60" i="94"/>
  <c r="H59" i="94"/>
  <c r="B58" i="93"/>
  <c r="G58" i="93"/>
  <c r="H58" i="93"/>
  <c r="G63" i="82"/>
  <c r="D64" i="82"/>
  <c r="H63" i="82"/>
  <c r="E69" i="27"/>
  <c r="F69" i="27" s="1"/>
  <c r="B69" i="27"/>
  <c r="H70" i="70"/>
  <c r="I70" i="70" s="1"/>
  <c r="G60" i="85"/>
  <c r="I60" i="85" s="1"/>
  <c r="I64" i="53"/>
  <c r="D62" i="80"/>
  <c r="E62" i="80" s="1"/>
  <c r="H59" i="25"/>
  <c r="G59" i="94"/>
  <c r="H65" i="45"/>
  <c r="I65" i="45" s="1"/>
  <c r="E59" i="93"/>
  <c r="F59" i="93" s="1"/>
  <c r="G59" i="93" s="1"/>
  <c r="E64" i="61"/>
  <c r="F64" i="61" s="1"/>
  <c r="G69" i="42"/>
  <c r="D70" i="42"/>
  <c r="H69" i="42"/>
  <c r="G61" i="90"/>
  <c r="D62" i="90"/>
  <c r="D68" i="44"/>
  <c r="B68" i="44" s="1"/>
  <c r="G67" i="44"/>
  <c r="H67" i="44"/>
  <c r="E72" i="71"/>
  <c r="E73" i="71" s="1"/>
  <c r="B72" i="71"/>
  <c r="H59" i="83"/>
  <c r="I71" i="71"/>
  <c r="G59" i="83"/>
  <c r="I62" i="75"/>
  <c r="E65" i="53"/>
  <c r="F65" i="53" s="1"/>
  <c r="G65" i="53" s="1"/>
  <c r="B65" i="53"/>
  <c r="E60" i="84"/>
  <c r="F60" i="84" s="1"/>
  <c r="H60" i="84" s="1"/>
  <c r="B60" i="84"/>
  <c r="H68" i="34"/>
  <c r="D69" i="34"/>
  <c r="G68" i="34"/>
  <c r="G66" i="55"/>
  <c r="I66" i="55" s="1"/>
  <c r="D67" i="55"/>
  <c r="E67" i="55" s="1"/>
  <c r="B61" i="90"/>
  <c r="H61" i="90"/>
  <c r="F63" i="75"/>
  <c r="G63" i="75" s="1"/>
  <c r="B63" i="75"/>
  <c r="B60" i="91"/>
  <c r="F60" i="91"/>
  <c r="H64" i="54"/>
  <c r="G64" i="54"/>
  <c r="H71" i="32"/>
  <c r="G71" i="32"/>
  <c r="H58" i="95"/>
  <c r="D59" i="95"/>
  <c r="G58" i="95"/>
  <c r="B69" i="22"/>
  <c r="H59" i="26"/>
  <c r="I59" i="26" s="1"/>
  <c r="I68" i="22"/>
  <c r="E62" i="76"/>
  <c r="F62" i="76" s="1"/>
  <c r="B62" i="76"/>
  <c r="E63" i="86"/>
  <c r="F63" i="86" s="1"/>
  <c r="B63" i="86"/>
  <c r="I59" i="81"/>
  <c r="B60" i="81"/>
  <c r="B67" i="39"/>
  <c r="F67" i="39"/>
  <c r="G67" i="39" s="1"/>
  <c r="H62" i="62"/>
  <c r="I62" i="62" s="1"/>
  <c r="G72" i="3"/>
  <c r="G73" i="3" s="1"/>
  <c r="I63" i="68"/>
  <c r="E68" i="58"/>
  <c r="F68" i="58" s="1"/>
  <c r="G68" i="58" s="1"/>
  <c r="D61" i="85"/>
  <c r="E61" i="85" s="1"/>
  <c r="F61" i="85" s="1"/>
  <c r="D62" i="85" s="1"/>
  <c r="H62" i="86"/>
  <c r="I66" i="44"/>
  <c r="E60" i="81"/>
  <c r="F60" i="81" s="1"/>
  <c r="B58" i="96"/>
  <c r="F58" i="96"/>
  <c r="H58" i="96" s="1"/>
  <c r="E69" i="22"/>
  <c r="F69" i="22" s="1"/>
  <c r="D70" i="22" s="1"/>
  <c r="I67" i="58"/>
  <c r="I67" i="43"/>
  <c r="D71" i="31"/>
  <c r="B71" i="31" s="1"/>
  <c r="G70" i="31"/>
  <c r="H70" i="31"/>
  <c r="D62" i="88"/>
  <c r="G61" i="88"/>
  <c r="H61" i="88"/>
  <c r="H70" i="30"/>
  <c r="D71" i="30"/>
  <c r="E71" i="30" s="1"/>
  <c r="G70" i="30"/>
  <c r="G62" i="77"/>
  <c r="D63" i="77"/>
  <c r="H62" i="77"/>
  <c r="B67" i="21"/>
  <c r="D69" i="74"/>
  <c r="E69" i="74" s="1"/>
  <c r="B64" i="64"/>
  <c r="H65" i="66"/>
  <c r="D66" i="66"/>
  <c r="E66" i="66" s="1"/>
  <c r="B64" i="63"/>
  <c r="F64" i="63"/>
  <c r="G65" i="66"/>
  <c r="D71" i="70"/>
  <c r="E71" i="70" s="1"/>
  <c r="H64" i="65"/>
  <c r="D65" i="65"/>
  <c r="G64" i="65"/>
  <c r="B59" i="92"/>
  <c r="B59" i="89"/>
  <c r="F59" i="89"/>
  <c r="D66" i="45"/>
  <c r="E66" i="45" s="1"/>
  <c r="H68" i="74"/>
  <c r="B70" i="17"/>
  <c r="I64" i="56"/>
  <c r="B61" i="78"/>
  <c r="H65" i="60"/>
  <c r="B61" i="79"/>
  <c r="H68" i="41"/>
  <c r="D69" i="41"/>
  <c r="E66" i="60"/>
  <c r="F66" i="60" s="1"/>
  <c r="B66" i="60"/>
  <c r="G68" i="43"/>
  <c r="I68" i="43" s="1"/>
  <c r="D69" i="43"/>
  <c r="G71" i="69"/>
  <c r="I71" i="69" s="1"/>
  <c r="D72" i="69"/>
  <c r="G68" i="41"/>
  <c r="D65" i="54"/>
  <c r="E65" i="54" s="1"/>
  <c r="F65" i="54" s="1"/>
  <c r="B65" i="57"/>
  <c r="F65" i="57"/>
  <c r="G65" i="60"/>
  <c r="E59" i="92"/>
  <c r="F59" i="92" s="1"/>
  <c r="E60" i="83"/>
  <c r="F60" i="83" s="1"/>
  <c r="B60" i="83"/>
  <c r="E67" i="21"/>
  <c r="F67" i="21" s="1"/>
  <c r="G67" i="21" s="1"/>
  <c r="G68" i="74"/>
  <c r="E70" i="17"/>
  <c r="F70" i="17" s="1"/>
  <c r="E61" i="78"/>
  <c r="F61" i="78" s="1"/>
  <c r="I70" i="32"/>
  <c r="I67" i="41"/>
  <c r="E61" i="79"/>
  <c r="F61" i="79" s="1"/>
  <c r="D72" i="32"/>
  <c r="E72" i="32" s="1"/>
  <c r="E73" i="32" s="1"/>
  <c r="F72" i="28"/>
  <c r="I60" i="88"/>
  <c r="E64" i="64"/>
  <c r="F64" i="64" s="1"/>
  <c r="B65" i="56"/>
  <c r="F65" i="56"/>
  <c r="H65" i="56" s="1"/>
  <c r="B64" i="68"/>
  <c r="F64" i="68"/>
  <c r="H73" i="3"/>
  <c r="G66" i="20"/>
  <c r="I66" i="20" s="1"/>
  <c r="D60" i="26"/>
  <c r="E60" i="26" s="1"/>
  <c r="G60" i="33"/>
  <c r="I60" i="33" s="1"/>
  <c r="I62" i="59"/>
  <c r="B63" i="59"/>
  <c r="F63" i="59"/>
  <c r="G63" i="59" s="1"/>
  <c r="D60" i="87"/>
  <c r="D67" i="20"/>
  <c r="E67" i="20" s="1"/>
  <c r="D61" i="33"/>
  <c r="F67" i="73"/>
  <c r="H67" i="73" s="1"/>
  <c r="B67" i="73"/>
  <c r="D63" i="62"/>
  <c r="E63" i="62" s="1"/>
  <c r="B68" i="18"/>
  <c r="F68" i="18"/>
  <c r="H68" i="18" s="1"/>
  <c r="J138" i="25"/>
  <c r="G139" i="25"/>
  <c r="D140" i="25"/>
  <c r="E140" i="25" s="1"/>
  <c r="D139" i="33"/>
  <c r="G138" i="33"/>
  <c r="J137" i="33"/>
  <c r="I66" i="101" l="1"/>
  <c r="G58" i="102"/>
  <c r="I58" i="102" s="1"/>
  <c r="D59" i="102"/>
  <c r="E67" i="101"/>
  <c r="F67" i="101" s="1"/>
  <c r="H67" i="101" s="1"/>
  <c r="B67" i="101"/>
  <c r="D141" i="100"/>
  <c r="G140" i="100"/>
  <c r="B72" i="100"/>
  <c r="F72" i="100"/>
  <c r="G72" i="100"/>
  <c r="G73" i="100" s="1"/>
  <c r="H72" i="100"/>
  <c r="H71" i="23"/>
  <c r="I71" i="23" s="1"/>
  <c r="I59" i="25"/>
  <c r="D72" i="23"/>
  <c r="B72" i="23" s="1"/>
  <c r="E69" i="19"/>
  <c r="F69" i="19" s="1"/>
  <c r="G69" i="19" s="1"/>
  <c r="H68" i="19"/>
  <c r="I57" i="13"/>
  <c r="E58" i="13"/>
  <c r="F58" i="13" s="1"/>
  <c r="B58" i="13"/>
  <c r="G68" i="19"/>
  <c r="D69" i="72"/>
  <c r="B69" i="72" s="1"/>
  <c r="G72" i="29"/>
  <c r="G73" i="29" s="1"/>
  <c r="H68" i="72"/>
  <c r="I68" i="72" s="1"/>
  <c r="G60" i="25"/>
  <c r="I60" i="25" s="1"/>
  <c r="D61" i="25"/>
  <c r="E61" i="25" s="1"/>
  <c r="I59" i="98"/>
  <c r="G65" i="67"/>
  <c r="H65" i="67"/>
  <c r="D66" i="67"/>
  <c r="H139" i="26"/>
  <c r="I139" i="26"/>
  <c r="E140" i="26"/>
  <c r="F140" i="26" s="1"/>
  <c r="B140" i="26"/>
  <c r="I71" i="99"/>
  <c r="F72" i="99"/>
  <c r="G72" i="99" s="1"/>
  <c r="G73" i="99" s="1"/>
  <c r="E61" i="98"/>
  <c r="F61" i="98" s="1"/>
  <c r="B61" i="98"/>
  <c r="H60" i="98"/>
  <c r="G60" i="98"/>
  <c r="I67" i="44"/>
  <c r="I67" i="72"/>
  <c r="I62" i="86"/>
  <c r="I63" i="82"/>
  <c r="I70" i="31"/>
  <c r="E68" i="44"/>
  <c r="F68" i="44" s="1"/>
  <c r="G68" i="44" s="1"/>
  <c r="H67" i="39"/>
  <c r="I67" i="39" s="1"/>
  <c r="I58" i="93"/>
  <c r="D60" i="93"/>
  <c r="B60" i="93" s="1"/>
  <c r="H59" i="93"/>
  <c r="I59" i="93" s="1"/>
  <c r="I68" i="46"/>
  <c r="B69" i="46"/>
  <c r="E69" i="46"/>
  <c r="F69" i="46" s="1"/>
  <c r="E71" i="24"/>
  <c r="F71" i="24" s="1"/>
  <c r="H71" i="24" s="1"/>
  <c r="B71" i="24"/>
  <c r="H69" i="27"/>
  <c r="D70" i="27"/>
  <c r="G64" i="61"/>
  <c r="D65" i="61"/>
  <c r="H64" i="61"/>
  <c r="E64" i="82"/>
  <c r="F64" i="82" s="1"/>
  <c r="B64" i="82"/>
  <c r="I61" i="88"/>
  <c r="E71" i="31"/>
  <c r="F71" i="31" s="1"/>
  <c r="G71" i="31" s="1"/>
  <c r="I58" i="95"/>
  <c r="I68" i="34"/>
  <c r="G60" i="84"/>
  <c r="I60" i="84" s="1"/>
  <c r="I69" i="42"/>
  <c r="G69" i="27"/>
  <c r="I59" i="94"/>
  <c r="B62" i="80"/>
  <c r="F62" i="80"/>
  <c r="G62" i="80" s="1"/>
  <c r="E60" i="94"/>
  <c r="F60" i="94" s="1"/>
  <c r="B60" i="94"/>
  <c r="D61" i="91"/>
  <c r="E61" i="91" s="1"/>
  <c r="F61" i="91" s="1"/>
  <c r="I59" i="83"/>
  <c r="H60" i="91"/>
  <c r="D64" i="75"/>
  <c r="E64" i="75" s="1"/>
  <c r="F64" i="75" s="1"/>
  <c r="E69" i="34"/>
  <c r="F69" i="34" s="1"/>
  <c r="B69" i="34"/>
  <c r="H65" i="53"/>
  <c r="I65" i="53" s="1"/>
  <c r="D66" i="53"/>
  <c r="E66" i="53" s="1"/>
  <c r="F66" i="53" s="1"/>
  <c r="D67" i="53" s="1"/>
  <c r="B62" i="90"/>
  <c r="E70" i="42"/>
  <c r="F70" i="42" s="1"/>
  <c r="G70" i="42" s="1"/>
  <c r="B70" i="42"/>
  <c r="G60" i="91"/>
  <c r="H63" i="75"/>
  <c r="I63" i="75" s="1"/>
  <c r="I61" i="90"/>
  <c r="F67" i="55"/>
  <c r="H67" i="55" s="1"/>
  <c r="B67" i="55"/>
  <c r="D61" i="84"/>
  <c r="E61" i="84" s="1"/>
  <c r="F61" i="84" s="1"/>
  <c r="D62" i="84" s="1"/>
  <c r="F72" i="71"/>
  <c r="E62" i="90"/>
  <c r="F62" i="90" s="1"/>
  <c r="D64" i="86"/>
  <c r="E64" i="86" s="1"/>
  <c r="F64" i="86" s="1"/>
  <c r="H63" i="86"/>
  <c r="G63" i="86"/>
  <c r="H60" i="81"/>
  <c r="D61" i="81"/>
  <c r="D63" i="76"/>
  <c r="I72" i="3"/>
  <c r="I73" i="3" s="1"/>
  <c r="E70" i="22"/>
  <c r="F70" i="22" s="1"/>
  <c r="B70" i="22"/>
  <c r="E62" i="85"/>
  <c r="F62" i="85" s="1"/>
  <c r="H62" i="85" s="1"/>
  <c r="B62" i="85"/>
  <c r="I65" i="60"/>
  <c r="B61" i="85"/>
  <c r="G61" i="85"/>
  <c r="H61" i="85"/>
  <c r="D68" i="39"/>
  <c r="E68" i="39" s="1"/>
  <c r="G60" i="81"/>
  <c r="H62" i="76"/>
  <c r="G69" i="22"/>
  <c r="D69" i="58"/>
  <c r="E69" i="58" s="1"/>
  <c r="H68" i="58"/>
  <c r="I68" i="58" s="1"/>
  <c r="E59" i="95"/>
  <c r="F59" i="95" s="1"/>
  <c r="B59" i="95"/>
  <c r="G58" i="96"/>
  <c r="I58" i="96" s="1"/>
  <c r="D59" i="96"/>
  <c r="E59" i="96" s="1"/>
  <c r="F59" i="96" s="1"/>
  <c r="G62" i="76"/>
  <c r="H69" i="22"/>
  <c r="I71" i="32"/>
  <c r="I64" i="54"/>
  <c r="I62" i="77"/>
  <c r="D67" i="60"/>
  <c r="G66" i="60"/>
  <c r="H66" i="60"/>
  <c r="H60" i="83"/>
  <c r="D61" i="83"/>
  <c r="G60" i="83"/>
  <c r="D65" i="64"/>
  <c r="G64" i="64"/>
  <c r="H64" i="64"/>
  <c r="D65" i="68"/>
  <c r="E65" i="68" s="1"/>
  <c r="F65" i="68" s="1"/>
  <c r="D66" i="68" s="1"/>
  <c r="D66" i="57"/>
  <c r="E66" i="57" s="1"/>
  <c r="D66" i="54"/>
  <c r="D62" i="79"/>
  <c r="E62" i="79" s="1"/>
  <c r="D62" i="78"/>
  <c r="E62" i="78" s="1"/>
  <c r="D71" i="17"/>
  <c r="E71" i="17" s="1"/>
  <c r="H59" i="92"/>
  <c r="D60" i="92"/>
  <c r="D65" i="63"/>
  <c r="E65" i="63" s="1"/>
  <c r="F65" i="63" s="1"/>
  <c r="D66" i="56"/>
  <c r="E66" i="56" s="1"/>
  <c r="F66" i="56" s="1"/>
  <c r="D68" i="21"/>
  <c r="E68" i="21" s="1"/>
  <c r="F68" i="21" s="1"/>
  <c r="D69" i="21" s="1"/>
  <c r="B69" i="41"/>
  <c r="F71" i="30"/>
  <c r="B71" i="30"/>
  <c r="F72" i="32"/>
  <c r="G72" i="32" s="1"/>
  <c r="G73" i="32" s="1"/>
  <c r="B72" i="32"/>
  <c r="E69" i="41"/>
  <c r="F69" i="41" s="1"/>
  <c r="G61" i="79"/>
  <c r="G70" i="17"/>
  <c r="G59" i="92"/>
  <c r="E65" i="65"/>
  <c r="F65" i="65" s="1"/>
  <c r="B65" i="65"/>
  <c r="G64" i="63"/>
  <c r="B66" i="66"/>
  <c r="F66" i="66"/>
  <c r="D67" i="66" s="1"/>
  <c r="B67" i="66" s="1"/>
  <c r="B69" i="74"/>
  <c r="F69" i="74"/>
  <c r="D70" i="74" s="1"/>
  <c r="I70" i="30"/>
  <c r="E62" i="88"/>
  <c r="F62" i="88" s="1"/>
  <c r="B62" i="88"/>
  <c r="E72" i="69"/>
  <c r="E73" i="69" s="1"/>
  <c r="B72" i="69"/>
  <c r="B66" i="45"/>
  <c r="F66" i="45"/>
  <c r="H59" i="89"/>
  <c r="D60" i="89"/>
  <c r="G64" i="68"/>
  <c r="H72" i="28"/>
  <c r="G72" i="28"/>
  <c r="G73" i="28" s="1"/>
  <c r="H65" i="57"/>
  <c r="B65" i="54"/>
  <c r="G65" i="54"/>
  <c r="H65" i="54"/>
  <c r="H61" i="79"/>
  <c r="H61" i="78"/>
  <c r="B71" i="70"/>
  <c r="F71" i="70"/>
  <c r="D72" i="70" s="1"/>
  <c r="E63" i="77"/>
  <c r="F63" i="77" s="1"/>
  <c r="B63" i="77"/>
  <c r="H64" i="68"/>
  <c r="G65" i="56"/>
  <c r="I65" i="56" s="1"/>
  <c r="G65" i="57"/>
  <c r="E69" i="43"/>
  <c r="F69" i="43" s="1"/>
  <c r="B69" i="43"/>
  <c r="I68" i="41"/>
  <c r="G61" i="78"/>
  <c r="H70" i="17"/>
  <c r="I68" i="74"/>
  <c r="G59" i="89"/>
  <c r="I64" i="65"/>
  <c r="H64" i="63"/>
  <c r="I65" i="66"/>
  <c r="H67" i="21"/>
  <c r="I67" i="21" s="1"/>
  <c r="D64" i="59"/>
  <c r="E64" i="59" s="1"/>
  <c r="D68" i="73"/>
  <c r="E68" i="73" s="1"/>
  <c r="B60" i="87"/>
  <c r="D69" i="18"/>
  <c r="E69" i="18" s="1"/>
  <c r="G67" i="73"/>
  <c r="I67" i="73" s="1"/>
  <c r="B61" i="33"/>
  <c r="H63" i="59"/>
  <c r="I63" i="59" s="1"/>
  <c r="G68" i="18"/>
  <c r="I68" i="18" s="1"/>
  <c r="B63" i="62"/>
  <c r="F63" i="62"/>
  <c r="G63" i="62" s="1"/>
  <c r="E61" i="33"/>
  <c r="F61" i="33" s="1"/>
  <c r="F67" i="20"/>
  <c r="G67" i="20" s="1"/>
  <c r="B67" i="20"/>
  <c r="E60" i="87"/>
  <c r="F60" i="87" s="1"/>
  <c r="H73" i="29"/>
  <c r="B60" i="26"/>
  <c r="F60" i="26"/>
  <c r="H60" i="26" s="1"/>
  <c r="B139" i="33"/>
  <c r="I138" i="33"/>
  <c r="H138" i="33"/>
  <c r="B140" i="25"/>
  <c r="F140" i="25"/>
  <c r="E139" i="33"/>
  <c r="F139" i="33" s="1"/>
  <c r="I139" i="25"/>
  <c r="H139" i="25"/>
  <c r="H69" i="19" l="1"/>
  <c r="I69" i="19" s="1"/>
  <c r="G67" i="101"/>
  <c r="I67" i="101" s="1"/>
  <c r="D68" i="101"/>
  <c r="E59" i="102"/>
  <c r="B59" i="102"/>
  <c r="F59" i="102"/>
  <c r="H59" i="102" s="1"/>
  <c r="H140" i="100"/>
  <c r="I140" i="100"/>
  <c r="B141" i="100"/>
  <c r="E141" i="100"/>
  <c r="F141" i="100" s="1"/>
  <c r="I72" i="100"/>
  <c r="I73" i="100" s="1"/>
  <c r="H73" i="100"/>
  <c r="E72" i="23"/>
  <c r="E73" i="23" s="1"/>
  <c r="D70" i="19"/>
  <c r="E70" i="19" s="1"/>
  <c r="I68" i="19"/>
  <c r="E69" i="72"/>
  <c r="F69" i="72" s="1"/>
  <c r="G69" i="72" s="1"/>
  <c r="G58" i="13"/>
  <c r="D59" i="13"/>
  <c r="B59" i="13" s="1"/>
  <c r="H58" i="13"/>
  <c r="H68" i="44"/>
  <c r="I68" i="44" s="1"/>
  <c r="I72" i="29"/>
  <c r="I73" i="29" s="1"/>
  <c r="F61" i="25"/>
  <c r="G61" i="25" s="1"/>
  <c r="B61" i="25"/>
  <c r="I65" i="67"/>
  <c r="E66" i="67"/>
  <c r="F66" i="67" s="1"/>
  <c r="B66" i="67"/>
  <c r="D69" i="44"/>
  <c r="E69" i="44" s="1"/>
  <c r="F69" i="44" s="1"/>
  <c r="G69" i="44" s="1"/>
  <c r="G140" i="26"/>
  <c r="D141" i="26"/>
  <c r="J139" i="26"/>
  <c r="D62" i="98"/>
  <c r="G61" i="98"/>
  <c r="H72" i="99"/>
  <c r="H73" i="99" s="1"/>
  <c r="I60" i="98"/>
  <c r="H61" i="98"/>
  <c r="E60" i="93"/>
  <c r="F60" i="93" s="1"/>
  <c r="H60" i="93" s="1"/>
  <c r="D72" i="31"/>
  <c r="E72" i="31" s="1"/>
  <c r="E73" i="31" s="1"/>
  <c r="H71" i="31"/>
  <c r="I71" i="31" s="1"/>
  <c r="I64" i="63"/>
  <c r="I60" i="91"/>
  <c r="I64" i="68"/>
  <c r="I64" i="64"/>
  <c r="D70" i="46"/>
  <c r="G69" i="46"/>
  <c r="H69" i="46"/>
  <c r="G71" i="24"/>
  <c r="I71" i="24" s="1"/>
  <c r="D72" i="24"/>
  <c r="D61" i="94"/>
  <c r="G60" i="94"/>
  <c r="H60" i="94"/>
  <c r="D65" i="82"/>
  <c r="H64" i="82"/>
  <c r="G64" i="82"/>
  <c r="E67" i="53"/>
  <c r="F67" i="53" s="1"/>
  <c r="B67" i="53"/>
  <c r="E65" i="61"/>
  <c r="F65" i="61" s="1"/>
  <c r="B65" i="61"/>
  <c r="H62" i="80"/>
  <c r="I62" i="80" s="1"/>
  <c r="D63" i="80"/>
  <c r="E70" i="27"/>
  <c r="F70" i="27" s="1"/>
  <c r="B70" i="27"/>
  <c r="I64" i="61"/>
  <c r="I69" i="27"/>
  <c r="D63" i="90"/>
  <c r="E63" i="90" s="1"/>
  <c r="H62" i="90"/>
  <c r="G62" i="90"/>
  <c r="D65" i="75"/>
  <c r="E65" i="75" s="1"/>
  <c r="F65" i="75" s="1"/>
  <c r="E62" i="84"/>
  <c r="F62" i="84" s="1"/>
  <c r="H62" i="84" s="1"/>
  <c r="B62" i="84"/>
  <c r="D62" i="91"/>
  <c r="B61" i="84"/>
  <c r="H61" i="84"/>
  <c r="G61" i="84"/>
  <c r="D68" i="55"/>
  <c r="E68" i="55" s="1"/>
  <c r="F68" i="55" s="1"/>
  <c r="H69" i="34"/>
  <c r="G69" i="34"/>
  <c r="D70" i="34"/>
  <c r="B64" i="75"/>
  <c r="G64" i="75"/>
  <c r="H64" i="75"/>
  <c r="H72" i="71"/>
  <c r="G72" i="71"/>
  <c r="G73" i="71" s="1"/>
  <c r="G67" i="55"/>
  <c r="I67" i="55" s="1"/>
  <c r="B66" i="53"/>
  <c r="G66" i="53"/>
  <c r="H66" i="53"/>
  <c r="H70" i="42"/>
  <c r="I70" i="42" s="1"/>
  <c r="D71" i="42"/>
  <c r="B61" i="91"/>
  <c r="H61" i="91"/>
  <c r="G61" i="91"/>
  <c r="G59" i="95"/>
  <c r="D60" i="95"/>
  <c r="H59" i="95"/>
  <c r="D71" i="22"/>
  <c r="E71" i="22" s="1"/>
  <c r="F71" i="22" s="1"/>
  <c r="D72" i="22" s="1"/>
  <c r="H70" i="22"/>
  <c r="G70" i="22"/>
  <c r="D65" i="86"/>
  <c r="B65" i="86" s="1"/>
  <c r="G71" i="70"/>
  <c r="I65" i="57"/>
  <c r="I69" i="22"/>
  <c r="B59" i="96"/>
  <c r="G59" i="96"/>
  <c r="H59" i="96"/>
  <c r="B68" i="39"/>
  <c r="F68" i="39"/>
  <c r="G68" i="39" s="1"/>
  <c r="G62" i="85"/>
  <c r="I62" i="85" s="1"/>
  <c r="D63" i="85"/>
  <c r="B63" i="76"/>
  <c r="I63" i="86"/>
  <c r="F72" i="69"/>
  <c r="H72" i="69" s="1"/>
  <c r="H73" i="69" s="1"/>
  <c r="I62" i="76"/>
  <c r="I61" i="85"/>
  <c r="E63" i="76"/>
  <c r="F63" i="76" s="1"/>
  <c r="D60" i="96"/>
  <c r="E60" i="96" s="1"/>
  <c r="F60" i="96" s="1"/>
  <c r="I60" i="83"/>
  <c r="B69" i="58"/>
  <c r="F69" i="58"/>
  <c r="G69" i="58" s="1"/>
  <c r="I60" i="81"/>
  <c r="E61" i="81"/>
  <c r="F61" i="81" s="1"/>
  <c r="G61" i="81" s="1"/>
  <c r="B61" i="81"/>
  <c r="B64" i="86"/>
  <c r="H64" i="86"/>
  <c r="G64" i="86"/>
  <c r="I61" i="79"/>
  <c r="I65" i="54"/>
  <c r="I66" i="60"/>
  <c r="D66" i="63"/>
  <c r="E66" i="63" s="1"/>
  <c r="F66" i="63" s="1"/>
  <c r="E69" i="21"/>
  <c r="F69" i="21" s="1"/>
  <c r="B69" i="21"/>
  <c r="E66" i="68"/>
  <c r="F66" i="68" s="1"/>
  <c r="B66" i="68"/>
  <c r="D63" i="88"/>
  <c r="H62" i="88"/>
  <c r="G62" i="88"/>
  <c r="H69" i="43"/>
  <c r="D70" i="43"/>
  <c r="E70" i="43" s="1"/>
  <c r="H63" i="77"/>
  <c r="D64" i="77"/>
  <c r="D67" i="45"/>
  <c r="E67" i="45" s="1"/>
  <c r="G65" i="65"/>
  <c r="H65" i="65"/>
  <c r="D66" i="65"/>
  <c r="E66" i="65" s="1"/>
  <c r="D72" i="30"/>
  <c r="E72" i="30" s="1"/>
  <c r="E73" i="30" s="1"/>
  <c r="D70" i="41"/>
  <c r="B60" i="92"/>
  <c r="G71" i="30"/>
  <c r="B66" i="56"/>
  <c r="G66" i="56"/>
  <c r="H66" i="56"/>
  <c r="E60" i="92"/>
  <c r="F60" i="92" s="1"/>
  <c r="H60" i="92" s="1"/>
  <c r="B66" i="57"/>
  <c r="F66" i="57"/>
  <c r="H66" i="57" s="1"/>
  <c r="G60" i="26"/>
  <c r="I60" i="26" s="1"/>
  <c r="I59" i="89"/>
  <c r="H66" i="45"/>
  <c r="H72" i="32"/>
  <c r="H71" i="30"/>
  <c r="H69" i="41"/>
  <c r="I59" i="92"/>
  <c r="F62" i="79"/>
  <c r="B62" i="79"/>
  <c r="B66" i="54"/>
  <c r="E61" i="83"/>
  <c r="F61" i="83" s="1"/>
  <c r="B61" i="83"/>
  <c r="E70" i="74"/>
  <c r="F70" i="74" s="1"/>
  <c r="B70" i="74"/>
  <c r="D67" i="56"/>
  <c r="E67" i="56" s="1"/>
  <c r="B65" i="64"/>
  <c r="E72" i="70"/>
  <c r="E73" i="70" s="1"/>
  <c r="B72" i="70"/>
  <c r="E60" i="89"/>
  <c r="F60" i="89" s="1"/>
  <c r="B60" i="89"/>
  <c r="H69" i="74"/>
  <c r="H66" i="66"/>
  <c r="G69" i="41"/>
  <c r="E67" i="66"/>
  <c r="F67" i="66" s="1"/>
  <c r="H67" i="66" s="1"/>
  <c r="I70" i="17"/>
  <c r="G69" i="43"/>
  <c r="G63" i="77"/>
  <c r="H71" i="70"/>
  <c r="I61" i="78"/>
  <c r="I72" i="28"/>
  <c r="I73" i="28" s="1"/>
  <c r="H73" i="28"/>
  <c r="G66" i="45"/>
  <c r="G69" i="74"/>
  <c r="G66" i="66"/>
  <c r="B68" i="21"/>
  <c r="G68" i="21"/>
  <c r="H68" i="21"/>
  <c r="B65" i="63"/>
  <c r="G65" i="63"/>
  <c r="H65" i="63"/>
  <c r="F71" i="17"/>
  <c r="D72" i="17" s="1"/>
  <c r="B71" i="17"/>
  <c r="B62" i="78"/>
  <c r="F62" i="78"/>
  <c r="E66" i="54"/>
  <c r="F66" i="54" s="1"/>
  <c r="B65" i="68"/>
  <c r="G65" i="68"/>
  <c r="H65" i="68"/>
  <c r="E65" i="64"/>
  <c r="F65" i="64" s="1"/>
  <c r="E67" i="60"/>
  <c r="F67" i="60" s="1"/>
  <c r="H67" i="60" s="1"/>
  <c r="B67" i="60"/>
  <c r="D62" i="33"/>
  <c r="H61" i="33"/>
  <c r="G61" i="33"/>
  <c r="D61" i="87"/>
  <c r="G60" i="87"/>
  <c r="H60" i="87"/>
  <c r="D68" i="20"/>
  <c r="E68" i="20" s="1"/>
  <c r="D64" i="62"/>
  <c r="E64" i="62" s="1"/>
  <c r="F69" i="18"/>
  <c r="H69" i="18" s="1"/>
  <c r="B69" i="18"/>
  <c r="B68" i="73"/>
  <c r="F68" i="73"/>
  <c r="H68" i="73" s="1"/>
  <c r="D61" i="26"/>
  <c r="E61" i="26" s="1"/>
  <c r="H67" i="20"/>
  <c r="I67" i="20" s="1"/>
  <c r="H63" i="62"/>
  <c r="I63" i="62" s="1"/>
  <c r="B64" i="59"/>
  <c r="F64" i="59"/>
  <c r="G64" i="59" s="1"/>
  <c r="D140" i="33"/>
  <c r="E140" i="33" s="1"/>
  <c r="G139" i="33"/>
  <c r="J139" i="25"/>
  <c r="G140" i="25"/>
  <c r="D141" i="25"/>
  <c r="E141" i="25" s="1"/>
  <c r="J138" i="33"/>
  <c r="G59" i="102" l="1"/>
  <c r="I59" i="102" s="1"/>
  <c r="D60" i="102"/>
  <c r="E68" i="101"/>
  <c r="F68" i="101" s="1"/>
  <c r="D69" i="101" s="1"/>
  <c r="B68" i="101"/>
  <c r="G141" i="100"/>
  <c r="D142" i="100"/>
  <c r="F72" i="23"/>
  <c r="H72" i="23" s="1"/>
  <c r="B70" i="19"/>
  <c r="F70" i="19"/>
  <c r="G70" i="19" s="1"/>
  <c r="H69" i="72"/>
  <c r="I69" i="72" s="1"/>
  <c r="D70" i="72"/>
  <c r="B70" i="72" s="1"/>
  <c r="I58" i="13"/>
  <c r="E59" i="13"/>
  <c r="F59" i="13" s="1"/>
  <c r="D62" i="25"/>
  <c r="E62" i="25" s="1"/>
  <c r="H61" i="25"/>
  <c r="I61" i="25" s="1"/>
  <c r="F72" i="31"/>
  <c r="H72" i="31" s="1"/>
  <c r="H73" i="31" s="1"/>
  <c r="G60" i="93"/>
  <c r="I60" i="93" s="1"/>
  <c r="I61" i="98"/>
  <c r="G72" i="69"/>
  <c r="G73" i="69" s="1"/>
  <c r="I66" i="45"/>
  <c r="B72" i="31"/>
  <c r="I72" i="99"/>
  <c r="I73" i="99" s="1"/>
  <c r="B69" i="44"/>
  <c r="I64" i="75"/>
  <c r="D61" i="93"/>
  <c r="E61" i="93" s="1"/>
  <c r="F61" i="93" s="1"/>
  <c r="D62" i="93" s="1"/>
  <c r="E62" i="93" s="1"/>
  <c r="G66" i="67"/>
  <c r="D67" i="67"/>
  <c r="E62" i="98"/>
  <c r="F62" i="98" s="1"/>
  <c r="B62" i="98"/>
  <c r="H66" i="67"/>
  <c r="E141" i="26"/>
  <c r="F141" i="26" s="1"/>
  <c r="B141" i="26"/>
  <c r="H140" i="26"/>
  <c r="I140" i="26"/>
  <c r="I66" i="53"/>
  <c r="I69" i="46"/>
  <c r="D68" i="66"/>
  <c r="B68" i="66" s="1"/>
  <c r="G67" i="53"/>
  <c r="D68" i="53"/>
  <c r="E68" i="53" s="1"/>
  <c r="H67" i="53"/>
  <c r="B70" i="46"/>
  <c r="E70" i="46"/>
  <c r="F70" i="46" s="1"/>
  <c r="E72" i="24"/>
  <c r="E73" i="24" s="1"/>
  <c r="B72" i="24"/>
  <c r="I69" i="34"/>
  <c r="D66" i="61"/>
  <c r="E66" i="61" s="1"/>
  <c r="H65" i="61"/>
  <c r="G65" i="61"/>
  <c r="D71" i="27"/>
  <c r="G70" i="27"/>
  <c r="B63" i="80"/>
  <c r="I65" i="68"/>
  <c r="H68" i="39"/>
  <c r="I68" i="39" s="1"/>
  <c r="H70" i="27"/>
  <c r="I64" i="82"/>
  <c r="I60" i="94"/>
  <c r="I65" i="63"/>
  <c r="I65" i="65"/>
  <c r="E63" i="80"/>
  <c r="F63" i="80" s="1"/>
  <c r="H63" i="80" s="1"/>
  <c r="E65" i="82"/>
  <c r="F65" i="82" s="1"/>
  <c r="G65" i="82" s="1"/>
  <c r="B65" i="82"/>
  <c r="E61" i="94"/>
  <c r="F61" i="94" s="1"/>
  <c r="H61" i="94" s="1"/>
  <c r="B61" i="94"/>
  <c r="D66" i="75"/>
  <c r="E66" i="75" s="1"/>
  <c r="D69" i="55"/>
  <c r="E69" i="55" s="1"/>
  <c r="H64" i="59"/>
  <c r="I64" i="59" s="1"/>
  <c r="G67" i="66"/>
  <c r="I67" i="66" s="1"/>
  <c r="I66" i="66"/>
  <c r="I59" i="96"/>
  <c r="I59" i="95"/>
  <c r="I61" i="91"/>
  <c r="B62" i="91"/>
  <c r="I61" i="84"/>
  <c r="G62" i="84"/>
  <c r="I62" i="84" s="1"/>
  <c r="I62" i="90"/>
  <c r="E71" i="42"/>
  <c r="F71" i="42" s="1"/>
  <c r="B71" i="42"/>
  <c r="H73" i="71"/>
  <c r="I72" i="71"/>
  <c r="I73" i="71" s="1"/>
  <c r="E70" i="34"/>
  <c r="F70" i="34" s="1"/>
  <c r="B70" i="34"/>
  <c r="B68" i="55"/>
  <c r="H68" i="55"/>
  <c r="G68" i="55"/>
  <c r="E62" i="91"/>
  <c r="F62" i="91" s="1"/>
  <c r="D63" i="84"/>
  <c r="E63" i="84" s="1"/>
  <c r="F63" i="84" s="1"/>
  <c r="B65" i="75"/>
  <c r="G65" i="75"/>
  <c r="H65" i="75"/>
  <c r="F63" i="90"/>
  <c r="D64" i="90" s="1"/>
  <c r="B63" i="90"/>
  <c r="D64" i="76"/>
  <c r="H63" i="76"/>
  <c r="G63" i="76"/>
  <c r="G60" i="96"/>
  <c r="D61" i="96"/>
  <c r="E72" i="22"/>
  <c r="E73" i="22" s="1"/>
  <c r="B72" i="22"/>
  <c r="E63" i="85"/>
  <c r="F63" i="85" s="1"/>
  <c r="B63" i="85"/>
  <c r="E65" i="86"/>
  <c r="F65" i="86" s="1"/>
  <c r="H61" i="81"/>
  <c r="I61" i="81" s="1"/>
  <c r="D62" i="81"/>
  <c r="E62" i="81" s="1"/>
  <c r="B60" i="96"/>
  <c r="H60" i="96"/>
  <c r="B71" i="22"/>
  <c r="G71" i="22"/>
  <c r="H71" i="22"/>
  <c r="G67" i="60"/>
  <c r="I67" i="60" s="1"/>
  <c r="H71" i="17"/>
  <c r="I64" i="86"/>
  <c r="E60" i="95"/>
  <c r="F60" i="95" s="1"/>
  <c r="B60" i="95"/>
  <c r="G71" i="17"/>
  <c r="I66" i="56"/>
  <c r="H69" i="58"/>
  <c r="I69" i="58" s="1"/>
  <c r="D70" i="58"/>
  <c r="D69" i="39"/>
  <c r="I70" i="22"/>
  <c r="I63" i="77"/>
  <c r="D66" i="64"/>
  <c r="G65" i="64"/>
  <c r="H65" i="64"/>
  <c r="H66" i="68"/>
  <c r="D67" i="68"/>
  <c r="E67" i="68" s="1"/>
  <c r="F67" i="68" s="1"/>
  <c r="D68" i="68" s="1"/>
  <c r="B68" i="68" s="1"/>
  <c r="G66" i="68"/>
  <c r="D61" i="89"/>
  <c r="H60" i="89"/>
  <c r="G60" i="89"/>
  <c r="D70" i="21"/>
  <c r="E70" i="21" s="1"/>
  <c r="F70" i="21" s="1"/>
  <c r="H69" i="21"/>
  <c r="G69" i="21"/>
  <c r="H61" i="83"/>
  <c r="D62" i="83"/>
  <c r="E62" i="83" s="1"/>
  <c r="G61" i="83"/>
  <c r="D67" i="63"/>
  <c r="E67" i="63" s="1"/>
  <c r="G70" i="74"/>
  <c r="D71" i="74"/>
  <c r="E71" i="74" s="1"/>
  <c r="D67" i="54"/>
  <c r="D63" i="79"/>
  <c r="E63" i="79" s="1"/>
  <c r="B63" i="88"/>
  <c r="I71" i="70"/>
  <c r="H70" i="74"/>
  <c r="H66" i="54"/>
  <c r="D67" i="57"/>
  <c r="E67" i="57" s="1"/>
  <c r="D70" i="44"/>
  <c r="E70" i="44" s="1"/>
  <c r="D61" i="92"/>
  <c r="E61" i="92" s="1"/>
  <c r="D63" i="78"/>
  <c r="E63" i="78" s="1"/>
  <c r="G69" i="18"/>
  <c r="I69" i="18" s="1"/>
  <c r="G62" i="78"/>
  <c r="I69" i="74"/>
  <c r="F72" i="70"/>
  <c r="F67" i="56"/>
  <c r="H67" i="56" s="1"/>
  <c r="B67" i="56"/>
  <c r="H62" i="79"/>
  <c r="I69" i="41"/>
  <c r="H69" i="44"/>
  <c r="I69" i="44" s="1"/>
  <c r="G60" i="92"/>
  <c r="I60" i="92" s="1"/>
  <c r="B72" i="30"/>
  <c r="F72" i="30"/>
  <c r="H72" i="30" s="1"/>
  <c r="H73" i="30" s="1"/>
  <c r="F67" i="45"/>
  <c r="H67" i="45" s="1"/>
  <c r="B67" i="45"/>
  <c r="B70" i="43"/>
  <c r="F70" i="43"/>
  <c r="H70" i="43" s="1"/>
  <c r="I62" i="88"/>
  <c r="I72" i="32"/>
  <c r="I73" i="32" s="1"/>
  <c r="H73" i="32"/>
  <c r="B70" i="41"/>
  <c r="I60" i="87"/>
  <c r="D68" i="60"/>
  <c r="E68" i="60" s="1"/>
  <c r="F68" i="60" s="1"/>
  <c r="D69" i="60" s="1"/>
  <c r="H62" i="78"/>
  <c r="E72" i="17"/>
  <c r="E73" i="17" s="1"/>
  <c r="B72" i="17"/>
  <c r="I68" i="21"/>
  <c r="G66" i="54"/>
  <c r="G62" i="79"/>
  <c r="I71" i="30"/>
  <c r="G66" i="57"/>
  <c r="I66" i="57" s="1"/>
  <c r="E70" i="41"/>
  <c r="F70" i="41" s="1"/>
  <c r="B66" i="65"/>
  <c r="F66" i="65"/>
  <c r="D67" i="65" s="1"/>
  <c r="B67" i="65" s="1"/>
  <c r="E64" i="77"/>
  <c r="F64" i="77" s="1"/>
  <c r="D65" i="77" s="1"/>
  <c r="B64" i="77"/>
  <c r="I69" i="43"/>
  <c r="E63" i="88"/>
  <c r="F63" i="88" s="1"/>
  <c r="H63" i="88" s="1"/>
  <c r="B66" i="63"/>
  <c r="H66" i="63"/>
  <c r="G66" i="63"/>
  <c r="D69" i="73"/>
  <c r="E69" i="73" s="1"/>
  <c r="D70" i="18"/>
  <c r="E70" i="18" s="1"/>
  <c r="F68" i="20"/>
  <c r="H68" i="20" s="1"/>
  <c r="B68" i="20"/>
  <c r="I61" i="33"/>
  <c r="B61" i="26"/>
  <c r="F61" i="26"/>
  <c r="H61" i="26" s="1"/>
  <c r="B61" i="87"/>
  <c r="B62" i="33"/>
  <c r="D65" i="59"/>
  <c r="E65" i="59" s="1"/>
  <c r="G68" i="73"/>
  <c r="I68" i="73" s="1"/>
  <c r="F64" i="62"/>
  <c r="G64" i="62" s="1"/>
  <c r="B64" i="62"/>
  <c r="E61" i="87"/>
  <c r="F61" i="87" s="1"/>
  <c r="E62" i="33"/>
  <c r="F62" i="33" s="1"/>
  <c r="H62" i="33" s="1"/>
  <c r="H139" i="33"/>
  <c r="I139" i="33"/>
  <c r="F141" i="25"/>
  <c r="B141" i="25"/>
  <c r="B140" i="33"/>
  <c r="F140" i="33"/>
  <c r="I140" i="25"/>
  <c r="H140" i="25"/>
  <c r="G68" i="101" l="1"/>
  <c r="E69" i="101"/>
  <c r="F69" i="101" s="1"/>
  <c r="H69" i="101" s="1"/>
  <c r="B69" i="101"/>
  <c r="H68" i="101"/>
  <c r="I68" i="101" s="1"/>
  <c r="E60" i="102"/>
  <c r="F60" i="102" s="1"/>
  <c r="B60" i="102"/>
  <c r="B142" i="100"/>
  <c r="E142" i="100"/>
  <c r="F142" i="100" s="1"/>
  <c r="I141" i="100"/>
  <c r="H141" i="100"/>
  <c r="G72" i="23"/>
  <c r="G73" i="23" s="1"/>
  <c r="H70" i="19"/>
  <c r="I70" i="19" s="1"/>
  <c r="D71" i="19"/>
  <c r="E71" i="19" s="1"/>
  <c r="F71" i="19" s="1"/>
  <c r="E70" i="72"/>
  <c r="F70" i="72" s="1"/>
  <c r="G70" i="72" s="1"/>
  <c r="G59" i="13"/>
  <c r="D60" i="13"/>
  <c r="H59" i="13"/>
  <c r="B68" i="53"/>
  <c r="F62" i="25"/>
  <c r="H62" i="25" s="1"/>
  <c r="B62" i="25"/>
  <c r="G72" i="31"/>
  <c r="G73" i="31" s="1"/>
  <c r="I66" i="67"/>
  <c r="G72" i="30"/>
  <c r="G73" i="30" s="1"/>
  <c r="B61" i="93"/>
  <c r="E68" i="66"/>
  <c r="F68" i="66" s="1"/>
  <c r="G68" i="66" s="1"/>
  <c r="I72" i="69"/>
  <c r="I73" i="69" s="1"/>
  <c r="H61" i="93"/>
  <c r="G61" i="93"/>
  <c r="D63" i="98"/>
  <c r="B63" i="98" s="1"/>
  <c r="H62" i="98"/>
  <c r="G62" i="98"/>
  <c r="E67" i="67"/>
  <c r="F67" i="67" s="1"/>
  <c r="B67" i="67"/>
  <c r="J140" i="26"/>
  <c r="D142" i="26"/>
  <c r="G141" i="26"/>
  <c r="I70" i="74"/>
  <c r="F68" i="53"/>
  <c r="H68" i="53" s="1"/>
  <c r="I67" i="53"/>
  <c r="G67" i="45"/>
  <c r="I67" i="45" s="1"/>
  <c r="F72" i="24"/>
  <c r="H72" i="24" s="1"/>
  <c r="H73" i="24" s="1"/>
  <c r="I65" i="75"/>
  <c r="G63" i="80"/>
  <c r="I63" i="80" s="1"/>
  <c r="E67" i="65"/>
  <c r="F67" i="65" s="1"/>
  <c r="G67" i="65" s="1"/>
  <c r="G66" i="65"/>
  <c r="H70" i="46"/>
  <c r="G70" i="46"/>
  <c r="D71" i="46"/>
  <c r="H66" i="65"/>
  <c r="I62" i="78"/>
  <c r="D62" i="94"/>
  <c r="D66" i="82"/>
  <c r="E66" i="82" s="1"/>
  <c r="F66" i="82" s="1"/>
  <c r="G61" i="94"/>
  <c r="I61" i="94" s="1"/>
  <c r="H65" i="82"/>
  <c r="I65" i="82" s="1"/>
  <c r="D64" i="80"/>
  <c r="E64" i="80" s="1"/>
  <c r="F64" i="80" s="1"/>
  <c r="I70" i="27"/>
  <c r="I65" i="61"/>
  <c r="E71" i="27"/>
  <c r="F71" i="27" s="1"/>
  <c r="B71" i="27"/>
  <c r="B66" i="61"/>
  <c r="F66" i="61"/>
  <c r="H66" i="61" s="1"/>
  <c r="H63" i="84"/>
  <c r="D64" i="84"/>
  <c r="D63" i="91"/>
  <c r="B63" i="91" s="1"/>
  <c r="G62" i="91"/>
  <c r="H62" i="91"/>
  <c r="G70" i="34"/>
  <c r="D71" i="34"/>
  <c r="H70" i="34"/>
  <c r="H71" i="42"/>
  <c r="D72" i="42"/>
  <c r="G71" i="42"/>
  <c r="F72" i="22"/>
  <c r="I63" i="76"/>
  <c r="G63" i="90"/>
  <c r="I68" i="55"/>
  <c r="H63" i="90"/>
  <c r="B63" i="84"/>
  <c r="G63" i="84"/>
  <c r="F69" i="55"/>
  <c r="H69" i="55" s="1"/>
  <c r="B69" i="55"/>
  <c r="F72" i="17"/>
  <c r="G72" i="17" s="1"/>
  <c r="G73" i="17" s="1"/>
  <c r="I61" i="83"/>
  <c r="E64" i="90"/>
  <c r="F64" i="90" s="1"/>
  <c r="G64" i="90" s="1"/>
  <c r="B64" i="90"/>
  <c r="F62" i="93"/>
  <c r="G62" i="93" s="1"/>
  <c r="B62" i="93"/>
  <c r="B66" i="75"/>
  <c r="F66" i="75"/>
  <c r="H66" i="75" s="1"/>
  <c r="H60" i="95"/>
  <c r="D61" i="95"/>
  <c r="E61" i="95" s="1"/>
  <c r="G60" i="95"/>
  <c r="H63" i="85"/>
  <c r="D64" i="85"/>
  <c r="E64" i="85" s="1"/>
  <c r="G63" i="85"/>
  <c r="B69" i="39"/>
  <c r="I71" i="17"/>
  <c r="I71" i="22"/>
  <c r="E61" i="96"/>
  <c r="F61" i="96" s="1"/>
  <c r="B61" i="96"/>
  <c r="E69" i="39"/>
  <c r="F69" i="39" s="1"/>
  <c r="D70" i="39" s="1"/>
  <c r="F62" i="81"/>
  <c r="D63" i="81" s="1"/>
  <c r="B62" i="81"/>
  <c r="D66" i="86"/>
  <c r="H65" i="86"/>
  <c r="G65" i="86"/>
  <c r="E70" i="58"/>
  <c r="F70" i="58" s="1"/>
  <c r="B70" i="58"/>
  <c r="B64" i="76"/>
  <c r="I60" i="96"/>
  <c r="E64" i="76"/>
  <c r="F64" i="76" s="1"/>
  <c r="I65" i="64"/>
  <c r="E68" i="68"/>
  <c r="F68" i="68" s="1"/>
  <c r="H68" i="68" s="1"/>
  <c r="I66" i="63"/>
  <c r="H64" i="77"/>
  <c r="D71" i="43"/>
  <c r="E71" i="43" s="1"/>
  <c r="B67" i="57"/>
  <c r="F67" i="57"/>
  <c r="F71" i="74"/>
  <c r="B71" i="74"/>
  <c r="I69" i="21"/>
  <c r="I60" i="89"/>
  <c r="B67" i="68"/>
  <c r="G67" i="68"/>
  <c r="H67" i="68"/>
  <c r="F61" i="92"/>
  <c r="B61" i="92"/>
  <c r="B63" i="79"/>
  <c r="F63" i="79"/>
  <c r="D64" i="79" s="1"/>
  <c r="B62" i="83"/>
  <c r="F62" i="83"/>
  <c r="G62" i="83" s="1"/>
  <c r="D71" i="41"/>
  <c r="E69" i="60"/>
  <c r="F69" i="60" s="1"/>
  <c r="B69" i="60"/>
  <c r="H70" i="41"/>
  <c r="I62" i="79"/>
  <c r="G72" i="70"/>
  <c r="G73" i="70" s="1"/>
  <c r="H72" i="70"/>
  <c r="I66" i="54"/>
  <c r="B67" i="54"/>
  <c r="B67" i="63"/>
  <c r="F67" i="63"/>
  <c r="D71" i="21"/>
  <c r="E71" i="21" s="1"/>
  <c r="E61" i="89"/>
  <c r="F61" i="89" s="1"/>
  <c r="B61" i="89"/>
  <c r="B66" i="64"/>
  <c r="E65" i="77"/>
  <c r="F65" i="77" s="1"/>
  <c r="B65" i="77"/>
  <c r="G67" i="56"/>
  <c r="I67" i="56" s="1"/>
  <c r="D68" i="56"/>
  <c r="D64" i="88"/>
  <c r="E64" i="88" s="1"/>
  <c r="F64" i="88" s="1"/>
  <c r="G64" i="77"/>
  <c r="B68" i="60"/>
  <c r="H68" i="60"/>
  <c r="G68" i="60"/>
  <c r="G70" i="41"/>
  <c r="G70" i="43"/>
  <c r="I70" i="43" s="1"/>
  <c r="D68" i="45"/>
  <c r="E68" i="45" s="1"/>
  <c r="F63" i="78"/>
  <c r="G63" i="78" s="1"/>
  <c r="B63" i="78"/>
  <c r="F70" i="44"/>
  <c r="H70" i="44" s="1"/>
  <c r="B70" i="44"/>
  <c r="G63" i="88"/>
  <c r="I63" i="88" s="1"/>
  <c r="E67" i="54"/>
  <c r="F67" i="54" s="1"/>
  <c r="B70" i="21"/>
  <c r="H70" i="21"/>
  <c r="G70" i="21"/>
  <c r="I66" i="68"/>
  <c r="E66" i="64"/>
  <c r="F66" i="64" s="1"/>
  <c r="J139" i="33"/>
  <c r="D62" i="87"/>
  <c r="E62" i="87" s="1"/>
  <c r="H61" i="87"/>
  <c r="G61" i="87"/>
  <c r="D65" i="62"/>
  <c r="E65" i="62" s="1"/>
  <c r="B65" i="59"/>
  <c r="F65" i="59"/>
  <c r="H65" i="59" s="1"/>
  <c r="D63" i="33"/>
  <c r="H73" i="23"/>
  <c r="D62" i="26"/>
  <c r="E62" i="26" s="1"/>
  <c r="B70" i="18"/>
  <c r="F70" i="18"/>
  <c r="H64" i="62"/>
  <c r="I64" i="62" s="1"/>
  <c r="D69" i="20"/>
  <c r="E69" i="20" s="1"/>
  <c r="G62" i="33"/>
  <c r="I62" i="33" s="1"/>
  <c r="G61" i="26"/>
  <c r="I61" i="26" s="1"/>
  <c r="G68" i="20"/>
  <c r="I68" i="20" s="1"/>
  <c r="B69" i="73"/>
  <c r="F69" i="73"/>
  <c r="G69" i="73" s="1"/>
  <c r="J140" i="25"/>
  <c r="G141" i="25"/>
  <c r="D142" i="25"/>
  <c r="E142" i="25" s="1"/>
  <c r="G140" i="33"/>
  <c r="D141" i="33"/>
  <c r="E141" i="33" s="1"/>
  <c r="G60" i="102" l="1"/>
  <c r="D61" i="102"/>
  <c r="G69" i="101"/>
  <c r="I69" i="101" s="1"/>
  <c r="D70" i="101"/>
  <c r="H60" i="102"/>
  <c r="D143" i="100"/>
  <c r="E143" i="100" s="1"/>
  <c r="G142" i="100"/>
  <c r="I72" i="23"/>
  <c r="I73" i="23" s="1"/>
  <c r="B71" i="19"/>
  <c r="G62" i="25"/>
  <c r="I62" i="25" s="1"/>
  <c r="D71" i="72"/>
  <c r="H70" i="72"/>
  <c r="I70" i="72" s="1"/>
  <c r="I59" i="13"/>
  <c r="E60" i="13"/>
  <c r="F60" i="13" s="1"/>
  <c r="B60" i="13"/>
  <c r="D63" i="25"/>
  <c r="B63" i="25" s="1"/>
  <c r="D68" i="65"/>
  <c r="E68" i="65" s="1"/>
  <c r="F68" i="65" s="1"/>
  <c r="I72" i="30"/>
  <c r="I73" i="30" s="1"/>
  <c r="I72" i="31"/>
  <c r="I73" i="31" s="1"/>
  <c r="H68" i="66"/>
  <c r="I68" i="66" s="1"/>
  <c r="D69" i="66"/>
  <c r="E69" i="66" s="1"/>
  <c r="G68" i="68"/>
  <c r="I68" i="68" s="1"/>
  <c r="I61" i="93"/>
  <c r="H67" i="65"/>
  <c r="I67" i="65" s="1"/>
  <c r="H72" i="17"/>
  <c r="I72" i="17" s="1"/>
  <c r="I73" i="17" s="1"/>
  <c r="E63" i="98"/>
  <c r="F63" i="98" s="1"/>
  <c r="I62" i="98"/>
  <c r="H67" i="67"/>
  <c r="D68" i="67"/>
  <c r="B68" i="67" s="1"/>
  <c r="D69" i="68"/>
  <c r="B69" i="68" s="1"/>
  <c r="G67" i="67"/>
  <c r="H141" i="26"/>
  <c r="I141" i="26"/>
  <c r="B142" i="26"/>
  <c r="E142" i="26"/>
  <c r="F142" i="26" s="1"/>
  <c r="G72" i="24"/>
  <c r="G73" i="24" s="1"/>
  <c r="G68" i="53"/>
  <c r="I68" i="53" s="1"/>
  <c r="D69" i="53"/>
  <c r="E69" i="53" s="1"/>
  <c r="I63" i="84"/>
  <c r="I66" i="65"/>
  <c r="G65" i="59"/>
  <c r="I65" i="59" s="1"/>
  <c r="I60" i="95"/>
  <c r="I65" i="86"/>
  <c r="H63" i="78"/>
  <c r="I63" i="78" s="1"/>
  <c r="B71" i="46"/>
  <c r="E71" i="46"/>
  <c r="F71" i="46" s="1"/>
  <c r="I70" i="46"/>
  <c r="G70" i="44"/>
  <c r="I70" i="44" s="1"/>
  <c r="I71" i="42"/>
  <c r="D67" i="82"/>
  <c r="E67" i="82" s="1"/>
  <c r="F67" i="82" s="1"/>
  <c r="D68" i="82" s="1"/>
  <c r="B68" i="82" s="1"/>
  <c r="G71" i="27"/>
  <c r="D72" i="27"/>
  <c r="H71" i="27"/>
  <c r="D65" i="80"/>
  <c r="E65" i="80" s="1"/>
  <c r="B62" i="94"/>
  <c r="G66" i="61"/>
  <c r="I66" i="61" s="1"/>
  <c r="D67" i="61"/>
  <c r="B64" i="80"/>
  <c r="G64" i="80"/>
  <c r="H64" i="80"/>
  <c r="B66" i="82"/>
  <c r="H66" i="82"/>
  <c r="G66" i="82"/>
  <c r="E63" i="91"/>
  <c r="F63" i="91" s="1"/>
  <c r="E62" i="94"/>
  <c r="F62" i="94" s="1"/>
  <c r="H62" i="94" s="1"/>
  <c r="G69" i="39"/>
  <c r="G69" i="55"/>
  <c r="I69" i="55" s="1"/>
  <c r="D70" i="55"/>
  <c r="E71" i="34"/>
  <c r="F71" i="34" s="1"/>
  <c r="B71" i="34"/>
  <c r="H69" i="39"/>
  <c r="D67" i="75"/>
  <c r="E72" i="42"/>
  <c r="E73" i="42" s="1"/>
  <c r="B72" i="42"/>
  <c r="D63" i="93"/>
  <c r="E63" i="93" s="1"/>
  <c r="F63" i="93" s="1"/>
  <c r="D65" i="90"/>
  <c r="E64" i="84"/>
  <c r="F64" i="84" s="1"/>
  <c r="B64" i="84"/>
  <c r="I63" i="85"/>
  <c r="G66" i="75"/>
  <c r="I66" i="75" s="1"/>
  <c r="H62" i="93"/>
  <c r="I62" i="93" s="1"/>
  <c r="H64" i="90"/>
  <c r="I64" i="90" s="1"/>
  <c r="I63" i="90"/>
  <c r="H72" i="22"/>
  <c r="G72" i="22"/>
  <c r="G73" i="22" s="1"/>
  <c r="I70" i="34"/>
  <c r="I62" i="91"/>
  <c r="H70" i="58"/>
  <c r="D71" i="58"/>
  <c r="G70" i="58"/>
  <c r="D62" i="96"/>
  <c r="E62" i="96" s="1"/>
  <c r="H61" i="96"/>
  <c r="G61" i="96"/>
  <c r="H64" i="76"/>
  <c r="D65" i="76"/>
  <c r="G64" i="76"/>
  <c r="I68" i="60"/>
  <c r="B66" i="86"/>
  <c r="E66" i="86"/>
  <c r="F66" i="86" s="1"/>
  <c r="G62" i="81"/>
  <c r="H63" i="79"/>
  <c r="E70" i="39"/>
  <c r="F70" i="39" s="1"/>
  <c r="G70" i="39" s="1"/>
  <c r="B70" i="39"/>
  <c r="H62" i="81"/>
  <c r="E63" i="81"/>
  <c r="F63" i="81" s="1"/>
  <c r="B63" i="81"/>
  <c r="B64" i="85"/>
  <c r="F64" i="85"/>
  <c r="G64" i="85" s="1"/>
  <c r="F61" i="95"/>
  <c r="G61" i="95" s="1"/>
  <c r="B61" i="95"/>
  <c r="D72" i="19"/>
  <c r="E72" i="19" s="1"/>
  <c r="E73" i="19" s="1"/>
  <c r="G71" i="19"/>
  <c r="H71" i="19"/>
  <c r="G61" i="89"/>
  <c r="D62" i="89"/>
  <c r="H61" i="89"/>
  <c r="D66" i="77"/>
  <c r="E66" i="77" s="1"/>
  <c r="H65" i="77"/>
  <c r="G65" i="77"/>
  <c r="D65" i="88"/>
  <c r="D67" i="64"/>
  <c r="E67" i="64" s="1"/>
  <c r="F67" i="64" s="1"/>
  <c r="H66" i="64"/>
  <c r="G66" i="64"/>
  <c r="B71" i="41"/>
  <c r="D62" i="92"/>
  <c r="E62" i="92" s="1"/>
  <c r="F62" i="92" s="1"/>
  <c r="D63" i="92" s="1"/>
  <c r="D68" i="57"/>
  <c r="E64" i="79"/>
  <c r="F64" i="79" s="1"/>
  <c r="B64" i="79"/>
  <c r="D68" i="54"/>
  <c r="E68" i="54" s="1"/>
  <c r="G71" i="74"/>
  <c r="D72" i="74"/>
  <c r="E72" i="74" s="1"/>
  <c r="E73" i="74" s="1"/>
  <c r="B68" i="56"/>
  <c r="H67" i="54"/>
  <c r="I70" i="41"/>
  <c r="D70" i="60"/>
  <c r="E70" i="60" s="1"/>
  <c r="F70" i="60" s="1"/>
  <c r="H71" i="74"/>
  <c r="F71" i="43"/>
  <c r="D72" i="43" s="1"/>
  <c r="B71" i="43"/>
  <c r="D71" i="44"/>
  <c r="E71" i="44" s="1"/>
  <c r="F68" i="45"/>
  <c r="H68" i="45" s="1"/>
  <c r="B68" i="45"/>
  <c r="E68" i="56"/>
  <c r="F68" i="56" s="1"/>
  <c r="F71" i="21"/>
  <c r="D72" i="21" s="1"/>
  <c r="B71" i="21"/>
  <c r="I72" i="70"/>
  <c r="I73" i="70" s="1"/>
  <c r="H73" i="70"/>
  <c r="H69" i="60"/>
  <c r="H61" i="92"/>
  <c r="I67" i="68"/>
  <c r="H67" i="57"/>
  <c r="I64" i="77"/>
  <c r="I70" i="21"/>
  <c r="D64" i="78"/>
  <c r="E64" i="78" s="1"/>
  <c r="B64" i="88"/>
  <c r="H64" i="88"/>
  <c r="G64" i="88"/>
  <c r="D68" i="63"/>
  <c r="E68" i="63" s="1"/>
  <c r="H67" i="63"/>
  <c r="G67" i="63"/>
  <c r="G67" i="54"/>
  <c r="G69" i="60"/>
  <c r="E71" i="41"/>
  <c r="F71" i="41" s="1"/>
  <c r="D72" i="41" s="1"/>
  <c r="H62" i="83"/>
  <c r="I62" i="83" s="1"/>
  <c r="D63" i="83"/>
  <c r="G63" i="79"/>
  <c r="G61" i="92"/>
  <c r="G67" i="57"/>
  <c r="D71" i="18"/>
  <c r="E71" i="18" s="1"/>
  <c r="B63" i="33"/>
  <c r="H69" i="73"/>
  <c r="I69" i="73" s="1"/>
  <c r="H70" i="18"/>
  <c r="F65" i="62"/>
  <c r="G65" i="62" s="1"/>
  <c r="B65" i="62"/>
  <c r="I61" i="87"/>
  <c r="F69" i="20"/>
  <c r="H69" i="20" s="1"/>
  <c r="B69" i="20"/>
  <c r="D66" i="59"/>
  <c r="D70" i="73"/>
  <c r="G70" i="18"/>
  <c r="B62" i="26"/>
  <c r="F62" i="26"/>
  <c r="H62" i="26" s="1"/>
  <c r="E63" i="33"/>
  <c r="F63" i="33" s="1"/>
  <c r="F62" i="87"/>
  <c r="B62" i="87"/>
  <c r="F142" i="25"/>
  <c r="B142" i="25"/>
  <c r="F141" i="33"/>
  <c r="B141" i="33"/>
  <c r="H141" i="25"/>
  <c r="I141" i="25"/>
  <c r="H140" i="33"/>
  <c r="I140" i="33"/>
  <c r="I60" i="102" l="1"/>
  <c r="E70" i="101"/>
  <c r="F70" i="101" s="1"/>
  <c r="H70" i="101" s="1"/>
  <c r="B70" i="101"/>
  <c r="E61" i="102"/>
  <c r="F61" i="102" s="1"/>
  <c r="B61" i="102"/>
  <c r="H142" i="100"/>
  <c r="I142" i="100"/>
  <c r="B143" i="100"/>
  <c r="F143" i="100"/>
  <c r="B68" i="65"/>
  <c r="B71" i="72"/>
  <c r="E71" i="72"/>
  <c r="F71" i="72" s="1"/>
  <c r="E63" i="25"/>
  <c r="F63" i="25" s="1"/>
  <c r="H63" i="25" s="1"/>
  <c r="I62" i="81"/>
  <c r="H60" i="13"/>
  <c r="D61" i="13"/>
  <c r="B61" i="13" s="1"/>
  <c r="G60" i="13"/>
  <c r="B69" i="53"/>
  <c r="B69" i="66"/>
  <c r="F69" i="66"/>
  <c r="D70" i="66" s="1"/>
  <c r="E70" i="66" s="1"/>
  <c r="F69" i="53"/>
  <c r="H69" i="53" s="1"/>
  <c r="H73" i="17"/>
  <c r="E69" i="68"/>
  <c r="F69" i="68" s="1"/>
  <c r="G69" i="68" s="1"/>
  <c r="I72" i="24"/>
  <c r="I73" i="24" s="1"/>
  <c r="E68" i="67"/>
  <c r="F68" i="67" s="1"/>
  <c r="G68" i="67" s="1"/>
  <c r="I67" i="67"/>
  <c r="J141" i="26"/>
  <c r="D64" i="98"/>
  <c r="G63" i="98"/>
  <c r="H63" i="98"/>
  <c r="G142" i="26"/>
  <c r="D143" i="26"/>
  <c r="I69" i="39"/>
  <c r="I63" i="79"/>
  <c r="H64" i="85"/>
  <c r="I64" i="85" s="1"/>
  <c r="I66" i="82"/>
  <c r="E68" i="82"/>
  <c r="F68" i="82" s="1"/>
  <c r="H68" i="82" s="1"/>
  <c r="D72" i="46"/>
  <c r="G71" i="46"/>
  <c r="H71" i="46"/>
  <c r="H63" i="91"/>
  <c r="D64" i="91"/>
  <c r="G63" i="91"/>
  <c r="E72" i="27"/>
  <c r="E73" i="27" s="1"/>
  <c r="B72" i="27"/>
  <c r="I61" i="96"/>
  <c r="I70" i="58"/>
  <c r="F72" i="42"/>
  <c r="H72" i="42" s="1"/>
  <c r="H73" i="42" s="1"/>
  <c r="I64" i="80"/>
  <c r="G62" i="94"/>
  <c r="I62" i="94" s="1"/>
  <c r="B65" i="80"/>
  <c r="F65" i="80"/>
  <c r="D63" i="94"/>
  <c r="E63" i="94" s="1"/>
  <c r="E67" i="61"/>
  <c r="F67" i="61" s="1"/>
  <c r="B67" i="61"/>
  <c r="I71" i="27"/>
  <c r="B67" i="82"/>
  <c r="G67" i="82"/>
  <c r="H67" i="82"/>
  <c r="H64" i="84"/>
  <c r="D65" i="84"/>
  <c r="G64" i="84"/>
  <c r="G71" i="34"/>
  <c r="D72" i="34"/>
  <c r="H71" i="34"/>
  <c r="G68" i="45"/>
  <c r="I68" i="45" s="1"/>
  <c r="B65" i="90"/>
  <c r="B67" i="75"/>
  <c r="D64" i="93"/>
  <c r="E64" i="93" s="1"/>
  <c r="E70" i="55"/>
  <c r="F70" i="55" s="1"/>
  <c r="B70" i="55"/>
  <c r="I64" i="76"/>
  <c r="H73" i="22"/>
  <c r="I72" i="22"/>
  <c r="I73" i="22" s="1"/>
  <c r="B63" i="93"/>
  <c r="G63" i="93"/>
  <c r="H63" i="93"/>
  <c r="G62" i="26"/>
  <c r="I62" i="26" s="1"/>
  <c r="E65" i="90"/>
  <c r="F65" i="90" s="1"/>
  <c r="E67" i="75"/>
  <c r="F67" i="75" s="1"/>
  <c r="G63" i="81"/>
  <c r="D64" i="81"/>
  <c r="H63" i="81"/>
  <c r="G71" i="21"/>
  <c r="H71" i="41"/>
  <c r="D62" i="95"/>
  <c r="E62" i="95" s="1"/>
  <c r="D67" i="86"/>
  <c r="G66" i="86"/>
  <c r="H66" i="86"/>
  <c r="B65" i="76"/>
  <c r="E71" i="58"/>
  <c r="F71" i="58" s="1"/>
  <c r="B71" i="58"/>
  <c r="I69" i="60"/>
  <c r="H70" i="39"/>
  <c r="I70" i="39" s="1"/>
  <c r="D71" i="39"/>
  <c r="E71" i="39" s="1"/>
  <c r="E65" i="76"/>
  <c r="F65" i="76" s="1"/>
  <c r="B62" i="96"/>
  <c r="F62" i="96"/>
  <c r="H62" i="96" s="1"/>
  <c r="H61" i="95"/>
  <c r="I61" i="95" s="1"/>
  <c r="D65" i="85"/>
  <c r="E65" i="85" s="1"/>
  <c r="F65" i="85" s="1"/>
  <c r="D66" i="85" s="1"/>
  <c r="I65" i="77"/>
  <c r="I66" i="64"/>
  <c r="I64" i="88"/>
  <c r="I67" i="57"/>
  <c r="D69" i="56"/>
  <c r="E69" i="56" s="1"/>
  <c r="F69" i="56" s="1"/>
  <c r="D70" i="56" s="1"/>
  <c r="H68" i="56"/>
  <c r="G68" i="56"/>
  <c r="E63" i="92"/>
  <c r="F63" i="92" s="1"/>
  <c r="H63" i="92" s="1"/>
  <c r="B63" i="92"/>
  <c r="D68" i="64"/>
  <c r="E68" i="64" s="1"/>
  <c r="F68" i="64" s="1"/>
  <c r="D65" i="79"/>
  <c r="E65" i="79" s="1"/>
  <c r="G64" i="79"/>
  <c r="H64" i="79"/>
  <c r="E63" i="83"/>
  <c r="F63" i="83" s="1"/>
  <c r="G63" i="83" s="1"/>
  <c r="B63" i="83"/>
  <c r="B68" i="57"/>
  <c r="B65" i="88"/>
  <c r="I71" i="19"/>
  <c r="H65" i="62"/>
  <c r="I65" i="62" s="1"/>
  <c r="F64" i="78"/>
  <c r="D65" i="78" s="1"/>
  <c r="B64" i="78"/>
  <c r="B71" i="44"/>
  <c r="F71" i="44"/>
  <c r="H71" i="44" s="1"/>
  <c r="G71" i="43"/>
  <c r="B70" i="60"/>
  <c r="G70" i="60"/>
  <c r="H70" i="60"/>
  <c r="I61" i="89"/>
  <c r="E72" i="41"/>
  <c r="E73" i="41" s="1"/>
  <c r="B72" i="41"/>
  <c r="I61" i="92"/>
  <c r="E72" i="21"/>
  <c r="E73" i="21" s="1"/>
  <c r="B72" i="21"/>
  <c r="E72" i="43"/>
  <c r="E73" i="43" s="1"/>
  <c r="B72" i="43"/>
  <c r="B62" i="92"/>
  <c r="G62" i="92"/>
  <c r="H62" i="92"/>
  <c r="B67" i="64"/>
  <c r="G67" i="64"/>
  <c r="H67" i="64"/>
  <c r="E62" i="89"/>
  <c r="F62" i="89" s="1"/>
  <c r="H62" i="89" s="1"/>
  <c r="B62" i="89"/>
  <c r="F68" i="63"/>
  <c r="B68" i="63"/>
  <c r="D71" i="60"/>
  <c r="E71" i="60" s="1"/>
  <c r="I67" i="63"/>
  <c r="H71" i="21"/>
  <c r="D69" i="45"/>
  <c r="H71" i="43"/>
  <c r="I71" i="74"/>
  <c r="I67" i="54"/>
  <c r="B72" i="74"/>
  <c r="F72" i="74"/>
  <c r="G72" i="74" s="1"/>
  <c r="G73" i="74" s="1"/>
  <c r="F68" i="54"/>
  <c r="G68" i="54" s="1"/>
  <c r="B68" i="54"/>
  <c r="E68" i="57"/>
  <c r="F68" i="57" s="1"/>
  <c r="G71" i="41"/>
  <c r="E65" i="88"/>
  <c r="F65" i="88" s="1"/>
  <c r="B66" i="77"/>
  <c r="F66" i="77"/>
  <c r="H66" i="77" s="1"/>
  <c r="F72" i="19"/>
  <c r="G72" i="19" s="1"/>
  <c r="G73" i="19" s="1"/>
  <c r="B72" i="19"/>
  <c r="D69" i="65"/>
  <c r="H68" i="65"/>
  <c r="G68" i="65"/>
  <c r="D64" i="33"/>
  <c r="G63" i="33"/>
  <c r="H63" i="33"/>
  <c r="D63" i="87"/>
  <c r="E63" i="87" s="1"/>
  <c r="B70" i="73"/>
  <c r="B66" i="59"/>
  <c r="G69" i="20"/>
  <c r="I69" i="20" s="1"/>
  <c r="I70" i="18"/>
  <c r="G62" i="87"/>
  <c r="D63" i="26"/>
  <c r="E63" i="26" s="1"/>
  <c r="E70" i="73"/>
  <c r="F70" i="73" s="1"/>
  <c r="D66" i="62"/>
  <c r="H62" i="87"/>
  <c r="E66" i="59"/>
  <c r="F66" i="59" s="1"/>
  <c r="D70" i="20"/>
  <c r="E70" i="20" s="1"/>
  <c r="F71" i="18"/>
  <c r="H71" i="18" s="1"/>
  <c r="B71" i="18"/>
  <c r="J140" i="33"/>
  <c r="J141" i="25"/>
  <c r="D143" i="25"/>
  <c r="E143" i="25" s="1"/>
  <c r="G142" i="25"/>
  <c r="G141" i="33"/>
  <c r="D142" i="33"/>
  <c r="E142" i="33" s="1"/>
  <c r="H61" i="102" l="1"/>
  <c r="D62" i="102"/>
  <c r="G70" i="101"/>
  <c r="I70" i="101" s="1"/>
  <c r="D71" i="101"/>
  <c r="E71" i="101" s="1"/>
  <c r="G61" i="102"/>
  <c r="I61" i="102" s="1"/>
  <c r="G143" i="100"/>
  <c r="D144" i="100"/>
  <c r="E144" i="100" s="1"/>
  <c r="G69" i="53"/>
  <c r="I69" i="53" s="1"/>
  <c r="D64" i="25"/>
  <c r="E64" i="25" s="1"/>
  <c r="D72" i="72"/>
  <c r="G71" i="72"/>
  <c r="H71" i="72"/>
  <c r="G63" i="25"/>
  <c r="I63" i="25" s="1"/>
  <c r="I60" i="13"/>
  <c r="E61" i="13"/>
  <c r="F61" i="13" s="1"/>
  <c r="H69" i="66"/>
  <c r="G69" i="66"/>
  <c r="D70" i="53"/>
  <c r="E70" i="53" s="1"/>
  <c r="D70" i="68"/>
  <c r="E70" i="68" s="1"/>
  <c r="H69" i="68"/>
  <c r="I69" i="68" s="1"/>
  <c r="D69" i="67"/>
  <c r="E69" i="67" s="1"/>
  <c r="F69" i="67" s="1"/>
  <c r="D70" i="67" s="1"/>
  <c r="H68" i="67"/>
  <c r="I68" i="67" s="1"/>
  <c r="G68" i="82"/>
  <c r="I68" i="82" s="1"/>
  <c r="B64" i="98"/>
  <c r="E64" i="98"/>
  <c r="F64" i="98" s="1"/>
  <c r="H64" i="98" s="1"/>
  <c r="I63" i="98"/>
  <c r="E143" i="26"/>
  <c r="F143" i="26" s="1"/>
  <c r="B143" i="26"/>
  <c r="I142" i="26"/>
  <c r="H142" i="26"/>
  <c r="D69" i="82"/>
  <c r="E69" i="82" s="1"/>
  <c r="F69" i="82" s="1"/>
  <c r="D70" i="82" s="1"/>
  <c r="I71" i="46"/>
  <c r="G71" i="44"/>
  <c r="I71" i="44" s="1"/>
  <c r="I71" i="41"/>
  <c r="F72" i="21"/>
  <c r="H72" i="21" s="1"/>
  <c r="H73" i="21" s="1"/>
  <c r="E72" i="46"/>
  <c r="E73" i="46" s="1"/>
  <c r="B72" i="46"/>
  <c r="G72" i="42"/>
  <c r="G73" i="42" s="1"/>
  <c r="I71" i="34"/>
  <c r="F72" i="27"/>
  <c r="G72" i="27" s="1"/>
  <c r="G73" i="27" s="1"/>
  <c r="H68" i="54"/>
  <c r="I68" i="54" s="1"/>
  <c r="H64" i="78"/>
  <c r="I63" i="93"/>
  <c r="I67" i="82"/>
  <c r="I63" i="81"/>
  <c r="H67" i="61"/>
  <c r="D68" i="61"/>
  <c r="B63" i="94"/>
  <c r="F63" i="94"/>
  <c r="D64" i="94" s="1"/>
  <c r="E64" i="91"/>
  <c r="F64" i="91" s="1"/>
  <c r="B64" i="91"/>
  <c r="G67" i="61"/>
  <c r="G65" i="80"/>
  <c r="H65" i="80"/>
  <c r="D66" i="80"/>
  <c r="I63" i="91"/>
  <c r="H70" i="55"/>
  <c r="D71" i="55"/>
  <c r="G70" i="55"/>
  <c r="H65" i="90"/>
  <c r="D66" i="90"/>
  <c r="E66" i="90" s="1"/>
  <c r="F66" i="90" s="1"/>
  <c r="G65" i="90"/>
  <c r="I66" i="86"/>
  <c r="D68" i="75"/>
  <c r="E68" i="75" s="1"/>
  <c r="F68" i="75" s="1"/>
  <c r="D69" i="75" s="1"/>
  <c r="F64" i="93"/>
  <c r="H64" i="93" s="1"/>
  <c r="B64" i="93"/>
  <c r="H72" i="19"/>
  <c r="H73" i="19" s="1"/>
  <c r="H67" i="75"/>
  <c r="E65" i="84"/>
  <c r="F65" i="84" s="1"/>
  <c r="D66" i="84" s="1"/>
  <c r="B65" i="84"/>
  <c r="I70" i="60"/>
  <c r="I64" i="79"/>
  <c r="G67" i="75"/>
  <c r="E72" i="34"/>
  <c r="E73" i="34" s="1"/>
  <c r="B72" i="34"/>
  <c r="I64" i="84"/>
  <c r="D66" i="76"/>
  <c r="E66" i="76" s="1"/>
  <c r="F66" i="76" s="1"/>
  <c r="G65" i="76"/>
  <c r="H65" i="76"/>
  <c r="G71" i="58"/>
  <c r="H71" i="58"/>
  <c r="D72" i="58"/>
  <c r="E72" i="58" s="1"/>
  <c r="E73" i="58" s="1"/>
  <c r="E66" i="85"/>
  <c r="F66" i="85" s="1"/>
  <c r="D67" i="85" s="1"/>
  <c r="B66" i="85"/>
  <c r="E67" i="86"/>
  <c r="F67" i="86" s="1"/>
  <c r="B67" i="86"/>
  <c r="F72" i="43"/>
  <c r="G62" i="96"/>
  <c r="I62" i="96" s="1"/>
  <c r="D63" i="96"/>
  <c r="E64" i="81"/>
  <c r="F64" i="81" s="1"/>
  <c r="G64" i="81" s="1"/>
  <c r="B64" i="81"/>
  <c r="B65" i="85"/>
  <c r="H65" i="85"/>
  <c r="G65" i="85"/>
  <c r="B71" i="39"/>
  <c r="F71" i="39"/>
  <c r="G71" i="39" s="1"/>
  <c r="B62" i="95"/>
  <c r="F62" i="95"/>
  <c r="H62" i="95" s="1"/>
  <c r="I63" i="33"/>
  <c r="D69" i="64"/>
  <c r="E69" i="64" s="1"/>
  <c r="F69" i="64" s="1"/>
  <c r="D66" i="88"/>
  <c r="H65" i="88"/>
  <c r="G65" i="88"/>
  <c r="D69" i="57"/>
  <c r="H68" i="57"/>
  <c r="G68" i="57"/>
  <c r="E70" i="56"/>
  <c r="F70" i="56" s="1"/>
  <c r="B70" i="56"/>
  <c r="I62" i="87"/>
  <c r="I71" i="21"/>
  <c r="H68" i="63"/>
  <c r="D69" i="63"/>
  <c r="D63" i="89"/>
  <c r="E63" i="89" s="1"/>
  <c r="F63" i="89" s="1"/>
  <c r="D64" i="89" s="1"/>
  <c r="H63" i="83"/>
  <c r="I63" i="83" s="1"/>
  <c r="D64" i="83"/>
  <c r="E64" i="83" s="1"/>
  <c r="I68" i="56"/>
  <c r="D67" i="77"/>
  <c r="E67" i="77" s="1"/>
  <c r="F67" i="77" s="1"/>
  <c r="G66" i="77"/>
  <c r="I66" i="77" s="1"/>
  <c r="H72" i="74"/>
  <c r="I71" i="43"/>
  <c r="G62" i="89"/>
  <c r="I62" i="89" s="1"/>
  <c r="I62" i="92"/>
  <c r="F72" i="41"/>
  <c r="D72" i="44"/>
  <c r="E72" i="44" s="1"/>
  <c r="E73" i="44" s="1"/>
  <c r="G64" i="78"/>
  <c r="G68" i="63"/>
  <c r="F65" i="79"/>
  <c r="G65" i="79" s="1"/>
  <c r="B65" i="79"/>
  <c r="B69" i="45"/>
  <c r="G63" i="92"/>
  <c r="I63" i="92" s="1"/>
  <c r="D64" i="92"/>
  <c r="D69" i="54"/>
  <c r="E69" i="54" s="1"/>
  <c r="F69" i="54" s="1"/>
  <c r="E69" i="45"/>
  <c r="F69" i="45" s="1"/>
  <c r="B71" i="60"/>
  <c r="F71" i="60"/>
  <c r="G71" i="60" s="1"/>
  <c r="I67" i="64"/>
  <c r="E65" i="78"/>
  <c r="F65" i="78" s="1"/>
  <c r="D66" i="78" s="1"/>
  <c r="B65" i="78"/>
  <c r="B68" i="64"/>
  <c r="H68" i="64"/>
  <c r="G68" i="64"/>
  <c r="B69" i="56"/>
  <c r="H69" i="56"/>
  <c r="G69" i="56"/>
  <c r="D67" i="59"/>
  <c r="E67" i="59" s="1"/>
  <c r="G66" i="59"/>
  <c r="H66" i="59"/>
  <c r="D71" i="73"/>
  <c r="E71" i="73" s="1"/>
  <c r="G70" i="73"/>
  <c r="H70" i="73"/>
  <c r="B66" i="62"/>
  <c r="B64" i="33"/>
  <c r="B69" i="65"/>
  <c r="D72" i="18"/>
  <c r="E72" i="18" s="1"/>
  <c r="E73" i="18" s="1"/>
  <c r="B70" i="66"/>
  <c r="F70" i="66"/>
  <c r="H70" i="66" s="1"/>
  <c r="B63" i="87"/>
  <c r="F63" i="87"/>
  <c r="H63" i="87" s="1"/>
  <c r="E64" i="33"/>
  <c r="F64" i="33" s="1"/>
  <c r="E69" i="65"/>
  <c r="F69" i="65" s="1"/>
  <c r="B63" i="26"/>
  <c r="F63" i="26"/>
  <c r="G63" i="26" s="1"/>
  <c r="G71" i="18"/>
  <c r="I71" i="18" s="1"/>
  <c r="B70" i="20"/>
  <c r="F70" i="20"/>
  <c r="E66" i="62"/>
  <c r="F66" i="62" s="1"/>
  <c r="I68" i="65"/>
  <c r="B142" i="33"/>
  <c r="F142" i="33"/>
  <c r="I142" i="25"/>
  <c r="H142" i="25"/>
  <c r="H141" i="33"/>
  <c r="I141" i="33"/>
  <c r="B143" i="25"/>
  <c r="F143" i="25"/>
  <c r="F71" i="101" l="1"/>
  <c r="H71" i="101" s="1"/>
  <c r="B71" i="101"/>
  <c r="E62" i="102"/>
  <c r="B62" i="102"/>
  <c r="F62" i="102"/>
  <c r="G62" i="102" s="1"/>
  <c r="H143" i="100"/>
  <c r="I143" i="100"/>
  <c r="F144" i="100"/>
  <c r="B144" i="100"/>
  <c r="F70" i="53"/>
  <c r="H70" i="53" s="1"/>
  <c r="B64" i="25"/>
  <c r="F64" i="25"/>
  <c r="G64" i="25" s="1"/>
  <c r="I71" i="72"/>
  <c r="E72" i="72"/>
  <c r="E73" i="72" s="1"/>
  <c r="B72" i="72"/>
  <c r="I69" i="66"/>
  <c r="G61" i="13"/>
  <c r="D62" i="13"/>
  <c r="H61" i="13"/>
  <c r="B70" i="53"/>
  <c r="B70" i="68"/>
  <c r="F70" i="68"/>
  <c r="H70" i="68" s="1"/>
  <c r="B69" i="67"/>
  <c r="H69" i="67"/>
  <c r="G69" i="67"/>
  <c r="D65" i="98"/>
  <c r="G64" i="98"/>
  <c r="I64" i="98" s="1"/>
  <c r="J142" i="26"/>
  <c r="G143" i="26"/>
  <c r="D144" i="26"/>
  <c r="G72" i="21"/>
  <c r="G73" i="21" s="1"/>
  <c r="B69" i="82"/>
  <c r="I72" i="42"/>
  <c r="I73" i="42" s="1"/>
  <c r="H72" i="27"/>
  <c r="I72" i="27" s="1"/>
  <c r="I73" i="27" s="1"/>
  <c r="I72" i="19"/>
  <c r="I73" i="19" s="1"/>
  <c r="I64" i="78"/>
  <c r="F72" i="46"/>
  <c r="G72" i="46" s="1"/>
  <c r="G73" i="46" s="1"/>
  <c r="H63" i="94"/>
  <c r="G64" i="93"/>
  <c r="I64" i="93" s="1"/>
  <c r="I65" i="80"/>
  <c r="I65" i="90"/>
  <c r="I70" i="55"/>
  <c r="F72" i="34"/>
  <c r="H72" i="34" s="1"/>
  <c r="G64" i="91"/>
  <c r="H64" i="91"/>
  <c r="D65" i="91"/>
  <c r="B68" i="61"/>
  <c r="G66" i="85"/>
  <c r="E64" i="94"/>
  <c r="F64" i="94" s="1"/>
  <c r="G64" i="94" s="1"/>
  <c r="B64" i="94"/>
  <c r="I67" i="61"/>
  <c r="E66" i="80"/>
  <c r="F66" i="80" s="1"/>
  <c r="D67" i="80" s="1"/>
  <c r="B66" i="80"/>
  <c r="G63" i="94"/>
  <c r="E68" i="61"/>
  <c r="F68" i="61" s="1"/>
  <c r="G68" i="61" s="1"/>
  <c r="E70" i="82"/>
  <c r="F70" i="82" s="1"/>
  <c r="B70" i="82"/>
  <c r="H65" i="84"/>
  <c r="D65" i="93"/>
  <c r="E65" i="93" s="1"/>
  <c r="F65" i="93" s="1"/>
  <c r="E66" i="84"/>
  <c r="F66" i="84" s="1"/>
  <c r="H66" i="84" s="1"/>
  <c r="B66" i="84"/>
  <c r="E69" i="75"/>
  <c r="F69" i="75" s="1"/>
  <c r="H69" i="75" s="1"/>
  <c r="B69" i="75"/>
  <c r="H66" i="90"/>
  <c r="D67" i="90"/>
  <c r="E71" i="55"/>
  <c r="F71" i="55" s="1"/>
  <c r="B71" i="55"/>
  <c r="G65" i="84"/>
  <c r="I67" i="75"/>
  <c r="B68" i="75"/>
  <c r="H68" i="75"/>
  <c r="G68" i="75"/>
  <c r="B66" i="90"/>
  <c r="G66" i="90"/>
  <c r="D67" i="76"/>
  <c r="E67" i="76" s="1"/>
  <c r="F67" i="76" s="1"/>
  <c r="D68" i="76" s="1"/>
  <c r="H63" i="26"/>
  <c r="I63" i="26" s="1"/>
  <c r="G63" i="87"/>
  <c r="I63" i="87" s="1"/>
  <c r="H64" i="81"/>
  <c r="I64" i="81" s="1"/>
  <c r="D65" i="81"/>
  <c r="E65" i="81" s="1"/>
  <c r="F65" i="81" s="1"/>
  <c r="H71" i="39"/>
  <c r="E63" i="96"/>
  <c r="F63" i="96" s="1"/>
  <c r="B63" i="96"/>
  <c r="D68" i="86"/>
  <c r="G67" i="86"/>
  <c r="H67" i="86"/>
  <c r="G69" i="82"/>
  <c r="H66" i="85"/>
  <c r="I71" i="58"/>
  <c r="I65" i="85"/>
  <c r="H69" i="82"/>
  <c r="B66" i="76"/>
  <c r="H66" i="76"/>
  <c r="G66" i="76"/>
  <c r="G62" i="95"/>
  <c r="I62" i="95" s="1"/>
  <c r="D63" i="95"/>
  <c r="E63" i="95" s="1"/>
  <c r="D72" i="39"/>
  <c r="E72" i="39" s="1"/>
  <c r="E73" i="39" s="1"/>
  <c r="H72" i="43"/>
  <c r="G72" i="43"/>
  <c r="G73" i="43" s="1"/>
  <c r="E67" i="85"/>
  <c r="F67" i="85" s="1"/>
  <c r="B67" i="85"/>
  <c r="F72" i="58"/>
  <c r="G72" i="58" s="1"/>
  <c r="G73" i="58" s="1"/>
  <c r="B72" i="58"/>
  <c r="I65" i="76"/>
  <c r="I68" i="64"/>
  <c r="I68" i="57"/>
  <c r="I68" i="63"/>
  <c r="D70" i="45"/>
  <c r="E70" i="45" s="1"/>
  <c r="H69" i="45"/>
  <c r="G69" i="45"/>
  <c r="D68" i="77"/>
  <c r="E68" i="77" s="1"/>
  <c r="D71" i="56"/>
  <c r="H70" i="56"/>
  <c r="G70" i="56"/>
  <c r="D70" i="64"/>
  <c r="E70" i="64" s="1"/>
  <c r="I72" i="74"/>
  <c r="I73" i="74" s="1"/>
  <c r="H73" i="74"/>
  <c r="B70" i="67"/>
  <c r="I69" i="56"/>
  <c r="G65" i="78"/>
  <c r="E64" i="89"/>
  <c r="F64" i="89" s="1"/>
  <c r="B64" i="89"/>
  <c r="E70" i="67"/>
  <c r="F70" i="67" s="1"/>
  <c r="E69" i="57"/>
  <c r="F69" i="57" s="1"/>
  <c r="B69" i="57"/>
  <c r="E66" i="78"/>
  <c r="F66" i="78" s="1"/>
  <c r="G66" i="78" s="1"/>
  <c r="B66" i="78"/>
  <c r="H65" i="78"/>
  <c r="H71" i="60"/>
  <c r="D72" i="60"/>
  <c r="D70" i="54"/>
  <c r="E70" i="54" s="1"/>
  <c r="F70" i="54" s="1"/>
  <c r="D66" i="79"/>
  <c r="E66" i="79" s="1"/>
  <c r="B72" i="44"/>
  <c r="F72" i="44"/>
  <c r="B67" i="77"/>
  <c r="G67" i="77"/>
  <c r="H67" i="77"/>
  <c r="B64" i="83"/>
  <c r="F64" i="83"/>
  <c r="G64" i="83" s="1"/>
  <c r="B63" i="89"/>
  <c r="H63" i="89"/>
  <c r="G63" i="89"/>
  <c r="B69" i="64"/>
  <c r="G69" i="64"/>
  <c r="H69" i="64"/>
  <c r="B64" i="92"/>
  <c r="E66" i="88"/>
  <c r="F66" i="88" s="1"/>
  <c r="B66" i="88"/>
  <c r="I66" i="59"/>
  <c r="B69" i="54"/>
  <c r="H69" i="54"/>
  <c r="G69" i="54"/>
  <c r="E64" i="92"/>
  <c r="F64" i="92" s="1"/>
  <c r="H65" i="79"/>
  <c r="I65" i="79" s="1"/>
  <c r="H72" i="41"/>
  <c r="G72" i="41"/>
  <c r="G73" i="41" s="1"/>
  <c r="E69" i="63"/>
  <c r="F69" i="63" s="1"/>
  <c r="B69" i="63"/>
  <c r="I65" i="88"/>
  <c r="D67" i="62"/>
  <c r="E67" i="62" s="1"/>
  <c r="G66" i="62"/>
  <c r="H66" i="62"/>
  <c r="D70" i="65"/>
  <c r="H69" i="65"/>
  <c r="G69" i="65"/>
  <c r="D65" i="33"/>
  <c r="E65" i="33" s="1"/>
  <c r="G64" i="33"/>
  <c r="H64" i="33"/>
  <c r="D64" i="87"/>
  <c r="E64" i="87" s="1"/>
  <c r="G70" i="66"/>
  <c r="I70" i="66" s="1"/>
  <c r="D71" i="20"/>
  <c r="E71" i="20" s="1"/>
  <c r="F71" i="73"/>
  <c r="H71" i="73" s="1"/>
  <c r="B71" i="73"/>
  <c r="G70" i="20"/>
  <c r="D71" i="66"/>
  <c r="E71" i="66" s="1"/>
  <c r="B72" i="18"/>
  <c r="F72" i="18"/>
  <c r="H72" i="18" s="1"/>
  <c r="I70" i="73"/>
  <c r="H70" i="20"/>
  <c r="D64" i="26"/>
  <c r="E64" i="26" s="1"/>
  <c r="B67" i="59"/>
  <c r="F67" i="59"/>
  <c r="G67" i="59" s="1"/>
  <c r="J141" i="33"/>
  <c r="J142" i="25"/>
  <c r="G143" i="25"/>
  <c r="D144" i="25"/>
  <c r="G142" i="33"/>
  <c r="D143" i="33"/>
  <c r="E143" i="33" s="1"/>
  <c r="H62" i="102" l="1"/>
  <c r="D63" i="102"/>
  <c r="G71" i="101"/>
  <c r="I71" i="101" s="1"/>
  <c r="D72" i="101"/>
  <c r="E72" i="101" s="1"/>
  <c r="E73" i="101" s="1"/>
  <c r="D145" i="100"/>
  <c r="E145" i="100" s="1"/>
  <c r="G144" i="100"/>
  <c r="G70" i="53"/>
  <c r="I70" i="53" s="1"/>
  <c r="D71" i="53"/>
  <c r="E71" i="53" s="1"/>
  <c r="D65" i="25"/>
  <c r="E65" i="25" s="1"/>
  <c r="I65" i="78"/>
  <c r="H64" i="25"/>
  <c r="I64" i="25" s="1"/>
  <c r="F72" i="72"/>
  <c r="H72" i="72" s="1"/>
  <c r="H73" i="72" s="1"/>
  <c r="I61" i="13"/>
  <c r="E62" i="13"/>
  <c r="F62" i="13" s="1"/>
  <c r="B62" i="13"/>
  <c r="D71" i="68"/>
  <c r="E71" i="68" s="1"/>
  <c r="G70" i="68"/>
  <c r="I70" i="68" s="1"/>
  <c r="I69" i="67"/>
  <c r="G72" i="34"/>
  <c r="G73" i="34" s="1"/>
  <c r="E65" i="98"/>
  <c r="F65" i="98" s="1"/>
  <c r="B65" i="98"/>
  <c r="H73" i="27"/>
  <c r="I72" i="21"/>
  <c r="I73" i="21" s="1"/>
  <c r="B144" i="26"/>
  <c r="E144" i="26"/>
  <c r="F144" i="26" s="1"/>
  <c r="H143" i="26"/>
  <c r="I143" i="26"/>
  <c r="H72" i="46"/>
  <c r="H73" i="46" s="1"/>
  <c r="I63" i="94"/>
  <c r="H64" i="94"/>
  <c r="I64" i="94" s="1"/>
  <c r="I68" i="75"/>
  <c r="I70" i="20"/>
  <c r="I66" i="90"/>
  <c r="I64" i="91"/>
  <c r="I66" i="85"/>
  <c r="G70" i="82"/>
  <c r="D71" i="82"/>
  <c r="E71" i="82" s="1"/>
  <c r="F71" i="82" s="1"/>
  <c r="D70" i="63"/>
  <c r="B70" i="63" s="1"/>
  <c r="E67" i="80"/>
  <c r="F67" i="80" s="1"/>
  <c r="B67" i="80"/>
  <c r="B65" i="91"/>
  <c r="E65" i="91"/>
  <c r="F65" i="91" s="1"/>
  <c r="I69" i="54"/>
  <c r="G66" i="80"/>
  <c r="D65" i="94"/>
  <c r="E65" i="94" s="1"/>
  <c r="H68" i="61"/>
  <c r="I68" i="61" s="1"/>
  <c r="H67" i="59"/>
  <c r="I67" i="59" s="1"/>
  <c r="G71" i="73"/>
  <c r="I71" i="73" s="1"/>
  <c r="H70" i="82"/>
  <c r="I66" i="76"/>
  <c r="I67" i="86"/>
  <c r="D69" i="61"/>
  <c r="E69" i="61" s="1"/>
  <c r="F69" i="61" s="1"/>
  <c r="H66" i="80"/>
  <c r="H71" i="55"/>
  <c r="D72" i="55"/>
  <c r="G71" i="55"/>
  <c r="D66" i="93"/>
  <c r="E66" i="93" s="1"/>
  <c r="F66" i="93" s="1"/>
  <c r="D67" i="93" s="1"/>
  <c r="E67" i="90"/>
  <c r="F67" i="90" s="1"/>
  <c r="H67" i="90" s="1"/>
  <c r="B67" i="90"/>
  <c r="D70" i="75"/>
  <c r="E70" i="75" s="1"/>
  <c r="B65" i="93"/>
  <c r="G65" i="93"/>
  <c r="H65" i="93"/>
  <c r="H72" i="58"/>
  <c r="I72" i="58" s="1"/>
  <c r="I73" i="58" s="1"/>
  <c r="G66" i="84"/>
  <c r="I66" i="84" s="1"/>
  <c r="D67" i="84"/>
  <c r="I65" i="84"/>
  <c r="I63" i="89"/>
  <c r="I69" i="82"/>
  <c r="G69" i="75"/>
  <c r="I69" i="75" s="1"/>
  <c r="H73" i="34"/>
  <c r="G63" i="96"/>
  <c r="D64" i="96"/>
  <c r="E64" i="96" s="1"/>
  <c r="H63" i="96"/>
  <c r="E68" i="76"/>
  <c r="F68" i="76" s="1"/>
  <c r="G68" i="76" s="1"/>
  <c r="B68" i="76"/>
  <c r="G67" i="85"/>
  <c r="D68" i="85"/>
  <c r="B72" i="39"/>
  <c r="F72" i="39"/>
  <c r="H72" i="39" s="1"/>
  <c r="H73" i="39" s="1"/>
  <c r="E68" i="86"/>
  <c r="F68" i="86" s="1"/>
  <c r="B68" i="86"/>
  <c r="D66" i="81"/>
  <c r="E66" i="81" s="1"/>
  <c r="B67" i="76"/>
  <c r="G67" i="76"/>
  <c r="H67" i="76"/>
  <c r="I70" i="56"/>
  <c r="H67" i="85"/>
  <c r="I72" i="43"/>
  <c r="I73" i="43" s="1"/>
  <c r="H73" i="43"/>
  <c r="B63" i="95"/>
  <c r="F63" i="95"/>
  <c r="D64" i="95" s="1"/>
  <c r="I71" i="39"/>
  <c r="B65" i="81"/>
  <c r="H65" i="81"/>
  <c r="G65" i="81"/>
  <c r="I69" i="64"/>
  <c r="I67" i="77"/>
  <c r="D65" i="89"/>
  <c r="H64" i="89"/>
  <c r="G64" i="89"/>
  <c r="D71" i="54"/>
  <c r="D70" i="57"/>
  <c r="G69" i="57"/>
  <c r="H69" i="57"/>
  <c r="D71" i="67"/>
  <c r="E71" i="67" s="1"/>
  <c r="H70" i="67"/>
  <c r="G70" i="67"/>
  <c r="H64" i="92"/>
  <c r="D65" i="92"/>
  <c r="E65" i="92" s="1"/>
  <c r="G64" i="92"/>
  <c r="G66" i="88"/>
  <c r="D67" i="88"/>
  <c r="E67" i="88" s="1"/>
  <c r="H66" i="88"/>
  <c r="B72" i="60"/>
  <c r="I66" i="62"/>
  <c r="G69" i="63"/>
  <c r="G72" i="44"/>
  <c r="G73" i="44" s="1"/>
  <c r="H72" i="44"/>
  <c r="I71" i="60"/>
  <c r="E71" i="56"/>
  <c r="F71" i="56" s="1"/>
  <c r="B71" i="56"/>
  <c r="I69" i="45"/>
  <c r="I64" i="33"/>
  <c r="H69" i="63"/>
  <c r="B70" i="54"/>
  <c r="H70" i="54"/>
  <c r="G70" i="54"/>
  <c r="F70" i="64"/>
  <c r="B70" i="64"/>
  <c r="I72" i="41"/>
  <c r="I73" i="41" s="1"/>
  <c r="H73" i="41"/>
  <c r="D65" i="83"/>
  <c r="D67" i="78"/>
  <c r="H64" i="83"/>
  <c r="I64" i="83" s="1"/>
  <c r="B66" i="79"/>
  <c r="F66" i="79"/>
  <c r="H66" i="79" s="1"/>
  <c r="E72" i="60"/>
  <c r="E73" i="60" s="1"/>
  <c r="H66" i="78"/>
  <c r="I66" i="78" s="1"/>
  <c r="F68" i="77"/>
  <c r="D69" i="77" s="1"/>
  <c r="B68" i="77"/>
  <c r="B70" i="45"/>
  <c r="F70" i="45"/>
  <c r="H73" i="18"/>
  <c r="D72" i="73"/>
  <c r="E72" i="73" s="1"/>
  <c r="E73" i="73" s="1"/>
  <c r="I69" i="65"/>
  <c r="D68" i="59"/>
  <c r="E68" i="59" s="1"/>
  <c r="G72" i="18"/>
  <c r="G73" i="18" s="1"/>
  <c r="B71" i="20"/>
  <c r="F71" i="20"/>
  <c r="H71" i="20" s="1"/>
  <c r="B65" i="33"/>
  <c r="F65" i="33"/>
  <c r="H65" i="33" s="1"/>
  <c r="B70" i="65"/>
  <c r="E70" i="65"/>
  <c r="F70" i="65" s="1"/>
  <c r="B64" i="26"/>
  <c r="F64" i="26"/>
  <c r="G64" i="26" s="1"/>
  <c r="B71" i="66"/>
  <c r="F71" i="66"/>
  <c r="G71" i="66" s="1"/>
  <c r="B64" i="87"/>
  <c r="F64" i="87"/>
  <c r="F67" i="62"/>
  <c r="G67" i="62" s="1"/>
  <c r="B67" i="62"/>
  <c r="B144" i="25"/>
  <c r="E144" i="25"/>
  <c r="F144" i="25" s="1"/>
  <c r="F143" i="33"/>
  <c r="B143" i="33"/>
  <c r="H143" i="25"/>
  <c r="I143" i="25"/>
  <c r="H142" i="33"/>
  <c r="I142" i="33"/>
  <c r="B72" i="101" l="1"/>
  <c r="F72" i="101"/>
  <c r="G72" i="101" s="1"/>
  <c r="G73" i="101" s="1"/>
  <c r="E63" i="102"/>
  <c r="F63" i="102" s="1"/>
  <c r="G63" i="102" s="1"/>
  <c r="B63" i="102"/>
  <c r="I62" i="102"/>
  <c r="H144" i="100"/>
  <c r="I144" i="100"/>
  <c r="B145" i="100"/>
  <c r="F145" i="100"/>
  <c r="B71" i="53"/>
  <c r="F71" i="53"/>
  <c r="G71" i="53" s="1"/>
  <c r="B65" i="25"/>
  <c r="F65" i="25"/>
  <c r="G65" i="25" s="1"/>
  <c r="G72" i="72"/>
  <c r="G73" i="72" s="1"/>
  <c r="B71" i="68"/>
  <c r="F71" i="68"/>
  <c r="G71" i="68" s="1"/>
  <c r="D63" i="13"/>
  <c r="G62" i="13"/>
  <c r="H62" i="13"/>
  <c r="H73" i="58"/>
  <c r="I72" i="34"/>
  <c r="I73" i="34" s="1"/>
  <c r="I72" i="46"/>
  <c r="I73" i="46" s="1"/>
  <c r="J143" i="26"/>
  <c r="H65" i="98"/>
  <c r="D66" i="98"/>
  <c r="G65" i="98"/>
  <c r="G72" i="39"/>
  <c r="G73" i="39" s="1"/>
  <c r="D145" i="26"/>
  <c r="G144" i="26"/>
  <c r="I66" i="80"/>
  <c r="I67" i="85"/>
  <c r="B71" i="82"/>
  <c r="I70" i="82"/>
  <c r="I70" i="54"/>
  <c r="I71" i="55"/>
  <c r="D70" i="61"/>
  <c r="B70" i="61" s="1"/>
  <c r="D68" i="80"/>
  <c r="G67" i="80"/>
  <c r="H67" i="80"/>
  <c r="D66" i="91"/>
  <c r="B66" i="91" s="1"/>
  <c r="H65" i="91"/>
  <c r="G65" i="91"/>
  <c r="I69" i="63"/>
  <c r="B69" i="61"/>
  <c r="H69" i="61"/>
  <c r="G69" i="61"/>
  <c r="E70" i="63"/>
  <c r="F70" i="63" s="1"/>
  <c r="B65" i="94"/>
  <c r="F65" i="94"/>
  <c r="G65" i="94" s="1"/>
  <c r="E67" i="93"/>
  <c r="F67" i="93" s="1"/>
  <c r="H67" i="93" s="1"/>
  <c r="B67" i="93"/>
  <c r="I63" i="96"/>
  <c r="G63" i="95"/>
  <c r="I65" i="93"/>
  <c r="F70" i="75"/>
  <c r="B70" i="75"/>
  <c r="E67" i="84"/>
  <c r="F67" i="84" s="1"/>
  <c r="B67" i="84"/>
  <c r="E72" i="55"/>
  <c r="E73" i="55" s="1"/>
  <c r="B72" i="55"/>
  <c r="I64" i="92"/>
  <c r="G67" i="90"/>
  <c r="I67" i="90" s="1"/>
  <c r="D68" i="90"/>
  <c r="B66" i="93"/>
  <c r="H66" i="93"/>
  <c r="G66" i="93"/>
  <c r="G68" i="86"/>
  <c r="D69" i="86"/>
  <c r="H68" i="86"/>
  <c r="E64" i="95"/>
  <c r="F64" i="95" s="1"/>
  <c r="B64" i="95"/>
  <c r="B66" i="81"/>
  <c r="F66" i="81"/>
  <c r="I65" i="81"/>
  <c r="I67" i="76"/>
  <c r="H68" i="76"/>
  <c r="I68" i="76" s="1"/>
  <c r="D69" i="76"/>
  <c r="E69" i="76" s="1"/>
  <c r="H68" i="77"/>
  <c r="E68" i="85"/>
  <c r="F68" i="85" s="1"/>
  <c r="B68" i="85"/>
  <c r="F64" i="96"/>
  <c r="B64" i="96"/>
  <c r="H63" i="95"/>
  <c r="I66" i="88"/>
  <c r="I69" i="57"/>
  <c r="D72" i="56"/>
  <c r="G71" i="56"/>
  <c r="H71" i="56"/>
  <c r="B67" i="78"/>
  <c r="B71" i="54"/>
  <c r="E69" i="77"/>
  <c r="F69" i="77" s="1"/>
  <c r="B69" i="77"/>
  <c r="B65" i="83"/>
  <c r="B65" i="92"/>
  <c r="F65" i="92"/>
  <c r="H65" i="92" s="1"/>
  <c r="I70" i="67"/>
  <c r="D71" i="45"/>
  <c r="D71" i="64"/>
  <c r="E71" i="64" s="1"/>
  <c r="G70" i="45"/>
  <c r="E65" i="83"/>
  <c r="F65" i="83" s="1"/>
  <c r="H70" i="64"/>
  <c r="F72" i="60"/>
  <c r="B67" i="88"/>
  <c r="F67" i="88"/>
  <c r="H67" i="88" s="1"/>
  <c r="E70" i="57"/>
  <c r="F70" i="57" s="1"/>
  <c r="B70" i="57"/>
  <c r="I64" i="89"/>
  <c r="D67" i="79"/>
  <c r="E67" i="79" s="1"/>
  <c r="F67" i="79" s="1"/>
  <c r="D68" i="79" s="1"/>
  <c r="H70" i="45"/>
  <c r="G68" i="77"/>
  <c r="G66" i="79"/>
  <c r="I66" i="79" s="1"/>
  <c r="E67" i="78"/>
  <c r="F67" i="78" s="1"/>
  <c r="D68" i="78" s="1"/>
  <c r="G70" i="64"/>
  <c r="I72" i="44"/>
  <c r="I73" i="44" s="1"/>
  <c r="H73" i="44"/>
  <c r="B71" i="67"/>
  <c r="F71" i="67"/>
  <c r="E71" i="54"/>
  <c r="F71" i="54" s="1"/>
  <c r="H71" i="54" s="1"/>
  <c r="E65" i="89"/>
  <c r="F65" i="89" s="1"/>
  <c r="B65" i="89"/>
  <c r="J143" i="25"/>
  <c r="D71" i="65"/>
  <c r="E71" i="65" s="1"/>
  <c r="H70" i="65"/>
  <c r="G70" i="65"/>
  <c r="D72" i="82"/>
  <c r="E72" i="82" s="1"/>
  <c r="E73" i="82" s="1"/>
  <c r="H71" i="82"/>
  <c r="G71" i="82"/>
  <c r="D72" i="66"/>
  <c r="D72" i="20"/>
  <c r="E72" i="20" s="1"/>
  <c r="E73" i="20" s="1"/>
  <c r="D65" i="87"/>
  <c r="D65" i="26"/>
  <c r="E65" i="26" s="1"/>
  <c r="D66" i="33"/>
  <c r="E66" i="33" s="1"/>
  <c r="B68" i="59"/>
  <c r="F68" i="59"/>
  <c r="G68" i="59" s="1"/>
  <c r="F72" i="73"/>
  <c r="G72" i="73" s="1"/>
  <c r="G73" i="73" s="1"/>
  <c r="B72" i="73"/>
  <c r="D68" i="62"/>
  <c r="E68" i="62" s="1"/>
  <c r="H64" i="87"/>
  <c r="G65" i="33"/>
  <c r="I65" i="33" s="1"/>
  <c r="H67" i="62"/>
  <c r="I67" i="62" s="1"/>
  <c r="G64" i="87"/>
  <c r="H71" i="66"/>
  <c r="I71" i="66" s="1"/>
  <c r="H64" i="26"/>
  <c r="I64" i="26" s="1"/>
  <c r="G71" i="20"/>
  <c r="I71" i="20" s="1"/>
  <c r="I72" i="18"/>
  <c r="I73" i="18" s="1"/>
  <c r="G144" i="25"/>
  <c r="D145" i="25"/>
  <c r="E145" i="25" s="1"/>
  <c r="D144" i="33"/>
  <c r="E144" i="33" s="1"/>
  <c r="G143" i="33"/>
  <c r="J142" i="33"/>
  <c r="H72" i="101" l="1"/>
  <c r="H63" i="102"/>
  <c r="I63" i="102" s="1"/>
  <c r="D64" i="102"/>
  <c r="H73" i="101"/>
  <c r="I72" i="101"/>
  <c r="I73" i="101" s="1"/>
  <c r="G145" i="100"/>
  <c r="D146" i="100"/>
  <c r="H65" i="25"/>
  <c r="I65" i="25" s="1"/>
  <c r="D66" i="25"/>
  <c r="E66" i="25" s="1"/>
  <c r="D72" i="53"/>
  <c r="E72" i="53" s="1"/>
  <c r="E73" i="53" s="1"/>
  <c r="H71" i="53"/>
  <c r="I71" i="53" s="1"/>
  <c r="I72" i="72"/>
  <c r="I73" i="72" s="1"/>
  <c r="I72" i="39"/>
  <c r="I73" i="39" s="1"/>
  <c r="D72" i="68"/>
  <c r="B72" i="68" s="1"/>
  <c r="H71" i="68"/>
  <c r="I71" i="68" s="1"/>
  <c r="I62" i="13"/>
  <c r="E63" i="13"/>
  <c r="F63" i="13" s="1"/>
  <c r="B63" i="13"/>
  <c r="I65" i="98"/>
  <c r="E66" i="98"/>
  <c r="F66" i="98" s="1"/>
  <c r="B66" i="98"/>
  <c r="I144" i="26"/>
  <c r="H144" i="26"/>
  <c r="E145" i="26"/>
  <c r="F145" i="26" s="1"/>
  <c r="B145" i="26"/>
  <c r="I68" i="77"/>
  <c r="I65" i="91"/>
  <c r="H68" i="59"/>
  <c r="I68" i="59" s="1"/>
  <c r="I63" i="95"/>
  <c r="E66" i="91"/>
  <c r="F66" i="91" s="1"/>
  <c r="G65" i="92"/>
  <c r="I65" i="92" s="1"/>
  <c r="H65" i="94"/>
  <c r="I65" i="94" s="1"/>
  <c r="D66" i="94"/>
  <c r="I69" i="61"/>
  <c r="I67" i="80"/>
  <c r="E68" i="80"/>
  <c r="F68" i="80" s="1"/>
  <c r="B68" i="80"/>
  <c r="I66" i="93"/>
  <c r="D71" i="63"/>
  <c r="G70" i="63"/>
  <c r="H70" i="63"/>
  <c r="E70" i="61"/>
  <c r="F70" i="61" s="1"/>
  <c r="I71" i="56"/>
  <c r="G67" i="84"/>
  <c r="D68" i="84"/>
  <c r="D71" i="75"/>
  <c r="E71" i="75" s="1"/>
  <c r="D68" i="93"/>
  <c r="E68" i="93" s="1"/>
  <c r="F68" i="93" s="1"/>
  <c r="E68" i="90"/>
  <c r="F68" i="90" s="1"/>
  <c r="G68" i="90" s="1"/>
  <c r="B68" i="90"/>
  <c r="H67" i="84"/>
  <c r="H70" i="75"/>
  <c r="F72" i="55"/>
  <c r="G70" i="75"/>
  <c r="G67" i="93"/>
  <c r="I67" i="93" s="1"/>
  <c r="G68" i="85"/>
  <c r="D69" i="85"/>
  <c r="E69" i="85" s="1"/>
  <c r="F69" i="85" s="1"/>
  <c r="H68" i="85"/>
  <c r="H72" i="73"/>
  <c r="I72" i="73" s="1"/>
  <c r="I73" i="73" s="1"/>
  <c r="D67" i="81"/>
  <c r="D65" i="95"/>
  <c r="E65" i="95" s="1"/>
  <c r="F65" i="95" s="1"/>
  <c r="B69" i="86"/>
  <c r="G64" i="96"/>
  <c r="D65" i="96"/>
  <c r="E65" i="96" s="1"/>
  <c r="B69" i="76"/>
  <c r="F69" i="76"/>
  <c r="H69" i="76" s="1"/>
  <c r="H64" i="95"/>
  <c r="E69" i="86"/>
  <c r="F69" i="86" s="1"/>
  <c r="H66" i="81"/>
  <c r="G67" i="88"/>
  <c r="I67" i="88" s="1"/>
  <c r="H64" i="96"/>
  <c r="G66" i="81"/>
  <c r="G64" i="95"/>
  <c r="I68" i="86"/>
  <c r="E68" i="79"/>
  <c r="F68" i="79" s="1"/>
  <c r="B68" i="79"/>
  <c r="D66" i="89"/>
  <c r="E66" i="89" s="1"/>
  <c r="F66" i="89" s="1"/>
  <c r="D67" i="89" s="1"/>
  <c r="G65" i="89"/>
  <c r="H65" i="89"/>
  <c r="D72" i="67"/>
  <c r="E72" i="67" s="1"/>
  <c r="E73" i="67" s="1"/>
  <c r="H70" i="57"/>
  <c r="D71" i="57"/>
  <c r="E71" i="57" s="1"/>
  <c r="H72" i="60"/>
  <c r="G72" i="60"/>
  <c r="G73" i="60" s="1"/>
  <c r="H65" i="83"/>
  <c r="D66" i="83"/>
  <c r="E66" i="83" s="1"/>
  <c r="D70" i="77"/>
  <c r="E70" i="77" s="1"/>
  <c r="I71" i="82"/>
  <c r="I70" i="65"/>
  <c r="D72" i="54"/>
  <c r="E72" i="54" s="1"/>
  <c r="E73" i="54" s="1"/>
  <c r="I70" i="45"/>
  <c r="I70" i="64"/>
  <c r="B71" i="64"/>
  <c r="F71" i="64"/>
  <c r="H71" i="64" s="1"/>
  <c r="H69" i="77"/>
  <c r="G71" i="54"/>
  <c r="I71" i="54" s="1"/>
  <c r="G67" i="78"/>
  <c r="G71" i="67"/>
  <c r="E68" i="78"/>
  <c r="F68" i="78" s="1"/>
  <c r="B68" i="78"/>
  <c r="B67" i="79"/>
  <c r="G67" i="79"/>
  <c r="H67" i="79"/>
  <c r="G70" i="57"/>
  <c r="D68" i="88"/>
  <c r="E68" i="88" s="1"/>
  <c r="B71" i="45"/>
  <c r="D66" i="92"/>
  <c r="G65" i="83"/>
  <c r="G69" i="77"/>
  <c r="H67" i="78"/>
  <c r="E72" i="56"/>
  <c r="E73" i="56" s="1"/>
  <c r="B72" i="56"/>
  <c r="H71" i="67"/>
  <c r="E71" i="45"/>
  <c r="F71" i="45" s="1"/>
  <c r="B65" i="87"/>
  <c r="B72" i="66"/>
  <c r="F68" i="62"/>
  <c r="G68" i="62" s="1"/>
  <c r="B68" i="62"/>
  <c r="D69" i="59"/>
  <c r="E65" i="87"/>
  <c r="F65" i="87" s="1"/>
  <c r="F72" i="20"/>
  <c r="G72" i="20" s="1"/>
  <c r="G73" i="20" s="1"/>
  <c r="B72" i="20"/>
  <c r="E72" i="66"/>
  <c r="E73" i="66" s="1"/>
  <c r="F72" i="82"/>
  <c r="H72" i="82" s="1"/>
  <c r="B72" i="82"/>
  <c r="I64" i="87"/>
  <c r="F65" i="26"/>
  <c r="G65" i="26" s="1"/>
  <c r="B65" i="26"/>
  <c r="F71" i="65"/>
  <c r="H71" i="65" s="1"/>
  <c r="B71" i="65"/>
  <c r="F66" i="33"/>
  <c r="H66" i="33" s="1"/>
  <c r="B66" i="33"/>
  <c r="H143" i="33"/>
  <c r="I143" i="33"/>
  <c r="F145" i="25"/>
  <c r="B145" i="25"/>
  <c r="I144" i="25"/>
  <c r="H144" i="25"/>
  <c r="F144" i="33"/>
  <c r="B144" i="33"/>
  <c r="E64" i="102" l="1"/>
  <c r="F64" i="102" s="1"/>
  <c r="G64" i="102" s="1"/>
  <c r="B64" i="102"/>
  <c r="B146" i="100"/>
  <c r="E146" i="100"/>
  <c r="F146" i="100" s="1"/>
  <c r="H145" i="100"/>
  <c r="I145" i="100"/>
  <c r="B66" i="25"/>
  <c r="F66" i="25"/>
  <c r="G66" i="25" s="1"/>
  <c r="F72" i="53"/>
  <c r="H72" i="53" s="1"/>
  <c r="H73" i="53" s="1"/>
  <c r="B72" i="53"/>
  <c r="E72" i="68"/>
  <c r="E73" i="68" s="1"/>
  <c r="G63" i="13"/>
  <c r="H63" i="13"/>
  <c r="D64" i="13"/>
  <c r="G66" i="98"/>
  <c r="D67" i="98"/>
  <c r="H66" i="98"/>
  <c r="J144" i="26"/>
  <c r="D146" i="26"/>
  <c r="G145" i="26"/>
  <c r="G66" i="33"/>
  <c r="I66" i="33" s="1"/>
  <c r="I65" i="83"/>
  <c r="G66" i="91"/>
  <c r="H66" i="91"/>
  <c r="D67" i="91"/>
  <c r="G69" i="76"/>
  <c r="I69" i="76" s="1"/>
  <c r="G71" i="65"/>
  <c r="I71" i="65" s="1"/>
  <c r="I67" i="84"/>
  <c r="D69" i="80"/>
  <c r="E69" i="80" s="1"/>
  <c r="F69" i="80" s="1"/>
  <c r="H68" i="80"/>
  <c r="G68" i="80"/>
  <c r="B66" i="94"/>
  <c r="H73" i="73"/>
  <c r="E71" i="63"/>
  <c r="F71" i="63" s="1"/>
  <c r="B71" i="63"/>
  <c r="E66" i="94"/>
  <c r="F66" i="94" s="1"/>
  <c r="I64" i="96"/>
  <c r="G70" i="61"/>
  <c r="H70" i="61"/>
  <c r="D71" i="61"/>
  <c r="I70" i="75"/>
  <c r="I70" i="63"/>
  <c r="D69" i="93"/>
  <c r="E69" i="93" s="1"/>
  <c r="F72" i="56"/>
  <c r="G72" i="56" s="1"/>
  <c r="G73" i="56" s="1"/>
  <c r="I64" i="95"/>
  <c r="G72" i="55"/>
  <c r="G73" i="55" s="1"/>
  <c r="H72" i="55"/>
  <c r="D69" i="90"/>
  <c r="B68" i="93"/>
  <c r="G68" i="93"/>
  <c r="H68" i="93"/>
  <c r="E68" i="84"/>
  <c r="F68" i="84" s="1"/>
  <c r="H68" i="84" s="1"/>
  <c r="B68" i="84"/>
  <c r="I66" i="81"/>
  <c r="I71" i="67"/>
  <c r="I67" i="78"/>
  <c r="I68" i="85"/>
  <c r="H68" i="90"/>
  <c r="I68" i="90" s="1"/>
  <c r="B71" i="75"/>
  <c r="F71" i="75"/>
  <c r="G71" i="75" s="1"/>
  <c r="D69" i="79"/>
  <c r="H68" i="79"/>
  <c r="D66" i="95"/>
  <c r="E66" i="95" s="1"/>
  <c r="F66" i="95" s="1"/>
  <c r="D67" i="95" s="1"/>
  <c r="D70" i="85"/>
  <c r="E70" i="85" s="1"/>
  <c r="F70" i="85" s="1"/>
  <c r="D71" i="85" s="1"/>
  <c r="G71" i="64"/>
  <c r="I71" i="64" s="1"/>
  <c r="H69" i="86"/>
  <c r="D70" i="86"/>
  <c r="G69" i="86"/>
  <c r="B67" i="81"/>
  <c r="G72" i="82"/>
  <c r="G73" i="82" s="1"/>
  <c r="H72" i="20"/>
  <c r="I72" i="20" s="1"/>
  <c r="I73" i="20" s="1"/>
  <c r="B65" i="96"/>
  <c r="F65" i="96"/>
  <c r="B65" i="95"/>
  <c r="H65" i="95"/>
  <c r="G65" i="95"/>
  <c r="B69" i="85"/>
  <c r="H69" i="85"/>
  <c r="G69" i="85"/>
  <c r="H65" i="26"/>
  <c r="I65" i="26" s="1"/>
  <c r="D70" i="76"/>
  <c r="E70" i="76" s="1"/>
  <c r="E67" i="81"/>
  <c r="F67" i="81" s="1"/>
  <c r="D68" i="81" s="1"/>
  <c r="H71" i="45"/>
  <c r="D72" i="45"/>
  <c r="G71" i="45"/>
  <c r="E67" i="89"/>
  <c r="F67" i="89" s="1"/>
  <c r="B67" i="89"/>
  <c r="B66" i="92"/>
  <c r="H68" i="78"/>
  <c r="D69" i="78"/>
  <c r="E69" i="78" s="1"/>
  <c r="F69" i="78" s="1"/>
  <c r="D70" i="78" s="1"/>
  <c r="I70" i="57"/>
  <c r="B68" i="88"/>
  <c r="F68" i="88"/>
  <c r="G68" i="88" s="1"/>
  <c r="B72" i="54"/>
  <c r="F72" i="54"/>
  <c r="H72" i="54" s="1"/>
  <c r="F66" i="83"/>
  <c r="G66" i="83" s="1"/>
  <c r="B66" i="83"/>
  <c r="I72" i="60"/>
  <c r="I73" i="60" s="1"/>
  <c r="H73" i="60"/>
  <c r="G68" i="78"/>
  <c r="D72" i="64"/>
  <c r="E72" i="64" s="1"/>
  <c r="E73" i="64" s="1"/>
  <c r="B72" i="67"/>
  <c r="F72" i="67"/>
  <c r="B66" i="89"/>
  <c r="H66" i="89"/>
  <c r="G66" i="89"/>
  <c r="E66" i="92"/>
  <c r="F66" i="92" s="1"/>
  <c r="I67" i="79"/>
  <c r="I69" i="77"/>
  <c r="F70" i="77"/>
  <c r="H70" i="77" s="1"/>
  <c r="B70" i="77"/>
  <c r="B71" i="57"/>
  <c r="F71" i="57"/>
  <c r="D72" i="57" s="1"/>
  <c r="I65" i="89"/>
  <c r="G68" i="79"/>
  <c r="D66" i="87"/>
  <c r="E66" i="87" s="1"/>
  <c r="G65" i="87"/>
  <c r="H65" i="87"/>
  <c r="H73" i="82"/>
  <c r="B69" i="59"/>
  <c r="H68" i="62"/>
  <c r="I68" i="62" s="1"/>
  <c r="F72" i="66"/>
  <c r="D67" i="33"/>
  <c r="E67" i="33" s="1"/>
  <c r="D72" i="65"/>
  <c r="D66" i="26"/>
  <c r="E66" i="26" s="1"/>
  <c r="E69" i="59"/>
  <c r="F69" i="59" s="1"/>
  <c r="D69" i="62"/>
  <c r="J143" i="33"/>
  <c r="G144" i="33"/>
  <c r="D145" i="33"/>
  <c r="E145" i="33" s="1"/>
  <c r="J144" i="25"/>
  <c r="G145" i="25"/>
  <c r="D146" i="25"/>
  <c r="H64" i="102" l="1"/>
  <c r="I64" i="102" s="1"/>
  <c r="D65" i="102"/>
  <c r="D147" i="100"/>
  <c r="G146" i="100"/>
  <c r="D67" i="25"/>
  <c r="E67" i="25" s="1"/>
  <c r="H66" i="25"/>
  <c r="I66" i="25" s="1"/>
  <c r="G72" i="53"/>
  <c r="G73" i="53" s="1"/>
  <c r="F72" i="68"/>
  <c r="H72" i="68" s="1"/>
  <c r="I63" i="13"/>
  <c r="E64" i="13"/>
  <c r="F64" i="13" s="1"/>
  <c r="B64" i="13"/>
  <c r="I72" i="82"/>
  <c r="I73" i="82" s="1"/>
  <c r="I66" i="98"/>
  <c r="E67" i="98"/>
  <c r="F67" i="98" s="1"/>
  <c r="D68" i="98" s="1"/>
  <c r="B67" i="98"/>
  <c r="I145" i="26"/>
  <c r="H145" i="26"/>
  <c r="B146" i="26"/>
  <c r="E146" i="26"/>
  <c r="F146" i="26" s="1"/>
  <c r="I66" i="91"/>
  <c r="E69" i="79"/>
  <c r="F69" i="79" s="1"/>
  <c r="H72" i="56"/>
  <c r="H73" i="56" s="1"/>
  <c r="I65" i="95"/>
  <c r="E67" i="91"/>
  <c r="F67" i="91" s="1"/>
  <c r="D68" i="91" s="1"/>
  <c r="B67" i="91"/>
  <c r="B69" i="79"/>
  <c r="I70" i="61"/>
  <c r="D67" i="94"/>
  <c r="E67" i="94" s="1"/>
  <c r="F67" i="94" s="1"/>
  <c r="H66" i="94"/>
  <c r="G66" i="94"/>
  <c r="D70" i="80"/>
  <c r="E70" i="80" s="1"/>
  <c r="F70" i="80" s="1"/>
  <c r="H71" i="63"/>
  <c r="G71" i="63"/>
  <c r="D72" i="63"/>
  <c r="I68" i="80"/>
  <c r="H73" i="20"/>
  <c r="G72" i="54"/>
  <c r="G73" i="54" s="1"/>
  <c r="I68" i="79"/>
  <c r="I68" i="93"/>
  <c r="B71" i="61"/>
  <c r="E71" i="61"/>
  <c r="F71" i="61" s="1"/>
  <c r="B69" i="80"/>
  <c r="H69" i="80"/>
  <c r="G69" i="80"/>
  <c r="D72" i="75"/>
  <c r="E72" i="75" s="1"/>
  <c r="E73" i="75" s="1"/>
  <c r="B69" i="90"/>
  <c r="G68" i="84"/>
  <c r="I68" i="84" s="1"/>
  <c r="D69" i="84"/>
  <c r="I72" i="55"/>
  <c r="I73" i="55" s="1"/>
  <c r="H73" i="55"/>
  <c r="H71" i="75"/>
  <c r="E69" i="90"/>
  <c r="F69" i="90" s="1"/>
  <c r="G69" i="90" s="1"/>
  <c r="B69" i="93"/>
  <c r="F69" i="93"/>
  <c r="H69" i="93" s="1"/>
  <c r="E71" i="85"/>
  <c r="F71" i="85" s="1"/>
  <c r="H71" i="85" s="1"/>
  <c r="B71" i="85"/>
  <c r="E67" i="95"/>
  <c r="F67" i="95" s="1"/>
  <c r="B67" i="95"/>
  <c r="H68" i="88"/>
  <c r="I68" i="88" s="1"/>
  <c r="F70" i="76"/>
  <c r="H70" i="76" s="1"/>
  <c r="B70" i="76"/>
  <c r="G65" i="96"/>
  <c r="D66" i="96"/>
  <c r="I69" i="86"/>
  <c r="B66" i="95"/>
  <c r="G66" i="95"/>
  <c r="H66" i="95"/>
  <c r="I69" i="85"/>
  <c r="H65" i="96"/>
  <c r="G67" i="81"/>
  <c r="B70" i="86"/>
  <c r="E70" i="86"/>
  <c r="F70" i="86" s="1"/>
  <c r="E68" i="81"/>
  <c r="F68" i="81" s="1"/>
  <c r="H68" i="81" s="1"/>
  <c r="B68" i="81"/>
  <c r="H67" i="81"/>
  <c r="B70" i="85"/>
  <c r="G70" i="85"/>
  <c r="H70" i="85"/>
  <c r="D68" i="89"/>
  <c r="G67" i="89"/>
  <c r="H67" i="89"/>
  <c r="H66" i="92"/>
  <c r="D67" i="92"/>
  <c r="E67" i="92" s="1"/>
  <c r="F67" i="92" s="1"/>
  <c r="D68" i="92" s="1"/>
  <c r="G66" i="92"/>
  <c r="H73" i="54"/>
  <c r="I65" i="87"/>
  <c r="G71" i="57"/>
  <c r="I66" i="89"/>
  <c r="B72" i="64"/>
  <c r="F72" i="64"/>
  <c r="E72" i="57"/>
  <c r="E73" i="57" s="1"/>
  <c r="B72" i="57"/>
  <c r="D67" i="83"/>
  <c r="E67" i="83" s="1"/>
  <c r="F67" i="83" s="1"/>
  <c r="D69" i="88"/>
  <c r="E70" i="78"/>
  <c r="F70" i="78" s="1"/>
  <c r="B70" i="78"/>
  <c r="E72" i="45"/>
  <c r="E73" i="45" s="1"/>
  <c r="B72" i="45"/>
  <c r="H71" i="57"/>
  <c r="G70" i="77"/>
  <c r="I70" i="77" s="1"/>
  <c r="D71" i="77"/>
  <c r="E71" i="77" s="1"/>
  <c r="F71" i="77" s="1"/>
  <c r="D72" i="77" s="1"/>
  <c r="G72" i="67"/>
  <c r="G73" i="67" s="1"/>
  <c r="H72" i="67"/>
  <c r="I68" i="78"/>
  <c r="H66" i="83"/>
  <c r="B69" i="78"/>
  <c r="H69" i="78"/>
  <c r="G69" i="78"/>
  <c r="I71" i="45"/>
  <c r="D70" i="59"/>
  <c r="E70" i="59" s="1"/>
  <c r="G69" i="59"/>
  <c r="H69" i="59"/>
  <c r="B69" i="62"/>
  <c r="B72" i="65"/>
  <c r="H72" i="66"/>
  <c r="G72" i="66"/>
  <c r="G73" i="66" s="1"/>
  <c r="E69" i="62"/>
  <c r="F69" i="62" s="1"/>
  <c r="B66" i="26"/>
  <c r="F66" i="26"/>
  <c r="G66" i="26" s="1"/>
  <c r="B67" i="33"/>
  <c r="F67" i="33"/>
  <c r="G67" i="33" s="1"/>
  <c r="E72" i="65"/>
  <c r="E73" i="65" s="1"/>
  <c r="B66" i="87"/>
  <c r="F66" i="87"/>
  <c r="G66" i="87" s="1"/>
  <c r="B146" i="25"/>
  <c r="E146" i="25"/>
  <c r="F146" i="25" s="1"/>
  <c r="H144" i="33"/>
  <c r="I144" i="33"/>
  <c r="H145" i="25"/>
  <c r="I145" i="25"/>
  <c r="F145" i="33"/>
  <c r="B145" i="33"/>
  <c r="E65" i="102" l="1"/>
  <c r="B65" i="102"/>
  <c r="F65" i="102"/>
  <c r="D66" i="102" s="1"/>
  <c r="G65" i="102"/>
  <c r="I146" i="100"/>
  <c r="H146" i="100"/>
  <c r="B147" i="100"/>
  <c r="E147" i="100"/>
  <c r="F147" i="100" s="1"/>
  <c r="B67" i="25"/>
  <c r="F67" i="25"/>
  <c r="G67" i="25" s="1"/>
  <c r="I72" i="53"/>
  <c r="I73" i="53" s="1"/>
  <c r="G72" i="68"/>
  <c r="G73" i="68" s="1"/>
  <c r="D65" i="13"/>
  <c r="G64" i="13"/>
  <c r="H64" i="13"/>
  <c r="G67" i="98"/>
  <c r="H67" i="98"/>
  <c r="I72" i="56"/>
  <c r="I73" i="56" s="1"/>
  <c r="E68" i="98"/>
  <c r="F68" i="98" s="1"/>
  <c r="B68" i="98"/>
  <c r="G146" i="26"/>
  <c r="D147" i="26"/>
  <c r="J145" i="26"/>
  <c r="H69" i="79"/>
  <c r="D70" i="79"/>
  <c r="E70" i="79" s="1"/>
  <c r="G69" i="79"/>
  <c r="I65" i="96"/>
  <c r="G67" i="91"/>
  <c r="H67" i="91"/>
  <c r="E68" i="91"/>
  <c r="F68" i="91" s="1"/>
  <c r="G68" i="91" s="1"/>
  <c r="B68" i="91"/>
  <c r="I71" i="63"/>
  <c r="G67" i="94"/>
  <c r="D68" i="94"/>
  <c r="G69" i="93"/>
  <c r="I69" i="93" s="1"/>
  <c r="I66" i="94"/>
  <c r="I72" i="54"/>
  <c r="I73" i="54" s="1"/>
  <c r="I70" i="85"/>
  <c r="I69" i="80"/>
  <c r="G70" i="80"/>
  <c r="B70" i="80"/>
  <c r="H70" i="80"/>
  <c r="G71" i="61"/>
  <c r="D72" i="61"/>
  <c r="B72" i="61" s="1"/>
  <c r="H71" i="61"/>
  <c r="B72" i="63"/>
  <c r="E72" i="63"/>
  <c r="D71" i="80"/>
  <c r="E71" i="80" s="1"/>
  <c r="F71" i="80" s="1"/>
  <c r="D72" i="80" s="1"/>
  <c r="B67" i="94"/>
  <c r="H67" i="94"/>
  <c r="F72" i="45"/>
  <c r="G72" i="45" s="1"/>
  <c r="G73" i="45" s="1"/>
  <c r="F72" i="57"/>
  <c r="H72" i="57" s="1"/>
  <c r="H73" i="57" s="1"/>
  <c r="I71" i="75"/>
  <c r="D70" i="93"/>
  <c r="E70" i="93" s="1"/>
  <c r="H69" i="90"/>
  <c r="I69" i="90" s="1"/>
  <c r="F72" i="75"/>
  <c r="H72" i="75" s="1"/>
  <c r="B72" i="75"/>
  <c r="D70" i="90"/>
  <c r="E70" i="90" s="1"/>
  <c r="F70" i="90" s="1"/>
  <c r="E69" i="84"/>
  <c r="F69" i="84" s="1"/>
  <c r="G69" i="84" s="1"/>
  <c r="B69" i="84"/>
  <c r="G67" i="95"/>
  <c r="D68" i="95"/>
  <c r="H67" i="95"/>
  <c r="D69" i="81"/>
  <c r="B66" i="96"/>
  <c r="G70" i="86"/>
  <c r="H70" i="86"/>
  <c r="D71" i="86"/>
  <c r="G70" i="76"/>
  <c r="I70" i="76" s="1"/>
  <c r="D71" i="76"/>
  <c r="I67" i="81"/>
  <c r="G68" i="81"/>
  <c r="I68" i="81" s="1"/>
  <c r="G71" i="85"/>
  <c r="I71" i="85" s="1"/>
  <c r="D72" i="85"/>
  <c r="E72" i="85" s="1"/>
  <c r="E73" i="85" s="1"/>
  <c r="I66" i="95"/>
  <c r="E66" i="96"/>
  <c r="F66" i="96" s="1"/>
  <c r="I69" i="78"/>
  <c r="I67" i="89"/>
  <c r="D68" i="83"/>
  <c r="E68" i="92"/>
  <c r="F68" i="92" s="1"/>
  <c r="B68" i="92"/>
  <c r="B69" i="88"/>
  <c r="I66" i="92"/>
  <c r="I69" i="59"/>
  <c r="I71" i="57"/>
  <c r="G72" i="64"/>
  <c r="G73" i="64" s="1"/>
  <c r="H72" i="64"/>
  <c r="H73" i="67"/>
  <c r="I72" i="67"/>
  <c r="I73" i="67" s="1"/>
  <c r="H67" i="33"/>
  <c r="I67" i="33" s="1"/>
  <c r="E72" i="77"/>
  <c r="E73" i="77" s="1"/>
  <c r="B72" i="77"/>
  <c r="B67" i="83"/>
  <c r="G67" i="83"/>
  <c r="H67" i="83"/>
  <c r="I66" i="83"/>
  <c r="H70" i="78"/>
  <c r="D71" i="78"/>
  <c r="E71" i="78" s="1"/>
  <c r="F71" i="78" s="1"/>
  <c r="D72" i="78" s="1"/>
  <c r="H66" i="26"/>
  <c r="I66" i="26" s="1"/>
  <c r="B71" i="77"/>
  <c r="H71" i="77"/>
  <c r="G71" i="77"/>
  <c r="G70" i="78"/>
  <c r="E69" i="88"/>
  <c r="F69" i="88" s="1"/>
  <c r="B67" i="92"/>
  <c r="H67" i="92"/>
  <c r="G67" i="92"/>
  <c r="E68" i="89"/>
  <c r="F68" i="89" s="1"/>
  <c r="B68" i="89"/>
  <c r="D70" i="62"/>
  <c r="E70" i="62" s="1"/>
  <c r="H69" i="62"/>
  <c r="G69" i="62"/>
  <c r="D67" i="87"/>
  <c r="E67" i="87" s="1"/>
  <c r="H66" i="87"/>
  <c r="I66" i="87" s="1"/>
  <c r="D68" i="33"/>
  <c r="E68" i="33" s="1"/>
  <c r="D67" i="26"/>
  <c r="E67" i="26" s="1"/>
  <c r="H73" i="68"/>
  <c r="I72" i="66"/>
  <c r="I73" i="66" s="1"/>
  <c r="H73" i="66"/>
  <c r="F72" i="65"/>
  <c r="B70" i="59"/>
  <c r="F70" i="59"/>
  <c r="G70" i="59" s="1"/>
  <c r="J144" i="33"/>
  <c r="G146" i="25"/>
  <c r="D147" i="25"/>
  <c r="G145" i="33"/>
  <c r="D146" i="33"/>
  <c r="E146" i="33" s="1"/>
  <c r="J145" i="25"/>
  <c r="H65" i="102" l="1"/>
  <c r="I65" i="102"/>
  <c r="E66" i="102"/>
  <c r="F66" i="102"/>
  <c r="B66" i="102"/>
  <c r="G66" i="102"/>
  <c r="D148" i="100"/>
  <c r="G147" i="100"/>
  <c r="D68" i="25"/>
  <c r="H67" i="25"/>
  <c r="I67" i="25" s="1"/>
  <c r="I72" i="68"/>
  <c r="I73" i="68" s="1"/>
  <c r="I64" i="13"/>
  <c r="E65" i="13"/>
  <c r="F65" i="13" s="1"/>
  <c r="B65" i="13"/>
  <c r="I67" i="98"/>
  <c r="B70" i="79"/>
  <c r="D69" i="98"/>
  <c r="E69" i="98" s="1"/>
  <c r="H68" i="98"/>
  <c r="G68" i="98"/>
  <c r="B147" i="26"/>
  <c r="E147" i="26"/>
  <c r="F147" i="26" s="1"/>
  <c r="I146" i="26"/>
  <c r="H146" i="26"/>
  <c r="I67" i="91"/>
  <c r="I67" i="94"/>
  <c r="I69" i="79"/>
  <c r="G72" i="57"/>
  <c r="G73" i="57" s="1"/>
  <c r="F70" i="79"/>
  <c r="D71" i="79" s="1"/>
  <c r="E71" i="79" s="1"/>
  <c r="F71" i="79" s="1"/>
  <c r="H72" i="45"/>
  <c r="I72" i="45" s="1"/>
  <c r="I73" i="45" s="1"/>
  <c r="D69" i="91"/>
  <c r="E69" i="91" s="1"/>
  <c r="F69" i="91" s="1"/>
  <c r="D70" i="91" s="1"/>
  <c r="H68" i="91"/>
  <c r="I68" i="91" s="1"/>
  <c r="I70" i="86"/>
  <c r="I71" i="61"/>
  <c r="E72" i="80"/>
  <c r="E73" i="80" s="1"/>
  <c r="B72" i="80"/>
  <c r="G72" i="75"/>
  <c r="G73" i="75" s="1"/>
  <c r="B71" i="80"/>
  <c r="H71" i="80"/>
  <c r="G71" i="80"/>
  <c r="E72" i="61"/>
  <c r="E73" i="61" s="1"/>
  <c r="I70" i="80"/>
  <c r="E68" i="94"/>
  <c r="F68" i="94" s="1"/>
  <c r="H68" i="94" s="1"/>
  <c r="B68" i="94"/>
  <c r="I70" i="78"/>
  <c r="E73" i="63"/>
  <c r="F72" i="63"/>
  <c r="D70" i="84"/>
  <c r="E70" i="84" s="1"/>
  <c r="F70" i="84" s="1"/>
  <c r="B70" i="93"/>
  <c r="F70" i="93"/>
  <c r="H70" i="93" s="1"/>
  <c r="H69" i="84"/>
  <c r="I69" i="84" s="1"/>
  <c r="H70" i="90"/>
  <c r="D71" i="90"/>
  <c r="H73" i="75"/>
  <c r="B70" i="90"/>
  <c r="G70" i="90"/>
  <c r="E72" i="78"/>
  <c r="E73" i="78" s="1"/>
  <c r="H66" i="96"/>
  <c r="D67" i="96"/>
  <c r="E67" i="96" s="1"/>
  <c r="G66" i="96"/>
  <c r="I67" i="92"/>
  <c r="E71" i="76"/>
  <c r="F71" i="76" s="1"/>
  <c r="B71" i="76"/>
  <c r="B69" i="81"/>
  <c r="E71" i="86"/>
  <c r="F71" i="86" s="1"/>
  <c r="B71" i="86"/>
  <c r="E69" i="81"/>
  <c r="F69" i="81" s="1"/>
  <c r="I67" i="95"/>
  <c r="B72" i="85"/>
  <c r="F72" i="85"/>
  <c r="H72" i="85" s="1"/>
  <c r="E68" i="95"/>
  <c r="F68" i="95" s="1"/>
  <c r="B68" i="95"/>
  <c r="D69" i="92"/>
  <c r="G68" i="92"/>
  <c r="H68" i="92"/>
  <c r="H69" i="88"/>
  <c r="D70" i="88"/>
  <c r="G69" i="88"/>
  <c r="D69" i="89"/>
  <c r="I72" i="64"/>
  <c r="I73" i="64" s="1"/>
  <c r="H73" i="64"/>
  <c r="H68" i="89"/>
  <c r="I71" i="77"/>
  <c r="B71" i="78"/>
  <c r="G71" i="78"/>
  <c r="H71" i="78"/>
  <c r="F72" i="77"/>
  <c r="B68" i="83"/>
  <c r="B72" i="78"/>
  <c r="G68" i="89"/>
  <c r="I67" i="83"/>
  <c r="E68" i="83"/>
  <c r="F68" i="83" s="1"/>
  <c r="B68" i="25"/>
  <c r="D71" i="59"/>
  <c r="E71" i="59" s="1"/>
  <c r="E68" i="25"/>
  <c r="F68" i="25" s="1"/>
  <c r="I69" i="62"/>
  <c r="H70" i="59"/>
  <c r="I70" i="59" s="1"/>
  <c r="G72" i="65"/>
  <c r="G73" i="65" s="1"/>
  <c r="H72" i="65"/>
  <c r="B68" i="33"/>
  <c r="F68" i="33"/>
  <c r="G68" i="33" s="1"/>
  <c r="F67" i="26"/>
  <c r="G67" i="26" s="1"/>
  <c r="B67" i="26"/>
  <c r="F67" i="87"/>
  <c r="B67" i="87"/>
  <c r="B70" i="62"/>
  <c r="F70" i="62"/>
  <c r="G70" i="62" s="1"/>
  <c r="H145" i="33"/>
  <c r="I145" i="33"/>
  <c r="B147" i="25"/>
  <c r="H146" i="25"/>
  <c r="I146" i="25"/>
  <c r="B146" i="33"/>
  <c r="F146" i="33"/>
  <c r="E147" i="25"/>
  <c r="F147" i="25" s="1"/>
  <c r="H66" i="102" l="1"/>
  <c r="I66" i="102" s="1"/>
  <c r="D67" i="102"/>
  <c r="I147" i="100"/>
  <c r="H147" i="100"/>
  <c r="B148" i="100"/>
  <c r="E148" i="100"/>
  <c r="F148" i="100" s="1"/>
  <c r="G65" i="13"/>
  <c r="H65" i="13"/>
  <c r="D66" i="13"/>
  <c r="I70" i="90"/>
  <c r="I68" i="98"/>
  <c r="H73" i="45"/>
  <c r="F69" i="98"/>
  <c r="H69" i="98" s="1"/>
  <c r="B69" i="98"/>
  <c r="G70" i="79"/>
  <c r="H70" i="79"/>
  <c r="B71" i="79"/>
  <c r="I72" i="57"/>
  <c r="I73" i="57" s="1"/>
  <c r="J146" i="26"/>
  <c r="D148" i="26"/>
  <c r="G147" i="26"/>
  <c r="F72" i="80"/>
  <c r="H72" i="80" s="1"/>
  <c r="H73" i="80" s="1"/>
  <c r="G68" i="94"/>
  <c r="I68" i="94" s="1"/>
  <c r="G70" i="93"/>
  <c r="I70" i="93" s="1"/>
  <c r="E70" i="91"/>
  <c r="F70" i="91" s="1"/>
  <c r="G70" i="91" s="1"/>
  <c r="B70" i="91"/>
  <c r="B69" i="91"/>
  <c r="H69" i="91"/>
  <c r="G69" i="91"/>
  <c r="I71" i="80"/>
  <c r="H68" i="33"/>
  <c r="I68" i="33" s="1"/>
  <c r="F72" i="61"/>
  <c r="G72" i="85"/>
  <c r="G73" i="85" s="1"/>
  <c r="D69" i="94"/>
  <c r="E69" i="94" s="1"/>
  <c r="F69" i="94" s="1"/>
  <c r="H72" i="63"/>
  <c r="G72" i="63"/>
  <c r="G73" i="63" s="1"/>
  <c r="I72" i="75"/>
  <c r="I73" i="75" s="1"/>
  <c r="D71" i="84"/>
  <c r="E71" i="90"/>
  <c r="F71" i="90" s="1"/>
  <c r="B71" i="90"/>
  <c r="B70" i="84"/>
  <c r="G70" i="84"/>
  <c r="H70" i="84"/>
  <c r="D71" i="93"/>
  <c r="E71" i="93" s="1"/>
  <c r="F71" i="93" s="1"/>
  <c r="G68" i="95"/>
  <c r="D69" i="95"/>
  <c r="H68" i="95"/>
  <c r="H71" i="86"/>
  <c r="G71" i="86"/>
  <c r="D72" i="86"/>
  <c r="G71" i="76"/>
  <c r="D72" i="76"/>
  <c r="H71" i="76"/>
  <c r="H69" i="81"/>
  <c r="D70" i="81"/>
  <c r="G69" i="81"/>
  <c r="F67" i="96"/>
  <c r="H67" i="96" s="1"/>
  <c r="B67" i="96"/>
  <c r="H73" i="85"/>
  <c r="H67" i="26"/>
  <c r="I67" i="26" s="1"/>
  <c r="I66" i="96"/>
  <c r="F72" i="78"/>
  <c r="I69" i="88"/>
  <c r="D69" i="83"/>
  <c r="E69" i="83" s="1"/>
  <c r="F69" i="83" s="1"/>
  <c r="D70" i="83" s="1"/>
  <c r="G68" i="83"/>
  <c r="H68" i="83"/>
  <c r="D72" i="79"/>
  <c r="E72" i="79" s="1"/>
  <c r="E73" i="79" s="1"/>
  <c r="I71" i="78"/>
  <c r="H71" i="79"/>
  <c r="I68" i="92"/>
  <c r="H72" i="77"/>
  <c r="G72" i="77"/>
  <c r="G73" i="77" s="1"/>
  <c r="H70" i="62"/>
  <c r="I70" i="62" s="1"/>
  <c r="I68" i="89"/>
  <c r="G71" i="79"/>
  <c r="E70" i="88"/>
  <c r="F70" i="88" s="1"/>
  <c r="D71" i="88" s="1"/>
  <c r="B70" i="88"/>
  <c r="B69" i="92"/>
  <c r="B69" i="89"/>
  <c r="E69" i="89"/>
  <c r="F69" i="89" s="1"/>
  <c r="E69" i="92"/>
  <c r="F69" i="92" s="1"/>
  <c r="D69" i="25"/>
  <c r="E69" i="25" s="1"/>
  <c r="H68" i="25"/>
  <c r="G68" i="25"/>
  <c r="D68" i="87"/>
  <c r="B71" i="59"/>
  <c r="F71" i="59"/>
  <c r="G71" i="59" s="1"/>
  <c r="D71" i="62"/>
  <c r="E71" i="62" s="1"/>
  <c r="H67" i="87"/>
  <c r="D69" i="33"/>
  <c r="E69" i="33" s="1"/>
  <c r="I72" i="65"/>
  <c r="I73" i="65" s="1"/>
  <c r="H73" i="65"/>
  <c r="G67" i="87"/>
  <c r="D68" i="26"/>
  <c r="E68" i="26" s="1"/>
  <c r="J145" i="33"/>
  <c r="G147" i="25"/>
  <c r="D148" i="25"/>
  <c r="E148" i="25" s="1"/>
  <c r="J146" i="25"/>
  <c r="G146" i="33"/>
  <c r="D147" i="33"/>
  <c r="E147" i="33" s="1"/>
  <c r="E67" i="102" l="1"/>
  <c r="F67" i="102" s="1"/>
  <c r="H67" i="102" s="1"/>
  <c r="B67" i="102"/>
  <c r="G148" i="100"/>
  <c r="D149" i="100"/>
  <c r="I65" i="13"/>
  <c r="E66" i="13"/>
  <c r="F66" i="13" s="1"/>
  <c r="B66" i="13"/>
  <c r="G72" i="80"/>
  <c r="G73" i="80" s="1"/>
  <c r="I70" i="79"/>
  <c r="G69" i="98"/>
  <c r="I69" i="98" s="1"/>
  <c r="D70" i="98"/>
  <c r="E70" i="98" s="1"/>
  <c r="H147" i="26"/>
  <c r="I147" i="26"/>
  <c r="B148" i="26"/>
  <c r="E148" i="26"/>
  <c r="F148" i="26" s="1"/>
  <c r="H70" i="91"/>
  <c r="I70" i="91" s="1"/>
  <c r="I69" i="91"/>
  <c r="D71" i="91"/>
  <c r="E71" i="91" s="1"/>
  <c r="F71" i="91" s="1"/>
  <c r="D70" i="94"/>
  <c r="E70" i="94" s="1"/>
  <c r="F70" i="94" s="1"/>
  <c r="I72" i="85"/>
  <c r="I73" i="85" s="1"/>
  <c r="I68" i="95"/>
  <c r="H72" i="61"/>
  <c r="G72" i="61"/>
  <c r="G73" i="61" s="1"/>
  <c r="I72" i="63"/>
  <c r="I73" i="63" s="1"/>
  <c r="H73" i="63"/>
  <c r="B69" i="94"/>
  <c r="G69" i="94"/>
  <c r="H69" i="94"/>
  <c r="D72" i="90"/>
  <c r="H71" i="90"/>
  <c r="G71" i="90"/>
  <c r="D72" i="93"/>
  <c r="E72" i="93" s="1"/>
  <c r="E73" i="93" s="1"/>
  <c r="B71" i="93"/>
  <c r="H71" i="93"/>
  <c r="G71" i="93"/>
  <c r="B71" i="84"/>
  <c r="I70" i="84"/>
  <c r="E71" i="84"/>
  <c r="F71" i="84" s="1"/>
  <c r="D72" i="84" s="1"/>
  <c r="G67" i="96"/>
  <c r="I67" i="96" s="1"/>
  <c r="D68" i="96"/>
  <c r="I71" i="76"/>
  <c r="H72" i="78"/>
  <c r="G72" i="78"/>
  <c r="G73" i="78" s="1"/>
  <c r="E72" i="76"/>
  <c r="E73" i="76" s="1"/>
  <c r="B72" i="76"/>
  <c r="E70" i="81"/>
  <c r="F70" i="81" s="1"/>
  <c r="B70" i="81"/>
  <c r="E72" i="86"/>
  <c r="E73" i="86" s="1"/>
  <c r="B72" i="86"/>
  <c r="E69" i="95"/>
  <c r="F69" i="95" s="1"/>
  <c r="B69" i="95"/>
  <c r="I69" i="81"/>
  <c r="I71" i="86"/>
  <c r="D70" i="92"/>
  <c r="E70" i="92" s="1"/>
  <c r="F70" i="92" s="1"/>
  <c r="D71" i="92" s="1"/>
  <c r="H69" i="92"/>
  <c r="G69" i="92"/>
  <c r="E70" i="83"/>
  <c r="F70" i="83" s="1"/>
  <c r="D71" i="83" s="1"/>
  <c r="B70" i="83"/>
  <c r="I71" i="79"/>
  <c r="E71" i="88"/>
  <c r="F71" i="88" s="1"/>
  <c r="B71" i="88"/>
  <c r="I68" i="83"/>
  <c r="I67" i="87"/>
  <c r="D70" i="89"/>
  <c r="E70" i="89" s="1"/>
  <c r="G69" i="89"/>
  <c r="G70" i="88"/>
  <c r="B72" i="79"/>
  <c r="F72" i="79"/>
  <c r="G72" i="79" s="1"/>
  <c r="G73" i="79" s="1"/>
  <c r="H69" i="89"/>
  <c r="H70" i="88"/>
  <c r="I72" i="77"/>
  <c r="I73" i="77" s="1"/>
  <c r="H73" i="77"/>
  <c r="B69" i="83"/>
  <c r="H69" i="83"/>
  <c r="G69" i="83"/>
  <c r="F68" i="26"/>
  <c r="G68" i="26" s="1"/>
  <c r="B68" i="26"/>
  <c r="D72" i="59"/>
  <c r="B68" i="87"/>
  <c r="F69" i="25"/>
  <c r="G69" i="25" s="1"/>
  <c r="B69" i="25"/>
  <c r="E68" i="87"/>
  <c r="F68" i="87" s="1"/>
  <c r="B69" i="33"/>
  <c r="F69" i="33"/>
  <c r="G69" i="33" s="1"/>
  <c r="B71" i="62"/>
  <c r="F71" i="62"/>
  <c r="H71" i="62" s="1"/>
  <c r="H71" i="59"/>
  <c r="I71" i="59" s="1"/>
  <c r="I68" i="25"/>
  <c r="B147" i="33"/>
  <c r="F147" i="33"/>
  <c r="H147" i="25"/>
  <c r="I147" i="25"/>
  <c r="H146" i="33"/>
  <c r="I146" i="33"/>
  <c r="F148" i="25"/>
  <c r="B148" i="25"/>
  <c r="G67" i="102" l="1"/>
  <c r="I67" i="102" s="1"/>
  <c r="D68" i="102"/>
  <c r="B149" i="100"/>
  <c r="E149" i="100"/>
  <c r="F149" i="100" s="1"/>
  <c r="I148" i="100"/>
  <c r="H148" i="100"/>
  <c r="H66" i="13"/>
  <c r="G66" i="13"/>
  <c r="D67" i="13"/>
  <c r="I72" i="80"/>
  <c r="I73" i="80" s="1"/>
  <c r="F70" i="98"/>
  <c r="H70" i="98" s="1"/>
  <c r="B70" i="98"/>
  <c r="J147" i="26"/>
  <c r="D149" i="26"/>
  <c r="B149" i="26" s="1"/>
  <c r="G148" i="26"/>
  <c r="I69" i="94"/>
  <c r="D72" i="91"/>
  <c r="B71" i="91"/>
  <c r="G71" i="91"/>
  <c r="H71" i="91"/>
  <c r="D71" i="94"/>
  <c r="E71" i="94" s="1"/>
  <c r="F71" i="94" s="1"/>
  <c r="I72" i="61"/>
  <c r="I73" i="61" s="1"/>
  <c r="H73" i="61"/>
  <c r="B70" i="94"/>
  <c r="H70" i="94"/>
  <c r="G70" i="94"/>
  <c r="G71" i="84"/>
  <c r="I71" i="93"/>
  <c r="G70" i="83"/>
  <c r="H71" i="84"/>
  <c r="I71" i="90"/>
  <c r="E72" i="84"/>
  <c r="E73" i="84" s="1"/>
  <c r="B72" i="84"/>
  <c r="B72" i="93"/>
  <c r="F72" i="93"/>
  <c r="H72" i="93" s="1"/>
  <c r="H73" i="93" s="1"/>
  <c r="E72" i="90"/>
  <c r="E73" i="90" s="1"/>
  <c r="B72" i="90"/>
  <c r="G69" i="95"/>
  <c r="D70" i="95"/>
  <c r="H69" i="95"/>
  <c r="G70" i="81"/>
  <c r="D71" i="81"/>
  <c r="H70" i="81"/>
  <c r="I69" i="83"/>
  <c r="E68" i="96"/>
  <c r="F68" i="96" s="1"/>
  <c r="B68" i="96"/>
  <c r="F72" i="86"/>
  <c r="F72" i="76"/>
  <c r="I72" i="78"/>
  <c r="I73" i="78" s="1"/>
  <c r="H73" i="78"/>
  <c r="D72" i="88"/>
  <c r="G71" i="88"/>
  <c r="H71" i="88"/>
  <c r="E71" i="92"/>
  <c r="F71" i="92" s="1"/>
  <c r="G71" i="92" s="1"/>
  <c r="B71" i="92"/>
  <c r="H69" i="33"/>
  <c r="I69" i="33" s="1"/>
  <c r="I69" i="89"/>
  <c r="B70" i="89"/>
  <c r="F70" i="89"/>
  <c r="G70" i="89" s="1"/>
  <c r="E71" i="83"/>
  <c r="F71" i="83" s="1"/>
  <c r="B71" i="83"/>
  <c r="I69" i="92"/>
  <c r="H72" i="79"/>
  <c r="I70" i="88"/>
  <c r="H70" i="83"/>
  <c r="B70" i="92"/>
  <c r="H70" i="92"/>
  <c r="G70" i="92"/>
  <c r="D69" i="87"/>
  <c r="H68" i="87"/>
  <c r="G68" i="87"/>
  <c r="D72" i="62"/>
  <c r="D70" i="25"/>
  <c r="E70" i="25" s="1"/>
  <c r="B72" i="59"/>
  <c r="D69" i="26"/>
  <c r="J147" i="25"/>
  <c r="G71" i="62"/>
  <c r="I71" i="62" s="1"/>
  <c r="D70" i="33"/>
  <c r="E70" i="33" s="1"/>
  <c r="H69" i="25"/>
  <c r="I69" i="25" s="1"/>
  <c r="E72" i="59"/>
  <c r="E73" i="59" s="1"/>
  <c r="H68" i="26"/>
  <c r="I68" i="26" s="1"/>
  <c r="G148" i="25"/>
  <c r="D149" i="25"/>
  <c r="E149" i="25" s="1"/>
  <c r="G147" i="33"/>
  <c r="D148" i="33"/>
  <c r="E148" i="33" s="1"/>
  <c r="J146" i="33"/>
  <c r="E68" i="102" l="1"/>
  <c r="F68" i="102" s="1"/>
  <c r="H68" i="102" s="1"/>
  <c r="B68" i="102"/>
  <c r="G149" i="100"/>
  <c r="D150" i="100"/>
  <c r="I70" i="83"/>
  <c r="I66" i="13"/>
  <c r="E67" i="13"/>
  <c r="F67" i="13" s="1"/>
  <c r="B67" i="13"/>
  <c r="G70" i="98"/>
  <c r="I70" i="98" s="1"/>
  <c r="D71" i="98"/>
  <c r="E149" i="26"/>
  <c r="F149" i="26" s="1"/>
  <c r="H148" i="26"/>
  <c r="I148" i="26"/>
  <c r="F72" i="90"/>
  <c r="G72" i="90" s="1"/>
  <c r="G73" i="90" s="1"/>
  <c r="I71" i="88"/>
  <c r="G72" i="93"/>
  <c r="G73" i="93" s="1"/>
  <c r="B72" i="91"/>
  <c r="I71" i="91"/>
  <c r="E72" i="91"/>
  <c r="E73" i="91" s="1"/>
  <c r="I71" i="84"/>
  <c r="D72" i="94"/>
  <c r="E72" i="94" s="1"/>
  <c r="E73" i="94" s="1"/>
  <c r="I70" i="94"/>
  <c r="B71" i="94"/>
  <c r="H71" i="94"/>
  <c r="G71" i="94"/>
  <c r="F72" i="84"/>
  <c r="I69" i="95"/>
  <c r="H68" i="96"/>
  <c r="D69" i="96"/>
  <c r="E69" i="96" s="1"/>
  <c r="F69" i="96" s="1"/>
  <c r="D70" i="96" s="1"/>
  <c r="G68" i="96"/>
  <c r="G72" i="86"/>
  <c r="G73" i="86" s="1"/>
  <c r="H72" i="86"/>
  <c r="G72" i="76"/>
  <c r="G73" i="76" s="1"/>
  <c r="H72" i="76"/>
  <c r="I70" i="81"/>
  <c r="E70" i="95"/>
  <c r="F70" i="95" s="1"/>
  <c r="D71" i="95" s="1"/>
  <c r="B70" i="95"/>
  <c r="E71" i="81"/>
  <c r="F71" i="81" s="1"/>
  <c r="H71" i="81" s="1"/>
  <c r="B71" i="81"/>
  <c r="I70" i="92"/>
  <c r="H71" i="83"/>
  <c r="D72" i="83"/>
  <c r="E72" i="83" s="1"/>
  <c r="E73" i="83" s="1"/>
  <c r="G71" i="83"/>
  <c r="I68" i="87"/>
  <c r="H71" i="92"/>
  <c r="I71" i="92" s="1"/>
  <c r="D72" i="92"/>
  <c r="B72" i="88"/>
  <c r="I72" i="79"/>
  <c r="I73" i="79" s="1"/>
  <c r="H73" i="79"/>
  <c r="H70" i="89"/>
  <c r="D71" i="89"/>
  <c r="E71" i="89" s="1"/>
  <c r="E72" i="88"/>
  <c r="E73" i="88" s="1"/>
  <c r="B69" i="26"/>
  <c r="B72" i="62"/>
  <c r="F70" i="33"/>
  <c r="G70" i="33" s="1"/>
  <c r="B70" i="33"/>
  <c r="B69" i="87"/>
  <c r="B70" i="25"/>
  <c r="F70" i="25"/>
  <c r="H70" i="25" s="1"/>
  <c r="E69" i="87"/>
  <c r="F69" i="87" s="1"/>
  <c r="E69" i="26"/>
  <c r="F69" i="26" s="1"/>
  <c r="F72" i="59"/>
  <c r="E72" i="62"/>
  <c r="E73" i="62" s="1"/>
  <c r="H147" i="33"/>
  <c r="I147" i="33"/>
  <c r="H148" i="25"/>
  <c r="I148" i="25"/>
  <c r="B148" i="33"/>
  <c r="F148" i="33"/>
  <c r="B149" i="25"/>
  <c r="F149" i="25"/>
  <c r="G68" i="102" l="1"/>
  <c r="I68" i="102" s="1"/>
  <c r="D69" i="102"/>
  <c r="B150" i="100"/>
  <c r="E150" i="100"/>
  <c r="F150" i="100" s="1"/>
  <c r="I149" i="100"/>
  <c r="H149" i="100"/>
  <c r="G67" i="13"/>
  <c r="H67" i="13"/>
  <c r="D68" i="13"/>
  <c r="J148" i="26"/>
  <c r="E71" i="98"/>
  <c r="F71" i="98" s="1"/>
  <c r="D72" i="98" s="1"/>
  <c r="B71" i="98"/>
  <c r="G149" i="26"/>
  <c r="D150" i="26"/>
  <c r="H72" i="90"/>
  <c r="I72" i="90" s="1"/>
  <c r="I73" i="90" s="1"/>
  <c r="I72" i="93"/>
  <c r="I73" i="93" s="1"/>
  <c r="F72" i="91"/>
  <c r="I68" i="96"/>
  <c r="I71" i="94"/>
  <c r="B72" i="94"/>
  <c r="F72" i="94"/>
  <c r="H72" i="84"/>
  <c r="G72" i="84"/>
  <c r="G73" i="84" s="1"/>
  <c r="E70" i="96"/>
  <c r="F70" i="96" s="1"/>
  <c r="B70" i="96"/>
  <c r="G70" i="95"/>
  <c r="I72" i="76"/>
  <c r="I73" i="76" s="1"/>
  <c r="H73" i="76"/>
  <c r="H70" i="95"/>
  <c r="E71" i="95"/>
  <c r="F71" i="95" s="1"/>
  <c r="B71" i="95"/>
  <c r="H73" i="86"/>
  <c r="I72" i="86"/>
  <c r="I73" i="86" s="1"/>
  <c r="B69" i="96"/>
  <c r="H69" i="96"/>
  <c r="G69" i="96"/>
  <c r="G71" i="81"/>
  <c r="I71" i="81" s="1"/>
  <c r="D72" i="81"/>
  <c r="F71" i="89"/>
  <c r="G71" i="89" s="1"/>
  <c r="B71" i="89"/>
  <c r="E72" i="92"/>
  <c r="E73" i="92" s="1"/>
  <c r="B72" i="92"/>
  <c r="I70" i="89"/>
  <c r="B72" i="83"/>
  <c r="F72" i="83"/>
  <c r="H72" i="83" s="1"/>
  <c r="F72" i="88"/>
  <c r="I71" i="83"/>
  <c r="D70" i="26"/>
  <c r="E70" i="26" s="1"/>
  <c r="H69" i="26"/>
  <c r="G69" i="26"/>
  <c r="D70" i="87"/>
  <c r="E70" i="87" s="1"/>
  <c r="G69" i="87"/>
  <c r="H69" i="87"/>
  <c r="D71" i="25"/>
  <c r="E71" i="25" s="1"/>
  <c r="H72" i="59"/>
  <c r="G72" i="59"/>
  <c r="G73" i="59" s="1"/>
  <c r="D71" i="33"/>
  <c r="E71" i="33" s="1"/>
  <c r="G70" i="25"/>
  <c r="I70" i="25" s="1"/>
  <c r="H70" i="33"/>
  <c r="I70" i="33" s="1"/>
  <c r="F72" i="62"/>
  <c r="J148" i="25"/>
  <c r="D149" i="33"/>
  <c r="E149" i="33" s="1"/>
  <c r="G148" i="33"/>
  <c r="D150" i="25"/>
  <c r="E150" i="25" s="1"/>
  <c r="G149" i="25"/>
  <c r="J147" i="33"/>
  <c r="E69" i="102" l="1"/>
  <c r="F69" i="102"/>
  <c r="H69" i="102" s="1"/>
  <c r="B69" i="102"/>
  <c r="G150" i="100"/>
  <c r="D151" i="100"/>
  <c r="E151" i="100" s="1"/>
  <c r="I67" i="13"/>
  <c r="E68" i="13"/>
  <c r="F68" i="13" s="1"/>
  <c r="B68" i="13"/>
  <c r="H73" i="90"/>
  <c r="H71" i="98"/>
  <c r="G71" i="98"/>
  <c r="E72" i="98"/>
  <c r="E73" i="98" s="1"/>
  <c r="B72" i="98"/>
  <c r="E150" i="26"/>
  <c r="F150" i="26" s="1"/>
  <c r="B150" i="26"/>
  <c r="I149" i="26"/>
  <c r="H149" i="26"/>
  <c r="G72" i="91"/>
  <c r="G73" i="91" s="1"/>
  <c r="H72" i="91"/>
  <c r="H72" i="94"/>
  <c r="G72" i="94"/>
  <c r="G73" i="94" s="1"/>
  <c r="H73" i="84"/>
  <c r="I72" i="84"/>
  <c r="I73" i="84" s="1"/>
  <c r="D71" i="96"/>
  <c r="E71" i="96" s="1"/>
  <c r="G70" i="96"/>
  <c r="H70" i="96"/>
  <c r="E72" i="81"/>
  <c r="E73" i="81" s="1"/>
  <c r="B72" i="81"/>
  <c r="G71" i="95"/>
  <c r="D72" i="95"/>
  <c r="E72" i="95" s="1"/>
  <c r="E73" i="95" s="1"/>
  <c r="I69" i="96"/>
  <c r="H71" i="95"/>
  <c r="I70" i="95"/>
  <c r="H73" i="83"/>
  <c r="G72" i="83"/>
  <c r="G73" i="83" s="1"/>
  <c r="I69" i="26"/>
  <c r="G72" i="88"/>
  <c r="G73" i="88" s="1"/>
  <c r="H72" i="88"/>
  <c r="F72" i="92"/>
  <c r="H71" i="89"/>
  <c r="D72" i="89"/>
  <c r="E72" i="89" s="1"/>
  <c r="E73" i="89" s="1"/>
  <c r="G72" i="62"/>
  <c r="G73" i="62" s="1"/>
  <c r="H72" i="62"/>
  <c r="I69" i="87"/>
  <c r="B71" i="33"/>
  <c r="F71" i="33"/>
  <c r="H71" i="33" s="1"/>
  <c r="F71" i="25"/>
  <c r="G71" i="25" s="1"/>
  <c r="B71" i="25"/>
  <c r="F70" i="26"/>
  <c r="H70" i="26" s="1"/>
  <c r="B70" i="26"/>
  <c r="I72" i="59"/>
  <c r="I73" i="59" s="1"/>
  <c r="H73" i="59"/>
  <c r="B70" i="87"/>
  <c r="F70" i="87"/>
  <c r="H70" i="87" s="1"/>
  <c r="I148" i="33"/>
  <c r="H148" i="33"/>
  <c r="I149" i="25"/>
  <c r="H149" i="25"/>
  <c r="B150" i="25"/>
  <c r="F150" i="25"/>
  <c r="B149" i="33"/>
  <c r="F149" i="33"/>
  <c r="G69" i="102" l="1"/>
  <c r="I69" i="102" s="1"/>
  <c r="D70" i="102"/>
  <c r="B151" i="100"/>
  <c r="F151" i="100"/>
  <c r="H150" i="100"/>
  <c r="I150" i="100"/>
  <c r="H68" i="13"/>
  <c r="G68" i="13"/>
  <c r="D69" i="13"/>
  <c r="I71" i="98"/>
  <c r="F72" i="98"/>
  <c r="H72" i="98" s="1"/>
  <c r="H73" i="98" s="1"/>
  <c r="J149" i="26"/>
  <c r="D151" i="26"/>
  <c r="G150" i="26"/>
  <c r="I71" i="95"/>
  <c r="I72" i="91"/>
  <c r="I73" i="91" s="1"/>
  <c r="H73" i="91"/>
  <c r="I72" i="94"/>
  <c r="I73" i="94" s="1"/>
  <c r="H73" i="94"/>
  <c r="I70" i="96"/>
  <c r="F72" i="95"/>
  <c r="G72" i="95" s="1"/>
  <c r="G73" i="95" s="1"/>
  <c r="B72" i="95"/>
  <c r="F72" i="81"/>
  <c r="F71" i="96"/>
  <c r="D72" i="96" s="1"/>
  <c r="B71" i="96"/>
  <c r="G70" i="87"/>
  <c r="I70" i="87" s="1"/>
  <c r="G70" i="26"/>
  <c r="I70" i="26" s="1"/>
  <c r="H71" i="25"/>
  <c r="I71" i="25" s="1"/>
  <c r="I72" i="88"/>
  <c r="I73" i="88" s="1"/>
  <c r="H73" i="88"/>
  <c r="H72" i="92"/>
  <c r="G72" i="92"/>
  <c r="G73" i="92" s="1"/>
  <c r="B72" i="89"/>
  <c r="F72" i="89"/>
  <c r="G72" i="89" s="1"/>
  <c r="G73" i="89" s="1"/>
  <c r="I71" i="89"/>
  <c r="I72" i="83"/>
  <c r="I73" i="83" s="1"/>
  <c r="D72" i="33"/>
  <c r="E72" i="33" s="1"/>
  <c r="E73" i="33" s="1"/>
  <c r="I72" i="62"/>
  <c r="I73" i="62" s="1"/>
  <c r="H73" i="62"/>
  <c r="D71" i="87"/>
  <c r="E71" i="87" s="1"/>
  <c r="D71" i="26"/>
  <c r="E71" i="26" s="1"/>
  <c r="D72" i="25"/>
  <c r="E72" i="25" s="1"/>
  <c r="E73" i="25" s="1"/>
  <c r="G71" i="33"/>
  <c r="I71" i="33" s="1"/>
  <c r="J148" i="33"/>
  <c r="J149" i="25"/>
  <c r="G150" i="25"/>
  <c r="D151" i="25"/>
  <c r="G149" i="33"/>
  <c r="D150" i="33"/>
  <c r="E70" i="102" l="1"/>
  <c r="F70" i="102" s="1"/>
  <c r="G70" i="102" s="1"/>
  <c r="B70" i="102"/>
  <c r="G151" i="100"/>
  <c r="D152" i="100"/>
  <c r="I68" i="13"/>
  <c r="E69" i="13"/>
  <c r="F69" i="13" s="1"/>
  <c r="B69" i="13"/>
  <c r="G72" i="98"/>
  <c r="G73" i="98" s="1"/>
  <c r="I150" i="26"/>
  <c r="H150" i="26"/>
  <c r="E151" i="26"/>
  <c r="F151" i="26" s="1"/>
  <c r="B151" i="26"/>
  <c r="H71" i="96"/>
  <c r="E72" i="96"/>
  <c r="E73" i="96" s="1"/>
  <c r="B72" i="96"/>
  <c r="G71" i="96"/>
  <c r="H72" i="81"/>
  <c r="G72" i="81"/>
  <c r="G73" i="81" s="1"/>
  <c r="H72" i="95"/>
  <c r="H72" i="89"/>
  <c r="I72" i="92"/>
  <c r="I73" i="92" s="1"/>
  <c r="H73" i="92"/>
  <c r="B72" i="25"/>
  <c r="F72" i="25"/>
  <c r="H72" i="25" s="1"/>
  <c r="F71" i="87"/>
  <c r="H71" i="87" s="1"/>
  <c r="B71" i="87"/>
  <c r="F72" i="33"/>
  <c r="H72" i="33" s="1"/>
  <c r="B72" i="33"/>
  <c r="B71" i="26"/>
  <c r="F71" i="26"/>
  <c r="I149" i="33"/>
  <c r="H149" i="33"/>
  <c r="B151" i="25"/>
  <c r="E151" i="25"/>
  <c r="F151" i="25" s="1"/>
  <c r="B150" i="33"/>
  <c r="E150" i="33"/>
  <c r="F150" i="33" s="1"/>
  <c r="I150" i="25"/>
  <c r="H150" i="25"/>
  <c r="H70" i="102" l="1"/>
  <c r="I70" i="102" s="1"/>
  <c r="D71" i="102"/>
  <c r="B152" i="100"/>
  <c r="E152" i="100"/>
  <c r="F152" i="100" s="1"/>
  <c r="I151" i="100"/>
  <c r="H151" i="100"/>
  <c r="H69" i="13"/>
  <c r="G69" i="13"/>
  <c r="D70" i="13"/>
  <c r="I72" i="98"/>
  <c r="I73" i="98" s="1"/>
  <c r="D152" i="26"/>
  <c r="G151" i="26"/>
  <c r="J150" i="26"/>
  <c r="G71" i="87"/>
  <c r="I71" i="87" s="1"/>
  <c r="F72" i="96"/>
  <c r="G72" i="96" s="1"/>
  <c r="G73" i="96" s="1"/>
  <c r="I72" i="81"/>
  <c r="I73" i="81" s="1"/>
  <c r="H73" i="81"/>
  <c r="G72" i="33"/>
  <c r="G73" i="33" s="1"/>
  <c r="H73" i="95"/>
  <c r="I72" i="95"/>
  <c r="I73" i="95" s="1"/>
  <c r="I71" i="96"/>
  <c r="G72" i="25"/>
  <c r="G73" i="25" s="1"/>
  <c r="I72" i="89"/>
  <c r="I73" i="89" s="1"/>
  <c r="H73" i="89"/>
  <c r="J150" i="25"/>
  <c r="H73" i="25"/>
  <c r="H73" i="33"/>
  <c r="D72" i="26"/>
  <c r="G71" i="26"/>
  <c r="H71" i="26"/>
  <c r="D72" i="87"/>
  <c r="J149" i="33"/>
  <c r="D151" i="33"/>
  <c r="G150" i="33"/>
  <c r="G151" i="25"/>
  <c r="D152" i="25"/>
  <c r="E152" i="25" s="1"/>
  <c r="E71" i="102" l="1"/>
  <c r="F71" i="102" s="1"/>
  <c r="B71" i="102"/>
  <c r="G152" i="100"/>
  <c r="D153" i="100"/>
  <c r="I72" i="33"/>
  <c r="I73" i="33" s="1"/>
  <c r="I69" i="13"/>
  <c r="E70" i="13"/>
  <c r="F70" i="13" s="1"/>
  <c r="B70" i="13"/>
  <c r="I151" i="26"/>
  <c r="H151" i="26"/>
  <c r="B152" i="26"/>
  <c r="E152" i="26"/>
  <c r="F152" i="26" s="1"/>
  <c r="I72" i="25"/>
  <c r="I73" i="25" s="1"/>
  <c r="H72" i="96"/>
  <c r="I71" i="26"/>
  <c r="B72" i="87"/>
  <c r="B72" i="26"/>
  <c r="E72" i="26"/>
  <c r="E73" i="26" s="1"/>
  <c r="E72" i="87"/>
  <c r="E73" i="87" s="1"/>
  <c r="H151" i="25"/>
  <c r="I151" i="25"/>
  <c r="H150" i="33"/>
  <c r="I150" i="33"/>
  <c r="B151" i="33"/>
  <c r="B152" i="25"/>
  <c r="F152" i="25"/>
  <c r="E151" i="33"/>
  <c r="F151" i="33" s="1"/>
  <c r="G71" i="102" l="1"/>
  <c r="D72" i="102"/>
  <c r="H71" i="102"/>
  <c r="I71" i="102" s="1"/>
  <c r="B153" i="100"/>
  <c r="E153" i="100"/>
  <c r="F153" i="100" s="1"/>
  <c r="H152" i="100"/>
  <c r="I152" i="100"/>
  <c r="G70" i="13"/>
  <c r="H70" i="13"/>
  <c r="D71" i="13"/>
  <c r="J151" i="26"/>
  <c r="D153" i="26"/>
  <c r="G152" i="26"/>
  <c r="I72" i="96"/>
  <c r="I73" i="96" s="1"/>
  <c r="H73" i="96"/>
  <c r="F72" i="26"/>
  <c r="F72" i="87"/>
  <c r="J151" i="25"/>
  <c r="D152" i="33"/>
  <c r="E152" i="33" s="1"/>
  <c r="G151" i="33"/>
  <c r="G152" i="25"/>
  <c r="D153" i="25"/>
  <c r="E153" i="25" s="1"/>
  <c r="J150" i="33"/>
  <c r="E72" i="102" l="1"/>
  <c r="E73" i="102" s="1"/>
  <c r="B72" i="102"/>
  <c r="D154" i="100"/>
  <c r="G153" i="100"/>
  <c r="I70" i="13"/>
  <c r="B71" i="13"/>
  <c r="E71" i="13"/>
  <c r="F71" i="13" s="1"/>
  <c r="H152" i="26"/>
  <c r="I152" i="26"/>
  <c r="B153" i="26"/>
  <c r="E153" i="26"/>
  <c r="F153" i="26" s="1"/>
  <c r="G72" i="26"/>
  <c r="G73" i="26" s="1"/>
  <c r="H72" i="26"/>
  <c r="H72" i="87"/>
  <c r="G72" i="87"/>
  <c r="G73" i="87" s="1"/>
  <c r="H151" i="33"/>
  <c r="I151" i="33"/>
  <c r="H152" i="25"/>
  <c r="I152" i="25"/>
  <c r="B153" i="25"/>
  <c r="F153" i="25"/>
  <c r="B152" i="33"/>
  <c r="F152" i="33"/>
  <c r="F72" i="102" l="1"/>
  <c r="H153" i="100"/>
  <c r="I153" i="100"/>
  <c r="E154" i="100"/>
  <c r="E155" i="100" s="1"/>
  <c r="B154" i="100"/>
  <c r="H71" i="13"/>
  <c r="G71" i="13"/>
  <c r="D72" i="13"/>
  <c r="G153" i="26"/>
  <c r="D154" i="26"/>
  <c r="J152" i="26"/>
  <c r="I72" i="26"/>
  <c r="I73" i="26" s="1"/>
  <c r="H73" i="26"/>
  <c r="J151" i="33"/>
  <c r="I72" i="87"/>
  <c r="I73" i="87" s="1"/>
  <c r="H73" i="87"/>
  <c r="D153" i="33"/>
  <c r="G152" i="33"/>
  <c r="G153" i="25"/>
  <c r="D154" i="25"/>
  <c r="E154" i="25" s="1"/>
  <c r="E155" i="25" s="1"/>
  <c r="J152" i="25"/>
  <c r="G72" i="102" l="1"/>
  <c r="G73" i="102" s="1"/>
  <c r="H72" i="102"/>
  <c r="F154" i="100"/>
  <c r="G154" i="100" s="1"/>
  <c r="H154" i="100" s="1"/>
  <c r="H155" i="100" s="1"/>
  <c r="E72" i="13"/>
  <c r="E73" i="13" s="1"/>
  <c r="B72" i="13"/>
  <c r="I71" i="13"/>
  <c r="E154" i="26"/>
  <c r="B154" i="26"/>
  <c r="H153" i="26"/>
  <c r="I153" i="26"/>
  <c r="I152" i="33"/>
  <c r="H152" i="33"/>
  <c r="F154" i="25"/>
  <c r="G154" i="25" s="1"/>
  <c r="B154" i="25"/>
  <c r="B153" i="33"/>
  <c r="I153" i="25"/>
  <c r="H153" i="25"/>
  <c r="E153" i="33"/>
  <c r="F153" i="33" s="1"/>
  <c r="I72" i="102" l="1"/>
  <c r="I73" i="102" s="1"/>
  <c r="H73" i="102"/>
  <c r="I154" i="100"/>
  <c r="I155" i="100" s="1"/>
  <c r="F72" i="13"/>
  <c r="J153" i="26"/>
  <c r="E155" i="26"/>
  <c r="F154" i="26"/>
  <c r="G154" i="26" s="1"/>
  <c r="J153" i="25"/>
  <c r="D154" i="33"/>
  <c r="E154" i="33" s="1"/>
  <c r="E155" i="33" s="1"/>
  <c r="G153" i="33"/>
  <c r="I154" i="25"/>
  <c r="H154" i="25"/>
  <c r="H155" i="25" s="1"/>
  <c r="J152" i="33"/>
  <c r="G72" i="13" l="1"/>
  <c r="G73" i="13" s="1"/>
  <c r="H72" i="13"/>
  <c r="I154" i="26"/>
  <c r="H154" i="26"/>
  <c r="H155" i="26" s="1"/>
  <c r="H153" i="33"/>
  <c r="I153" i="33"/>
  <c r="J154" i="25"/>
  <c r="J155" i="25" s="1"/>
  <c r="I155" i="25"/>
  <c r="F154" i="33"/>
  <c r="G154" i="33" s="1"/>
  <c r="B154" i="33"/>
  <c r="I72" i="13" l="1"/>
  <c r="I73" i="13" s="1"/>
  <c r="H73" i="13"/>
  <c r="J154" i="26"/>
  <c r="J155" i="26" s="1"/>
  <c r="I155" i="26"/>
  <c r="J153" i="33"/>
  <c r="H154" i="33"/>
  <c r="H155" i="33" s="1"/>
  <c r="I154" i="33"/>
  <c r="J154" i="33" l="1"/>
  <c r="J155" i="33" s="1"/>
  <c r="I155" i="33"/>
  <c r="K57" i="36" l="1"/>
  <c r="L57" i="36" s="1"/>
  <c r="K41" i="36"/>
  <c r="L41" i="36" s="1"/>
  <c r="K90" i="36"/>
  <c r="L90" i="36" s="1"/>
  <c r="K58" i="36"/>
  <c r="L58" i="36" s="1"/>
  <c r="K38" i="36"/>
  <c r="L38" i="36" s="1"/>
  <c r="K71" i="36"/>
  <c r="L71" i="36" s="1"/>
  <c r="K30" i="36"/>
  <c r="L30" i="36" s="1"/>
  <c r="K26" i="36"/>
  <c r="L26" i="36" s="1"/>
  <c r="K85" i="36"/>
  <c r="L85" i="36" s="1"/>
  <c r="K39" i="36"/>
  <c r="L39" i="36" s="1"/>
  <c r="K37" i="36"/>
  <c r="L37" i="36" s="1"/>
  <c r="K82" i="36"/>
  <c r="L82" i="36" s="1"/>
  <c r="K76" i="36"/>
  <c r="L76" i="36" s="1"/>
  <c r="K79" i="36"/>
  <c r="L79" i="36" s="1"/>
  <c r="K62" i="36"/>
  <c r="L62" i="36" s="1"/>
  <c r="K78" i="36"/>
  <c r="L78" i="36" s="1"/>
  <c r="K33" i="36"/>
  <c r="L33" i="36" s="1"/>
  <c r="K32" i="36"/>
  <c r="L32" i="36" s="1"/>
  <c r="K51" i="36"/>
  <c r="L51" i="36" s="1"/>
  <c r="K86" i="36"/>
  <c r="L86" i="36" s="1"/>
  <c r="K88" i="36"/>
  <c r="L88" i="36" s="1"/>
  <c r="K29" i="36"/>
  <c r="L29" i="36" s="1"/>
  <c r="K45" i="36"/>
  <c r="L45" i="36" s="1"/>
  <c r="K55" i="36"/>
  <c r="L55" i="36" s="1"/>
  <c r="K74" i="36"/>
  <c r="L74" i="36" s="1"/>
  <c r="K89" i="36"/>
  <c r="L89" i="36" s="1"/>
  <c r="K83" i="36"/>
  <c r="L83" i="36" s="1"/>
  <c r="K46" i="36"/>
  <c r="L46" i="36" s="1"/>
  <c r="K87" i="36"/>
  <c r="L87" i="36" s="1"/>
  <c r="K69" i="36"/>
  <c r="L69" i="36" s="1"/>
  <c r="K50" i="36"/>
  <c r="L50" i="36" s="1"/>
  <c r="K21" i="36"/>
  <c r="L21" i="36" s="1"/>
  <c r="K73" i="36"/>
  <c r="L73" i="36" s="1"/>
  <c r="K91" i="36"/>
  <c r="L91" i="36" s="1"/>
  <c r="K65" i="36"/>
  <c r="L65" i="36" s="1"/>
  <c r="K61" i="36"/>
  <c r="L61" i="36" s="1"/>
  <c r="K42" i="36"/>
  <c r="L42" i="36" s="1"/>
  <c r="K66" i="36"/>
  <c r="L66" i="36" s="1"/>
  <c r="K60" i="36"/>
  <c r="L60" i="36" s="1"/>
  <c r="K20" i="36"/>
  <c r="L20" i="36" s="1"/>
  <c r="K19" i="36"/>
  <c r="L19" i="36" s="1"/>
  <c r="K84" i="36"/>
  <c r="L84" i="36" s="1"/>
  <c r="K35" i="36"/>
  <c r="L35" i="36" s="1"/>
  <c r="K27" i="36"/>
  <c r="L27" i="36" s="1"/>
  <c r="K47" i="36"/>
  <c r="L47" i="36" s="1"/>
  <c r="K43" i="36"/>
  <c r="L43" i="36" s="1"/>
  <c r="K28" i="36"/>
  <c r="L28" i="36" s="1"/>
  <c r="K44" i="36"/>
  <c r="L44" i="36" s="1"/>
  <c r="K68" i="36"/>
  <c r="L68" i="36" s="1"/>
  <c r="K56" i="36"/>
  <c r="L56" i="36" s="1"/>
  <c r="K63" i="36"/>
  <c r="L63" i="36" s="1"/>
  <c r="K80" i="36"/>
  <c r="L80" i="36" s="1"/>
  <c r="K81" i="36"/>
  <c r="L81" i="36" s="1"/>
  <c r="K70" i="36"/>
  <c r="L70" i="36" s="1"/>
  <c r="K77" i="36"/>
  <c r="L77" i="36" s="1"/>
  <c r="K53" i="36"/>
  <c r="L53" i="36" s="1"/>
  <c r="K25" i="36"/>
  <c r="L25" i="36" s="1"/>
  <c r="K24" i="36"/>
  <c r="L24" i="36" s="1"/>
  <c r="K22" i="36"/>
  <c r="L22" i="36" s="1"/>
  <c r="K72" i="36"/>
  <c r="L72" i="36" s="1"/>
  <c r="K31" i="36"/>
  <c r="L31" i="36" s="1"/>
  <c r="K40" i="36"/>
  <c r="L40" i="36" s="1"/>
  <c r="K54" i="36"/>
  <c r="L54" i="36" s="1"/>
  <c r="K67" i="36"/>
  <c r="L67" i="36" s="1"/>
  <c r="K48" i="36"/>
  <c r="L48" i="36" s="1"/>
  <c r="K75" i="36"/>
  <c r="L75" i="36" s="1"/>
  <c r="K64" i="36"/>
  <c r="L64" i="36" s="1"/>
  <c r="K52" i="36"/>
  <c r="L52" i="36" s="1"/>
  <c r="K23" i="36"/>
  <c r="L23" i="36" s="1"/>
  <c r="K59" i="36"/>
  <c r="L59" i="36" s="1"/>
  <c r="K18" i="36"/>
  <c r="K34" i="36"/>
  <c r="L34" i="36" s="1"/>
  <c r="K36" i="36"/>
  <c r="L36" i="36" s="1"/>
  <c r="K49" i="36"/>
  <c r="L49" i="36" s="1"/>
  <c r="L18" i="36" l="1"/>
  <c r="K97" i="36"/>
  <c r="L96" i="36"/>
  <c r="V27" i="36"/>
  <c r="V28" i="36"/>
  <c r="V35" i="36"/>
  <c r="V37" i="36"/>
  <c r="B106" i="56" l="1"/>
  <c r="B106" i="81" l="1"/>
  <c r="B104" i="96"/>
  <c r="B105" i="94"/>
  <c r="B110" i="53" l="1"/>
  <c r="B113" i="18"/>
  <c r="B104" i="95"/>
  <c r="B113" i="34"/>
  <c r="B106" i="80"/>
  <c r="B107" i="77"/>
  <c r="B107" i="78"/>
  <c r="B110" i="55"/>
  <c r="B110" i="57"/>
  <c r="B103" i="98"/>
  <c r="B108" i="65"/>
  <c r="B113" i="21"/>
  <c r="B114" i="23"/>
  <c r="B105" i="90"/>
  <c r="B115" i="70"/>
  <c r="B113" i="17"/>
  <c r="B114" i="24"/>
  <c r="B105" i="91"/>
  <c r="B109" i="60"/>
  <c r="B108" i="67"/>
  <c r="B110" i="46"/>
  <c r="B115" i="30"/>
  <c r="B107" i="75"/>
  <c r="B105" i="88"/>
  <c r="B112" i="43"/>
  <c r="B105" i="87"/>
  <c r="B111" i="45"/>
  <c r="B109" i="61"/>
  <c r="B112" i="42"/>
  <c r="B103" i="97"/>
  <c r="B110" i="54"/>
  <c r="B106" i="85"/>
  <c r="B116" i="28"/>
  <c r="B112" i="41"/>
  <c r="B106" i="83"/>
  <c r="B110" i="56"/>
  <c r="B112" i="44"/>
  <c r="B114" i="32"/>
  <c r="B107" i="79"/>
  <c r="B114" i="71"/>
  <c r="B106" i="82"/>
  <c r="B105" i="84"/>
  <c r="B107" i="76"/>
  <c r="B115" i="69"/>
  <c r="B109" i="62"/>
  <c r="B112" i="73"/>
  <c r="B113" i="3"/>
  <c r="B110" i="58"/>
  <c r="B104" i="93"/>
  <c r="B110" i="72"/>
  <c r="B113" i="22"/>
  <c r="B109" i="63"/>
  <c r="B109" i="59"/>
  <c r="B112" i="74"/>
  <c r="B106" i="86"/>
  <c r="B108" i="66"/>
  <c r="B105" i="92"/>
  <c r="B103" i="99"/>
  <c r="B105" i="89"/>
  <c r="B114" i="31"/>
  <c r="B108" i="68" l="1"/>
  <c r="J111" i="73"/>
  <c r="J103" i="95"/>
  <c r="J109" i="53"/>
  <c r="J106" i="79"/>
  <c r="J105" i="83"/>
  <c r="J102" i="99"/>
  <c r="B115" i="29"/>
  <c r="B113" i="20"/>
  <c r="J108" i="60"/>
  <c r="J104" i="91"/>
  <c r="B109" i="64"/>
  <c r="J111" i="43"/>
  <c r="J106" i="75"/>
  <c r="J112" i="21"/>
  <c r="J111" i="74"/>
  <c r="J108" i="63"/>
  <c r="J109" i="57"/>
  <c r="J112" i="22"/>
  <c r="J109" i="46"/>
  <c r="J109" i="58"/>
  <c r="J114" i="69"/>
  <c r="J113" i="32"/>
  <c r="J108" i="61"/>
  <c r="J105" i="86"/>
  <c r="J113" i="71"/>
  <c r="J107" i="67"/>
  <c r="J107" i="65"/>
  <c r="J113" i="24"/>
  <c r="J104" i="90"/>
  <c r="J107" i="66"/>
  <c r="J104" i="84"/>
  <c r="J111" i="41"/>
  <c r="J115" i="28"/>
  <c r="J111" i="42"/>
  <c r="J112" i="18"/>
  <c r="J113" i="31"/>
  <c r="J104" i="92"/>
  <c r="J103" i="93"/>
  <c r="J112" i="17"/>
  <c r="B113" i="19"/>
  <c r="J102" i="97"/>
  <c r="J110" i="45"/>
  <c r="J104" i="89"/>
  <c r="J109" i="55"/>
  <c r="B115" i="27"/>
  <c r="J105" i="81"/>
  <c r="J106" i="78"/>
  <c r="J105" i="85"/>
  <c r="B112" i="39"/>
  <c r="J105" i="80"/>
  <c r="J111" i="44"/>
  <c r="J104" i="88"/>
  <c r="J113" i="23"/>
  <c r="J108" i="62"/>
  <c r="J108" i="59"/>
  <c r="J102" i="98"/>
  <c r="J109" i="72"/>
  <c r="J112" i="3"/>
  <c r="J106" i="76"/>
  <c r="J105" i="82"/>
  <c r="J109" i="54"/>
  <c r="J109" i="56"/>
  <c r="J104" i="94"/>
  <c r="J106" i="77"/>
  <c r="J104" i="87"/>
  <c r="J114" i="70"/>
  <c r="J103" i="96"/>
  <c r="J114" i="30"/>
  <c r="J114" i="27" l="1"/>
  <c r="J112" i="20"/>
  <c r="J111" i="39"/>
  <c r="J112" i="19"/>
  <c r="J114" i="29"/>
  <c r="J108" i="64"/>
  <c r="J107" i="68"/>
  <c r="J113" i="34" l="1"/>
  <c r="D111" i="57" l="1"/>
  <c r="D107" i="86"/>
  <c r="D110" i="60"/>
  <c r="D104" i="99"/>
  <c r="D113" i="43"/>
  <c r="D117" i="28"/>
  <c r="D106" i="84"/>
  <c r="D104" i="97"/>
  <c r="D116" i="69"/>
  <c r="D113" i="74"/>
  <c r="D107" i="82"/>
  <c r="D111" i="53"/>
  <c r="D106" i="90"/>
  <c r="D108" i="79"/>
  <c r="D109" i="67"/>
  <c r="D106" i="94"/>
  <c r="D116" i="70"/>
  <c r="D107" i="85"/>
  <c r="D105" i="95"/>
  <c r="D107" i="83"/>
  <c r="D114" i="22"/>
  <c r="D114" i="20"/>
  <c r="D109" i="65"/>
  <c r="D111" i="72"/>
  <c r="D115" i="24"/>
  <c r="D114" i="18"/>
  <c r="D108" i="78"/>
  <c r="D113" i="73"/>
  <c r="D114" i="21"/>
  <c r="D115" i="32"/>
  <c r="D116" i="27"/>
  <c r="D107" i="81"/>
  <c r="D110" i="64"/>
  <c r="D115" i="71"/>
  <c r="D111" i="46"/>
  <c r="D106" i="91"/>
  <c r="D113" i="44"/>
  <c r="D106" i="92"/>
  <c r="D106" i="88"/>
  <c r="D114" i="17"/>
  <c r="D110" i="59"/>
  <c r="D105" i="93"/>
  <c r="D110" i="61"/>
  <c r="D111" i="55"/>
  <c r="D115" i="23"/>
  <c r="B115" i="23" s="1"/>
  <c r="D105" i="96"/>
  <c r="D109" i="68"/>
  <c r="D110" i="63"/>
  <c r="D116" i="30"/>
  <c r="D115" i="31"/>
  <c r="D106" i="87"/>
  <c r="D113" i="39"/>
  <c r="D107" i="80"/>
  <c r="D111" i="54"/>
  <c r="D104" i="98"/>
  <c r="D109" i="66"/>
  <c r="D106" i="89"/>
  <c r="D116" i="29"/>
  <c r="D111" i="56"/>
  <c r="D108" i="75"/>
  <c r="D113" i="42"/>
  <c r="D114" i="3"/>
  <c r="B113" i="44" l="1"/>
  <c r="D113" i="41"/>
  <c r="B107" i="83"/>
  <c r="B116" i="70"/>
  <c r="B111" i="53"/>
  <c r="B116" i="69"/>
  <c r="B117" i="28"/>
  <c r="B115" i="31"/>
  <c r="B110" i="61"/>
  <c r="B114" i="21"/>
  <c r="B104" i="98"/>
  <c r="B114" i="20"/>
  <c r="B107" i="82"/>
  <c r="B114" i="17"/>
  <c r="B116" i="27"/>
  <c r="B105" i="95"/>
  <c r="B104" i="97"/>
  <c r="B113" i="43"/>
  <c r="B107" i="86"/>
  <c r="B104" i="99"/>
  <c r="B113" i="42"/>
  <c r="B109" i="68"/>
  <c r="B113" i="39"/>
  <c r="B116" i="30"/>
  <c r="B111" i="55"/>
  <c r="B105" i="93"/>
  <c r="B106" i="91"/>
  <c r="D110" i="62"/>
  <c r="B108" i="78"/>
  <c r="B111" i="72"/>
  <c r="B106" i="94"/>
  <c r="D108" i="77"/>
  <c r="B108" i="79"/>
  <c r="B116" i="29"/>
  <c r="B108" i="75"/>
  <c r="B106" i="89"/>
  <c r="D114" i="19"/>
  <c r="B106" i="88"/>
  <c r="B110" i="64"/>
  <c r="B115" i="32"/>
  <c r="B114" i="18"/>
  <c r="B114" i="22"/>
  <c r="B106" i="90"/>
  <c r="B113" i="74"/>
  <c r="B111" i="57"/>
  <c r="B106" i="92"/>
  <c r="D112" i="45"/>
  <c r="B106" i="84"/>
  <c r="D108" i="76"/>
  <c r="B109" i="66"/>
  <c r="B107" i="80"/>
  <c r="B115" i="71"/>
  <c r="B115" i="24"/>
  <c r="B114" i="3"/>
  <c r="B106" i="87"/>
  <c r="B105" i="96"/>
  <c r="B110" i="59"/>
  <c r="B111" i="56"/>
  <c r="B111" i="54"/>
  <c r="B110" i="63"/>
  <c r="D111" i="58"/>
  <c r="B111" i="46"/>
  <c r="B107" i="81"/>
  <c r="B113" i="73"/>
  <c r="B109" i="65"/>
  <c r="B107" i="85"/>
  <c r="B109" i="67"/>
  <c r="B114" i="34"/>
  <c r="B110" i="60"/>
  <c r="B111" i="58" l="1"/>
  <c r="B114" i="19"/>
  <c r="J112" i="43"/>
  <c r="J109" i="64"/>
  <c r="J107" i="75"/>
  <c r="J104" i="93"/>
  <c r="J109" i="60"/>
  <c r="J108" i="67"/>
  <c r="J110" i="54"/>
  <c r="J105" i="92"/>
  <c r="B108" i="76"/>
  <c r="B112" i="45"/>
  <c r="J104" i="96"/>
  <c r="J112" i="74"/>
  <c r="J112" i="44"/>
  <c r="J114" i="24"/>
  <c r="J103" i="99"/>
  <c r="J106" i="86"/>
  <c r="J113" i="17"/>
  <c r="B113" i="41"/>
  <c r="J115" i="69"/>
  <c r="J106" i="85"/>
  <c r="J105" i="94"/>
  <c r="J110" i="55"/>
  <c r="J103" i="97"/>
  <c r="J108" i="68"/>
  <c r="J115" i="29"/>
  <c r="J112" i="73"/>
  <c r="J109" i="61"/>
  <c r="B108" i="77"/>
  <c r="J105" i="91"/>
  <c r="J107" i="78"/>
  <c r="J110" i="53"/>
  <c r="J109" i="59"/>
  <c r="J105" i="87"/>
  <c r="J106" i="82"/>
  <c r="J113" i="22"/>
  <c r="J114" i="32"/>
  <c r="J115" i="70"/>
  <c r="J115" i="30"/>
  <c r="J105" i="90"/>
  <c r="J110" i="46"/>
  <c r="B110" i="62"/>
  <c r="J105" i="88"/>
  <c r="J103" i="98"/>
  <c r="J112" i="42"/>
  <c r="J115" i="27"/>
  <c r="J114" i="31"/>
  <c r="J116" i="28"/>
  <c r="J113" i="21"/>
  <c r="J113" i="18"/>
  <c r="J112" i="39"/>
  <c r="J105" i="89"/>
  <c r="J110" i="56"/>
  <c r="J114" i="71"/>
  <c r="J106" i="80"/>
  <c r="J109" i="63"/>
  <c r="J114" i="23"/>
  <c r="J108" i="66"/>
  <c r="J110" i="57"/>
  <c r="J105" i="84"/>
  <c r="J110" i="72"/>
  <c r="J113" i="3"/>
  <c r="J104" i="95"/>
  <c r="J113" i="20"/>
  <c r="J107" i="79"/>
  <c r="J106" i="83"/>
  <c r="J108" i="65"/>
  <c r="J106" i="81"/>
  <c r="J113" i="19" l="1"/>
  <c r="J112" i="41"/>
  <c r="J107" i="76"/>
  <c r="J107" i="77"/>
  <c r="J110" i="58"/>
  <c r="J109" i="62"/>
  <c r="J111" i="45"/>
  <c r="J114" i="34" l="1"/>
  <c r="N88" i="13" l="1"/>
  <c r="N89" i="13" l="1"/>
  <c r="F86" i="2" l="1"/>
  <c r="F87" i="2"/>
  <c r="F88" i="2" s="1"/>
  <c r="F89" i="2" s="1"/>
  <c r="F91" i="2" s="1"/>
  <c r="F92" i="2" s="1"/>
  <c r="F93" i="2" s="1"/>
  <c r="D95" i="99" l="1"/>
  <c r="J96" i="99" s="1"/>
  <c r="D95" i="25"/>
  <c r="D95" i="95"/>
  <c r="J96" i="95" s="1"/>
  <c r="D95" i="63"/>
  <c r="J96" i="63" s="1"/>
  <c r="D95" i="66"/>
  <c r="J96" i="66" s="1"/>
  <c r="D95" i="67"/>
  <c r="J96" i="67" s="1"/>
  <c r="D95" i="80"/>
  <c r="J96" i="80" s="1"/>
  <c r="D95" i="91"/>
  <c r="J96" i="91" s="1"/>
  <c r="D95" i="65"/>
  <c r="J96" i="65" s="1"/>
  <c r="D95" i="28"/>
  <c r="J96" i="28" s="1"/>
  <c r="D95" i="76"/>
  <c r="J96" i="76" s="1"/>
  <c r="D95" i="19"/>
  <c r="J96" i="19" s="1"/>
  <c r="D95" i="68"/>
  <c r="J96" i="68" s="1"/>
  <c r="D95" i="54"/>
  <c r="J96" i="54" s="1"/>
  <c r="D95" i="101"/>
  <c r="J96" i="101" s="1"/>
  <c r="D95" i="35"/>
  <c r="D95" i="98"/>
  <c r="J96" i="98" s="1"/>
  <c r="D95" i="26"/>
  <c r="D95" i="84"/>
  <c r="J96" i="84" s="1"/>
  <c r="D95" i="82"/>
  <c r="J96" i="82" s="1"/>
  <c r="D95" i="17"/>
  <c r="J96" i="17" s="1"/>
  <c r="D95" i="88"/>
  <c r="J96" i="88" s="1"/>
  <c r="D95" i="94"/>
  <c r="J96" i="94" s="1"/>
  <c r="D95" i="69"/>
  <c r="J96" i="69" s="1"/>
  <c r="D95" i="93"/>
  <c r="J96" i="93" s="1"/>
  <c r="D95" i="55"/>
  <c r="J96" i="55" s="1"/>
  <c r="D95" i="62"/>
  <c r="J96" i="62" s="1"/>
  <c r="D95" i="57"/>
  <c r="J96" i="57" s="1"/>
  <c r="D95" i="45"/>
  <c r="J96" i="45" s="1"/>
  <c r="D95" i="102"/>
  <c r="J96" i="102" s="1"/>
  <c r="D95" i="42"/>
  <c r="J96" i="42" s="1"/>
  <c r="D95" i="71"/>
  <c r="J96" i="71" s="1"/>
  <c r="D95" i="56"/>
  <c r="J96" i="56" s="1"/>
  <c r="D95" i="22"/>
  <c r="J96" i="22" s="1"/>
  <c r="D95" i="96"/>
  <c r="J96" i="96" s="1"/>
  <c r="D95" i="39"/>
  <c r="J96" i="39" s="1"/>
  <c r="D95" i="92"/>
  <c r="J96" i="92" s="1"/>
  <c r="D95" i="34"/>
  <c r="J96" i="34" s="1"/>
  <c r="D95" i="79"/>
  <c r="J96" i="79" s="1"/>
  <c r="D95" i="100"/>
  <c r="D95" i="24"/>
  <c r="J96" i="24" s="1"/>
  <c r="D95" i="29"/>
  <c r="J96" i="29" s="1"/>
  <c r="D95" i="41"/>
  <c r="J96" i="41" s="1"/>
  <c r="D95" i="85"/>
  <c r="J96" i="85" s="1"/>
  <c r="D95" i="23"/>
  <c r="J96" i="23" s="1"/>
  <c r="D95" i="59"/>
  <c r="J96" i="59" s="1"/>
  <c r="D95" i="46"/>
  <c r="J96" i="46" s="1"/>
  <c r="D95" i="60"/>
  <c r="J96" i="60" s="1"/>
  <c r="D95" i="97"/>
  <c r="J96" i="97" s="1"/>
  <c r="D95" i="86"/>
  <c r="J96" i="86" s="1"/>
  <c r="D95" i="72"/>
  <c r="J96" i="72" s="1"/>
  <c r="D95" i="83"/>
  <c r="J96" i="83" s="1"/>
  <c r="D95" i="53"/>
  <c r="J96" i="53" s="1"/>
  <c r="D95" i="44"/>
  <c r="J96" i="44" s="1"/>
  <c r="D95" i="18"/>
  <c r="J96" i="18" s="1"/>
  <c r="D95" i="75"/>
  <c r="J96" i="75" s="1"/>
  <c r="D95" i="89"/>
  <c r="J96" i="89" s="1"/>
  <c r="D95" i="90"/>
  <c r="J96" i="90" s="1"/>
  <c r="D95" i="81"/>
  <c r="J96" i="81" s="1"/>
  <c r="D95" i="61"/>
  <c r="J96" i="61" s="1"/>
  <c r="D95" i="87"/>
  <c r="J96" i="87" s="1"/>
  <c r="D95" i="64"/>
  <c r="J96" i="64" s="1"/>
  <c r="D95" i="77"/>
  <c r="J96" i="77" s="1"/>
  <c r="D95" i="43"/>
  <c r="J96" i="43" s="1"/>
  <c r="D95" i="31"/>
  <c r="J96" i="31" s="1"/>
  <c r="D95" i="58"/>
  <c r="J96" i="58" s="1"/>
  <c r="D95" i="3"/>
  <c r="J96" i="3" s="1"/>
  <c r="D95" i="27"/>
  <c r="J96" i="27" s="1"/>
  <c r="D95" i="73"/>
  <c r="J96" i="73" s="1"/>
  <c r="D95" i="70"/>
  <c r="J96" i="70" s="1"/>
  <c r="D95" i="30"/>
  <c r="J96" i="30" s="1"/>
  <c r="D95" i="32"/>
  <c r="J96" i="32" s="1"/>
  <c r="D95" i="20"/>
  <c r="J96" i="20" s="1"/>
  <c r="D95" i="13"/>
  <c r="J96" i="13" s="1"/>
  <c r="D95" i="33"/>
  <c r="D95" i="21"/>
  <c r="J96" i="21" s="1"/>
  <c r="D95" i="74"/>
  <c r="J96" i="74" s="1"/>
  <c r="D95" i="78"/>
  <c r="J96" i="78" s="1"/>
  <c r="E111" i="46" l="1"/>
  <c r="F111" i="46" s="1"/>
  <c r="E112" i="46" s="1"/>
  <c r="E108" i="78"/>
  <c r="F108" i="78" s="1"/>
  <c r="E109" i="78" s="1"/>
  <c r="E106" i="88"/>
  <c r="F106" i="88" s="1"/>
  <c r="E107" i="88" s="1"/>
  <c r="E115" i="32"/>
  <c r="F115" i="32" s="1"/>
  <c r="E116" i="32" s="1"/>
  <c r="E113" i="43"/>
  <c r="F113" i="43" s="1"/>
  <c r="E114" i="43" s="1"/>
  <c r="E108" i="75"/>
  <c r="F108" i="75" s="1"/>
  <c r="E109" i="75" s="1"/>
  <c r="E110" i="60"/>
  <c r="E115" i="71"/>
  <c r="F115" i="71" s="1"/>
  <c r="E116" i="69"/>
  <c r="F116" i="69" s="1"/>
  <c r="E117" i="69" s="1"/>
  <c r="E106" i="91"/>
  <c r="F106" i="91" s="1"/>
  <c r="E107" i="91" s="1"/>
  <c r="E113" i="42"/>
  <c r="F113" i="42" s="1"/>
  <c r="E114" i="42" s="1"/>
  <c r="E110" i="59"/>
  <c r="F110" i="59" s="1"/>
  <c r="E111" i="59" s="1"/>
  <c r="E111" i="54"/>
  <c r="F111" i="54" s="1"/>
  <c r="E109" i="67"/>
  <c r="F109" i="67" s="1"/>
  <c r="E110" i="67" s="1"/>
  <c r="E106" i="94"/>
  <c r="F106" i="94" s="1"/>
  <c r="E107" i="94" s="1"/>
  <c r="E110" i="64"/>
  <c r="F110" i="64" s="1"/>
  <c r="E113" i="73"/>
  <c r="F113" i="73" s="1"/>
  <c r="E114" i="73" s="1"/>
  <c r="E106" i="87"/>
  <c r="F106" i="87" s="1"/>
  <c r="E107" i="87" s="1"/>
  <c r="E111" i="53"/>
  <c r="F111" i="53" s="1"/>
  <c r="E115" i="23"/>
  <c r="E106" i="92"/>
  <c r="F106" i="92" s="1"/>
  <c r="E107" i="92" s="1"/>
  <c r="E112" i="45"/>
  <c r="F112" i="45" s="1"/>
  <c r="E113" i="45" s="1"/>
  <c r="E114" i="17"/>
  <c r="F114" i="17" s="1"/>
  <c r="E115" i="17" s="1"/>
  <c r="E109" i="68"/>
  <c r="F109" i="68" s="1"/>
  <c r="E110" i="68" s="1"/>
  <c r="E109" i="66"/>
  <c r="F109" i="66" s="1"/>
  <c r="E110" i="66" s="1"/>
  <c r="E108" i="77"/>
  <c r="F108" i="77" s="1"/>
  <c r="E109" i="77" s="1"/>
  <c r="E107" i="80"/>
  <c r="F107" i="80" s="1"/>
  <c r="E108" i="80" s="1"/>
  <c r="E100" i="102"/>
  <c r="F100" i="102" s="1"/>
  <c r="E114" i="21"/>
  <c r="F114" i="21" s="1"/>
  <c r="E115" i="21" s="1"/>
  <c r="E116" i="27"/>
  <c r="F116" i="27" s="1"/>
  <c r="E117" i="27" s="1"/>
  <c r="E110" i="61"/>
  <c r="E107" i="83"/>
  <c r="F107" i="83" s="1"/>
  <c r="E107" i="85"/>
  <c r="F107" i="85" s="1"/>
  <c r="E113" i="39"/>
  <c r="F113" i="39" s="1"/>
  <c r="E114" i="39" s="1"/>
  <c r="E111" i="57"/>
  <c r="F111" i="57" s="1"/>
  <c r="E112" i="57" s="1"/>
  <c r="E107" i="82"/>
  <c r="F107" i="82" s="1"/>
  <c r="E108" i="82" s="1"/>
  <c r="E114" i="19"/>
  <c r="F114" i="19" s="1"/>
  <c r="E115" i="19" s="1"/>
  <c r="E110" i="63"/>
  <c r="F110" i="63" s="1"/>
  <c r="E111" i="63" s="1"/>
  <c r="E116" i="30"/>
  <c r="F116" i="30" s="1"/>
  <c r="E107" i="101"/>
  <c r="F107" i="101" s="1"/>
  <c r="E113" i="44"/>
  <c r="F113" i="44" s="1"/>
  <c r="E113" i="74"/>
  <c r="F113" i="74" s="1"/>
  <c r="E114" i="3"/>
  <c r="F114" i="3" s="1"/>
  <c r="E115" i="3" s="1"/>
  <c r="E107" i="81"/>
  <c r="F107" i="81" s="1"/>
  <c r="E108" i="81" s="1"/>
  <c r="E111" i="72"/>
  <c r="F111" i="72" s="1"/>
  <c r="E112" i="72" s="1"/>
  <c r="E113" i="41"/>
  <c r="F113" i="41" s="1"/>
  <c r="E114" i="41" s="1"/>
  <c r="E105" i="96"/>
  <c r="F105" i="96" s="1"/>
  <c r="E110" i="62"/>
  <c r="F110" i="62" s="1"/>
  <c r="E111" i="62" s="1"/>
  <c r="E106" i="84"/>
  <c r="F106" i="84" s="1"/>
  <c r="E107" i="84" s="1"/>
  <c r="E108" i="76"/>
  <c r="F108" i="76" s="1"/>
  <c r="E109" i="76" s="1"/>
  <c r="E105" i="95"/>
  <c r="E108" i="79"/>
  <c r="F108" i="79" s="1"/>
  <c r="E116" i="70"/>
  <c r="F116" i="70" s="1"/>
  <c r="E117" i="70" s="1"/>
  <c r="E100" i="13"/>
  <c r="F100" i="13" s="1"/>
  <c r="E101" i="13" s="1"/>
  <c r="E111" i="58"/>
  <c r="F111" i="58" s="1"/>
  <c r="E112" i="58" s="1"/>
  <c r="E106" i="90"/>
  <c r="F106" i="90" s="1"/>
  <c r="E107" i="86"/>
  <c r="F107" i="86" s="1"/>
  <c r="E108" i="86" s="1"/>
  <c r="E116" i="29"/>
  <c r="F116" i="29" s="1"/>
  <c r="E117" i="29" s="1"/>
  <c r="E114" i="22"/>
  <c r="F114" i="22" s="1"/>
  <c r="E115" i="22" s="1"/>
  <c r="E111" i="55"/>
  <c r="F111" i="55" s="1"/>
  <c r="E112" i="55" s="1"/>
  <c r="E117" i="28"/>
  <c r="F117" i="28" s="1"/>
  <c r="E114" i="18"/>
  <c r="E104" i="34"/>
  <c r="E115" i="34"/>
  <c r="E114" i="20"/>
  <c r="E115" i="31"/>
  <c r="E106" i="89"/>
  <c r="F106" i="89" s="1"/>
  <c r="E104" i="97"/>
  <c r="F104" i="97" s="1"/>
  <c r="E115" i="24"/>
  <c r="F115" i="24" s="1"/>
  <c r="E111" i="56"/>
  <c r="F111" i="56" s="1"/>
  <c r="E112" i="56" s="1"/>
  <c r="E105" i="93"/>
  <c r="E104" i="98"/>
  <c r="F104" i="98" s="1"/>
  <c r="E105" i="98" s="1"/>
  <c r="E109" i="65"/>
  <c r="F109" i="65" s="1"/>
  <c r="E110" i="65" s="1"/>
  <c r="E104" i="99"/>
  <c r="D107" i="89" l="1"/>
  <c r="G106" i="89"/>
  <c r="E107" i="89"/>
  <c r="F105" i="93"/>
  <c r="F104" i="99"/>
  <c r="G117" i="28"/>
  <c r="D118" i="28"/>
  <c r="E118" i="28"/>
  <c r="F115" i="31"/>
  <c r="D112" i="56"/>
  <c r="G111" i="56"/>
  <c r="G115" i="24"/>
  <c r="D116" i="24"/>
  <c r="E116" i="24"/>
  <c r="G104" i="98"/>
  <c r="D105" i="98"/>
  <c r="D110" i="65"/>
  <c r="G109" i="65"/>
  <c r="G104" i="97"/>
  <c r="D105" i="97"/>
  <c r="D107" i="90"/>
  <c r="G106" i="90"/>
  <c r="F114" i="20"/>
  <c r="F104" i="34"/>
  <c r="D115" i="34"/>
  <c r="D117" i="70"/>
  <c r="G116" i="70"/>
  <c r="F114" i="18"/>
  <c r="G116" i="29"/>
  <c r="D117" i="29"/>
  <c r="D117" i="30"/>
  <c r="G116" i="30"/>
  <c r="E117" i="30"/>
  <c r="D112" i="55"/>
  <c r="G111" i="55"/>
  <c r="D112" i="58"/>
  <c r="G111" i="58"/>
  <c r="D115" i="22"/>
  <c r="G114" i="22"/>
  <c r="D109" i="79"/>
  <c r="G108" i="79"/>
  <c r="E109" i="79"/>
  <c r="G113" i="74"/>
  <c r="D114" i="74"/>
  <c r="E114" i="74"/>
  <c r="G105" i="96"/>
  <c r="D106" i="96"/>
  <c r="E106" i="96"/>
  <c r="E105" i="97"/>
  <c r="G107" i="86"/>
  <c r="D108" i="86"/>
  <c r="E107" i="90"/>
  <c r="D111" i="62"/>
  <c r="G110" i="62"/>
  <c r="E108" i="101"/>
  <c r="G107" i="101"/>
  <c r="D108" i="101"/>
  <c r="D109" i="76"/>
  <c r="G108" i="76"/>
  <c r="G113" i="41"/>
  <c r="D114" i="41"/>
  <c r="F105" i="95"/>
  <c r="G106" i="84"/>
  <c r="D107" i="84"/>
  <c r="G107" i="83"/>
  <c r="D108" i="83"/>
  <c r="E108" i="83"/>
  <c r="D101" i="13"/>
  <c r="G100" i="13"/>
  <c r="G107" i="81"/>
  <c r="D108" i="81"/>
  <c r="G114" i="3"/>
  <c r="D115" i="3"/>
  <c r="D114" i="39"/>
  <c r="G113" i="39"/>
  <c r="D112" i="72"/>
  <c r="G111" i="72"/>
  <c r="D114" i="44"/>
  <c r="G113" i="44"/>
  <c r="E114" i="44"/>
  <c r="G107" i="85"/>
  <c r="D108" i="85"/>
  <c r="E108" i="85"/>
  <c r="G114" i="21"/>
  <c r="D115" i="21"/>
  <c r="D111" i="63"/>
  <c r="G110" i="63"/>
  <c r="D108" i="82"/>
  <c r="G107" i="82"/>
  <c r="D117" i="27"/>
  <c r="G116" i="27"/>
  <c r="D115" i="19"/>
  <c r="G114" i="19"/>
  <c r="F110" i="61"/>
  <c r="D112" i="57"/>
  <c r="G111" i="57"/>
  <c r="G111" i="53"/>
  <c r="D112" i="53"/>
  <c r="E112" i="53"/>
  <c r="G109" i="66"/>
  <c r="D110" i="66"/>
  <c r="D113" i="45"/>
  <c r="G112" i="45"/>
  <c r="G106" i="92"/>
  <c r="D107" i="92"/>
  <c r="G106" i="87"/>
  <c r="D107" i="87"/>
  <c r="G108" i="77"/>
  <c r="D109" i="77"/>
  <c r="D114" i="73"/>
  <c r="G113" i="73"/>
  <c r="E101" i="102"/>
  <c r="D101" i="102"/>
  <c r="G100" i="102"/>
  <c r="G107" i="80"/>
  <c r="D108" i="80"/>
  <c r="G109" i="68"/>
  <c r="D110" i="68"/>
  <c r="G114" i="17"/>
  <c r="D115" i="17"/>
  <c r="G111" i="54"/>
  <c r="D112" i="54"/>
  <c r="E112" i="54"/>
  <c r="F115" i="23"/>
  <c r="D111" i="64"/>
  <c r="G110" i="64"/>
  <c r="E111" i="64"/>
  <c r="D116" i="71"/>
  <c r="G115" i="71"/>
  <c r="E116" i="71"/>
  <c r="G109" i="67"/>
  <c r="D110" i="67"/>
  <c r="D111" i="59"/>
  <c r="G110" i="59"/>
  <c r="G116" i="69"/>
  <c r="D117" i="69"/>
  <c r="D114" i="42"/>
  <c r="G113" i="42"/>
  <c r="D107" i="94"/>
  <c r="G106" i="94"/>
  <c r="G106" i="91"/>
  <c r="D107" i="91"/>
  <c r="G108" i="75"/>
  <c r="D109" i="75"/>
  <c r="G108" i="78"/>
  <c r="D109" i="78"/>
  <c r="D116" i="32"/>
  <c r="G115" i="32"/>
  <c r="G106" i="88"/>
  <c r="D107" i="88"/>
  <c r="F110" i="60"/>
  <c r="D114" i="43"/>
  <c r="G113" i="43"/>
  <c r="D112" i="46"/>
  <c r="G111" i="46"/>
  <c r="F109" i="75" l="1"/>
  <c r="B109" i="75"/>
  <c r="F117" i="69"/>
  <c r="B117" i="69"/>
  <c r="B116" i="71"/>
  <c r="F116" i="71"/>
  <c r="H111" i="54"/>
  <c r="M88" i="54" s="1"/>
  <c r="M89" i="54" s="1"/>
  <c r="I111" i="54"/>
  <c r="F101" i="102"/>
  <c r="B101" i="102"/>
  <c r="F107" i="92"/>
  <c r="B107" i="92"/>
  <c r="H111" i="53"/>
  <c r="M88" i="53" s="1"/>
  <c r="M89" i="53" s="1"/>
  <c r="I111" i="53"/>
  <c r="B117" i="27"/>
  <c r="F117" i="27"/>
  <c r="B108" i="85"/>
  <c r="F108" i="85"/>
  <c r="F114" i="39"/>
  <c r="B114" i="39"/>
  <c r="B108" i="83"/>
  <c r="F108" i="83"/>
  <c r="I108" i="76"/>
  <c r="H108" i="76"/>
  <c r="M88" i="76" s="1"/>
  <c r="M89" i="76" s="1"/>
  <c r="B108" i="86"/>
  <c r="F108" i="86"/>
  <c r="I113" i="74"/>
  <c r="H113" i="74"/>
  <c r="I111" i="55"/>
  <c r="H111" i="55"/>
  <c r="M88" i="55" s="1"/>
  <c r="M89" i="55" s="1"/>
  <c r="G114" i="18"/>
  <c r="D115" i="18"/>
  <c r="E115" i="18"/>
  <c r="B107" i="90"/>
  <c r="F107" i="90"/>
  <c r="F116" i="24"/>
  <c r="B116" i="24"/>
  <c r="H117" i="28"/>
  <c r="M88" i="28" s="1"/>
  <c r="M89" i="28" s="1"/>
  <c r="I117" i="28"/>
  <c r="H107" i="82"/>
  <c r="M88" i="82" s="1"/>
  <c r="M89" i="82" s="1"/>
  <c r="I107" i="82"/>
  <c r="I107" i="83"/>
  <c r="H107" i="83"/>
  <c r="M88" i="83" s="1"/>
  <c r="M89" i="83" s="1"/>
  <c r="I115" i="24"/>
  <c r="H115" i="24"/>
  <c r="M88" i="24" s="1"/>
  <c r="M89" i="24" s="1"/>
  <c r="B107" i="88"/>
  <c r="F107" i="88"/>
  <c r="F107" i="91"/>
  <c r="B107" i="91"/>
  <c r="H110" i="59"/>
  <c r="M88" i="59" s="1"/>
  <c r="M89" i="59" s="1"/>
  <c r="I110" i="59"/>
  <c r="H110" i="64"/>
  <c r="I110" i="64"/>
  <c r="H114" i="17"/>
  <c r="I114" i="17"/>
  <c r="I113" i="73"/>
  <c r="H113" i="73"/>
  <c r="M88" i="73" s="1"/>
  <c r="M89" i="73" s="1"/>
  <c r="H112" i="45"/>
  <c r="M88" i="45" s="1"/>
  <c r="M89" i="45" s="1"/>
  <c r="I112" i="45"/>
  <c r="B112" i="57"/>
  <c r="F112" i="57"/>
  <c r="F108" i="82"/>
  <c r="B108" i="82"/>
  <c r="H114" i="3"/>
  <c r="M88" i="3" s="1"/>
  <c r="I114" i="3"/>
  <c r="B107" i="84"/>
  <c r="F107" i="84"/>
  <c r="F108" i="101"/>
  <c r="B108" i="101"/>
  <c r="H108" i="79"/>
  <c r="M88" i="79" s="1"/>
  <c r="M89" i="79" s="1"/>
  <c r="I108" i="79"/>
  <c r="B117" i="70"/>
  <c r="F117" i="70"/>
  <c r="H104" i="97"/>
  <c r="M88" i="97" s="1"/>
  <c r="M89" i="97" s="1"/>
  <c r="I104" i="97"/>
  <c r="I111" i="56"/>
  <c r="H111" i="56"/>
  <c r="M88" i="56" s="1"/>
  <c r="M89" i="56" s="1"/>
  <c r="G104" i="99"/>
  <c r="D105" i="99"/>
  <c r="E105" i="99"/>
  <c r="I108" i="75"/>
  <c r="H108" i="75"/>
  <c r="M88" i="75" s="1"/>
  <c r="M89" i="75" s="1"/>
  <c r="F115" i="3"/>
  <c r="B115" i="3"/>
  <c r="H106" i="88"/>
  <c r="M88" i="88" s="1"/>
  <c r="M89" i="88" s="1"/>
  <c r="I106" i="88"/>
  <c r="I106" i="91"/>
  <c r="H106" i="91"/>
  <c r="M88" i="91" s="1"/>
  <c r="M89" i="91" s="1"/>
  <c r="F111" i="59"/>
  <c r="B111" i="59"/>
  <c r="F111" i="64"/>
  <c r="B111" i="64"/>
  <c r="F110" i="68"/>
  <c r="B110" i="68"/>
  <c r="F114" i="73"/>
  <c r="B114" i="73"/>
  <c r="B113" i="45"/>
  <c r="F113" i="45"/>
  <c r="H110" i="63"/>
  <c r="M88" i="63" s="1"/>
  <c r="M89" i="63" s="1"/>
  <c r="I110" i="63"/>
  <c r="H113" i="44"/>
  <c r="M88" i="44" s="1"/>
  <c r="M89" i="44" s="1"/>
  <c r="I113" i="44"/>
  <c r="F108" i="81"/>
  <c r="B108" i="81"/>
  <c r="H106" i="84"/>
  <c r="M88" i="84" s="1"/>
  <c r="M89" i="84" s="1"/>
  <c r="I106" i="84"/>
  <c r="I107" i="101"/>
  <c r="H107" i="101"/>
  <c r="M88" i="101" s="1"/>
  <c r="M89" i="101" s="1"/>
  <c r="B109" i="79"/>
  <c r="F109" i="79"/>
  <c r="H116" i="30"/>
  <c r="M88" i="30" s="1"/>
  <c r="M89" i="30" s="1"/>
  <c r="I116" i="30"/>
  <c r="B115" i="34"/>
  <c r="F115" i="34"/>
  <c r="H109" i="65"/>
  <c r="I109" i="65"/>
  <c r="F112" i="56"/>
  <c r="B112" i="56"/>
  <c r="H107" i="86"/>
  <c r="M88" i="86" s="1"/>
  <c r="M89" i="86" s="1"/>
  <c r="I107" i="86"/>
  <c r="H116" i="70"/>
  <c r="M88" i="70" s="1"/>
  <c r="M89" i="70" s="1"/>
  <c r="I116" i="70"/>
  <c r="I111" i="46"/>
  <c r="H111" i="46"/>
  <c r="M88" i="46" s="1"/>
  <c r="M89" i="46" s="1"/>
  <c r="H115" i="32"/>
  <c r="M88" i="32" s="1"/>
  <c r="M89" i="32" s="1"/>
  <c r="I115" i="32"/>
  <c r="I106" i="94"/>
  <c r="H106" i="94"/>
  <c r="M88" i="94" s="1"/>
  <c r="M89" i="94" s="1"/>
  <c r="B110" i="67"/>
  <c r="F110" i="67"/>
  <c r="I109" i="68"/>
  <c r="H109" i="68"/>
  <c r="M88" i="68" s="1"/>
  <c r="M89" i="68" s="1"/>
  <c r="F109" i="77"/>
  <c r="B109" i="77"/>
  <c r="B110" i="66"/>
  <c r="F110" i="66"/>
  <c r="D111" i="61"/>
  <c r="G110" i="61"/>
  <c r="E111" i="61"/>
  <c r="B111" i="63"/>
  <c r="F111" i="63"/>
  <c r="B114" i="44"/>
  <c r="F114" i="44"/>
  <c r="I107" i="81"/>
  <c r="H107" i="81"/>
  <c r="M88" i="81" s="1"/>
  <c r="M89" i="81" s="1"/>
  <c r="B106" i="96"/>
  <c r="F106" i="96"/>
  <c r="H114" i="22"/>
  <c r="M88" i="22" s="1"/>
  <c r="M89" i="22" s="1"/>
  <c r="I114" i="22"/>
  <c r="F117" i="30"/>
  <c r="B117" i="30"/>
  <c r="B105" i="34"/>
  <c r="G104" i="34"/>
  <c r="F110" i="65"/>
  <c r="B110" i="65"/>
  <c r="D106" i="93"/>
  <c r="G105" i="93"/>
  <c r="E106" i="93"/>
  <c r="D111" i="60"/>
  <c r="G110" i="60"/>
  <c r="E111" i="60"/>
  <c r="F115" i="17"/>
  <c r="B115" i="17"/>
  <c r="I111" i="57"/>
  <c r="H111" i="57"/>
  <c r="M88" i="57" s="1"/>
  <c r="M89" i="57" s="1"/>
  <c r="F112" i="55"/>
  <c r="B112" i="55"/>
  <c r="F112" i="46"/>
  <c r="B112" i="46"/>
  <c r="F116" i="32"/>
  <c r="B116" i="32"/>
  <c r="B107" i="94"/>
  <c r="F107" i="94"/>
  <c r="I109" i="67"/>
  <c r="H109" i="67"/>
  <c r="M88" i="67" s="1"/>
  <c r="M89" i="67" s="1"/>
  <c r="G115" i="23"/>
  <c r="D116" i="23"/>
  <c r="E116" i="23"/>
  <c r="B108" i="80"/>
  <c r="F108" i="80"/>
  <c r="I108" i="77"/>
  <c r="H108" i="77"/>
  <c r="M88" i="77" s="1"/>
  <c r="M89" i="77" s="1"/>
  <c r="H109" i="66"/>
  <c r="M88" i="66" s="1"/>
  <c r="M89" i="66" s="1"/>
  <c r="I109" i="66"/>
  <c r="H114" i="19"/>
  <c r="M88" i="19" s="1"/>
  <c r="M89" i="19" s="1"/>
  <c r="I114" i="19"/>
  <c r="F115" i="21"/>
  <c r="B115" i="21"/>
  <c r="H111" i="72"/>
  <c r="M88" i="72" s="1"/>
  <c r="M89" i="72" s="1"/>
  <c r="I111" i="72"/>
  <c r="H100" i="13"/>
  <c r="I100" i="13"/>
  <c r="D106" i="95"/>
  <c r="G105" i="95"/>
  <c r="E106" i="95"/>
  <c r="I110" i="62"/>
  <c r="H110" i="62"/>
  <c r="M88" i="62" s="1"/>
  <c r="M89" i="62" s="1"/>
  <c r="I105" i="96"/>
  <c r="H105" i="96"/>
  <c r="F115" i="22"/>
  <c r="B115" i="22"/>
  <c r="B117" i="29"/>
  <c r="F117" i="29"/>
  <c r="F105" i="98"/>
  <c r="B105" i="98"/>
  <c r="G115" i="31"/>
  <c r="D116" i="31"/>
  <c r="E116" i="31"/>
  <c r="H106" i="92"/>
  <c r="M88" i="92" s="1"/>
  <c r="M89" i="92" s="1"/>
  <c r="I106" i="92"/>
  <c r="F105" i="97"/>
  <c r="B105" i="97"/>
  <c r="I113" i="43"/>
  <c r="H113" i="43"/>
  <c r="M88" i="43" s="1"/>
  <c r="M89" i="43" s="1"/>
  <c r="F109" i="78"/>
  <c r="B109" i="78"/>
  <c r="I113" i="42"/>
  <c r="H113" i="42"/>
  <c r="M88" i="42" s="1"/>
  <c r="M89" i="42" s="1"/>
  <c r="I107" i="80"/>
  <c r="H107" i="80"/>
  <c r="M88" i="80" s="1"/>
  <c r="M89" i="80" s="1"/>
  <c r="F107" i="87"/>
  <c r="B107" i="87"/>
  <c r="B115" i="19"/>
  <c r="F115" i="19"/>
  <c r="H114" i="21"/>
  <c r="M88" i="21" s="1"/>
  <c r="M89" i="21" s="1"/>
  <c r="I114" i="21"/>
  <c r="F112" i="72"/>
  <c r="B112" i="72"/>
  <c r="B101" i="13"/>
  <c r="F101" i="13"/>
  <c r="F114" i="41"/>
  <c r="B114" i="41"/>
  <c r="B111" i="62"/>
  <c r="F111" i="62"/>
  <c r="I111" i="58"/>
  <c r="H111" i="58"/>
  <c r="M88" i="58" s="1"/>
  <c r="M89" i="58" s="1"/>
  <c r="I116" i="29"/>
  <c r="H116" i="29"/>
  <c r="M88" i="29" s="1"/>
  <c r="M89" i="29" s="1"/>
  <c r="G114" i="20"/>
  <c r="D115" i="20"/>
  <c r="E115" i="20"/>
  <c r="I104" i="98"/>
  <c r="H104" i="98"/>
  <c r="M88" i="98" s="1"/>
  <c r="M89" i="98" s="1"/>
  <c r="I106" i="89"/>
  <c r="H106" i="89"/>
  <c r="M88" i="89" s="1"/>
  <c r="M89" i="89" s="1"/>
  <c r="I116" i="69"/>
  <c r="H116" i="69"/>
  <c r="M88" i="69" s="1"/>
  <c r="M89" i="69" s="1"/>
  <c r="H107" i="85"/>
  <c r="M88" i="85" s="1"/>
  <c r="M89" i="85" s="1"/>
  <c r="I107" i="85"/>
  <c r="B109" i="76"/>
  <c r="F109" i="76"/>
  <c r="F114" i="43"/>
  <c r="B114" i="43"/>
  <c r="H108" i="78"/>
  <c r="I108" i="78"/>
  <c r="F114" i="42"/>
  <c r="B114" i="42"/>
  <c r="H115" i="71"/>
  <c r="M88" i="71" s="1"/>
  <c r="M89" i="71" s="1"/>
  <c r="I115" i="71"/>
  <c r="F112" i="54"/>
  <c r="B112" i="54"/>
  <c r="I100" i="102"/>
  <c r="H100" i="102"/>
  <c r="I106" i="87"/>
  <c r="H106" i="87"/>
  <c r="M88" i="87" s="1"/>
  <c r="M89" i="87" s="1"/>
  <c r="F112" i="53"/>
  <c r="B112" i="53"/>
  <c r="I116" i="27"/>
  <c r="H116" i="27"/>
  <c r="M88" i="27" s="1"/>
  <c r="M89" i="27" s="1"/>
  <c r="H113" i="39"/>
  <c r="M88" i="39" s="1"/>
  <c r="M89" i="39" s="1"/>
  <c r="I113" i="39"/>
  <c r="I113" i="41"/>
  <c r="H113" i="41"/>
  <c r="M88" i="41" s="1"/>
  <c r="M89" i="41" s="1"/>
  <c r="F114" i="74"/>
  <c r="B114" i="74"/>
  <c r="F112" i="58"/>
  <c r="B112" i="58"/>
  <c r="H106" i="90"/>
  <c r="M88" i="90" s="1"/>
  <c r="M89" i="90" s="1"/>
  <c r="I106" i="90"/>
  <c r="F118" i="28"/>
  <c r="B118" i="28"/>
  <c r="F107" i="89"/>
  <c r="B107" i="89"/>
  <c r="I79" i="36"/>
  <c r="I42" i="36"/>
  <c r="I34" i="36"/>
  <c r="I38" i="36"/>
  <c r="I68" i="36"/>
  <c r="I53" i="36"/>
  <c r="I49" i="36"/>
  <c r="I59" i="36"/>
  <c r="I21" i="36"/>
  <c r="I71" i="36"/>
  <c r="I72" i="36"/>
  <c r="I44" i="36"/>
  <c r="I67" i="36"/>
  <c r="I41" i="36"/>
  <c r="I63" i="36"/>
  <c r="I78" i="36"/>
  <c r="I39" i="36"/>
  <c r="I73" i="36"/>
  <c r="I29" i="36"/>
  <c r="I40" i="36"/>
  <c r="I86" i="36"/>
  <c r="I81" i="36"/>
  <c r="I23" i="36"/>
  <c r="I31" i="36"/>
  <c r="I82" i="36"/>
  <c r="I48" i="36"/>
  <c r="I94" i="36"/>
  <c r="I61" i="36"/>
  <c r="I30" i="36"/>
  <c r="I75" i="36"/>
  <c r="I74" i="36"/>
  <c r="I69" i="36"/>
  <c r="I54" i="36"/>
  <c r="I64" i="36"/>
  <c r="I83" i="36"/>
  <c r="I89" i="36"/>
  <c r="I32" i="36"/>
  <c r="I50" i="36"/>
  <c r="I26" i="36"/>
  <c r="I77" i="36"/>
  <c r="I47" i="36"/>
  <c r="I90" i="36"/>
  <c r="I80" i="36"/>
  <c r="I76" i="36"/>
  <c r="I45" i="36"/>
  <c r="I43" i="36"/>
  <c r="I65" i="36"/>
  <c r="I84" i="36"/>
  <c r="I51" i="36"/>
  <c r="I60" i="36"/>
  <c r="I58" i="36"/>
  <c r="I24" i="36"/>
  <c r="I62" i="36"/>
  <c r="I46" i="36"/>
  <c r="V63" i="36" l="1"/>
  <c r="V40" i="36"/>
  <c r="V77" i="36"/>
  <c r="V86" i="36"/>
  <c r="V83" i="36"/>
  <c r="V74" i="36"/>
  <c r="V68" i="36"/>
  <c r="V58" i="36"/>
  <c r="V32" i="36"/>
  <c r="V46" i="36"/>
  <c r="V82" i="36"/>
  <c r="V38" i="36"/>
  <c r="V31" i="36"/>
  <c r="V41" i="36"/>
  <c r="V69" i="36"/>
  <c r="V71" i="36"/>
  <c r="V30" i="36"/>
  <c r="V47" i="36"/>
  <c r="V59" i="36"/>
  <c r="V54" i="36"/>
  <c r="V49" i="36"/>
  <c r="V34" i="36"/>
  <c r="V42" i="36"/>
  <c r="V80" i="36"/>
  <c r="V48" i="36"/>
  <c r="V26" i="36"/>
  <c r="V45" i="36"/>
  <c r="V78" i="36"/>
  <c r="V29" i="36"/>
  <c r="V64" i="36"/>
  <c r="V50" i="36"/>
  <c r="V72" i="36"/>
  <c r="V24" i="36"/>
  <c r="V60" i="36"/>
  <c r="V44" i="36"/>
  <c r="V94" i="36"/>
  <c r="V81" i="36"/>
  <c r="V90" i="36"/>
  <c r="V53" i="36"/>
  <c r="V75" i="36"/>
  <c r="V89" i="36"/>
  <c r="V43" i="36"/>
  <c r="V51" i="36"/>
  <c r="V61" i="36"/>
  <c r="V67" i="36"/>
  <c r="V39" i="36"/>
  <c r="V79" i="36"/>
  <c r="V23" i="36"/>
  <c r="V84" i="36"/>
  <c r="V21" i="36"/>
  <c r="V73" i="36"/>
  <c r="V62" i="36"/>
  <c r="V76" i="36"/>
  <c r="V65" i="36"/>
  <c r="N88" i="19"/>
  <c r="J114" i="19"/>
  <c r="G116" i="32"/>
  <c r="D117" i="32"/>
  <c r="E117" i="32"/>
  <c r="I110" i="61"/>
  <c r="H110" i="61"/>
  <c r="M88" i="61" s="1"/>
  <c r="M89" i="61" s="1"/>
  <c r="N88" i="70"/>
  <c r="J116" i="70"/>
  <c r="G113" i="45"/>
  <c r="D114" i="45"/>
  <c r="E114" i="45"/>
  <c r="D119" i="28"/>
  <c r="G118" i="28"/>
  <c r="E119" i="28"/>
  <c r="N88" i="41"/>
  <c r="J113" i="41"/>
  <c r="N88" i="87"/>
  <c r="J106" i="87"/>
  <c r="D115" i="42"/>
  <c r="G114" i="42"/>
  <c r="E115" i="42"/>
  <c r="F115" i="20"/>
  <c r="B115" i="20"/>
  <c r="G115" i="19"/>
  <c r="D116" i="19"/>
  <c r="E116" i="19"/>
  <c r="G115" i="22"/>
  <c r="D116" i="22"/>
  <c r="E116" i="22"/>
  <c r="J100" i="13"/>
  <c r="N88" i="66"/>
  <c r="J109" i="66"/>
  <c r="H115" i="23"/>
  <c r="M88" i="23" s="1"/>
  <c r="M89" i="23" s="1"/>
  <c r="I115" i="23"/>
  <c r="G112" i="46"/>
  <c r="D113" i="46"/>
  <c r="E113" i="46"/>
  <c r="I110" i="60"/>
  <c r="H110" i="60"/>
  <c r="M88" i="60" s="1"/>
  <c r="M89" i="60" s="1"/>
  <c r="N88" i="81"/>
  <c r="J107" i="81"/>
  <c r="D111" i="66"/>
  <c r="G110" i="66"/>
  <c r="E111" i="66"/>
  <c r="N88" i="86"/>
  <c r="J107" i="86"/>
  <c r="N88" i="30"/>
  <c r="J116" i="30"/>
  <c r="M89" i="3"/>
  <c r="N88" i="73"/>
  <c r="J113" i="73"/>
  <c r="G107" i="91"/>
  <c r="D108" i="91"/>
  <c r="E108" i="91"/>
  <c r="F115" i="18"/>
  <c r="B115" i="18"/>
  <c r="D118" i="27"/>
  <c r="G117" i="27"/>
  <c r="E118" i="27"/>
  <c r="N88" i="54"/>
  <c r="J111" i="54"/>
  <c r="N88" i="90"/>
  <c r="J106" i="90"/>
  <c r="B111" i="60"/>
  <c r="F111" i="60"/>
  <c r="G114" i="44"/>
  <c r="D115" i="44"/>
  <c r="E115" i="44"/>
  <c r="N88" i="91"/>
  <c r="J106" i="91"/>
  <c r="J100" i="102"/>
  <c r="M88" i="78"/>
  <c r="M89" i="78" s="1"/>
  <c r="N88" i="69"/>
  <c r="J116" i="69"/>
  <c r="G101" i="13"/>
  <c r="D102" i="13"/>
  <c r="B102" i="13" s="1"/>
  <c r="E102" i="13"/>
  <c r="H115" i="31"/>
  <c r="M88" i="31" s="1"/>
  <c r="M89" i="31" s="1"/>
  <c r="I115" i="31"/>
  <c r="N88" i="96"/>
  <c r="J105" i="96"/>
  <c r="N88" i="72"/>
  <c r="J111" i="72"/>
  <c r="N88" i="67"/>
  <c r="J109" i="67"/>
  <c r="G112" i="55"/>
  <c r="D113" i="55"/>
  <c r="E113" i="55"/>
  <c r="G117" i="30"/>
  <c r="D118" i="30"/>
  <c r="E118" i="30"/>
  <c r="N88" i="32"/>
  <c r="J115" i="32"/>
  <c r="D110" i="79"/>
  <c r="G109" i="79"/>
  <c r="E110" i="79"/>
  <c r="N88" i="44"/>
  <c r="J113" i="44"/>
  <c r="N88" i="88"/>
  <c r="J106" i="88"/>
  <c r="H104" i="99"/>
  <c r="M88" i="99" s="1"/>
  <c r="M89" i="99" s="1"/>
  <c r="I104" i="99"/>
  <c r="D109" i="82"/>
  <c r="G108" i="82"/>
  <c r="E109" i="82"/>
  <c r="M88" i="17"/>
  <c r="M89" i="17" s="1"/>
  <c r="G108" i="83"/>
  <c r="D109" i="83"/>
  <c r="E109" i="83"/>
  <c r="N88" i="53"/>
  <c r="J111" i="53"/>
  <c r="G116" i="71"/>
  <c r="D117" i="71"/>
  <c r="E117" i="71"/>
  <c r="G114" i="41"/>
  <c r="D115" i="41"/>
  <c r="E115" i="41"/>
  <c r="F116" i="31"/>
  <c r="B116" i="31"/>
  <c r="N88" i="94"/>
  <c r="J106" i="94"/>
  <c r="I114" i="18"/>
  <c r="H114" i="18"/>
  <c r="M88" i="18" s="1"/>
  <c r="M89" i="18" s="1"/>
  <c r="N88" i="43"/>
  <c r="J113" i="43"/>
  <c r="G107" i="94"/>
  <c r="D108" i="94"/>
  <c r="E108" i="94"/>
  <c r="H105" i="93"/>
  <c r="M88" i="93" s="1"/>
  <c r="M89" i="93" s="1"/>
  <c r="I105" i="93"/>
  <c r="N88" i="22"/>
  <c r="J114" i="22"/>
  <c r="G111" i="63"/>
  <c r="D112" i="63"/>
  <c r="E112" i="63"/>
  <c r="D110" i="77"/>
  <c r="G109" i="77"/>
  <c r="E110" i="77"/>
  <c r="G112" i="56"/>
  <c r="D113" i="56"/>
  <c r="E113" i="56"/>
  <c r="D111" i="68"/>
  <c r="G110" i="68"/>
  <c r="E111" i="68"/>
  <c r="G112" i="57"/>
  <c r="D113" i="57"/>
  <c r="E113" i="57"/>
  <c r="N88" i="64"/>
  <c r="J110" i="64"/>
  <c r="N88" i="55"/>
  <c r="J111" i="55"/>
  <c r="N88" i="39"/>
  <c r="J113" i="39"/>
  <c r="H114" i="20"/>
  <c r="M88" i="20" s="1"/>
  <c r="M89" i="20" s="1"/>
  <c r="I114" i="20"/>
  <c r="D110" i="78"/>
  <c r="G109" i="78"/>
  <c r="E110" i="78"/>
  <c r="D115" i="73"/>
  <c r="G114" i="73"/>
  <c r="E115" i="73"/>
  <c r="N88" i="79"/>
  <c r="J108" i="79"/>
  <c r="D108" i="88"/>
  <c r="G107" i="88"/>
  <c r="E108" i="88"/>
  <c r="N88" i="28"/>
  <c r="J117" i="28"/>
  <c r="N88" i="76"/>
  <c r="J108" i="76"/>
  <c r="N88" i="29"/>
  <c r="J116" i="29"/>
  <c r="D108" i="87"/>
  <c r="G107" i="87"/>
  <c r="E108" i="87"/>
  <c r="G112" i="54"/>
  <c r="D113" i="54"/>
  <c r="E113" i="54"/>
  <c r="G105" i="98"/>
  <c r="D106" i="98"/>
  <c r="E106" i="98"/>
  <c r="N88" i="62"/>
  <c r="J110" i="62"/>
  <c r="D109" i="80"/>
  <c r="G108" i="80"/>
  <c r="E109" i="80"/>
  <c r="N88" i="57"/>
  <c r="J111" i="57"/>
  <c r="B106" i="93"/>
  <c r="F106" i="93"/>
  <c r="N88" i="65"/>
  <c r="J109" i="65"/>
  <c r="N88" i="63"/>
  <c r="J110" i="63"/>
  <c r="N88" i="56"/>
  <c r="J111" i="56"/>
  <c r="D109" i="101"/>
  <c r="G108" i="101"/>
  <c r="E109" i="101"/>
  <c r="M88" i="64"/>
  <c r="M89" i="64" s="1"/>
  <c r="N88" i="24"/>
  <c r="J115" i="24"/>
  <c r="G116" i="24"/>
  <c r="D117" i="24"/>
  <c r="E117" i="24"/>
  <c r="M88" i="74"/>
  <c r="M89" i="74" s="1"/>
  <c r="N88" i="78"/>
  <c r="J108" i="78"/>
  <c r="M88" i="96"/>
  <c r="M89" i="96" s="1"/>
  <c r="G108" i="81"/>
  <c r="D109" i="81"/>
  <c r="E109" i="81"/>
  <c r="F105" i="99"/>
  <c r="B105" i="99"/>
  <c r="N88" i="17"/>
  <c r="J114" i="17"/>
  <c r="N88" i="77"/>
  <c r="J108" i="77"/>
  <c r="D113" i="58"/>
  <c r="G112" i="58"/>
  <c r="E113" i="58"/>
  <c r="N88" i="27"/>
  <c r="J116" i="27"/>
  <c r="D115" i="43"/>
  <c r="G114" i="43"/>
  <c r="E115" i="43"/>
  <c r="N88" i="89"/>
  <c r="J106" i="89"/>
  <c r="N88" i="71"/>
  <c r="J115" i="71"/>
  <c r="D110" i="76"/>
  <c r="G109" i="76"/>
  <c r="E110" i="76"/>
  <c r="N88" i="58"/>
  <c r="J111" i="58"/>
  <c r="G112" i="72"/>
  <c r="D113" i="72"/>
  <c r="E113" i="72"/>
  <c r="N88" i="80"/>
  <c r="J107" i="80"/>
  <c r="G105" i="97"/>
  <c r="D106" i="97"/>
  <c r="E106" i="97"/>
  <c r="G117" i="29"/>
  <c r="D118" i="29"/>
  <c r="E118" i="29"/>
  <c r="D116" i="21"/>
  <c r="G115" i="21"/>
  <c r="E116" i="21"/>
  <c r="G106" i="96"/>
  <c r="D107" i="96"/>
  <c r="E107" i="96"/>
  <c r="N88" i="68"/>
  <c r="J109" i="68"/>
  <c r="N88" i="46"/>
  <c r="J111" i="46"/>
  <c r="M88" i="65"/>
  <c r="M89" i="65" s="1"/>
  <c r="J107" i="101"/>
  <c r="N88" i="101"/>
  <c r="G111" i="64"/>
  <c r="D112" i="64"/>
  <c r="E112" i="64"/>
  <c r="G115" i="3"/>
  <c r="D116" i="3"/>
  <c r="E116" i="3"/>
  <c r="N88" i="97"/>
  <c r="J104" i="97"/>
  <c r="D108" i="84"/>
  <c r="G107" i="84"/>
  <c r="E108" i="84"/>
  <c r="N88" i="45"/>
  <c r="J112" i="45"/>
  <c r="N88" i="59"/>
  <c r="J110" i="59"/>
  <c r="D108" i="90"/>
  <c r="G107" i="90"/>
  <c r="E108" i="90"/>
  <c r="N88" i="74"/>
  <c r="J113" i="74"/>
  <c r="D115" i="39"/>
  <c r="G114" i="39"/>
  <c r="E115" i="39"/>
  <c r="D108" i="92"/>
  <c r="G107" i="92"/>
  <c r="E108" i="92"/>
  <c r="D118" i="69"/>
  <c r="G117" i="69"/>
  <c r="E118" i="69"/>
  <c r="D115" i="74"/>
  <c r="G114" i="74"/>
  <c r="E115" i="74"/>
  <c r="N88" i="98"/>
  <c r="J104" i="98"/>
  <c r="N88" i="21"/>
  <c r="J114" i="21"/>
  <c r="N88" i="92"/>
  <c r="J106" i="92"/>
  <c r="D116" i="17"/>
  <c r="G115" i="17"/>
  <c r="E116" i="17"/>
  <c r="N88" i="84"/>
  <c r="J106" i="84"/>
  <c r="N88" i="83"/>
  <c r="J107" i="83"/>
  <c r="G108" i="86"/>
  <c r="D109" i="86"/>
  <c r="E109" i="86"/>
  <c r="G108" i="85"/>
  <c r="D109" i="85"/>
  <c r="E109" i="85"/>
  <c r="D108" i="89"/>
  <c r="G107" i="89"/>
  <c r="E108" i="89"/>
  <c r="G112" i="53"/>
  <c r="D113" i="53"/>
  <c r="E113" i="53"/>
  <c r="D112" i="62"/>
  <c r="G111" i="62"/>
  <c r="E112" i="62"/>
  <c r="I105" i="95"/>
  <c r="H105" i="95"/>
  <c r="M88" i="95" s="1"/>
  <c r="M89" i="95" s="1"/>
  <c r="D111" i="65"/>
  <c r="G110" i="65"/>
  <c r="E111" i="65"/>
  <c r="D111" i="67"/>
  <c r="G110" i="67"/>
  <c r="E111" i="67"/>
  <c r="G115" i="34"/>
  <c r="D116" i="34"/>
  <c r="E116" i="34"/>
  <c r="N88" i="85"/>
  <c r="J107" i="85"/>
  <c r="N88" i="42"/>
  <c r="J113" i="42"/>
  <c r="B106" i="95"/>
  <c r="F106" i="95"/>
  <c r="B116" i="23"/>
  <c r="F116" i="23"/>
  <c r="I104" i="34"/>
  <c r="H104" i="34"/>
  <c r="L104" i="34" s="1"/>
  <c r="M104" i="34" s="1"/>
  <c r="F111" i="61"/>
  <c r="B111" i="61"/>
  <c r="D112" i="59"/>
  <c r="G111" i="59"/>
  <c r="E112" i="59"/>
  <c r="N88" i="75"/>
  <c r="J108" i="75"/>
  <c r="G117" i="70"/>
  <c r="D118" i="70"/>
  <c r="E118" i="70"/>
  <c r="N88" i="3"/>
  <c r="J114" i="3"/>
  <c r="N88" i="82"/>
  <c r="J107" i="82"/>
  <c r="G101" i="102"/>
  <c r="D102" i="102"/>
  <c r="E102" i="102"/>
  <c r="D110" i="75"/>
  <c r="G109" i="75"/>
  <c r="E110" i="75"/>
  <c r="I91" i="36"/>
  <c r="I52" i="36"/>
  <c r="I19" i="36"/>
  <c r="I20" i="36"/>
  <c r="I55" i="36"/>
  <c r="I33" i="36"/>
  <c r="I85" i="36"/>
  <c r="I57" i="36"/>
  <c r="I66" i="36"/>
  <c r="I22" i="36"/>
  <c r="I56" i="36"/>
  <c r="I70" i="36"/>
  <c r="I18" i="36"/>
  <c r="I25" i="36"/>
  <c r="I87" i="36"/>
  <c r="I88" i="36"/>
  <c r="V19" i="36" l="1"/>
  <c r="V18" i="36"/>
  <c r="V57" i="36"/>
  <c r="V88" i="36"/>
  <c r="V52" i="36"/>
  <c r="V22" i="36"/>
  <c r="V25" i="36"/>
  <c r="V87" i="36"/>
  <c r="V91" i="36"/>
  <c r="V55" i="36"/>
  <c r="V66" i="36"/>
  <c r="V56" i="36"/>
  <c r="V20" i="36"/>
  <c r="V85" i="36"/>
  <c r="V33" i="36"/>
  <c r="V70" i="36"/>
  <c r="N89" i="59"/>
  <c r="O88" i="59"/>
  <c r="O89" i="59" s="1"/>
  <c r="N89" i="68"/>
  <c r="O88" i="68"/>
  <c r="O89" i="68" s="1"/>
  <c r="N89" i="80"/>
  <c r="O88" i="80"/>
  <c r="O89" i="80" s="1"/>
  <c r="H109" i="76"/>
  <c r="I109" i="76"/>
  <c r="I114" i="43"/>
  <c r="H114" i="43"/>
  <c r="N89" i="77"/>
  <c r="O88" i="77"/>
  <c r="O89" i="77" s="1"/>
  <c r="H108" i="81"/>
  <c r="I108" i="81"/>
  <c r="F117" i="24"/>
  <c r="B117" i="24"/>
  <c r="H108" i="101"/>
  <c r="I108" i="101"/>
  <c r="I108" i="80"/>
  <c r="H108" i="80"/>
  <c r="B108" i="88"/>
  <c r="F108" i="88"/>
  <c r="H109" i="78"/>
  <c r="I109" i="78"/>
  <c r="H110" i="68"/>
  <c r="I110" i="68"/>
  <c r="F117" i="71"/>
  <c r="B117" i="71"/>
  <c r="N89" i="67"/>
  <c r="O88" i="67"/>
  <c r="O89" i="67" s="1"/>
  <c r="F102" i="13"/>
  <c r="F113" i="46"/>
  <c r="B113" i="46"/>
  <c r="D116" i="20"/>
  <c r="G115" i="20"/>
  <c r="E116" i="20"/>
  <c r="N89" i="41"/>
  <c r="O88" i="41"/>
  <c r="O89" i="41" s="1"/>
  <c r="B111" i="67"/>
  <c r="F111" i="67"/>
  <c r="O88" i="84"/>
  <c r="O89" i="84" s="1"/>
  <c r="N89" i="84"/>
  <c r="F118" i="69"/>
  <c r="B118" i="69"/>
  <c r="F109" i="80"/>
  <c r="B109" i="80"/>
  <c r="N89" i="55"/>
  <c r="O88" i="55"/>
  <c r="O89" i="55" s="1"/>
  <c r="F108" i="94"/>
  <c r="B108" i="94"/>
  <c r="H116" i="71"/>
  <c r="I116" i="71"/>
  <c r="D116" i="18"/>
  <c r="G115" i="18"/>
  <c r="E116" i="18"/>
  <c r="I110" i="66"/>
  <c r="H110" i="66"/>
  <c r="H112" i="46"/>
  <c r="I112" i="46"/>
  <c r="F116" i="22"/>
  <c r="B116" i="22"/>
  <c r="O88" i="70"/>
  <c r="O89" i="70" s="1"/>
  <c r="N89" i="70"/>
  <c r="N89" i="19"/>
  <c r="O88" i="19"/>
  <c r="O89" i="19" s="1"/>
  <c r="N89" i="3"/>
  <c r="O88" i="3"/>
  <c r="O89" i="3" s="1"/>
  <c r="I111" i="59"/>
  <c r="H111" i="59"/>
  <c r="N89" i="85"/>
  <c r="O88" i="85"/>
  <c r="O89" i="85" s="1"/>
  <c r="I110" i="65"/>
  <c r="H110" i="65"/>
  <c r="F113" i="53"/>
  <c r="B113" i="53"/>
  <c r="H115" i="17"/>
  <c r="I115" i="17"/>
  <c r="O88" i="74"/>
  <c r="O89" i="74" s="1"/>
  <c r="N89" i="74"/>
  <c r="B116" i="3"/>
  <c r="F116" i="3"/>
  <c r="B118" i="29"/>
  <c r="F118" i="29"/>
  <c r="B113" i="72"/>
  <c r="F113" i="72"/>
  <c r="D107" i="93"/>
  <c r="G106" i="93"/>
  <c r="E107" i="93"/>
  <c r="I112" i="54"/>
  <c r="H112" i="54"/>
  <c r="N89" i="76"/>
  <c r="O88" i="76"/>
  <c r="O89" i="76" s="1"/>
  <c r="N88" i="20"/>
  <c r="J114" i="20"/>
  <c r="I111" i="63"/>
  <c r="H111" i="63"/>
  <c r="I107" i="94"/>
  <c r="H107" i="94"/>
  <c r="I108" i="82"/>
  <c r="H108" i="82"/>
  <c r="N89" i="44"/>
  <c r="O88" i="44"/>
  <c r="O89" i="44" s="1"/>
  <c r="H117" i="30"/>
  <c r="I117" i="30"/>
  <c r="H101" i="13"/>
  <c r="I101" i="13"/>
  <c r="N89" i="91"/>
  <c r="O88" i="91"/>
  <c r="O89" i="91" s="1"/>
  <c r="F111" i="66"/>
  <c r="B111" i="66"/>
  <c r="N88" i="23"/>
  <c r="J115" i="23"/>
  <c r="H115" i="22"/>
  <c r="I115" i="22"/>
  <c r="H114" i="42"/>
  <c r="I114" i="42"/>
  <c r="I118" i="28"/>
  <c r="H118" i="28"/>
  <c r="B112" i="62"/>
  <c r="F112" i="62"/>
  <c r="B113" i="54"/>
  <c r="F113" i="54"/>
  <c r="B116" i="17"/>
  <c r="F116" i="17"/>
  <c r="I107" i="92"/>
  <c r="H107" i="92"/>
  <c r="F107" i="96"/>
  <c r="B107" i="96"/>
  <c r="N89" i="27"/>
  <c r="O88" i="27"/>
  <c r="O89" i="27" s="1"/>
  <c r="N89" i="17"/>
  <c r="O88" i="17"/>
  <c r="O89" i="17" s="1"/>
  <c r="N89" i="79"/>
  <c r="O88" i="79"/>
  <c r="O89" i="79" s="1"/>
  <c r="N89" i="64"/>
  <c r="O88" i="64"/>
  <c r="O89" i="64" s="1"/>
  <c r="B113" i="56"/>
  <c r="F113" i="56"/>
  <c r="G116" i="31"/>
  <c r="D117" i="31"/>
  <c r="E117" i="31"/>
  <c r="N89" i="53"/>
  <c r="O88" i="53"/>
  <c r="O89" i="53" s="1"/>
  <c r="F109" i="82"/>
  <c r="B109" i="82"/>
  <c r="O88" i="72"/>
  <c r="O89" i="72" s="1"/>
  <c r="N89" i="72"/>
  <c r="B108" i="91"/>
  <c r="F108" i="91"/>
  <c r="B115" i="42"/>
  <c r="F115" i="42"/>
  <c r="F119" i="28"/>
  <c r="B119" i="28"/>
  <c r="N88" i="61"/>
  <c r="J110" i="61"/>
  <c r="I109" i="75"/>
  <c r="H109" i="75"/>
  <c r="F110" i="76"/>
  <c r="B110" i="76"/>
  <c r="I116" i="24"/>
  <c r="H116" i="24"/>
  <c r="O88" i="65"/>
  <c r="O89" i="65" s="1"/>
  <c r="N89" i="65"/>
  <c r="F111" i="68"/>
  <c r="B111" i="68"/>
  <c r="N89" i="94"/>
  <c r="O88" i="94"/>
  <c r="O89" i="94" s="1"/>
  <c r="N89" i="90"/>
  <c r="O88" i="90"/>
  <c r="O89" i="90" s="1"/>
  <c r="G106" i="95"/>
  <c r="D107" i="95"/>
  <c r="E107" i="95"/>
  <c r="H115" i="3"/>
  <c r="I115" i="3"/>
  <c r="I112" i="72"/>
  <c r="H112" i="72"/>
  <c r="I108" i="86"/>
  <c r="H108" i="86"/>
  <c r="B108" i="92"/>
  <c r="F108" i="92"/>
  <c r="I107" i="90"/>
  <c r="H107" i="90"/>
  <c r="I106" i="96"/>
  <c r="H106" i="96"/>
  <c r="N89" i="71"/>
  <c r="O88" i="71"/>
  <c r="O89" i="71" s="1"/>
  <c r="N89" i="78"/>
  <c r="O88" i="78"/>
  <c r="O89" i="78" s="1"/>
  <c r="O88" i="24"/>
  <c r="O89" i="24" s="1"/>
  <c r="N89" i="24"/>
  <c r="O88" i="56"/>
  <c r="O89" i="56" s="1"/>
  <c r="N89" i="56"/>
  <c r="O88" i="62"/>
  <c r="O89" i="62" s="1"/>
  <c r="N89" i="62"/>
  <c r="H107" i="87"/>
  <c r="I107" i="87"/>
  <c r="I112" i="56"/>
  <c r="H112" i="56"/>
  <c r="N88" i="99"/>
  <c r="J104" i="99"/>
  <c r="H109" i="79"/>
  <c r="I109" i="79"/>
  <c r="F115" i="44"/>
  <c r="N89" i="54"/>
  <c r="O88" i="54"/>
  <c r="O89" i="54" s="1"/>
  <c r="I107" i="91"/>
  <c r="H107" i="91"/>
  <c r="N89" i="81"/>
  <c r="O88" i="81"/>
  <c r="O89" i="81" s="1"/>
  <c r="F109" i="85"/>
  <c r="B109" i="85"/>
  <c r="I117" i="69"/>
  <c r="H117" i="69"/>
  <c r="N89" i="21"/>
  <c r="O88" i="21"/>
  <c r="O89" i="21" s="1"/>
  <c r="F115" i="43"/>
  <c r="B115" i="43"/>
  <c r="B109" i="101"/>
  <c r="F109" i="101"/>
  <c r="B110" i="78"/>
  <c r="F110" i="78"/>
  <c r="B111" i="65"/>
  <c r="F111" i="65"/>
  <c r="F109" i="86"/>
  <c r="B109" i="86"/>
  <c r="H117" i="29"/>
  <c r="I117" i="29"/>
  <c r="I101" i="102"/>
  <c r="H101" i="102"/>
  <c r="B116" i="34"/>
  <c r="F116" i="34"/>
  <c r="H117" i="70"/>
  <c r="I117" i="70"/>
  <c r="H115" i="34"/>
  <c r="M88" i="34" s="1"/>
  <c r="M89" i="34" s="1"/>
  <c r="I115" i="34"/>
  <c r="N88" i="95"/>
  <c r="J105" i="95"/>
  <c r="I107" i="89"/>
  <c r="H107" i="89"/>
  <c r="H114" i="74"/>
  <c r="I114" i="74"/>
  <c r="B108" i="90"/>
  <c r="F108" i="90"/>
  <c r="I107" i="84"/>
  <c r="H107" i="84"/>
  <c r="F112" i="64"/>
  <c r="B112" i="64"/>
  <c r="O88" i="46"/>
  <c r="O89" i="46" s="1"/>
  <c r="N89" i="46"/>
  <c r="F106" i="97"/>
  <c r="B106" i="97"/>
  <c r="H112" i="58"/>
  <c r="I112" i="58"/>
  <c r="G105" i="99"/>
  <c r="D106" i="99"/>
  <c r="E106" i="99"/>
  <c r="B108" i="87"/>
  <c r="F108" i="87"/>
  <c r="N89" i="28"/>
  <c r="O88" i="28"/>
  <c r="O89" i="28" s="1"/>
  <c r="I114" i="73"/>
  <c r="H114" i="73"/>
  <c r="F113" i="57"/>
  <c r="B113" i="57"/>
  <c r="N89" i="22"/>
  <c r="O88" i="22"/>
  <c r="O89" i="22" s="1"/>
  <c r="N89" i="43"/>
  <c r="O88" i="43"/>
  <c r="O89" i="43" s="1"/>
  <c r="B115" i="41"/>
  <c r="F115" i="41"/>
  <c r="F109" i="83"/>
  <c r="B109" i="83"/>
  <c r="F110" i="79"/>
  <c r="B110" i="79"/>
  <c r="F113" i="55"/>
  <c r="B113" i="55"/>
  <c r="N89" i="96"/>
  <c r="O88" i="96"/>
  <c r="O89" i="96" s="1"/>
  <c r="N89" i="69"/>
  <c r="O88" i="69"/>
  <c r="O89" i="69" s="1"/>
  <c r="H114" i="44"/>
  <c r="I114" i="44"/>
  <c r="O88" i="30"/>
  <c r="O89" i="30" s="1"/>
  <c r="N89" i="30"/>
  <c r="B116" i="19"/>
  <c r="F116" i="19"/>
  <c r="N89" i="87"/>
  <c r="O88" i="87"/>
  <c r="O89" i="87" s="1"/>
  <c r="B114" i="45"/>
  <c r="F114" i="45"/>
  <c r="F117" i="32"/>
  <c r="B117" i="32"/>
  <c r="O88" i="97"/>
  <c r="O89" i="97" s="1"/>
  <c r="N89" i="97"/>
  <c r="B110" i="75"/>
  <c r="F110" i="75"/>
  <c r="E117" i="23"/>
  <c r="G116" i="23"/>
  <c r="D117" i="23"/>
  <c r="H108" i="85"/>
  <c r="I108" i="85"/>
  <c r="B102" i="102"/>
  <c r="F102" i="102"/>
  <c r="F112" i="59"/>
  <c r="B112" i="59"/>
  <c r="I112" i="53"/>
  <c r="H112" i="53"/>
  <c r="N89" i="98"/>
  <c r="O88" i="98"/>
  <c r="O89" i="98" s="1"/>
  <c r="N89" i="45"/>
  <c r="O88" i="45"/>
  <c r="O89" i="45" s="1"/>
  <c r="B118" i="70"/>
  <c r="F118" i="70"/>
  <c r="D112" i="61"/>
  <c r="G111" i="61"/>
  <c r="E112" i="61"/>
  <c r="F108" i="89"/>
  <c r="B108" i="89"/>
  <c r="O88" i="83"/>
  <c r="O89" i="83" s="1"/>
  <c r="N89" i="83"/>
  <c r="O88" i="92"/>
  <c r="O89" i="92" s="1"/>
  <c r="N89" i="92"/>
  <c r="F115" i="74"/>
  <c r="B115" i="74"/>
  <c r="H114" i="39"/>
  <c r="I114" i="39"/>
  <c r="F108" i="84"/>
  <c r="B108" i="84"/>
  <c r="I111" i="64"/>
  <c r="H111" i="64"/>
  <c r="I115" i="21"/>
  <c r="H115" i="21"/>
  <c r="I105" i="97"/>
  <c r="H105" i="97"/>
  <c r="N89" i="58"/>
  <c r="O88" i="58"/>
  <c r="O89" i="58" s="1"/>
  <c r="O88" i="89"/>
  <c r="O89" i="89" s="1"/>
  <c r="N89" i="89"/>
  <c r="B113" i="58"/>
  <c r="F113" i="58"/>
  <c r="N89" i="57"/>
  <c r="O88" i="57"/>
  <c r="O89" i="57" s="1"/>
  <c r="F106" i="98"/>
  <c r="B106" i="98"/>
  <c r="F115" i="73"/>
  <c r="B115" i="73"/>
  <c r="N89" i="39"/>
  <c r="O88" i="39"/>
  <c r="O89" i="39" s="1"/>
  <c r="I112" i="57"/>
  <c r="H112" i="57"/>
  <c r="H109" i="77"/>
  <c r="I109" i="77"/>
  <c r="N88" i="93"/>
  <c r="J105" i="93"/>
  <c r="H114" i="41"/>
  <c r="I114" i="41"/>
  <c r="I108" i="83"/>
  <c r="H108" i="83"/>
  <c r="H112" i="55"/>
  <c r="I112" i="55"/>
  <c r="N88" i="31"/>
  <c r="J115" i="31"/>
  <c r="G111" i="60"/>
  <c r="D112" i="60"/>
  <c r="E112" i="60"/>
  <c r="I117" i="27"/>
  <c r="H117" i="27"/>
  <c r="N88" i="60"/>
  <c r="J110" i="60"/>
  <c r="N89" i="66"/>
  <c r="O88" i="66"/>
  <c r="O89" i="66" s="1"/>
  <c r="H115" i="19"/>
  <c r="I115" i="19"/>
  <c r="I113" i="45"/>
  <c r="H113" i="45"/>
  <c r="H116" i="32"/>
  <c r="I116" i="32"/>
  <c r="O88" i="75"/>
  <c r="O89" i="75" s="1"/>
  <c r="N89" i="75"/>
  <c r="B112" i="63"/>
  <c r="F112" i="63"/>
  <c r="F118" i="30"/>
  <c r="B118" i="30"/>
  <c r="O88" i="82"/>
  <c r="O89" i="82" s="1"/>
  <c r="N89" i="82"/>
  <c r="N104" i="34"/>
  <c r="O104" i="34" s="1"/>
  <c r="P104" i="34" s="1"/>
  <c r="J104" i="34"/>
  <c r="O88" i="42"/>
  <c r="O89" i="42" s="1"/>
  <c r="N89" i="42"/>
  <c r="H110" i="67"/>
  <c r="I110" i="67"/>
  <c r="I111" i="62"/>
  <c r="H111" i="62"/>
  <c r="B115" i="39"/>
  <c r="F115" i="39"/>
  <c r="O88" i="101"/>
  <c r="O89" i="101" s="1"/>
  <c r="N89" i="101"/>
  <c r="B116" i="21"/>
  <c r="F116" i="21"/>
  <c r="B109" i="81"/>
  <c r="F109" i="81"/>
  <c r="O88" i="63"/>
  <c r="O89" i="63" s="1"/>
  <c r="N89" i="63"/>
  <c r="I105" i="98"/>
  <c r="H105" i="98"/>
  <c r="N89" i="29"/>
  <c r="O88" i="29"/>
  <c r="O89" i="29" s="1"/>
  <c r="H107" i="88"/>
  <c r="I107" i="88"/>
  <c r="F110" i="77"/>
  <c r="B110" i="77"/>
  <c r="N88" i="18"/>
  <c r="J114" i="18"/>
  <c r="O88" i="88"/>
  <c r="O89" i="88" s="1"/>
  <c r="N89" i="88"/>
  <c r="N89" i="32"/>
  <c r="O88" i="32"/>
  <c r="O89" i="32" s="1"/>
  <c r="F118" i="27"/>
  <c r="B118" i="27"/>
  <c r="N89" i="73"/>
  <c r="O88" i="73"/>
  <c r="O89" i="73" s="1"/>
  <c r="N89" i="86"/>
  <c r="O88" i="86"/>
  <c r="O89" i="86" s="1"/>
  <c r="I36" i="36"/>
  <c r="J110" i="67" l="1"/>
  <c r="J108" i="85"/>
  <c r="J107" i="88"/>
  <c r="J116" i="32"/>
  <c r="J106" i="96"/>
  <c r="J108" i="86"/>
  <c r="J110" i="65"/>
  <c r="J108" i="81"/>
  <c r="J108" i="101"/>
  <c r="J109" i="77"/>
  <c r="J107" i="87"/>
  <c r="J111" i="64"/>
  <c r="J107" i="94"/>
  <c r="V36" i="36"/>
  <c r="J111" i="62"/>
  <c r="B112" i="61"/>
  <c r="F112" i="61"/>
  <c r="J112" i="53"/>
  <c r="H116" i="23"/>
  <c r="I116" i="23"/>
  <c r="G110" i="79"/>
  <c r="D111" i="79"/>
  <c r="E111" i="79"/>
  <c r="J114" i="74"/>
  <c r="J117" i="70"/>
  <c r="J116" i="24"/>
  <c r="D120" i="28"/>
  <c r="G119" i="28"/>
  <c r="E120" i="28"/>
  <c r="D110" i="82"/>
  <c r="G109" i="82"/>
  <c r="E110" i="82"/>
  <c r="D113" i="62"/>
  <c r="G112" i="62"/>
  <c r="E113" i="62"/>
  <c r="J117" i="30"/>
  <c r="J112" i="54"/>
  <c r="D117" i="3"/>
  <c r="G116" i="3"/>
  <c r="E117" i="3"/>
  <c r="J110" i="66"/>
  <c r="D112" i="67"/>
  <c r="G111" i="67"/>
  <c r="E112" i="67"/>
  <c r="G102" i="13"/>
  <c r="D103" i="13"/>
  <c r="B103" i="13" s="1"/>
  <c r="E103" i="13"/>
  <c r="G117" i="24"/>
  <c r="D118" i="24"/>
  <c r="E118" i="24"/>
  <c r="G118" i="70"/>
  <c r="D119" i="70"/>
  <c r="E119" i="70"/>
  <c r="G115" i="42"/>
  <c r="D116" i="42"/>
  <c r="E116" i="42"/>
  <c r="J111" i="63"/>
  <c r="D111" i="75"/>
  <c r="G110" i="75"/>
  <c r="E111" i="75"/>
  <c r="J107" i="91"/>
  <c r="H115" i="18"/>
  <c r="I115" i="18"/>
  <c r="G116" i="21"/>
  <c r="D117" i="21"/>
  <c r="E117" i="21"/>
  <c r="N89" i="99"/>
  <c r="O88" i="99"/>
  <c r="O89" i="99" s="1"/>
  <c r="O88" i="23"/>
  <c r="O89" i="23" s="1"/>
  <c r="N89" i="23"/>
  <c r="G109" i="83"/>
  <c r="D110" i="83"/>
  <c r="E110" i="83"/>
  <c r="D103" i="102"/>
  <c r="G102" i="102"/>
  <c r="E103" i="102"/>
  <c r="J107" i="90"/>
  <c r="G108" i="91"/>
  <c r="D109" i="91"/>
  <c r="E109" i="91"/>
  <c r="J107" i="92"/>
  <c r="J114" i="42"/>
  <c r="D112" i="66"/>
  <c r="G111" i="66"/>
  <c r="E112" i="66"/>
  <c r="B107" i="93"/>
  <c r="F107" i="93"/>
  <c r="F116" i="18"/>
  <c r="B116" i="18"/>
  <c r="G109" i="80"/>
  <c r="D110" i="80"/>
  <c r="E110" i="80"/>
  <c r="H115" i="20"/>
  <c r="I115" i="20"/>
  <c r="O88" i="31"/>
  <c r="O89" i="31" s="1"/>
  <c r="N89" i="31"/>
  <c r="G115" i="73"/>
  <c r="D116" i="73"/>
  <c r="E116" i="73"/>
  <c r="G107" i="96"/>
  <c r="D108" i="96"/>
  <c r="E108" i="96"/>
  <c r="D109" i="88"/>
  <c r="G108" i="88"/>
  <c r="E109" i="88"/>
  <c r="J113" i="45"/>
  <c r="F106" i="99"/>
  <c r="B106" i="99"/>
  <c r="J115" i="3"/>
  <c r="J115" i="19"/>
  <c r="G108" i="84"/>
  <c r="D109" i="84"/>
  <c r="E109" i="84"/>
  <c r="G116" i="19"/>
  <c r="D117" i="19"/>
  <c r="E117" i="19"/>
  <c r="G112" i="64"/>
  <c r="D113" i="64"/>
  <c r="E113" i="64"/>
  <c r="J112" i="56"/>
  <c r="J114" i="39"/>
  <c r="J114" i="73"/>
  <c r="J112" i="58"/>
  <c r="D111" i="78"/>
  <c r="G110" i="78"/>
  <c r="E111" i="78"/>
  <c r="G108" i="92"/>
  <c r="D109" i="92"/>
  <c r="E109" i="92"/>
  <c r="G111" i="68"/>
  <c r="D112" i="68"/>
  <c r="E112" i="68"/>
  <c r="J109" i="75"/>
  <c r="F117" i="31"/>
  <c r="B117" i="31"/>
  <c r="G116" i="17"/>
  <c r="D117" i="17"/>
  <c r="E117" i="17"/>
  <c r="N89" i="20"/>
  <c r="O88" i="20"/>
  <c r="O89" i="20" s="1"/>
  <c r="D114" i="72"/>
  <c r="G113" i="72"/>
  <c r="E114" i="72"/>
  <c r="J115" i="17"/>
  <c r="G116" i="22"/>
  <c r="D117" i="22"/>
  <c r="E117" i="22"/>
  <c r="J116" i="71"/>
  <c r="F116" i="20"/>
  <c r="B116" i="20"/>
  <c r="D118" i="71"/>
  <c r="G117" i="71"/>
  <c r="E118" i="71"/>
  <c r="J108" i="80"/>
  <c r="J118" i="28"/>
  <c r="D116" i="41"/>
  <c r="G115" i="41"/>
  <c r="E116" i="41"/>
  <c r="J107" i="89"/>
  <c r="N89" i="18"/>
  <c r="O88" i="18"/>
  <c r="O89" i="18" s="1"/>
  <c r="J105" i="98"/>
  <c r="G112" i="63"/>
  <c r="D113" i="63"/>
  <c r="E113" i="63"/>
  <c r="D119" i="27"/>
  <c r="G118" i="27"/>
  <c r="E119" i="27"/>
  <c r="G115" i="39"/>
  <c r="D116" i="39"/>
  <c r="E116" i="39"/>
  <c r="F112" i="60"/>
  <c r="B112" i="60"/>
  <c r="J108" i="83"/>
  <c r="J112" i="57"/>
  <c r="J105" i="97"/>
  <c r="G108" i="89"/>
  <c r="D109" i="89"/>
  <c r="E109" i="89"/>
  <c r="J107" i="84"/>
  <c r="N89" i="95"/>
  <c r="O88" i="95"/>
  <c r="O89" i="95" s="1"/>
  <c r="J101" i="102"/>
  <c r="J117" i="69"/>
  <c r="E116" i="44"/>
  <c r="D116" i="44"/>
  <c r="G115" i="44"/>
  <c r="B107" i="95"/>
  <c r="F107" i="95"/>
  <c r="H116" i="31"/>
  <c r="I116" i="31"/>
  <c r="J115" i="22"/>
  <c r="J108" i="82"/>
  <c r="J111" i="59"/>
  <c r="J112" i="46"/>
  <c r="G118" i="69"/>
  <c r="D119" i="69"/>
  <c r="E119" i="69"/>
  <c r="J110" i="68"/>
  <c r="N89" i="60"/>
  <c r="O88" i="60"/>
  <c r="O89" i="60" s="1"/>
  <c r="G115" i="43"/>
  <c r="D116" i="43"/>
  <c r="E116" i="43"/>
  <c r="J112" i="72"/>
  <c r="J112" i="55"/>
  <c r="D113" i="59"/>
  <c r="G112" i="59"/>
  <c r="E113" i="59"/>
  <c r="D112" i="65"/>
  <c r="G111" i="65"/>
  <c r="E112" i="65"/>
  <c r="D111" i="76"/>
  <c r="G110" i="76"/>
  <c r="E111" i="76"/>
  <c r="G106" i="98"/>
  <c r="D107" i="98"/>
  <c r="E107" i="98"/>
  <c r="H105" i="99"/>
  <c r="I105" i="99"/>
  <c r="G110" i="77"/>
  <c r="D111" i="77"/>
  <c r="E111" i="77"/>
  <c r="H111" i="60"/>
  <c r="I111" i="60"/>
  <c r="J114" i="41"/>
  <c r="D114" i="58"/>
  <c r="G113" i="58"/>
  <c r="E114" i="58"/>
  <c r="D118" i="32"/>
  <c r="G117" i="32"/>
  <c r="E118" i="32"/>
  <c r="D114" i="55"/>
  <c r="G113" i="55"/>
  <c r="E114" i="55"/>
  <c r="G108" i="90"/>
  <c r="D109" i="90"/>
  <c r="E109" i="90"/>
  <c r="N88" i="34"/>
  <c r="O18" i="2" s="1"/>
  <c r="J115" i="34"/>
  <c r="J117" i="29"/>
  <c r="D110" i="101"/>
  <c r="G109" i="101"/>
  <c r="E110" i="101"/>
  <c r="J109" i="79"/>
  <c r="H106" i="95"/>
  <c r="I106" i="95"/>
  <c r="O88" i="61"/>
  <c r="O89" i="61" s="1"/>
  <c r="N89" i="61"/>
  <c r="G113" i="56"/>
  <c r="D114" i="56"/>
  <c r="E114" i="56"/>
  <c r="G113" i="54"/>
  <c r="D114" i="54"/>
  <c r="E114" i="54"/>
  <c r="J101" i="13"/>
  <c r="G118" i="29"/>
  <c r="D119" i="29"/>
  <c r="E119" i="29"/>
  <c r="D114" i="46"/>
  <c r="G113" i="46"/>
  <c r="E114" i="46"/>
  <c r="J114" i="43"/>
  <c r="N89" i="93"/>
  <c r="O88" i="93"/>
  <c r="O89" i="93" s="1"/>
  <c r="D110" i="86"/>
  <c r="G109" i="86"/>
  <c r="E110" i="86"/>
  <c r="D114" i="57"/>
  <c r="G113" i="57"/>
  <c r="E114" i="57"/>
  <c r="G116" i="34"/>
  <c r="D117" i="34"/>
  <c r="E117" i="34"/>
  <c r="I106" i="93"/>
  <c r="H106" i="93"/>
  <c r="D119" i="30"/>
  <c r="G118" i="30"/>
  <c r="E119" i="30"/>
  <c r="J117" i="27"/>
  <c r="D110" i="81"/>
  <c r="G109" i="81"/>
  <c r="E110" i="81"/>
  <c r="J115" i="21"/>
  <c r="D116" i="74"/>
  <c r="G115" i="74"/>
  <c r="E116" i="74"/>
  <c r="H111" i="61"/>
  <c r="I111" i="61"/>
  <c r="B117" i="23"/>
  <c r="F117" i="23"/>
  <c r="D115" i="45"/>
  <c r="G114" i="45"/>
  <c r="E115" i="45"/>
  <c r="J114" i="44"/>
  <c r="D109" i="87"/>
  <c r="G108" i="87"/>
  <c r="E109" i="87"/>
  <c r="G106" i="97"/>
  <c r="D107" i="97"/>
  <c r="E107" i="97"/>
  <c r="D110" i="85"/>
  <c r="G109" i="85"/>
  <c r="E110" i="85"/>
  <c r="D114" i="53"/>
  <c r="G113" i="53"/>
  <c r="E114" i="53"/>
  <c r="G108" i="94"/>
  <c r="D109" i="94"/>
  <c r="E109" i="94"/>
  <c r="J109" i="78"/>
  <c r="J109" i="76"/>
  <c r="B110" i="85" l="1"/>
  <c r="F110" i="85"/>
  <c r="H116" i="34"/>
  <c r="I116" i="34"/>
  <c r="H113" i="46"/>
  <c r="I113" i="46"/>
  <c r="F114" i="54"/>
  <c r="B114" i="54"/>
  <c r="I117" i="32"/>
  <c r="H117" i="32"/>
  <c r="F107" i="98"/>
  <c r="B107" i="98"/>
  <c r="F113" i="63"/>
  <c r="B113" i="63"/>
  <c r="B109" i="94"/>
  <c r="F109" i="94"/>
  <c r="I115" i="74"/>
  <c r="H115" i="74"/>
  <c r="F114" i="46"/>
  <c r="B114" i="46"/>
  <c r="H113" i="54"/>
  <c r="I113" i="54"/>
  <c r="B118" i="32"/>
  <c r="F118" i="32"/>
  <c r="I106" i="98"/>
  <c r="H106" i="98"/>
  <c r="I112" i="59"/>
  <c r="H112" i="59"/>
  <c r="F116" i="43"/>
  <c r="B116" i="43"/>
  <c r="F119" i="69"/>
  <c r="B119" i="69"/>
  <c r="F109" i="89"/>
  <c r="B109" i="89"/>
  <c r="H112" i="63"/>
  <c r="I112" i="63"/>
  <c r="H116" i="17"/>
  <c r="I116" i="17"/>
  <c r="H108" i="84"/>
  <c r="I108" i="84"/>
  <c r="J115" i="20"/>
  <c r="B110" i="83"/>
  <c r="F110" i="83"/>
  <c r="I116" i="21"/>
  <c r="H116" i="21"/>
  <c r="H110" i="75"/>
  <c r="I110" i="75"/>
  <c r="H115" i="42"/>
  <c r="I115" i="42"/>
  <c r="H117" i="24"/>
  <c r="I117" i="24"/>
  <c r="G112" i="61"/>
  <c r="D113" i="61"/>
  <c r="E113" i="61"/>
  <c r="F109" i="91"/>
  <c r="B109" i="91"/>
  <c r="H106" i="97"/>
  <c r="I106" i="97"/>
  <c r="B115" i="45"/>
  <c r="F115" i="45"/>
  <c r="F119" i="30"/>
  <c r="B119" i="30"/>
  <c r="F114" i="57"/>
  <c r="B114" i="57"/>
  <c r="B114" i="56"/>
  <c r="F114" i="56"/>
  <c r="I108" i="90"/>
  <c r="H108" i="90"/>
  <c r="F111" i="77"/>
  <c r="B111" i="77"/>
  <c r="I110" i="76"/>
  <c r="H110" i="76"/>
  <c r="J116" i="31"/>
  <c r="H115" i="39"/>
  <c r="I115" i="39"/>
  <c r="I113" i="72"/>
  <c r="H113" i="72"/>
  <c r="D118" i="31"/>
  <c r="G117" i="31"/>
  <c r="E118" i="31"/>
  <c r="F109" i="92"/>
  <c r="B109" i="92"/>
  <c r="I112" i="64"/>
  <c r="H112" i="64"/>
  <c r="H108" i="88"/>
  <c r="I108" i="88"/>
  <c r="B116" i="73"/>
  <c r="F116" i="73"/>
  <c r="I111" i="66"/>
  <c r="H111" i="66"/>
  <c r="H108" i="91"/>
  <c r="I108" i="91"/>
  <c r="B119" i="70"/>
  <c r="F119" i="70"/>
  <c r="F103" i="13"/>
  <c r="F120" i="28"/>
  <c r="B120" i="28"/>
  <c r="F109" i="90"/>
  <c r="B109" i="90"/>
  <c r="F113" i="59"/>
  <c r="B113" i="59"/>
  <c r="I108" i="89"/>
  <c r="H108" i="89"/>
  <c r="F111" i="75"/>
  <c r="B111" i="75"/>
  <c r="H113" i="53"/>
  <c r="I113" i="53"/>
  <c r="D118" i="23"/>
  <c r="B118" i="23" s="1"/>
  <c r="G117" i="23"/>
  <c r="E118" i="23"/>
  <c r="H113" i="56"/>
  <c r="I113" i="56"/>
  <c r="H109" i="101"/>
  <c r="I109" i="101"/>
  <c r="H113" i="58"/>
  <c r="I113" i="58"/>
  <c r="I110" i="77"/>
  <c r="H110" i="77"/>
  <c r="B111" i="76"/>
  <c r="F111" i="76"/>
  <c r="B114" i="72"/>
  <c r="F114" i="72"/>
  <c r="I108" i="92"/>
  <c r="H108" i="92"/>
  <c r="F109" i="88"/>
  <c r="B109" i="88"/>
  <c r="I115" i="73"/>
  <c r="H115" i="73"/>
  <c r="B110" i="80"/>
  <c r="F110" i="80"/>
  <c r="F112" i="66"/>
  <c r="B112" i="66"/>
  <c r="H118" i="70"/>
  <c r="I118" i="70"/>
  <c r="H112" i="62"/>
  <c r="I112" i="62"/>
  <c r="F111" i="79"/>
  <c r="B111" i="79"/>
  <c r="I108" i="94"/>
  <c r="H108" i="94"/>
  <c r="B116" i="74"/>
  <c r="F116" i="74"/>
  <c r="I118" i="30"/>
  <c r="H118" i="30"/>
  <c r="I115" i="43"/>
  <c r="H115" i="43"/>
  <c r="H118" i="69"/>
  <c r="I118" i="69"/>
  <c r="B113" i="64"/>
  <c r="F113" i="64"/>
  <c r="H109" i="83"/>
  <c r="I109" i="83"/>
  <c r="B119" i="29"/>
  <c r="F119" i="29"/>
  <c r="H118" i="29"/>
  <c r="I118" i="29"/>
  <c r="F110" i="101"/>
  <c r="B110" i="101"/>
  <c r="H113" i="55"/>
  <c r="I113" i="55"/>
  <c r="B114" i="58"/>
  <c r="F114" i="58"/>
  <c r="J105" i="99"/>
  <c r="D108" i="95"/>
  <c r="G107" i="95"/>
  <c r="E108" i="95"/>
  <c r="I118" i="27"/>
  <c r="H118" i="27"/>
  <c r="B117" i="19"/>
  <c r="F117" i="19"/>
  <c r="I109" i="80"/>
  <c r="H109" i="80"/>
  <c r="J115" i="18"/>
  <c r="H102" i="13"/>
  <c r="I102" i="13"/>
  <c r="I116" i="3"/>
  <c r="H116" i="3"/>
  <c r="F113" i="62"/>
  <c r="B113" i="62"/>
  <c r="H110" i="79"/>
  <c r="I110" i="79"/>
  <c r="R135" i="2"/>
  <c r="O19" i="2"/>
  <c r="B116" i="39"/>
  <c r="F116" i="39"/>
  <c r="I119" i="28"/>
  <c r="H119" i="28"/>
  <c r="B114" i="53"/>
  <c r="F114" i="53"/>
  <c r="I109" i="86"/>
  <c r="H109" i="86"/>
  <c r="B109" i="87"/>
  <c r="F109" i="87"/>
  <c r="J111" i="61"/>
  <c r="H109" i="81"/>
  <c r="I109" i="81"/>
  <c r="F110" i="86"/>
  <c r="B110" i="86"/>
  <c r="B114" i="55"/>
  <c r="F114" i="55"/>
  <c r="H111" i="65"/>
  <c r="I111" i="65"/>
  <c r="B119" i="27"/>
  <c r="F119" i="27"/>
  <c r="F117" i="22"/>
  <c r="B117" i="22"/>
  <c r="H110" i="78"/>
  <c r="I110" i="78"/>
  <c r="H116" i="19"/>
  <c r="I116" i="19"/>
  <c r="B108" i="96"/>
  <c r="F108" i="96"/>
  <c r="I102" i="102"/>
  <c r="H102" i="102"/>
  <c r="B117" i="3"/>
  <c r="F117" i="3"/>
  <c r="J116" i="23"/>
  <c r="B107" i="97"/>
  <c r="F107" i="97"/>
  <c r="I114" i="45"/>
  <c r="H114" i="45"/>
  <c r="I113" i="57"/>
  <c r="H113" i="57"/>
  <c r="G116" i="20"/>
  <c r="D117" i="20"/>
  <c r="E117" i="20"/>
  <c r="I108" i="87"/>
  <c r="H108" i="87"/>
  <c r="J106" i="93"/>
  <c r="H109" i="85"/>
  <c r="I109" i="85"/>
  <c r="B110" i="81"/>
  <c r="F110" i="81"/>
  <c r="F117" i="34"/>
  <c r="B117" i="34"/>
  <c r="J106" i="95"/>
  <c r="B112" i="65"/>
  <c r="F112" i="65"/>
  <c r="H115" i="44"/>
  <c r="I115" i="44"/>
  <c r="I115" i="41"/>
  <c r="H115" i="41"/>
  <c r="H117" i="71"/>
  <c r="I117" i="71"/>
  <c r="I116" i="22"/>
  <c r="H116" i="22"/>
  <c r="B112" i="68"/>
  <c r="F112" i="68"/>
  <c r="B111" i="78"/>
  <c r="F111" i="78"/>
  <c r="G106" i="99"/>
  <c r="D107" i="99"/>
  <c r="E107" i="99"/>
  <c r="I107" i="96"/>
  <c r="H107" i="96"/>
  <c r="D117" i="18"/>
  <c r="G116" i="18"/>
  <c r="E117" i="18"/>
  <c r="B103" i="102"/>
  <c r="F103" i="102"/>
  <c r="I111" i="67"/>
  <c r="H111" i="67"/>
  <c r="I109" i="82"/>
  <c r="H109" i="82"/>
  <c r="N89" i="34"/>
  <c r="O88" i="34"/>
  <c r="O89" i="34" s="1"/>
  <c r="J111" i="60"/>
  <c r="B116" i="44"/>
  <c r="F116" i="44"/>
  <c r="G112" i="60"/>
  <c r="D113" i="60"/>
  <c r="E113" i="60"/>
  <c r="B116" i="41"/>
  <c r="F116" i="41"/>
  <c r="F118" i="71"/>
  <c r="B118" i="71"/>
  <c r="F117" i="17"/>
  <c r="B117" i="17"/>
  <c r="H111" i="68"/>
  <c r="I111" i="68"/>
  <c r="B109" i="84"/>
  <c r="F109" i="84"/>
  <c r="G107" i="93"/>
  <c r="D108" i="93"/>
  <c r="E108" i="93"/>
  <c r="F117" i="21"/>
  <c r="B117" i="21"/>
  <c r="B116" i="42"/>
  <c r="F116" i="42"/>
  <c r="B118" i="24"/>
  <c r="F118" i="24"/>
  <c r="F112" i="67"/>
  <c r="B112" i="67"/>
  <c r="B110" i="82"/>
  <c r="F110" i="82"/>
  <c r="J118" i="29" l="1"/>
  <c r="J109" i="101"/>
  <c r="J102" i="13"/>
  <c r="F118" i="23"/>
  <c r="D119" i="23" s="1"/>
  <c r="J111" i="65"/>
  <c r="J106" i="97"/>
  <c r="J108" i="91"/>
  <c r="J117" i="32"/>
  <c r="J109" i="83"/>
  <c r="J108" i="89"/>
  <c r="J108" i="90"/>
  <c r="J107" i="96"/>
  <c r="G113" i="64"/>
  <c r="D114" i="64"/>
  <c r="E114" i="64"/>
  <c r="G116" i="74"/>
  <c r="D117" i="74"/>
  <c r="E117" i="74"/>
  <c r="J118" i="70"/>
  <c r="G118" i="23"/>
  <c r="G119" i="70"/>
  <c r="D120" i="70"/>
  <c r="E120" i="70"/>
  <c r="J108" i="88"/>
  <c r="B118" i="31"/>
  <c r="F118" i="31"/>
  <c r="J110" i="76"/>
  <c r="G114" i="57"/>
  <c r="D115" i="57"/>
  <c r="E115" i="57"/>
  <c r="G109" i="91"/>
  <c r="D110" i="91"/>
  <c r="E110" i="91"/>
  <c r="J110" i="75"/>
  <c r="J108" i="84"/>
  <c r="G118" i="32"/>
  <c r="D119" i="32"/>
  <c r="E119" i="32"/>
  <c r="G109" i="94"/>
  <c r="D110" i="94"/>
  <c r="E110" i="94"/>
  <c r="J115" i="41"/>
  <c r="J119" i="28"/>
  <c r="F108" i="95"/>
  <c r="B108" i="95"/>
  <c r="J118" i="69"/>
  <c r="J113" i="58"/>
  <c r="D114" i="59"/>
  <c r="G113" i="59"/>
  <c r="E114" i="59"/>
  <c r="J113" i="72"/>
  <c r="D112" i="77"/>
  <c r="G111" i="77"/>
  <c r="E112" i="77"/>
  <c r="G119" i="30"/>
  <c r="D120" i="30"/>
  <c r="E120" i="30"/>
  <c r="F113" i="61"/>
  <c r="B113" i="61"/>
  <c r="J116" i="17"/>
  <c r="J113" i="54"/>
  <c r="J113" i="46"/>
  <c r="D118" i="21"/>
  <c r="G117" i="21"/>
  <c r="E118" i="21"/>
  <c r="I112" i="60"/>
  <c r="H112" i="60"/>
  <c r="J109" i="82"/>
  <c r="J109" i="85"/>
  <c r="D118" i="3"/>
  <c r="G117" i="3"/>
  <c r="E118" i="3"/>
  <c r="J110" i="78"/>
  <c r="G114" i="55"/>
  <c r="D115" i="55"/>
  <c r="E115" i="55"/>
  <c r="G109" i="87"/>
  <c r="D110" i="87"/>
  <c r="E110" i="87"/>
  <c r="G116" i="39"/>
  <c r="D117" i="39"/>
  <c r="E117" i="39"/>
  <c r="D114" i="62"/>
  <c r="G113" i="62"/>
  <c r="E114" i="62"/>
  <c r="J109" i="80"/>
  <c r="J108" i="94"/>
  <c r="G112" i="66"/>
  <c r="D113" i="66"/>
  <c r="E113" i="66"/>
  <c r="J108" i="92"/>
  <c r="J113" i="53"/>
  <c r="J112" i="64"/>
  <c r="J115" i="39"/>
  <c r="G115" i="45"/>
  <c r="D116" i="45"/>
  <c r="E116" i="45"/>
  <c r="H112" i="61"/>
  <c r="I112" i="61"/>
  <c r="J116" i="21"/>
  <c r="D117" i="43"/>
  <c r="G116" i="43"/>
  <c r="E117" i="43"/>
  <c r="D114" i="63"/>
  <c r="G113" i="63"/>
  <c r="E114" i="63"/>
  <c r="D112" i="78"/>
  <c r="G111" i="78"/>
  <c r="E112" i="78"/>
  <c r="J110" i="79"/>
  <c r="G110" i="81"/>
  <c r="D111" i="81"/>
  <c r="E111" i="81"/>
  <c r="I107" i="95"/>
  <c r="H107" i="95"/>
  <c r="G116" i="44"/>
  <c r="D117" i="44"/>
  <c r="E117" i="44"/>
  <c r="D115" i="58"/>
  <c r="G114" i="58"/>
  <c r="E115" i="58"/>
  <c r="D120" i="29"/>
  <c r="G119" i="29"/>
  <c r="E120" i="29"/>
  <c r="D115" i="72"/>
  <c r="G114" i="72"/>
  <c r="E115" i="72"/>
  <c r="G109" i="90"/>
  <c r="D110" i="90"/>
  <c r="E110" i="90"/>
  <c r="J117" i="24"/>
  <c r="D111" i="83"/>
  <c r="G110" i="83"/>
  <c r="E111" i="83"/>
  <c r="J112" i="63"/>
  <c r="J116" i="34"/>
  <c r="G117" i="34"/>
  <c r="D118" i="34"/>
  <c r="E118" i="34"/>
  <c r="F117" i="20"/>
  <c r="B117" i="20"/>
  <c r="J116" i="19"/>
  <c r="J110" i="77"/>
  <c r="D115" i="54"/>
  <c r="G114" i="54"/>
  <c r="E115" i="54"/>
  <c r="B113" i="60"/>
  <c r="F113" i="60"/>
  <c r="F117" i="18"/>
  <c r="B117" i="18"/>
  <c r="J115" i="44"/>
  <c r="H116" i="20"/>
  <c r="I116" i="20"/>
  <c r="G112" i="65"/>
  <c r="D113" i="65"/>
  <c r="E113" i="65"/>
  <c r="G117" i="19"/>
  <c r="D118" i="19"/>
  <c r="E118" i="19"/>
  <c r="G110" i="80"/>
  <c r="D111" i="80"/>
  <c r="E111" i="80"/>
  <c r="J116" i="22"/>
  <c r="J116" i="3"/>
  <c r="J115" i="43"/>
  <c r="D112" i="79"/>
  <c r="G111" i="79"/>
  <c r="E112" i="79"/>
  <c r="J111" i="66"/>
  <c r="D110" i="92"/>
  <c r="G109" i="92"/>
  <c r="E110" i="92"/>
  <c r="D115" i="56"/>
  <c r="G114" i="56"/>
  <c r="E115" i="56"/>
  <c r="J112" i="59"/>
  <c r="G114" i="46"/>
  <c r="D115" i="46"/>
  <c r="E115" i="46"/>
  <c r="G107" i="98"/>
  <c r="D108" i="98"/>
  <c r="E108" i="98"/>
  <c r="D117" i="42"/>
  <c r="G116" i="42"/>
  <c r="E117" i="42"/>
  <c r="D110" i="88"/>
  <c r="G109" i="88"/>
  <c r="E110" i="88"/>
  <c r="H117" i="23"/>
  <c r="I117" i="23"/>
  <c r="D113" i="67"/>
  <c r="G112" i="67"/>
  <c r="E113" i="67"/>
  <c r="B108" i="93"/>
  <c r="F108" i="93"/>
  <c r="J111" i="67"/>
  <c r="D119" i="24"/>
  <c r="G118" i="24"/>
  <c r="E119" i="24"/>
  <c r="I107" i="93"/>
  <c r="H107" i="93"/>
  <c r="D119" i="71"/>
  <c r="G118" i="71"/>
  <c r="E119" i="71"/>
  <c r="D104" i="102"/>
  <c r="G103" i="102"/>
  <c r="E104" i="102"/>
  <c r="F107" i="99"/>
  <c r="B107" i="99"/>
  <c r="J117" i="71"/>
  <c r="J114" i="45"/>
  <c r="J102" i="102"/>
  <c r="D118" i="22"/>
  <c r="G117" i="22"/>
  <c r="E118" i="22"/>
  <c r="D111" i="86"/>
  <c r="G110" i="86"/>
  <c r="E111" i="86"/>
  <c r="J109" i="86"/>
  <c r="J113" i="55"/>
  <c r="J112" i="62"/>
  <c r="G111" i="76"/>
  <c r="D112" i="76"/>
  <c r="E112" i="76"/>
  <c r="J113" i="56"/>
  <c r="G111" i="75"/>
  <c r="D112" i="75"/>
  <c r="E112" i="75"/>
  <c r="G120" i="28"/>
  <c r="D121" i="28"/>
  <c r="E121" i="28"/>
  <c r="G116" i="73"/>
  <c r="D117" i="73"/>
  <c r="E117" i="73"/>
  <c r="J115" i="42"/>
  <c r="G110" i="85"/>
  <c r="D111" i="85"/>
  <c r="E111" i="85"/>
  <c r="J111" i="68"/>
  <c r="I116" i="18"/>
  <c r="H116" i="18"/>
  <c r="G110" i="101"/>
  <c r="D111" i="101"/>
  <c r="E111" i="101"/>
  <c r="G119" i="69"/>
  <c r="D120" i="69"/>
  <c r="E120" i="69"/>
  <c r="G110" i="82"/>
  <c r="D111" i="82"/>
  <c r="E111" i="82"/>
  <c r="D113" i="68"/>
  <c r="G112" i="68"/>
  <c r="E113" i="68"/>
  <c r="G117" i="17"/>
  <c r="D118" i="17"/>
  <c r="E118" i="17"/>
  <c r="J113" i="57"/>
  <c r="D110" i="84"/>
  <c r="G109" i="84"/>
  <c r="E110" i="84"/>
  <c r="D117" i="41"/>
  <c r="G116" i="41"/>
  <c r="E117" i="41"/>
  <c r="I106" i="99"/>
  <c r="H106" i="99"/>
  <c r="J108" i="87"/>
  <c r="G107" i="97"/>
  <c r="D108" i="97"/>
  <c r="E108" i="97"/>
  <c r="D109" i="96"/>
  <c r="G108" i="96"/>
  <c r="E109" i="96"/>
  <c r="D120" i="27"/>
  <c r="G119" i="27"/>
  <c r="E120" i="27"/>
  <c r="J109" i="81"/>
  <c r="D115" i="53"/>
  <c r="G114" i="53"/>
  <c r="E115" i="53"/>
  <c r="J118" i="27"/>
  <c r="J118" i="30"/>
  <c r="J115" i="73"/>
  <c r="G103" i="13"/>
  <c r="D104" i="13"/>
  <c r="E104" i="13"/>
  <c r="H117" i="31"/>
  <c r="I117" i="31"/>
  <c r="D110" i="89"/>
  <c r="G109" i="89"/>
  <c r="E110" i="89"/>
  <c r="J106" i="98"/>
  <c r="J115" i="74"/>
  <c r="E119" i="23" l="1"/>
  <c r="J107" i="93"/>
  <c r="B111" i="85"/>
  <c r="F111" i="85"/>
  <c r="F115" i="56"/>
  <c r="B115" i="56"/>
  <c r="H112" i="65"/>
  <c r="I112" i="65"/>
  <c r="H109" i="91"/>
  <c r="I109" i="91"/>
  <c r="B113" i="68"/>
  <c r="F113" i="68"/>
  <c r="F108" i="97"/>
  <c r="B108" i="97"/>
  <c r="H119" i="69"/>
  <c r="I119" i="69"/>
  <c r="H116" i="73"/>
  <c r="I116" i="73"/>
  <c r="B104" i="102"/>
  <c r="F104" i="102"/>
  <c r="B119" i="24"/>
  <c r="F119" i="24"/>
  <c r="F108" i="98"/>
  <c r="B108" i="98"/>
  <c r="H114" i="56"/>
  <c r="I114" i="56"/>
  <c r="H111" i="79"/>
  <c r="I111" i="79"/>
  <c r="B113" i="65"/>
  <c r="F113" i="65"/>
  <c r="D114" i="60"/>
  <c r="G113" i="60"/>
  <c r="E114" i="60"/>
  <c r="I109" i="90"/>
  <c r="H109" i="90"/>
  <c r="I114" i="58"/>
  <c r="H114" i="58"/>
  <c r="B111" i="81"/>
  <c r="F111" i="81"/>
  <c r="H113" i="63"/>
  <c r="I113" i="63"/>
  <c r="J112" i="61"/>
  <c r="H113" i="62"/>
  <c r="I113" i="62"/>
  <c r="I109" i="94"/>
  <c r="H109" i="94"/>
  <c r="B110" i="91"/>
  <c r="F110" i="91"/>
  <c r="I109" i="84"/>
  <c r="H109" i="84"/>
  <c r="B114" i="63"/>
  <c r="F114" i="63"/>
  <c r="H119" i="27"/>
  <c r="I119" i="27"/>
  <c r="F110" i="84"/>
  <c r="B110" i="84"/>
  <c r="H110" i="86"/>
  <c r="I110" i="86"/>
  <c r="I118" i="71"/>
  <c r="H118" i="71"/>
  <c r="G108" i="93"/>
  <c r="D109" i="93"/>
  <c r="E109" i="93"/>
  <c r="I109" i="88"/>
  <c r="H109" i="88"/>
  <c r="I110" i="80"/>
  <c r="H110" i="80"/>
  <c r="J116" i="20"/>
  <c r="H110" i="83"/>
  <c r="I110" i="83"/>
  <c r="H114" i="72"/>
  <c r="I114" i="72"/>
  <c r="I114" i="55"/>
  <c r="H114" i="55"/>
  <c r="I119" i="30"/>
  <c r="H119" i="30"/>
  <c r="I113" i="59"/>
  <c r="H113" i="59"/>
  <c r="B119" i="32"/>
  <c r="F119" i="32"/>
  <c r="J117" i="31"/>
  <c r="B120" i="27"/>
  <c r="F120" i="27"/>
  <c r="H110" i="101"/>
  <c r="I110" i="101"/>
  <c r="I120" i="28"/>
  <c r="H120" i="28"/>
  <c r="I111" i="76"/>
  <c r="H111" i="76"/>
  <c r="B111" i="86"/>
  <c r="F111" i="86"/>
  <c r="F119" i="71"/>
  <c r="B119" i="71"/>
  <c r="B110" i="88"/>
  <c r="F110" i="88"/>
  <c r="F115" i="46"/>
  <c r="B115" i="46"/>
  <c r="H109" i="92"/>
  <c r="I109" i="92"/>
  <c r="H114" i="54"/>
  <c r="I114" i="54"/>
  <c r="B118" i="34"/>
  <c r="F118" i="34"/>
  <c r="F111" i="83"/>
  <c r="B111" i="83"/>
  <c r="B115" i="72"/>
  <c r="F115" i="72"/>
  <c r="B117" i="44"/>
  <c r="F117" i="44"/>
  <c r="H116" i="43"/>
  <c r="I116" i="43"/>
  <c r="B116" i="45"/>
  <c r="F116" i="45"/>
  <c r="B113" i="66"/>
  <c r="F113" i="66"/>
  <c r="B117" i="39"/>
  <c r="F117" i="39"/>
  <c r="J112" i="60"/>
  <c r="B114" i="59"/>
  <c r="F114" i="59"/>
  <c r="I118" i="32"/>
  <c r="H118" i="32"/>
  <c r="B115" i="57"/>
  <c r="F115" i="57"/>
  <c r="B120" i="70"/>
  <c r="F120" i="70"/>
  <c r="F117" i="74"/>
  <c r="B117" i="74"/>
  <c r="I107" i="98"/>
  <c r="H107" i="98"/>
  <c r="F115" i="55"/>
  <c r="B115" i="55"/>
  <c r="B120" i="30"/>
  <c r="F120" i="30"/>
  <c r="I110" i="85"/>
  <c r="H110" i="85"/>
  <c r="J106" i="99"/>
  <c r="F111" i="82"/>
  <c r="B111" i="82"/>
  <c r="I114" i="46"/>
  <c r="H114" i="46"/>
  <c r="B110" i="92"/>
  <c r="F110" i="92"/>
  <c r="B118" i="19"/>
  <c r="F118" i="19"/>
  <c r="F115" i="54"/>
  <c r="B115" i="54"/>
  <c r="I117" i="34"/>
  <c r="H117" i="34"/>
  <c r="I116" i="44"/>
  <c r="H116" i="44"/>
  <c r="F117" i="43"/>
  <c r="B117" i="43"/>
  <c r="H115" i="45"/>
  <c r="I115" i="45"/>
  <c r="H112" i="66"/>
  <c r="I112" i="66"/>
  <c r="H116" i="39"/>
  <c r="I116" i="39"/>
  <c r="I111" i="77"/>
  <c r="H111" i="77"/>
  <c r="H114" i="57"/>
  <c r="I114" i="57"/>
  <c r="I119" i="70"/>
  <c r="H119" i="70"/>
  <c r="I116" i="74"/>
  <c r="H116" i="74"/>
  <c r="I112" i="68"/>
  <c r="H112" i="68"/>
  <c r="F112" i="79"/>
  <c r="B112" i="79"/>
  <c r="B115" i="58"/>
  <c r="F115" i="58"/>
  <c r="G108" i="95"/>
  <c r="D109" i="95"/>
  <c r="E109" i="95"/>
  <c r="B110" i="89"/>
  <c r="F110" i="89"/>
  <c r="B112" i="76"/>
  <c r="F112" i="76"/>
  <c r="I108" i="96"/>
  <c r="H108" i="96"/>
  <c r="I110" i="82"/>
  <c r="H110" i="82"/>
  <c r="J116" i="18"/>
  <c r="B112" i="75"/>
  <c r="F112" i="75"/>
  <c r="I117" i="22"/>
  <c r="H117" i="22"/>
  <c r="D108" i="99"/>
  <c r="G107" i="99"/>
  <c r="E108" i="99"/>
  <c r="H112" i="67"/>
  <c r="I112" i="67"/>
  <c r="I116" i="42"/>
  <c r="H116" i="42"/>
  <c r="I117" i="19"/>
  <c r="H117" i="19"/>
  <c r="I119" i="29"/>
  <c r="H119" i="29"/>
  <c r="I111" i="78"/>
  <c r="H111" i="78"/>
  <c r="H117" i="3"/>
  <c r="I117" i="3"/>
  <c r="H117" i="21"/>
  <c r="I117" i="21"/>
  <c r="B112" i="77"/>
  <c r="F112" i="77"/>
  <c r="I109" i="89"/>
  <c r="H109" i="89"/>
  <c r="D118" i="20"/>
  <c r="G117" i="20"/>
  <c r="E118" i="20"/>
  <c r="F111" i="101"/>
  <c r="B111" i="101"/>
  <c r="B104" i="13"/>
  <c r="F104" i="13"/>
  <c r="B109" i="96"/>
  <c r="F109" i="96"/>
  <c r="I116" i="41"/>
  <c r="H116" i="41"/>
  <c r="I111" i="75"/>
  <c r="H111" i="75"/>
  <c r="B118" i="22"/>
  <c r="F118" i="22"/>
  <c r="F113" i="67"/>
  <c r="B113" i="67"/>
  <c r="F117" i="42"/>
  <c r="B117" i="42"/>
  <c r="B120" i="29"/>
  <c r="F120" i="29"/>
  <c r="J107" i="95"/>
  <c r="F112" i="78"/>
  <c r="B112" i="78"/>
  <c r="B110" i="87"/>
  <c r="F110" i="87"/>
  <c r="B118" i="3"/>
  <c r="F118" i="3"/>
  <c r="F118" i="21"/>
  <c r="B118" i="21"/>
  <c r="B119" i="23"/>
  <c r="F119" i="23"/>
  <c r="F114" i="64"/>
  <c r="B114" i="64"/>
  <c r="H107" i="97"/>
  <c r="I107" i="97"/>
  <c r="B111" i="80"/>
  <c r="F111" i="80"/>
  <c r="I110" i="81"/>
  <c r="H110" i="81"/>
  <c r="F114" i="62"/>
  <c r="B114" i="62"/>
  <c r="F121" i="28"/>
  <c r="B121" i="28"/>
  <c r="I114" i="53"/>
  <c r="H114" i="53"/>
  <c r="B118" i="17"/>
  <c r="F118" i="17"/>
  <c r="H103" i="13"/>
  <c r="I103" i="13"/>
  <c r="B115" i="53"/>
  <c r="F115" i="53"/>
  <c r="F117" i="41"/>
  <c r="B117" i="41"/>
  <c r="H117" i="17"/>
  <c r="I117" i="17"/>
  <c r="B120" i="69"/>
  <c r="F120" i="69"/>
  <c r="B117" i="73"/>
  <c r="F117" i="73"/>
  <c r="H103" i="102"/>
  <c r="I103" i="102"/>
  <c r="I118" i="24"/>
  <c r="H118" i="24"/>
  <c r="J117" i="23"/>
  <c r="D118" i="18"/>
  <c r="G117" i="18"/>
  <c r="E118" i="18"/>
  <c r="F110" i="90"/>
  <c r="B110" i="90"/>
  <c r="H109" i="87"/>
  <c r="I109" i="87"/>
  <c r="G113" i="61"/>
  <c r="D114" i="61"/>
  <c r="E114" i="61"/>
  <c r="F110" i="94"/>
  <c r="B110" i="94"/>
  <c r="D119" i="31"/>
  <c r="G118" i="31"/>
  <c r="E119" i="31"/>
  <c r="H118" i="23"/>
  <c r="I118" i="23"/>
  <c r="I113" i="64"/>
  <c r="H113" i="64"/>
  <c r="J103" i="102" l="1"/>
  <c r="J109" i="88"/>
  <c r="J109" i="84"/>
  <c r="J107" i="97"/>
  <c r="J119" i="27"/>
  <c r="J109" i="92"/>
  <c r="J110" i="85"/>
  <c r="J108" i="96"/>
  <c r="J113" i="64"/>
  <c r="J103" i="13"/>
  <c r="J112" i="67"/>
  <c r="J109" i="90"/>
  <c r="H118" i="31"/>
  <c r="I118" i="31"/>
  <c r="D112" i="81"/>
  <c r="G111" i="81"/>
  <c r="E112" i="81"/>
  <c r="H117" i="18"/>
  <c r="I117" i="18"/>
  <c r="D118" i="73"/>
  <c r="G117" i="73"/>
  <c r="E118" i="73"/>
  <c r="G115" i="53"/>
  <c r="D116" i="53"/>
  <c r="E116" i="53"/>
  <c r="J118" i="23"/>
  <c r="F114" i="61"/>
  <c r="B114" i="61"/>
  <c r="B118" i="18"/>
  <c r="F118" i="18"/>
  <c r="D122" i="28"/>
  <c r="G121" i="28"/>
  <c r="E122" i="28"/>
  <c r="J117" i="19"/>
  <c r="I108" i="95"/>
  <c r="H108" i="95"/>
  <c r="J116" i="74"/>
  <c r="J116" i="44"/>
  <c r="D121" i="30"/>
  <c r="G120" i="30"/>
  <c r="E121" i="30"/>
  <c r="D121" i="70"/>
  <c r="G120" i="70"/>
  <c r="E121" i="70"/>
  <c r="J116" i="43"/>
  <c r="G118" i="34"/>
  <c r="D119" i="34"/>
  <c r="E119" i="34"/>
  <c r="D111" i="88"/>
  <c r="G110" i="88"/>
  <c r="E111" i="88"/>
  <c r="D120" i="32"/>
  <c r="G119" i="32"/>
  <c r="E120" i="32"/>
  <c r="J114" i="72"/>
  <c r="J114" i="56"/>
  <c r="J116" i="73"/>
  <c r="J109" i="91"/>
  <c r="H113" i="61"/>
  <c r="I113" i="61"/>
  <c r="G120" i="69"/>
  <c r="D121" i="69"/>
  <c r="E121" i="69"/>
  <c r="D111" i="87"/>
  <c r="G110" i="87"/>
  <c r="E111" i="87"/>
  <c r="D118" i="42"/>
  <c r="G117" i="42"/>
  <c r="E118" i="42"/>
  <c r="J116" i="41"/>
  <c r="I117" i="20"/>
  <c r="H117" i="20"/>
  <c r="J117" i="3"/>
  <c r="J117" i="22"/>
  <c r="D116" i="58"/>
  <c r="G115" i="58"/>
  <c r="E116" i="58"/>
  <c r="J112" i="66"/>
  <c r="J120" i="28"/>
  <c r="D111" i="91"/>
  <c r="G110" i="91"/>
  <c r="E111" i="91"/>
  <c r="J113" i="63"/>
  <c r="J109" i="87"/>
  <c r="D115" i="62"/>
  <c r="G114" i="62"/>
  <c r="E115" i="62"/>
  <c r="D115" i="64"/>
  <c r="G114" i="64"/>
  <c r="E115" i="64"/>
  <c r="D110" i="96"/>
  <c r="G109" i="96"/>
  <c r="E110" i="96"/>
  <c r="B118" i="20"/>
  <c r="F118" i="20"/>
  <c r="J116" i="42"/>
  <c r="D113" i="75"/>
  <c r="G112" i="75"/>
  <c r="E113" i="75"/>
  <c r="D113" i="76"/>
  <c r="G112" i="76"/>
  <c r="E113" i="76"/>
  <c r="J119" i="70"/>
  <c r="J117" i="34"/>
  <c r="J114" i="46"/>
  <c r="D116" i="57"/>
  <c r="G115" i="57"/>
  <c r="E116" i="57"/>
  <c r="G117" i="39"/>
  <c r="D118" i="39"/>
  <c r="E118" i="39"/>
  <c r="G117" i="44"/>
  <c r="D118" i="44"/>
  <c r="E118" i="44"/>
  <c r="J114" i="54"/>
  <c r="J110" i="101"/>
  <c r="J110" i="83"/>
  <c r="D111" i="84"/>
  <c r="G110" i="84"/>
  <c r="E111" i="84"/>
  <c r="H113" i="60"/>
  <c r="I113" i="60"/>
  <c r="J119" i="69"/>
  <c r="J112" i="65"/>
  <c r="F114" i="60"/>
  <c r="B114" i="60"/>
  <c r="D109" i="98"/>
  <c r="G108" i="98"/>
  <c r="E109" i="98"/>
  <c r="J117" i="17"/>
  <c r="D114" i="67"/>
  <c r="G113" i="67"/>
  <c r="E114" i="67"/>
  <c r="J115" i="45"/>
  <c r="G119" i="71"/>
  <c r="D120" i="71"/>
  <c r="E120" i="71"/>
  <c r="J113" i="59"/>
  <c r="J118" i="24"/>
  <c r="D113" i="78"/>
  <c r="G112" i="78"/>
  <c r="E113" i="78"/>
  <c r="J109" i="89"/>
  <c r="J111" i="78"/>
  <c r="G110" i="89"/>
  <c r="D111" i="89"/>
  <c r="E111" i="89"/>
  <c r="G112" i="79"/>
  <c r="D113" i="79"/>
  <c r="E113" i="79"/>
  <c r="D116" i="54"/>
  <c r="G115" i="54"/>
  <c r="E116" i="54"/>
  <c r="D112" i="82"/>
  <c r="G111" i="82"/>
  <c r="E112" i="82"/>
  <c r="D114" i="66"/>
  <c r="G113" i="66"/>
  <c r="E114" i="66"/>
  <c r="G115" i="72"/>
  <c r="D116" i="72"/>
  <c r="E116" i="72"/>
  <c r="G111" i="86"/>
  <c r="D112" i="86"/>
  <c r="E112" i="86"/>
  <c r="G120" i="27"/>
  <c r="D121" i="27"/>
  <c r="E121" i="27"/>
  <c r="H108" i="93"/>
  <c r="I108" i="93"/>
  <c r="J109" i="94"/>
  <c r="G113" i="65"/>
  <c r="D114" i="65"/>
  <c r="E114" i="65"/>
  <c r="D120" i="24"/>
  <c r="G119" i="24"/>
  <c r="E120" i="24"/>
  <c r="D119" i="17"/>
  <c r="G118" i="17"/>
  <c r="E119" i="17"/>
  <c r="D120" i="23"/>
  <c r="G119" i="23"/>
  <c r="E120" i="23"/>
  <c r="J114" i="57"/>
  <c r="G115" i="55"/>
  <c r="D116" i="55"/>
  <c r="E116" i="55"/>
  <c r="B109" i="93"/>
  <c r="F109" i="93"/>
  <c r="F119" i="31"/>
  <c r="B119" i="31"/>
  <c r="D119" i="22"/>
  <c r="G118" i="22"/>
  <c r="E119" i="22"/>
  <c r="G112" i="77"/>
  <c r="D113" i="77"/>
  <c r="E113" i="77"/>
  <c r="D119" i="19"/>
  <c r="G118" i="19"/>
  <c r="E119" i="19"/>
  <c r="J107" i="98"/>
  <c r="J118" i="32"/>
  <c r="J119" i="30"/>
  <c r="G114" i="63"/>
  <c r="D115" i="63"/>
  <c r="E115" i="63"/>
  <c r="J113" i="62"/>
  <c r="D109" i="97"/>
  <c r="G108" i="97"/>
  <c r="E109" i="97"/>
  <c r="D116" i="56"/>
  <c r="G115" i="56"/>
  <c r="E116" i="56"/>
  <c r="J110" i="81"/>
  <c r="D105" i="13"/>
  <c r="B105" i="13" s="1"/>
  <c r="G104" i="13"/>
  <c r="E105" i="13"/>
  <c r="D111" i="90"/>
  <c r="G110" i="90"/>
  <c r="E111" i="90"/>
  <c r="D112" i="80"/>
  <c r="G111" i="80"/>
  <c r="E112" i="80"/>
  <c r="G110" i="94"/>
  <c r="D111" i="94"/>
  <c r="E111" i="94"/>
  <c r="D118" i="41"/>
  <c r="G117" i="41"/>
  <c r="E118" i="41"/>
  <c r="J114" i="53"/>
  <c r="G118" i="21"/>
  <c r="D119" i="21"/>
  <c r="E119" i="21"/>
  <c r="D121" i="29"/>
  <c r="G120" i="29"/>
  <c r="E121" i="29"/>
  <c r="J119" i="29"/>
  <c r="I107" i="99"/>
  <c r="H107" i="99"/>
  <c r="J112" i="68"/>
  <c r="J111" i="77"/>
  <c r="G117" i="43"/>
  <c r="D118" i="43"/>
  <c r="E118" i="43"/>
  <c r="D115" i="59"/>
  <c r="G114" i="59"/>
  <c r="E115" i="59"/>
  <c r="G116" i="45"/>
  <c r="D117" i="45"/>
  <c r="E117" i="45"/>
  <c r="J118" i="71"/>
  <c r="J114" i="58"/>
  <c r="J111" i="79"/>
  <c r="G104" i="102"/>
  <c r="D105" i="102"/>
  <c r="E105" i="102"/>
  <c r="G113" i="68"/>
  <c r="D114" i="68"/>
  <c r="E114" i="68"/>
  <c r="G111" i="85"/>
  <c r="D112" i="85"/>
  <c r="E112" i="85"/>
  <c r="G118" i="3"/>
  <c r="D119" i="3"/>
  <c r="E119" i="3"/>
  <c r="J111" i="75"/>
  <c r="G111" i="101"/>
  <c r="D112" i="101"/>
  <c r="E112" i="101"/>
  <c r="J117" i="21"/>
  <c r="F108" i="99"/>
  <c r="B108" i="99"/>
  <c r="J110" i="82"/>
  <c r="F109" i="95"/>
  <c r="B109" i="95"/>
  <c r="J116" i="39"/>
  <c r="D111" i="92"/>
  <c r="G110" i="92"/>
  <c r="E111" i="92"/>
  <c r="G117" i="74"/>
  <c r="D118" i="74"/>
  <c r="E118" i="74"/>
  <c r="D112" i="83"/>
  <c r="G111" i="83"/>
  <c r="E112" i="83"/>
  <c r="G115" i="46"/>
  <c r="D116" i="46"/>
  <c r="E116" i="46"/>
  <c r="J111" i="76"/>
  <c r="J114" i="55"/>
  <c r="J110" i="80"/>
  <c r="J110" i="86"/>
  <c r="J108" i="93" l="1"/>
  <c r="J108" i="95"/>
  <c r="F105" i="13"/>
  <c r="G105" i="13" s="1"/>
  <c r="I115" i="46"/>
  <c r="H115" i="46"/>
  <c r="G108" i="99"/>
  <c r="D109" i="99"/>
  <c r="E109" i="99"/>
  <c r="B112" i="80"/>
  <c r="F112" i="80"/>
  <c r="I119" i="24"/>
  <c r="H119" i="24"/>
  <c r="H115" i="72"/>
  <c r="I115" i="72"/>
  <c r="F114" i="67"/>
  <c r="B114" i="67"/>
  <c r="H111" i="83"/>
  <c r="I111" i="83"/>
  <c r="F112" i="83"/>
  <c r="B112" i="83"/>
  <c r="H104" i="102"/>
  <c r="I104" i="102"/>
  <c r="B117" i="45"/>
  <c r="F117" i="45"/>
  <c r="B121" i="29"/>
  <c r="F121" i="29"/>
  <c r="B111" i="90"/>
  <c r="F111" i="90"/>
  <c r="B113" i="77"/>
  <c r="F113" i="77"/>
  <c r="F120" i="23"/>
  <c r="B120" i="23"/>
  <c r="B114" i="65"/>
  <c r="F114" i="65"/>
  <c r="F114" i="66"/>
  <c r="B114" i="66"/>
  <c r="B113" i="79"/>
  <c r="F113" i="79"/>
  <c r="I112" i="78"/>
  <c r="H112" i="78"/>
  <c r="I119" i="71"/>
  <c r="H119" i="71"/>
  <c r="J113" i="60"/>
  <c r="I115" i="57"/>
  <c r="H115" i="57"/>
  <c r="G118" i="20"/>
  <c r="D119" i="20"/>
  <c r="E119" i="20"/>
  <c r="B111" i="91"/>
  <c r="F111" i="91"/>
  <c r="H120" i="69"/>
  <c r="I120" i="69"/>
  <c r="F118" i="73"/>
  <c r="B118" i="73"/>
  <c r="B111" i="94"/>
  <c r="F111" i="94"/>
  <c r="F113" i="78"/>
  <c r="B113" i="78"/>
  <c r="H108" i="98"/>
  <c r="I108" i="98"/>
  <c r="F116" i="57"/>
  <c r="B116" i="57"/>
  <c r="I112" i="76"/>
  <c r="H112" i="76"/>
  <c r="H114" i="62"/>
  <c r="I114" i="62"/>
  <c r="H117" i="42"/>
  <c r="I117" i="42"/>
  <c r="J113" i="61"/>
  <c r="B119" i="34"/>
  <c r="F119" i="34"/>
  <c r="H120" i="30"/>
  <c r="I120" i="30"/>
  <c r="G114" i="61"/>
  <c r="D115" i="61"/>
  <c r="E115" i="61"/>
  <c r="J117" i="18"/>
  <c r="F118" i="74"/>
  <c r="B118" i="74"/>
  <c r="G109" i="95"/>
  <c r="D110" i="95"/>
  <c r="E110" i="95"/>
  <c r="H111" i="101"/>
  <c r="I111" i="101"/>
  <c r="I111" i="85"/>
  <c r="H111" i="85"/>
  <c r="F119" i="21"/>
  <c r="B119" i="21"/>
  <c r="I110" i="94"/>
  <c r="H110" i="94"/>
  <c r="H104" i="13"/>
  <c r="I104" i="13"/>
  <c r="B109" i="97"/>
  <c r="F109" i="97"/>
  <c r="F116" i="55"/>
  <c r="B116" i="55"/>
  <c r="H118" i="17"/>
  <c r="I118" i="17"/>
  <c r="I111" i="86"/>
  <c r="H111" i="86"/>
  <c r="I111" i="82"/>
  <c r="H111" i="82"/>
  <c r="F109" i="98"/>
  <c r="B109" i="98"/>
  <c r="B118" i="44"/>
  <c r="F118" i="44"/>
  <c r="B113" i="76"/>
  <c r="F113" i="76"/>
  <c r="F115" i="62"/>
  <c r="B115" i="62"/>
  <c r="F118" i="42"/>
  <c r="B118" i="42"/>
  <c r="I118" i="34"/>
  <c r="H118" i="34"/>
  <c r="F121" i="30"/>
  <c r="B121" i="30"/>
  <c r="B112" i="101"/>
  <c r="F112" i="101"/>
  <c r="H108" i="97"/>
  <c r="I108" i="97"/>
  <c r="I114" i="59"/>
  <c r="H114" i="59"/>
  <c r="H118" i="22"/>
  <c r="I118" i="22"/>
  <c r="I110" i="84"/>
  <c r="H110" i="84"/>
  <c r="H117" i="44"/>
  <c r="I117" i="44"/>
  <c r="I109" i="96"/>
  <c r="H109" i="96"/>
  <c r="H119" i="32"/>
  <c r="I119" i="32"/>
  <c r="I116" i="45"/>
  <c r="H116" i="45"/>
  <c r="F112" i="86"/>
  <c r="B112" i="86"/>
  <c r="F119" i="17"/>
  <c r="B119" i="17"/>
  <c r="B116" i="46"/>
  <c r="F116" i="46"/>
  <c r="F114" i="68"/>
  <c r="B114" i="68"/>
  <c r="B115" i="59"/>
  <c r="F115" i="59"/>
  <c r="J107" i="99"/>
  <c r="H111" i="80"/>
  <c r="I111" i="80"/>
  <c r="F119" i="22"/>
  <c r="B119" i="22"/>
  <c r="F116" i="72"/>
  <c r="B116" i="72"/>
  <c r="I110" i="89"/>
  <c r="H110" i="89"/>
  <c r="I113" i="67"/>
  <c r="H113" i="67"/>
  <c r="D115" i="60"/>
  <c r="G114" i="60"/>
  <c r="E115" i="60"/>
  <c r="F111" i="84"/>
  <c r="B111" i="84"/>
  <c r="I112" i="75"/>
  <c r="H112" i="75"/>
  <c r="B110" i="96"/>
  <c r="F110" i="96"/>
  <c r="I110" i="87"/>
  <c r="H110" i="87"/>
  <c r="F120" i="32"/>
  <c r="B120" i="32"/>
  <c r="H121" i="28"/>
  <c r="I121" i="28"/>
  <c r="B116" i="53"/>
  <c r="F116" i="53"/>
  <c r="H111" i="81"/>
  <c r="I111" i="81"/>
  <c r="J117" i="20"/>
  <c r="F111" i="87"/>
  <c r="B111" i="87"/>
  <c r="B122" i="28"/>
  <c r="F122" i="28"/>
  <c r="I115" i="53"/>
  <c r="H115" i="53"/>
  <c r="B112" i="81"/>
  <c r="F112" i="81"/>
  <c r="I112" i="77"/>
  <c r="H112" i="77"/>
  <c r="I112" i="79"/>
  <c r="H112" i="79"/>
  <c r="H117" i="74"/>
  <c r="I117" i="74"/>
  <c r="B111" i="89"/>
  <c r="F111" i="89"/>
  <c r="I113" i="68"/>
  <c r="H113" i="68"/>
  <c r="H115" i="54"/>
  <c r="I115" i="54"/>
  <c r="B118" i="39"/>
  <c r="F118" i="39"/>
  <c r="B113" i="75"/>
  <c r="F113" i="75"/>
  <c r="F111" i="92"/>
  <c r="B111" i="92"/>
  <c r="F119" i="3"/>
  <c r="B119" i="3"/>
  <c r="B118" i="43"/>
  <c r="F118" i="43"/>
  <c r="I117" i="41"/>
  <c r="H117" i="41"/>
  <c r="I115" i="56"/>
  <c r="H115" i="56"/>
  <c r="B115" i="63"/>
  <c r="F115" i="63"/>
  <c r="B119" i="19"/>
  <c r="F119" i="19"/>
  <c r="D120" i="31"/>
  <c r="G119" i="31"/>
  <c r="E120" i="31"/>
  <c r="B120" i="24"/>
  <c r="F120" i="24"/>
  <c r="F121" i="27"/>
  <c r="B121" i="27"/>
  <c r="B116" i="54"/>
  <c r="F116" i="54"/>
  <c r="H117" i="39"/>
  <c r="I117" i="39"/>
  <c r="I114" i="64"/>
  <c r="H114" i="64"/>
  <c r="I115" i="58"/>
  <c r="H115" i="58"/>
  <c r="I110" i="88"/>
  <c r="H110" i="88"/>
  <c r="H120" i="70"/>
  <c r="I120" i="70"/>
  <c r="G118" i="18"/>
  <c r="D119" i="18"/>
  <c r="E119" i="18"/>
  <c r="J118" i="31"/>
  <c r="F112" i="85"/>
  <c r="B112" i="85"/>
  <c r="H113" i="65"/>
  <c r="I113" i="65"/>
  <c r="I118" i="21"/>
  <c r="H118" i="21"/>
  <c r="H115" i="55"/>
  <c r="I115" i="55"/>
  <c r="F112" i="82"/>
  <c r="B112" i="82"/>
  <c r="H110" i="92"/>
  <c r="I110" i="92"/>
  <c r="I118" i="19"/>
  <c r="H118" i="19"/>
  <c r="H118" i="3"/>
  <c r="I118" i="3"/>
  <c r="B105" i="102"/>
  <c r="F105" i="102"/>
  <c r="H117" i="43"/>
  <c r="I117" i="43"/>
  <c r="H120" i="29"/>
  <c r="I120" i="29"/>
  <c r="F118" i="41"/>
  <c r="B118" i="41"/>
  <c r="I110" i="90"/>
  <c r="H110" i="90"/>
  <c r="F116" i="56"/>
  <c r="B116" i="56"/>
  <c r="H114" i="63"/>
  <c r="I114" i="63"/>
  <c r="G109" i="93"/>
  <c r="D110" i="93"/>
  <c r="E110" i="93"/>
  <c r="H119" i="23"/>
  <c r="I119" i="23"/>
  <c r="I120" i="27"/>
  <c r="H120" i="27"/>
  <c r="H113" i="66"/>
  <c r="I113" i="66"/>
  <c r="B120" i="71"/>
  <c r="F120" i="71"/>
  <c r="F115" i="64"/>
  <c r="B115" i="64"/>
  <c r="H110" i="91"/>
  <c r="I110" i="91"/>
  <c r="B116" i="58"/>
  <c r="F116" i="58"/>
  <c r="F121" i="69"/>
  <c r="B121" i="69"/>
  <c r="F111" i="88"/>
  <c r="B111" i="88"/>
  <c r="B121" i="70"/>
  <c r="F121" i="70"/>
  <c r="I117" i="73"/>
  <c r="H117" i="73"/>
  <c r="J110" i="89" l="1"/>
  <c r="J111" i="81"/>
  <c r="D106" i="13"/>
  <c r="B106" i="13" s="1"/>
  <c r="E106" i="13"/>
  <c r="J112" i="77"/>
  <c r="J111" i="85"/>
  <c r="J108" i="97"/>
  <c r="J120" i="29"/>
  <c r="J110" i="84"/>
  <c r="J111" i="82"/>
  <c r="J110" i="92"/>
  <c r="J113" i="65"/>
  <c r="J111" i="80"/>
  <c r="J109" i="96"/>
  <c r="J110" i="94"/>
  <c r="J104" i="102"/>
  <c r="J110" i="91"/>
  <c r="J111" i="86"/>
  <c r="J111" i="83"/>
  <c r="J113" i="66"/>
  <c r="D116" i="59"/>
  <c r="G115" i="59"/>
  <c r="E116" i="59"/>
  <c r="I109" i="95"/>
  <c r="H109" i="95"/>
  <c r="J117" i="73"/>
  <c r="J114" i="63"/>
  <c r="D113" i="85"/>
  <c r="G112" i="85"/>
  <c r="E113" i="85"/>
  <c r="D117" i="54"/>
  <c r="G116" i="54"/>
  <c r="E117" i="54"/>
  <c r="B120" i="31"/>
  <c r="F120" i="31"/>
  <c r="J117" i="41"/>
  <c r="G120" i="32"/>
  <c r="D121" i="32"/>
  <c r="E121" i="32"/>
  <c r="G111" i="84"/>
  <c r="D112" i="84"/>
  <c r="E112" i="84"/>
  <c r="D113" i="86"/>
  <c r="G112" i="86"/>
  <c r="E113" i="86"/>
  <c r="G118" i="42"/>
  <c r="D119" i="42"/>
  <c r="E119" i="42"/>
  <c r="G109" i="98"/>
  <c r="D110" i="98"/>
  <c r="E110" i="98"/>
  <c r="D117" i="55"/>
  <c r="G116" i="55"/>
  <c r="E117" i="55"/>
  <c r="D120" i="21"/>
  <c r="G119" i="21"/>
  <c r="E120" i="21"/>
  <c r="D114" i="78"/>
  <c r="G113" i="78"/>
  <c r="E114" i="78"/>
  <c r="G114" i="65"/>
  <c r="D115" i="65"/>
  <c r="E115" i="65"/>
  <c r="G121" i="29"/>
  <c r="D122" i="29"/>
  <c r="E122" i="29"/>
  <c r="G112" i="80"/>
  <c r="D113" i="80"/>
  <c r="E113" i="80"/>
  <c r="J114" i="62"/>
  <c r="J110" i="88"/>
  <c r="D120" i="19"/>
  <c r="G119" i="19"/>
  <c r="E120" i="19"/>
  <c r="D119" i="43"/>
  <c r="G118" i="43"/>
  <c r="E119" i="43"/>
  <c r="D119" i="39"/>
  <c r="G118" i="39"/>
  <c r="E119" i="39"/>
  <c r="J117" i="74"/>
  <c r="D117" i="72"/>
  <c r="G116" i="72"/>
  <c r="E117" i="72"/>
  <c r="G112" i="101"/>
  <c r="D113" i="101"/>
  <c r="E113" i="101"/>
  <c r="D110" i="97"/>
  <c r="G109" i="97"/>
  <c r="E110" i="97"/>
  <c r="D119" i="74"/>
  <c r="G118" i="74"/>
  <c r="E119" i="74"/>
  <c r="G119" i="34"/>
  <c r="D120" i="34"/>
  <c r="E120" i="34"/>
  <c r="D112" i="94"/>
  <c r="B112" i="94" s="1"/>
  <c r="G111" i="94"/>
  <c r="E112" i="94"/>
  <c r="J119" i="71"/>
  <c r="H109" i="93"/>
  <c r="I109" i="93"/>
  <c r="I119" i="31"/>
  <c r="H119" i="31"/>
  <c r="D113" i="81"/>
  <c r="G112" i="81"/>
  <c r="E113" i="81"/>
  <c r="J117" i="44"/>
  <c r="D112" i="91"/>
  <c r="G111" i="91"/>
  <c r="E112" i="91"/>
  <c r="G112" i="83"/>
  <c r="D113" i="83"/>
  <c r="E113" i="83"/>
  <c r="D122" i="70"/>
  <c r="G121" i="70"/>
  <c r="E122" i="70"/>
  <c r="J118" i="19"/>
  <c r="J117" i="43"/>
  <c r="J115" i="53"/>
  <c r="J110" i="87"/>
  <c r="H114" i="60"/>
  <c r="I114" i="60"/>
  <c r="D115" i="68"/>
  <c r="G114" i="68"/>
  <c r="E115" i="68"/>
  <c r="J116" i="45"/>
  <c r="G115" i="62"/>
  <c r="D116" i="62"/>
  <c r="E116" i="62"/>
  <c r="J112" i="76"/>
  <c r="F119" i="20"/>
  <c r="B119" i="20"/>
  <c r="D118" i="45"/>
  <c r="G117" i="45"/>
  <c r="E118" i="45"/>
  <c r="D119" i="41"/>
  <c r="G118" i="41"/>
  <c r="E119" i="41"/>
  <c r="D114" i="75"/>
  <c r="G113" i="75"/>
  <c r="E114" i="75"/>
  <c r="J119" i="24"/>
  <c r="J118" i="21"/>
  <c r="J120" i="27"/>
  <c r="J119" i="23"/>
  <c r="G116" i="56"/>
  <c r="D117" i="56"/>
  <c r="E117" i="56"/>
  <c r="J115" i="58"/>
  <c r="D122" i="27"/>
  <c r="G121" i="27"/>
  <c r="E122" i="27"/>
  <c r="G115" i="63"/>
  <c r="D116" i="63"/>
  <c r="E116" i="63"/>
  <c r="J115" i="54"/>
  <c r="D123" i="28"/>
  <c r="G122" i="28"/>
  <c r="E123" i="28"/>
  <c r="D117" i="53"/>
  <c r="G116" i="53"/>
  <c r="E117" i="53"/>
  <c r="D111" i="96"/>
  <c r="G110" i="96"/>
  <c r="E111" i="96"/>
  <c r="F115" i="60"/>
  <c r="B115" i="60"/>
  <c r="G119" i="22"/>
  <c r="D120" i="22"/>
  <c r="E120" i="22"/>
  <c r="D117" i="46"/>
  <c r="G116" i="46"/>
  <c r="E117" i="46"/>
  <c r="J119" i="32"/>
  <c r="J118" i="22"/>
  <c r="G113" i="76"/>
  <c r="D114" i="76"/>
  <c r="E114" i="76"/>
  <c r="J104" i="13"/>
  <c r="J111" i="101"/>
  <c r="H118" i="20"/>
  <c r="I118" i="20"/>
  <c r="J112" i="78"/>
  <c r="G120" i="23"/>
  <c r="D121" i="23"/>
  <c r="E121" i="23"/>
  <c r="G114" i="67"/>
  <c r="D115" i="67"/>
  <c r="E115" i="67"/>
  <c r="F109" i="99"/>
  <c r="B109" i="99"/>
  <c r="G119" i="3"/>
  <c r="D120" i="3"/>
  <c r="E120" i="3"/>
  <c r="J112" i="79"/>
  <c r="G121" i="30"/>
  <c r="D122" i="30"/>
  <c r="E122" i="30"/>
  <c r="G116" i="57"/>
  <c r="D117" i="57"/>
  <c r="E117" i="57"/>
  <c r="G118" i="73"/>
  <c r="D119" i="73"/>
  <c r="E119" i="73"/>
  <c r="D114" i="79"/>
  <c r="G113" i="79"/>
  <c r="E114" i="79"/>
  <c r="G113" i="77"/>
  <c r="D114" i="77"/>
  <c r="E114" i="77"/>
  <c r="J115" i="72"/>
  <c r="I108" i="99"/>
  <c r="H108" i="99"/>
  <c r="G120" i="71"/>
  <c r="D121" i="71"/>
  <c r="E121" i="71"/>
  <c r="J110" i="90"/>
  <c r="G112" i="82"/>
  <c r="D113" i="82"/>
  <c r="E113" i="82"/>
  <c r="I118" i="18"/>
  <c r="H118" i="18"/>
  <c r="J114" i="64"/>
  <c r="J121" i="28"/>
  <c r="J113" i="67"/>
  <c r="G118" i="44"/>
  <c r="D119" i="44"/>
  <c r="E119" i="44"/>
  <c r="J118" i="17"/>
  <c r="B115" i="61"/>
  <c r="F115" i="61"/>
  <c r="J117" i="42"/>
  <c r="J108" i="98"/>
  <c r="J120" i="69"/>
  <c r="J115" i="57"/>
  <c r="D117" i="58"/>
  <c r="G116" i="58"/>
  <c r="E117" i="58"/>
  <c r="G111" i="89"/>
  <c r="D112" i="89"/>
  <c r="E112" i="89"/>
  <c r="J120" i="30"/>
  <c r="G114" i="66"/>
  <c r="D115" i="66"/>
  <c r="E115" i="66"/>
  <c r="D112" i="88"/>
  <c r="G111" i="88"/>
  <c r="E112" i="88"/>
  <c r="G115" i="64"/>
  <c r="D116" i="64"/>
  <c r="E116" i="64"/>
  <c r="D106" i="102"/>
  <c r="G105" i="102"/>
  <c r="E106" i="102"/>
  <c r="F119" i="18"/>
  <c r="B119" i="18"/>
  <c r="D121" i="24"/>
  <c r="G120" i="24"/>
  <c r="E121" i="24"/>
  <c r="D122" i="69"/>
  <c r="G121" i="69"/>
  <c r="E122" i="69"/>
  <c r="B110" i="93"/>
  <c r="F110" i="93"/>
  <c r="J118" i="3"/>
  <c r="J115" i="55"/>
  <c r="I105" i="13"/>
  <c r="H105" i="13"/>
  <c r="J120" i="70"/>
  <c r="J117" i="39"/>
  <c r="J115" i="56"/>
  <c r="G111" i="92"/>
  <c r="D112" i="92"/>
  <c r="E112" i="92"/>
  <c r="J113" i="68"/>
  <c r="D112" i="87"/>
  <c r="G111" i="87"/>
  <c r="E112" i="87"/>
  <c r="J112" i="75"/>
  <c r="G119" i="17"/>
  <c r="D120" i="17"/>
  <c r="E120" i="17"/>
  <c r="J114" i="59"/>
  <c r="J118" i="34"/>
  <c r="B110" i="95"/>
  <c r="F110" i="95"/>
  <c r="H114" i="61"/>
  <c r="I114" i="61"/>
  <c r="G111" i="90"/>
  <c r="D112" i="90"/>
  <c r="E112" i="90"/>
  <c r="J115" i="46"/>
  <c r="F106" i="13" l="1"/>
  <c r="J109" i="93"/>
  <c r="B112" i="89"/>
  <c r="F112" i="89"/>
  <c r="I116" i="56"/>
  <c r="H116" i="56"/>
  <c r="H118" i="74"/>
  <c r="I118" i="74"/>
  <c r="D111" i="95"/>
  <c r="G110" i="95"/>
  <c r="E111" i="95"/>
  <c r="H119" i="17"/>
  <c r="I119" i="17"/>
  <c r="D120" i="18"/>
  <c r="G119" i="18"/>
  <c r="E120" i="18"/>
  <c r="F112" i="92"/>
  <c r="B112" i="92"/>
  <c r="H111" i="92"/>
  <c r="I111" i="92"/>
  <c r="J105" i="13"/>
  <c r="H121" i="69"/>
  <c r="I121" i="69"/>
  <c r="I120" i="71"/>
  <c r="H120" i="71"/>
  <c r="I116" i="57"/>
  <c r="H116" i="57"/>
  <c r="H119" i="3"/>
  <c r="I119" i="3"/>
  <c r="I120" i="23"/>
  <c r="H120" i="23"/>
  <c r="H113" i="76"/>
  <c r="I113" i="76"/>
  <c r="B120" i="22"/>
  <c r="F120" i="22"/>
  <c r="H116" i="53"/>
  <c r="I116" i="53"/>
  <c r="B116" i="63"/>
  <c r="F116" i="63"/>
  <c r="F117" i="56"/>
  <c r="B117" i="56"/>
  <c r="H117" i="45"/>
  <c r="I117" i="45"/>
  <c r="I115" i="62"/>
  <c r="H115" i="62"/>
  <c r="B122" i="70"/>
  <c r="F122" i="70"/>
  <c r="H112" i="101"/>
  <c r="I112" i="101"/>
  <c r="F119" i="39"/>
  <c r="B119" i="39"/>
  <c r="B120" i="21"/>
  <c r="F120" i="21"/>
  <c r="F119" i="42"/>
  <c r="B119" i="42"/>
  <c r="H116" i="54"/>
  <c r="I116" i="54"/>
  <c r="J118" i="18"/>
  <c r="H113" i="79"/>
  <c r="I113" i="79"/>
  <c r="I119" i="22"/>
  <c r="H119" i="22"/>
  <c r="B118" i="45"/>
  <c r="F118" i="45"/>
  <c r="B121" i="32"/>
  <c r="F121" i="32"/>
  <c r="F112" i="90"/>
  <c r="B112" i="90"/>
  <c r="I111" i="87"/>
  <c r="H111" i="87"/>
  <c r="B119" i="44"/>
  <c r="F119" i="44"/>
  <c r="J108" i="99"/>
  <c r="B114" i="79"/>
  <c r="F114" i="79"/>
  <c r="F122" i="30"/>
  <c r="B122" i="30"/>
  <c r="G109" i="99"/>
  <c r="D110" i="99"/>
  <c r="E110" i="99"/>
  <c r="J118" i="20"/>
  <c r="H113" i="75"/>
  <c r="I113" i="75"/>
  <c r="F113" i="83"/>
  <c r="B113" i="83"/>
  <c r="I112" i="81"/>
  <c r="H112" i="81"/>
  <c r="F112" i="94"/>
  <c r="F119" i="74"/>
  <c r="B119" i="74"/>
  <c r="H116" i="72"/>
  <c r="I116" i="72"/>
  <c r="I118" i="43"/>
  <c r="H118" i="43"/>
  <c r="H114" i="65"/>
  <c r="I114" i="65"/>
  <c r="I116" i="55"/>
  <c r="H116" i="55"/>
  <c r="H120" i="32"/>
  <c r="I120" i="32"/>
  <c r="J109" i="95"/>
  <c r="B112" i="88"/>
  <c r="F112" i="88"/>
  <c r="H105" i="102"/>
  <c r="I105" i="102"/>
  <c r="H118" i="44"/>
  <c r="I118" i="44"/>
  <c r="F113" i="82"/>
  <c r="B113" i="82"/>
  <c r="H121" i="30"/>
  <c r="I121" i="30"/>
  <c r="G115" i="60"/>
  <c r="D116" i="60"/>
  <c r="E116" i="60"/>
  <c r="H122" i="28"/>
  <c r="I122" i="28"/>
  <c r="I121" i="27"/>
  <c r="H121" i="27"/>
  <c r="B114" i="75"/>
  <c r="F114" i="75"/>
  <c r="G119" i="20"/>
  <c r="D120" i="20"/>
  <c r="E120" i="20"/>
  <c r="H112" i="83"/>
  <c r="I112" i="83"/>
  <c r="B113" i="81"/>
  <c r="F113" i="81"/>
  <c r="H111" i="94"/>
  <c r="I111" i="94"/>
  <c r="B117" i="72"/>
  <c r="F117" i="72"/>
  <c r="F119" i="43"/>
  <c r="B119" i="43"/>
  <c r="B113" i="80"/>
  <c r="F113" i="80"/>
  <c r="F117" i="55"/>
  <c r="B117" i="55"/>
  <c r="H112" i="86"/>
  <c r="I112" i="86"/>
  <c r="H112" i="85"/>
  <c r="I112" i="85"/>
  <c r="B115" i="65"/>
  <c r="F115" i="65"/>
  <c r="H118" i="42"/>
  <c r="I118" i="42"/>
  <c r="H111" i="89"/>
  <c r="I111" i="89"/>
  <c r="F112" i="87"/>
  <c r="B112" i="87"/>
  <c r="J114" i="61"/>
  <c r="F121" i="24"/>
  <c r="B121" i="24"/>
  <c r="B106" i="102"/>
  <c r="F106" i="102"/>
  <c r="B115" i="66"/>
  <c r="F115" i="66"/>
  <c r="H116" i="58"/>
  <c r="I116" i="58"/>
  <c r="I112" i="82"/>
  <c r="H112" i="82"/>
  <c r="B119" i="73"/>
  <c r="F119" i="73"/>
  <c r="B115" i="67"/>
  <c r="F115" i="67"/>
  <c r="F123" i="28"/>
  <c r="B123" i="28"/>
  <c r="F122" i="27"/>
  <c r="B122" i="27"/>
  <c r="I114" i="68"/>
  <c r="H114" i="68"/>
  <c r="H109" i="97"/>
  <c r="I109" i="97"/>
  <c r="I112" i="80"/>
  <c r="H112" i="80"/>
  <c r="H113" i="78"/>
  <c r="I113" i="78"/>
  <c r="F113" i="86"/>
  <c r="B113" i="86"/>
  <c r="B113" i="85"/>
  <c r="F113" i="85"/>
  <c r="I115" i="59"/>
  <c r="H115" i="59"/>
  <c r="F122" i="69"/>
  <c r="B122" i="69"/>
  <c r="I111" i="88"/>
  <c r="H111" i="88"/>
  <c r="B117" i="53"/>
  <c r="F117" i="53"/>
  <c r="H115" i="63"/>
  <c r="I115" i="63"/>
  <c r="F117" i="54"/>
  <c r="B117" i="54"/>
  <c r="I111" i="90"/>
  <c r="H111" i="90"/>
  <c r="H120" i="24"/>
  <c r="I120" i="24"/>
  <c r="B120" i="17"/>
  <c r="F120" i="17"/>
  <c r="G110" i="93"/>
  <c r="D111" i="93"/>
  <c r="E111" i="93"/>
  <c r="I114" i="66"/>
  <c r="H114" i="66"/>
  <c r="F117" i="58"/>
  <c r="B117" i="58"/>
  <c r="D116" i="61"/>
  <c r="G115" i="61"/>
  <c r="E116" i="61"/>
  <c r="H118" i="73"/>
  <c r="I118" i="73"/>
  <c r="I114" i="67"/>
  <c r="H114" i="67"/>
  <c r="H116" i="46"/>
  <c r="I116" i="46"/>
  <c r="H110" i="96"/>
  <c r="I110" i="96"/>
  <c r="H118" i="41"/>
  <c r="I118" i="41"/>
  <c r="B115" i="68"/>
  <c r="F115" i="68"/>
  <c r="H111" i="91"/>
  <c r="I111" i="91"/>
  <c r="J119" i="31"/>
  <c r="B110" i="97"/>
  <c r="F110" i="97"/>
  <c r="H119" i="19"/>
  <c r="I119" i="19"/>
  <c r="B114" i="78"/>
  <c r="F114" i="78"/>
  <c r="F110" i="98"/>
  <c r="B110" i="98"/>
  <c r="G120" i="31"/>
  <c r="D121" i="31"/>
  <c r="E121" i="31"/>
  <c r="B116" i="59"/>
  <c r="F116" i="59"/>
  <c r="F116" i="64"/>
  <c r="B116" i="64"/>
  <c r="F114" i="77"/>
  <c r="B114" i="77"/>
  <c r="F117" i="46"/>
  <c r="B117" i="46"/>
  <c r="B111" i="96"/>
  <c r="F111" i="96"/>
  <c r="B119" i="41"/>
  <c r="F119" i="41"/>
  <c r="J114" i="60"/>
  <c r="F112" i="91"/>
  <c r="B112" i="91"/>
  <c r="B120" i="34"/>
  <c r="F120" i="34"/>
  <c r="F120" i="19"/>
  <c r="B120" i="19"/>
  <c r="F122" i="29"/>
  <c r="B122" i="29"/>
  <c r="H109" i="98"/>
  <c r="I109" i="98"/>
  <c r="B112" i="84"/>
  <c r="F112" i="84"/>
  <c r="H115" i="64"/>
  <c r="I115" i="64"/>
  <c r="B121" i="71"/>
  <c r="F121" i="71"/>
  <c r="H113" i="77"/>
  <c r="I113" i="77"/>
  <c r="F117" i="57"/>
  <c r="B117" i="57"/>
  <c r="F120" i="3"/>
  <c r="B120" i="3"/>
  <c r="B121" i="23"/>
  <c r="F121" i="23"/>
  <c r="B114" i="76"/>
  <c r="F114" i="76"/>
  <c r="B116" i="62"/>
  <c r="F116" i="62"/>
  <c r="H121" i="70"/>
  <c r="I121" i="70"/>
  <c r="I119" i="34"/>
  <c r="H119" i="34"/>
  <c r="B113" i="101"/>
  <c r="F113" i="101"/>
  <c r="I118" i="39"/>
  <c r="H118" i="39"/>
  <c r="I121" i="29"/>
  <c r="H121" i="29"/>
  <c r="I119" i="21"/>
  <c r="H119" i="21"/>
  <c r="I111" i="84"/>
  <c r="H111" i="84"/>
  <c r="J118" i="74" l="1"/>
  <c r="J122" i="28"/>
  <c r="J113" i="75"/>
  <c r="D107" i="13"/>
  <c r="G106" i="13"/>
  <c r="E107" i="13"/>
  <c r="J111" i="92"/>
  <c r="J112" i="81"/>
  <c r="J121" i="70"/>
  <c r="J115" i="64"/>
  <c r="J118" i="41"/>
  <c r="J118" i="73"/>
  <c r="J113" i="79"/>
  <c r="J114" i="65"/>
  <c r="J120" i="71"/>
  <c r="J115" i="59"/>
  <c r="J112" i="80"/>
  <c r="J114" i="67"/>
  <c r="J111" i="89"/>
  <c r="J118" i="44"/>
  <c r="J116" i="53"/>
  <c r="J113" i="77"/>
  <c r="J109" i="98"/>
  <c r="J118" i="42"/>
  <c r="J111" i="94"/>
  <c r="J105" i="102"/>
  <c r="J110" i="96"/>
  <c r="J113" i="78"/>
  <c r="J116" i="57"/>
  <c r="G113" i="101"/>
  <c r="D114" i="101"/>
  <c r="E114" i="101"/>
  <c r="G113" i="82"/>
  <c r="D114" i="82"/>
  <c r="E114" i="82"/>
  <c r="B110" i="99"/>
  <c r="F110" i="99"/>
  <c r="D118" i="56"/>
  <c r="G117" i="56"/>
  <c r="E118" i="56"/>
  <c r="I110" i="95"/>
  <c r="H110" i="95"/>
  <c r="B120" i="20"/>
  <c r="F120" i="20"/>
  <c r="J120" i="32"/>
  <c r="J116" i="72"/>
  <c r="D114" i="83"/>
  <c r="G113" i="83"/>
  <c r="E114" i="83"/>
  <c r="J111" i="87"/>
  <c r="J119" i="22"/>
  <c r="D120" i="42"/>
  <c r="G119" i="42"/>
  <c r="E120" i="42"/>
  <c r="J120" i="23"/>
  <c r="B121" i="31"/>
  <c r="F121" i="31"/>
  <c r="J114" i="66"/>
  <c r="G106" i="102"/>
  <c r="D107" i="102"/>
  <c r="E107" i="102"/>
  <c r="B111" i="95"/>
  <c r="F111" i="95"/>
  <c r="J114" i="68"/>
  <c r="J119" i="21"/>
  <c r="G122" i="29"/>
  <c r="D123" i="29"/>
  <c r="E123" i="29"/>
  <c r="D115" i="77"/>
  <c r="G114" i="77"/>
  <c r="E115" i="77"/>
  <c r="I119" i="20"/>
  <c r="H119" i="20"/>
  <c r="F116" i="60"/>
  <c r="B116" i="60"/>
  <c r="D123" i="30"/>
  <c r="G122" i="30"/>
  <c r="E123" i="30"/>
  <c r="D121" i="21"/>
  <c r="G120" i="21"/>
  <c r="E121" i="21"/>
  <c r="J119" i="3"/>
  <c r="J121" i="69"/>
  <c r="I119" i="18"/>
  <c r="H119" i="18"/>
  <c r="D113" i="87"/>
  <c r="G112" i="87"/>
  <c r="E113" i="87"/>
  <c r="G112" i="91"/>
  <c r="D113" i="91"/>
  <c r="E113" i="91"/>
  <c r="D111" i="97"/>
  <c r="G110" i="97"/>
  <c r="E111" i="97"/>
  <c r="D120" i="73"/>
  <c r="G119" i="73"/>
  <c r="E120" i="73"/>
  <c r="G122" i="70"/>
  <c r="D123" i="70"/>
  <c r="E123" i="70"/>
  <c r="G121" i="23"/>
  <c r="D122" i="23"/>
  <c r="E122" i="23"/>
  <c r="G121" i="71"/>
  <c r="D122" i="71"/>
  <c r="E122" i="71"/>
  <c r="J111" i="88"/>
  <c r="B111" i="93"/>
  <c r="F111" i="93"/>
  <c r="G119" i="41"/>
  <c r="D120" i="41"/>
  <c r="E120" i="41"/>
  <c r="G110" i="98"/>
  <c r="D111" i="98"/>
  <c r="E111" i="98"/>
  <c r="H115" i="61"/>
  <c r="I115" i="61"/>
  <c r="H110" i="93"/>
  <c r="I110" i="93"/>
  <c r="D118" i="54"/>
  <c r="G117" i="54"/>
  <c r="E118" i="54"/>
  <c r="D123" i="69"/>
  <c r="G122" i="69"/>
  <c r="E123" i="69"/>
  <c r="G122" i="27"/>
  <c r="D123" i="27"/>
  <c r="E123" i="27"/>
  <c r="J112" i="82"/>
  <c r="G121" i="24"/>
  <c r="D122" i="24"/>
  <c r="E122" i="24"/>
  <c r="D118" i="55"/>
  <c r="G117" i="55"/>
  <c r="E118" i="55"/>
  <c r="G114" i="75"/>
  <c r="D115" i="75"/>
  <c r="E115" i="75"/>
  <c r="H115" i="60"/>
  <c r="I115" i="60"/>
  <c r="G114" i="79"/>
  <c r="D115" i="79"/>
  <c r="E115" i="79"/>
  <c r="D113" i="90"/>
  <c r="G112" i="90"/>
  <c r="E113" i="90"/>
  <c r="J115" i="62"/>
  <c r="F120" i="18"/>
  <c r="B120" i="18"/>
  <c r="D118" i="72"/>
  <c r="G117" i="72"/>
  <c r="E118" i="72"/>
  <c r="H109" i="99"/>
  <c r="I109" i="99"/>
  <c r="G112" i="92"/>
  <c r="D113" i="92"/>
  <c r="E113" i="92"/>
  <c r="H120" i="31"/>
  <c r="I120" i="31"/>
  <c r="J111" i="90"/>
  <c r="G113" i="86"/>
  <c r="D114" i="86"/>
  <c r="E114" i="86"/>
  <c r="J119" i="34"/>
  <c r="J121" i="29"/>
  <c r="D121" i="3"/>
  <c r="G120" i="3"/>
  <c r="E121" i="3"/>
  <c r="G120" i="19"/>
  <c r="D121" i="19"/>
  <c r="E121" i="19"/>
  <c r="D117" i="64"/>
  <c r="G116" i="64"/>
  <c r="E117" i="64"/>
  <c r="G114" i="78"/>
  <c r="D115" i="78"/>
  <c r="E115" i="78"/>
  <c r="J111" i="91"/>
  <c r="J116" i="46"/>
  <c r="F116" i="61"/>
  <c r="B116" i="61"/>
  <c r="D121" i="17"/>
  <c r="G120" i="17"/>
  <c r="E121" i="17"/>
  <c r="J115" i="63"/>
  <c r="J116" i="58"/>
  <c r="D116" i="65"/>
  <c r="G115" i="65"/>
  <c r="E116" i="65"/>
  <c r="G113" i="80"/>
  <c r="D114" i="80"/>
  <c r="E114" i="80"/>
  <c r="G113" i="81"/>
  <c r="D114" i="81"/>
  <c r="E114" i="81"/>
  <c r="J121" i="30"/>
  <c r="G112" i="88"/>
  <c r="D113" i="88"/>
  <c r="E113" i="88"/>
  <c r="J116" i="55"/>
  <c r="D120" i="74"/>
  <c r="G119" i="74"/>
  <c r="E120" i="74"/>
  <c r="D122" i="32"/>
  <c r="G121" i="32"/>
  <c r="E122" i="32"/>
  <c r="J117" i="45"/>
  <c r="D121" i="22"/>
  <c r="G120" i="22"/>
  <c r="E121" i="22"/>
  <c r="J119" i="17"/>
  <c r="J116" i="56"/>
  <c r="J112" i="86"/>
  <c r="D117" i="63"/>
  <c r="G116" i="63"/>
  <c r="E117" i="63"/>
  <c r="G112" i="84"/>
  <c r="D113" i="84"/>
  <c r="E113" i="84"/>
  <c r="D121" i="34"/>
  <c r="G120" i="34"/>
  <c r="E121" i="34"/>
  <c r="D112" i="96"/>
  <c r="G111" i="96"/>
  <c r="E112" i="96"/>
  <c r="D117" i="59"/>
  <c r="G116" i="59"/>
  <c r="E117" i="59"/>
  <c r="D124" i="28"/>
  <c r="G123" i="28"/>
  <c r="E124" i="28"/>
  <c r="G112" i="94"/>
  <c r="D113" i="94"/>
  <c r="E113" i="94"/>
  <c r="D120" i="39"/>
  <c r="G119" i="39"/>
  <c r="E120" i="39"/>
  <c r="G112" i="89"/>
  <c r="D113" i="89"/>
  <c r="E113" i="89"/>
  <c r="G114" i="76"/>
  <c r="D115" i="76"/>
  <c r="E115" i="76"/>
  <c r="G119" i="43"/>
  <c r="D120" i="43"/>
  <c r="E120" i="43"/>
  <c r="J111" i="84"/>
  <c r="G117" i="46"/>
  <c r="D118" i="46"/>
  <c r="E118" i="46"/>
  <c r="J118" i="43"/>
  <c r="D117" i="62"/>
  <c r="G116" i="62"/>
  <c r="E117" i="62"/>
  <c r="J118" i="39"/>
  <c r="G117" i="57"/>
  <c r="D118" i="57"/>
  <c r="E118" i="57"/>
  <c r="J119" i="19"/>
  <c r="G115" i="68"/>
  <c r="D116" i="68"/>
  <c r="E116" i="68"/>
  <c r="D118" i="58"/>
  <c r="G117" i="58"/>
  <c r="E118" i="58"/>
  <c r="J120" i="24"/>
  <c r="G117" i="53"/>
  <c r="D118" i="53"/>
  <c r="E118" i="53"/>
  <c r="D114" i="85"/>
  <c r="G113" i="85"/>
  <c r="E114" i="85"/>
  <c r="J109" i="97"/>
  <c r="D116" i="67"/>
  <c r="G115" i="67"/>
  <c r="E116" i="67"/>
  <c r="G115" i="66"/>
  <c r="D116" i="66"/>
  <c r="E116" i="66"/>
  <c r="J112" i="85"/>
  <c r="J112" i="83"/>
  <c r="J121" i="27"/>
  <c r="G119" i="44"/>
  <c r="D120" i="44"/>
  <c r="E120" i="44"/>
  <c r="G118" i="45"/>
  <c r="D119" i="45"/>
  <c r="E119" i="45"/>
  <c r="J116" i="54"/>
  <c r="J112" i="101"/>
  <c r="J113" i="76"/>
  <c r="H106" i="13" l="1"/>
  <c r="I106" i="13"/>
  <c r="F107" i="13"/>
  <c r="B107" i="13"/>
  <c r="J109" i="99"/>
  <c r="J115" i="61"/>
  <c r="J119" i="20"/>
  <c r="J110" i="93"/>
  <c r="B121" i="19"/>
  <c r="F121" i="19"/>
  <c r="F123" i="69"/>
  <c r="B123" i="69"/>
  <c r="F123" i="29"/>
  <c r="B123" i="29"/>
  <c r="I106" i="102"/>
  <c r="H106" i="102"/>
  <c r="H119" i="42"/>
  <c r="I119" i="42"/>
  <c r="G110" i="99"/>
  <c r="D111" i="99"/>
  <c r="E111" i="99"/>
  <c r="F116" i="67"/>
  <c r="B116" i="67"/>
  <c r="B114" i="81"/>
  <c r="F114" i="81"/>
  <c r="F123" i="70"/>
  <c r="B123" i="70"/>
  <c r="I118" i="45"/>
  <c r="H118" i="45"/>
  <c r="F118" i="46"/>
  <c r="B118" i="46"/>
  <c r="I114" i="76"/>
  <c r="H114" i="76"/>
  <c r="B113" i="94"/>
  <c r="F113" i="94"/>
  <c r="I112" i="84"/>
  <c r="H112" i="84"/>
  <c r="I120" i="22"/>
  <c r="H120" i="22"/>
  <c r="B120" i="74"/>
  <c r="F120" i="74"/>
  <c r="I113" i="81"/>
  <c r="H113" i="81"/>
  <c r="F114" i="86"/>
  <c r="B114" i="86"/>
  <c r="H121" i="24"/>
  <c r="I121" i="24"/>
  <c r="F111" i="98"/>
  <c r="B111" i="98"/>
  <c r="I122" i="70"/>
  <c r="H122" i="70"/>
  <c r="F113" i="91"/>
  <c r="B113" i="91"/>
  <c r="D117" i="60"/>
  <c r="G116" i="60"/>
  <c r="E117" i="60"/>
  <c r="I122" i="29"/>
  <c r="H122" i="29"/>
  <c r="B120" i="42"/>
  <c r="F120" i="42"/>
  <c r="D121" i="20"/>
  <c r="G120" i="20"/>
  <c r="E121" i="20"/>
  <c r="F113" i="84"/>
  <c r="B113" i="84"/>
  <c r="F118" i="57"/>
  <c r="B118" i="57"/>
  <c r="I120" i="19"/>
  <c r="H120" i="19"/>
  <c r="H117" i="58"/>
  <c r="I117" i="58"/>
  <c r="H117" i="57"/>
  <c r="I117" i="57"/>
  <c r="I117" i="46"/>
  <c r="H117" i="46"/>
  <c r="H112" i="94"/>
  <c r="I112" i="94"/>
  <c r="H111" i="96"/>
  <c r="I111" i="96"/>
  <c r="B121" i="22"/>
  <c r="F121" i="22"/>
  <c r="B115" i="78"/>
  <c r="F115" i="78"/>
  <c r="H113" i="86"/>
  <c r="I113" i="86"/>
  <c r="I112" i="90"/>
  <c r="H112" i="90"/>
  <c r="B115" i="75"/>
  <c r="F115" i="75"/>
  <c r="I117" i="54"/>
  <c r="H117" i="54"/>
  <c r="I110" i="98"/>
  <c r="H110" i="98"/>
  <c r="B122" i="71"/>
  <c r="F122" i="71"/>
  <c r="I112" i="91"/>
  <c r="H112" i="91"/>
  <c r="D122" i="31"/>
  <c r="G121" i="31"/>
  <c r="E122" i="31"/>
  <c r="B113" i="89"/>
  <c r="F113" i="89"/>
  <c r="B112" i="96"/>
  <c r="F112" i="96"/>
  <c r="H116" i="63"/>
  <c r="I116" i="63"/>
  <c r="F114" i="80"/>
  <c r="B114" i="80"/>
  <c r="I120" i="17"/>
  <c r="H120" i="17"/>
  <c r="H114" i="78"/>
  <c r="I114" i="78"/>
  <c r="H120" i="3"/>
  <c r="I120" i="3"/>
  <c r="B113" i="90"/>
  <c r="F113" i="90"/>
  <c r="H114" i="75"/>
  <c r="I114" i="75"/>
  <c r="B118" i="54"/>
  <c r="F118" i="54"/>
  <c r="I121" i="71"/>
  <c r="H121" i="71"/>
  <c r="H119" i="73"/>
  <c r="I119" i="73"/>
  <c r="I120" i="21"/>
  <c r="H120" i="21"/>
  <c r="B114" i="82"/>
  <c r="F114" i="82"/>
  <c r="H112" i="92"/>
  <c r="I112" i="92"/>
  <c r="H113" i="85"/>
  <c r="I113" i="85"/>
  <c r="F118" i="58"/>
  <c r="B118" i="58"/>
  <c r="I119" i="44"/>
  <c r="H119" i="44"/>
  <c r="B116" i="66"/>
  <c r="F116" i="66"/>
  <c r="B114" i="85"/>
  <c r="F114" i="85"/>
  <c r="I112" i="89"/>
  <c r="H112" i="89"/>
  <c r="H123" i="28"/>
  <c r="I123" i="28"/>
  <c r="F117" i="63"/>
  <c r="B117" i="63"/>
  <c r="B113" i="88"/>
  <c r="F113" i="88"/>
  <c r="I113" i="80"/>
  <c r="H113" i="80"/>
  <c r="F121" i="17"/>
  <c r="B121" i="17"/>
  <c r="F121" i="3"/>
  <c r="B121" i="3"/>
  <c r="J120" i="31"/>
  <c r="H117" i="72"/>
  <c r="I117" i="72"/>
  <c r="F123" i="27"/>
  <c r="B123" i="27"/>
  <c r="B120" i="41"/>
  <c r="F120" i="41"/>
  <c r="B120" i="73"/>
  <c r="F120" i="73"/>
  <c r="H112" i="87"/>
  <c r="I112" i="87"/>
  <c r="F121" i="21"/>
  <c r="B121" i="21"/>
  <c r="G111" i="95"/>
  <c r="D112" i="95"/>
  <c r="E112" i="95"/>
  <c r="J110" i="95"/>
  <c r="I113" i="82"/>
  <c r="H113" i="82"/>
  <c r="F119" i="45"/>
  <c r="B119" i="45"/>
  <c r="I119" i="74"/>
  <c r="H119" i="74"/>
  <c r="H116" i="62"/>
  <c r="I116" i="62"/>
  <c r="H112" i="88"/>
  <c r="I112" i="88"/>
  <c r="H116" i="64"/>
  <c r="I116" i="64"/>
  <c r="B118" i="72"/>
  <c r="F118" i="72"/>
  <c r="B115" i="79"/>
  <c r="F115" i="79"/>
  <c r="H117" i="55"/>
  <c r="I117" i="55"/>
  <c r="H122" i="27"/>
  <c r="I122" i="27"/>
  <c r="H119" i="41"/>
  <c r="I119" i="41"/>
  <c r="B122" i="23"/>
  <c r="F122" i="23"/>
  <c r="B113" i="87"/>
  <c r="F113" i="87"/>
  <c r="I114" i="77"/>
  <c r="H114" i="77"/>
  <c r="I113" i="83"/>
  <c r="H113" i="83"/>
  <c r="F115" i="76"/>
  <c r="B115" i="76"/>
  <c r="F117" i="59"/>
  <c r="B117" i="59"/>
  <c r="B122" i="24"/>
  <c r="F122" i="24"/>
  <c r="B120" i="44"/>
  <c r="F120" i="44"/>
  <c r="H115" i="66"/>
  <c r="I115" i="66"/>
  <c r="B116" i="68"/>
  <c r="F116" i="68"/>
  <c r="F120" i="43"/>
  <c r="B120" i="43"/>
  <c r="F124" i="28"/>
  <c r="B124" i="28"/>
  <c r="I120" i="34"/>
  <c r="H120" i="34"/>
  <c r="H121" i="32"/>
  <c r="I121" i="32"/>
  <c r="B118" i="53"/>
  <c r="F118" i="53"/>
  <c r="H115" i="68"/>
  <c r="I115" i="68"/>
  <c r="F117" i="62"/>
  <c r="B117" i="62"/>
  <c r="I119" i="43"/>
  <c r="H119" i="43"/>
  <c r="I119" i="39"/>
  <c r="H119" i="39"/>
  <c r="F121" i="34"/>
  <c r="B121" i="34"/>
  <c r="B122" i="32"/>
  <c r="F122" i="32"/>
  <c r="H115" i="65"/>
  <c r="I115" i="65"/>
  <c r="D117" i="61"/>
  <c r="G116" i="61"/>
  <c r="E117" i="61"/>
  <c r="F117" i="64"/>
  <c r="B117" i="64"/>
  <c r="H114" i="79"/>
  <c r="I114" i="79"/>
  <c r="B118" i="55"/>
  <c r="F118" i="55"/>
  <c r="G111" i="93"/>
  <c r="D112" i="93"/>
  <c r="E112" i="93"/>
  <c r="I121" i="23"/>
  <c r="H121" i="23"/>
  <c r="H110" i="97"/>
  <c r="I110" i="97"/>
  <c r="I122" i="30"/>
  <c r="H122" i="30"/>
  <c r="B115" i="77"/>
  <c r="F115" i="77"/>
  <c r="F114" i="83"/>
  <c r="B114" i="83"/>
  <c r="I117" i="56"/>
  <c r="H117" i="56"/>
  <c r="B114" i="101"/>
  <c r="F114" i="101"/>
  <c r="H115" i="67"/>
  <c r="I115" i="67"/>
  <c r="H117" i="53"/>
  <c r="I117" i="53"/>
  <c r="F120" i="39"/>
  <c r="B120" i="39"/>
  <c r="H116" i="59"/>
  <c r="I116" i="59"/>
  <c r="B116" i="65"/>
  <c r="F116" i="65"/>
  <c r="F113" i="92"/>
  <c r="B113" i="92"/>
  <c r="G120" i="18"/>
  <c r="D121" i="18"/>
  <c r="E121" i="18"/>
  <c r="J115" i="60"/>
  <c r="I122" i="69"/>
  <c r="H122" i="69"/>
  <c r="B111" i="97"/>
  <c r="F111" i="97"/>
  <c r="J119" i="18"/>
  <c r="F123" i="30"/>
  <c r="B123" i="30"/>
  <c r="B107" i="102"/>
  <c r="F107" i="102"/>
  <c r="F118" i="56"/>
  <c r="B118" i="56"/>
  <c r="I113" i="101"/>
  <c r="H113" i="101"/>
  <c r="J106" i="13" l="1"/>
  <c r="J111" i="96"/>
  <c r="J113" i="80"/>
  <c r="J112" i="89"/>
  <c r="J120" i="21"/>
  <c r="J120" i="17"/>
  <c r="J123" i="28"/>
  <c r="J114" i="78"/>
  <c r="J113" i="85"/>
  <c r="J119" i="73"/>
  <c r="G107" i="13"/>
  <c r="D108" i="13"/>
  <c r="E108" i="13"/>
  <c r="J112" i="91"/>
  <c r="J117" i="53"/>
  <c r="J110" i="97"/>
  <c r="J115" i="65"/>
  <c r="J122" i="27"/>
  <c r="J116" i="64"/>
  <c r="J117" i="58"/>
  <c r="J115" i="67"/>
  <c r="J121" i="32"/>
  <c r="J117" i="55"/>
  <c r="J112" i="88"/>
  <c r="J112" i="87"/>
  <c r="J117" i="72"/>
  <c r="J113" i="86"/>
  <c r="J112" i="94"/>
  <c r="J120" i="34"/>
  <c r="J119" i="42"/>
  <c r="J121" i="24"/>
  <c r="J112" i="84"/>
  <c r="J118" i="45"/>
  <c r="J119" i="41"/>
  <c r="J121" i="71"/>
  <c r="J122" i="29"/>
  <c r="J114" i="76"/>
  <c r="J106" i="102"/>
  <c r="J113" i="83"/>
  <c r="G112" i="96"/>
  <c r="D113" i="96"/>
  <c r="E113" i="96"/>
  <c r="D114" i="84"/>
  <c r="G113" i="84"/>
  <c r="E114" i="84"/>
  <c r="G111" i="98"/>
  <c r="D112" i="98"/>
  <c r="E112" i="98"/>
  <c r="I116" i="61"/>
  <c r="H116" i="61"/>
  <c r="D119" i="55"/>
  <c r="G118" i="55"/>
  <c r="E119" i="55"/>
  <c r="J119" i="74"/>
  <c r="J113" i="101"/>
  <c r="G122" i="24"/>
  <c r="D123" i="24"/>
  <c r="E123" i="24"/>
  <c r="J119" i="44"/>
  <c r="H116" i="60"/>
  <c r="I116" i="60"/>
  <c r="D114" i="92"/>
  <c r="G113" i="92"/>
  <c r="E114" i="92"/>
  <c r="J117" i="56"/>
  <c r="J114" i="79"/>
  <c r="J119" i="43"/>
  <c r="D121" i="43"/>
  <c r="G120" i="43"/>
  <c r="E121" i="43"/>
  <c r="J114" i="77"/>
  <c r="D120" i="45"/>
  <c r="G119" i="45"/>
  <c r="E120" i="45"/>
  <c r="D122" i="21"/>
  <c r="G121" i="21"/>
  <c r="E122" i="21"/>
  <c r="G123" i="27"/>
  <c r="D124" i="27"/>
  <c r="E124" i="27"/>
  <c r="J114" i="75"/>
  <c r="D114" i="89"/>
  <c r="G113" i="89"/>
  <c r="E114" i="89"/>
  <c r="J112" i="90"/>
  <c r="H120" i="20"/>
  <c r="I120" i="20"/>
  <c r="F117" i="60"/>
  <c r="B117" i="60"/>
  <c r="J120" i="22"/>
  <c r="D119" i="46"/>
  <c r="G118" i="46"/>
  <c r="E119" i="46"/>
  <c r="G116" i="67"/>
  <c r="D117" i="67"/>
  <c r="E117" i="67"/>
  <c r="B121" i="18"/>
  <c r="F121" i="18"/>
  <c r="G120" i="44"/>
  <c r="D121" i="44"/>
  <c r="E121" i="44"/>
  <c r="H111" i="95"/>
  <c r="I111" i="95"/>
  <c r="D119" i="56"/>
  <c r="G118" i="56"/>
  <c r="E119" i="56"/>
  <c r="F121" i="20"/>
  <c r="B121" i="20"/>
  <c r="D124" i="29"/>
  <c r="G123" i="29"/>
  <c r="E124" i="29"/>
  <c r="H111" i="93"/>
  <c r="I111" i="93"/>
  <c r="D119" i="53"/>
  <c r="G118" i="53"/>
  <c r="E119" i="53"/>
  <c r="I120" i="18"/>
  <c r="H120" i="18"/>
  <c r="J119" i="39"/>
  <c r="D125" i="28"/>
  <c r="G124" i="28"/>
  <c r="E125" i="28"/>
  <c r="G111" i="97"/>
  <c r="D112" i="97"/>
  <c r="E112" i="97"/>
  <c r="D123" i="71"/>
  <c r="G122" i="71"/>
  <c r="E123" i="71"/>
  <c r="G116" i="65"/>
  <c r="D117" i="65"/>
  <c r="E117" i="65"/>
  <c r="D123" i="32"/>
  <c r="G122" i="32"/>
  <c r="E123" i="32"/>
  <c r="D114" i="87"/>
  <c r="G113" i="87"/>
  <c r="E114" i="87"/>
  <c r="G107" i="102"/>
  <c r="D108" i="102"/>
  <c r="E108" i="102"/>
  <c r="G114" i="83"/>
  <c r="D115" i="83"/>
  <c r="E115" i="83"/>
  <c r="J121" i="23"/>
  <c r="D118" i="62"/>
  <c r="G117" i="62"/>
  <c r="E118" i="62"/>
  <c r="G117" i="59"/>
  <c r="D118" i="59"/>
  <c r="E118" i="59"/>
  <c r="J113" i="82"/>
  <c r="D114" i="88"/>
  <c r="G113" i="88"/>
  <c r="E114" i="88"/>
  <c r="D115" i="85"/>
  <c r="G114" i="85"/>
  <c r="E115" i="85"/>
  <c r="G113" i="90"/>
  <c r="D114" i="90"/>
  <c r="E114" i="90"/>
  <c r="J110" i="98"/>
  <c r="J120" i="19"/>
  <c r="D121" i="42"/>
  <c r="G120" i="42"/>
  <c r="E121" i="42"/>
  <c r="D114" i="91"/>
  <c r="G113" i="91"/>
  <c r="E114" i="91"/>
  <c r="G114" i="86"/>
  <c r="D115" i="86"/>
  <c r="E115" i="86"/>
  <c r="F111" i="99"/>
  <c r="B111" i="99"/>
  <c r="D121" i="39"/>
  <c r="G120" i="39"/>
  <c r="E121" i="39"/>
  <c r="J122" i="30"/>
  <c r="D115" i="82"/>
  <c r="G114" i="82"/>
  <c r="E115" i="82"/>
  <c r="G118" i="58"/>
  <c r="D119" i="58"/>
  <c r="E119" i="58"/>
  <c r="J122" i="69"/>
  <c r="J116" i="59"/>
  <c r="G115" i="77"/>
  <c r="D116" i="77"/>
  <c r="E116" i="77"/>
  <c r="D118" i="64"/>
  <c r="G117" i="64"/>
  <c r="E118" i="64"/>
  <c r="J115" i="68"/>
  <c r="J115" i="66"/>
  <c r="G122" i="23"/>
  <c r="D123" i="23"/>
  <c r="E123" i="23"/>
  <c r="G115" i="79"/>
  <c r="D116" i="79"/>
  <c r="E116" i="79"/>
  <c r="J116" i="62"/>
  <c r="D121" i="73"/>
  <c r="G120" i="73"/>
  <c r="E121" i="73"/>
  <c r="D115" i="80"/>
  <c r="G114" i="80"/>
  <c r="E115" i="80"/>
  <c r="H121" i="31"/>
  <c r="I121" i="31"/>
  <c r="D116" i="78"/>
  <c r="G115" i="78"/>
  <c r="E116" i="78"/>
  <c r="G113" i="94"/>
  <c r="D114" i="94"/>
  <c r="E114" i="94"/>
  <c r="H110" i="99"/>
  <c r="I110" i="99"/>
  <c r="G123" i="69"/>
  <c r="D124" i="69"/>
  <c r="E124" i="69"/>
  <c r="G123" i="30"/>
  <c r="D124" i="30"/>
  <c r="E124" i="30"/>
  <c r="G114" i="101"/>
  <c r="D115" i="101"/>
  <c r="E115" i="101"/>
  <c r="F117" i="61"/>
  <c r="B117" i="61"/>
  <c r="G118" i="54"/>
  <c r="D119" i="54"/>
  <c r="E119" i="54"/>
  <c r="G121" i="17"/>
  <c r="D122" i="17"/>
  <c r="E122" i="17"/>
  <c r="D117" i="68"/>
  <c r="G116" i="68"/>
  <c r="E117" i="68"/>
  <c r="F112" i="93"/>
  <c r="B112" i="93"/>
  <c r="D122" i="34"/>
  <c r="G121" i="34"/>
  <c r="E122" i="34"/>
  <c r="G115" i="76"/>
  <c r="D116" i="76"/>
  <c r="E116" i="76"/>
  <c r="D117" i="66"/>
  <c r="G116" i="66"/>
  <c r="E117" i="66"/>
  <c r="J112" i="92"/>
  <c r="J120" i="3"/>
  <c r="J116" i="63"/>
  <c r="B122" i="31"/>
  <c r="F122" i="31"/>
  <c r="J117" i="54"/>
  <c r="J117" i="46"/>
  <c r="G118" i="57"/>
  <c r="D119" i="57"/>
  <c r="E119" i="57"/>
  <c r="J122" i="70"/>
  <c r="J113" i="81"/>
  <c r="G123" i="70"/>
  <c r="D124" i="70"/>
  <c r="E124" i="70"/>
  <c r="G121" i="19"/>
  <c r="D122" i="19"/>
  <c r="E122" i="19"/>
  <c r="D119" i="72"/>
  <c r="G118" i="72"/>
  <c r="E119" i="72"/>
  <c r="B112" i="95"/>
  <c r="F112" i="95"/>
  <c r="D121" i="41"/>
  <c r="G120" i="41"/>
  <c r="E121" i="41"/>
  <c r="D122" i="3"/>
  <c r="G121" i="3"/>
  <c r="E122" i="3"/>
  <c r="D118" i="63"/>
  <c r="G117" i="63"/>
  <c r="E118" i="63"/>
  <c r="G115" i="75"/>
  <c r="D116" i="75"/>
  <c r="E116" i="75"/>
  <c r="D122" i="22"/>
  <c r="G121" i="22"/>
  <c r="E122" i="22"/>
  <c r="J117" i="57"/>
  <c r="G120" i="74"/>
  <c r="D121" i="74"/>
  <c r="E121" i="74"/>
  <c r="G114" i="81"/>
  <c r="D115" i="81"/>
  <c r="E115" i="81"/>
  <c r="B108" i="13" l="1"/>
  <c r="F108" i="13"/>
  <c r="H107" i="13"/>
  <c r="M88" i="13" s="1"/>
  <c r="I107" i="13"/>
  <c r="J111" i="95"/>
  <c r="J110" i="99"/>
  <c r="J121" i="31"/>
  <c r="J111" i="93"/>
  <c r="J120" i="20"/>
  <c r="J116" i="61"/>
  <c r="I111" i="98"/>
  <c r="H111" i="98"/>
  <c r="I121" i="19"/>
  <c r="H121" i="19"/>
  <c r="H118" i="57"/>
  <c r="I118" i="57"/>
  <c r="B122" i="34"/>
  <c r="F122" i="34"/>
  <c r="H121" i="17"/>
  <c r="I121" i="17"/>
  <c r="I114" i="101"/>
  <c r="H114" i="101"/>
  <c r="F115" i="82"/>
  <c r="B115" i="82"/>
  <c r="B115" i="86"/>
  <c r="F115" i="86"/>
  <c r="H117" i="62"/>
  <c r="I117" i="62"/>
  <c r="H107" i="102"/>
  <c r="M88" i="102" s="1"/>
  <c r="I107" i="102"/>
  <c r="F117" i="65"/>
  <c r="B117" i="65"/>
  <c r="F119" i="53"/>
  <c r="B119" i="53"/>
  <c r="D122" i="18"/>
  <c r="G121" i="18"/>
  <c r="E122" i="18"/>
  <c r="F114" i="89"/>
  <c r="B114" i="89"/>
  <c r="J116" i="60"/>
  <c r="I111" i="97"/>
  <c r="H111" i="97"/>
  <c r="H113" i="89"/>
  <c r="I113" i="89"/>
  <c r="F114" i="92"/>
  <c r="B114" i="92"/>
  <c r="I120" i="74"/>
  <c r="H120" i="74"/>
  <c r="F116" i="79"/>
  <c r="B116" i="79"/>
  <c r="H117" i="64"/>
  <c r="I117" i="64"/>
  <c r="H114" i="86"/>
  <c r="I114" i="86"/>
  <c r="H113" i="88"/>
  <c r="I113" i="88"/>
  <c r="B118" i="62"/>
  <c r="F118" i="62"/>
  <c r="H116" i="65"/>
  <c r="I116" i="65"/>
  <c r="H124" i="28"/>
  <c r="I124" i="28"/>
  <c r="I118" i="56"/>
  <c r="H118" i="56"/>
  <c r="H119" i="45"/>
  <c r="I119" i="45"/>
  <c r="H118" i="55"/>
  <c r="I118" i="55"/>
  <c r="I113" i="84"/>
  <c r="H113" i="84"/>
  <c r="I118" i="53"/>
  <c r="H118" i="53"/>
  <c r="F121" i="41"/>
  <c r="B121" i="41"/>
  <c r="G112" i="95"/>
  <c r="D113" i="95"/>
  <c r="E113" i="95"/>
  <c r="H116" i="66"/>
  <c r="I116" i="66"/>
  <c r="F118" i="63"/>
  <c r="B118" i="63"/>
  <c r="F124" i="70"/>
  <c r="B124" i="70"/>
  <c r="F117" i="66"/>
  <c r="B117" i="66"/>
  <c r="D113" i="93"/>
  <c r="G112" i="93"/>
  <c r="E113" i="93"/>
  <c r="B119" i="54"/>
  <c r="F119" i="54"/>
  <c r="B124" i="30"/>
  <c r="F124" i="30"/>
  <c r="B114" i="94"/>
  <c r="F114" i="94"/>
  <c r="H114" i="80"/>
  <c r="I114" i="80"/>
  <c r="I115" i="79"/>
  <c r="H115" i="79"/>
  <c r="B118" i="64"/>
  <c r="F118" i="64"/>
  <c r="B114" i="88"/>
  <c r="F114" i="88"/>
  <c r="H113" i="87"/>
  <c r="I113" i="87"/>
  <c r="B125" i="28"/>
  <c r="F125" i="28"/>
  <c r="F119" i="56"/>
  <c r="B119" i="56"/>
  <c r="D118" i="60"/>
  <c r="G117" i="60"/>
  <c r="E118" i="60"/>
  <c r="F120" i="45"/>
  <c r="B120" i="45"/>
  <c r="B119" i="55"/>
  <c r="F119" i="55"/>
  <c r="B114" i="84"/>
  <c r="F114" i="84"/>
  <c r="F121" i="74"/>
  <c r="B121" i="74"/>
  <c r="F122" i="19"/>
  <c r="B122" i="19"/>
  <c r="F122" i="17"/>
  <c r="B122" i="17"/>
  <c r="G121" i="20"/>
  <c r="D122" i="20"/>
  <c r="E122" i="20"/>
  <c r="I120" i="44"/>
  <c r="H120" i="44"/>
  <c r="H117" i="63"/>
  <c r="I117" i="63"/>
  <c r="H121" i="22"/>
  <c r="I121" i="22"/>
  <c r="I123" i="70"/>
  <c r="H123" i="70"/>
  <c r="D123" i="31"/>
  <c r="G122" i="31"/>
  <c r="E123" i="31"/>
  <c r="I118" i="54"/>
  <c r="H118" i="54"/>
  <c r="H123" i="30"/>
  <c r="I123" i="30"/>
  <c r="H113" i="94"/>
  <c r="I113" i="94"/>
  <c r="B115" i="80"/>
  <c r="F115" i="80"/>
  <c r="I120" i="39"/>
  <c r="H120" i="39"/>
  <c r="H113" i="91"/>
  <c r="I113" i="91"/>
  <c r="F114" i="90"/>
  <c r="B114" i="90"/>
  <c r="B114" i="87"/>
  <c r="F114" i="87"/>
  <c r="I122" i="71"/>
  <c r="H122" i="71"/>
  <c r="F117" i="67"/>
  <c r="B117" i="67"/>
  <c r="F124" i="27"/>
  <c r="B124" i="27"/>
  <c r="I120" i="41"/>
  <c r="H120" i="41"/>
  <c r="B119" i="57"/>
  <c r="F119" i="57"/>
  <c r="H121" i="34"/>
  <c r="I121" i="34"/>
  <c r="H114" i="82"/>
  <c r="I114" i="82"/>
  <c r="F115" i="85"/>
  <c r="B115" i="85"/>
  <c r="B108" i="102"/>
  <c r="F108" i="102"/>
  <c r="B119" i="46"/>
  <c r="F119" i="46"/>
  <c r="H121" i="3"/>
  <c r="I121" i="3"/>
  <c r="I118" i="72"/>
  <c r="H118" i="72"/>
  <c r="F116" i="76"/>
  <c r="B116" i="76"/>
  <c r="H116" i="68"/>
  <c r="I116" i="68"/>
  <c r="B123" i="23"/>
  <c r="F123" i="23"/>
  <c r="F116" i="77"/>
  <c r="B116" i="77"/>
  <c r="B119" i="58"/>
  <c r="F119" i="58"/>
  <c r="F121" i="39"/>
  <c r="B121" i="39"/>
  <c r="B114" i="91"/>
  <c r="F114" i="91"/>
  <c r="I113" i="90"/>
  <c r="H113" i="90"/>
  <c r="F115" i="83"/>
  <c r="B115" i="83"/>
  <c r="F123" i="71"/>
  <c r="B123" i="71"/>
  <c r="I123" i="29"/>
  <c r="H123" i="29"/>
  <c r="H116" i="67"/>
  <c r="I116" i="67"/>
  <c r="I123" i="27"/>
  <c r="H123" i="27"/>
  <c r="B123" i="24"/>
  <c r="F123" i="24"/>
  <c r="B113" i="96"/>
  <c r="F113" i="96"/>
  <c r="B122" i="3"/>
  <c r="F122" i="3"/>
  <c r="B119" i="72"/>
  <c r="F119" i="72"/>
  <c r="I115" i="76"/>
  <c r="H115" i="76"/>
  <c r="B117" i="68"/>
  <c r="F117" i="68"/>
  <c r="G117" i="61"/>
  <c r="D118" i="61"/>
  <c r="E118" i="61"/>
  <c r="B124" i="69"/>
  <c r="F124" i="69"/>
  <c r="I115" i="78"/>
  <c r="H115" i="78"/>
  <c r="H120" i="73"/>
  <c r="I120" i="73"/>
  <c r="H122" i="23"/>
  <c r="I122" i="23"/>
  <c r="H115" i="77"/>
  <c r="I115" i="77"/>
  <c r="H118" i="58"/>
  <c r="I118" i="58"/>
  <c r="F118" i="59"/>
  <c r="B118" i="59"/>
  <c r="H114" i="83"/>
  <c r="I114" i="83"/>
  <c r="H122" i="32"/>
  <c r="I122" i="32"/>
  <c r="J120" i="18"/>
  <c r="B124" i="29"/>
  <c r="F124" i="29"/>
  <c r="H120" i="43"/>
  <c r="I120" i="43"/>
  <c r="H122" i="24"/>
  <c r="I122" i="24"/>
  <c r="I112" i="96"/>
  <c r="H112" i="96"/>
  <c r="I115" i="75"/>
  <c r="H115" i="75"/>
  <c r="B115" i="101"/>
  <c r="F115" i="101"/>
  <c r="B121" i="42"/>
  <c r="F121" i="42"/>
  <c r="B122" i="21"/>
  <c r="F122" i="21"/>
  <c r="F115" i="81"/>
  <c r="B115" i="81"/>
  <c r="F122" i="22"/>
  <c r="B122" i="22"/>
  <c r="H114" i="81"/>
  <c r="I114" i="81"/>
  <c r="B116" i="75"/>
  <c r="F116" i="75"/>
  <c r="H123" i="69"/>
  <c r="I123" i="69"/>
  <c r="B116" i="78"/>
  <c r="F116" i="78"/>
  <c r="B121" i="73"/>
  <c r="F121" i="73"/>
  <c r="D112" i="99"/>
  <c r="G111" i="99"/>
  <c r="E112" i="99"/>
  <c r="I120" i="42"/>
  <c r="H120" i="42"/>
  <c r="I114" i="85"/>
  <c r="H114" i="85"/>
  <c r="I117" i="59"/>
  <c r="H117" i="59"/>
  <c r="B123" i="32"/>
  <c r="F123" i="32"/>
  <c r="F112" i="97"/>
  <c r="B112" i="97"/>
  <c r="B121" i="44"/>
  <c r="F121" i="44"/>
  <c r="I118" i="46"/>
  <c r="H118" i="46"/>
  <c r="H121" i="21"/>
  <c r="I121" i="21"/>
  <c r="F121" i="43"/>
  <c r="B121" i="43"/>
  <c r="H113" i="92"/>
  <c r="I113" i="92"/>
  <c r="F112" i="98"/>
  <c r="B112" i="98"/>
  <c r="J114" i="80" l="1"/>
  <c r="J124" i="28"/>
  <c r="J114" i="86"/>
  <c r="J107" i="102"/>
  <c r="J118" i="55"/>
  <c r="J120" i="43"/>
  <c r="J116" i="67"/>
  <c r="J107" i="13"/>
  <c r="M89" i="13"/>
  <c r="O88" i="13"/>
  <c r="O89" i="13" s="1"/>
  <c r="G108" i="13"/>
  <c r="D109" i="13"/>
  <c r="E109" i="13"/>
  <c r="J114" i="81"/>
  <c r="J122" i="24"/>
  <c r="J113" i="88"/>
  <c r="J114" i="85"/>
  <c r="J115" i="79"/>
  <c r="J113" i="87"/>
  <c r="J115" i="75"/>
  <c r="J118" i="58"/>
  <c r="J118" i="53"/>
  <c r="J111" i="97"/>
  <c r="J120" i="42"/>
  <c r="J121" i="3"/>
  <c r="J114" i="82"/>
  <c r="J113" i="94"/>
  <c r="J116" i="66"/>
  <c r="J116" i="65"/>
  <c r="J117" i="64"/>
  <c r="J113" i="89"/>
  <c r="J117" i="62"/>
  <c r="J121" i="17"/>
  <c r="J123" i="70"/>
  <c r="J112" i="96"/>
  <c r="J122" i="32"/>
  <c r="J115" i="77"/>
  <c r="J115" i="76"/>
  <c r="J118" i="46"/>
  <c r="J118" i="57"/>
  <c r="G119" i="56"/>
  <c r="D120" i="56"/>
  <c r="E120" i="56"/>
  <c r="J113" i="92"/>
  <c r="G121" i="44"/>
  <c r="D122" i="44"/>
  <c r="E122" i="44"/>
  <c r="J114" i="83"/>
  <c r="J122" i="23"/>
  <c r="J123" i="27"/>
  <c r="G115" i="83"/>
  <c r="D116" i="83"/>
  <c r="E116" i="83"/>
  <c r="D117" i="76"/>
  <c r="G116" i="76"/>
  <c r="E117" i="76"/>
  <c r="J122" i="71"/>
  <c r="J120" i="39"/>
  <c r="J118" i="54"/>
  <c r="J117" i="63"/>
  <c r="G122" i="17"/>
  <c r="D123" i="17"/>
  <c r="E123" i="17"/>
  <c r="D126" i="28"/>
  <c r="G125" i="28"/>
  <c r="E126" i="28"/>
  <c r="D120" i="54"/>
  <c r="G119" i="54"/>
  <c r="E120" i="54"/>
  <c r="D125" i="70"/>
  <c r="G124" i="70"/>
  <c r="E125" i="70"/>
  <c r="J113" i="84"/>
  <c r="J118" i="56"/>
  <c r="J120" i="74"/>
  <c r="D118" i="65"/>
  <c r="G117" i="65"/>
  <c r="E118" i="65"/>
  <c r="D116" i="82"/>
  <c r="G115" i="82"/>
  <c r="E116" i="82"/>
  <c r="G121" i="73"/>
  <c r="D122" i="73"/>
  <c r="E122" i="73"/>
  <c r="D120" i="72"/>
  <c r="G119" i="72"/>
  <c r="E120" i="72"/>
  <c r="G119" i="57"/>
  <c r="D120" i="57"/>
  <c r="E120" i="57"/>
  <c r="D117" i="78"/>
  <c r="G116" i="78"/>
  <c r="E117" i="78"/>
  <c r="G115" i="101"/>
  <c r="D116" i="101"/>
  <c r="E116" i="101"/>
  <c r="F118" i="61"/>
  <c r="B118" i="61"/>
  <c r="G122" i="3"/>
  <c r="D123" i="3"/>
  <c r="E123" i="3"/>
  <c r="G114" i="87"/>
  <c r="D115" i="87"/>
  <c r="E115" i="87"/>
  <c r="G115" i="80"/>
  <c r="D116" i="80"/>
  <c r="E116" i="80"/>
  <c r="G121" i="41"/>
  <c r="D122" i="41"/>
  <c r="E122" i="41"/>
  <c r="G114" i="89"/>
  <c r="D115" i="89"/>
  <c r="E115" i="89"/>
  <c r="G112" i="98"/>
  <c r="D113" i="98"/>
  <c r="E113" i="98"/>
  <c r="D123" i="22"/>
  <c r="G122" i="22"/>
  <c r="E123" i="22"/>
  <c r="J120" i="73"/>
  <c r="I117" i="61"/>
  <c r="H117" i="61"/>
  <c r="J113" i="90"/>
  <c r="D117" i="77"/>
  <c r="G116" i="77"/>
  <c r="E117" i="77"/>
  <c r="J118" i="72"/>
  <c r="D116" i="85"/>
  <c r="G115" i="85"/>
  <c r="E116" i="85"/>
  <c r="J120" i="41"/>
  <c r="H122" i="31"/>
  <c r="I122" i="31"/>
  <c r="G122" i="19"/>
  <c r="D123" i="19"/>
  <c r="E123" i="19"/>
  <c r="D121" i="45"/>
  <c r="G120" i="45"/>
  <c r="E121" i="45"/>
  <c r="D119" i="63"/>
  <c r="G118" i="63"/>
  <c r="E119" i="63"/>
  <c r="G114" i="92"/>
  <c r="D115" i="92"/>
  <c r="E115" i="92"/>
  <c r="M89" i="102"/>
  <c r="O88" i="102"/>
  <c r="O89" i="102" s="1"/>
  <c r="N18" i="2"/>
  <c r="J114" i="101"/>
  <c r="J121" i="19"/>
  <c r="D122" i="42"/>
  <c r="G121" i="42"/>
  <c r="E122" i="42"/>
  <c r="D122" i="43"/>
  <c r="G121" i="43"/>
  <c r="E122" i="43"/>
  <c r="G112" i="97"/>
  <c r="D113" i="97"/>
  <c r="E113" i="97"/>
  <c r="J123" i="69"/>
  <c r="G124" i="29"/>
  <c r="D125" i="29"/>
  <c r="E125" i="29"/>
  <c r="D119" i="59"/>
  <c r="G118" i="59"/>
  <c r="E119" i="59"/>
  <c r="D118" i="68"/>
  <c r="G117" i="68"/>
  <c r="E118" i="68"/>
  <c r="D114" i="96"/>
  <c r="B114" i="96" s="1"/>
  <c r="G113" i="96"/>
  <c r="E114" i="96"/>
  <c r="D115" i="91"/>
  <c r="G114" i="91"/>
  <c r="E115" i="91"/>
  <c r="G123" i="23"/>
  <c r="D124" i="23"/>
  <c r="E124" i="23"/>
  <c r="F123" i="31"/>
  <c r="B123" i="31"/>
  <c r="J120" i="44"/>
  <c r="H112" i="93"/>
  <c r="I112" i="93"/>
  <c r="I121" i="18"/>
  <c r="H121" i="18"/>
  <c r="G108" i="102"/>
  <c r="D109" i="102"/>
  <c r="E109" i="102"/>
  <c r="D120" i="55"/>
  <c r="G119" i="55"/>
  <c r="E120" i="55"/>
  <c r="I112" i="95"/>
  <c r="H112" i="95"/>
  <c r="J121" i="21"/>
  <c r="G123" i="32"/>
  <c r="D124" i="32"/>
  <c r="E124" i="32"/>
  <c r="G115" i="81"/>
  <c r="D116" i="81"/>
  <c r="E116" i="81"/>
  <c r="J123" i="29"/>
  <c r="G124" i="27"/>
  <c r="D125" i="27"/>
  <c r="E125" i="27"/>
  <c r="D115" i="90"/>
  <c r="G114" i="90"/>
  <c r="E115" i="90"/>
  <c r="G121" i="74"/>
  <c r="D122" i="74"/>
  <c r="E122" i="74"/>
  <c r="I117" i="60"/>
  <c r="H117" i="60"/>
  <c r="G114" i="88"/>
  <c r="D115" i="88"/>
  <c r="E115" i="88"/>
  <c r="D115" i="94"/>
  <c r="G114" i="94"/>
  <c r="E115" i="94"/>
  <c r="B113" i="93"/>
  <c r="F113" i="93"/>
  <c r="B122" i="18"/>
  <c r="F122" i="18"/>
  <c r="J111" i="98"/>
  <c r="B112" i="99"/>
  <c r="F112" i="99"/>
  <c r="J117" i="59"/>
  <c r="D120" i="58"/>
  <c r="G119" i="58"/>
  <c r="E120" i="58"/>
  <c r="I111" i="99"/>
  <c r="H111" i="99"/>
  <c r="G116" i="75"/>
  <c r="D117" i="75"/>
  <c r="E117" i="75"/>
  <c r="G122" i="21"/>
  <c r="D123" i="21"/>
  <c r="E123" i="21"/>
  <c r="J115" i="78"/>
  <c r="D124" i="24"/>
  <c r="G123" i="24"/>
  <c r="E124" i="24"/>
  <c r="J116" i="68"/>
  <c r="G119" i="46"/>
  <c r="D120" i="46"/>
  <c r="E120" i="46"/>
  <c r="J121" i="34"/>
  <c r="J113" i="91"/>
  <c r="J123" i="30"/>
  <c r="F122" i="20"/>
  <c r="B122" i="20"/>
  <c r="D115" i="84"/>
  <c r="G114" i="84"/>
  <c r="E115" i="84"/>
  <c r="B118" i="60"/>
  <c r="F118" i="60"/>
  <c r="J119" i="45"/>
  <c r="D119" i="62"/>
  <c r="G118" i="62"/>
  <c r="E119" i="62"/>
  <c r="G115" i="86"/>
  <c r="D116" i="86"/>
  <c r="E116" i="86"/>
  <c r="G122" i="34"/>
  <c r="D123" i="34"/>
  <c r="E123" i="34"/>
  <c r="G124" i="69"/>
  <c r="D125" i="69"/>
  <c r="E125" i="69"/>
  <c r="G123" i="71"/>
  <c r="D124" i="71"/>
  <c r="E124" i="71"/>
  <c r="D122" i="39"/>
  <c r="G121" i="39"/>
  <c r="E122" i="39"/>
  <c r="D118" i="67"/>
  <c r="G117" i="67"/>
  <c r="E118" i="67"/>
  <c r="J121" i="22"/>
  <c r="H121" i="20"/>
  <c r="I121" i="20"/>
  <c r="G118" i="64"/>
  <c r="D119" i="64"/>
  <c r="E119" i="64"/>
  <c r="G124" i="30"/>
  <c r="D125" i="30"/>
  <c r="E125" i="30"/>
  <c r="D118" i="66"/>
  <c r="G117" i="66"/>
  <c r="E118" i="66"/>
  <c r="F113" i="95"/>
  <c r="B113" i="95"/>
  <c r="D117" i="79"/>
  <c r="G116" i="79"/>
  <c r="E117" i="79"/>
  <c r="G119" i="53"/>
  <c r="D120" i="53"/>
  <c r="E120" i="53"/>
  <c r="I93" i="36"/>
  <c r="I92" i="36"/>
  <c r="F114" i="96" l="1"/>
  <c r="V92" i="36"/>
  <c r="H108" i="13"/>
  <c r="I108" i="13"/>
  <c r="B109" i="13"/>
  <c r="F109" i="13"/>
  <c r="V93" i="36"/>
  <c r="I96" i="36"/>
  <c r="G114" i="96"/>
  <c r="D115" i="96"/>
  <c r="E115" i="96"/>
  <c r="B119" i="59"/>
  <c r="F119" i="59"/>
  <c r="N19" i="2"/>
  <c r="N20" i="2" s="1"/>
  <c r="R134" i="2"/>
  <c r="P18" i="2"/>
  <c r="P19" i="2" s="1"/>
  <c r="P20" i="2" s="1"/>
  <c r="F123" i="19"/>
  <c r="B123" i="19"/>
  <c r="H114" i="89"/>
  <c r="I114" i="89"/>
  <c r="B115" i="87"/>
  <c r="F115" i="87"/>
  <c r="F116" i="101"/>
  <c r="B116" i="101"/>
  <c r="B116" i="82"/>
  <c r="F116" i="82"/>
  <c r="H124" i="70"/>
  <c r="I124" i="70"/>
  <c r="H116" i="76"/>
  <c r="I116" i="76"/>
  <c r="B119" i="64"/>
  <c r="F119" i="64"/>
  <c r="H124" i="69"/>
  <c r="I124" i="69"/>
  <c r="H118" i="62"/>
  <c r="I118" i="62"/>
  <c r="D114" i="93"/>
  <c r="G113" i="93"/>
  <c r="E114" i="93"/>
  <c r="F119" i="62"/>
  <c r="B119" i="62"/>
  <c r="F117" i="75"/>
  <c r="B117" i="75"/>
  <c r="D113" i="99"/>
  <c r="G112" i="99"/>
  <c r="E113" i="99"/>
  <c r="J117" i="60"/>
  <c r="B125" i="27"/>
  <c r="F125" i="27"/>
  <c r="H123" i="32"/>
  <c r="I123" i="32"/>
  <c r="F109" i="102"/>
  <c r="B109" i="102"/>
  <c r="D124" i="31"/>
  <c r="G123" i="31"/>
  <c r="E124" i="31"/>
  <c r="H113" i="96"/>
  <c r="I113" i="96"/>
  <c r="H121" i="43"/>
  <c r="I121" i="43"/>
  <c r="H122" i="19"/>
  <c r="I122" i="19"/>
  <c r="H122" i="22"/>
  <c r="I122" i="22"/>
  <c r="J122" i="22" s="1"/>
  <c r="I114" i="87"/>
  <c r="H114" i="87"/>
  <c r="H115" i="101"/>
  <c r="I115" i="101"/>
  <c r="H119" i="72"/>
  <c r="I119" i="72"/>
  <c r="F125" i="70"/>
  <c r="B125" i="70"/>
  <c r="B123" i="17"/>
  <c r="F123" i="17"/>
  <c r="F117" i="76"/>
  <c r="B117" i="76"/>
  <c r="F122" i="44"/>
  <c r="B122" i="44"/>
  <c r="F124" i="32"/>
  <c r="B124" i="32"/>
  <c r="H118" i="64"/>
  <c r="I118" i="64"/>
  <c r="H121" i="39"/>
  <c r="I121" i="39"/>
  <c r="G122" i="20"/>
  <c r="D123" i="20"/>
  <c r="E123" i="20"/>
  <c r="F120" i="53"/>
  <c r="B120" i="53"/>
  <c r="H117" i="66"/>
  <c r="I117" i="66"/>
  <c r="J121" i="20"/>
  <c r="B122" i="39"/>
  <c r="F122" i="39"/>
  <c r="F123" i="34"/>
  <c r="B123" i="34"/>
  <c r="I123" i="24"/>
  <c r="H123" i="24"/>
  <c r="H116" i="75"/>
  <c r="I116" i="75"/>
  <c r="H124" i="27"/>
  <c r="I124" i="27"/>
  <c r="H108" i="102"/>
  <c r="I108" i="102"/>
  <c r="J108" i="102" s="1"/>
  <c r="B125" i="29"/>
  <c r="F125" i="29"/>
  <c r="F122" i="43"/>
  <c r="B122" i="43"/>
  <c r="I118" i="63"/>
  <c r="H118" i="63"/>
  <c r="J122" i="31"/>
  <c r="I116" i="77"/>
  <c r="H116" i="77"/>
  <c r="B123" i="22"/>
  <c r="F123" i="22"/>
  <c r="F122" i="41"/>
  <c r="B122" i="41"/>
  <c r="F120" i="72"/>
  <c r="B120" i="72"/>
  <c r="H117" i="65"/>
  <c r="I117" i="65"/>
  <c r="I122" i="17"/>
  <c r="H122" i="17"/>
  <c r="I121" i="44"/>
  <c r="H121" i="44"/>
  <c r="G118" i="60"/>
  <c r="D119" i="60"/>
  <c r="E119" i="60"/>
  <c r="F119" i="63"/>
  <c r="B119" i="63"/>
  <c r="F117" i="77"/>
  <c r="B117" i="77"/>
  <c r="H121" i="41"/>
  <c r="I121" i="41"/>
  <c r="F123" i="3"/>
  <c r="B123" i="3"/>
  <c r="H116" i="78"/>
  <c r="I116" i="78"/>
  <c r="B118" i="65"/>
  <c r="F118" i="65"/>
  <c r="H119" i="54"/>
  <c r="I119" i="54"/>
  <c r="F116" i="83"/>
  <c r="B116" i="83"/>
  <c r="G113" i="95"/>
  <c r="D114" i="95"/>
  <c r="E114" i="95"/>
  <c r="H119" i="53"/>
  <c r="I119" i="53"/>
  <c r="H124" i="29"/>
  <c r="I124" i="29"/>
  <c r="B117" i="78"/>
  <c r="F117" i="78"/>
  <c r="F120" i="54"/>
  <c r="B120" i="54"/>
  <c r="I115" i="83"/>
  <c r="H115" i="83"/>
  <c r="H122" i="34"/>
  <c r="I122" i="34"/>
  <c r="B124" i="24"/>
  <c r="F124" i="24"/>
  <c r="F122" i="74"/>
  <c r="B122" i="74"/>
  <c r="J111" i="99"/>
  <c r="D123" i="18"/>
  <c r="G122" i="18"/>
  <c r="E123" i="18"/>
  <c r="H121" i="74"/>
  <c r="I121" i="74"/>
  <c r="J121" i="18"/>
  <c r="I123" i="23"/>
  <c r="H123" i="23"/>
  <c r="H122" i="3"/>
  <c r="I122" i="3"/>
  <c r="B125" i="30"/>
  <c r="F125" i="30"/>
  <c r="I123" i="71"/>
  <c r="H123" i="71"/>
  <c r="B116" i="86"/>
  <c r="F116" i="86"/>
  <c r="F116" i="81"/>
  <c r="B116" i="81"/>
  <c r="J112" i="93"/>
  <c r="B118" i="68"/>
  <c r="F118" i="68"/>
  <c r="B122" i="42"/>
  <c r="F122" i="42"/>
  <c r="H114" i="92"/>
  <c r="I114" i="92"/>
  <c r="I120" i="45"/>
  <c r="H120" i="45"/>
  <c r="H112" i="98"/>
  <c r="I112" i="98"/>
  <c r="B116" i="80"/>
  <c r="F116" i="80"/>
  <c r="I121" i="73"/>
  <c r="H121" i="73"/>
  <c r="B120" i="56"/>
  <c r="F120" i="56"/>
  <c r="F118" i="66"/>
  <c r="B118" i="66"/>
  <c r="H114" i="94"/>
  <c r="I114" i="94"/>
  <c r="B124" i="23"/>
  <c r="F124" i="23"/>
  <c r="F115" i="94"/>
  <c r="B115" i="94"/>
  <c r="J112" i="95"/>
  <c r="H121" i="42"/>
  <c r="I121" i="42"/>
  <c r="B115" i="92"/>
  <c r="F115" i="92"/>
  <c r="F113" i="98"/>
  <c r="B113" i="98"/>
  <c r="B122" i="73"/>
  <c r="F122" i="73"/>
  <c r="I116" i="79"/>
  <c r="H116" i="79"/>
  <c r="B117" i="79"/>
  <c r="F117" i="79"/>
  <c r="I124" i="30"/>
  <c r="H124" i="30"/>
  <c r="I117" i="67"/>
  <c r="H117" i="67"/>
  <c r="I115" i="86"/>
  <c r="H115" i="86"/>
  <c r="I114" i="84"/>
  <c r="H114" i="84"/>
  <c r="B120" i="46"/>
  <c r="F120" i="46"/>
  <c r="F123" i="21"/>
  <c r="B123" i="21"/>
  <c r="H119" i="58"/>
  <c r="I119" i="58"/>
  <c r="B115" i="88"/>
  <c r="F115" i="88"/>
  <c r="I114" i="90"/>
  <c r="H114" i="90"/>
  <c r="I115" i="81"/>
  <c r="H115" i="81"/>
  <c r="H119" i="55"/>
  <c r="I119" i="55"/>
  <c r="I114" i="91"/>
  <c r="H114" i="91"/>
  <c r="B113" i="97"/>
  <c r="F113" i="97"/>
  <c r="B121" i="45"/>
  <c r="F121" i="45"/>
  <c r="I115" i="85"/>
  <c r="H115" i="85"/>
  <c r="J117" i="61"/>
  <c r="H115" i="80"/>
  <c r="I115" i="80"/>
  <c r="G118" i="61"/>
  <c r="D119" i="61"/>
  <c r="E119" i="61"/>
  <c r="F120" i="57"/>
  <c r="B120" i="57"/>
  <c r="I125" i="28"/>
  <c r="H125" i="28"/>
  <c r="H119" i="56"/>
  <c r="I119" i="56"/>
  <c r="F124" i="71"/>
  <c r="B124" i="71"/>
  <c r="I117" i="68"/>
  <c r="H117" i="68"/>
  <c r="F118" i="67"/>
  <c r="B118" i="67"/>
  <c r="F125" i="69"/>
  <c r="B125" i="69"/>
  <c r="F115" i="84"/>
  <c r="B115" i="84"/>
  <c r="I119" i="46"/>
  <c r="H119" i="46"/>
  <c r="H122" i="21"/>
  <c r="I122" i="21"/>
  <c r="F120" i="58"/>
  <c r="B120" i="58"/>
  <c r="I114" i="88"/>
  <c r="H114" i="88"/>
  <c r="B115" i="90"/>
  <c r="F115" i="90"/>
  <c r="F120" i="55"/>
  <c r="B120" i="55"/>
  <c r="B115" i="91"/>
  <c r="F115" i="91"/>
  <c r="I118" i="59"/>
  <c r="H118" i="59"/>
  <c r="H112" i="97"/>
  <c r="I112" i="97"/>
  <c r="B116" i="85"/>
  <c r="F116" i="85"/>
  <c r="F115" i="89"/>
  <c r="B115" i="89"/>
  <c r="H119" i="57"/>
  <c r="I119" i="57"/>
  <c r="I115" i="82"/>
  <c r="H115" i="82"/>
  <c r="B126" i="28"/>
  <c r="F126" i="28"/>
  <c r="J120" i="45" l="1"/>
  <c r="J115" i="101"/>
  <c r="J121" i="39"/>
  <c r="J121" i="43"/>
  <c r="J118" i="62"/>
  <c r="J124" i="70"/>
  <c r="J114" i="89"/>
  <c r="G109" i="13"/>
  <c r="E110" i="13"/>
  <c r="D110" i="13"/>
  <c r="J108" i="13"/>
  <c r="J115" i="86"/>
  <c r="J116" i="79"/>
  <c r="J123" i="71"/>
  <c r="J115" i="80"/>
  <c r="J122" i="3"/>
  <c r="J119" i="57"/>
  <c r="J112" i="97"/>
  <c r="J114" i="94"/>
  <c r="J124" i="69"/>
  <c r="J118" i="63"/>
  <c r="J125" i="28"/>
  <c r="J121" i="73"/>
  <c r="J115" i="83"/>
  <c r="J121" i="44"/>
  <c r="J117" i="66"/>
  <c r="J123" i="32"/>
  <c r="J115" i="82"/>
  <c r="J123" i="24"/>
  <c r="J114" i="87"/>
  <c r="J118" i="59"/>
  <c r="J114" i="88"/>
  <c r="I122" i="18"/>
  <c r="H122" i="18"/>
  <c r="J119" i="54"/>
  <c r="J121" i="41"/>
  <c r="H118" i="60"/>
  <c r="I118" i="60"/>
  <c r="G120" i="72"/>
  <c r="D121" i="72"/>
  <c r="E121" i="72"/>
  <c r="J124" i="27"/>
  <c r="D123" i="39"/>
  <c r="G122" i="39"/>
  <c r="E123" i="39"/>
  <c r="F123" i="20"/>
  <c r="B123" i="20"/>
  <c r="J119" i="72"/>
  <c r="J122" i="19"/>
  <c r="F124" i="31"/>
  <c r="B124" i="31"/>
  <c r="H113" i="93"/>
  <c r="I113" i="93"/>
  <c r="J116" i="76"/>
  <c r="D116" i="87"/>
  <c r="G115" i="87"/>
  <c r="E116" i="87"/>
  <c r="G113" i="97"/>
  <c r="D114" i="97"/>
  <c r="E114" i="97"/>
  <c r="G120" i="46"/>
  <c r="D121" i="46"/>
  <c r="E121" i="46"/>
  <c r="G115" i="94"/>
  <c r="D116" i="94"/>
  <c r="E116" i="94"/>
  <c r="J122" i="21"/>
  <c r="J114" i="90"/>
  <c r="J124" i="30"/>
  <c r="G113" i="98"/>
  <c r="D114" i="98"/>
  <c r="E114" i="98"/>
  <c r="D125" i="23"/>
  <c r="G124" i="23"/>
  <c r="E125" i="23"/>
  <c r="J114" i="92"/>
  <c r="D117" i="81"/>
  <c r="G116" i="81"/>
  <c r="E117" i="81"/>
  <c r="B123" i="18"/>
  <c r="F123" i="18"/>
  <c r="J119" i="53"/>
  <c r="I122" i="20"/>
  <c r="H122" i="20"/>
  <c r="D123" i="44"/>
  <c r="G122" i="44"/>
  <c r="E123" i="44"/>
  <c r="H112" i="99"/>
  <c r="I112" i="99"/>
  <c r="B114" i="93"/>
  <c r="F114" i="93"/>
  <c r="D120" i="59"/>
  <c r="G119" i="59"/>
  <c r="E120" i="59"/>
  <c r="D123" i="41"/>
  <c r="G122" i="41"/>
  <c r="E123" i="41"/>
  <c r="J116" i="75"/>
  <c r="G109" i="102"/>
  <c r="D110" i="102"/>
  <c r="E110" i="102"/>
  <c r="B113" i="99"/>
  <c r="F113" i="99"/>
  <c r="G118" i="67"/>
  <c r="D119" i="67"/>
  <c r="E119" i="67"/>
  <c r="D116" i="88"/>
  <c r="G115" i="88"/>
  <c r="E116" i="88"/>
  <c r="D116" i="90"/>
  <c r="G115" i="90"/>
  <c r="E116" i="90"/>
  <c r="J114" i="91"/>
  <c r="J114" i="84"/>
  <c r="G117" i="77"/>
  <c r="D118" i="77"/>
  <c r="E118" i="77"/>
  <c r="D124" i="22"/>
  <c r="G123" i="22"/>
  <c r="E124" i="22"/>
  <c r="G122" i="43"/>
  <c r="D123" i="43"/>
  <c r="E123" i="43"/>
  <c r="D118" i="76"/>
  <c r="G117" i="76"/>
  <c r="E118" i="76"/>
  <c r="D126" i="69"/>
  <c r="G125" i="69"/>
  <c r="E126" i="69"/>
  <c r="G116" i="86"/>
  <c r="D117" i="86"/>
  <c r="E117" i="86"/>
  <c r="G118" i="65"/>
  <c r="D119" i="65"/>
  <c r="E119" i="65"/>
  <c r="G116" i="80"/>
  <c r="D117" i="80"/>
  <c r="E117" i="80"/>
  <c r="D123" i="42"/>
  <c r="G122" i="42"/>
  <c r="E123" i="42"/>
  <c r="J123" i="23"/>
  <c r="J119" i="46"/>
  <c r="J117" i="68"/>
  <c r="G120" i="57"/>
  <c r="D121" i="57"/>
  <c r="E121" i="57"/>
  <c r="J115" i="85"/>
  <c r="J119" i="55"/>
  <c r="J119" i="58"/>
  <c r="J121" i="42"/>
  <c r="G122" i="74"/>
  <c r="D123" i="74"/>
  <c r="E123" i="74"/>
  <c r="D121" i="54"/>
  <c r="G120" i="54"/>
  <c r="E121" i="54"/>
  <c r="B114" i="95"/>
  <c r="F114" i="95"/>
  <c r="J116" i="78"/>
  <c r="J122" i="17"/>
  <c r="G125" i="29"/>
  <c r="D126" i="29"/>
  <c r="E126" i="29"/>
  <c r="J118" i="64"/>
  <c r="G123" i="17"/>
  <c r="D124" i="17"/>
  <c r="E124" i="17"/>
  <c r="J113" i="96"/>
  <c r="G117" i="75"/>
  <c r="D118" i="75"/>
  <c r="E118" i="75"/>
  <c r="D117" i="82"/>
  <c r="G116" i="82"/>
  <c r="E117" i="82"/>
  <c r="B115" i="96"/>
  <c r="F115" i="96"/>
  <c r="D118" i="79"/>
  <c r="G117" i="79"/>
  <c r="E118" i="79"/>
  <c r="D122" i="45"/>
  <c r="G121" i="45"/>
  <c r="E122" i="45"/>
  <c r="J112" i="98"/>
  <c r="G118" i="68"/>
  <c r="D119" i="68"/>
  <c r="E119" i="68"/>
  <c r="J121" i="74"/>
  <c r="D125" i="24"/>
  <c r="G124" i="24"/>
  <c r="E125" i="24"/>
  <c r="D118" i="78"/>
  <c r="G117" i="78"/>
  <c r="E118" i="78"/>
  <c r="I113" i="95"/>
  <c r="H113" i="95"/>
  <c r="G119" i="63"/>
  <c r="D120" i="63"/>
  <c r="E120" i="63"/>
  <c r="J117" i="65"/>
  <c r="G125" i="27"/>
  <c r="D126" i="27"/>
  <c r="E126" i="27"/>
  <c r="G123" i="19"/>
  <c r="D124" i="19"/>
  <c r="E124" i="19"/>
  <c r="I114" i="96"/>
  <c r="H114" i="96"/>
  <c r="G115" i="84"/>
  <c r="D116" i="84"/>
  <c r="E116" i="84"/>
  <c r="J116" i="77"/>
  <c r="G120" i="53"/>
  <c r="D121" i="53"/>
  <c r="E121" i="53"/>
  <c r="D120" i="62"/>
  <c r="G119" i="62"/>
  <c r="E120" i="62"/>
  <c r="G119" i="64"/>
  <c r="D120" i="64"/>
  <c r="E120" i="64"/>
  <c r="I97" i="36"/>
  <c r="G120" i="58"/>
  <c r="D121" i="58"/>
  <c r="E121" i="58"/>
  <c r="G120" i="55"/>
  <c r="D121" i="55"/>
  <c r="E121" i="55"/>
  <c r="G115" i="92"/>
  <c r="D116" i="92"/>
  <c r="E116" i="92"/>
  <c r="G115" i="89"/>
  <c r="D116" i="89"/>
  <c r="E116" i="89"/>
  <c r="G124" i="71"/>
  <c r="D125" i="71"/>
  <c r="E125" i="71"/>
  <c r="F119" i="61"/>
  <c r="B119" i="61"/>
  <c r="D123" i="73"/>
  <c r="G122" i="73"/>
  <c r="E123" i="73"/>
  <c r="D119" i="66"/>
  <c r="G118" i="66"/>
  <c r="E119" i="66"/>
  <c r="D126" i="30"/>
  <c r="G125" i="30"/>
  <c r="E126" i="30"/>
  <c r="G126" i="28"/>
  <c r="D127" i="28"/>
  <c r="E127" i="28"/>
  <c r="G116" i="85"/>
  <c r="D117" i="85"/>
  <c r="E117" i="85"/>
  <c r="D116" i="91"/>
  <c r="G115" i="91"/>
  <c r="E116" i="91"/>
  <c r="J119" i="56"/>
  <c r="I118" i="61"/>
  <c r="H118" i="61"/>
  <c r="J115" i="81"/>
  <c r="G123" i="21"/>
  <c r="D124" i="21"/>
  <c r="E124" i="21"/>
  <c r="J117" i="67"/>
  <c r="G120" i="56"/>
  <c r="D121" i="56"/>
  <c r="E121" i="56"/>
  <c r="J122" i="34"/>
  <c r="J124" i="29"/>
  <c r="D117" i="83"/>
  <c r="G116" i="83"/>
  <c r="E117" i="83"/>
  <c r="D124" i="3"/>
  <c r="G123" i="3"/>
  <c r="E124" i="3"/>
  <c r="F119" i="60"/>
  <c r="B119" i="60"/>
  <c r="G123" i="34"/>
  <c r="D124" i="34"/>
  <c r="E124" i="34"/>
  <c r="G124" i="32"/>
  <c r="D125" i="32"/>
  <c r="E125" i="32"/>
  <c r="D126" i="70"/>
  <c r="G125" i="70"/>
  <c r="E126" i="70"/>
  <c r="I123" i="31"/>
  <c r="H123" i="31"/>
  <c r="G116" i="101"/>
  <c r="D117" i="101"/>
  <c r="E117" i="101"/>
  <c r="V96" i="36"/>
  <c r="B110" i="13" l="1"/>
  <c r="F110" i="13"/>
  <c r="H109" i="13"/>
  <c r="I109" i="13"/>
  <c r="J118" i="60"/>
  <c r="J112" i="99"/>
  <c r="J114" i="96"/>
  <c r="J113" i="93"/>
  <c r="B124" i="17"/>
  <c r="F124" i="17"/>
  <c r="D115" i="95"/>
  <c r="G114" i="95"/>
  <c r="E115" i="95"/>
  <c r="B126" i="69"/>
  <c r="F126" i="69"/>
  <c r="I123" i="22"/>
  <c r="H123" i="22"/>
  <c r="H115" i="90"/>
  <c r="I115" i="90"/>
  <c r="D114" i="99"/>
  <c r="G113" i="99"/>
  <c r="E114" i="99"/>
  <c r="B123" i="41"/>
  <c r="F123" i="41"/>
  <c r="F114" i="98"/>
  <c r="B114" i="98"/>
  <c r="H115" i="94"/>
  <c r="I115" i="94"/>
  <c r="H115" i="87"/>
  <c r="I115" i="87"/>
  <c r="B121" i="72"/>
  <c r="F121" i="72"/>
  <c r="H125" i="30"/>
  <c r="I125" i="30"/>
  <c r="H120" i="58"/>
  <c r="I120" i="58"/>
  <c r="B117" i="101"/>
  <c r="F117" i="101"/>
  <c r="B125" i="32"/>
  <c r="F125" i="32"/>
  <c r="I123" i="3"/>
  <c r="H123" i="3"/>
  <c r="F121" i="56"/>
  <c r="B121" i="56"/>
  <c r="F121" i="53"/>
  <c r="B121" i="53"/>
  <c r="F120" i="63"/>
  <c r="B120" i="63"/>
  <c r="H124" i="24"/>
  <c r="I124" i="24"/>
  <c r="H121" i="45"/>
  <c r="I121" i="45"/>
  <c r="I116" i="82"/>
  <c r="H116" i="82"/>
  <c r="H123" i="17"/>
  <c r="I123" i="17"/>
  <c r="F119" i="65"/>
  <c r="B119" i="65"/>
  <c r="F124" i="22"/>
  <c r="B124" i="22"/>
  <c r="F116" i="90"/>
  <c r="B116" i="90"/>
  <c r="H122" i="44"/>
  <c r="I122" i="44"/>
  <c r="H116" i="81"/>
  <c r="I116" i="81"/>
  <c r="I113" i="98"/>
  <c r="H113" i="98"/>
  <c r="B116" i="87"/>
  <c r="F116" i="87"/>
  <c r="H120" i="72"/>
  <c r="I120" i="72"/>
  <c r="F125" i="71"/>
  <c r="B125" i="71"/>
  <c r="B116" i="91"/>
  <c r="F116" i="91"/>
  <c r="B126" i="30"/>
  <c r="F126" i="30"/>
  <c r="D120" i="61"/>
  <c r="G119" i="61"/>
  <c r="E120" i="61"/>
  <c r="F116" i="92"/>
  <c r="B116" i="92"/>
  <c r="H116" i="101"/>
  <c r="I116" i="101"/>
  <c r="I124" i="32"/>
  <c r="H124" i="32"/>
  <c r="B124" i="3"/>
  <c r="F124" i="3"/>
  <c r="H120" i="56"/>
  <c r="I120" i="56"/>
  <c r="B117" i="85"/>
  <c r="F117" i="85"/>
  <c r="I115" i="92"/>
  <c r="H115" i="92"/>
  <c r="H120" i="53"/>
  <c r="I120" i="53"/>
  <c r="F124" i="19"/>
  <c r="B124" i="19"/>
  <c r="I119" i="63"/>
  <c r="H119" i="63"/>
  <c r="F125" i="24"/>
  <c r="B125" i="24"/>
  <c r="B122" i="45"/>
  <c r="F122" i="45"/>
  <c r="B117" i="82"/>
  <c r="F117" i="82"/>
  <c r="I118" i="65"/>
  <c r="H118" i="65"/>
  <c r="H117" i="76"/>
  <c r="I117" i="76"/>
  <c r="I119" i="59"/>
  <c r="H119" i="59"/>
  <c r="F123" i="44"/>
  <c r="B123" i="44"/>
  <c r="F117" i="81"/>
  <c r="B117" i="81"/>
  <c r="F121" i="46"/>
  <c r="B121" i="46"/>
  <c r="D124" i="20"/>
  <c r="G123" i="20"/>
  <c r="E124" i="20"/>
  <c r="H116" i="85"/>
  <c r="I116" i="85"/>
  <c r="I123" i="19"/>
  <c r="H123" i="19"/>
  <c r="B118" i="76"/>
  <c r="F118" i="76"/>
  <c r="B118" i="77"/>
  <c r="F118" i="77"/>
  <c r="H115" i="88"/>
  <c r="I115" i="88"/>
  <c r="B110" i="102"/>
  <c r="F110" i="102"/>
  <c r="F120" i="59"/>
  <c r="B120" i="59"/>
  <c r="I120" i="46"/>
  <c r="H120" i="46"/>
  <c r="H118" i="66"/>
  <c r="I118" i="66"/>
  <c r="H122" i="42"/>
  <c r="I122" i="42"/>
  <c r="J123" i="31"/>
  <c r="H124" i="71"/>
  <c r="I124" i="71"/>
  <c r="I117" i="79"/>
  <c r="H117" i="79"/>
  <c r="F123" i="42"/>
  <c r="B123" i="42"/>
  <c r="B116" i="88"/>
  <c r="F116" i="88"/>
  <c r="I109" i="102"/>
  <c r="H109" i="102"/>
  <c r="D115" i="93"/>
  <c r="G114" i="93"/>
  <c r="E115" i="93"/>
  <c r="J122" i="20"/>
  <c r="H122" i="39"/>
  <c r="I122" i="39"/>
  <c r="F120" i="64"/>
  <c r="B120" i="64"/>
  <c r="I120" i="54"/>
  <c r="H120" i="54"/>
  <c r="B124" i="34"/>
  <c r="F124" i="34"/>
  <c r="J118" i="61"/>
  <c r="H119" i="64"/>
  <c r="I119" i="64"/>
  <c r="J113" i="95"/>
  <c r="B117" i="86"/>
  <c r="F117" i="86"/>
  <c r="I117" i="77"/>
  <c r="H117" i="77"/>
  <c r="F117" i="83"/>
  <c r="B117" i="83"/>
  <c r="B127" i="28"/>
  <c r="F127" i="28"/>
  <c r="I120" i="55"/>
  <c r="H120" i="55"/>
  <c r="B116" i="84"/>
  <c r="F116" i="84"/>
  <c r="B126" i="27"/>
  <c r="F126" i="27"/>
  <c r="B119" i="68"/>
  <c r="F119" i="68"/>
  <c r="B118" i="79"/>
  <c r="F118" i="79"/>
  <c r="H117" i="75"/>
  <c r="I117" i="75"/>
  <c r="I125" i="29"/>
  <c r="H125" i="29"/>
  <c r="B121" i="57"/>
  <c r="F121" i="57"/>
  <c r="I116" i="86"/>
  <c r="H116" i="86"/>
  <c r="B123" i="43"/>
  <c r="F123" i="43"/>
  <c r="H124" i="23"/>
  <c r="I124" i="23"/>
  <c r="B114" i="97"/>
  <c r="F114" i="97"/>
  <c r="B123" i="39"/>
  <c r="F123" i="39"/>
  <c r="F121" i="54"/>
  <c r="B121" i="54"/>
  <c r="I123" i="34"/>
  <c r="H123" i="34"/>
  <c r="B124" i="21"/>
  <c r="F124" i="21"/>
  <c r="I125" i="70"/>
  <c r="H125" i="70"/>
  <c r="H123" i="21"/>
  <c r="I123" i="21"/>
  <c r="H126" i="28"/>
  <c r="I126" i="28"/>
  <c r="H122" i="73"/>
  <c r="I122" i="73"/>
  <c r="F116" i="89"/>
  <c r="B116" i="89"/>
  <c r="I119" i="62"/>
  <c r="H119" i="62"/>
  <c r="I115" i="84"/>
  <c r="H115" i="84"/>
  <c r="H125" i="27"/>
  <c r="I125" i="27"/>
  <c r="I117" i="78"/>
  <c r="H117" i="78"/>
  <c r="H118" i="68"/>
  <c r="I118" i="68"/>
  <c r="D116" i="96"/>
  <c r="B116" i="96" s="1"/>
  <c r="G115" i="96"/>
  <c r="E116" i="96"/>
  <c r="B123" i="74"/>
  <c r="F123" i="74"/>
  <c r="I120" i="57"/>
  <c r="H120" i="57"/>
  <c r="B117" i="80"/>
  <c r="F117" i="80"/>
  <c r="I122" i="43"/>
  <c r="H122" i="43"/>
  <c r="B119" i="67"/>
  <c r="F119" i="67"/>
  <c r="G123" i="18"/>
  <c r="D124" i="18"/>
  <c r="E124" i="18"/>
  <c r="F125" i="23"/>
  <c r="B125" i="23"/>
  <c r="I113" i="97"/>
  <c r="H113" i="97"/>
  <c r="D125" i="31"/>
  <c r="G124" i="31"/>
  <c r="E125" i="31"/>
  <c r="H116" i="83"/>
  <c r="I116" i="83"/>
  <c r="F119" i="66"/>
  <c r="B119" i="66"/>
  <c r="B121" i="55"/>
  <c r="F121" i="55"/>
  <c r="F118" i="75"/>
  <c r="B118" i="75"/>
  <c r="F126" i="29"/>
  <c r="B126" i="29"/>
  <c r="F126" i="70"/>
  <c r="B126" i="70"/>
  <c r="D120" i="60"/>
  <c r="G119" i="60"/>
  <c r="E120" i="60"/>
  <c r="I115" i="91"/>
  <c r="H115" i="91"/>
  <c r="B123" i="73"/>
  <c r="F123" i="73"/>
  <c r="I115" i="89"/>
  <c r="H115" i="89"/>
  <c r="B121" i="58"/>
  <c r="F121" i="58"/>
  <c r="F120" i="62"/>
  <c r="B120" i="62"/>
  <c r="B118" i="78"/>
  <c r="F118" i="78"/>
  <c r="I122" i="74"/>
  <c r="H122" i="74"/>
  <c r="H116" i="80"/>
  <c r="I116" i="80"/>
  <c r="H125" i="69"/>
  <c r="I125" i="69"/>
  <c r="I118" i="67"/>
  <c r="H118" i="67"/>
  <c r="H122" i="41"/>
  <c r="I122" i="41"/>
  <c r="B116" i="94"/>
  <c r="F116" i="94"/>
  <c r="J122" i="18"/>
  <c r="J115" i="90" l="1"/>
  <c r="J109" i="13"/>
  <c r="F116" i="96"/>
  <c r="J116" i="85"/>
  <c r="J117" i="76"/>
  <c r="J123" i="19"/>
  <c r="J123" i="3"/>
  <c r="D111" i="13"/>
  <c r="G110" i="13"/>
  <c r="E111" i="13"/>
  <c r="J120" i="72"/>
  <c r="J116" i="80"/>
  <c r="J109" i="102"/>
  <c r="J113" i="97"/>
  <c r="J118" i="67"/>
  <c r="J117" i="77"/>
  <c r="J118" i="66"/>
  <c r="J115" i="88"/>
  <c r="J118" i="65"/>
  <c r="J119" i="63"/>
  <c r="J124" i="32"/>
  <c r="J122" i="44"/>
  <c r="J123" i="17"/>
  <c r="J120" i="53"/>
  <c r="J120" i="56"/>
  <c r="J122" i="74"/>
  <c r="J126" i="28"/>
  <c r="J124" i="23"/>
  <c r="J122" i="39"/>
  <c r="J113" i="98"/>
  <c r="J125" i="69"/>
  <c r="J118" i="68"/>
  <c r="J123" i="21"/>
  <c r="J123" i="22"/>
  <c r="J120" i="57"/>
  <c r="J115" i="87"/>
  <c r="D124" i="42"/>
  <c r="G123" i="42"/>
  <c r="E124" i="42"/>
  <c r="D118" i="81"/>
  <c r="G117" i="81"/>
  <c r="E118" i="81"/>
  <c r="G126" i="30"/>
  <c r="D127" i="30"/>
  <c r="E127" i="30"/>
  <c r="G125" i="32"/>
  <c r="D126" i="32"/>
  <c r="E126" i="32"/>
  <c r="D122" i="72"/>
  <c r="G121" i="72"/>
  <c r="E122" i="72"/>
  <c r="G123" i="41"/>
  <c r="D124" i="41"/>
  <c r="E124" i="41"/>
  <c r="G121" i="54"/>
  <c r="D122" i="54"/>
  <c r="E122" i="54"/>
  <c r="G118" i="78"/>
  <c r="D119" i="78"/>
  <c r="E119" i="78"/>
  <c r="G123" i="73"/>
  <c r="D124" i="73"/>
  <c r="E124" i="73"/>
  <c r="D127" i="70"/>
  <c r="G126" i="70"/>
  <c r="E127" i="70"/>
  <c r="G119" i="66"/>
  <c r="D120" i="66"/>
  <c r="E120" i="66"/>
  <c r="J122" i="43"/>
  <c r="H115" i="96"/>
  <c r="I115" i="96"/>
  <c r="D124" i="39"/>
  <c r="G123" i="39"/>
  <c r="E124" i="39"/>
  <c r="G118" i="79"/>
  <c r="D119" i="79"/>
  <c r="E119" i="79"/>
  <c r="G117" i="86"/>
  <c r="D118" i="86"/>
  <c r="E118" i="86"/>
  <c r="H114" i="93"/>
  <c r="I114" i="93"/>
  <c r="G117" i="82"/>
  <c r="D118" i="82"/>
  <c r="E118" i="82"/>
  <c r="J116" i="101"/>
  <c r="D121" i="63"/>
  <c r="G120" i="63"/>
  <c r="E121" i="63"/>
  <c r="D127" i="69"/>
  <c r="G126" i="69"/>
  <c r="E127" i="69"/>
  <c r="D117" i="96"/>
  <c r="G116" i="96"/>
  <c r="E117" i="96"/>
  <c r="J116" i="83"/>
  <c r="D126" i="23"/>
  <c r="G125" i="23"/>
  <c r="E126" i="23"/>
  <c r="G117" i="80"/>
  <c r="D118" i="80"/>
  <c r="E118" i="80"/>
  <c r="J115" i="84"/>
  <c r="J116" i="86"/>
  <c r="J120" i="55"/>
  <c r="J120" i="54"/>
  <c r="B115" i="93"/>
  <c r="F115" i="93"/>
  <c r="J117" i="79"/>
  <c r="D119" i="77"/>
  <c r="G118" i="77"/>
  <c r="E119" i="77"/>
  <c r="G123" i="44"/>
  <c r="D124" i="44"/>
  <c r="E124" i="44"/>
  <c r="D125" i="19"/>
  <c r="G124" i="19"/>
  <c r="E125" i="19"/>
  <c r="D117" i="87"/>
  <c r="G116" i="87"/>
  <c r="E117" i="87"/>
  <c r="G117" i="101"/>
  <c r="D118" i="101"/>
  <c r="E118" i="101"/>
  <c r="D115" i="97"/>
  <c r="G114" i="97"/>
  <c r="E115" i="97"/>
  <c r="G121" i="57"/>
  <c r="D122" i="57"/>
  <c r="E122" i="57"/>
  <c r="G119" i="68"/>
  <c r="D120" i="68"/>
  <c r="E120" i="68"/>
  <c r="D128" i="28"/>
  <c r="G127" i="28"/>
  <c r="E128" i="28"/>
  <c r="J124" i="71"/>
  <c r="J120" i="46"/>
  <c r="H123" i="20"/>
  <c r="I123" i="20"/>
  <c r="D123" i="45"/>
  <c r="G122" i="45"/>
  <c r="E123" i="45"/>
  <c r="D117" i="90"/>
  <c r="G116" i="90"/>
  <c r="E117" i="90"/>
  <c r="J116" i="82"/>
  <c r="D122" i="53"/>
  <c r="G121" i="53"/>
  <c r="E122" i="53"/>
  <c r="H113" i="99"/>
  <c r="I113" i="99"/>
  <c r="J115" i="89"/>
  <c r="G120" i="62"/>
  <c r="D121" i="62"/>
  <c r="E121" i="62"/>
  <c r="J115" i="91"/>
  <c r="F124" i="18"/>
  <c r="B124" i="18"/>
  <c r="J119" i="62"/>
  <c r="J119" i="64"/>
  <c r="D121" i="64"/>
  <c r="G120" i="64"/>
  <c r="E121" i="64"/>
  <c r="D119" i="76"/>
  <c r="G118" i="76"/>
  <c r="E119" i="76"/>
  <c r="F124" i="20"/>
  <c r="B124" i="20"/>
  <c r="J119" i="59"/>
  <c r="G116" i="92"/>
  <c r="D117" i="92"/>
  <c r="E117" i="92"/>
  <c r="G116" i="91"/>
  <c r="D117" i="91"/>
  <c r="E117" i="91"/>
  <c r="J121" i="45"/>
  <c r="J120" i="58"/>
  <c r="J115" i="94"/>
  <c r="F114" i="99"/>
  <c r="B114" i="99"/>
  <c r="H114" i="95"/>
  <c r="I114" i="95"/>
  <c r="J122" i="41"/>
  <c r="D127" i="29"/>
  <c r="G126" i="29"/>
  <c r="E127" i="29"/>
  <c r="D122" i="58"/>
  <c r="G121" i="58"/>
  <c r="E122" i="58"/>
  <c r="I124" i="31"/>
  <c r="H124" i="31"/>
  <c r="I123" i="18"/>
  <c r="H123" i="18"/>
  <c r="G116" i="88"/>
  <c r="D117" i="88"/>
  <c r="E117" i="88"/>
  <c r="D121" i="59"/>
  <c r="G120" i="59"/>
  <c r="E121" i="59"/>
  <c r="G124" i="3"/>
  <c r="D125" i="3"/>
  <c r="E125" i="3"/>
  <c r="G124" i="22"/>
  <c r="D125" i="22"/>
  <c r="E125" i="22"/>
  <c r="G121" i="56"/>
  <c r="D122" i="56"/>
  <c r="E122" i="56"/>
  <c r="F115" i="95"/>
  <c r="B115" i="95"/>
  <c r="D125" i="21"/>
  <c r="G124" i="21"/>
  <c r="E125" i="21"/>
  <c r="D117" i="94"/>
  <c r="G116" i="94"/>
  <c r="E117" i="94"/>
  <c r="D119" i="75"/>
  <c r="G118" i="75"/>
  <c r="E119" i="75"/>
  <c r="D127" i="27"/>
  <c r="G126" i="27"/>
  <c r="E127" i="27"/>
  <c r="I119" i="60"/>
  <c r="H119" i="60"/>
  <c r="D122" i="55"/>
  <c r="G121" i="55"/>
  <c r="E122" i="55"/>
  <c r="F125" i="31"/>
  <c r="B125" i="31"/>
  <c r="D120" i="67"/>
  <c r="G119" i="67"/>
  <c r="E120" i="67"/>
  <c r="D124" i="74"/>
  <c r="G123" i="74"/>
  <c r="E124" i="74"/>
  <c r="J117" i="78"/>
  <c r="G116" i="89"/>
  <c r="D117" i="89"/>
  <c r="E117" i="89"/>
  <c r="J125" i="70"/>
  <c r="J123" i="34"/>
  <c r="J125" i="29"/>
  <c r="D118" i="83"/>
  <c r="G117" i="83"/>
  <c r="E118" i="83"/>
  <c r="J122" i="42"/>
  <c r="G110" i="102"/>
  <c r="D111" i="102"/>
  <c r="E111" i="102"/>
  <c r="G121" i="46"/>
  <c r="D122" i="46"/>
  <c r="E122" i="46"/>
  <c r="G125" i="24"/>
  <c r="D126" i="24"/>
  <c r="E126" i="24"/>
  <c r="J115" i="92"/>
  <c r="H119" i="61"/>
  <c r="I119" i="61"/>
  <c r="J116" i="81"/>
  <c r="J124" i="24"/>
  <c r="J125" i="30"/>
  <c r="G124" i="17"/>
  <c r="D125" i="17"/>
  <c r="E125" i="17"/>
  <c r="F120" i="60"/>
  <c r="B120" i="60"/>
  <c r="J125" i="27"/>
  <c r="J122" i="73"/>
  <c r="G123" i="43"/>
  <c r="D124" i="43"/>
  <c r="E124" i="43"/>
  <c r="J117" i="75"/>
  <c r="D117" i="84"/>
  <c r="G116" i="84"/>
  <c r="E117" i="84"/>
  <c r="G124" i="34"/>
  <c r="D125" i="34"/>
  <c r="E125" i="34"/>
  <c r="D118" i="85"/>
  <c r="G117" i="85"/>
  <c r="E118" i="85"/>
  <c r="F120" i="61"/>
  <c r="B120" i="61"/>
  <c r="D126" i="71"/>
  <c r="G125" i="71"/>
  <c r="E126" i="71"/>
  <c r="D120" i="65"/>
  <c r="G119" i="65"/>
  <c r="E120" i="65"/>
  <c r="G114" i="98"/>
  <c r="D115" i="98"/>
  <c r="E115" i="98"/>
  <c r="I110" i="13" l="1"/>
  <c r="H110" i="13"/>
  <c r="F111" i="13"/>
  <c r="B111" i="13"/>
  <c r="J114" i="95"/>
  <c r="J119" i="60"/>
  <c r="J113" i="99"/>
  <c r="J123" i="20"/>
  <c r="J115" i="96"/>
  <c r="F120" i="65"/>
  <c r="B120" i="65"/>
  <c r="F124" i="43"/>
  <c r="B124" i="43"/>
  <c r="I124" i="17"/>
  <c r="H124" i="17"/>
  <c r="B126" i="24"/>
  <c r="F126" i="24"/>
  <c r="F117" i="89"/>
  <c r="B117" i="89"/>
  <c r="F120" i="67"/>
  <c r="B120" i="67"/>
  <c r="B117" i="94"/>
  <c r="F117" i="94"/>
  <c r="H121" i="56"/>
  <c r="I121" i="56"/>
  <c r="H120" i="59"/>
  <c r="I120" i="59"/>
  <c r="J124" i="31"/>
  <c r="B117" i="91"/>
  <c r="F117" i="91"/>
  <c r="H127" i="28"/>
  <c r="I127" i="28"/>
  <c r="B117" i="87"/>
  <c r="F117" i="87"/>
  <c r="F124" i="44"/>
  <c r="B124" i="44"/>
  <c r="I125" i="23"/>
  <c r="H125" i="23"/>
  <c r="F127" i="69"/>
  <c r="B127" i="69"/>
  <c r="I117" i="82"/>
  <c r="H117" i="82"/>
  <c r="H118" i="79"/>
  <c r="I118" i="79"/>
  <c r="B120" i="66"/>
  <c r="F120" i="66"/>
  <c r="I123" i="41"/>
  <c r="H123" i="41"/>
  <c r="B127" i="30"/>
  <c r="F127" i="30"/>
  <c r="H124" i="34"/>
  <c r="I124" i="34"/>
  <c r="F125" i="17"/>
  <c r="B125" i="17"/>
  <c r="I125" i="71"/>
  <c r="H125" i="71"/>
  <c r="B125" i="34"/>
  <c r="F125" i="34"/>
  <c r="I123" i="43"/>
  <c r="H123" i="43"/>
  <c r="H125" i="24"/>
  <c r="I125" i="24"/>
  <c r="I116" i="89"/>
  <c r="H116" i="89"/>
  <c r="I126" i="27"/>
  <c r="H126" i="27"/>
  <c r="B121" i="59"/>
  <c r="F121" i="59"/>
  <c r="H116" i="91"/>
  <c r="I116" i="91"/>
  <c r="H118" i="76"/>
  <c r="I118" i="76"/>
  <c r="D125" i="18"/>
  <c r="G124" i="18"/>
  <c r="E125" i="18"/>
  <c r="H122" i="45"/>
  <c r="I122" i="45"/>
  <c r="F128" i="28"/>
  <c r="B128" i="28"/>
  <c r="I114" i="97"/>
  <c r="H114" i="97"/>
  <c r="I123" i="44"/>
  <c r="H123" i="44"/>
  <c r="F126" i="23"/>
  <c r="B126" i="23"/>
  <c r="J114" i="93"/>
  <c r="H119" i="66"/>
  <c r="I119" i="66"/>
  <c r="F119" i="78"/>
  <c r="B119" i="78"/>
  <c r="H126" i="30"/>
  <c r="I126" i="30"/>
  <c r="H121" i="53"/>
  <c r="I121" i="53"/>
  <c r="F123" i="45"/>
  <c r="B123" i="45"/>
  <c r="B115" i="97"/>
  <c r="F115" i="97"/>
  <c r="H120" i="63"/>
  <c r="I120" i="63"/>
  <c r="H123" i="39"/>
  <c r="I123" i="39"/>
  <c r="I118" i="78"/>
  <c r="H118" i="78"/>
  <c r="H121" i="72"/>
  <c r="I121" i="72"/>
  <c r="B122" i="72"/>
  <c r="F122" i="72"/>
  <c r="H117" i="81"/>
  <c r="I117" i="81"/>
  <c r="B126" i="71"/>
  <c r="F126" i="71"/>
  <c r="H117" i="83"/>
  <c r="I117" i="83"/>
  <c r="G125" i="31"/>
  <c r="D126" i="31"/>
  <c r="E126" i="31"/>
  <c r="F127" i="27"/>
  <c r="B127" i="27"/>
  <c r="H121" i="58"/>
  <c r="I121" i="58"/>
  <c r="B118" i="83"/>
  <c r="F118" i="83"/>
  <c r="F120" i="68"/>
  <c r="B120" i="68"/>
  <c r="H118" i="77"/>
  <c r="I118" i="77"/>
  <c r="F121" i="63"/>
  <c r="B121" i="63"/>
  <c r="F124" i="39"/>
  <c r="B124" i="39"/>
  <c r="H126" i="70"/>
  <c r="I126" i="70"/>
  <c r="H114" i="98"/>
  <c r="I114" i="98"/>
  <c r="G120" i="61"/>
  <c r="D121" i="61"/>
  <c r="E121" i="61"/>
  <c r="I116" i="84"/>
  <c r="H116" i="84"/>
  <c r="J119" i="61"/>
  <c r="H121" i="46"/>
  <c r="I121" i="46"/>
  <c r="I123" i="74"/>
  <c r="H123" i="74"/>
  <c r="H121" i="55"/>
  <c r="I121" i="55"/>
  <c r="I118" i="75"/>
  <c r="H118" i="75"/>
  <c r="H116" i="88"/>
  <c r="I116" i="88"/>
  <c r="H116" i="92"/>
  <c r="I116" i="92"/>
  <c r="I120" i="64"/>
  <c r="H120" i="64"/>
  <c r="B121" i="62"/>
  <c r="F121" i="62"/>
  <c r="I119" i="68"/>
  <c r="H119" i="68"/>
  <c r="B118" i="101"/>
  <c r="F118" i="101"/>
  <c r="F119" i="77"/>
  <c r="B119" i="77"/>
  <c r="I116" i="96"/>
  <c r="H116" i="96"/>
  <c r="F118" i="86"/>
  <c r="B118" i="86"/>
  <c r="F127" i="70"/>
  <c r="B127" i="70"/>
  <c r="B122" i="54"/>
  <c r="F122" i="54"/>
  <c r="F118" i="81"/>
  <c r="B118" i="81"/>
  <c r="B125" i="22"/>
  <c r="F125" i="22"/>
  <c r="F119" i="76"/>
  <c r="B119" i="76"/>
  <c r="B122" i="46"/>
  <c r="F122" i="46"/>
  <c r="I124" i="22"/>
  <c r="H124" i="22"/>
  <c r="B122" i="58"/>
  <c r="F122" i="58"/>
  <c r="B117" i="84"/>
  <c r="F117" i="84"/>
  <c r="B124" i="74"/>
  <c r="F124" i="74"/>
  <c r="B122" i="55"/>
  <c r="F122" i="55"/>
  <c r="F119" i="75"/>
  <c r="B119" i="75"/>
  <c r="G115" i="95"/>
  <c r="D116" i="95"/>
  <c r="E116" i="95"/>
  <c r="F125" i="3"/>
  <c r="B125" i="3"/>
  <c r="I126" i="29"/>
  <c r="H126" i="29"/>
  <c r="F121" i="64"/>
  <c r="B121" i="64"/>
  <c r="I120" i="62"/>
  <c r="H120" i="62"/>
  <c r="I117" i="101"/>
  <c r="H117" i="101"/>
  <c r="H124" i="19"/>
  <c r="I124" i="19"/>
  <c r="B118" i="80"/>
  <c r="F118" i="80"/>
  <c r="B117" i="96"/>
  <c r="F117" i="96"/>
  <c r="H117" i="86"/>
  <c r="I117" i="86"/>
  <c r="I121" i="54"/>
  <c r="H121" i="54"/>
  <c r="F126" i="32"/>
  <c r="B126" i="32"/>
  <c r="H124" i="21"/>
  <c r="I124" i="21"/>
  <c r="F115" i="98"/>
  <c r="B115" i="98"/>
  <c r="B125" i="21"/>
  <c r="F125" i="21"/>
  <c r="F117" i="88"/>
  <c r="B117" i="88"/>
  <c r="D115" i="99"/>
  <c r="G114" i="99"/>
  <c r="E115" i="99"/>
  <c r="B117" i="92"/>
  <c r="F117" i="92"/>
  <c r="F122" i="53"/>
  <c r="B122" i="53"/>
  <c r="G120" i="60"/>
  <c r="D121" i="60"/>
  <c r="E121" i="60"/>
  <c r="H119" i="65"/>
  <c r="I119" i="65"/>
  <c r="H117" i="85"/>
  <c r="I117" i="85"/>
  <c r="F111" i="102"/>
  <c r="B111" i="102"/>
  <c r="H124" i="3"/>
  <c r="I124" i="3"/>
  <c r="J123" i="18"/>
  <c r="B127" i="29"/>
  <c r="F127" i="29"/>
  <c r="H116" i="90"/>
  <c r="I116" i="90"/>
  <c r="F122" i="57"/>
  <c r="B122" i="57"/>
  <c r="B125" i="19"/>
  <c r="F125" i="19"/>
  <c r="G115" i="93"/>
  <c r="D116" i="93"/>
  <c r="E116" i="93"/>
  <c r="I117" i="80"/>
  <c r="H117" i="80"/>
  <c r="F124" i="73"/>
  <c r="B124" i="73"/>
  <c r="H125" i="32"/>
  <c r="I125" i="32"/>
  <c r="H123" i="42"/>
  <c r="I123" i="42"/>
  <c r="F118" i="85"/>
  <c r="B118" i="85"/>
  <c r="I110" i="102"/>
  <c r="H110" i="102"/>
  <c r="H119" i="67"/>
  <c r="I119" i="67"/>
  <c r="I116" i="94"/>
  <c r="H116" i="94"/>
  <c r="B122" i="56"/>
  <c r="F122" i="56"/>
  <c r="G124" i="20"/>
  <c r="D125" i="20"/>
  <c r="E125" i="20"/>
  <c r="F117" i="90"/>
  <c r="B117" i="90"/>
  <c r="H121" i="57"/>
  <c r="I121" i="57"/>
  <c r="I116" i="87"/>
  <c r="H116" i="87"/>
  <c r="I126" i="69"/>
  <c r="H126" i="69"/>
  <c r="B118" i="82"/>
  <c r="F118" i="82"/>
  <c r="B119" i="79"/>
  <c r="F119" i="79"/>
  <c r="I123" i="73"/>
  <c r="H123" i="73"/>
  <c r="F124" i="41"/>
  <c r="B124" i="41"/>
  <c r="F124" i="42"/>
  <c r="B124" i="42"/>
  <c r="J119" i="67" l="1"/>
  <c r="J125" i="32"/>
  <c r="J119" i="65"/>
  <c r="J117" i="85"/>
  <c r="J121" i="53"/>
  <c r="J117" i="86"/>
  <c r="J120" i="63"/>
  <c r="J110" i="13"/>
  <c r="G111" i="13"/>
  <c r="E112" i="13"/>
  <c r="D112" i="13"/>
  <c r="J123" i="43"/>
  <c r="J123" i="42"/>
  <c r="J124" i="19"/>
  <c r="J119" i="68"/>
  <c r="J117" i="81"/>
  <c r="J123" i="39"/>
  <c r="J119" i="66"/>
  <c r="J126" i="27"/>
  <c r="J124" i="22"/>
  <c r="J116" i="96"/>
  <c r="J118" i="75"/>
  <c r="J124" i="3"/>
  <c r="J124" i="21"/>
  <c r="J121" i="72"/>
  <c r="J126" i="30"/>
  <c r="J122" i="45"/>
  <c r="J123" i="73"/>
  <c r="J116" i="87"/>
  <c r="J123" i="74"/>
  <c r="J123" i="44"/>
  <c r="J120" i="59"/>
  <c r="J117" i="82"/>
  <c r="J121" i="56"/>
  <c r="J116" i="89"/>
  <c r="J125" i="71"/>
  <c r="J123" i="41"/>
  <c r="J121" i="55"/>
  <c r="J116" i="91"/>
  <c r="J125" i="24"/>
  <c r="D127" i="24"/>
  <c r="G126" i="24"/>
  <c r="E127" i="24"/>
  <c r="B116" i="93"/>
  <c r="F116" i="93"/>
  <c r="G127" i="29"/>
  <c r="D128" i="29"/>
  <c r="E128" i="29"/>
  <c r="G117" i="92"/>
  <c r="D118" i="92"/>
  <c r="E118" i="92"/>
  <c r="J121" i="54"/>
  <c r="J126" i="29"/>
  <c r="D123" i="55"/>
  <c r="G122" i="55"/>
  <c r="E123" i="55"/>
  <c r="D122" i="62"/>
  <c r="G121" i="62"/>
  <c r="E122" i="62"/>
  <c r="J126" i="70"/>
  <c r="D124" i="45"/>
  <c r="G123" i="45"/>
  <c r="E124" i="45"/>
  <c r="J114" i="97"/>
  <c r="J118" i="76"/>
  <c r="J127" i="28"/>
  <c r="F125" i="18"/>
  <c r="B125" i="18"/>
  <c r="I115" i="93"/>
  <c r="H115" i="93"/>
  <c r="G118" i="81"/>
  <c r="D119" i="81"/>
  <c r="E119" i="81"/>
  <c r="G120" i="68"/>
  <c r="D121" i="68"/>
  <c r="E121" i="68"/>
  <c r="B126" i="31"/>
  <c r="F126" i="31"/>
  <c r="D123" i="72"/>
  <c r="G122" i="72"/>
  <c r="E123" i="72"/>
  <c r="G127" i="69"/>
  <c r="D128" i="69"/>
  <c r="E128" i="69"/>
  <c r="D118" i="94"/>
  <c r="G117" i="94"/>
  <c r="E118" i="94"/>
  <c r="G122" i="53"/>
  <c r="D123" i="53"/>
  <c r="E123" i="53"/>
  <c r="D119" i="82"/>
  <c r="G118" i="82"/>
  <c r="E119" i="82"/>
  <c r="D118" i="90"/>
  <c r="G117" i="90"/>
  <c r="E118" i="90"/>
  <c r="D116" i="98"/>
  <c r="G115" i="98"/>
  <c r="E116" i="98"/>
  <c r="J117" i="101"/>
  <c r="G125" i="3"/>
  <c r="D126" i="3"/>
  <c r="E126" i="3"/>
  <c r="G124" i="74"/>
  <c r="D125" i="74"/>
  <c r="E125" i="74"/>
  <c r="D123" i="46"/>
  <c r="G122" i="46"/>
  <c r="E123" i="46"/>
  <c r="D123" i="54"/>
  <c r="G122" i="54"/>
  <c r="E123" i="54"/>
  <c r="J116" i="84"/>
  <c r="D119" i="83"/>
  <c r="G118" i="83"/>
  <c r="E119" i="83"/>
  <c r="H125" i="31"/>
  <c r="I125" i="31"/>
  <c r="D129" i="28"/>
  <c r="G128" i="28"/>
  <c r="E129" i="28"/>
  <c r="G120" i="66"/>
  <c r="D121" i="66"/>
  <c r="E121" i="66"/>
  <c r="D118" i="91"/>
  <c r="G117" i="91"/>
  <c r="E118" i="91"/>
  <c r="J124" i="17"/>
  <c r="D119" i="86"/>
  <c r="G118" i="86"/>
  <c r="E119" i="86"/>
  <c r="J116" i="94"/>
  <c r="D125" i="42"/>
  <c r="G124" i="42"/>
  <c r="E125" i="42"/>
  <c r="G125" i="19"/>
  <c r="D126" i="19"/>
  <c r="E126" i="19"/>
  <c r="G124" i="41"/>
  <c r="D125" i="41"/>
  <c r="E125" i="41"/>
  <c r="J126" i="69"/>
  <c r="B125" i="20"/>
  <c r="F125" i="20"/>
  <c r="I114" i="99"/>
  <c r="H114" i="99"/>
  <c r="G117" i="96"/>
  <c r="D118" i="96"/>
  <c r="E118" i="96"/>
  <c r="G119" i="77"/>
  <c r="D120" i="77"/>
  <c r="E120" i="77"/>
  <c r="J120" i="64"/>
  <c r="D125" i="39"/>
  <c r="G124" i="39"/>
  <c r="E125" i="39"/>
  <c r="J117" i="83"/>
  <c r="D127" i="23"/>
  <c r="G126" i="23"/>
  <c r="E127" i="23"/>
  <c r="G125" i="17"/>
  <c r="D126" i="17"/>
  <c r="E126" i="17"/>
  <c r="J125" i="23"/>
  <c r="H124" i="20"/>
  <c r="I124" i="20"/>
  <c r="J110" i="102"/>
  <c r="D125" i="73"/>
  <c r="G124" i="73"/>
  <c r="E125" i="73"/>
  <c r="B121" i="60"/>
  <c r="F121" i="60"/>
  <c r="B115" i="99"/>
  <c r="F115" i="99"/>
  <c r="J120" i="62"/>
  <c r="B116" i="95"/>
  <c r="F116" i="95"/>
  <c r="G117" i="84"/>
  <c r="D118" i="84"/>
  <c r="E118" i="84"/>
  <c r="D119" i="101"/>
  <c r="G118" i="101"/>
  <c r="E119" i="101"/>
  <c r="J116" i="92"/>
  <c r="B121" i="61"/>
  <c r="F121" i="61"/>
  <c r="J121" i="58"/>
  <c r="G121" i="59"/>
  <c r="D122" i="59"/>
  <c r="E122" i="59"/>
  <c r="J124" i="34"/>
  <c r="J118" i="79"/>
  <c r="D121" i="67"/>
  <c r="G120" i="67"/>
  <c r="E121" i="67"/>
  <c r="D125" i="43"/>
  <c r="G124" i="43"/>
  <c r="E125" i="43"/>
  <c r="D126" i="21"/>
  <c r="G125" i="21"/>
  <c r="E126" i="21"/>
  <c r="G127" i="27"/>
  <c r="D128" i="27"/>
  <c r="E128" i="27"/>
  <c r="D123" i="56"/>
  <c r="G122" i="56"/>
  <c r="E123" i="56"/>
  <c r="D123" i="57"/>
  <c r="G122" i="57"/>
  <c r="E123" i="57"/>
  <c r="H120" i="60"/>
  <c r="I120" i="60"/>
  <c r="G118" i="80"/>
  <c r="D119" i="80"/>
  <c r="E119" i="80"/>
  <c r="I115" i="95"/>
  <c r="H115" i="95"/>
  <c r="G119" i="76"/>
  <c r="D120" i="76"/>
  <c r="E120" i="76"/>
  <c r="G127" i="70"/>
  <c r="D128" i="70"/>
  <c r="E128" i="70"/>
  <c r="I120" i="61"/>
  <c r="H120" i="61"/>
  <c r="D122" i="63"/>
  <c r="G121" i="63"/>
  <c r="E122" i="63"/>
  <c r="D127" i="71"/>
  <c r="G126" i="71"/>
  <c r="E127" i="71"/>
  <c r="G115" i="97"/>
  <c r="D116" i="97"/>
  <c r="E116" i="97"/>
  <c r="D125" i="44"/>
  <c r="G124" i="44"/>
  <c r="E125" i="44"/>
  <c r="G119" i="75"/>
  <c r="D120" i="75"/>
  <c r="E120" i="75"/>
  <c r="D120" i="79"/>
  <c r="G119" i="79"/>
  <c r="E120" i="79"/>
  <c r="J121" i="57"/>
  <c r="D119" i="85"/>
  <c r="G118" i="85"/>
  <c r="E119" i="85"/>
  <c r="J117" i="80"/>
  <c r="J116" i="90"/>
  <c r="D112" i="102"/>
  <c r="G111" i="102"/>
  <c r="E112" i="102"/>
  <c r="G117" i="88"/>
  <c r="D118" i="88"/>
  <c r="E118" i="88"/>
  <c r="G126" i="32"/>
  <c r="D127" i="32"/>
  <c r="E127" i="32"/>
  <c r="G121" i="64"/>
  <c r="D122" i="64"/>
  <c r="E122" i="64"/>
  <c r="G122" i="58"/>
  <c r="D123" i="58"/>
  <c r="E123" i="58"/>
  <c r="D126" i="22"/>
  <c r="G125" i="22"/>
  <c r="E126" i="22"/>
  <c r="J116" i="88"/>
  <c r="J121" i="46"/>
  <c r="J114" i="98"/>
  <c r="J118" i="77"/>
  <c r="J118" i="78"/>
  <c r="G119" i="78"/>
  <c r="D120" i="78"/>
  <c r="E120" i="78"/>
  <c r="I124" i="18"/>
  <c r="H124" i="18"/>
  <c r="D126" i="34"/>
  <c r="G125" i="34"/>
  <c r="E126" i="34"/>
  <c r="D128" i="30"/>
  <c r="G127" i="30"/>
  <c r="E128" i="30"/>
  <c r="G117" i="87"/>
  <c r="D118" i="87"/>
  <c r="E118" i="87"/>
  <c r="G117" i="89"/>
  <c r="D118" i="89"/>
  <c r="E118" i="89"/>
  <c r="D121" i="65"/>
  <c r="G120" i="65"/>
  <c r="E121" i="65"/>
  <c r="B112" i="13" l="1"/>
  <c r="F112" i="13"/>
  <c r="I111" i="13"/>
  <c r="H111" i="13"/>
  <c r="J114" i="99"/>
  <c r="J125" i="31"/>
  <c r="J124" i="18"/>
  <c r="J115" i="93"/>
  <c r="J120" i="60"/>
  <c r="I117" i="89"/>
  <c r="H117" i="89"/>
  <c r="H125" i="34"/>
  <c r="I125" i="34"/>
  <c r="F120" i="78"/>
  <c r="B120" i="78"/>
  <c r="B126" i="22"/>
  <c r="F126" i="22"/>
  <c r="B120" i="79"/>
  <c r="F120" i="79"/>
  <c r="I122" i="57"/>
  <c r="H122" i="57"/>
  <c r="B121" i="67"/>
  <c r="F121" i="67"/>
  <c r="D117" i="95"/>
  <c r="G116" i="95"/>
  <c r="E117" i="95"/>
  <c r="F118" i="87"/>
  <c r="B118" i="87"/>
  <c r="I126" i="32"/>
  <c r="H126" i="32"/>
  <c r="I115" i="97"/>
  <c r="H115" i="97"/>
  <c r="J120" i="61"/>
  <c r="J115" i="95"/>
  <c r="F123" i="57"/>
  <c r="B123" i="57"/>
  <c r="H125" i="21"/>
  <c r="I125" i="21"/>
  <c r="F125" i="73"/>
  <c r="B125" i="73"/>
  <c r="G125" i="20"/>
  <c r="D126" i="20"/>
  <c r="E126" i="20"/>
  <c r="H125" i="19"/>
  <c r="I125" i="19"/>
  <c r="I128" i="28"/>
  <c r="H128" i="28"/>
  <c r="I124" i="74"/>
  <c r="J124" i="74" s="1"/>
  <c r="H124" i="74"/>
  <c r="H122" i="53"/>
  <c r="I122" i="53"/>
  <c r="H122" i="72"/>
  <c r="I122" i="72"/>
  <c r="B119" i="81"/>
  <c r="F119" i="81"/>
  <c r="B126" i="21"/>
  <c r="F126" i="21"/>
  <c r="I126" i="23"/>
  <c r="H126" i="23"/>
  <c r="B120" i="77"/>
  <c r="F120" i="77"/>
  <c r="F129" i="28"/>
  <c r="B129" i="28"/>
  <c r="H122" i="54"/>
  <c r="I122" i="54"/>
  <c r="H117" i="90"/>
  <c r="I117" i="90"/>
  <c r="F123" i="72"/>
  <c r="B123" i="72"/>
  <c r="I118" i="81"/>
  <c r="H118" i="81"/>
  <c r="I122" i="55"/>
  <c r="H122" i="55"/>
  <c r="B128" i="29"/>
  <c r="F128" i="29"/>
  <c r="I117" i="87"/>
  <c r="H117" i="87"/>
  <c r="F123" i="58"/>
  <c r="B123" i="58"/>
  <c r="I120" i="65"/>
  <c r="H120" i="65"/>
  <c r="I122" i="58"/>
  <c r="H122" i="58"/>
  <c r="B118" i="88"/>
  <c r="F118" i="88"/>
  <c r="H118" i="85"/>
  <c r="I118" i="85"/>
  <c r="I119" i="75"/>
  <c r="H119" i="75"/>
  <c r="H126" i="71"/>
  <c r="I126" i="71"/>
  <c r="F128" i="70"/>
  <c r="B128" i="70"/>
  <c r="F119" i="80"/>
  <c r="B119" i="80"/>
  <c r="H122" i="56"/>
  <c r="I122" i="56"/>
  <c r="H118" i="101"/>
  <c r="I118" i="101"/>
  <c r="D116" i="99"/>
  <c r="G115" i="99"/>
  <c r="E116" i="99"/>
  <c r="J124" i="20"/>
  <c r="B127" i="23"/>
  <c r="F127" i="23"/>
  <c r="H119" i="77"/>
  <c r="I119" i="77"/>
  <c r="I124" i="42"/>
  <c r="H124" i="42"/>
  <c r="H117" i="91"/>
  <c r="I117" i="91"/>
  <c r="F123" i="54"/>
  <c r="B123" i="54"/>
  <c r="B126" i="3"/>
  <c r="F126" i="3"/>
  <c r="F118" i="90"/>
  <c r="B118" i="90"/>
  <c r="H117" i="94"/>
  <c r="I117" i="94"/>
  <c r="D127" i="31"/>
  <c r="G126" i="31"/>
  <c r="E127" i="31"/>
  <c r="I123" i="45"/>
  <c r="H123" i="45"/>
  <c r="F123" i="55"/>
  <c r="B123" i="55"/>
  <c r="I127" i="29"/>
  <c r="H127" i="29"/>
  <c r="B118" i="89"/>
  <c r="F118" i="89"/>
  <c r="B120" i="75"/>
  <c r="F120" i="75"/>
  <c r="F121" i="65"/>
  <c r="B121" i="65"/>
  <c r="H127" i="30"/>
  <c r="I127" i="30"/>
  <c r="H117" i="88"/>
  <c r="I117" i="88"/>
  <c r="B119" i="85"/>
  <c r="F119" i="85"/>
  <c r="B127" i="71"/>
  <c r="F127" i="71"/>
  <c r="I127" i="70"/>
  <c r="H127" i="70"/>
  <c r="I118" i="80"/>
  <c r="H118" i="80"/>
  <c r="B123" i="56"/>
  <c r="F123" i="56"/>
  <c r="I124" i="43"/>
  <c r="H124" i="43"/>
  <c r="B122" i="59"/>
  <c r="F122" i="59"/>
  <c r="B119" i="101"/>
  <c r="F119" i="101"/>
  <c r="B125" i="42"/>
  <c r="F125" i="42"/>
  <c r="F118" i="91"/>
  <c r="B118" i="91"/>
  <c r="H125" i="3"/>
  <c r="I125" i="3"/>
  <c r="B118" i="94"/>
  <c r="F118" i="94"/>
  <c r="B124" i="45"/>
  <c r="F124" i="45"/>
  <c r="G116" i="93"/>
  <c r="D117" i="93"/>
  <c r="E117" i="93"/>
  <c r="F128" i="30"/>
  <c r="B128" i="30"/>
  <c r="F122" i="64"/>
  <c r="B122" i="64"/>
  <c r="H124" i="44"/>
  <c r="I124" i="44"/>
  <c r="F125" i="43"/>
  <c r="B125" i="43"/>
  <c r="H121" i="59"/>
  <c r="I121" i="59"/>
  <c r="D122" i="60"/>
  <c r="G121" i="60"/>
  <c r="E122" i="60"/>
  <c r="B118" i="96"/>
  <c r="F118" i="96"/>
  <c r="B125" i="41"/>
  <c r="F125" i="41"/>
  <c r="I122" i="46"/>
  <c r="H122" i="46"/>
  <c r="H118" i="82"/>
  <c r="I118" i="82"/>
  <c r="B125" i="44"/>
  <c r="F125" i="44"/>
  <c r="H121" i="63"/>
  <c r="I121" i="63"/>
  <c r="F120" i="76"/>
  <c r="B120" i="76"/>
  <c r="F128" i="27"/>
  <c r="B128" i="27"/>
  <c r="F118" i="84"/>
  <c r="B118" i="84"/>
  <c r="H124" i="39"/>
  <c r="I124" i="39"/>
  <c r="H117" i="96"/>
  <c r="I117" i="96"/>
  <c r="H124" i="41"/>
  <c r="I124" i="41"/>
  <c r="B121" i="66"/>
  <c r="F121" i="66"/>
  <c r="I118" i="83"/>
  <c r="H118" i="83"/>
  <c r="F123" i="46"/>
  <c r="B123" i="46"/>
  <c r="B119" i="82"/>
  <c r="F119" i="82"/>
  <c r="F128" i="69"/>
  <c r="B128" i="69"/>
  <c r="F121" i="68"/>
  <c r="B121" i="68"/>
  <c r="D126" i="18"/>
  <c r="G125" i="18"/>
  <c r="E126" i="18"/>
  <c r="B122" i="63"/>
  <c r="F122" i="63"/>
  <c r="H119" i="76"/>
  <c r="I119" i="76"/>
  <c r="I127" i="27"/>
  <c r="H127" i="27"/>
  <c r="I120" i="67"/>
  <c r="H120" i="67"/>
  <c r="G121" i="61"/>
  <c r="D122" i="61"/>
  <c r="E122" i="61"/>
  <c r="H117" i="84"/>
  <c r="I117" i="84"/>
  <c r="F126" i="17"/>
  <c r="B126" i="17"/>
  <c r="B125" i="39"/>
  <c r="F125" i="39"/>
  <c r="I118" i="86"/>
  <c r="H118" i="86"/>
  <c r="I120" i="66"/>
  <c r="H120" i="66"/>
  <c r="F119" i="83"/>
  <c r="B119" i="83"/>
  <c r="I115" i="98"/>
  <c r="H115" i="98"/>
  <c r="I127" i="69"/>
  <c r="H127" i="69"/>
  <c r="H120" i="68"/>
  <c r="I120" i="68"/>
  <c r="I121" i="62"/>
  <c r="H121" i="62"/>
  <c r="F118" i="92"/>
  <c r="B118" i="92"/>
  <c r="I126" i="24"/>
  <c r="H126" i="24"/>
  <c r="I121" i="64"/>
  <c r="H121" i="64"/>
  <c r="I111" i="102"/>
  <c r="H111" i="102"/>
  <c r="H125" i="22"/>
  <c r="I125" i="22"/>
  <c r="B112" i="102"/>
  <c r="F112" i="102"/>
  <c r="H119" i="79"/>
  <c r="I119" i="79"/>
  <c r="F126" i="34"/>
  <c r="B126" i="34"/>
  <c r="H119" i="78"/>
  <c r="I119" i="78"/>
  <c r="F127" i="32"/>
  <c r="B127" i="32"/>
  <c r="B116" i="97"/>
  <c r="F116" i="97"/>
  <c r="H124" i="73"/>
  <c r="I124" i="73"/>
  <c r="H125" i="17"/>
  <c r="I125" i="17"/>
  <c r="B126" i="19"/>
  <c r="F126" i="19"/>
  <c r="F119" i="86"/>
  <c r="B119" i="86"/>
  <c r="F125" i="74"/>
  <c r="B125" i="74"/>
  <c r="F116" i="98"/>
  <c r="B116" i="98"/>
  <c r="F123" i="53"/>
  <c r="B123" i="53"/>
  <c r="F122" i="62"/>
  <c r="B122" i="62"/>
  <c r="H117" i="92"/>
  <c r="I117" i="92"/>
  <c r="B127" i="24"/>
  <c r="F127" i="24"/>
  <c r="J115" i="98" l="1"/>
  <c r="J119" i="76"/>
  <c r="J111" i="13"/>
  <c r="J120" i="66"/>
  <c r="J118" i="83"/>
  <c r="J123" i="45"/>
  <c r="J119" i="77"/>
  <c r="J118" i="80"/>
  <c r="E113" i="13"/>
  <c r="D113" i="13"/>
  <c r="G112" i="13"/>
  <c r="J118" i="86"/>
  <c r="J127" i="70"/>
  <c r="J126" i="24"/>
  <c r="J127" i="69"/>
  <c r="J121" i="59"/>
  <c r="J122" i="72"/>
  <c r="J125" i="19"/>
  <c r="J125" i="34"/>
  <c r="J121" i="62"/>
  <c r="J119" i="79"/>
  <c r="J122" i="57"/>
  <c r="J118" i="101"/>
  <c r="J122" i="58"/>
  <c r="J126" i="23"/>
  <c r="J111" i="102"/>
  <c r="J122" i="46"/>
  <c r="J127" i="30"/>
  <c r="J119" i="75"/>
  <c r="J120" i="65"/>
  <c r="J122" i="55"/>
  <c r="J117" i="94"/>
  <c r="J117" i="91"/>
  <c r="J118" i="85"/>
  <c r="D121" i="77"/>
  <c r="G120" i="77"/>
  <c r="E121" i="77"/>
  <c r="G122" i="62"/>
  <c r="D123" i="62"/>
  <c r="E123" i="62"/>
  <c r="D120" i="86"/>
  <c r="G119" i="86"/>
  <c r="E120" i="86"/>
  <c r="G123" i="53"/>
  <c r="D124" i="53"/>
  <c r="E124" i="53"/>
  <c r="G127" i="32"/>
  <c r="D128" i="32"/>
  <c r="E128" i="32"/>
  <c r="B122" i="61"/>
  <c r="F122" i="61"/>
  <c r="G122" i="63"/>
  <c r="D123" i="63"/>
  <c r="E123" i="63"/>
  <c r="D129" i="69"/>
  <c r="G128" i="69"/>
  <c r="E129" i="69"/>
  <c r="D119" i="84"/>
  <c r="G118" i="84"/>
  <c r="E119" i="84"/>
  <c r="J124" i="44"/>
  <c r="I126" i="31"/>
  <c r="H126" i="31"/>
  <c r="G127" i="23"/>
  <c r="D128" i="23"/>
  <c r="E128" i="23"/>
  <c r="J122" i="56"/>
  <c r="J122" i="54"/>
  <c r="G126" i="21"/>
  <c r="D127" i="21"/>
  <c r="E127" i="21"/>
  <c r="H125" i="20"/>
  <c r="I125" i="20"/>
  <c r="H116" i="95"/>
  <c r="I116" i="95"/>
  <c r="G126" i="22"/>
  <c r="D127" i="22"/>
  <c r="E127" i="22"/>
  <c r="D124" i="46"/>
  <c r="G123" i="46"/>
  <c r="E124" i="46"/>
  <c r="G127" i="24"/>
  <c r="D128" i="24"/>
  <c r="E128" i="24"/>
  <c r="J125" i="17"/>
  <c r="J119" i="78"/>
  <c r="J125" i="22"/>
  <c r="G125" i="39"/>
  <c r="D126" i="39"/>
  <c r="E126" i="39"/>
  <c r="I121" i="61"/>
  <c r="H121" i="61"/>
  <c r="G119" i="82"/>
  <c r="D120" i="82"/>
  <c r="E120" i="82"/>
  <c r="J124" i="41"/>
  <c r="J118" i="82"/>
  <c r="F117" i="93"/>
  <c r="B117" i="93"/>
  <c r="G127" i="71"/>
  <c r="D128" i="71"/>
  <c r="E128" i="71"/>
  <c r="B127" i="31"/>
  <c r="F127" i="31"/>
  <c r="D124" i="54"/>
  <c r="G123" i="54"/>
  <c r="E124" i="54"/>
  <c r="B117" i="95"/>
  <c r="F117" i="95"/>
  <c r="F126" i="18"/>
  <c r="B126" i="18"/>
  <c r="G116" i="98"/>
  <c r="D117" i="98"/>
  <c r="E117" i="98"/>
  <c r="H121" i="60"/>
  <c r="I121" i="60"/>
  <c r="H116" i="93"/>
  <c r="I116" i="93"/>
  <c r="D119" i="91"/>
  <c r="G118" i="91"/>
  <c r="E119" i="91"/>
  <c r="J124" i="43"/>
  <c r="J127" i="29"/>
  <c r="D120" i="81"/>
  <c r="G119" i="81"/>
  <c r="E120" i="81"/>
  <c r="G125" i="73"/>
  <c r="D126" i="73"/>
  <c r="E126" i="73"/>
  <c r="J115" i="97"/>
  <c r="D122" i="67"/>
  <c r="G121" i="67"/>
  <c r="E122" i="67"/>
  <c r="D126" i="74"/>
  <c r="G125" i="74"/>
  <c r="E126" i="74"/>
  <c r="G120" i="76"/>
  <c r="D121" i="76"/>
  <c r="E121" i="76"/>
  <c r="D122" i="65"/>
  <c r="G121" i="65"/>
  <c r="E122" i="65"/>
  <c r="G118" i="92"/>
  <c r="D119" i="92"/>
  <c r="E119" i="92"/>
  <c r="G128" i="27"/>
  <c r="D129" i="27"/>
  <c r="E129" i="27"/>
  <c r="J117" i="92"/>
  <c r="J124" i="73"/>
  <c r="J120" i="67"/>
  <c r="H125" i="18"/>
  <c r="I125" i="18"/>
  <c r="J117" i="96"/>
  <c r="F122" i="60"/>
  <c r="B122" i="60"/>
  <c r="D123" i="64"/>
  <c r="G122" i="64"/>
  <c r="E123" i="64"/>
  <c r="G124" i="45"/>
  <c r="D125" i="45"/>
  <c r="E125" i="45"/>
  <c r="G125" i="42"/>
  <c r="D126" i="42"/>
  <c r="E126" i="42"/>
  <c r="D124" i="56"/>
  <c r="G123" i="56"/>
  <c r="E124" i="56"/>
  <c r="D120" i="85"/>
  <c r="G119" i="85"/>
  <c r="E120" i="85"/>
  <c r="D120" i="80"/>
  <c r="G119" i="80"/>
  <c r="E120" i="80"/>
  <c r="G123" i="58"/>
  <c r="D124" i="58"/>
  <c r="E124" i="58"/>
  <c r="J118" i="81"/>
  <c r="D130" i="28"/>
  <c r="G129" i="28"/>
  <c r="E130" i="28"/>
  <c r="J128" i="28"/>
  <c r="J125" i="21"/>
  <c r="D121" i="78"/>
  <c r="G120" i="78"/>
  <c r="E121" i="78"/>
  <c r="G119" i="83"/>
  <c r="D120" i="83"/>
  <c r="E120" i="83"/>
  <c r="G123" i="55"/>
  <c r="D124" i="55"/>
  <c r="E124" i="55"/>
  <c r="J126" i="32"/>
  <c r="D127" i="34"/>
  <c r="G126" i="34"/>
  <c r="E127" i="34"/>
  <c r="D127" i="17"/>
  <c r="G126" i="17"/>
  <c r="E127" i="17"/>
  <c r="I115" i="99"/>
  <c r="H115" i="99"/>
  <c r="D119" i="88"/>
  <c r="G118" i="88"/>
  <c r="E119" i="88"/>
  <c r="G116" i="97"/>
  <c r="D117" i="97"/>
  <c r="E117" i="97"/>
  <c r="J120" i="68"/>
  <c r="J117" i="84"/>
  <c r="J127" i="27"/>
  <c r="J124" i="39"/>
  <c r="J121" i="63"/>
  <c r="G125" i="41"/>
  <c r="D126" i="41"/>
  <c r="E126" i="41"/>
  <c r="D119" i="94"/>
  <c r="G118" i="94"/>
  <c r="E119" i="94"/>
  <c r="D120" i="101"/>
  <c r="G119" i="101"/>
  <c r="E120" i="101"/>
  <c r="J117" i="88"/>
  <c r="D121" i="75"/>
  <c r="G120" i="75"/>
  <c r="E121" i="75"/>
  <c r="D119" i="90"/>
  <c r="G118" i="90"/>
  <c r="E119" i="90"/>
  <c r="J124" i="42"/>
  <c r="B116" i="99"/>
  <c r="F116" i="99"/>
  <c r="D129" i="70"/>
  <c r="G128" i="70"/>
  <c r="E129" i="70"/>
  <c r="J117" i="87"/>
  <c r="D124" i="72"/>
  <c r="G123" i="72"/>
  <c r="E124" i="72"/>
  <c r="J121" i="64"/>
  <c r="G121" i="68"/>
  <c r="D122" i="68"/>
  <c r="E122" i="68"/>
  <c r="J126" i="71"/>
  <c r="G128" i="29"/>
  <c r="D129" i="29"/>
  <c r="E129" i="29"/>
  <c r="J117" i="90"/>
  <c r="J122" i="53"/>
  <c r="D124" i="57"/>
  <c r="G123" i="57"/>
  <c r="E124" i="57"/>
  <c r="D119" i="87"/>
  <c r="G118" i="87"/>
  <c r="E119" i="87"/>
  <c r="D121" i="79"/>
  <c r="G120" i="79"/>
  <c r="E121" i="79"/>
  <c r="D127" i="3"/>
  <c r="G126" i="3"/>
  <c r="E127" i="3"/>
  <c r="G126" i="19"/>
  <c r="D127" i="19"/>
  <c r="E127" i="19"/>
  <c r="D113" i="102"/>
  <c r="G112" i="102"/>
  <c r="E113" i="102"/>
  <c r="G121" i="66"/>
  <c r="D122" i="66"/>
  <c r="E122" i="66"/>
  <c r="D126" i="44"/>
  <c r="G125" i="44"/>
  <c r="E126" i="44"/>
  <c r="D119" i="96"/>
  <c r="G118" i="96"/>
  <c r="E119" i="96"/>
  <c r="G125" i="43"/>
  <c r="D126" i="43"/>
  <c r="E126" i="43"/>
  <c r="G128" i="30"/>
  <c r="D129" i="30"/>
  <c r="E129" i="30"/>
  <c r="J125" i="3"/>
  <c r="G122" i="59"/>
  <c r="D123" i="59"/>
  <c r="E123" i="59"/>
  <c r="G118" i="89"/>
  <c r="D119" i="89"/>
  <c r="E119" i="89"/>
  <c r="F126" i="20"/>
  <c r="B126" i="20"/>
  <c r="J117" i="89"/>
  <c r="I112" i="13" l="1"/>
  <c r="H112" i="13"/>
  <c r="B113" i="13"/>
  <c r="F113" i="13"/>
  <c r="J115" i="99"/>
  <c r="J121" i="61"/>
  <c r="J125" i="18"/>
  <c r="J125" i="20"/>
  <c r="J121" i="60"/>
  <c r="H118" i="89"/>
  <c r="I118" i="89"/>
  <c r="J118" i="89" s="1"/>
  <c r="F129" i="30"/>
  <c r="B129" i="30"/>
  <c r="F119" i="89"/>
  <c r="B119" i="89"/>
  <c r="I128" i="30"/>
  <c r="H128" i="30"/>
  <c r="I125" i="44"/>
  <c r="H125" i="44"/>
  <c r="F121" i="79"/>
  <c r="B121" i="79"/>
  <c r="G116" i="99"/>
  <c r="D117" i="99"/>
  <c r="E117" i="99"/>
  <c r="B121" i="75"/>
  <c r="F121" i="75"/>
  <c r="B127" i="34"/>
  <c r="F127" i="34"/>
  <c r="I119" i="85"/>
  <c r="H119" i="85"/>
  <c r="H128" i="27"/>
  <c r="I128" i="27"/>
  <c r="B121" i="76"/>
  <c r="F121" i="76"/>
  <c r="H123" i="54"/>
  <c r="I123" i="54"/>
  <c r="D118" i="93"/>
  <c r="G117" i="93"/>
  <c r="E118" i="93"/>
  <c r="I127" i="24"/>
  <c r="H127" i="24"/>
  <c r="B119" i="84"/>
  <c r="F119" i="84"/>
  <c r="H119" i="86"/>
  <c r="I119" i="86"/>
  <c r="B117" i="98"/>
  <c r="F117" i="98"/>
  <c r="F124" i="54"/>
  <c r="B124" i="54"/>
  <c r="F126" i="39"/>
  <c r="B126" i="39"/>
  <c r="F128" i="23"/>
  <c r="B128" i="23"/>
  <c r="B120" i="86"/>
  <c r="F120" i="86"/>
  <c r="B117" i="97"/>
  <c r="F117" i="97"/>
  <c r="F126" i="43"/>
  <c r="B126" i="43"/>
  <c r="I126" i="19"/>
  <c r="H126" i="19"/>
  <c r="H118" i="87"/>
  <c r="I118" i="87"/>
  <c r="F129" i="29"/>
  <c r="B129" i="29"/>
  <c r="H123" i="72"/>
  <c r="I123" i="72"/>
  <c r="H125" i="41"/>
  <c r="I125" i="41"/>
  <c r="I116" i="97"/>
  <c r="H116" i="97"/>
  <c r="B121" i="78"/>
  <c r="F121" i="78"/>
  <c r="F124" i="58"/>
  <c r="B124" i="58"/>
  <c r="H124" i="45"/>
  <c r="I124" i="45"/>
  <c r="B119" i="92"/>
  <c r="F119" i="92"/>
  <c r="F126" i="73"/>
  <c r="B126" i="73"/>
  <c r="I118" i="91"/>
  <c r="H118" i="91"/>
  <c r="H116" i="98"/>
  <c r="I116" i="98"/>
  <c r="G127" i="31"/>
  <c r="D128" i="31"/>
  <c r="E128" i="31"/>
  <c r="H125" i="39"/>
  <c r="I125" i="39"/>
  <c r="H123" i="46"/>
  <c r="I123" i="46"/>
  <c r="H127" i="23"/>
  <c r="I127" i="23"/>
  <c r="H128" i="69"/>
  <c r="I128" i="69"/>
  <c r="B128" i="32"/>
  <c r="F128" i="32"/>
  <c r="I120" i="78"/>
  <c r="H120" i="78"/>
  <c r="F125" i="45"/>
  <c r="B125" i="45"/>
  <c r="B123" i="59"/>
  <c r="F123" i="59"/>
  <c r="F124" i="72"/>
  <c r="B124" i="72"/>
  <c r="B124" i="55"/>
  <c r="F124" i="55"/>
  <c r="I125" i="74"/>
  <c r="H125" i="74"/>
  <c r="I125" i="73"/>
  <c r="H125" i="73"/>
  <c r="F119" i="91"/>
  <c r="B119" i="91"/>
  <c r="F124" i="46"/>
  <c r="B124" i="46"/>
  <c r="B129" i="69"/>
  <c r="F129" i="69"/>
  <c r="I127" i="32"/>
  <c r="H127" i="32"/>
  <c r="B123" i="62"/>
  <c r="F123" i="62"/>
  <c r="B127" i="19"/>
  <c r="F127" i="19"/>
  <c r="B126" i="41"/>
  <c r="F126" i="41"/>
  <c r="H125" i="43"/>
  <c r="I125" i="43"/>
  <c r="F119" i="87"/>
  <c r="B119" i="87"/>
  <c r="I128" i="29"/>
  <c r="H128" i="29"/>
  <c r="H119" i="101"/>
  <c r="I119" i="101"/>
  <c r="I123" i="56"/>
  <c r="H123" i="56"/>
  <c r="H118" i="92"/>
  <c r="I118" i="92"/>
  <c r="I122" i="59"/>
  <c r="H122" i="59"/>
  <c r="H121" i="66"/>
  <c r="I121" i="66"/>
  <c r="H126" i="3"/>
  <c r="I126" i="3"/>
  <c r="I118" i="90"/>
  <c r="H118" i="90"/>
  <c r="B120" i="101"/>
  <c r="F120" i="101"/>
  <c r="I118" i="88"/>
  <c r="H118" i="88"/>
  <c r="H126" i="17"/>
  <c r="I126" i="17"/>
  <c r="I123" i="55"/>
  <c r="H123" i="55"/>
  <c r="F124" i="56"/>
  <c r="B124" i="56"/>
  <c r="H122" i="64"/>
  <c r="I122" i="64"/>
  <c r="B126" i="74"/>
  <c r="F126" i="74"/>
  <c r="J116" i="93"/>
  <c r="G126" i="18"/>
  <c r="D127" i="18"/>
  <c r="E127" i="18"/>
  <c r="B120" i="82"/>
  <c r="F120" i="82"/>
  <c r="B127" i="21"/>
  <c r="F127" i="21"/>
  <c r="J126" i="31"/>
  <c r="I122" i="62"/>
  <c r="H122" i="62"/>
  <c r="B126" i="44"/>
  <c r="F126" i="44"/>
  <c r="H120" i="76"/>
  <c r="I120" i="76"/>
  <c r="H118" i="96"/>
  <c r="I118" i="96"/>
  <c r="F127" i="3"/>
  <c r="B127" i="3"/>
  <c r="I123" i="57"/>
  <c r="H123" i="57"/>
  <c r="B119" i="90"/>
  <c r="F119" i="90"/>
  <c r="B119" i="88"/>
  <c r="F119" i="88"/>
  <c r="F127" i="17"/>
  <c r="B127" i="17"/>
  <c r="I119" i="80"/>
  <c r="H119" i="80"/>
  <c r="B123" i="64"/>
  <c r="F123" i="64"/>
  <c r="I121" i="65"/>
  <c r="H121" i="65"/>
  <c r="I119" i="81"/>
  <c r="H119" i="81"/>
  <c r="G117" i="95"/>
  <c r="D118" i="95"/>
  <c r="E118" i="95"/>
  <c r="F128" i="71"/>
  <c r="B128" i="71"/>
  <c r="I119" i="82"/>
  <c r="H119" i="82"/>
  <c r="B127" i="22"/>
  <c r="F127" i="22"/>
  <c r="I126" i="21"/>
  <c r="H126" i="21"/>
  <c r="B123" i="63"/>
  <c r="F123" i="63"/>
  <c r="F124" i="53"/>
  <c r="B124" i="53"/>
  <c r="B120" i="85"/>
  <c r="F120" i="85"/>
  <c r="B122" i="66"/>
  <c r="F122" i="66"/>
  <c r="I123" i="58"/>
  <c r="H123" i="58"/>
  <c r="D127" i="20"/>
  <c r="G126" i="20"/>
  <c r="E127" i="20"/>
  <c r="B119" i="96"/>
  <c r="F119" i="96"/>
  <c r="I112" i="102"/>
  <c r="H112" i="102"/>
  <c r="B124" i="57"/>
  <c r="F124" i="57"/>
  <c r="B122" i="68"/>
  <c r="F122" i="68"/>
  <c r="I128" i="70"/>
  <c r="H128" i="70"/>
  <c r="I118" i="94"/>
  <c r="H118" i="94"/>
  <c r="F120" i="83"/>
  <c r="B120" i="83"/>
  <c r="H129" i="28"/>
  <c r="I129" i="28"/>
  <c r="B120" i="80"/>
  <c r="F120" i="80"/>
  <c r="B126" i="42"/>
  <c r="F126" i="42"/>
  <c r="F122" i="65"/>
  <c r="B122" i="65"/>
  <c r="H121" i="67"/>
  <c r="I121" i="67"/>
  <c r="F120" i="81"/>
  <c r="B120" i="81"/>
  <c r="I127" i="71"/>
  <c r="H127" i="71"/>
  <c r="I126" i="22"/>
  <c r="H126" i="22"/>
  <c r="H122" i="63"/>
  <c r="I122" i="63"/>
  <c r="H123" i="53"/>
  <c r="I123" i="53"/>
  <c r="I120" i="77"/>
  <c r="H120" i="77"/>
  <c r="B113" i="102"/>
  <c r="F113" i="102"/>
  <c r="H120" i="79"/>
  <c r="I120" i="79"/>
  <c r="H121" i="68"/>
  <c r="I121" i="68"/>
  <c r="B129" i="70"/>
  <c r="F129" i="70"/>
  <c r="H120" i="75"/>
  <c r="I120" i="75"/>
  <c r="B119" i="94"/>
  <c r="F119" i="94"/>
  <c r="H126" i="34"/>
  <c r="I126" i="34"/>
  <c r="H119" i="83"/>
  <c r="I119" i="83"/>
  <c r="B130" i="28"/>
  <c r="F130" i="28"/>
  <c r="H125" i="42"/>
  <c r="I125" i="42"/>
  <c r="D123" i="60"/>
  <c r="G122" i="60"/>
  <c r="E123" i="60"/>
  <c r="F129" i="27"/>
  <c r="B129" i="27"/>
  <c r="F122" i="67"/>
  <c r="B122" i="67"/>
  <c r="B128" i="24"/>
  <c r="F128" i="24"/>
  <c r="J116" i="95"/>
  <c r="H118" i="84"/>
  <c r="I118" i="84"/>
  <c r="D123" i="61"/>
  <c r="G122" i="61"/>
  <c r="E123" i="61"/>
  <c r="F121" i="77"/>
  <c r="B121" i="77"/>
  <c r="J127" i="23" l="1"/>
  <c r="G113" i="13"/>
  <c r="D114" i="13"/>
  <c r="E114" i="13"/>
  <c r="J112" i="13"/>
  <c r="J118" i="84"/>
  <c r="J119" i="83"/>
  <c r="J120" i="76"/>
  <c r="J121" i="65"/>
  <c r="J122" i="62"/>
  <c r="J118" i="92"/>
  <c r="J126" i="21"/>
  <c r="J123" i="56"/>
  <c r="J127" i="32"/>
  <c r="J119" i="101"/>
  <c r="J128" i="27"/>
  <c r="J119" i="81"/>
  <c r="J123" i="46"/>
  <c r="J116" i="97"/>
  <c r="J120" i="75"/>
  <c r="J125" i="41"/>
  <c r="J119" i="86"/>
  <c r="J123" i="54"/>
  <c r="J123" i="72"/>
  <c r="J126" i="34"/>
  <c r="J121" i="68"/>
  <c r="J123" i="53"/>
  <c r="J125" i="73"/>
  <c r="J122" i="64"/>
  <c r="J121" i="66"/>
  <c r="J125" i="42"/>
  <c r="J120" i="79"/>
  <c r="J122" i="63"/>
  <c r="J121" i="67"/>
  <c r="J129" i="28"/>
  <c r="B128" i="31"/>
  <c r="F128" i="31"/>
  <c r="D121" i="82"/>
  <c r="G120" i="82"/>
  <c r="E121" i="82"/>
  <c r="G129" i="69"/>
  <c r="D130" i="69"/>
  <c r="E130" i="69"/>
  <c r="G129" i="29"/>
  <c r="D130" i="29"/>
  <c r="E130" i="29"/>
  <c r="D125" i="54"/>
  <c r="G124" i="54"/>
  <c r="E125" i="54"/>
  <c r="J127" i="24"/>
  <c r="J128" i="30"/>
  <c r="J123" i="57"/>
  <c r="G126" i="41"/>
  <c r="D127" i="41"/>
  <c r="E127" i="41"/>
  <c r="H127" i="31"/>
  <c r="I127" i="31"/>
  <c r="D120" i="94"/>
  <c r="G119" i="94"/>
  <c r="E120" i="94"/>
  <c r="G122" i="68"/>
  <c r="D123" i="68"/>
  <c r="E123" i="68"/>
  <c r="G126" i="44"/>
  <c r="D127" i="44"/>
  <c r="E127" i="44"/>
  <c r="J118" i="88"/>
  <c r="J125" i="74"/>
  <c r="D126" i="45"/>
  <c r="G125" i="45"/>
  <c r="E126" i="45"/>
  <c r="J116" i="98"/>
  <c r="J124" i="45"/>
  <c r="J118" i="87"/>
  <c r="D121" i="86"/>
  <c r="G120" i="86"/>
  <c r="E121" i="86"/>
  <c r="G117" i="98"/>
  <c r="D118" i="98"/>
  <c r="E118" i="98"/>
  <c r="B117" i="99"/>
  <c r="F117" i="99"/>
  <c r="G127" i="3"/>
  <c r="D128" i="3"/>
  <c r="E128" i="3"/>
  <c r="G120" i="101"/>
  <c r="D121" i="101"/>
  <c r="E121" i="101"/>
  <c r="D128" i="19"/>
  <c r="G127" i="19"/>
  <c r="E128" i="19"/>
  <c r="D125" i="55"/>
  <c r="G124" i="55"/>
  <c r="E125" i="55"/>
  <c r="I117" i="93"/>
  <c r="H117" i="93"/>
  <c r="H116" i="99"/>
  <c r="I116" i="99"/>
  <c r="D120" i="89"/>
  <c r="G119" i="89"/>
  <c r="E120" i="89"/>
  <c r="G120" i="80"/>
  <c r="D121" i="80"/>
  <c r="E121" i="80"/>
  <c r="D131" i="28"/>
  <c r="G130" i="28"/>
  <c r="E131" i="28"/>
  <c r="D114" i="102"/>
  <c r="G113" i="102"/>
  <c r="E114" i="102"/>
  <c r="G124" i="57"/>
  <c r="D125" i="57"/>
  <c r="E125" i="57"/>
  <c r="F127" i="20"/>
  <c r="B127" i="20"/>
  <c r="G124" i="53"/>
  <c r="D125" i="53"/>
  <c r="E125" i="53"/>
  <c r="J119" i="82"/>
  <c r="D120" i="88"/>
  <c r="G119" i="88"/>
  <c r="E120" i="88"/>
  <c r="J118" i="96"/>
  <c r="F127" i="18"/>
  <c r="B127" i="18"/>
  <c r="D125" i="56"/>
  <c r="G124" i="56"/>
  <c r="E125" i="56"/>
  <c r="J122" i="59"/>
  <c r="J128" i="29"/>
  <c r="D125" i="46"/>
  <c r="G124" i="46"/>
  <c r="E125" i="46"/>
  <c r="J120" i="78"/>
  <c r="F118" i="93"/>
  <c r="B118" i="93"/>
  <c r="J119" i="85"/>
  <c r="I122" i="60"/>
  <c r="H122" i="60"/>
  <c r="I126" i="20"/>
  <c r="H126" i="20"/>
  <c r="G127" i="17"/>
  <c r="D128" i="17"/>
  <c r="E128" i="17"/>
  <c r="J126" i="22"/>
  <c r="G122" i="65"/>
  <c r="D123" i="65"/>
  <c r="E123" i="65"/>
  <c r="G120" i="83"/>
  <c r="D121" i="83"/>
  <c r="E121" i="83"/>
  <c r="G123" i="63"/>
  <c r="D124" i="63"/>
  <c r="E124" i="63"/>
  <c r="H126" i="18"/>
  <c r="I126" i="18"/>
  <c r="G123" i="62"/>
  <c r="D124" i="62"/>
  <c r="E124" i="62"/>
  <c r="G128" i="32"/>
  <c r="D129" i="32"/>
  <c r="E129" i="32"/>
  <c r="J125" i="39"/>
  <c r="J118" i="91"/>
  <c r="G124" i="58"/>
  <c r="D125" i="58"/>
  <c r="E125" i="58"/>
  <c r="J126" i="19"/>
  <c r="D129" i="23"/>
  <c r="G128" i="23"/>
  <c r="E129" i="23"/>
  <c r="D128" i="34"/>
  <c r="G127" i="34"/>
  <c r="E128" i="34"/>
  <c r="D122" i="79"/>
  <c r="G121" i="79"/>
  <c r="E122" i="79"/>
  <c r="G129" i="30"/>
  <c r="D130" i="30"/>
  <c r="E130" i="30"/>
  <c r="D118" i="97"/>
  <c r="B118" i="97" s="1"/>
  <c r="G117" i="97"/>
  <c r="E118" i="97"/>
  <c r="G128" i="24"/>
  <c r="D129" i="24"/>
  <c r="E129" i="24"/>
  <c r="J128" i="70"/>
  <c r="G120" i="85"/>
  <c r="D121" i="85"/>
  <c r="E121" i="85"/>
  <c r="I117" i="95"/>
  <c r="H117" i="95"/>
  <c r="G121" i="77"/>
  <c r="D122" i="77"/>
  <c r="E122" i="77"/>
  <c r="D123" i="67"/>
  <c r="G122" i="67"/>
  <c r="E123" i="67"/>
  <c r="B123" i="61"/>
  <c r="F123" i="61"/>
  <c r="G129" i="27"/>
  <c r="D130" i="27"/>
  <c r="E130" i="27"/>
  <c r="G129" i="70"/>
  <c r="D130" i="70"/>
  <c r="E130" i="70"/>
  <c r="J123" i="58"/>
  <c r="G128" i="71"/>
  <c r="D129" i="71"/>
  <c r="E129" i="71"/>
  <c r="D124" i="64"/>
  <c r="G123" i="64"/>
  <c r="E124" i="64"/>
  <c r="G119" i="90"/>
  <c r="D120" i="90"/>
  <c r="E120" i="90"/>
  <c r="J123" i="55"/>
  <c r="J118" i="90"/>
  <c r="D120" i="87"/>
  <c r="G119" i="87"/>
  <c r="E120" i="87"/>
  <c r="D120" i="91"/>
  <c r="G119" i="91"/>
  <c r="E120" i="91"/>
  <c r="G124" i="72"/>
  <c r="D125" i="72"/>
  <c r="E125" i="72"/>
  <c r="G121" i="78"/>
  <c r="D122" i="78"/>
  <c r="E122" i="78"/>
  <c r="G119" i="84"/>
  <c r="D120" i="84"/>
  <c r="E120" i="84"/>
  <c r="D120" i="96"/>
  <c r="B120" i="96" s="1"/>
  <c r="G119" i="96"/>
  <c r="E120" i="96"/>
  <c r="F118" i="95"/>
  <c r="B118" i="95"/>
  <c r="G119" i="92"/>
  <c r="D120" i="92"/>
  <c r="E120" i="92"/>
  <c r="F123" i="60"/>
  <c r="B123" i="60"/>
  <c r="D121" i="81"/>
  <c r="G120" i="81"/>
  <c r="E121" i="81"/>
  <c r="G127" i="22"/>
  <c r="D128" i="22"/>
  <c r="E128" i="22"/>
  <c r="J119" i="80"/>
  <c r="H122" i="61"/>
  <c r="I122" i="61"/>
  <c r="D127" i="42"/>
  <c r="G126" i="42"/>
  <c r="E127" i="42"/>
  <c r="J120" i="77"/>
  <c r="J127" i="71"/>
  <c r="J118" i="94"/>
  <c r="J112" i="102"/>
  <c r="G122" i="66"/>
  <c r="D123" i="66"/>
  <c r="E123" i="66"/>
  <c r="D128" i="21"/>
  <c r="G127" i="21"/>
  <c r="E128" i="21"/>
  <c r="D127" i="74"/>
  <c r="G126" i="74"/>
  <c r="E127" i="74"/>
  <c r="J126" i="17"/>
  <c r="J126" i="3"/>
  <c r="J125" i="43"/>
  <c r="G123" i="59"/>
  <c r="D124" i="59"/>
  <c r="E124" i="59"/>
  <c r="J128" i="69"/>
  <c r="G126" i="73"/>
  <c r="D127" i="73"/>
  <c r="E127" i="73"/>
  <c r="D127" i="43"/>
  <c r="G126" i="43"/>
  <c r="E127" i="43"/>
  <c r="G126" i="39"/>
  <c r="D127" i="39"/>
  <c r="E127" i="39"/>
  <c r="G121" i="76"/>
  <c r="D122" i="76"/>
  <c r="E122" i="76"/>
  <c r="D122" i="75"/>
  <c r="G121" i="75"/>
  <c r="E122" i="75"/>
  <c r="J125" i="44"/>
  <c r="F118" i="97" l="1"/>
  <c r="B114" i="13"/>
  <c r="F114" i="13"/>
  <c r="I113" i="13"/>
  <c r="H113" i="13"/>
  <c r="J126" i="20"/>
  <c r="F120" i="96"/>
  <c r="D121" i="96" s="1"/>
  <c r="J116" i="99"/>
  <c r="J122" i="61"/>
  <c r="I119" i="94"/>
  <c r="H119" i="94"/>
  <c r="F127" i="43"/>
  <c r="B127" i="43"/>
  <c r="F128" i="21"/>
  <c r="B128" i="21"/>
  <c r="I127" i="22"/>
  <c r="H127" i="22"/>
  <c r="I119" i="92"/>
  <c r="H119" i="92"/>
  <c r="B125" i="72"/>
  <c r="F125" i="72"/>
  <c r="B130" i="27"/>
  <c r="F130" i="27"/>
  <c r="B122" i="77"/>
  <c r="F122" i="77"/>
  <c r="I129" i="30"/>
  <c r="H129" i="30"/>
  <c r="I128" i="23"/>
  <c r="H128" i="23"/>
  <c r="H122" i="65"/>
  <c r="I122" i="65"/>
  <c r="J122" i="60"/>
  <c r="D128" i="20"/>
  <c r="G127" i="20"/>
  <c r="E128" i="20"/>
  <c r="I130" i="28"/>
  <c r="H130" i="28"/>
  <c r="I127" i="19"/>
  <c r="H127" i="19"/>
  <c r="D118" i="99"/>
  <c r="G117" i="99"/>
  <c r="E118" i="99"/>
  <c r="B120" i="94"/>
  <c r="F120" i="94"/>
  <c r="B130" i="69"/>
  <c r="F130" i="69"/>
  <c r="H123" i="59"/>
  <c r="I123" i="59"/>
  <c r="H119" i="96"/>
  <c r="I119" i="96"/>
  <c r="B123" i="65"/>
  <c r="F123" i="65"/>
  <c r="B120" i="89"/>
  <c r="F120" i="89"/>
  <c r="I127" i="3"/>
  <c r="H127" i="3"/>
  <c r="F121" i="86"/>
  <c r="B121" i="86"/>
  <c r="F122" i="76"/>
  <c r="B122" i="76"/>
  <c r="H126" i="42"/>
  <c r="I126" i="42"/>
  <c r="I124" i="72"/>
  <c r="H124" i="72"/>
  <c r="B129" i="71"/>
  <c r="F129" i="71"/>
  <c r="I129" i="27"/>
  <c r="H129" i="27"/>
  <c r="I121" i="77"/>
  <c r="H121" i="77"/>
  <c r="B129" i="24"/>
  <c r="F129" i="24"/>
  <c r="F129" i="23"/>
  <c r="B129" i="23"/>
  <c r="B129" i="32"/>
  <c r="F129" i="32"/>
  <c r="F124" i="63"/>
  <c r="B124" i="63"/>
  <c r="H119" i="88"/>
  <c r="I119" i="88"/>
  <c r="F131" i="28"/>
  <c r="B131" i="28"/>
  <c r="F128" i="19"/>
  <c r="B128" i="19"/>
  <c r="B127" i="44"/>
  <c r="F127" i="44"/>
  <c r="J127" i="31"/>
  <c r="H129" i="69"/>
  <c r="I129" i="69"/>
  <c r="B128" i="22"/>
  <c r="F128" i="22"/>
  <c r="F120" i="87"/>
  <c r="B120" i="87"/>
  <c r="H120" i="81"/>
  <c r="I120" i="81"/>
  <c r="B120" i="84"/>
  <c r="F120" i="84"/>
  <c r="D124" i="61"/>
  <c r="G123" i="61"/>
  <c r="E124" i="61"/>
  <c r="I121" i="79"/>
  <c r="H121" i="79"/>
  <c r="I128" i="32"/>
  <c r="H128" i="32"/>
  <c r="I123" i="63"/>
  <c r="H123" i="63"/>
  <c r="B120" i="88"/>
  <c r="F120" i="88"/>
  <c r="B125" i="57"/>
  <c r="F125" i="57"/>
  <c r="I126" i="44"/>
  <c r="H126" i="44"/>
  <c r="I124" i="54"/>
  <c r="H124" i="54"/>
  <c r="F130" i="30"/>
  <c r="B130" i="30"/>
  <c r="H121" i="76"/>
  <c r="I121" i="76"/>
  <c r="I128" i="71"/>
  <c r="H128" i="71"/>
  <c r="H126" i="73"/>
  <c r="I126" i="73"/>
  <c r="H122" i="66"/>
  <c r="I122" i="66"/>
  <c r="F121" i="81"/>
  <c r="B121" i="81"/>
  <c r="H119" i="84"/>
  <c r="I119" i="84"/>
  <c r="H119" i="91"/>
  <c r="I119" i="91"/>
  <c r="B120" i="90"/>
  <c r="F120" i="90"/>
  <c r="J117" i="95"/>
  <c r="G118" i="97"/>
  <c r="D119" i="97"/>
  <c r="E119" i="97"/>
  <c r="F122" i="79"/>
  <c r="B122" i="79"/>
  <c r="F128" i="17"/>
  <c r="B128" i="17"/>
  <c r="D119" i="93"/>
  <c r="G118" i="93"/>
  <c r="E119" i="93"/>
  <c r="H124" i="56"/>
  <c r="I124" i="56"/>
  <c r="I124" i="57"/>
  <c r="H124" i="57"/>
  <c r="F121" i="80"/>
  <c r="B121" i="80"/>
  <c r="J117" i="93"/>
  <c r="F121" i="101"/>
  <c r="B121" i="101"/>
  <c r="F118" i="98"/>
  <c r="B118" i="98"/>
  <c r="F125" i="54"/>
  <c r="B125" i="54"/>
  <c r="H120" i="82"/>
  <c r="I120" i="82"/>
  <c r="H126" i="43"/>
  <c r="I126" i="43"/>
  <c r="F120" i="92"/>
  <c r="B120" i="92"/>
  <c r="F124" i="64"/>
  <c r="B124" i="64"/>
  <c r="F127" i="73"/>
  <c r="B127" i="73"/>
  <c r="B127" i="42"/>
  <c r="F127" i="42"/>
  <c r="I128" i="24"/>
  <c r="H128" i="24"/>
  <c r="B127" i="39"/>
  <c r="F127" i="39"/>
  <c r="H126" i="74"/>
  <c r="I126" i="74"/>
  <c r="H117" i="97"/>
  <c r="I117" i="97"/>
  <c r="F125" i="58"/>
  <c r="B125" i="58"/>
  <c r="F124" i="62"/>
  <c r="B124" i="62"/>
  <c r="F121" i="83"/>
  <c r="B121" i="83"/>
  <c r="I127" i="17"/>
  <c r="H127" i="17"/>
  <c r="B125" i="56"/>
  <c r="F125" i="56"/>
  <c r="I120" i="80"/>
  <c r="H120" i="80"/>
  <c r="I120" i="101"/>
  <c r="H120" i="101"/>
  <c r="H117" i="98"/>
  <c r="I117" i="98"/>
  <c r="I125" i="45"/>
  <c r="H125" i="45"/>
  <c r="B123" i="68"/>
  <c r="F123" i="68"/>
  <c r="B127" i="41"/>
  <c r="F127" i="41"/>
  <c r="F121" i="82"/>
  <c r="B121" i="82"/>
  <c r="B122" i="75"/>
  <c r="F122" i="75"/>
  <c r="I127" i="21"/>
  <c r="H127" i="21"/>
  <c r="F125" i="46"/>
  <c r="B125" i="46"/>
  <c r="B120" i="91"/>
  <c r="F120" i="91"/>
  <c r="H119" i="90"/>
  <c r="I119" i="90"/>
  <c r="I126" i="39"/>
  <c r="H126" i="39"/>
  <c r="B127" i="74"/>
  <c r="F127" i="74"/>
  <c r="G123" i="60"/>
  <c r="D124" i="60"/>
  <c r="E124" i="60"/>
  <c r="G118" i="95"/>
  <c r="D119" i="95"/>
  <c r="E119" i="95"/>
  <c r="F122" i="78"/>
  <c r="B122" i="78"/>
  <c r="F130" i="70"/>
  <c r="B130" i="70"/>
  <c r="I122" i="67"/>
  <c r="H122" i="67"/>
  <c r="B121" i="85"/>
  <c r="F121" i="85"/>
  <c r="H127" i="34"/>
  <c r="I127" i="34"/>
  <c r="I124" i="58"/>
  <c r="H124" i="58"/>
  <c r="H123" i="62"/>
  <c r="I123" i="62"/>
  <c r="H120" i="83"/>
  <c r="I120" i="83"/>
  <c r="F125" i="53"/>
  <c r="B125" i="53"/>
  <c r="H113" i="102"/>
  <c r="I113" i="102"/>
  <c r="I124" i="55"/>
  <c r="H124" i="55"/>
  <c r="F126" i="45"/>
  <c r="B126" i="45"/>
  <c r="I122" i="68"/>
  <c r="H122" i="68"/>
  <c r="H126" i="41"/>
  <c r="I126" i="41"/>
  <c r="B130" i="29"/>
  <c r="F130" i="29"/>
  <c r="D129" i="31"/>
  <c r="G128" i="31"/>
  <c r="E129" i="31"/>
  <c r="B123" i="66"/>
  <c r="F123" i="66"/>
  <c r="I121" i="75"/>
  <c r="H121" i="75"/>
  <c r="B124" i="59"/>
  <c r="F124" i="59"/>
  <c r="H121" i="78"/>
  <c r="I121" i="78"/>
  <c r="H119" i="87"/>
  <c r="I119" i="87"/>
  <c r="H123" i="64"/>
  <c r="I123" i="64"/>
  <c r="H129" i="70"/>
  <c r="I129" i="70"/>
  <c r="B123" i="67"/>
  <c r="F123" i="67"/>
  <c r="H120" i="85"/>
  <c r="I120" i="85"/>
  <c r="F128" i="34"/>
  <c r="B128" i="34"/>
  <c r="J126" i="18"/>
  <c r="H124" i="46"/>
  <c r="I124" i="46"/>
  <c r="G127" i="18"/>
  <c r="D128" i="18"/>
  <c r="E128" i="18"/>
  <c r="I124" i="53"/>
  <c r="H124" i="53"/>
  <c r="F114" i="102"/>
  <c r="B114" i="102"/>
  <c r="H119" i="89"/>
  <c r="I119" i="89"/>
  <c r="B125" i="55"/>
  <c r="F125" i="55"/>
  <c r="B128" i="3"/>
  <c r="F128" i="3"/>
  <c r="I120" i="86"/>
  <c r="H120" i="86"/>
  <c r="I129" i="29"/>
  <c r="H129" i="29"/>
  <c r="E121" i="96" l="1"/>
  <c r="G120" i="96"/>
  <c r="J124" i="56"/>
  <c r="J120" i="81"/>
  <c r="J126" i="44"/>
  <c r="J128" i="32"/>
  <c r="J128" i="71"/>
  <c r="J121" i="79"/>
  <c r="J121" i="77"/>
  <c r="J120" i="85"/>
  <c r="J119" i="87"/>
  <c r="J120" i="101"/>
  <c r="J113" i="13"/>
  <c r="D115" i="13"/>
  <c r="G114" i="13"/>
  <c r="E115" i="13"/>
  <c r="J123" i="62"/>
  <c r="J119" i="90"/>
  <c r="J129" i="29"/>
  <c r="J124" i="58"/>
  <c r="J127" i="17"/>
  <c r="J123" i="59"/>
  <c r="J123" i="64"/>
  <c r="J120" i="83"/>
  <c r="J126" i="42"/>
  <c r="J127" i="19"/>
  <c r="J128" i="24"/>
  <c r="J129" i="27"/>
  <c r="J130" i="28"/>
  <c r="J128" i="23"/>
  <c r="J124" i="46"/>
  <c r="J124" i="54"/>
  <c r="J123" i="63"/>
  <c r="J129" i="69"/>
  <c r="J129" i="70"/>
  <c r="J127" i="34"/>
  <c r="D128" i="74"/>
  <c r="G127" i="74"/>
  <c r="E128" i="74"/>
  <c r="G127" i="41"/>
  <c r="D128" i="41"/>
  <c r="E128" i="41"/>
  <c r="J126" i="74"/>
  <c r="J120" i="82"/>
  <c r="H118" i="93"/>
  <c r="I118" i="93"/>
  <c r="H118" i="97"/>
  <c r="I118" i="97"/>
  <c r="J119" i="88"/>
  <c r="G129" i="24"/>
  <c r="D130" i="24"/>
  <c r="E130" i="24"/>
  <c r="G121" i="86"/>
  <c r="D122" i="86"/>
  <c r="E122" i="86"/>
  <c r="I117" i="99"/>
  <c r="H117" i="99"/>
  <c r="F128" i="20"/>
  <c r="B128" i="20"/>
  <c r="G122" i="77"/>
  <c r="D123" i="77"/>
  <c r="E123" i="77"/>
  <c r="G120" i="84"/>
  <c r="D121" i="84"/>
  <c r="E121" i="84"/>
  <c r="J120" i="86"/>
  <c r="D115" i="102"/>
  <c r="B115" i="102" s="1"/>
  <c r="G114" i="102"/>
  <c r="E115" i="102"/>
  <c r="I120" i="96"/>
  <c r="H120" i="96"/>
  <c r="J122" i="68"/>
  <c r="G125" i="53"/>
  <c r="D126" i="53"/>
  <c r="E126" i="53"/>
  <c r="D123" i="78"/>
  <c r="G122" i="78"/>
  <c r="E123" i="78"/>
  <c r="D126" i="46"/>
  <c r="G125" i="46"/>
  <c r="E126" i="46"/>
  <c r="G121" i="83"/>
  <c r="D122" i="83"/>
  <c r="E122" i="83"/>
  <c r="D128" i="73"/>
  <c r="G127" i="73"/>
  <c r="E128" i="73"/>
  <c r="B119" i="93"/>
  <c r="F119" i="93"/>
  <c r="J124" i="72"/>
  <c r="B118" i="99"/>
  <c r="F118" i="99"/>
  <c r="J127" i="22"/>
  <c r="G121" i="80"/>
  <c r="D122" i="80"/>
  <c r="E122" i="80"/>
  <c r="D121" i="90"/>
  <c r="G120" i="90"/>
  <c r="E121" i="90"/>
  <c r="J121" i="76"/>
  <c r="D126" i="57"/>
  <c r="G125" i="57"/>
  <c r="E126" i="57"/>
  <c r="D128" i="44"/>
  <c r="G127" i="44"/>
  <c r="E128" i="44"/>
  <c r="J127" i="3"/>
  <c r="J122" i="65"/>
  <c r="D131" i="27"/>
  <c r="G130" i="27"/>
  <c r="E131" i="27"/>
  <c r="G127" i="39"/>
  <c r="D128" i="39"/>
  <c r="E128" i="39"/>
  <c r="G124" i="59"/>
  <c r="D125" i="59"/>
  <c r="E125" i="59"/>
  <c r="B129" i="31"/>
  <c r="F129" i="31"/>
  <c r="D127" i="45"/>
  <c r="G126" i="45"/>
  <c r="E127" i="45"/>
  <c r="B119" i="95"/>
  <c r="F119" i="95"/>
  <c r="J126" i="39"/>
  <c r="J127" i="21"/>
  <c r="J120" i="80"/>
  <c r="D125" i="62"/>
  <c r="G124" i="62"/>
  <c r="E125" i="62"/>
  <c r="D125" i="64"/>
  <c r="G124" i="64"/>
  <c r="E125" i="64"/>
  <c r="G125" i="54"/>
  <c r="D126" i="54"/>
  <c r="E126" i="54"/>
  <c r="D129" i="17"/>
  <c r="G128" i="17"/>
  <c r="E129" i="17"/>
  <c r="D122" i="81"/>
  <c r="G121" i="81"/>
  <c r="E122" i="81"/>
  <c r="D125" i="63"/>
  <c r="G124" i="63"/>
  <c r="E125" i="63"/>
  <c r="G120" i="89"/>
  <c r="D121" i="89"/>
  <c r="E121" i="89"/>
  <c r="D131" i="69"/>
  <c r="G130" i="69"/>
  <c r="E131" i="69"/>
  <c r="D129" i="21"/>
  <c r="G128" i="21"/>
  <c r="E129" i="21"/>
  <c r="G125" i="56"/>
  <c r="D126" i="56"/>
  <c r="E126" i="56"/>
  <c r="J124" i="57"/>
  <c r="J119" i="91"/>
  <c r="J122" i="66"/>
  <c r="D121" i="88"/>
  <c r="G120" i="88"/>
  <c r="E121" i="88"/>
  <c r="D121" i="87"/>
  <c r="G120" i="87"/>
  <c r="E121" i="87"/>
  <c r="G129" i="32"/>
  <c r="D130" i="32"/>
  <c r="E130" i="32"/>
  <c r="D126" i="72"/>
  <c r="G125" i="72"/>
  <c r="E126" i="72"/>
  <c r="D124" i="66"/>
  <c r="G123" i="66"/>
  <c r="E124" i="66"/>
  <c r="G128" i="3"/>
  <c r="D129" i="3"/>
  <c r="E129" i="3"/>
  <c r="H128" i="31"/>
  <c r="I128" i="31"/>
  <c r="J124" i="53"/>
  <c r="D126" i="55"/>
  <c r="G125" i="55"/>
  <c r="E126" i="55"/>
  <c r="G130" i="29"/>
  <c r="D131" i="29"/>
  <c r="E131" i="29"/>
  <c r="H118" i="95"/>
  <c r="I118" i="95"/>
  <c r="G122" i="75"/>
  <c r="D123" i="75"/>
  <c r="E123" i="75"/>
  <c r="J124" i="55"/>
  <c r="J122" i="67"/>
  <c r="J125" i="45"/>
  <c r="D126" i="58"/>
  <c r="G125" i="58"/>
  <c r="E126" i="58"/>
  <c r="G120" i="92"/>
  <c r="D121" i="92"/>
  <c r="E121" i="92"/>
  <c r="D119" i="98"/>
  <c r="G118" i="98"/>
  <c r="E119" i="98"/>
  <c r="G122" i="79"/>
  <c r="D123" i="79"/>
  <c r="E123" i="79"/>
  <c r="D131" i="30"/>
  <c r="G130" i="30"/>
  <c r="E131" i="30"/>
  <c r="H123" i="61"/>
  <c r="I123" i="61"/>
  <c r="D129" i="22"/>
  <c r="G128" i="22"/>
  <c r="E129" i="22"/>
  <c r="D129" i="19"/>
  <c r="G128" i="19"/>
  <c r="E129" i="19"/>
  <c r="G123" i="65"/>
  <c r="D124" i="65"/>
  <c r="E124" i="65"/>
  <c r="G120" i="94"/>
  <c r="D121" i="94"/>
  <c r="E121" i="94"/>
  <c r="D128" i="43"/>
  <c r="G127" i="43"/>
  <c r="E128" i="43"/>
  <c r="D131" i="70"/>
  <c r="G130" i="70"/>
  <c r="E131" i="70"/>
  <c r="I123" i="60"/>
  <c r="H123" i="60"/>
  <c r="B119" i="97"/>
  <c r="F119" i="97"/>
  <c r="F121" i="96"/>
  <c r="B121" i="96"/>
  <c r="G121" i="85"/>
  <c r="D122" i="85"/>
  <c r="E122" i="85"/>
  <c r="D124" i="68"/>
  <c r="G123" i="68"/>
  <c r="E124" i="68"/>
  <c r="D129" i="34"/>
  <c r="G128" i="34"/>
  <c r="E129" i="34"/>
  <c r="F128" i="18"/>
  <c r="B128" i="18"/>
  <c r="J119" i="89"/>
  <c r="H127" i="18"/>
  <c r="I127" i="18"/>
  <c r="G123" i="67"/>
  <c r="D124" i="67"/>
  <c r="E124" i="67"/>
  <c r="J121" i="78"/>
  <c r="J121" i="75"/>
  <c r="J126" i="41"/>
  <c r="J113" i="102"/>
  <c r="F124" i="60"/>
  <c r="B124" i="60"/>
  <c r="D121" i="91"/>
  <c r="G120" i="91"/>
  <c r="E121" i="91"/>
  <c r="J117" i="98"/>
  <c r="J117" i="97"/>
  <c r="G127" i="42"/>
  <c r="D128" i="42"/>
  <c r="E128" i="42"/>
  <c r="J126" i="43"/>
  <c r="J119" i="84"/>
  <c r="J126" i="73"/>
  <c r="B124" i="61"/>
  <c r="F124" i="61"/>
  <c r="D130" i="71"/>
  <c r="G129" i="71"/>
  <c r="E130" i="71"/>
  <c r="G122" i="76"/>
  <c r="D123" i="76"/>
  <c r="E123" i="76"/>
  <c r="G121" i="82"/>
  <c r="D122" i="82"/>
  <c r="E122" i="82"/>
  <c r="G121" i="101"/>
  <c r="D122" i="101"/>
  <c r="E122" i="101"/>
  <c r="D132" i="28"/>
  <c r="G131" i="28"/>
  <c r="E132" i="28"/>
  <c r="G129" i="23"/>
  <c r="D130" i="23"/>
  <c r="E130" i="23"/>
  <c r="J119" i="96"/>
  <c r="H127" i="20"/>
  <c r="I127" i="20"/>
  <c r="J129" i="30"/>
  <c r="J119" i="92"/>
  <c r="J119" i="94"/>
  <c r="J118" i="93" l="1"/>
  <c r="I114" i="13"/>
  <c r="H114" i="13"/>
  <c r="F115" i="13"/>
  <c r="B115" i="13"/>
  <c r="J127" i="18"/>
  <c r="J123" i="60"/>
  <c r="J118" i="95"/>
  <c r="J120" i="96"/>
  <c r="J117" i="99"/>
  <c r="B129" i="34"/>
  <c r="F129" i="34"/>
  <c r="D122" i="96"/>
  <c r="G121" i="96"/>
  <c r="E122" i="96"/>
  <c r="H129" i="23"/>
  <c r="I129" i="23"/>
  <c r="F122" i="82"/>
  <c r="B122" i="82"/>
  <c r="G124" i="61"/>
  <c r="D125" i="61"/>
  <c r="E125" i="61"/>
  <c r="B124" i="68"/>
  <c r="F124" i="68"/>
  <c r="F129" i="19"/>
  <c r="B129" i="19"/>
  <c r="B131" i="30"/>
  <c r="F131" i="30"/>
  <c r="F121" i="92"/>
  <c r="B121" i="92"/>
  <c r="I128" i="3"/>
  <c r="H128" i="3"/>
  <c r="B130" i="32"/>
  <c r="F130" i="32"/>
  <c r="B129" i="21"/>
  <c r="F129" i="21"/>
  <c r="H124" i="63"/>
  <c r="I124" i="63"/>
  <c r="F125" i="62"/>
  <c r="B125" i="62"/>
  <c r="F127" i="45"/>
  <c r="B127" i="45"/>
  <c r="I127" i="39"/>
  <c r="H127" i="39"/>
  <c r="B122" i="83"/>
  <c r="F122" i="83"/>
  <c r="F130" i="24"/>
  <c r="B130" i="24"/>
  <c r="D129" i="20"/>
  <c r="G128" i="20"/>
  <c r="E129" i="20"/>
  <c r="H129" i="24"/>
  <c r="I129" i="24"/>
  <c r="G128" i="18"/>
  <c r="D129" i="18"/>
  <c r="E129" i="18"/>
  <c r="B122" i="85"/>
  <c r="F122" i="85"/>
  <c r="H120" i="94"/>
  <c r="I120" i="94"/>
  <c r="H128" i="22"/>
  <c r="I128" i="22"/>
  <c r="B123" i="79"/>
  <c r="F123" i="79"/>
  <c r="I122" i="75"/>
  <c r="H122" i="75"/>
  <c r="F126" i="55"/>
  <c r="B126" i="55"/>
  <c r="I123" i="66"/>
  <c r="H123" i="66"/>
  <c r="H130" i="69"/>
  <c r="I130" i="69"/>
  <c r="H125" i="54"/>
  <c r="I125" i="54"/>
  <c r="H130" i="27"/>
  <c r="I130" i="27"/>
  <c r="I127" i="44"/>
  <c r="H127" i="44"/>
  <c r="B121" i="90"/>
  <c r="F121" i="90"/>
  <c r="D120" i="93"/>
  <c r="G119" i="93"/>
  <c r="E120" i="93"/>
  <c r="I125" i="53"/>
  <c r="H125" i="53"/>
  <c r="I121" i="82"/>
  <c r="H121" i="82"/>
  <c r="B121" i="94"/>
  <c r="F121" i="94"/>
  <c r="H125" i="55"/>
  <c r="I125" i="55"/>
  <c r="B125" i="63"/>
  <c r="F125" i="63"/>
  <c r="F126" i="53"/>
  <c r="B126" i="53"/>
  <c r="H131" i="28"/>
  <c r="I131" i="28"/>
  <c r="J127" i="20"/>
  <c r="B132" i="28"/>
  <c r="F132" i="28"/>
  <c r="F123" i="76"/>
  <c r="B123" i="76"/>
  <c r="I120" i="91"/>
  <c r="H120" i="91"/>
  <c r="I121" i="85"/>
  <c r="H121" i="85"/>
  <c r="I130" i="70"/>
  <c r="H130" i="70"/>
  <c r="F129" i="22"/>
  <c r="B129" i="22"/>
  <c r="I122" i="79"/>
  <c r="H122" i="79"/>
  <c r="I125" i="58"/>
  <c r="H125" i="58"/>
  <c r="B124" i="66"/>
  <c r="F124" i="66"/>
  <c r="I120" i="87"/>
  <c r="H120" i="87"/>
  <c r="F131" i="69"/>
  <c r="B131" i="69"/>
  <c r="I121" i="81"/>
  <c r="H121" i="81"/>
  <c r="B131" i="27"/>
  <c r="F131" i="27"/>
  <c r="B128" i="44"/>
  <c r="F128" i="44"/>
  <c r="H125" i="46"/>
  <c r="I125" i="46"/>
  <c r="B121" i="84"/>
  <c r="F121" i="84"/>
  <c r="B128" i="41"/>
  <c r="F128" i="41"/>
  <c r="B123" i="75"/>
  <c r="F123" i="75"/>
  <c r="I129" i="32"/>
  <c r="H129" i="32"/>
  <c r="D130" i="31"/>
  <c r="G129" i="31"/>
  <c r="E130" i="31"/>
  <c r="I122" i="76"/>
  <c r="H122" i="76"/>
  <c r="B121" i="91"/>
  <c r="F121" i="91"/>
  <c r="B124" i="67"/>
  <c r="F124" i="67"/>
  <c r="H128" i="34"/>
  <c r="I128" i="34"/>
  <c r="F131" i="70"/>
  <c r="B131" i="70"/>
  <c r="B124" i="65"/>
  <c r="F124" i="65"/>
  <c r="J123" i="61"/>
  <c r="B126" i="58"/>
  <c r="F126" i="58"/>
  <c r="J128" i="31"/>
  <c r="B121" i="87"/>
  <c r="F121" i="87"/>
  <c r="F126" i="56"/>
  <c r="B126" i="56"/>
  <c r="F122" i="81"/>
  <c r="B122" i="81"/>
  <c r="H124" i="64"/>
  <c r="I124" i="64"/>
  <c r="G119" i="95"/>
  <c r="D120" i="95"/>
  <c r="E120" i="95"/>
  <c r="F125" i="59"/>
  <c r="B125" i="59"/>
  <c r="B122" i="80"/>
  <c r="F122" i="80"/>
  <c r="F126" i="46"/>
  <c r="B126" i="46"/>
  <c r="I120" i="84"/>
  <c r="H120" i="84"/>
  <c r="J118" i="97"/>
  <c r="H127" i="41"/>
  <c r="I127" i="41"/>
  <c r="B126" i="54"/>
  <c r="F126" i="54"/>
  <c r="H120" i="90"/>
  <c r="I120" i="90"/>
  <c r="F122" i="101"/>
  <c r="B122" i="101"/>
  <c r="I123" i="67"/>
  <c r="H123" i="67"/>
  <c r="H118" i="98"/>
  <c r="I118" i="98"/>
  <c r="F125" i="64"/>
  <c r="B125" i="64"/>
  <c r="H124" i="59"/>
  <c r="I124" i="59"/>
  <c r="I125" i="57"/>
  <c r="H125" i="57"/>
  <c r="H121" i="80"/>
  <c r="I121" i="80"/>
  <c r="B122" i="86"/>
  <c r="F122" i="86"/>
  <c r="H125" i="72"/>
  <c r="I125" i="72"/>
  <c r="B121" i="89"/>
  <c r="F121" i="89"/>
  <c r="H127" i="73"/>
  <c r="I127" i="73"/>
  <c r="H121" i="101"/>
  <c r="I121" i="101"/>
  <c r="H129" i="71"/>
  <c r="I129" i="71"/>
  <c r="B128" i="42"/>
  <c r="F128" i="42"/>
  <c r="G124" i="60"/>
  <c r="D125" i="60"/>
  <c r="E125" i="60"/>
  <c r="D120" i="97"/>
  <c r="G119" i="97"/>
  <c r="E120" i="97"/>
  <c r="H127" i="43"/>
  <c r="I127" i="43"/>
  <c r="F119" i="98"/>
  <c r="B119" i="98"/>
  <c r="F131" i="29"/>
  <c r="B131" i="29"/>
  <c r="B126" i="72"/>
  <c r="F126" i="72"/>
  <c r="I120" i="88"/>
  <c r="H120" i="88"/>
  <c r="H120" i="89"/>
  <c r="I120" i="89"/>
  <c r="H128" i="17"/>
  <c r="I128" i="17"/>
  <c r="F126" i="57"/>
  <c r="B126" i="57"/>
  <c r="B128" i="73"/>
  <c r="F128" i="73"/>
  <c r="I122" i="78"/>
  <c r="H122" i="78"/>
  <c r="F115" i="102"/>
  <c r="F123" i="77"/>
  <c r="B123" i="77"/>
  <c r="H121" i="86"/>
  <c r="I121" i="86"/>
  <c r="I127" i="74"/>
  <c r="H127" i="74"/>
  <c r="H120" i="92"/>
  <c r="I120" i="92"/>
  <c r="I121" i="83"/>
  <c r="H121" i="83"/>
  <c r="I123" i="65"/>
  <c r="H123" i="65"/>
  <c r="I125" i="56"/>
  <c r="H125" i="56"/>
  <c r="F130" i="23"/>
  <c r="B130" i="23"/>
  <c r="F130" i="71"/>
  <c r="B130" i="71"/>
  <c r="H127" i="42"/>
  <c r="I127" i="42"/>
  <c r="H123" i="68"/>
  <c r="I123" i="68"/>
  <c r="B128" i="43"/>
  <c r="F128" i="43"/>
  <c r="H128" i="19"/>
  <c r="I128" i="19"/>
  <c r="H130" i="30"/>
  <c r="I130" i="30"/>
  <c r="I130" i="29"/>
  <c r="H130" i="29"/>
  <c r="B129" i="3"/>
  <c r="F129" i="3"/>
  <c r="F121" i="88"/>
  <c r="B121" i="88"/>
  <c r="I128" i="21"/>
  <c r="H128" i="21"/>
  <c r="B129" i="17"/>
  <c r="F129" i="17"/>
  <c r="I124" i="62"/>
  <c r="H124" i="62"/>
  <c r="I126" i="45"/>
  <c r="H126" i="45"/>
  <c r="F128" i="39"/>
  <c r="B128" i="39"/>
  <c r="D119" i="99"/>
  <c r="G118" i="99"/>
  <c r="E119" i="99"/>
  <c r="F123" i="78"/>
  <c r="B123" i="78"/>
  <c r="H114" i="102"/>
  <c r="I114" i="102"/>
  <c r="I122" i="77"/>
  <c r="H122" i="77"/>
  <c r="B128" i="74"/>
  <c r="F128" i="74"/>
  <c r="J127" i="43" l="1"/>
  <c r="J129" i="23"/>
  <c r="J130" i="27"/>
  <c r="J128" i="3"/>
  <c r="E116" i="13"/>
  <c r="D116" i="13"/>
  <c r="G115" i="13"/>
  <c r="J114" i="13"/>
  <c r="J130" i="30"/>
  <c r="J127" i="42"/>
  <c r="J121" i="86"/>
  <c r="J127" i="41"/>
  <c r="J128" i="22"/>
  <c r="J124" i="63"/>
  <c r="J127" i="39"/>
  <c r="J124" i="62"/>
  <c r="J114" i="102"/>
  <c r="J125" i="54"/>
  <c r="J125" i="58"/>
  <c r="J121" i="85"/>
  <c r="J128" i="19"/>
  <c r="J129" i="71"/>
  <c r="J125" i="72"/>
  <c r="J124" i="59"/>
  <c r="J129" i="32"/>
  <c r="J122" i="79"/>
  <c r="J120" i="91"/>
  <c r="J120" i="92"/>
  <c r="J122" i="76"/>
  <c r="J125" i="53"/>
  <c r="J120" i="94"/>
  <c r="J122" i="77"/>
  <c r="J123" i="68"/>
  <c r="J122" i="78"/>
  <c r="J120" i="89"/>
  <c r="J127" i="73"/>
  <c r="J121" i="80"/>
  <c r="J118" i="98"/>
  <c r="J124" i="64"/>
  <c r="J128" i="34"/>
  <c r="J125" i="55"/>
  <c r="D125" i="65"/>
  <c r="G124" i="65"/>
  <c r="E125" i="65"/>
  <c r="G129" i="17"/>
  <c r="D130" i="17"/>
  <c r="E130" i="17"/>
  <c r="B125" i="60"/>
  <c r="F125" i="60"/>
  <c r="G126" i="54"/>
  <c r="D127" i="54"/>
  <c r="E127" i="54"/>
  <c r="J130" i="29"/>
  <c r="J125" i="56"/>
  <c r="J127" i="74"/>
  <c r="D129" i="73"/>
  <c r="G128" i="73"/>
  <c r="E129" i="73"/>
  <c r="D120" i="98"/>
  <c r="G119" i="98"/>
  <c r="E120" i="98"/>
  <c r="H124" i="60"/>
  <c r="I124" i="60"/>
  <c r="G122" i="80"/>
  <c r="D123" i="80"/>
  <c r="E123" i="80"/>
  <c r="G126" i="58"/>
  <c r="D127" i="58"/>
  <c r="E127" i="58"/>
  <c r="H129" i="31"/>
  <c r="I129" i="31"/>
  <c r="G121" i="84"/>
  <c r="D122" i="84"/>
  <c r="E122" i="84"/>
  <c r="I119" i="93"/>
  <c r="H119" i="93"/>
  <c r="D123" i="85"/>
  <c r="G122" i="85"/>
  <c r="E123" i="85"/>
  <c r="H128" i="20"/>
  <c r="I128" i="20"/>
  <c r="D131" i="32"/>
  <c r="G130" i="32"/>
  <c r="E131" i="32"/>
  <c r="G122" i="82"/>
  <c r="D123" i="82"/>
  <c r="E123" i="82"/>
  <c r="D127" i="57"/>
  <c r="G126" i="57"/>
  <c r="E127" i="57"/>
  <c r="D126" i="59"/>
  <c r="G125" i="59"/>
  <c r="E126" i="59"/>
  <c r="D122" i="91"/>
  <c r="G121" i="91"/>
  <c r="E122" i="91"/>
  <c r="D129" i="42"/>
  <c r="G128" i="42"/>
  <c r="E129" i="42"/>
  <c r="G121" i="89"/>
  <c r="D122" i="89"/>
  <c r="E122" i="89"/>
  <c r="G124" i="67"/>
  <c r="D125" i="67"/>
  <c r="E125" i="67"/>
  <c r="B130" i="31"/>
  <c r="F130" i="31"/>
  <c r="J121" i="81"/>
  <c r="J131" i="28"/>
  <c r="G121" i="94"/>
  <c r="D122" i="94"/>
  <c r="E122" i="94"/>
  <c r="B120" i="93"/>
  <c r="F120" i="93"/>
  <c r="J122" i="75"/>
  <c r="B129" i="20"/>
  <c r="F129" i="20"/>
  <c r="D128" i="45"/>
  <c r="G127" i="45"/>
  <c r="E128" i="45"/>
  <c r="D130" i="19"/>
  <c r="G129" i="19"/>
  <c r="E130" i="19"/>
  <c r="G128" i="74"/>
  <c r="D129" i="74"/>
  <c r="E129" i="74"/>
  <c r="D127" i="46"/>
  <c r="G126" i="46"/>
  <c r="E127" i="46"/>
  <c r="D129" i="39"/>
  <c r="G128" i="39"/>
  <c r="E129" i="39"/>
  <c r="J128" i="21"/>
  <c r="J123" i="65"/>
  <c r="J120" i="88"/>
  <c r="J125" i="57"/>
  <c r="J123" i="67"/>
  <c r="G122" i="81"/>
  <c r="D123" i="81"/>
  <c r="E123" i="81"/>
  <c r="J125" i="46"/>
  <c r="G121" i="90"/>
  <c r="D122" i="90"/>
  <c r="E122" i="90"/>
  <c r="J130" i="69"/>
  <c r="D124" i="79"/>
  <c r="G123" i="79"/>
  <c r="E124" i="79"/>
  <c r="G124" i="68"/>
  <c r="D125" i="68"/>
  <c r="E125" i="68"/>
  <c r="F129" i="18"/>
  <c r="B129" i="18"/>
  <c r="D131" i="24"/>
  <c r="G130" i="24"/>
  <c r="E131" i="24"/>
  <c r="G125" i="62"/>
  <c r="D126" i="62"/>
  <c r="E126" i="62"/>
  <c r="G131" i="69"/>
  <c r="D132" i="69"/>
  <c r="E132" i="69"/>
  <c r="D122" i="88"/>
  <c r="G121" i="88"/>
  <c r="E122" i="88"/>
  <c r="G130" i="71"/>
  <c r="D131" i="71"/>
  <c r="E131" i="71"/>
  <c r="D123" i="101"/>
  <c r="G122" i="101"/>
  <c r="E123" i="101"/>
  <c r="D127" i="56"/>
  <c r="G126" i="56"/>
  <c r="E127" i="56"/>
  <c r="G123" i="75"/>
  <c r="D124" i="75"/>
  <c r="E124" i="75"/>
  <c r="D129" i="44"/>
  <c r="G128" i="44"/>
  <c r="E129" i="44"/>
  <c r="D127" i="53"/>
  <c r="G126" i="53"/>
  <c r="E127" i="53"/>
  <c r="J121" i="82"/>
  <c r="I128" i="18"/>
  <c r="H128" i="18"/>
  <c r="G122" i="83"/>
  <c r="D123" i="83"/>
  <c r="E123" i="83"/>
  <c r="H121" i="96"/>
  <c r="I121" i="96"/>
  <c r="D124" i="78"/>
  <c r="G123" i="78"/>
  <c r="E124" i="78"/>
  <c r="G126" i="72"/>
  <c r="D127" i="72"/>
  <c r="E127" i="72"/>
  <c r="J126" i="45"/>
  <c r="J121" i="83"/>
  <c r="D124" i="77"/>
  <c r="G123" i="77"/>
  <c r="E124" i="77"/>
  <c r="I119" i="97"/>
  <c r="H119" i="97"/>
  <c r="I118" i="99"/>
  <c r="H118" i="99"/>
  <c r="G129" i="3"/>
  <c r="D130" i="3"/>
  <c r="E130" i="3"/>
  <c r="D129" i="43"/>
  <c r="G128" i="43"/>
  <c r="E129" i="43"/>
  <c r="G115" i="102"/>
  <c r="D116" i="102"/>
  <c r="E116" i="102"/>
  <c r="J128" i="17"/>
  <c r="B120" i="97"/>
  <c r="F120" i="97"/>
  <c r="J121" i="101"/>
  <c r="D123" i="86"/>
  <c r="G122" i="86"/>
  <c r="E123" i="86"/>
  <c r="J120" i="90"/>
  <c r="J120" i="84"/>
  <c r="B120" i="95"/>
  <c r="F120" i="95"/>
  <c r="D122" i="87"/>
  <c r="G121" i="87"/>
  <c r="E122" i="87"/>
  <c r="J120" i="87"/>
  <c r="G129" i="22"/>
  <c r="D130" i="22"/>
  <c r="E130" i="22"/>
  <c r="D124" i="76"/>
  <c r="G123" i="76"/>
  <c r="E124" i="76"/>
  <c r="G125" i="63"/>
  <c r="D126" i="63"/>
  <c r="E126" i="63"/>
  <c r="J127" i="44"/>
  <c r="J123" i="66"/>
  <c r="J129" i="24"/>
  <c r="G121" i="92"/>
  <c r="D122" i="92"/>
  <c r="E122" i="92"/>
  <c r="B125" i="61"/>
  <c r="F125" i="61"/>
  <c r="B122" i="96"/>
  <c r="F122" i="96"/>
  <c r="B119" i="99"/>
  <c r="F119" i="99"/>
  <c r="G130" i="23"/>
  <c r="D131" i="23"/>
  <c r="E131" i="23"/>
  <c r="G131" i="29"/>
  <c r="D132" i="29"/>
  <c r="E132" i="29"/>
  <c r="D126" i="64"/>
  <c r="G125" i="64"/>
  <c r="E126" i="64"/>
  <c r="H119" i="95"/>
  <c r="I119" i="95"/>
  <c r="G131" i="70"/>
  <c r="D132" i="70"/>
  <c r="E132" i="70"/>
  <c r="G128" i="41"/>
  <c r="D129" i="41"/>
  <c r="E129" i="41"/>
  <c r="D132" i="27"/>
  <c r="G131" i="27"/>
  <c r="E132" i="27"/>
  <c r="G124" i="66"/>
  <c r="D125" i="66"/>
  <c r="E125" i="66"/>
  <c r="D133" i="28"/>
  <c r="G132" i="28"/>
  <c r="E133" i="28"/>
  <c r="G129" i="21"/>
  <c r="D130" i="21"/>
  <c r="E130" i="21"/>
  <c r="D132" i="30"/>
  <c r="G131" i="30"/>
  <c r="E132" i="30"/>
  <c r="H124" i="61"/>
  <c r="I124" i="61"/>
  <c r="D130" i="34"/>
  <c r="G129" i="34"/>
  <c r="E130" i="34"/>
  <c r="J130" i="70"/>
  <c r="D127" i="55"/>
  <c r="G126" i="55"/>
  <c r="E127" i="55"/>
  <c r="H115" i="13" l="1"/>
  <c r="I115" i="13"/>
  <c r="B116" i="13"/>
  <c r="F116" i="13"/>
  <c r="J121" i="96"/>
  <c r="J118" i="99"/>
  <c r="J119" i="93"/>
  <c r="J124" i="61"/>
  <c r="F132" i="27"/>
  <c r="B132" i="27"/>
  <c r="F131" i="23"/>
  <c r="B131" i="23"/>
  <c r="I125" i="63"/>
  <c r="H125" i="63"/>
  <c r="I122" i="86"/>
  <c r="H122" i="86"/>
  <c r="H115" i="102"/>
  <c r="I115" i="102"/>
  <c r="B124" i="77"/>
  <c r="F124" i="77"/>
  <c r="B124" i="78"/>
  <c r="F124" i="78"/>
  <c r="F124" i="75"/>
  <c r="B124" i="75"/>
  <c r="I131" i="69"/>
  <c r="H131" i="69"/>
  <c r="D130" i="18"/>
  <c r="G129" i="18"/>
  <c r="E130" i="18"/>
  <c r="F130" i="19"/>
  <c r="B130" i="19"/>
  <c r="B129" i="42"/>
  <c r="F129" i="42"/>
  <c r="I126" i="57"/>
  <c r="H126" i="57"/>
  <c r="J128" i="20"/>
  <c r="F122" i="84"/>
  <c r="B122" i="84"/>
  <c r="B123" i="80"/>
  <c r="F123" i="80"/>
  <c r="H128" i="73"/>
  <c r="I128" i="73"/>
  <c r="G125" i="60"/>
  <c r="D126" i="60"/>
  <c r="E126" i="60"/>
  <c r="B125" i="67"/>
  <c r="F125" i="67"/>
  <c r="F127" i="57"/>
  <c r="B127" i="57"/>
  <c r="H121" i="84"/>
  <c r="I121" i="84"/>
  <c r="I122" i="80"/>
  <c r="H122" i="80"/>
  <c r="F129" i="73"/>
  <c r="B129" i="73"/>
  <c r="H130" i="23"/>
  <c r="I130" i="23"/>
  <c r="B131" i="71"/>
  <c r="F131" i="71"/>
  <c r="I121" i="92"/>
  <c r="H121" i="92"/>
  <c r="H128" i="43"/>
  <c r="I128" i="43"/>
  <c r="F126" i="62"/>
  <c r="B126" i="62"/>
  <c r="B125" i="68"/>
  <c r="F125" i="68"/>
  <c r="I121" i="90"/>
  <c r="H121" i="90"/>
  <c r="F127" i="46"/>
  <c r="B127" i="46"/>
  <c r="H127" i="45"/>
  <c r="I127" i="45"/>
  <c r="F122" i="94"/>
  <c r="B122" i="94"/>
  <c r="I124" i="67"/>
  <c r="H124" i="67"/>
  <c r="I121" i="91"/>
  <c r="H121" i="91"/>
  <c r="J129" i="31"/>
  <c r="J124" i="60"/>
  <c r="I126" i="55"/>
  <c r="H126" i="55"/>
  <c r="B129" i="41"/>
  <c r="F129" i="41"/>
  <c r="H128" i="41"/>
  <c r="I128" i="41"/>
  <c r="F124" i="76"/>
  <c r="B124" i="76"/>
  <c r="I124" i="68"/>
  <c r="H124" i="68"/>
  <c r="F128" i="45"/>
  <c r="B128" i="45"/>
  <c r="H121" i="94"/>
  <c r="I121" i="94"/>
  <c r="B122" i="91"/>
  <c r="F122" i="91"/>
  <c r="F123" i="82"/>
  <c r="B123" i="82"/>
  <c r="H122" i="85"/>
  <c r="I122" i="85"/>
  <c r="F130" i="17"/>
  <c r="B130" i="17"/>
  <c r="I132" i="28"/>
  <c r="H132" i="28"/>
  <c r="H126" i="53"/>
  <c r="I126" i="53"/>
  <c r="F129" i="43"/>
  <c r="B129" i="43"/>
  <c r="F127" i="53"/>
  <c r="B127" i="53"/>
  <c r="F125" i="66"/>
  <c r="B125" i="66"/>
  <c r="G122" i="96"/>
  <c r="D123" i="96"/>
  <c r="E123" i="96"/>
  <c r="F127" i="72"/>
  <c r="B127" i="72"/>
  <c r="F123" i="83"/>
  <c r="B123" i="83"/>
  <c r="B127" i="56"/>
  <c r="F127" i="56"/>
  <c r="I121" i="88"/>
  <c r="H121" i="88"/>
  <c r="B129" i="74"/>
  <c r="F129" i="74"/>
  <c r="D130" i="20"/>
  <c r="G129" i="20"/>
  <c r="E130" i="20"/>
  <c r="B122" i="89"/>
  <c r="F122" i="89"/>
  <c r="I122" i="82"/>
  <c r="H122" i="82"/>
  <c r="F123" i="85"/>
  <c r="B123" i="85"/>
  <c r="I129" i="17"/>
  <c r="H129" i="17"/>
  <c r="H121" i="87"/>
  <c r="I121" i="87"/>
  <c r="I123" i="75"/>
  <c r="H123" i="75"/>
  <c r="F122" i="90"/>
  <c r="B122" i="90"/>
  <c r="I125" i="64"/>
  <c r="H125" i="64"/>
  <c r="I130" i="71"/>
  <c r="H130" i="71"/>
  <c r="H131" i="30"/>
  <c r="I131" i="30"/>
  <c r="H126" i="56"/>
  <c r="I126" i="56"/>
  <c r="H124" i="66"/>
  <c r="I124" i="66"/>
  <c r="F122" i="88"/>
  <c r="B122" i="88"/>
  <c r="H130" i="24"/>
  <c r="I130" i="24"/>
  <c r="H123" i="79"/>
  <c r="I123" i="79"/>
  <c r="F123" i="81"/>
  <c r="B123" i="81"/>
  <c r="I128" i="39"/>
  <c r="H128" i="39"/>
  <c r="H128" i="74"/>
  <c r="I128" i="74"/>
  <c r="H121" i="89"/>
  <c r="I121" i="89"/>
  <c r="I125" i="59"/>
  <c r="H125" i="59"/>
  <c r="F127" i="58"/>
  <c r="B127" i="58"/>
  <c r="I119" i="98"/>
  <c r="H119" i="98"/>
  <c r="F123" i="86"/>
  <c r="B123" i="86"/>
  <c r="B133" i="28"/>
  <c r="F133" i="28"/>
  <c r="G119" i="99"/>
  <c r="D120" i="99"/>
  <c r="E120" i="99"/>
  <c r="F122" i="87"/>
  <c r="B122" i="87"/>
  <c r="B126" i="64"/>
  <c r="F126" i="64"/>
  <c r="D121" i="95"/>
  <c r="G120" i="95"/>
  <c r="E121" i="95"/>
  <c r="H125" i="62"/>
  <c r="I125" i="62"/>
  <c r="F132" i="70"/>
  <c r="B132" i="70"/>
  <c r="F130" i="22"/>
  <c r="B130" i="22"/>
  <c r="F130" i="3"/>
  <c r="B130" i="3"/>
  <c r="I126" i="72"/>
  <c r="H126" i="72"/>
  <c r="H128" i="44"/>
  <c r="I128" i="44"/>
  <c r="I129" i="34"/>
  <c r="H129" i="34"/>
  <c r="H131" i="29"/>
  <c r="I131" i="29"/>
  <c r="G125" i="61"/>
  <c r="D126" i="61"/>
  <c r="E126" i="61"/>
  <c r="I129" i="22"/>
  <c r="H129" i="22"/>
  <c r="H129" i="3"/>
  <c r="I129" i="3"/>
  <c r="F129" i="44"/>
  <c r="B129" i="44"/>
  <c r="I122" i="101"/>
  <c r="H122" i="101"/>
  <c r="B131" i="24"/>
  <c r="F131" i="24"/>
  <c r="B124" i="79"/>
  <c r="F124" i="79"/>
  <c r="H122" i="81"/>
  <c r="I122" i="81"/>
  <c r="B129" i="39"/>
  <c r="F129" i="39"/>
  <c r="D131" i="31"/>
  <c r="G130" i="31"/>
  <c r="E131" i="31"/>
  <c r="F126" i="59"/>
  <c r="B126" i="59"/>
  <c r="I130" i="32"/>
  <c r="H130" i="32"/>
  <c r="I126" i="58"/>
  <c r="H126" i="58"/>
  <c r="B120" i="98"/>
  <c r="F120" i="98"/>
  <c r="B127" i="54"/>
  <c r="F127" i="54"/>
  <c r="I124" i="65"/>
  <c r="H124" i="65"/>
  <c r="B122" i="92"/>
  <c r="F122" i="92"/>
  <c r="H126" i="46"/>
  <c r="I126" i="46"/>
  <c r="H123" i="76"/>
  <c r="I123" i="76"/>
  <c r="J119" i="97"/>
  <c r="B127" i="55"/>
  <c r="F127" i="55"/>
  <c r="D121" i="97"/>
  <c r="G120" i="97"/>
  <c r="E121" i="97"/>
  <c r="B132" i="30"/>
  <c r="F132" i="30"/>
  <c r="B132" i="29"/>
  <c r="F132" i="29"/>
  <c r="H122" i="83"/>
  <c r="I122" i="83"/>
  <c r="B130" i="21"/>
  <c r="F130" i="21"/>
  <c r="I131" i="70"/>
  <c r="H131" i="70"/>
  <c r="B130" i="34"/>
  <c r="F130" i="34"/>
  <c r="H129" i="21"/>
  <c r="I129" i="21"/>
  <c r="H131" i="27"/>
  <c r="I131" i="27"/>
  <c r="J119" i="95"/>
  <c r="F126" i="63"/>
  <c r="B126" i="63"/>
  <c r="B116" i="102"/>
  <c r="F116" i="102"/>
  <c r="I123" i="77"/>
  <c r="H123" i="77"/>
  <c r="H123" i="78"/>
  <c r="I123" i="78"/>
  <c r="J128" i="18"/>
  <c r="B123" i="101"/>
  <c r="F123" i="101"/>
  <c r="B132" i="69"/>
  <c r="F132" i="69"/>
  <c r="H129" i="19"/>
  <c r="I129" i="19"/>
  <c r="G120" i="93"/>
  <c r="D121" i="93"/>
  <c r="E121" i="93"/>
  <c r="I128" i="42"/>
  <c r="H128" i="42"/>
  <c r="B131" i="32"/>
  <c r="F131" i="32"/>
  <c r="I126" i="54"/>
  <c r="H126" i="54"/>
  <c r="F125" i="65"/>
  <c r="B125" i="65"/>
  <c r="J128" i="39" l="1"/>
  <c r="E117" i="13"/>
  <c r="D117" i="13"/>
  <c r="G116" i="13"/>
  <c r="J115" i="13"/>
  <c r="J129" i="21"/>
  <c r="J122" i="83"/>
  <c r="J128" i="73"/>
  <c r="J115" i="102"/>
  <c r="J121" i="94"/>
  <c r="J128" i="41"/>
  <c r="J128" i="44"/>
  <c r="J126" i="72"/>
  <c r="J119" i="98"/>
  <c r="J131" i="70"/>
  <c r="J129" i="34"/>
  <c r="J125" i="59"/>
  <c r="J121" i="87"/>
  <c r="J121" i="88"/>
  <c r="J121" i="89"/>
  <c r="J123" i="79"/>
  <c r="J126" i="56"/>
  <c r="J128" i="42"/>
  <c r="J122" i="101"/>
  <c r="J130" i="24"/>
  <c r="J124" i="68"/>
  <c r="J126" i="55"/>
  <c r="J132" i="28"/>
  <c r="J122" i="86"/>
  <c r="J122" i="82"/>
  <c r="G131" i="32"/>
  <c r="D132" i="32"/>
  <c r="E132" i="32"/>
  <c r="D127" i="64"/>
  <c r="G126" i="64"/>
  <c r="E127" i="64"/>
  <c r="H120" i="93"/>
  <c r="I120" i="93"/>
  <c r="J123" i="78"/>
  <c r="D127" i="59"/>
  <c r="G126" i="59"/>
  <c r="E127" i="59"/>
  <c r="D125" i="79"/>
  <c r="G124" i="79"/>
  <c r="E125" i="79"/>
  <c r="J129" i="3"/>
  <c r="D131" i="3"/>
  <c r="G130" i="3"/>
  <c r="E131" i="3"/>
  <c r="H120" i="95"/>
  <c r="I120" i="95"/>
  <c r="H119" i="99"/>
  <c r="I119" i="99"/>
  <c r="G127" i="58"/>
  <c r="D128" i="58"/>
  <c r="E128" i="58"/>
  <c r="G122" i="88"/>
  <c r="D123" i="88"/>
  <c r="E123" i="88"/>
  <c r="J131" i="30"/>
  <c r="G127" i="72"/>
  <c r="D128" i="72"/>
  <c r="E128" i="72"/>
  <c r="J128" i="43"/>
  <c r="D126" i="67"/>
  <c r="G125" i="67"/>
  <c r="E126" i="67"/>
  <c r="G124" i="75"/>
  <c r="D125" i="75"/>
  <c r="E125" i="75"/>
  <c r="I120" i="97"/>
  <c r="H120" i="97"/>
  <c r="H130" i="31"/>
  <c r="I130" i="31"/>
  <c r="J126" i="54"/>
  <c r="J129" i="19"/>
  <c r="J131" i="27"/>
  <c r="D131" i="21"/>
  <c r="G130" i="21"/>
  <c r="E131" i="21"/>
  <c r="J126" i="46"/>
  <c r="D121" i="98"/>
  <c r="G120" i="98"/>
  <c r="E121" i="98"/>
  <c r="B121" i="95"/>
  <c r="F121" i="95"/>
  <c r="G133" i="28"/>
  <c r="D134" i="28"/>
  <c r="E134" i="28"/>
  <c r="J124" i="66"/>
  <c r="J123" i="75"/>
  <c r="D128" i="53"/>
  <c r="G127" i="53"/>
  <c r="E128" i="53"/>
  <c r="G130" i="17"/>
  <c r="D131" i="17"/>
  <c r="E131" i="17"/>
  <c r="J121" i="91"/>
  <c r="D128" i="46"/>
  <c r="G127" i="46"/>
  <c r="E128" i="46"/>
  <c r="D130" i="73"/>
  <c r="G129" i="73"/>
  <c r="E130" i="73"/>
  <c r="G130" i="19"/>
  <c r="D131" i="19"/>
  <c r="E131" i="19"/>
  <c r="D125" i="78"/>
  <c r="G124" i="78"/>
  <c r="E125" i="78"/>
  <c r="J122" i="85"/>
  <c r="D130" i="41"/>
  <c r="G129" i="41"/>
  <c r="E130" i="41"/>
  <c r="D123" i="84"/>
  <c r="G122" i="84"/>
  <c r="E123" i="84"/>
  <c r="J125" i="63"/>
  <c r="B121" i="97"/>
  <c r="F121" i="97"/>
  <c r="J130" i="71"/>
  <c r="D128" i="56"/>
  <c r="G127" i="56"/>
  <c r="E128" i="56"/>
  <c r="G129" i="43"/>
  <c r="D130" i="43"/>
  <c r="E130" i="43"/>
  <c r="D129" i="45"/>
  <c r="G128" i="45"/>
  <c r="E129" i="45"/>
  <c r="J124" i="67"/>
  <c r="J121" i="90"/>
  <c r="J121" i="92"/>
  <c r="J122" i="80"/>
  <c r="F126" i="60"/>
  <c r="B126" i="60"/>
  <c r="I129" i="18"/>
  <c r="H129" i="18"/>
  <c r="G124" i="77"/>
  <c r="D125" i="77"/>
  <c r="E125" i="77"/>
  <c r="D123" i="92"/>
  <c r="G122" i="92"/>
  <c r="E123" i="92"/>
  <c r="B131" i="31"/>
  <c r="F131" i="31"/>
  <c r="J129" i="22"/>
  <c r="G116" i="102"/>
  <c r="D117" i="102"/>
  <c r="E117" i="102"/>
  <c r="D128" i="55"/>
  <c r="G127" i="55"/>
  <c r="E128" i="55"/>
  <c r="J126" i="58"/>
  <c r="G129" i="39"/>
  <c r="D130" i="39"/>
  <c r="E130" i="39"/>
  <c r="D133" i="70"/>
  <c r="G132" i="70"/>
  <c r="E133" i="70"/>
  <c r="G123" i="86"/>
  <c r="D124" i="86"/>
  <c r="E124" i="86"/>
  <c r="B123" i="96"/>
  <c r="F123" i="96"/>
  <c r="J126" i="53"/>
  <c r="D126" i="68"/>
  <c r="G125" i="68"/>
  <c r="E126" i="68"/>
  <c r="G131" i="71"/>
  <c r="D132" i="71"/>
  <c r="E132" i="71"/>
  <c r="J121" i="84"/>
  <c r="H125" i="60"/>
  <c r="I125" i="60"/>
  <c r="F130" i="18"/>
  <c r="B130" i="18"/>
  <c r="D132" i="23"/>
  <c r="G131" i="23"/>
  <c r="E132" i="23"/>
  <c r="G130" i="22"/>
  <c r="D131" i="22"/>
  <c r="E131" i="22"/>
  <c r="D124" i="81"/>
  <c r="G123" i="81"/>
  <c r="E124" i="81"/>
  <c r="D124" i="101"/>
  <c r="G123" i="101"/>
  <c r="E124" i="101"/>
  <c r="G130" i="34"/>
  <c r="D131" i="34"/>
  <c r="E131" i="34"/>
  <c r="G132" i="29"/>
  <c r="D133" i="29"/>
  <c r="E133" i="29"/>
  <c r="B126" i="61"/>
  <c r="F126" i="61"/>
  <c r="J125" i="62"/>
  <c r="G122" i="87"/>
  <c r="D123" i="87"/>
  <c r="E123" i="87"/>
  <c r="J128" i="74"/>
  <c r="J125" i="64"/>
  <c r="J129" i="17"/>
  <c r="H129" i="20"/>
  <c r="I129" i="20"/>
  <c r="H122" i="96"/>
  <c r="I122" i="96"/>
  <c r="G123" i="82"/>
  <c r="D124" i="82"/>
  <c r="E124" i="82"/>
  <c r="G122" i="94"/>
  <c r="D123" i="94"/>
  <c r="E123" i="94"/>
  <c r="J126" i="57"/>
  <c r="G131" i="24"/>
  <c r="D132" i="24"/>
  <c r="E132" i="24"/>
  <c r="J124" i="65"/>
  <c r="J130" i="32"/>
  <c r="J122" i="81"/>
  <c r="H125" i="61"/>
  <c r="I125" i="61"/>
  <c r="B130" i="20"/>
  <c r="F130" i="20"/>
  <c r="G123" i="83"/>
  <c r="D124" i="83"/>
  <c r="E124" i="83"/>
  <c r="D123" i="91"/>
  <c r="G122" i="91"/>
  <c r="E123" i="91"/>
  <c r="J127" i="45"/>
  <c r="J130" i="23"/>
  <c r="G129" i="42"/>
  <c r="D130" i="42"/>
  <c r="E130" i="42"/>
  <c r="J131" i="69"/>
  <c r="G132" i="27"/>
  <c r="D133" i="27"/>
  <c r="E133" i="27"/>
  <c r="D123" i="89"/>
  <c r="G122" i="89"/>
  <c r="E123" i="89"/>
  <c r="D133" i="69"/>
  <c r="G132" i="69"/>
  <c r="E133" i="69"/>
  <c r="J123" i="77"/>
  <c r="D126" i="65"/>
  <c r="G125" i="65"/>
  <c r="E126" i="65"/>
  <c r="B121" i="93"/>
  <c r="F121" i="93"/>
  <c r="D127" i="63"/>
  <c r="G126" i="63"/>
  <c r="E127" i="63"/>
  <c r="G132" i="30"/>
  <c r="D133" i="30"/>
  <c r="E133" i="30"/>
  <c r="J123" i="76"/>
  <c r="D128" i="54"/>
  <c r="G127" i="54"/>
  <c r="E128" i="54"/>
  <c r="G129" i="44"/>
  <c r="D130" i="44"/>
  <c r="E130" i="44"/>
  <c r="J131" i="29"/>
  <c r="B120" i="99"/>
  <c r="F120" i="99"/>
  <c r="G122" i="90"/>
  <c r="D123" i="90"/>
  <c r="E123" i="90"/>
  <c r="D124" i="85"/>
  <c r="G123" i="85"/>
  <c r="E124" i="85"/>
  <c r="G129" i="74"/>
  <c r="D130" i="74"/>
  <c r="E130" i="74"/>
  <c r="G125" i="66"/>
  <c r="D126" i="66"/>
  <c r="E126" i="66"/>
  <c r="D125" i="76"/>
  <c r="G124" i="76"/>
  <c r="E125" i="76"/>
  <c r="D127" i="62"/>
  <c r="G126" i="62"/>
  <c r="E127" i="62"/>
  <c r="G127" i="57"/>
  <c r="D128" i="57"/>
  <c r="E128" i="57"/>
  <c r="D124" i="80"/>
  <c r="G123" i="80"/>
  <c r="E124" i="80"/>
  <c r="J120" i="95" l="1"/>
  <c r="J125" i="60"/>
  <c r="J119" i="99"/>
  <c r="I116" i="13"/>
  <c r="H116" i="13"/>
  <c r="B117" i="13"/>
  <c r="F117" i="13"/>
  <c r="J125" i="61"/>
  <c r="F128" i="72"/>
  <c r="B128" i="72"/>
  <c r="H127" i="58"/>
  <c r="I127" i="58"/>
  <c r="J120" i="93"/>
  <c r="I129" i="74"/>
  <c r="H129" i="74"/>
  <c r="F123" i="94"/>
  <c r="B123" i="94"/>
  <c r="F124" i="80"/>
  <c r="B124" i="80"/>
  <c r="B131" i="34"/>
  <c r="F131" i="34"/>
  <c r="B128" i="55"/>
  <c r="F128" i="55"/>
  <c r="G126" i="60"/>
  <c r="D127" i="60"/>
  <c r="E127" i="60"/>
  <c r="H123" i="85"/>
  <c r="I123" i="85"/>
  <c r="F131" i="22"/>
  <c r="B131" i="22"/>
  <c r="B123" i="92"/>
  <c r="F123" i="92"/>
  <c r="B130" i="43"/>
  <c r="F130" i="43"/>
  <c r="F130" i="73"/>
  <c r="B130" i="73"/>
  <c r="G121" i="95"/>
  <c r="D122" i="95"/>
  <c r="E122" i="95"/>
  <c r="B124" i="85"/>
  <c r="F124" i="85"/>
  <c r="I122" i="89"/>
  <c r="H122" i="89"/>
  <c r="I129" i="42"/>
  <c r="H129" i="42"/>
  <c r="H123" i="83"/>
  <c r="I123" i="83"/>
  <c r="F124" i="82"/>
  <c r="B124" i="82"/>
  <c r="D127" i="61"/>
  <c r="G126" i="61"/>
  <c r="E127" i="61"/>
  <c r="I130" i="22"/>
  <c r="H130" i="22"/>
  <c r="D124" i="96"/>
  <c r="G123" i="96"/>
  <c r="E124" i="96"/>
  <c r="F117" i="102"/>
  <c r="B117" i="102"/>
  <c r="H129" i="43"/>
  <c r="I129" i="43"/>
  <c r="H124" i="78"/>
  <c r="I124" i="78"/>
  <c r="I127" i="53"/>
  <c r="H127" i="53"/>
  <c r="F125" i="75"/>
  <c r="B125" i="75"/>
  <c r="H127" i="72"/>
  <c r="I127" i="72"/>
  <c r="F127" i="63"/>
  <c r="B127" i="63"/>
  <c r="F123" i="91"/>
  <c r="B123" i="91"/>
  <c r="B123" i="87"/>
  <c r="F123" i="87"/>
  <c r="I124" i="76"/>
  <c r="H124" i="76"/>
  <c r="F128" i="54"/>
  <c r="B128" i="54"/>
  <c r="G121" i="93"/>
  <c r="D122" i="93"/>
  <c r="E122" i="93"/>
  <c r="H132" i="70"/>
  <c r="I132" i="70"/>
  <c r="H130" i="17"/>
  <c r="I130" i="17"/>
  <c r="B124" i="83"/>
  <c r="F124" i="83"/>
  <c r="F133" i="70"/>
  <c r="B133" i="70"/>
  <c r="F131" i="21"/>
  <c r="B131" i="21"/>
  <c r="B128" i="57"/>
  <c r="F128" i="57"/>
  <c r="H127" i="57"/>
  <c r="I127" i="57"/>
  <c r="B126" i="66"/>
  <c r="F126" i="66"/>
  <c r="F133" i="30"/>
  <c r="B133" i="30"/>
  <c r="I125" i="65"/>
  <c r="H125" i="65"/>
  <c r="B123" i="89"/>
  <c r="F123" i="89"/>
  <c r="G130" i="20"/>
  <c r="D131" i="20"/>
  <c r="E131" i="20"/>
  <c r="F132" i="24"/>
  <c r="B132" i="24"/>
  <c r="H123" i="82"/>
  <c r="I123" i="82"/>
  <c r="H123" i="101"/>
  <c r="I123" i="101"/>
  <c r="B130" i="39"/>
  <c r="F130" i="39"/>
  <c r="H116" i="102"/>
  <c r="I116" i="102"/>
  <c r="B125" i="77"/>
  <c r="F125" i="77"/>
  <c r="I122" i="84"/>
  <c r="H122" i="84"/>
  <c r="F125" i="78"/>
  <c r="B125" i="78"/>
  <c r="H127" i="46"/>
  <c r="I127" i="46"/>
  <c r="F128" i="53"/>
  <c r="B128" i="53"/>
  <c r="H124" i="75"/>
  <c r="I124" i="75"/>
  <c r="H124" i="79"/>
  <c r="I124" i="79"/>
  <c r="G120" i="99"/>
  <c r="D121" i="99"/>
  <c r="E121" i="99"/>
  <c r="F133" i="69"/>
  <c r="B133" i="69"/>
  <c r="H122" i="87"/>
  <c r="I122" i="87"/>
  <c r="F126" i="68"/>
  <c r="B126" i="68"/>
  <c r="H122" i="92"/>
  <c r="I122" i="92"/>
  <c r="H129" i="73"/>
  <c r="I129" i="73"/>
  <c r="B130" i="42"/>
  <c r="F130" i="42"/>
  <c r="I130" i="34"/>
  <c r="H130" i="34"/>
  <c r="I125" i="66"/>
  <c r="H125" i="66"/>
  <c r="F123" i="90"/>
  <c r="B123" i="90"/>
  <c r="F130" i="44"/>
  <c r="B130" i="44"/>
  <c r="H132" i="30"/>
  <c r="I132" i="30"/>
  <c r="F126" i="65"/>
  <c r="B126" i="65"/>
  <c r="H131" i="24"/>
  <c r="I131" i="24"/>
  <c r="J122" i="96"/>
  <c r="F124" i="101"/>
  <c r="B124" i="101"/>
  <c r="I131" i="23"/>
  <c r="H131" i="23"/>
  <c r="F132" i="71"/>
  <c r="B132" i="71"/>
  <c r="I129" i="39"/>
  <c r="H129" i="39"/>
  <c r="H124" i="77"/>
  <c r="I124" i="77"/>
  <c r="H127" i="56"/>
  <c r="I127" i="56"/>
  <c r="F123" i="84"/>
  <c r="B123" i="84"/>
  <c r="F128" i="46"/>
  <c r="B128" i="46"/>
  <c r="I120" i="98"/>
  <c r="H120" i="98"/>
  <c r="B125" i="79"/>
  <c r="F125" i="79"/>
  <c r="I126" i="64"/>
  <c r="H126" i="64"/>
  <c r="H132" i="69"/>
  <c r="I132" i="69"/>
  <c r="I122" i="94"/>
  <c r="H122" i="94"/>
  <c r="B125" i="76"/>
  <c r="F125" i="76"/>
  <c r="H126" i="62"/>
  <c r="I126" i="62"/>
  <c r="I122" i="90"/>
  <c r="H122" i="90"/>
  <c r="H129" i="44"/>
  <c r="I129" i="44"/>
  <c r="B133" i="27"/>
  <c r="F133" i="27"/>
  <c r="B132" i="23"/>
  <c r="F132" i="23"/>
  <c r="H131" i="71"/>
  <c r="I131" i="71"/>
  <c r="D132" i="31"/>
  <c r="G131" i="31"/>
  <c r="E132" i="31"/>
  <c r="B128" i="56"/>
  <c r="F128" i="56"/>
  <c r="F131" i="19"/>
  <c r="B131" i="19"/>
  <c r="F121" i="98"/>
  <c r="B121" i="98"/>
  <c r="J130" i="31"/>
  <c r="I125" i="67"/>
  <c r="H125" i="67"/>
  <c r="B123" i="88"/>
  <c r="F123" i="88"/>
  <c r="B127" i="64"/>
  <c r="F127" i="64"/>
  <c r="B133" i="29"/>
  <c r="F133" i="29"/>
  <c r="B124" i="86"/>
  <c r="F124" i="86"/>
  <c r="B127" i="62"/>
  <c r="F127" i="62"/>
  <c r="F130" i="74"/>
  <c r="B130" i="74"/>
  <c r="I126" i="63"/>
  <c r="H126" i="63"/>
  <c r="H132" i="27"/>
  <c r="I132" i="27"/>
  <c r="H122" i="91"/>
  <c r="I122" i="91"/>
  <c r="J129" i="20"/>
  <c r="I132" i="29"/>
  <c r="H132" i="29"/>
  <c r="I123" i="81"/>
  <c r="H123" i="81"/>
  <c r="H123" i="86"/>
  <c r="I123" i="86"/>
  <c r="J129" i="18"/>
  <c r="I128" i="45"/>
  <c r="H128" i="45"/>
  <c r="I129" i="41"/>
  <c r="H129" i="41"/>
  <c r="I130" i="19"/>
  <c r="H130" i="19"/>
  <c r="B126" i="67"/>
  <c r="F126" i="67"/>
  <c r="I122" i="88"/>
  <c r="H122" i="88"/>
  <c r="H126" i="59"/>
  <c r="I126" i="59"/>
  <c r="I123" i="80"/>
  <c r="H123" i="80"/>
  <c r="I127" i="54"/>
  <c r="H127" i="54"/>
  <c r="F124" i="81"/>
  <c r="B124" i="81"/>
  <c r="D131" i="18"/>
  <c r="G130" i="18"/>
  <c r="E131" i="18"/>
  <c r="H125" i="68"/>
  <c r="I125" i="68"/>
  <c r="H127" i="55"/>
  <c r="I127" i="55"/>
  <c r="B129" i="45"/>
  <c r="F129" i="45"/>
  <c r="G121" i="97"/>
  <c r="D122" i="97"/>
  <c r="E122" i="97"/>
  <c r="B130" i="41"/>
  <c r="F130" i="41"/>
  <c r="F131" i="17"/>
  <c r="B131" i="17"/>
  <c r="F134" i="28"/>
  <c r="B134" i="28"/>
  <c r="H130" i="3"/>
  <c r="I130" i="3"/>
  <c r="B127" i="59"/>
  <c r="F127" i="59"/>
  <c r="F132" i="32"/>
  <c r="B132" i="32"/>
  <c r="H133" i="28"/>
  <c r="I133" i="28"/>
  <c r="I130" i="21"/>
  <c r="H130" i="21"/>
  <c r="J120" i="97"/>
  <c r="F128" i="58"/>
  <c r="B128" i="58"/>
  <c r="B131" i="3"/>
  <c r="F131" i="3"/>
  <c r="H131" i="32"/>
  <c r="I131" i="32"/>
  <c r="J123" i="85" l="1"/>
  <c r="J127" i="58"/>
  <c r="J123" i="86"/>
  <c r="J122" i="87"/>
  <c r="J126" i="62"/>
  <c r="J125" i="66"/>
  <c r="J123" i="80"/>
  <c r="J130" i="19"/>
  <c r="G117" i="13"/>
  <c r="E118" i="13"/>
  <c r="D118" i="13"/>
  <c r="J116" i="13"/>
  <c r="J122" i="90"/>
  <c r="J129" i="39"/>
  <c r="J131" i="24"/>
  <c r="J129" i="73"/>
  <c r="J130" i="3"/>
  <c r="J123" i="82"/>
  <c r="J123" i="81"/>
  <c r="J129" i="41"/>
  <c r="J126" i="63"/>
  <c r="J129" i="44"/>
  <c r="J124" i="77"/>
  <c r="J130" i="34"/>
  <c r="J125" i="65"/>
  <c r="J130" i="22"/>
  <c r="J132" i="70"/>
  <c r="J123" i="83"/>
  <c r="J124" i="75"/>
  <c r="J123" i="101"/>
  <c r="J129" i="74"/>
  <c r="J122" i="91"/>
  <c r="J129" i="42"/>
  <c r="J124" i="78"/>
  <c r="J125" i="67"/>
  <c r="J131" i="23"/>
  <c r="J124" i="79"/>
  <c r="J127" i="72"/>
  <c r="J129" i="43"/>
  <c r="I126" i="60"/>
  <c r="H126" i="60"/>
  <c r="F132" i="31"/>
  <c r="B132" i="31"/>
  <c r="J120" i="98"/>
  <c r="G130" i="42"/>
  <c r="D131" i="42"/>
  <c r="E131" i="42"/>
  <c r="G125" i="78"/>
  <c r="D126" i="78"/>
  <c r="E126" i="78"/>
  <c r="D133" i="24"/>
  <c r="G132" i="24"/>
  <c r="E133" i="24"/>
  <c r="J124" i="76"/>
  <c r="D129" i="55"/>
  <c r="G128" i="55"/>
  <c r="E129" i="55"/>
  <c r="G131" i="3"/>
  <c r="D132" i="3"/>
  <c r="E132" i="3"/>
  <c r="G134" i="28"/>
  <c r="D135" i="28"/>
  <c r="E135" i="28"/>
  <c r="J132" i="29"/>
  <c r="D125" i="101"/>
  <c r="G124" i="101"/>
  <c r="E125" i="101"/>
  <c r="D133" i="32"/>
  <c r="G132" i="32"/>
  <c r="E133" i="32"/>
  <c r="D132" i="17"/>
  <c r="G131" i="17"/>
  <c r="E132" i="17"/>
  <c r="J127" i="55"/>
  <c r="G124" i="81"/>
  <c r="D125" i="81"/>
  <c r="E125" i="81"/>
  <c r="J122" i="88"/>
  <c r="J128" i="45"/>
  <c r="G127" i="64"/>
  <c r="D128" i="64"/>
  <c r="E128" i="64"/>
  <c r="G121" i="98"/>
  <c r="D122" i="98"/>
  <c r="E122" i="98"/>
  <c r="J131" i="71"/>
  <c r="J132" i="69"/>
  <c r="D131" i="44"/>
  <c r="G130" i="44"/>
  <c r="E131" i="44"/>
  <c r="D134" i="30"/>
  <c r="G133" i="30"/>
  <c r="E134" i="30"/>
  <c r="D132" i="21"/>
  <c r="G131" i="21"/>
  <c r="E132" i="21"/>
  <c r="G123" i="87"/>
  <c r="D124" i="87"/>
  <c r="E124" i="87"/>
  <c r="I126" i="61"/>
  <c r="H126" i="61"/>
  <c r="B122" i="95"/>
  <c r="F122" i="95"/>
  <c r="D129" i="46"/>
  <c r="G128" i="46"/>
  <c r="E129" i="46"/>
  <c r="J122" i="84"/>
  <c r="F131" i="20"/>
  <c r="B131" i="20"/>
  <c r="D127" i="66"/>
  <c r="G126" i="66"/>
  <c r="E127" i="66"/>
  <c r="D126" i="75"/>
  <c r="G125" i="75"/>
  <c r="E126" i="75"/>
  <c r="G117" i="102"/>
  <c r="D118" i="102"/>
  <c r="E118" i="102"/>
  <c r="F127" i="61"/>
  <c r="B127" i="61"/>
  <c r="I121" i="95"/>
  <c r="H121" i="95"/>
  <c r="G131" i="22"/>
  <c r="D132" i="22"/>
  <c r="E132" i="22"/>
  <c r="D132" i="34"/>
  <c r="G131" i="34"/>
  <c r="E132" i="34"/>
  <c r="G126" i="68"/>
  <c r="D127" i="68"/>
  <c r="E127" i="68"/>
  <c r="G130" i="41"/>
  <c r="D131" i="41"/>
  <c r="E131" i="41"/>
  <c r="J125" i="68"/>
  <c r="J127" i="54"/>
  <c r="G127" i="62"/>
  <c r="D128" i="62"/>
  <c r="E128" i="62"/>
  <c r="G123" i="88"/>
  <c r="D124" i="88"/>
  <c r="E124" i="88"/>
  <c r="G131" i="19"/>
  <c r="D132" i="19"/>
  <c r="E132" i="19"/>
  <c r="G132" i="23"/>
  <c r="D133" i="23"/>
  <c r="E133" i="23"/>
  <c r="D124" i="90"/>
  <c r="G123" i="90"/>
  <c r="E124" i="90"/>
  <c r="G133" i="69"/>
  <c r="D134" i="69"/>
  <c r="E134" i="69"/>
  <c r="G125" i="77"/>
  <c r="D126" i="77"/>
  <c r="E126" i="77"/>
  <c r="I130" i="20"/>
  <c r="H130" i="20"/>
  <c r="G133" i="70"/>
  <c r="D134" i="70"/>
  <c r="E134" i="70"/>
  <c r="F122" i="93"/>
  <c r="B122" i="93"/>
  <c r="B131" i="18"/>
  <c r="F131" i="18"/>
  <c r="D124" i="92"/>
  <c r="G123" i="92"/>
  <c r="E124" i="92"/>
  <c r="D129" i="58"/>
  <c r="G128" i="58"/>
  <c r="E129" i="58"/>
  <c r="D127" i="67"/>
  <c r="G126" i="67"/>
  <c r="E127" i="67"/>
  <c r="D131" i="74"/>
  <c r="G130" i="74"/>
  <c r="E131" i="74"/>
  <c r="J132" i="27"/>
  <c r="D129" i="56"/>
  <c r="G128" i="56"/>
  <c r="E129" i="56"/>
  <c r="J126" i="64"/>
  <c r="D124" i="84"/>
  <c r="G123" i="84"/>
  <c r="E124" i="84"/>
  <c r="D133" i="71"/>
  <c r="G132" i="71"/>
  <c r="E133" i="71"/>
  <c r="J122" i="92"/>
  <c r="D129" i="53"/>
  <c r="G128" i="53"/>
  <c r="E129" i="53"/>
  <c r="D124" i="89"/>
  <c r="G123" i="89"/>
  <c r="E124" i="89"/>
  <c r="J127" i="57"/>
  <c r="G124" i="83"/>
  <c r="D125" i="83"/>
  <c r="E125" i="83"/>
  <c r="I121" i="93"/>
  <c r="H121" i="93"/>
  <c r="G123" i="91"/>
  <c r="D124" i="91"/>
  <c r="E124" i="91"/>
  <c r="J127" i="53"/>
  <c r="H123" i="96"/>
  <c r="I123" i="96"/>
  <c r="G130" i="73"/>
  <c r="D131" i="73"/>
  <c r="E131" i="73"/>
  <c r="G130" i="39"/>
  <c r="D131" i="39"/>
  <c r="E131" i="39"/>
  <c r="G124" i="82"/>
  <c r="D125" i="82"/>
  <c r="E125" i="82"/>
  <c r="G123" i="94"/>
  <c r="D124" i="94"/>
  <c r="E124" i="94"/>
  <c r="J122" i="94"/>
  <c r="G127" i="59"/>
  <c r="D128" i="59"/>
  <c r="E128" i="59"/>
  <c r="J131" i="32"/>
  <c r="J130" i="21"/>
  <c r="F122" i="97"/>
  <c r="B122" i="97"/>
  <c r="D125" i="86"/>
  <c r="G124" i="86"/>
  <c r="E125" i="86"/>
  <c r="G133" i="27"/>
  <c r="D134" i="27"/>
  <c r="E134" i="27"/>
  <c r="D126" i="76"/>
  <c r="G125" i="76"/>
  <c r="E126" i="76"/>
  <c r="G125" i="79"/>
  <c r="D126" i="79"/>
  <c r="E126" i="79"/>
  <c r="J127" i="56"/>
  <c r="D127" i="65"/>
  <c r="G126" i="65"/>
  <c r="E127" i="65"/>
  <c r="F121" i="99"/>
  <c r="B121" i="99"/>
  <c r="J127" i="46"/>
  <c r="J116" i="102"/>
  <c r="F124" i="96"/>
  <c r="B124" i="96"/>
  <c r="J122" i="89"/>
  <c r="G130" i="43"/>
  <c r="D131" i="43"/>
  <c r="E131" i="43"/>
  <c r="G124" i="80"/>
  <c r="D125" i="80"/>
  <c r="E125" i="80"/>
  <c r="G129" i="45"/>
  <c r="D130" i="45"/>
  <c r="E130" i="45"/>
  <c r="G133" i="29"/>
  <c r="D134" i="29"/>
  <c r="E134" i="29"/>
  <c r="H131" i="31"/>
  <c r="I131" i="31"/>
  <c r="J133" i="28"/>
  <c r="I121" i="97"/>
  <c r="H121" i="97"/>
  <c r="H130" i="18"/>
  <c r="I130" i="18"/>
  <c r="J126" i="59"/>
  <c r="J132" i="30"/>
  <c r="H120" i="99"/>
  <c r="I120" i="99"/>
  <c r="D129" i="57"/>
  <c r="G128" i="57"/>
  <c r="E129" i="57"/>
  <c r="J130" i="17"/>
  <c r="D129" i="54"/>
  <c r="G128" i="54"/>
  <c r="E129" i="54"/>
  <c r="D128" i="63"/>
  <c r="G127" i="63"/>
  <c r="E128" i="63"/>
  <c r="G124" i="85"/>
  <c r="D125" i="85"/>
  <c r="E125" i="85"/>
  <c r="F127" i="60"/>
  <c r="B127" i="60"/>
  <c r="G128" i="72"/>
  <c r="D129" i="72"/>
  <c r="E129" i="72"/>
  <c r="B118" i="13" l="1"/>
  <c r="F118" i="13"/>
  <c r="H117" i="13"/>
  <c r="I117" i="13"/>
  <c r="J126" i="61"/>
  <c r="J130" i="18"/>
  <c r="J123" i="96"/>
  <c r="J121" i="95"/>
  <c r="J121" i="97"/>
  <c r="J121" i="93"/>
  <c r="J131" i="31"/>
  <c r="B125" i="85"/>
  <c r="F125" i="85"/>
  <c r="H127" i="63"/>
  <c r="I127" i="63"/>
  <c r="F130" i="45"/>
  <c r="B130" i="45"/>
  <c r="H133" i="70"/>
  <c r="I133" i="70"/>
  <c r="H133" i="69"/>
  <c r="I133" i="69"/>
  <c r="H128" i="72"/>
  <c r="I128" i="72"/>
  <c r="B128" i="63"/>
  <c r="F128" i="63"/>
  <c r="J120" i="99"/>
  <c r="I129" i="45"/>
  <c r="H129" i="45"/>
  <c r="I125" i="76"/>
  <c r="H125" i="76"/>
  <c r="I130" i="39"/>
  <c r="H130" i="39"/>
  <c r="B124" i="91"/>
  <c r="F124" i="91"/>
  <c r="I132" i="71"/>
  <c r="H132" i="71"/>
  <c r="B129" i="56"/>
  <c r="F129" i="56"/>
  <c r="H131" i="19"/>
  <c r="I131" i="19"/>
  <c r="I131" i="34"/>
  <c r="H131" i="34"/>
  <c r="G127" i="61"/>
  <c r="D128" i="61"/>
  <c r="E128" i="61"/>
  <c r="H126" i="66"/>
  <c r="I126" i="66"/>
  <c r="D123" i="95"/>
  <c r="G122" i="95"/>
  <c r="E123" i="95"/>
  <c r="I131" i="21"/>
  <c r="H131" i="21"/>
  <c r="F132" i="17"/>
  <c r="B132" i="17"/>
  <c r="F129" i="55"/>
  <c r="B129" i="55"/>
  <c r="F129" i="72"/>
  <c r="B129" i="72"/>
  <c r="B129" i="57"/>
  <c r="F129" i="57"/>
  <c r="D122" i="99"/>
  <c r="G121" i="99"/>
  <c r="E122" i="99"/>
  <c r="B125" i="86"/>
  <c r="F125" i="86"/>
  <c r="F131" i="39"/>
  <c r="B131" i="39"/>
  <c r="I128" i="56"/>
  <c r="H128" i="56"/>
  <c r="F127" i="67"/>
  <c r="B127" i="67"/>
  <c r="H126" i="65"/>
  <c r="I126" i="65"/>
  <c r="B126" i="76"/>
  <c r="F126" i="76"/>
  <c r="G122" i="97"/>
  <c r="D123" i="97"/>
  <c r="E123" i="97"/>
  <c r="B124" i="94"/>
  <c r="F124" i="94"/>
  <c r="I123" i="91"/>
  <c r="H123" i="91"/>
  <c r="H123" i="89"/>
  <c r="I123" i="89"/>
  <c r="F133" i="71"/>
  <c r="B133" i="71"/>
  <c r="H128" i="58"/>
  <c r="I128" i="58"/>
  <c r="J130" i="20"/>
  <c r="I123" i="90"/>
  <c r="H123" i="90"/>
  <c r="B132" i="34"/>
  <c r="F132" i="34"/>
  <c r="B127" i="66"/>
  <c r="F127" i="66"/>
  <c r="B132" i="21"/>
  <c r="F132" i="21"/>
  <c r="F135" i="28"/>
  <c r="B135" i="28"/>
  <c r="B131" i="42"/>
  <c r="F131" i="42"/>
  <c r="H128" i="54"/>
  <c r="I128" i="54"/>
  <c r="B125" i="80"/>
  <c r="F125" i="80"/>
  <c r="F127" i="65"/>
  <c r="B127" i="65"/>
  <c r="H123" i="94"/>
  <c r="I123" i="94"/>
  <c r="B131" i="73"/>
  <c r="F131" i="73"/>
  <c r="B124" i="89"/>
  <c r="F124" i="89"/>
  <c r="B129" i="58"/>
  <c r="F129" i="58"/>
  <c r="F124" i="90"/>
  <c r="B124" i="90"/>
  <c r="B124" i="88"/>
  <c r="F124" i="88"/>
  <c r="F131" i="41"/>
  <c r="B131" i="41"/>
  <c r="B118" i="102"/>
  <c r="F118" i="102"/>
  <c r="H132" i="32"/>
  <c r="I132" i="32"/>
  <c r="I134" i="28"/>
  <c r="H134" i="28"/>
  <c r="I130" i="42"/>
  <c r="H130" i="42"/>
  <c r="G127" i="60"/>
  <c r="D128" i="60"/>
  <c r="E128" i="60"/>
  <c r="B129" i="54"/>
  <c r="F129" i="54"/>
  <c r="I124" i="80"/>
  <c r="H124" i="80"/>
  <c r="G124" i="96"/>
  <c r="D125" i="96"/>
  <c r="E125" i="96"/>
  <c r="F134" i="27"/>
  <c r="B134" i="27"/>
  <c r="I130" i="73"/>
  <c r="H130" i="73"/>
  <c r="H123" i="84"/>
  <c r="I123" i="84"/>
  <c r="I130" i="74"/>
  <c r="H130" i="74"/>
  <c r="F126" i="77"/>
  <c r="B126" i="77"/>
  <c r="I123" i="88"/>
  <c r="H123" i="88"/>
  <c r="I130" i="41"/>
  <c r="H130" i="41"/>
  <c r="B132" i="22"/>
  <c r="F132" i="22"/>
  <c r="H117" i="102"/>
  <c r="I117" i="102"/>
  <c r="G131" i="20"/>
  <c r="D132" i="20"/>
  <c r="E132" i="20"/>
  <c r="I133" i="30"/>
  <c r="H133" i="30"/>
  <c r="B122" i="98"/>
  <c r="F122" i="98"/>
  <c r="F125" i="81"/>
  <c r="B125" i="81"/>
  <c r="F133" i="32"/>
  <c r="B133" i="32"/>
  <c r="H132" i="24"/>
  <c r="I132" i="24"/>
  <c r="F134" i="30"/>
  <c r="B134" i="30"/>
  <c r="H121" i="98"/>
  <c r="I121" i="98"/>
  <c r="I124" i="81"/>
  <c r="H124" i="81"/>
  <c r="B132" i="3"/>
  <c r="F132" i="3"/>
  <c r="F133" i="24"/>
  <c r="B133" i="24"/>
  <c r="F134" i="29"/>
  <c r="B134" i="29"/>
  <c r="H133" i="27"/>
  <c r="I133" i="27"/>
  <c r="F124" i="84"/>
  <c r="B124" i="84"/>
  <c r="F131" i="74"/>
  <c r="B131" i="74"/>
  <c r="D123" i="93"/>
  <c r="G122" i="93"/>
  <c r="E123" i="93"/>
  <c r="H125" i="77"/>
  <c r="I125" i="77"/>
  <c r="I133" i="29"/>
  <c r="H133" i="29"/>
  <c r="B131" i="43"/>
  <c r="F131" i="43"/>
  <c r="F126" i="79"/>
  <c r="B126" i="79"/>
  <c r="F128" i="59"/>
  <c r="B128" i="59"/>
  <c r="H124" i="82"/>
  <c r="I124" i="82"/>
  <c r="F125" i="83"/>
  <c r="B125" i="83"/>
  <c r="F129" i="53"/>
  <c r="B129" i="53"/>
  <c r="F124" i="92"/>
  <c r="B124" i="92"/>
  <c r="I132" i="23"/>
  <c r="H132" i="23"/>
  <c r="B128" i="62"/>
  <c r="F128" i="62"/>
  <c r="B127" i="68"/>
  <c r="F127" i="68"/>
  <c r="H125" i="75"/>
  <c r="I125" i="75"/>
  <c r="B124" i="87"/>
  <c r="F124" i="87"/>
  <c r="I124" i="101"/>
  <c r="H124" i="101"/>
  <c r="H131" i="3"/>
  <c r="I131" i="3"/>
  <c r="D133" i="31"/>
  <c r="G132" i="31"/>
  <c r="E133" i="31"/>
  <c r="B125" i="82"/>
  <c r="F125" i="82"/>
  <c r="H128" i="53"/>
  <c r="I128" i="53"/>
  <c r="H123" i="92"/>
  <c r="I123" i="92"/>
  <c r="B133" i="23"/>
  <c r="F133" i="23"/>
  <c r="I131" i="22"/>
  <c r="H131" i="22"/>
  <c r="I124" i="85"/>
  <c r="H124" i="85"/>
  <c r="I128" i="57"/>
  <c r="H128" i="57"/>
  <c r="I130" i="43"/>
  <c r="H130" i="43"/>
  <c r="I125" i="79"/>
  <c r="H125" i="79"/>
  <c r="I124" i="86"/>
  <c r="H124" i="86"/>
  <c r="H127" i="59"/>
  <c r="I127" i="59"/>
  <c r="I124" i="83"/>
  <c r="H124" i="83"/>
  <c r="H126" i="67"/>
  <c r="I126" i="67"/>
  <c r="G131" i="18"/>
  <c r="D132" i="18"/>
  <c r="E132" i="18"/>
  <c r="F134" i="70"/>
  <c r="B134" i="70"/>
  <c r="F134" i="69"/>
  <c r="B134" i="69"/>
  <c r="I127" i="62"/>
  <c r="H127" i="62"/>
  <c r="I126" i="68"/>
  <c r="H126" i="68"/>
  <c r="B126" i="75"/>
  <c r="F126" i="75"/>
  <c r="H128" i="46"/>
  <c r="I128" i="46"/>
  <c r="H123" i="87"/>
  <c r="I123" i="87"/>
  <c r="I130" i="44"/>
  <c r="H130" i="44"/>
  <c r="B128" i="64"/>
  <c r="F128" i="64"/>
  <c r="F125" i="101"/>
  <c r="B125" i="101"/>
  <c r="F126" i="78"/>
  <c r="B126" i="78"/>
  <c r="B132" i="19"/>
  <c r="F132" i="19"/>
  <c r="F129" i="46"/>
  <c r="B129" i="46"/>
  <c r="F131" i="44"/>
  <c r="B131" i="44"/>
  <c r="H127" i="64"/>
  <c r="I127" i="64"/>
  <c r="I131" i="17"/>
  <c r="H131" i="17"/>
  <c r="H128" i="55"/>
  <c r="I128" i="55"/>
  <c r="H125" i="78"/>
  <c r="I125" i="78"/>
  <c r="J126" i="60"/>
  <c r="J127" i="64" l="1"/>
  <c r="J123" i="87"/>
  <c r="J125" i="78"/>
  <c r="J117" i="13"/>
  <c r="D119" i="13"/>
  <c r="G118" i="13"/>
  <c r="E119" i="13"/>
  <c r="J117" i="102"/>
  <c r="J132" i="32"/>
  <c r="J128" i="54"/>
  <c r="J126" i="66"/>
  <c r="J123" i="89"/>
  <c r="J132" i="24"/>
  <c r="J131" i="22"/>
  <c r="J123" i="91"/>
  <c r="J131" i="34"/>
  <c r="J125" i="79"/>
  <c r="J124" i="81"/>
  <c r="J124" i="80"/>
  <c r="J131" i="17"/>
  <c r="J130" i="44"/>
  <c r="J126" i="68"/>
  <c r="J128" i="53"/>
  <c r="J132" i="71"/>
  <c r="J129" i="45"/>
  <c r="J128" i="57"/>
  <c r="J132" i="23"/>
  <c r="J133" i="29"/>
  <c r="J130" i="74"/>
  <c r="J128" i="56"/>
  <c r="J128" i="55"/>
  <c r="J125" i="75"/>
  <c r="J125" i="77"/>
  <c r="J123" i="84"/>
  <c r="J128" i="72"/>
  <c r="J127" i="63"/>
  <c r="D132" i="43"/>
  <c r="G131" i="43"/>
  <c r="E132" i="43"/>
  <c r="G134" i="29"/>
  <c r="D135" i="29"/>
  <c r="E135" i="29"/>
  <c r="D132" i="73"/>
  <c r="G131" i="73"/>
  <c r="E132" i="73"/>
  <c r="D128" i="66"/>
  <c r="G127" i="66"/>
  <c r="E128" i="66"/>
  <c r="D130" i="55"/>
  <c r="G129" i="55"/>
  <c r="E130" i="55"/>
  <c r="G124" i="91"/>
  <c r="D125" i="91"/>
  <c r="E125" i="91"/>
  <c r="J133" i="70"/>
  <c r="D130" i="53"/>
  <c r="G129" i="53"/>
  <c r="E130" i="53"/>
  <c r="H131" i="18"/>
  <c r="I131" i="18"/>
  <c r="D129" i="62"/>
  <c r="G128" i="62"/>
  <c r="E129" i="62"/>
  <c r="B123" i="93"/>
  <c r="F123" i="93"/>
  <c r="G125" i="81"/>
  <c r="D126" i="81"/>
  <c r="E126" i="81"/>
  <c r="G126" i="78"/>
  <c r="D127" i="78"/>
  <c r="E127" i="78"/>
  <c r="J127" i="62"/>
  <c r="J126" i="67"/>
  <c r="D126" i="82"/>
  <c r="G125" i="82"/>
  <c r="E126" i="82"/>
  <c r="J124" i="101"/>
  <c r="D126" i="83"/>
  <c r="G125" i="83"/>
  <c r="E126" i="83"/>
  <c r="G122" i="98"/>
  <c r="D123" i="98"/>
  <c r="E123" i="98"/>
  <c r="G126" i="77"/>
  <c r="D127" i="77"/>
  <c r="E127" i="77"/>
  <c r="G134" i="27"/>
  <c r="D135" i="27"/>
  <c r="E135" i="27"/>
  <c r="G124" i="90"/>
  <c r="D125" i="90"/>
  <c r="E125" i="90"/>
  <c r="D128" i="67"/>
  <c r="G127" i="67"/>
  <c r="E128" i="67"/>
  <c r="I121" i="99"/>
  <c r="H121" i="99"/>
  <c r="J124" i="86"/>
  <c r="J128" i="46"/>
  <c r="G124" i="87"/>
  <c r="D125" i="87"/>
  <c r="E125" i="87"/>
  <c r="J124" i="82"/>
  <c r="D132" i="74"/>
  <c r="G131" i="74"/>
  <c r="E132" i="74"/>
  <c r="G133" i="24"/>
  <c r="D134" i="24"/>
  <c r="E134" i="24"/>
  <c r="D135" i="30"/>
  <c r="G134" i="30"/>
  <c r="E135" i="30"/>
  <c r="D133" i="22"/>
  <c r="G132" i="22"/>
  <c r="E133" i="22"/>
  <c r="B128" i="60"/>
  <c r="F128" i="60"/>
  <c r="G118" i="102"/>
  <c r="D119" i="102"/>
  <c r="E119" i="102"/>
  <c r="J123" i="94"/>
  <c r="D132" i="42"/>
  <c r="G131" i="42"/>
  <c r="E132" i="42"/>
  <c r="D133" i="34"/>
  <c r="G132" i="34"/>
  <c r="E133" i="34"/>
  <c r="G133" i="71"/>
  <c r="D134" i="71"/>
  <c r="E134" i="71"/>
  <c r="B123" i="97"/>
  <c r="F123" i="97"/>
  <c r="B122" i="99"/>
  <c r="F122" i="99"/>
  <c r="G132" i="17"/>
  <c r="D133" i="17"/>
  <c r="E133" i="17"/>
  <c r="G128" i="63"/>
  <c r="D129" i="63"/>
  <c r="E129" i="63"/>
  <c r="F132" i="18"/>
  <c r="B132" i="18"/>
  <c r="D135" i="69"/>
  <c r="G134" i="69"/>
  <c r="E135" i="69"/>
  <c r="D133" i="3"/>
  <c r="G132" i="3"/>
  <c r="E133" i="3"/>
  <c r="F125" i="96"/>
  <c r="B125" i="96"/>
  <c r="I127" i="60"/>
  <c r="H127" i="60"/>
  <c r="I122" i="97"/>
  <c r="H122" i="97"/>
  <c r="G129" i="57"/>
  <c r="D130" i="57"/>
  <c r="E130" i="57"/>
  <c r="B128" i="61"/>
  <c r="F128" i="61"/>
  <c r="J130" i="39"/>
  <c r="G130" i="45"/>
  <c r="D131" i="45"/>
  <c r="E131" i="45"/>
  <c r="D125" i="84"/>
  <c r="G124" i="84"/>
  <c r="E125" i="84"/>
  <c r="J133" i="30"/>
  <c r="I124" i="96"/>
  <c r="H124" i="96"/>
  <c r="G129" i="58"/>
  <c r="D130" i="58"/>
  <c r="E130" i="58"/>
  <c r="G126" i="76"/>
  <c r="D127" i="76"/>
  <c r="E127" i="76"/>
  <c r="J131" i="21"/>
  <c r="H127" i="61"/>
  <c r="I127" i="61"/>
  <c r="G129" i="56"/>
  <c r="D130" i="56"/>
  <c r="E130" i="56"/>
  <c r="D132" i="44"/>
  <c r="G131" i="44"/>
  <c r="E132" i="44"/>
  <c r="D126" i="101"/>
  <c r="G125" i="101"/>
  <c r="E126" i="101"/>
  <c r="D134" i="23"/>
  <c r="G133" i="23"/>
  <c r="E134" i="23"/>
  <c r="D129" i="64"/>
  <c r="G128" i="64"/>
  <c r="E129" i="64"/>
  <c r="D127" i="75"/>
  <c r="G126" i="75"/>
  <c r="E127" i="75"/>
  <c r="J124" i="83"/>
  <c r="J130" i="43"/>
  <c r="I132" i="31"/>
  <c r="H132" i="31"/>
  <c r="G129" i="46"/>
  <c r="D130" i="46"/>
  <c r="E130" i="46"/>
  <c r="D135" i="70"/>
  <c r="G134" i="70"/>
  <c r="E135" i="70"/>
  <c r="J127" i="59"/>
  <c r="J123" i="92"/>
  <c r="F133" i="31"/>
  <c r="B133" i="31"/>
  <c r="D125" i="92"/>
  <c r="G124" i="92"/>
  <c r="E125" i="92"/>
  <c r="D129" i="59"/>
  <c r="G128" i="59"/>
  <c r="E129" i="59"/>
  <c r="J133" i="27"/>
  <c r="J130" i="41"/>
  <c r="J130" i="42"/>
  <c r="D132" i="41"/>
  <c r="G131" i="41"/>
  <c r="E132" i="41"/>
  <c r="D128" i="65"/>
  <c r="G127" i="65"/>
  <c r="E128" i="65"/>
  <c r="D136" i="28"/>
  <c r="G135" i="28"/>
  <c r="E136" i="28"/>
  <c r="J123" i="90"/>
  <c r="D132" i="39"/>
  <c r="G131" i="39"/>
  <c r="E132" i="39"/>
  <c r="J125" i="76"/>
  <c r="J124" i="85"/>
  <c r="D133" i="19"/>
  <c r="G132" i="19"/>
  <c r="E133" i="19"/>
  <c r="J131" i="3"/>
  <c r="G127" i="68"/>
  <c r="D128" i="68"/>
  <c r="E128" i="68"/>
  <c r="G133" i="32"/>
  <c r="D134" i="32"/>
  <c r="E134" i="32"/>
  <c r="B132" i="20"/>
  <c r="F132" i="20"/>
  <c r="D125" i="88"/>
  <c r="G124" i="88"/>
  <c r="E125" i="88"/>
  <c r="D125" i="89"/>
  <c r="G124" i="89"/>
  <c r="E125" i="89"/>
  <c r="G125" i="80"/>
  <c r="D126" i="80"/>
  <c r="E126" i="80"/>
  <c r="G132" i="21"/>
  <c r="D133" i="21"/>
  <c r="E133" i="21"/>
  <c r="J126" i="65"/>
  <c r="D126" i="86"/>
  <c r="G125" i="86"/>
  <c r="E126" i="86"/>
  <c r="G129" i="72"/>
  <c r="D130" i="72"/>
  <c r="E130" i="72"/>
  <c r="I122" i="95"/>
  <c r="H122" i="95"/>
  <c r="J133" i="69"/>
  <c r="G125" i="85"/>
  <c r="D126" i="85"/>
  <c r="E126" i="85"/>
  <c r="D127" i="79"/>
  <c r="G126" i="79"/>
  <c r="E127" i="79"/>
  <c r="I122" i="93"/>
  <c r="H122" i="93"/>
  <c r="J121" i="98"/>
  <c r="H131" i="20"/>
  <c r="I131" i="20"/>
  <c r="J123" i="88"/>
  <c r="J130" i="73"/>
  <c r="G129" i="54"/>
  <c r="D130" i="54"/>
  <c r="E130" i="54"/>
  <c r="J134" i="28"/>
  <c r="J128" i="58"/>
  <c r="D125" i="94"/>
  <c r="G124" i="94"/>
  <c r="E125" i="94"/>
  <c r="B123" i="95"/>
  <c r="F123" i="95"/>
  <c r="J131" i="19"/>
  <c r="H118" i="13" l="1"/>
  <c r="I118" i="13"/>
  <c r="B119" i="13"/>
  <c r="F119" i="13"/>
  <c r="J131" i="20"/>
  <c r="J122" i="95"/>
  <c r="J127" i="61"/>
  <c r="J124" i="96"/>
  <c r="J132" i="31"/>
  <c r="J122" i="97"/>
  <c r="F125" i="89"/>
  <c r="B125" i="89"/>
  <c r="I133" i="32"/>
  <c r="H133" i="32"/>
  <c r="B136" i="28"/>
  <c r="F136" i="28"/>
  <c r="B130" i="46"/>
  <c r="F130" i="46"/>
  <c r="F127" i="75"/>
  <c r="B127" i="75"/>
  <c r="H125" i="101"/>
  <c r="I125" i="101"/>
  <c r="H129" i="58"/>
  <c r="I129" i="58"/>
  <c r="B131" i="45"/>
  <c r="F131" i="45"/>
  <c r="F130" i="57"/>
  <c r="B130" i="57"/>
  <c r="I126" i="79"/>
  <c r="H126" i="79"/>
  <c r="F133" i="21"/>
  <c r="B133" i="21"/>
  <c r="D134" i="31"/>
  <c r="G133" i="31"/>
  <c r="E134" i="31"/>
  <c r="H129" i="46"/>
  <c r="I129" i="46"/>
  <c r="B126" i="101"/>
  <c r="F126" i="101"/>
  <c r="H130" i="45"/>
  <c r="I130" i="45"/>
  <c r="I129" i="57"/>
  <c r="H129" i="57"/>
  <c r="H132" i="3"/>
  <c r="I132" i="3"/>
  <c r="B129" i="63"/>
  <c r="F129" i="63"/>
  <c r="H131" i="42"/>
  <c r="I131" i="42"/>
  <c r="H133" i="24"/>
  <c r="I133" i="24"/>
  <c r="H126" i="77"/>
  <c r="I126" i="77"/>
  <c r="J131" i="18"/>
  <c r="I124" i="91"/>
  <c r="H124" i="91"/>
  <c r="I131" i="73"/>
  <c r="H131" i="73"/>
  <c r="I129" i="54"/>
  <c r="H129" i="54"/>
  <c r="H124" i="94"/>
  <c r="I124" i="94"/>
  <c r="F127" i="79"/>
  <c r="B127" i="79"/>
  <c r="F130" i="72"/>
  <c r="B130" i="72"/>
  <c r="I132" i="21"/>
  <c r="H132" i="21"/>
  <c r="H124" i="88"/>
  <c r="I124" i="88"/>
  <c r="F128" i="68"/>
  <c r="B128" i="68"/>
  <c r="H127" i="65"/>
  <c r="I127" i="65"/>
  <c r="H128" i="64"/>
  <c r="I128" i="64"/>
  <c r="F133" i="3"/>
  <c r="B133" i="3"/>
  <c r="I128" i="63"/>
  <c r="H128" i="63"/>
  <c r="F132" i="42"/>
  <c r="B132" i="42"/>
  <c r="I132" i="22"/>
  <c r="H132" i="22"/>
  <c r="B125" i="90"/>
  <c r="F125" i="90"/>
  <c r="H125" i="82"/>
  <c r="I125" i="82"/>
  <c r="B126" i="81"/>
  <c r="F126" i="81"/>
  <c r="F132" i="73"/>
  <c r="B132" i="73"/>
  <c r="H124" i="90"/>
  <c r="I124" i="90"/>
  <c r="B123" i="98"/>
  <c r="F123" i="98"/>
  <c r="B126" i="82"/>
  <c r="F126" i="82"/>
  <c r="H125" i="81"/>
  <c r="I125" i="81"/>
  <c r="H129" i="55"/>
  <c r="I129" i="55"/>
  <c r="F132" i="39"/>
  <c r="B132" i="39"/>
  <c r="B129" i="59"/>
  <c r="F129" i="59"/>
  <c r="B132" i="44"/>
  <c r="F132" i="44"/>
  <c r="B127" i="76"/>
  <c r="F127" i="76"/>
  <c r="H134" i="69"/>
  <c r="I134" i="69"/>
  <c r="B133" i="17"/>
  <c r="F133" i="17"/>
  <c r="I133" i="71"/>
  <c r="H133" i="71"/>
  <c r="B132" i="74"/>
  <c r="F132" i="74"/>
  <c r="I122" i="98"/>
  <c r="H122" i="98"/>
  <c r="D124" i="93"/>
  <c r="G123" i="93"/>
  <c r="E124" i="93"/>
  <c r="I129" i="53"/>
  <c r="H129" i="53"/>
  <c r="B130" i="55"/>
  <c r="F130" i="55"/>
  <c r="F135" i="29"/>
  <c r="B135" i="29"/>
  <c r="B125" i="94"/>
  <c r="F125" i="94"/>
  <c r="H127" i="68"/>
  <c r="I127" i="68"/>
  <c r="I131" i="39"/>
  <c r="H131" i="39"/>
  <c r="I128" i="59"/>
  <c r="H128" i="59"/>
  <c r="F126" i="85"/>
  <c r="B126" i="85"/>
  <c r="I125" i="85"/>
  <c r="H125" i="85"/>
  <c r="I125" i="86"/>
  <c r="H125" i="86"/>
  <c r="I125" i="80"/>
  <c r="H125" i="80"/>
  <c r="H131" i="41"/>
  <c r="I131" i="41"/>
  <c r="H134" i="70"/>
  <c r="I134" i="70"/>
  <c r="I133" i="23"/>
  <c r="H133" i="23"/>
  <c r="I126" i="76"/>
  <c r="H126" i="76"/>
  <c r="I124" i="84"/>
  <c r="H124" i="84"/>
  <c r="G128" i="61"/>
  <c r="D129" i="61"/>
  <c r="E129" i="61"/>
  <c r="J127" i="60"/>
  <c r="B135" i="69"/>
  <c r="F135" i="69"/>
  <c r="I132" i="17"/>
  <c r="H132" i="17"/>
  <c r="B119" i="102"/>
  <c r="F119" i="102"/>
  <c r="H134" i="30"/>
  <c r="I134" i="30"/>
  <c r="J121" i="99"/>
  <c r="B135" i="27"/>
  <c r="F135" i="27"/>
  <c r="F130" i="53"/>
  <c r="B130" i="53"/>
  <c r="I134" i="29"/>
  <c r="H134" i="29"/>
  <c r="H129" i="72"/>
  <c r="I129" i="72"/>
  <c r="F125" i="88"/>
  <c r="B125" i="88"/>
  <c r="F128" i="65"/>
  <c r="B128" i="65"/>
  <c r="F129" i="64"/>
  <c r="B129" i="64"/>
  <c r="H131" i="44"/>
  <c r="I131" i="44"/>
  <c r="B134" i="71"/>
  <c r="F134" i="71"/>
  <c r="I131" i="74"/>
  <c r="H131" i="74"/>
  <c r="F126" i="80"/>
  <c r="B126" i="80"/>
  <c r="I132" i="19"/>
  <c r="H132" i="19"/>
  <c r="F132" i="41"/>
  <c r="B132" i="41"/>
  <c r="I124" i="92"/>
  <c r="H124" i="92"/>
  <c r="F135" i="70"/>
  <c r="B135" i="70"/>
  <c r="F134" i="23"/>
  <c r="B134" i="23"/>
  <c r="B130" i="56"/>
  <c r="F130" i="56"/>
  <c r="F125" i="84"/>
  <c r="B125" i="84"/>
  <c r="D123" i="99"/>
  <c r="G122" i="99"/>
  <c r="E123" i="99"/>
  <c r="H132" i="34"/>
  <c r="I132" i="34"/>
  <c r="I118" i="102"/>
  <c r="H118" i="102"/>
  <c r="B135" i="30"/>
  <c r="F135" i="30"/>
  <c r="H134" i="27"/>
  <c r="I134" i="27"/>
  <c r="I125" i="83"/>
  <c r="H125" i="83"/>
  <c r="I127" i="66"/>
  <c r="H127" i="66"/>
  <c r="B133" i="22"/>
  <c r="F133" i="22"/>
  <c r="D133" i="20"/>
  <c r="G132" i="20"/>
  <c r="E133" i="20"/>
  <c r="F126" i="86"/>
  <c r="B126" i="86"/>
  <c r="G123" i="95"/>
  <c r="D124" i="95"/>
  <c r="E124" i="95"/>
  <c r="F130" i="54"/>
  <c r="B130" i="54"/>
  <c r="J122" i="93"/>
  <c r="I124" i="89"/>
  <c r="H124" i="89"/>
  <c r="F134" i="32"/>
  <c r="B134" i="32"/>
  <c r="B133" i="19"/>
  <c r="F133" i="19"/>
  <c r="I135" i="28"/>
  <c r="H135" i="28"/>
  <c r="B125" i="92"/>
  <c r="F125" i="92"/>
  <c r="I126" i="75"/>
  <c r="H126" i="75"/>
  <c r="H129" i="56"/>
  <c r="I129" i="56"/>
  <c r="F130" i="58"/>
  <c r="B130" i="58"/>
  <c r="D126" i="96"/>
  <c r="G125" i="96"/>
  <c r="E126" i="96"/>
  <c r="G132" i="18"/>
  <c r="D133" i="18"/>
  <c r="E133" i="18"/>
  <c r="B133" i="34"/>
  <c r="F133" i="34"/>
  <c r="G128" i="60"/>
  <c r="D129" i="60"/>
  <c r="E129" i="60"/>
  <c r="B125" i="87"/>
  <c r="F125" i="87"/>
  <c r="H127" i="67"/>
  <c r="I127" i="67"/>
  <c r="F126" i="83"/>
  <c r="B126" i="83"/>
  <c r="B127" i="78"/>
  <c r="F127" i="78"/>
  <c r="I128" i="62"/>
  <c r="H128" i="62"/>
  <c r="B128" i="66"/>
  <c r="F128" i="66"/>
  <c r="I131" i="43"/>
  <c r="H131" i="43"/>
  <c r="D124" i="97"/>
  <c r="G123" i="97"/>
  <c r="E124" i="97"/>
  <c r="F134" i="24"/>
  <c r="B134" i="24"/>
  <c r="I124" i="87"/>
  <c r="H124" i="87"/>
  <c r="F128" i="67"/>
  <c r="B128" i="67"/>
  <c r="F127" i="77"/>
  <c r="B127" i="77"/>
  <c r="I126" i="78"/>
  <c r="H126" i="78"/>
  <c r="F129" i="62"/>
  <c r="B129" i="62"/>
  <c r="F125" i="91"/>
  <c r="B125" i="91"/>
  <c r="B132" i="43"/>
  <c r="F132" i="43"/>
  <c r="J134" i="69" l="1"/>
  <c r="J125" i="82"/>
  <c r="J126" i="77"/>
  <c r="J132" i="3"/>
  <c r="J129" i="46"/>
  <c r="D120" i="13"/>
  <c r="G119" i="13"/>
  <c r="E120" i="13"/>
  <c r="J118" i="13"/>
  <c r="J129" i="53"/>
  <c r="J126" i="76"/>
  <c r="J125" i="80"/>
  <c r="J133" i="71"/>
  <c r="J125" i="83"/>
  <c r="J127" i="67"/>
  <c r="J134" i="27"/>
  <c r="J134" i="30"/>
  <c r="J127" i="65"/>
  <c r="J126" i="78"/>
  <c r="J128" i="59"/>
  <c r="J129" i="58"/>
  <c r="J131" i="43"/>
  <c r="J128" i="62"/>
  <c r="J131" i="41"/>
  <c r="J129" i="55"/>
  <c r="J124" i="90"/>
  <c r="J124" i="88"/>
  <c r="J125" i="101"/>
  <c r="J127" i="66"/>
  <c r="J118" i="102"/>
  <c r="J132" i="17"/>
  <c r="J124" i="84"/>
  <c r="J125" i="81"/>
  <c r="J128" i="64"/>
  <c r="J132" i="19"/>
  <c r="J129" i="57"/>
  <c r="J124" i="87"/>
  <c r="J135" i="28"/>
  <c r="J134" i="29"/>
  <c r="J134" i="70"/>
  <c r="J124" i="91"/>
  <c r="G129" i="62"/>
  <c r="D130" i="62"/>
  <c r="E130" i="62"/>
  <c r="D129" i="66"/>
  <c r="G128" i="66"/>
  <c r="E129" i="66"/>
  <c r="G130" i="58"/>
  <c r="D131" i="58"/>
  <c r="E131" i="58"/>
  <c r="G134" i="23"/>
  <c r="D135" i="23"/>
  <c r="E135" i="23"/>
  <c r="H123" i="93"/>
  <c r="I123" i="93"/>
  <c r="G126" i="82"/>
  <c r="D127" i="82"/>
  <c r="E127" i="82"/>
  <c r="D131" i="46"/>
  <c r="G130" i="46"/>
  <c r="E131" i="46"/>
  <c r="J129" i="56"/>
  <c r="D134" i="19"/>
  <c r="G133" i="19"/>
  <c r="E134" i="19"/>
  <c r="G130" i="54"/>
  <c r="D131" i="54"/>
  <c r="E131" i="54"/>
  <c r="F133" i="20"/>
  <c r="B133" i="20"/>
  <c r="I122" i="99"/>
  <c r="H122" i="99"/>
  <c r="J133" i="23"/>
  <c r="J125" i="86"/>
  <c r="B124" i="93"/>
  <c r="F124" i="93"/>
  <c r="G132" i="42"/>
  <c r="D133" i="42"/>
  <c r="E133" i="42"/>
  <c r="G130" i="72"/>
  <c r="D131" i="72"/>
  <c r="E131" i="72"/>
  <c r="J131" i="73"/>
  <c r="J131" i="42"/>
  <c r="J130" i="45"/>
  <c r="B134" i="31"/>
  <c r="F134" i="31"/>
  <c r="D127" i="81"/>
  <c r="G126" i="81"/>
  <c r="E127" i="81"/>
  <c r="G131" i="45"/>
  <c r="D132" i="45"/>
  <c r="E132" i="45"/>
  <c r="D135" i="24"/>
  <c r="G134" i="24"/>
  <c r="E135" i="24"/>
  <c r="D126" i="87"/>
  <c r="G125" i="87"/>
  <c r="E126" i="87"/>
  <c r="F133" i="18"/>
  <c r="B133" i="18"/>
  <c r="D134" i="22"/>
  <c r="G133" i="22"/>
  <c r="E134" i="22"/>
  <c r="G135" i="30"/>
  <c r="D136" i="30"/>
  <c r="E136" i="30"/>
  <c r="B123" i="99"/>
  <c r="F123" i="99"/>
  <c r="G135" i="70"/>
  <c r="D136" i="70"/>
  <c r="E136" i="70"/>
  <c r="D127" i="80"/>
  <c r="G126" i="80"/>
  <c r="E127" i="80"/>
  <c r="D130" i="64"/>
  <c r="G129" i="64"/>
  <c r="E130" i="64"/>
  <c r="D120" i="102"/>
  <c r="G119" i="102"/>
  <c r="E120" i="102"/>
  <c r="F129" i="61"/>
  <c r="B129" i="61"/>
  <c r="G135" i="29"/>
  <c r="D136" i="29"/>
  <c r="E136" i="29"/>
  <c r="G123" i="98"/>
  <c r="D124" i="98"/>
  <c r="E124" i="98"/>
  <c r="G136" i="28"/>
  <c r="D137" i="28"/>
  <c r="E137" i="28"/>
  <c r="I128" i="61"/>
  <c r="H128" i="61"/>
  <c r="J125" i="85"/>
  <c r="D131" i="55"/>
  <c r="G130" i="55"/>
  <c r="E131" i="55"/>
  <c r="J122" i="98"/>
  <c r="G132" i="39"/>
  <c r="D133" i="39"/>
  <c r="E133" i="39"/>
  <c r="J128" i="63"/>
  <c r="D129" i="68"/>
  <c r="G128" i="68"/>
  <c r="E129" i="68"/>
  <c r="G127" i="79"/>
  <c r="D128" i="79"/>
  <c r="E128" i="79"/>
  <c r="D130" i="63"/>
  <c r="G129" i="63"/>
  <c r="E130" i="63"/>
  <c r="G126" i="101"/>
  <c r="D127" i="101"/>
  <c r="E127" i="101"/>
  <c r="G133" i="21"/>
  <c r="D134" i="21"/>
  <c r="E134" i="21"/>
  <c r="D130" i="59"/>
  <c r="G129" i="59"/>
  <c r="E130" i="59"/>
  <c r="G132" i="43"/>
  <c r="D133" i="43"/>
  <c r="E133" i="43"/>
  <c r="I132" i="18"/>
  <c r="H132" i="18"/>
  <c r="F124" i="95"/>
  <c r="B124" i="95"/>
  <c r="G127" i="77"/>
  <c r="D128" i="77"/>
  <c r="E128" i="77"/>
  <c r="H123" i="97"/>
  <c r="I123" i="97"/>
  <c r="D128" i="78"/>
  <c r="G127" i="78"/>
  <c r="E128" i="78"/>
  <c r="J126" i="75"/>
  <c r="G134" i="32"/>
  <c r="D135" i="32"/>
  <c r="E135" i="32"/>
  <c r="H123" i="95"/>
  <c r="I123" i="95"/>
  <c r="D126" i="84"/>
  <c r="G125" i="84"/>
  <c r="E126" i="84"/>
  <c r="J124" i="92"/>
  <c r="J131" i="74"/>
  <c r="D129" i="65"/>
  <c r="G128" i="65"/>
  <c r="E129" i="65"/>
  <c r="D131" i="53"/>
  <c r="G130" i="53"/>
  <c r="E131" i="53"/>
  <c r="J131" i="39"/>
  <c r="D133" i="74"/>
  <c r="G132" i="74"/>
  <c r="E133" i="74"/>
  <c r="G127" i="76"/>
  <c r="D128" i="76"/>
  <c r="E128" i="76"/>
  <c r="D126" i="90"/>
  <c r="G125" i="90"/>
  <c r="E126" i="90"/>
  <c r="J124" i="94"/>
  <c r="D136" i="27"/>
  <c r="G135" i="27"/>
  <c r="E136" i="27"/>
  <c r="D127" i="85"/>
  <c r="G126" i="85"/>
  <c r="E127" i="85"/>
  <c r="J127" i="68"/>
  <c r="D134" i="3"/>
  <c r="G133" i="3"/>
  <c r="E134" i="3"/>
  <c r="J126" i="79"/>
  <c r="J133" i="32"/>
  <c r="H132" i="20"/>
  <c r="I132" i="20"/>
  <c r="G133" i="17"/>
  <c r="D134" i="17"/>
  <c r="E134" i="17"/>
  <c r="I133" i="31"/>
  <c r="H133" i="31"/>
  <c r="F129" i="60"/>
  <c r="B129" i="60"/>
  <c r="I125" i="96"/>
  <c r="H125" i="96"/>
  <c r="G125" i="92"/>
  <c r="D126" i="92"/>
  <c r="E126" i="92"/>
  <c r="D131" i="56"/>
  <c r="G130" i="56"/>
  <c r="E131" i="56"/>
  <c r="G134" i="71"/>
  <c r="D135" i="71"/>
  <c r="E135" i="71"/>
  <c r="D126" i="91"/>
  <c r="G125" i="91"/>
  <c r="E126" i="91"/>
  <c r="G128" i="67"/>
  <c r="D129" i="67"/>
  <c r="E129" i="67"/>
  <c r="H128" i="60"/>
  <c r="I128" i="60"/>
  <c r="B126" i="96"/>
  <c r="F126" i="96"/>
  <c r="J124" i="89"/>
  <c r="D127" i="86"/>
  <c r="G126" i="86"/>
  <c r="E127" i="86"/>
  <c r="J132" i="34"/>
  <c r="G132" i="41"/>
  <c r="D133" i="41"/>
  <c r="E133" i="41"/>
  <c r="G125" i="88"/>
  <c r="D126" i="88"/>
  <c r="E126" i="88"/>
  <c r="D136" i="69"/>
  <c r="G135" i="69"/>
  <c r="E136" i="69"/>
  <c r="G132" i="44"/>
  <c r="D133" i="44"/>
  <c r="E133" i="44"/>
  <c r="B124" i="97"/>
  <c r="F124" i="97"/>
  <c r="D127" i="83"/>
  <c r="G126" i="83"/>
  <c r="E127" i="83"/>
  <c r="G133" i="34"/>
  <c r="D134" i="34"/>
  <c r="E134" i="34"/>
  <c r="J131" i="44"/>
  <c r="J129" i="72"/>
  <c r="G125" i="94"/>
  <c r="D126" i="94"/>
  <c r="E126" i="94"/>
  <c r="G132" i="73"/>
  <c r="D133" i="73"/>
  <c r="E133" i="73"/>
  <c r="J132" i="22"/>
  <c r="J132" i="21"/>
  <c r="J129" i="54"/>
  <c r="J133" i="24"/>
  <c r="D131" i="57"/>
  <c r="G130" i="57"/>
  <c r="E131" i="57"/>
  <c r="G127" i="75"/>
  <c r="D128" i="75"/>
  <c r="E128" i="75"/>
  <c r="D126" i="89"/>
  <c r="G125" i="89"/>
  <c r="E126" i="89"/>
  <c r="J128" i="60" l="1"/>
  <c r="J125" i="96"/>
  <c r="H119" i="13"/>
  <c r="I119" i="13"/>
  <c r="J119" i="13" s="1"/>
  <c r="B120" i="13"/>
  <c r="F120" i="13"/>
  <c r="J132" i="18"/>
  <c r="J133" i="31"/>
  <c r="J122" i="99"/>
  <c r="B133" i="41"/>
  <c r="F133" i="41"/>
  <c r="F134" i="3"/>
  <c r="B134" i="3"/>
  <c r="H127" i="75"/>
  <c r="I127" i="75"/>
  <c r="F126" i="88"/>
  <c r="B126" i="88"/>
  <c r="F133" i="73"/>
  <c r="B133" i="73"/>
  <c r="B134" i="34"/>
  <c r="F134" i="34"/>
  <c r="B133" i="44"/>
  <c r="F133" i="44"/>
  <c r="H125" i="88"/>
  <c r="I125" i="88"/>
  <c r="F131" i="56"/>
  <c r="B131" i="56"/>
  <c r="F128" i="76"/>
  <c r="B128" i="76"/>
  <c r="B131" i="53"/>
  <c r="F131" i="53"/>
  <c r="B126" i="84"/>
  <c r="F126" i="84"/>
  <c r="H127" i="78"/>
  <c r="I127" i="78"/>
  <c r="G124" i="95"/>
  <c r="D125" i="95"/>
  <c r="E125" i="95"/>
  <c r="B130" i="59"/>
  <c r="F130" i="59"/>
  <c r="H126" i="101"/>
  <c r="I126" i="101"/>
  <c r="I128" i="68"/>
  <c r="H128" i="68"/>
  <c r="H130" i="55"/>
  <c r="I130" i="55"/>
  <c r="F127" i="80"/>
  <c r="B127" i="80"/>
  <c r="H135" i="30"/>
  <c r="I135" i="30"/>
  <c r="F126" i="87"/>
  <c r="B126" i="87"/>
  <c r="I126" i="81"/>
  <c r="H126" i="81"/>
  <c r="B131" i="72"/>
  <c r="F131" i="72"/>
  <c r="F127" i="82"/>
  <c r="B127" i="82"/>
  <c r="B131" i="58"/>
  <c r="F131" i="58"/>
  <c r="H132" i="41"/>
  <c r="I132" i="41"/>
  <c r="H130" i="57"/>
  <c r="I130" i="57"/>
  <c r="H132" i="73"/>
  <c r="I132" i="73"/>
  <c r="H133" i="34"/>
  <c r="I133" i="34"/>
  <c r="H132" i="44"/>
  <c r="I132" i="44"/>
  <c r="G126" i="96"/>
  <c r="D127" i="96"/>
  <c r="E127" i="96"/>
  <c r="H125" i="91"/>
  <c r="I125" i="91"/>
  <c r="H135" i="27"/>
  <c r="I135" i="27"/>
  <c r="I127" i="76"/>
  <c r="H127" i="76"/>
  <c r="J123" i="95"/>
  <c r="F128" i="78"/>
  <c r="B128" i="78"/>
  <c r="B129" i="68"/>
  <c r="F129" i="68"/>
  <c r="B131" i="55"/>
  <c r="F131" i="55"/>
  <c r="B124" i="98"/>
  <c r="F124" i="98"/>
  <c r="I119" i="102"/>
  <c r="H119" i="102"/>
  <c r="F127" i="81"/>
  <c r="B127" i="81"/>
  <c r="H130" i="72"/>
  <c r="I130" i="72"/>
  <c r="H133" i="19"/>
  <c r="I133" i="19"/>
  <c r="I126" i="82"/>
  <c r="H126" i="82"/>
  <c r="H130" i="58"/>
  <c r="I130" i="58"/>
  <c r="B126" i="92"/>
  <c r="F126" i="92"/>
  <c r="I133" i="3"/>
  <c r="H133" i="3"/>
  <c r="F136" i="27"/>
  <c r="B136" i="27"/>
  <c r="I128" i="65"/>
  <c r="H128" i="65"/>
  <c r="J123" i="97"/>
  <c r="H129" i="63"/>
  <c r="I129" i="63"/>
  <c r="H123" i="98"/>
  <c r="I123" i="98"/>
  <c r="B120" i="102"/>
  <c r="F120" i="102"/>
  <c r="F136" i="70"/>
  <c r="B136" i="70"/>
  <c r="I133" i="22"/>
  <c r="H133" i="22"/>
  <c r="H134" i="24"/>
  <c r="I134" i="24"/>
  <c r="D135" i="31"/>
  <c r="G134" i="31"/>
  <c r="E135" i="31"/>
  <c r="B134" i="19"/>
  <c r="F134" i="19"/>
  <c r="J123" i="93"/>
  <c r="B135" i="24"/>
  <c r="F135" i="24"/>
  <c r="B133" i="42"/>
  <c r="F133" i="42"/>
  <c r="H128" i="66"/>
  <c r="I128" i="66"/>
  <c r="F130" i="63"/>
  <c r="B130" i="63"/>
  <c r="I135" i="70"/>
  <c r="H135" i="70"/>
  <c r="H125" i="94"/>
  <c r="I125" i="94"/>
  <c r="F127" i="83"/>
  <c r="B127" i="83"/>
  <c r="H135" i="69"/>
  <c r="I135" i="69"/>
  <c r="F135" i="71"/>
  <c r="B135" i="71"/>
  <c r="H133" i="17"/>
  <c r="I133" i="17"/>
  <c r="F133" i="74"/>
  <c r="B133" i="74"/>
  <c r="F135" i="32"/>
  <c r="B135" i="32"/>
  <c r="B133" i="43"/>
  <c r="F133" i="43"/>
  <c r="B134" i="21"/>
  <c r="F134" i="21"/>
  <c r="F133" i="39"/>
  <c r="B133" i="39"/>
  <c r="J128" i="61"/>
  <c r="B136" i="29"/>
  <c r="F136" i="29"/>
  <c r="I129" i="64"/>
  <c r="H129" i="64"/>
  <c r="D124" i="99"/>
  <c r="G123" i="99"/>
  <c r="E124" i="99"/>
  <c r="H132" i="42"/>
  <c r="I132" i="42"/>
  <c r="G133" i="20"/>
  <c r="D134" i="20"/>
  <c r="E134" i="20"/>
  <c r="B129" i="66"/>
  <c r="F129" i="66"/>
  <c r="B126" i="94"/>
  <c r="F126" i="94"/>
  <c r="H125" i="92"/>
  <c r="I125" i="92"/>
  <c r="I132" i="74"/>
  <c r="H132" i="74"/>
  <c r="B129" i="65"/>
  <c r="F129" i="65"/>
  <c r="B134" i="22"/>
  <c r="F134" i="22"/>
  <c r="B126" i="89"/>
  <c r="F126" i="89"/>
  <c r="G124" i="97"/>
  <c r="D125" i="97"/>
  <c r="E125" i="97"/>
  <c r="F136" i="69"/>
  <c r="B136" i="69"/>
  <c r="I134" i="71"/>
  <c r="H134" i="71"/>
  <c r="J132" i="20"/>
  <c r="I125" i="90"/>
  <c r="H125" i="90"/>
  <c r="I134" i="32"/>
  <c r="H134" i="32"/>
  <c r="B128" i="77"/>
  <c r="F128" i="77"/>
  <c r="I132" i="43"/>
  <c r="H132" i="43"/>
  <c r="H133" i="21"/>
  <c r="I133" i="21"/>
  <c r="B128" i="79"/>
  <c r="F128" i="79"/>
  <c r="H132" i="39"/>
  <c r="I132" i="39"/>
  <c r="I135" i="29"/>
  <c r="H135" i="29"/>
  <c r="B130" i="64"/>
  <c r="F130" i="64"/>
  <c r="G133" i="18"/>
  <c r="D134" i="18"/>
  <c r="E134" i="18"/>
  <c r="F132" i="45"/>
  <c r="B132" i="45"/>
  <c r="G124" i="93"/>
  <c r="D125" i="93"/>
  <c r="E125" i="93"/>
  <c r="H130" i="46"/>
  <c r="I130" i="46"/>
  <c r="F135" i="23"/>
  <c r="B135" i="23"/>
  <c r="B131" i="57"/>
  <c r="F131" i="57"/>
  <c r="B126" i="91"/>
  <c r="F126" i="91"/>
  <c r="H125" i="89"/>
  <c r="I125" i="89"/>
  <c r="I126" i="83"/>
  <c r="H126" i="83"/>
  <c r="F134" i="17"/>
  <c r="B134" i="17"/>
  <c r="F128" i="75"/>
  <c r="B128" i="75"/>
  <c r="H126" i="86"/>
  <c r="I126" i="86"/>
  <c r="B129" i="67"/>
  <c r="F129" i="67"/>
  <c r="I126" i="85"/>
  <c r="H126" i="85"/>
  <c r="B126" i="90"/>
  <c r="F126" i="90"/>
  <c r="H127" i="77"/>
  <c r="I127" i="77"/>
  <c r="H127" i="79"/>
  <c r="I127" i="79"/>
  <c r="B137" i="28"/>
  <c r="F137" i="28"/>
  <c r="I131" i="45"/>
  <c r="H131" i="45"/>
  <c r="B131" i="54"/>
  <c r="F131" i="54"/>
  <c r="F131" i="46"/>
  <c r="B131" i="46"/>
  <c r="H134" i="23"/>
  <c r="I134" i="23"/>
  <c r="F130" i="62"/>
  <c r="B130" i="62"/>
  <c r="B127" i="86"/>
  <c r="F127" i="86"/>
  <c r="I128" i="67"/>
  <c r="H128" i="67"/>
  <c r="I130" i="56"/>
  <c r="H130" i="56"/>
  <c r="D130" i="60"/>
  <c r="G129" i="60"/>
  <c r="E130" i="60"/>
  <c r="F127" i="85"/>
  <c r="B127" i="85"/>
  <c r="I130" i="53"/>
  <c r="H130" i="53"/>
  <c r="I125" i="84"/>
  <c r="H125" i="84"/>
  <c r="I129" i="59"/>
  <c r="H129" i="59"/>
  <c r="F127" i="101"/>
  <c r="B127" i="101"/>
  <c r="I136" i="28"/>
  <c r="H136" i="28"/>
  <c r="D130" i="61"/>
  <c r="G129" i="61"/>
  <c r="E130" i="61"/>
  <c r="I126" i="80"/>
  <c r="H126" i="80"/>
  <c r="F136" i="30"/>
  <c r="B136" i="30"/>
  <c r="H125" i="87"/>
  <c r="I125" i="87"/>
  <c r="H130" i="54"/>
  <c r="I130" i="54"/>
  <c r="I129" i="62"/>
  <c r="H129" i="62"/>
  <c r="J126" i="80" l="1"/>
  <c r="J129" i="62"/>
  <c r="J135" i="69"/>
  <c r="J134" i="32"/>
  <c r="J127" i="78"/>
  <c r="G120" i="13"/>
  <c r="D121" i="13"/>
  <c r="E121" i="13"/>
  <c r="J130" i="54"/>
  <c r="J133" i="21"/>
  <c r="J125" i="91"/>
  <c r="J125" i="84"/>
  <c r="J135" i="70"/>
  <c r="J127" i="79"/>
  <c r="J125" i="87"/>
  <c r="J134" i="23"/>
  <c r="J125" i="92"/>
  <c r="J133" i="19"/>
  <c r="J129" i="63"/>
  <c r="J134" i="71"/>
  <c r="J136" i="28"/>
  <c r="J130" i="53"/>
  <c r="J128" i="66"/>
  <c r="J132" i="44"/>
  <c r="J132" i="41"/>
  <c r="J128" i="65"/>
  <c r="J127" i="75"/>
  <c r="J130" i="55"/>
  <c r="J132" i="73"/>
  <c r="J132" i="42"/>
  <c r="J129" i="59"/>
  <c r="J126" i="83"/>
  <c r="J127" i="76"/>
  <c r="B130" i="61"/>
  <c r="F130" i="61"/>
  <c r="G131" i="57"/>
  <c r="D132" i="57"/>
  <c r="E132" i="57"/>
  <c r="I124" i="93"/>
  <c r="H124" i="93"/>
  <c r="G136" i="29"/>
  <c r="D137" i="29"/>
  <c r="E137" i="29"/>
  <c r="G136" i="30"/>
  <c r="D137" i="30"/>
  <c r="E137" i="30"/>
  <c r="J128" i="67"/>
  <c r="D128" i="82"/>
  <c r="G127" i="82"/>
  <c r="E128" i="82"/>
  <c r="G126" i="84"/>
  <c r="D127" i="84"/>
  <c r="E127" i="84"/>
  <c r="J125" i="88"/>
  <c r="D127" i="90"/>
  <c r="G126" i="90"/>
  <c r="E127" i="90"/>
  <c r="B135" i="31"/>
  <c r="F135" i="31"/>
  <c r="G137" i="28"/>
  <c r="D138" i="28"/>
  <c r="E138" i="28"/>
  <c r="G126" i="89"/>
  <c r="D127" i="89"/>
  <c r="E127" i="89"/>
  <c r="I133" i="20"/>
  <c r="H133" i="20"/>
  <c r="G135" i="71"/>
  <c r="D136" i="71"/>
  <c r="E136" i="71"/>
  <c r="G131" i="46"/>
  <c r="D132" i="46"/>
  <c r="E132" i="46"/>
  <c r="G135" i="23"/>
  <c r="D136" i="23"/>
  <c r="E136" i="23"/>
  <c r="G127" i="101"/>
  <c r="D128" i="101"/>
  <c r="E128" i="101"/>
  <c r="G127" i="85"/>
  <c r="D128" i="85"/>
  <c r="E128" i="85"/>
  <c r="G127" i="86"/>
  <c r="D128" i="86"/>
  <c r="E128" i="86"/>
  <c r="G131" i="54"/>
  <c r="D132" i="54"/>
  <c r="E132" i="54"/>
  <c r="J127" i="77"/>
  <c r="J126" i="86"/>
  <c r="J125" i="89"/>
  <c r="J130" i="46"/>
  <c r="F134" i="18"/>
  <c r="B134" i="18"/>
  <c r="G128" i="79"/>
  <c r="D129" i="79"/>
  <c r="E129" i="79"/>
  <c r="D137" i="69"/>
  <c r="G136" i="69"/>
  <c r="E137" i="69"/>
  <c r="D130" i="65"/>
  <c r="G129" i="65"/>
  <c r="E130" i="65"/>
  <c r="D130" i="66"/>
  <c r="G129" i="66"/>
  <c r="E130" i="66"/>
  <c r="H123" i="99"/>
  <c r="I123" i="99"/>
  <c r="D134" i="39"/>
  <c r="G133" i="39"/>
  <c r="E134" i="39"/>
  <c r="D134" i="74"/>
  <c r="G133" i="74"/>
  <c r="E134" i="74"/>
  <c r="D128" i="83"/>
  <c r="G127" i="83"/>
  <c r="E128" i="83"/>
  <c r="D137" i="70"/>
  <c r="G136" i="70"/>
  <c r="E137" i="70"/>
  <c r="J130" i="58"/>
  <c r="G129" i="68"/>
  <c r="D130" i="68"/>
  <c r="E130" i="68"/>
  <c r="J135" i="27"/>
  <c r="G131" i="72"/>
  <c r="D132" i="72"/>
  <c r="E132" i="72"/>
  <c r="D131" i="59"/>
  <c r="G130" i="59"/>
  <c r="E131" i="59"/>
  <c r="D127" i="88"/>
  <c r="G126" i="88"/>
  <c r="E127" i="88"/>
  <c r="I133" i="18"/>
  <c r="H133" i="18"/>
  <c r="F124" i="99"/>
  <c r="B124" i="99"/>
  <c r="D135" i="21"/>
  <c r="G134" i="21"/>
  <c r="E135" i="21"/>
  <c r="J133" i="17"/>
  <c r="J125" i="94"/>
  <c r="D134" i="42"/>
  <c r="G133" i="42"/>
  <c r="E134" i="42"/>
  <c r="H134" i="31"/>
  <c r="I134" i="31"/>
  <c r="G120" i="102"/>
  <c r="D121" i="102"/>
  <c r="E121" i="102"/>
  <c r="G127" i="81"/>
  <c r="D128" i="81"/>
  <c r="E128" i="81"/>
  <c r="J133" i="34"/>
  <c r="G127" i="80"/>
  <c r="D128" i="80"/>
  <c r="E128" i="80"/>
  <c r="D132" i="53"/>
  <c r="G131" i="53"/>
  <c r="E132" i="53"/>
  <c r="D134" i="44"/>
  <c r="G133" i="44"/>
  <c r="E134" i="44"/>
  <c r="H129" i="60"/>
  <c r="I129" i="60"/>
  <c r="B125" i="97"/>
  <c r="F125" i="97"/>
  <c r="H129" i="61"/>
  <c r="I129" i="61"/>
  <c r="B130" i="60"/>
  <c r="F130" i="60"/>
  <c r="G130" i="62"/>
  <c r="D131" i="62"/>
  <c r="E131" i="62"/>
  <c r="J131" i="45"/>
  <c r="G128" i="75"/>
  <c r="D129" i="75"/>
  <c r="E129" i="75"/>
  <c r="B125" i="93"/>
  <c r="F125" i="93"/>
  <c r="J125" i="90"/>
  <c r="H124" i="97"/>
  <c r="I124" i="97"/>
  <c r="J132" i="74"/>
  <c r="F134" i="20"/>
  <c r="B134" i="20"/>
  <c r="J129" i="64"/>
  <c r="D134" i="43"/>
  <c r="G133" i="43"/>
  <c r="E134" i="43"/>
  <c r="D136" i="24"/>
  <c r="G135" i="24"/>
  <c r="E136" i="24"/>
  <c r="J134" i="24"/>
  <c r="J123" i="98"/>
  <c r="D137" i="27"/>
  <c r="G136" i="27"/>
  <c r="E137" i="27"/>
  <c r="J126" i="82"/>
  <c r="J119" i="102"/>
  <c r="J126" i="81"/>
  <c r="B125" i="95"/>
  <c r="F125" i="95"/>
  <c r="D135" i="34"/>
  <c r="G134" i="34"/>
  <c r="E135" i="34"/>
  <c r="G124" i="98"/>
  <c r="D125" i="98"/>
  <c r="E125" i="98"/>
  <c r="G128" i="78"/>
  <c r="D129" i="78"/>
  <c r="E129" i="78"/>
  <c r="G131" i="58"/>
  <c r="D132" i="58"/>
  <c r="E132" i="58"/>
  <c r="I124" i="95"/>
  <c r="H124" i="95"/>
  <c r="D129" i="76"/>
  <c r="G128" i="76"/>
  <c r="E129" i="76"/>
  <c r="G134" i="3"/>
  <c r="D135" i="3"/>
  <c r="E135" i="3"/>
  <c r="J130" i="56"/>
  <c r="J126" i="85"/>
  <c r="D135" i="17"/>
  <c r="G134" i="17"/>
  <c r="E135" i="17"/>
  <c r="J135" i="29"/>
  <c r="J132" i="43"/>
  <c r="J133" i="3"/>
  <c r="F127" i="96"/>
  <c r="B127" i="96"/>
  <c r="J130" i="57"/>
  <c r="G126" i="87"/>
  <c r="D127" i="87"/>
  <c r="E127" i="87"/>
  <c r="J128" i="68"/>
  <c r="D134" i="41"/>
  <c r="G133" i="41"/>
  <c r="E134" i="41"/>
  <c r="G126" i="91"/>
  <c r="D127" i="91"/>
  <c r="E127" i="91"/>
  <c r="D131" i="64"/>
  <c r="G130" i="64"/>
  <c r="E131" i="64"/>
  <c r="G129" i="67"/>
  <c r="D130" i="67"/>
  <c r="E130" i="67"/>
  <c r="G132" i="45"/>
  <c r="D133" i="45"/>
  <c r="E133" i="45"/>
  <c r="J132" i="39"/>
  <c r="G128" i="77"/>
  <c r="D129" i="77"/>
  <c r="E129" i="77"/>
  <c r="D135" i="22"/>
  <c r="G134" i="22"/>
  <c r="E135" i="22"/>
  <c r="G126" i="94"/>
  <c r="D127" i="94"/>
  <c r="E127" i="94"/>
  <c r="D136" i="32"/>
  <c r="G135" i="32"/>
  <c r="E136" i="32"/>
  <c r="D131" i="63"/>
  <c r="G130" i="63"/>
  <c r="E131" i="63"/>
  <c r="G134" i="19"/>
  <c r="D135" i="19"/>
  <c r="E135" i="19"/>
  <c r="J133" i="22"/>
  <c r="G126" i="92"/>
  <c r="D127" i="92"/>
  <c r="E127" i="92"/>
  <c r="J130" i="72"/>
  <c r="D132" i="55"/>
  <c r="G131" i="55"/>
  <c r="E132" i="55"/>
  <c r="I126" i="96"/>
  <c r="H126" i="96"/>
  <c r="J135" i="30"/>
  <c r="J126" i="101"/>
  <c r="G131" i="56"/>
  <c r="D132" i="56"/>
  <c r="E132" i="56"/>
  <c r="G133" i="73"/>
  <c r="D134" i="73"/>
  <c r="E134" i="73"/>
  <c r="B121" i="13" l="1"/>
  <c r="F121" i="13"/>
  <c r="H120" i="13"/>
  <c r="I120" i="13"/>
  <c r="J133" i="20"/>
  <c r="J129" i="60"/>
  <c r="J124" i="95"/>
  <c r="J123" i="99"/>
  <c r="I134" i="22"/>
  <c r="H134" i="22"/>
  <c r="I127" i="82"/>
  <c r="H127" i="82"/>
  <c r="I136" i="29"/>
  <c r="H136" i="29"/>
  <c r="D125" i="99"/>
  <c r="G124" i="99"/>
  <c r="E125" i="99"/>
  <c r="F135" i="17"/>
  <c r="B135" i="17"/>
  <c r="B129" i="76"/>
  <c r="F129" i="76"/>
  <c r="H128" i="78"/>
  <c r="I128" i="78"/>
  <c r="B128" i="80"/>
  <c r="F128" i="80"/>
  <c r="H127" i="81"/>
  <c r="I127" i="81"/>
  <c r="B134" i="42"/>
  <c r="F134" i="42"/>
  <c r="B134" i="74"/>
  <c r="F134" i="74"/>
  <c r="F130" i="66"/>
  <c r="B130" i="66"/>
  <c r="B129" i="79"/>
  <c r="F129" i="79"/>
  <c r="I127" i="85"/>
  <c r="H127" i="85"/>
  <c r="F132" i="46"/>
  <c r="B132" i="46"/>
  <c r="B127" i="89"/>
  <c r="F127" i="89"/>
  <c r="I126" i="90"/>
  <c r="H126" i="90"/>
  <c r="B128" i="82"/>
  <c r="F128" i="82"/>
  <c r="B127" i="92"/>
  <c r="F127" i="92"/>
  <c r="H133" i="42"/>
  <c r="I133" i="42"/>
  <c r="I133" i="74"/>
  <c r="H133" i="74"/>
  <c r="I126" i="92"/>
  <c r="H126" i="92"/>
  <c r="F135" i="22"/>
  <c r="B135" i="22"/>
  <c r="H126" i="91"/>
  <c r="I126" i="91"/>
  <c r="F134" i="73"/>
  <c r="B134" i="73"/>
  <c r="J126" i="96"/>
  <c r="I135" i="32"/>
  <c r="H135" i="32"/>
  <c r="B130" i="67"/>
  <c r="F130" i="67"/>
  <c r="D135" i="20"/>
  <c r="G134" i="20"/>
  <c r="E135" i="20"/>
  <c r="B129" i="75"/>
  <c r="F129" i="75"/>
  <c r="J129" i="61"/>
  <c r="H127" i="80"/>
  <c r="I127" i="80"/>
  <c r="J133" i="18"/>
  <c r="B132" i="72"/>
  <c r="F132" i="72"/>
  <c r="H136" i="70"/>
  <c r="I136" i="70"/>
  <c r="I128" i="79"/>
  <c r="H128" i="79"/>
  <c r="B132" i="54"/>
  <c r="F132" i="54"/>
  <c r="I131" i="46"/>
  <c r="H131" i="46"/>
  <c r="H126" i="89"/>
  <c r="I126" i="89"/>
  <c r="F127" i="90"/>
  <c r="B127" i="90"/>
  <c r="J124" i="93"/>
  <c r="I132" i="45"/>
  <c r="H132" i="45"/>
  <c r="H128" i="76"/>
  <c r="I128" i="76"/>
  <c r="D131" i="60"/>
  <c r="G130" i="60"/>
  <c r="E131" i="60"/>
  <c r="B128" i="81"/>
  <c r="F128" i="81"/>
  <c r="B128" i="85"/>
  <c r="F128" i="85"/>
  <c r="H129" i="67"/>
  <c r="I129" i="67"/>
  <c r="B125" i="98"/>
  <c r="F125" i="98"/>
  <c r="I135" i="24"/>
  <c r="H135" i="24"/>
  <c r="H128" i="75"/>
  <c r="I128" i="75"/>
  <c r="I133" i="44"/>
  <c r="H133" i="44"/>
  <c r="B121" i="102"/>
  <c r="F121" i="102"/>
  <c r="H131" i="72"/>
  <c r="I131" i="72"/>
  <c r="F137" i="70"/>
  <c r="B137" i="70"/>
  <c r="H133" i="39"/>
  <c r="I133" i="39"/>
  <c r="H129" i="65"/>
  <c r="I129" i="65"/>
  <c r="I131" i="54"/>
  <c r="H131" i="54"/>
  <c r="B128" i="101"/>
  <c r="F128" i="101"/>
  <c r="B131" i="63"/>
  <c r="F131" i="63"/>
  <c r="I126" i="87"/>
  <c r="H126" i="87"/>
  <c r="B129" i="78"/>
  <c r="F129" i="78"/>
  <c r="B129" i="77"/>
  <c r="F129" i="77"/>
  <c r="I133" i="41"/>
  <c r="H133" i="41"/>
  <c r="G127" i="96"/>
  <c r="D128" i="96"/>
  <c r="E128" i="96"/>
  <c r="I131" i="55"/>
  <c r="H131" i="55"/>
  <c r="B135" i="19"/>
  <c r="F135" i="19"/>
  <c r="H128" i="77"/>
  <c r="I128" i="77"/>
  <c r="B134" i="41"/>
  <c r="F134" i="41"/>
  <c r="H124" i="98"/>
  <c r="I124" i="98"/>
  <c r="B136" i="24"/>
  <c r="F136" i="24"/>
  <c r="J124" i="97"/>
  <c r="F134" i="44"/>
  <c r="B134" i="44"/>
  <c r="I120" i="102"/>
  <c r="H120" i="102"/>
  <c r="I126" i="88"/>
  <c r="H126" i="88"/>
  <c r="F134" i="39"/>
  <c r="B134" i="39"/>
  <c r="B130" i="65"/>
  <c r="F130" i="65"/>
  <c r="D135" i="18"/>
  <c r="G134" i="18"/>
  <c r="E135" i="18"/>
  <c r="H127" i="101"/>
  <c r="I127" i="101"/>
  <c r="B136" i="71"/>
  <c r="F136" i="71"/>
  <c r="B138" i="28"/>
  <c r="F138" i="28"/>
  <c r="B137" i="30"/>
  <c r="F137" i="30"/>
  <c r="F132" i="57"/>
  <c r="B132" i="57"/>
  <c r="H134" i="17"/>
  <c r="I134" i="17"/>
  <c r="F132" i="56"/>
  <c r="B132" i="56"/>
  <c r="B132" i="55"/>
  <c r="F132" i="55"/>
  <c r="H134" i="19"/>
  <c r="I134" i="19"/>
  <c r="F135" i="3"/>
  <c r="B135" i="3"/>
  <c r="B132" i="58"/>
  <c r="F132" i="58"/>
  <c r="J134" i="31"/>
  <c r="I134" i="21"/>
  <c r="H134" i="21"/>
  <c r="F127" i="88"/>
  <c r="B127" i="88"/>
  <c r="I127" i="83"/>
  <c r="H127" i="83"/>
  <c r="F128" i="86"/>
  <c r="B128" i="86"/>
  <c r="I135" i="71"/>
  <c r="H135" i="71"/>
  <c r="H137" i="28"/>
  <c r="I137" i="28"/>
  <c r="B127" i="84"/>
  <c r="F127" i="84"/>
  <c r="I136" i="30"/>
  <c r="H136" i="30"/>
  <c r="H131" i="57"/>
  <c r="I131" i="57"/>
  <c r="B127" i="91"/>
  <c r="F127" i="91"/>
  <c r="G125" i="95"/>
  <c r="D126" i="95"/>
  <c r="E126" i="95"/>
  <c r="F131" i="59"/>
  <c r="B131" i="59"/>
  <c r="H129" i="66"/>
  <c r="I129" i="66"/>
  <c r="I133" i="73"/>
  <c r="H133" i="73"/>
  <c r="F136" i="32"/>
  <c r="B136" i="32"/>
  <c r="B127" i="94"/>
  <c r="F127" i="94"/>
  <c r="I130" i="64"/>
  <c r="H130" i="64"/>
  <c r="I131" i="56"/>
  <c r="H131" i="56"/>
  <c r="H126" i="94"/>
  <c r="I126" i="94"/>
  <c r="F131" i="64"/>
  <c r="B131" i="64"/>
  <c r="I134" i="3"/>
  <c r="H134" i="3"/>
  <c r="I131" i="58"/>
  <c r="H131" i="58"/>
  <c r="I134" i="34"/>
  <c r="H134" i="34"/>
  <c r="I136" i="27"/>
  <c r="H136" i="27"/>
  <c r="H133" i="43"/>
  <c r="I133" i="43"/>
  <c r="F131" i="62"/>
  <c r="B131" i="62"/>
  <c r="G125" i="97"/>
  <c r="D126" i="97"/>
  <c r="E126" i="97"/>
  <c r="H131" i="53"/>
  <c r="I131" i="53"/>
  <c r="B135" i="21"/>
  <c r="F135" i="21"/>
  <c r="B130" i="68"/>
  <c r="F130" i="68"/>
  <c r="B128" i="83"/>
  <c r="F128" i="83"/>
  <c r="I136" i="69"/>
  <c r="H136" i="69"/>
  <c r="I127" i="86"/>
  <c r="H127" i="86"/>
  <c r="B136" i="23"/>
  <c r="F136" i="23"/>
  <c r="G135" i="31"/>
  <c r="D136" i="31"/>
  <c r="E136" i="31"/>
  <c r="H126" i="84"/>
  <c r="I126" i="84"/>
  <c r="D131" i="61"/>
  <c r="G130" i="61"/>
  <c r="E131" i="61"/>
  <c r="H130" i="63"/>
  <c r="I130" i="63"/>
  <c r="F133" i="45"/>
  <c r="B133" i="45"/>
  <c r="B127" i="87"/>
  <c r="F127" i="87"/>
  <c r="F135" i="34"/>
  <c r="B135" i="34"/>
  <c r="F137" i="27"/>
  <c r="B137" i="27"/>
  <c r="B134" i="43"/>
  <c r="F134" i="43"/>
  <c r="G125" i="93"/>
  <c r="D126" i="93"/>
  <c r="E126" i="93"/>
  <c r="I130" i="62"/>
  <c r="H130" i="62"/>
  <c r="F132" i="53"/>
  <c r="B132" i="53"/>
  <c r="I130" i="59"/>
  <c r="H130" i="59"/>
  <c r="H129" i="68"/>
  <c r="I129" i="68"/>
  <c r="B137" i="69"/>
  <c r="F137" i="69"/>
  <c r="I135" i="23"/>
  <c r="H135" i="23"/>
  <c r="B137" i="29"/>
  <c r="F137" i="29"/>
  <c r="J120" i="13" l="1"/>
  <c r="J126" i="91"/>
  <c r="J133" i="42"/>
  <c r="E122" i="13"/>
  <c r="G121" i="13"/>
  <c r="D122" i="13"/>
  <c r="J126" i="84"/>
  <c r="J133" i="43"/>
  <c r="J129" i="66"/>
  <c r="J134" i="19"/>
  <c r="J127" i="101"/>
  <c r="J128" i="77"/>
  <c r="J128" i="79"/>
  <c r="J131" i="53"/>
  <c r="J131" i="57"/>
  <c r="J133" i="41"/>
  <c r="J128" i="78"/>
  <c r="J129" i="67"/>
  <c r="J126" i="89"/>
  <c r="J134" i="17"/>
  <c r="J128" i="75"/>
  <c r="J137" i="28"/>
  <c r="J133" i="73"/>
  <c r="J126" i="87"/>
  <c r="J132" i="45"/>
  <c r="J131" i="58"/>
  <c r="J136" i="27"/>
  <c r="J127" i="81"/>
  <c r="J131" i="56"/>
  <c r="J126" i="94"/>
  <c r="J136" i="30"/>
  <c r="J120" i="102"/>
  <c r="J124" i="98"/>
  <c r="J136" i="70"/>
  <c r="J135" i="32"/>
  <c r="J135" i="23"/>
  <c r="J131" i="72"/>
  <c r="J128" i="76"/>
  <c r="J127" i="85"/>
  <c r="G132" i="57"/>
  <c r="D133" i="57"/>
  <c r="E133" i="57"/>
  <c r="D132" i="63"/>
  <c r="G131" i="63"/>
  <c r="E132" i="63"/>
  <c r="J133" i="39"/>
  <c r="J135" i="24"/>
  <c r="J127" i="80"/>
  <c r="G130" i="67"/>
  <c r="D131" i="67"/>
  <c r="E131" i="67"/>
  <c r="D131" i="66"/>
  <c r="G130" i="66"/>
  <c r="E131" i="66"/>
  <c r="H124" i="99"/>
  <c r="I124" i="99"/>
  <c r="B131" i="61"/>
  <c r="F131" i="61"/>
  <c r="J127" i="86"/>
  <c r="G127" i="88"/>
  <c r="D128" i="88"/>
  <c r="E128" i="88"/>
  <c r="G134" i="44"/>
  <c r="D135" i="44"/>
  <c r="E135" i="44"/>
  <c r="J130" i="59"/>
  <c r="G134" i="43"/>
  <c r="D135" i="43"/>
  <c r="E135" i="43"/>
  <c r="J134" i="3"/>
  <c r="J130" i="64"/>
  <c r="G133" i="45"/>
  <c r="D134" i="45"/>
  <c r="E134" i="45"/>
  <c r="J136" i="69"/>
  <c r="D128" i="94"/>
  <c r="G127" i="94"/>
  <c r="E128" i="94"/>
  <c r="J135" i="71"/>
  <c r="J134" i="21"/>
  <c r="G132" i="55"/>
  <c r="D133" i="55"/>
  <c r="E133" i="55"/>
  <c r="D138" i="30"/>
  <c r="G137" i="30"/>
  <c r="E138" i="30"/>
  <c r="J126" i="88"/>
  <c r="G136" i="24"/>
  <c r="D137" i="24"/>
  <c r="E137" i="24"/>
  <c r="G135" i="19"/>
  <c r="D136" i="19"/>
  <c r="E136" i="19"/>
  <c r="D126" i="98"/>
  <c r="G125" i="98"/>
  <c r="E126" i="98"/>
  <c r="G127" i="92"/>
  <c r="D128" i="92"/>
  <c r="E128" i="92"/>
  <c r="D135" i="74"/>
  <c r="G134" i="74"/>
  <c r="E135" i="74"/>
  <c r="F125" i="99"/>
  <c r="B125" i="99"/>
  <c r="F126" i="97"/>
  <c r="B126" i="97"/>
  <c r="B126" i="93"/>
  <c r="F126" i="93"/>
  <c r="G127" i="87"/>
  <c r="D128" i="87"/>
  <c r="E128" i="87"/>
  <c r="G131" i="62"/>
  <c r="D132" i="62"/>
  <c r="E132" i="62"/>
  <c r="G132" i="53"/>
  <c r="D133" i="53"/>
  <c r="E133" i="53"/>
  <c r="J130" i="63"/>
  <c r="F136" i="31"/>
  <c r="B136" i="31"/>
  <c r="D129" i="83"/>
  <c r="G128" i="83"/>
  <c r="E129" i="83"/>
  <c r="D132" i="64"/>
  <c r="G131" i="64"/>
  <c r="E132" i="64"/>
  <c r="D132" i="59"/>
  <c r="G131" i="59"/>
  <c r="E132" i="59"/>
  <c r="H134" i="18"/>
  <c r="I134" i="18"/>
  <c r="G129" i="77"/>
  <c r="D130" i="77"/>
  <c r="E130" i="77"/>
  <c r="G128" i="101"/>
  <c r="D129" i="101"/>
  <c r="E129" i="101"/>
  <c r="I130" i="60"/>
  <c r="H130" i="60"/>
  <c r="D128" i="90"/>
  <c r="G127" i="90"/>
  <c r="E128" i="90"/>
  <c r="G135" i="22"/>
  <c r="D136" i="22"/>
  <c r="E136" i="22"/>
  <c r="D133" i="46"/>
  <c r="G132" i="46"/>
  <c r="E133" i="46"/>
  <c r="G138" i="28"/>
  <c r="D139" i="28"/>
  <c r="E139" i="28"/>
  <c r="B135" i="18"/>
  <c r="F135" i="18"/>
  <c r="D138" i="70"/>
  <c r="G137" i="70"/>
  <c r="E138" i="70"/>
  <c r="B131" i="60"/>
  <c r="F131" i="60"/>
  <c r="D130" i="75"/>
  <c r="G129" i="75"/>
  <c r="E130" i="75"/>
  <c r="G128" i="82"/>
  <c r="D129" i="82"/>
  <c r="E129" i="82"/>
  <c r="G134" i="42"/>
  <c r="D135" i="42"/>
  <c r="E135" i="42"/>
  <c r="D130" i="76"/>
  <c r="G129" i="76"/>
  <c r="E130" i="76"/>
  <c r="J136" i="29"/>
  <c r="G137" i="27"/>
  <c r="D138" i="27"/>
  <c r="E138" i="27"/>
  <c r="H135" i="31"/>
  <c r="I135" i="31"/>
  <c r="D129" i="86"/>
  <c r="G128" i="86"/>
  <c r="E129" i="86"/>
  <c r="G132" i="58"/>
  <c r="D133" i="58"/>
  <c r="E133" i="58"/>
  <c r="J130" i="62"/>
  <c r="G136" i="23"/>
  <c r="D137" i="23"/>
  <c r="E137" i="23"/>
  <c r="G130" i="68"/>
  <c r="D131" i="68"/>
  <c r="E131" i="68"/>
  <c r="I125" i="97"/>
  <c r="H125" i="97"/>
  <c r="J134" i="34"/>
  <c r="G136" i="32"/>
  <c r="D137" i="32"/>
  <c r="E137" i="32"/>
  <c r="B126" i="95"/>
  <c r="F126" i="95"/>
  <c r="D128" i="84"/>
  <c r="G127" i="84"/>
  <c r="E128" i="84"/>
  <c r="D133" i="56"/>
  <c r="G132" i="56"/>
  <c r="E133" i="56"/>
  <c r="G130" i="65"/>
  <c r="D131" i="65"/>
  <c r="E131" i="65"/>
  <c r="J131" i="55"/>
  <c r="D130" i="78"/>
  <c r="G129" i="78"/>
  <c r="E130" i="78"/>
  <c r="J133" i="44"/>
  <c r="J126" i="92"/>
  <c r="D138" i="69"/>
  <c r="G137" i="69"/>
  <c r="E138" i="69"/>
  <c r="J129" i="68"/>
  <c r="D136" i="34"/>
  <c r="G135" i="34"/>
  <c r="E136" i="34"/>
  <c r="I130" i="61"/>
  <c r="H130" i="61"/>
  <c r="H125" i="95"/>
  <c r="I125" i="95"/>
  <c r="J127" i="83"/>
  <c r="G136" i="71"/>
  <c r="D137" i="71"/>
  <c r="E137" i="71"/>
  <c r="G134" i="41"/>
  <c r="D135" i="41"/>
  <c r="E135" i="41"/>
  <c r="J131" i="54"/>
  <c r="D129" i="85"/>
  <c r="G128" i="85"/>
  <c r="E129" i="85"/>
  <c r="D133" i="72"/>
  <c r="G132" i="72"/>
  <c r="E133" i="72"/>
  <c r="G129" i="79"/>
  <c r="D130" i="79"/>
  <c r="E130" i="79"/>
  <c r="J127" i="82"/>
  <c r="G135" i="3"/>
  <c r="D136" i="3"/>
  <c r="E136" i="3"/>
  <c r="F128" i="96"/>
  <c r="B128" i="96"/>
  <c r="J129" i="65"/>
  <c r="G121" i="102"/>
  <c r="D122" i="102"/>
  <c r="E122" i="102"/>
  <c r="J131" i="46"/>
  <c r="H134" i="20"/>
  <c r="I134" i="20"/>
  <c r="D135" i="73"/>
  <c r="G134" i="73"/>
  <c r="E135" i="73"/>
  <c r="J133" i="74"/>
  <c r="J126" i="90"/>
  <c r="G135" i="17"/>
  <c r="D136" i="17"/>
  <c r="E136" i="17"/>
  <c r="G135" i="21"/>
  <c r="D136" i="21"/>
  <c r="E136" i="21"/>
  <c r="D128" i="91"/>
  <c r="G127" i="91"/>
  <c r="E128" i="91"/>
  <c r="G137" i="29"/>
  <c r="D138" i="29"/>
  <c r="E138" i="29"/>
  <c r="I125" i="93"/>
  <c r="H125" i="93"/>
  <c r="D135" i="39"/>
  <c r="G134" i="39"/>
  <c r="E135" i="39"/>
  <c r="H127" i="96"/>
  <c r="I127" i="96"/>
  <c r="D129" i="81"/>
  <c r="G128" i="81"/>
  <c r="E129" i="81"/>
  <c r="G132" i="54"/>
  <c r="D133" i="54"/>
  <c r="E133" i="54"/>
  <c r="F135" i="20"/>
  <c r="B135" i="20"/>
  <c r="D128" i="89"/>
  <c r="G127" i="89"/>
  <c r="E128" i="89"/>
  <c r="G128" i="80"/>
  <c r="D129" i="80"/>
  <c r="E129" i="80"/>
  <c r="J134" i="22"/>
  <c r="J125" i="95" l="1"/>
  <c r="F122" i="13"/>
  <c r="B122" i="13"/>
  <c r="I121" i="13"/>
  <c r="H121" i="13"/>
  <c r="J127" i="96"/>
  <c r="J134" i="20"/>
  <c r="J135" i="31"/>
  <c r="J124" i="99"/>
  <c r="J125" i="97"/>
  <c r="F138" i="29"/>
  <c r="B138" i="29"/>
  <c r="B131" i="65"/>
  <c r="F131" i="65"/>
  <c r="F138" i="27"/>
  <c r="B138" i="27"/>
  <c r="I138" i="28"/>
  <c r="H138" i="28"/>
  <c r="I127" i="90"/>
  <c r="H127" i="90"/>
  <c r="H128" i="101"/>
  <c r="I128" i="101"/>
  <c r="F132" i="59"/>
  <c r="B132" i="59"/>
  <c r="D137" i="31"/>
  <c r="G136" i="31"/>
  <c r="E137" i="31"/>
  <c r="D126" i="99"/>
  <c r="G125" i="99"/>
  <c r="E126" i="99"/>
  <c r="D136" i="20"/>
  <c r="G135" i="20"/>
  <c r="E136" i="20"/>
  <c r="I137" i="29"/>
  <c r="H137" i="29"/>
  <c r="F136" i="17"/>
  <c r="H132" i="72"/>
  <c r="I132" i="72"/>
  <c r="H134" i="41"/>
  <c r="I134" i="41"/>
  <c r="J130" i="61"/>
  <c r="H130" i="65"/>
  <c r="I130" i="65"/>
  <c r="F131" i="68"/>
  <c r="B131" i="68"/>
  <c r="H132" i="58"/>
  <c r="I132" i="58"/>
  <c r="I137" i="27"/>
  <c r="H137" i="27"/>
  <c r="B128" i="90"/>
  <c r="F128" i="90"/>
  <c r="B128" i="87"/>
  <c r="F128" i="87"/>
  <c r="B126" i="98"/>
  <c r="F126" i="98"/>
  <c r="G128" i="96"/>
  <c r="D129" i="96"/>
  <c r="E129" i="96"/>
  <c r="F138" i="69"/>
  <c r="B138" i="69"/>
  <c r="G126" i="95"/>
  <c r="D127" i="95"/>
  <c r="E127" i="95"/>
  <c r="B133" i="58"/>
  <c r="F133" i="58"/>
  <c r="I134" i="42"/>
  <c r="H134" i="42"/>
  <c r="I135" i="17"/>
  <c r="H135" i="17"/>
  <c r="F136" i="3"/>
  <c r="B136" i="3"/>
  <c r="F133" i="72"/>
  <c r="B133" i="72"/>
  <c r="H130" i="68"/>
  <c r="I130" i="68"/>
  <c r="F129" i="82"/>
  <c r="B129" i="82"/>
  <c r="H137" i="70"/>
  <c r="I137" i="70"/>
  <c r="I132" i="46"/>
  <c r="H132" i="46"/>
  <c r="B130" i="77"/>
  <c r="F130" i="77"/>
  <c r="I131" i="64"/>
  <c r="H131" i="64"/>
  <c r="H127" i="87"/>
  <c r="I127" i="87"/>
  <c r="I134" i="74"/>
  <c r="H134" i="74"/>
  <c r="I137" i="30"/>
  <c r="H137" i="30"/>
  <c r="I127" i="94"/>
  <c r="H127" i="94"/>
  <c r="F128" i="88"/>
  <c r="B128" i="88"/>
  <c r="H130" i="66"/>
  <c r="I130" i="66"/>
  <c r="I135" i="34"/>
  <c r="H135" i="34"/>
  <c r="I132" i="56"/>
  <c r="H132" i="56"/>
  <c r="F137" i="32"/>
  <c r="B137" i="32"/>
  <c r="H128" i="86"/>
  <c r="I128" i="86"/>
  <c r="I128" i="82"/>
  <c r="H128" i="82"/>
  <c r="B138" i="70"/>
  <c r="F138" i="70"/>
  <c r="F133" i="46"/>
  <c r="B133" i="46"/>
  <c r="J130" i="60"/>
  <c r="I129" i="77"/>
  <c r="H129" i="77"/>
  <c r="B132" i="64"/>
  <c r="F132" i="64"/>
  <c r="F133" i="53"/>
  <c r="B133" i="53"/>
  <c r="D127" i="93"/>
  <c r="G126" i="93"/>
  <c r="E127" i="93"/>
  <c r="B135" i="74"/>
  <c r="F135" i="74"/>
  <c r="B136" i="19"/>
  <c r="F136" i="19"/>
  <c r="B138" i="30"/>
  <c r="F138" i="30"/>
  <c r="B128" i="94"/>
  <c r="F128" i="94"/>
  <c r="B135" i="43"/>
  <c r="F135" i="43"/>
  <c r="H127" i="88"/>
  <c r="I127" i="88"/>
  <c r="F131" i="66"/>
  <c r="B131" i="66"/>
  <c r="B135" i="41"/>
  <c r="F135" i="41"/>
  <c r="B129" i="80"/>
  <c r="F129" i="80"/>
  <c r="B133" i="54"/>
  <c r="F133" i="54"/>
  <c r="H134" i="39"/>
  <c r="I134" i="39"/>
  <c r="I127" i="91"/>
  <c r="H127" i="91"/>
  <c r="H135" i="3"/>
  <c r="I135" i="3"/>
  <c r="F137" i="71"/>
  <c r="B137" i="71"/>
  <c r="H128" i="80"/>
  <c r="I128" i="80"/>
  <c r="I132" i="54"/>
  <c r="H132" i="54"/>
  <c r="F135" i="39"/>
  <c r="B135" i="39"/>
  <c r="B128" i="91"/>
  <c r="F128" i="91"/>
  <c r="F122" i="102"/>
  <c r="B122" i="102"/>
  <c r="H128" i="85"/>
  <c r="I128" i="85"/>
  <c r="H136" i="71"/>
  <c r="I136" i="71"/>
  <c r="F136" i="34"/>
  <c r="B136" i="34"/>
  <c r="I129" i="78"/>
  <c r="H129" i="78"/>
  <c r="B133" i="56"/>
  <c r="F133" i="56"/>
  <c r="I136" i="32"/>
  <c r="H136" i="32"/>
  <c r="B137" i="23"/>
  <c r="F137" i="23"/>
  <c r="B129" i="86"/>
  <c r="F129" i="86"/>
  <c r="H129" i="76"/>
  <c r="I129" i="76"/>
  <c r="D136" i="18"/>
  <c r="G135" i="18"/>
  <c r="E136" i="18"/>
  <c r="J134" i="18"/>
  <c r="I132" i="53"/>
  <c r="H132" i="53"/>
  <c r="I135" i="19"/>
  <c r="H135" i="19"/>
  <c r="I134" i="43"/>
  <c r="H134" i="43"/>
  <c r="I131" i="63"/>
  <c r="H131" i="63"/>
  <c r="I121" i="102"/>
  <c r="H121" i="102"/>
  <c r="B130" i="78"/>
  <c r="F130" i="78"/>
  <c r="I136" i="23"/>
  <c r="H136" i="23"/>
  <c r="B130" i="76"/>
  <c r="F130" i="76"/>
  <c r="H129" i="75"/>
  <c r="I129" i="75"/>
  <c r="B136" i="22"/>
  <c r="F136" i="22"/>
  <c r="H128" i="83"/>
  <c r="I128" i="83"/>
  <c r="B128" i="92"/>
  <c r="F128" i="92"/>
  <c r="B133" i="55"/>
  <c r="F133" i="55"/>
  <c r="D132" i="61"/>
  <c r="G131" i="61"/>
  <c r="E132" i="61"/>
  <c r="F131" i="67"/>
  <c r="B131" i="67"/>
  <c r="F132" i="63"/>
  <c r="B132" i="63"/>
  <c r="F130" i="79"/>
  <c r="B130" i="79"/>
  <c r="H127" i="84"/>
  <c r="I127" i="84"/>
  <c r="F130" i="75"/>
  <c r="B130" i="75"/>
  <c r="I135" i="22"/>
  <c r="H135" i="22"/>
  <c r="F129" i="83"/>
  <c r="B129" i="83"/>
  <c r="B132" i="62"/>
  <c r="F132" i="62"/>
  <c r="D127" i="97"/>
  <c r="G126" i="97"/>
  <c r="E127" i="97"/>
  <c r="H127" i="92"/>
  <c r="I127" i="92"/>
  <c r="B137" i="24"/>
  <c r="F137" i="24"/>
  <c r="H132" i="55"/>
  <c r="I132" i="55"/>
  <c r="B134" i="45"/>
  <c r="F134" i="45"/>
  <c r="H130" i="67"/>
  <c r="I130" i="67"/>
  <c r="B129" i="85"/>
  <c r="F129" i="85"/>
  <c r="I127" i="89"/>
  <c r="H127" i="89"/>
  <c r="H128" i="81"/>
  <c r="I128" i="81"/>
  <c r="J125" i="93"/>
  <c r="B136" i="21"/>
  <c r="F136" i="21"/>
  <c r="H134" i="73"/>
  <c r="I134" i="73"/>
  <c r="B128" i="89"/>
  <c r="F128" i="89"/>
  <c r="B129" i="81"/>
  <c r="F129" i="81"/>
  <c r="H135" i="21"/>
  <c r="I135" i="21"/>
  <c r="B135" i="73"/>
  <c r="F135" i="73"/>
  <c r="H129" i="79"/>
  <c r="I129" i="79"/>
  <c r="H137" i="69"/>
  <c r="I137" i="69"/>
  <c r="F128" i="84"/>
  <c r="B128" i="84"/>
  <c r="F135" i="42"/>
  <c r="B135" i="42"/>
  <c r="G131" i="60"/>
  <c r="D132" i="60"/>
  <c r="E132" i="60"/>
  <c r="B139" i="28"/>
  <c r="F139" i="28"/>
  <c r="B129" i="101"/>
  <c r="F129" i="101"/>
  <c r="H131" i="59"/>
  <c r="I131" i="59"/>
  <c r="I131" i="62"/>
  <c r="H131" i="62"/>
  <c r="I136" i="24"/>
  <c r="H136" i="24"/>
  <c r="H133" i="45"/>
  <c r="I133" i="45"/>
  <c r="B135" i="44"/>
  <c r="F135" i="44"/>
  <c r="F133" i="57"/>
  <c r="B133" i="57"/>
  <c r="I125" i="98"/>
  <c r="H125" i="98"/>
  <c r="I134" i="44"/>
  <c r="H134" i="44"/>
  <c r="I132" i="57"/>
  <c r="H132" i="57"/>
  <c r="J131" i="59" l="1"/>
  <c r="J132" i="55"/>
  <c r="J132" i="58"/>
  <c r="J128" i="83"/>
  <c r="J128" i="80"/>
  <c r="J134" i="39"/>
  <c r="J131" i="63"/>
  <c r="J121" i="13"/>
  <c r="D123" i="13"/>
  <c r="G122" i="13"/>
  <c r="E123" i="13"/>
  <c r="J137" i="69"/>
  <c r="J129" i="79"/>
  <c r="J127" i="88"/>
  <c r="J136" i="71"/>
  <c r="J135" i="3"/>
  <c r="J130" i="68"/>
  <c r="J132" i="72"/>
  <c r="J128" i="101"/>
  <c r="J133" i="45"/>
  <c r="J130" i="67"/>
  <c r="J127" i="92"/>
  <c r="J129" i="75"/>
  <c r="J132" i="54"/>
  <c r="J127" i="91"/>
  <c r="J134" i="74"/>
  <c r="J132" i="46"/>
  <c r="J127" i="87"/>
  <c r="J137" i="70"/>
  <c r="J137" i="29"/>
  <c r="J128" i="81"/>
  <c r="J137" i="27"/>
  <c r="J134" i="41"/>
  <c r="D140" i="28"/>
  <c r="G139" i="28"/>
  <c r="E140" i="28"/>
  <c r="D131" i="79"/>
  <c r="G130" i="79"/>
  <c r="E131" i="79"/>
  <c r="D130" i="86"/>
  <c r="G129" i="86"/>
  <c r="E130" i="86"/>
  <c r="D135" i="45"/>
  <c r="G134" i="45"/>
  <c r="E135" i="45"/>
  <c r="J135" i="22"/>
  <c r="D133" i="63"/>
  <c r="G132" i="63"/>
  <c r="E133" i="63"/>
  <c r="D129" i="92"/>
  <c r="G128" i="92"/>
  <c r="E129" i="92"/>
  <c r="G130" i="76"/>
  <c r="D131" i="76"/>
  <c r="E131" i="76"/>
  <c r="J129" i="78"/>
  <c r="D123" i="102"/>
  <c r="G122" i="102"/>
  <c r="E123" i="102"/>
  <c r="D132" i="66"/>
  <c r="G131" i="66"/>
  <c r="E132" i="66"/>
  <c r="D134" i="46"/>
  <c r="G133" i="46"/>
  <c r="E134" i="46"/>
  <c r="G137" i="32"/>
  <c r="D138" i="32"/>
  <c r="E138" i="32"/>
  <c r="G128" i="88"/>
  <c r="D129" i="88"/>
  <c r="E129" i="88"/>
  <c r="D137" i="3"/>
  <c r="G136" i="3"/>
  <c r="E137" i="3"/>
  <c r="B127" i="95"/>
  <c r="F127" i="95"/>
  <c r="B137" i="31"/>
  <c r="F137" i="31"/>
  <c r="J138" i="28"/>
  <c r="G128" i="91"/>
  <c r="D129" i="91"/>
  <c r="E129" i="91"/>
  <c r="D134" i="54"/>
  <c r="G133" i="54"/>
  <c r="E134" i="54"/>
  <c r="G136" i="19"/>
  <c r="D137" i="19"/>
  <c r="E137" i="19"/>
  <c r="D134" i="53"/>
  <c r="G133" i="53"/>
  <c r="E134" i="53"/>
  <c r="D139" i="70"/>
  <c r="G138" i="70"/>
  <c r="E139" i="70"/>
  <c r="I126" i="95"/>
  <c r="H126" i="95"/>
  <c r="H135" i="20"/>
  <c r="I135" i="20"/>
  <c r="D129" i="84"/>
  <c r="G128" i="84"/>
  <c r="E129" i="84"/>
  <c r="D130" i="83"/>
  <c r="G129" i="83"/>
  <c r="E130" i="83"/>
  <c r="J125" i="98"/>
  <c r="J121" i="102"/>
  <c r="G138" i="30"/>
  <c r="D139" i="30"/>
  <c r="E139" i="30"/>
  <c r="H136" i="31"/>
  <c r="I136" i="31"/>
  <c r="D136" i="44"/>
  <c r="G135" i="44"/>
  <c r="E136" i="44"/>
  <c r="B127" i="97"/>
  <c r="F127" i="97"/>
  <c r="G130" i="75"/>
  <c r="D131" i="75"/>
  <c r="E131" i="75"/>
  <c r="G131" i="67"/>
  <c r="D132" i="67"/>
  <c r="E132" i="67"/>
  <c r="G136" i="34"/>
  <c r="D137" i="34"/>
  <c r="E137" i="34"/>
  <c r="D138" i="71"/>
  <c r="G137" i="71"/>
  <c r="E138" i="71"/>
  <c r="G132" i="64"/>
  <c r="D133" i="64"/>
  <c r="E133" i="64"/>
  <c r="J132" i="56"/>
  <c r="J127" i="94"/>
  <c r="J131" i="64"/>
  <c r="G129" i="82"/>
  <c r="D130" i="82"/>
  <c r="E130" i="82"/>
  <c r="J135" i="17"/>
  <c r="D127" i="98"/>
  <c r="G126" i="98"/>
  <c r="E127" i="98"/>
  <c r="B136" i="20"/>
  <c r="F136" i="20"/>
  <c r="D133" i="59"/>
  <c r="G132" i="59"/>
  <c r="E133" i="59"/>
  <c r="D139" i="27"/>
  <c r="G138" i="27"/>
  <c r="E139" i="27"/>
  <c r="B132" i="60"/>
  <c r="F132" i="60"/>
  <c r="I131" i="60"/>
  <c r="H131" i="60"/>
  <c r="J132" i="57"/>
  <c r="D136" i="73"/>
  <c r="G135" i="73"/>
  <c r="E136" i="73"/>
  <c r="J134" i="73"/>
  <c r="J127" i="89"/>
  <c r="G132" i="62"/>
  <c r="D133" i="62"/>
  <c r="E133" i="62"/>
  <c r="J127" i="84"/>
  <c r="J136" i="23"/>
  <c r="J134" i="43"/>
  <c r="H135" i="18"/>
  <c r="I135" i="18"/>
  <c r="G129" i="80"/>
  <c r="D130" i="80"/>
  <c r="E130" i="80"/>
  <c r="D136" i="43"/>
  <c r="G135" i="43"/>
  <c r="E136" i="43"/>
  <c r="G135" i="74"/>
  <c r="D136" i="74"/>
  <c r="E136" i="74"/>
  <c r="G130" i="77"/>
  <c r="D131" i="77"/>
  <c r="E131" i="77"/>
  <c r="G138" i="69"/>
  <c r="D139" i="69"/>
  <c r="E139" i="69"/>
  <c r="D132" i="65"/>
  <c r="G131" i="65"/>
  <c r="E132" i="65"/>
  <c r="I126" i="93"/>
  <c r="H126" i="93"/>
  <c r="J136" i="24"/>
  <c r="B127" i="93"/>
  <c r="F127" i="93"/>
  <c r="J131" i="62"/>
  <c r="D138" i="23"/>
  <c r="G137" i="23"/>
  <c r="E138" i="23"/>
  <c r="H131" i="61"/>
  <c r="I131" i="61"/>
  <c r="G136" i="22"/>
  <c r="D137" i="22"/>
  <c r="E137" i="22"/>
  <c r="D131" i="78"/>
  <c r="G130" i="78"/>
  <c r="E131" i="78"/>
  <c r="F136" i="18"/>
  <c r="B136" i="18"/>
  <c r="J136" i="32"/>
  <c r="G135" i="39"/>
  <c r="D136" i="39"/>
  <c r="E136" i="39"/>
  <c r="J128" i="82"/>
  <c r="J135" i="34"/>
  <c r="J137" i="30"/>
  <c r="J134" i="42"/>
  <c r="D129" i="87"/>
  <c r="G128" i="87"/>
  <c r="E129" i="87"/>
  <c r="H125" i="99"/>
  <c r="I125" i="99"/>
  <c r="G133" i="55"/>
  <c r="D134" i="55"/>
  <c r="E134" i="55"/>
  <c r="G129" i="81"/>
  <c r="D130" i="81"/>
  <c r="E130" i="81"/>
  <c r="J132" i="53"/>
  <c r="D134" i="57"/>
  <c r="G133" i="57"/>
  <c r="E134" i="57"/>
  <c r="G128" i="89"/>
  <c r="D129" i="89"/>
  <c r="E129" i="89"/>
  <c r="I126" i="97"/>
  <c r="H126" i="97"/>
  <c r="D130" i="101"/>
  <c r="G129" i="101"/>
  <c r="E130" i="101"/>
  <c r="G135" i="42"/>
  <c r="D136" i="42"/>
  <c r="E136" i="42"/>
  <c r="G129" i="85"/>
  <c r="D130" i="85"/>
  <c r="E130" i="85"/>
  <c r="D138" i="24"/>
  <c r="G137" i="24"/>
  <c r="E138" i="24"/>
  <c r="J134" i="44"/>
  <c r="J135" i="21"/>
  <c r="G136" i="21"/>
  <c r="D137" i="21"/>
  <c r="E137" i="21"/>
  <c r="F132" i="61"/>
  <c r="B132" i="61"/>
  <c r="J135" i="19"/>
  <c r="J129" i="76"/>
  <c r="G133" i="56"/>
  <c r="D134" i="56"/>
  <c r="E134" i="56"/>
  <c r="J128" i="85"/>
  <c r="D136" i="41"/>
  <c r="G135" i="41"/>
  <c r="E136" i="41"/>
  <c r="G128" i="94"/>
  <c r="D129" i="94"/>
  <c r="E129" i="94"/>
  <c r="J129" i="77"/>
  <c r="J128" i="86"/>
  <c r="J130" i="66"/>
  <c r="G133" i="58"/>
  <c r="D134" i="58"/>
  <c r="E134" i="58"/>
  <c r="F129" i="96"/>
  <c r="B129" i="96"/>
  <c r="D132" i="68"/>
  <c r="G131" i="68"/>
  <c r="E132" i="68"/>
  <c r="G136" i="17"/>
  <c r="D137" i="17"/>
  <c r="E137" i="17"/>
  <c r="F126" i="99"/>
  <c r="B126" i="99"/>
  <c r="D134" i="72"/>
  <c r="G133" i="72"/>
  <c r="E134" i="72"/>
  <c r="I128" i="96"/>
  <c r="H128" i="96"/>
  <c r="D129" i="90"/>
  <c r="G128" i="90"/>
  <c r="E129" i="90"/>
  <c r="J130" i="65"/>
  <c r="J127" i="90"/>
  <c r="D139" i="29"/>
  <c r="G138" i="29"/>
  <c r="E139" i="29"/>
  <c r="H122" i="13" l="1"/>
  <c r="I122" i="13"/>
  <c r="J122" i="13" s="1"/>
  <c r="B123" i="13"/>
  <c r="F123" i="13"/>
  <c r="J126" i="95"/>
  <c r="J136" i="31"/>
  <c r="J126" i="93"/>
  <c r="J135" i="20"/>
  <c r="B137" i="17"/>
  <c r="F137" i="17"/>
  <c r="H135" i="42"/>
  <c r="I135" i="42"/>
  <c r="H128" i="89"/>
  <c r="I128" i="89"/>
  <c r="J131" i="61"/>
  <c r="H138" i="69"/>
  <c r="I138" i="69"/>
  <c r="H135" i="43"/>
  <c r="I135" i="43"/>
  <c r="I135" i="73"/>
  <c r="H135" i="73"/>
  <c r="H138" i="27"/>
  <c r="I138" i="27"/>
  <c r="H126" i="98"/>
  <c r="I126" i="98"/>
  <c r="F137" i="34"/>
  <c r="B137" i="34"/>
  <c r="G127" i="97"/>
  <c r="D128" i="97"/>
  <c r="E128" i="97"/>
  <c r="F139" i="30"/>
  <c r="B139" i="30"/>
  <c r="H128" i="84"/>
  <c r="I128" i="84"/>
  <c r="H136" i="19"/>
  <c r="I136" i="19"/>
  <c r="G137" i="31"/>
  <c r="D138" i="31"/>
  <c r="E138" i="31"/>
  <c r="F129" i="88"/>
  <c r="B129" i="88"/>
  <c r="F131" i="76"/>
  <c r="B131" i="76"/>
  <c r="H129" i="86"/>
  <c r="I129" i="86"/>
  <c r="I133" i="58"/>
  <c r="H133" i="58"/>
  <c r="H137" i="24"/>
  <c r="I137" i="24"/>
  <c r="G136" i="18"/>
  <c r="D137" i="18"/>
  <c r="E137" i="18"/>
  <c r="B136" i="43"/>
  <c r="F136" i="43"/>
  <c r="F136" i="73"/>
  <c r="B136" i="73"/>
  <c r="B139" i="27"/>
  <c r="F139" i="27"/>
  <c r="F127" i="98"/>
  <c r="B127" i="98"/>
  <c r="I136" i="34"/>
  <c r="H136" i="34"/>
  <c r="H138" i="30"/>
  <c r="I138" i="30"/>
  <c r="B129" i="84"/>
  <c r="F129" i="84"/>
  <c r="H138" i="70"/>
  <c r="I138" i="70"/>
  <c r="H128" i="88"/>
  <c r="I128" i="88"/>
  <c r="H131" i="66"/>
  <c r="I131" i="66"/>
  <c r="H130" i="76"/>
  <c r="I130" i="76"/>
  <c r="B130" i="86"/>
  <c r="F130" i="86"/>
  <c r="F133" i="64"/>
  <c r="B133" i="64"/>
  <c r="F139" i="70"/>
  <c r="B139" i="70"/>
  <c r="I133" i="54"/>
  <c r="H133" i="54"/>
  <c r="D128" i="95"/>
  <c r="G127" i="95"/>
  <c r="E128" i="95"/>
  <c r="B132" i="66"/>
  <c r="F132" i="66"/>
  <c r="H134" i="45"/>
  <c r="I134" i="45"/>
  <c r="I136" i="17"/>
  <c r="H136" i="17"/>
  <c r="F139" i="29"/>
  <c r="B139" i="29"/>
  <c r="D133" i="61"/>
  <c r="G132" i="61"/>
  <c r="E133" i="61"/>
  <c r="I129" i="101"/>
  <c r="H129" i="101"/>
  <c r="I133" i="55"/>
  <c r="H133" i="55"/>
  <c r="B131" i="77"/>
  <c r="F131" i="77"/>
  <c r="H133" i="72"/>
  <c r="I133" i="72"/>
  <c r="I131" i="68"/>
  <c r="H131" i="68"/>
  <c r="F130" i="101"/>
  <c r="B130" i="101"/>
  <c r="B134" i="57"/>
  <c r="F134" i="57"/>
  <c r="J125" i="99"/>
  <c r="I130" i="78"/>
  <c r="H130" i="78"/>
  <c r="H137" i="23"/>
  <c r="I137" i="23"/>
  <c r="I130" i="77"/>
  <c r="H130" i="77"/>
  <c r="F130" i="80"/>
  <c r="B130" i="80"/>
  <c r="B133" i="62"/>
  <c r="F133" i="62"/>
  <c r="H132" i="59"/>
  <c r="I132" i="59"/>
  <c r="I132" i="64"/>
  <c r="H132" i="64"/>
  <c r="F132" i="67"/>
  <c r="B132" i="67"/>
  <c r="H135" i="44"/>
  <c r="I135" i="44"/>
  <c r="F134" i="54"/>
  <c r="B134" i="54"/>
  <c r="B138" i="32"/>
  <c r="F138" i="32"/>
  <c r="H128" i="92"/>
  <c r="I128" i="92"/>
  <c r="F135" i="45"/>
  <c r="B135" i="45"/>
  <c r="H130" i="79"/>
  <c r="I130" i="79"/>
  <c r="F134" i="58"/>
  <c r="B134" i="58"/>
  <c r="F136" i="41"/>
  <c r="B136" i="41"/>
  <c r="B138" i="24"/>
  <c r="F138" i="24"/>
  <c r="B132" i="68"/>
  <c r="F132" i="68"/>
  <c r="F131" i="78"/>
  <c r="B131" i="78"/>
  <c r="B138" i="23"/>
  <c r="F138" i="23"/>
  <c r="H131" i="65"/>
  <c r="I131" i="65"/>
  <c r="I129" i="80"/>
  <c r="H129" i="80"/>
  <c r="I132" i="62"/>
  <c r="H132" i="62"/>
  <c r="J131" i="60"/>
  <c r="F133" i="59"/>
  <c r="B133" i="59"/>
  <c r="F130" i="82"/>
  <c r="B130" i="82"/>
  <c r="H131" i="67"/>
  <c r="I131" i="67"/>
  <c r="B136" i="44"/>
  <c r="F136" i="44"/>
  <c r="I133" i="53"/>
  <c r="H133" i="53"/>
  <c r="H137" i="32"/>
  <c r="I137" i="32"/>
  <c r="I122" i="102"/>
  <c r="H122" i="102"/>
  <c r="F129" i="92"/>
  <c r="B129" i="92"/>
  <c r="F131" i="79"/>
  <c r="B131" i="79"/>
  <c r="F130" i="85"/>
  <c r="B130" i="85"/>
  <c r="B134" i="56"/>
  <c r="F134" i="56"/>
  <c r="H136" i="21"/>
  <c r="I136" i="21"/>
  <c r="I129" i="85"/>
  <c r="H129" i="85"/>
  <c r="J126" i="97"/>
  <c r="F136" i="39"/>
  <c r="B136" i="39"/>
  <c r="F132" i="65"/>
  <c r="B132" i="65"/>
  <c r="F136" i="74"/>
  <c r="B136" i="74"/>
  <c r="J135" i="18"/>
  <c r="G132" i="60"/>
  <c r="D133" i="60"/>
  <c r="E133" i="60"/>
  <c r="D137" i="20"/>
  <c r="G136" i="20"/>
  <c r="E137" i="20"/>
  <c r="I129" i="82"/>
  <c r="H129" i="82"/>
  <c r="H137" i="71"/>
  <c r="I137" i="71"/>
  <c r="H129" i="83"/>
  <c r="I129" i="83"/>
  <c r="F134" i="53"/>
  <c r="B134" i="53"/>
  <c r="F129" i="91"/>
  <c r="B129" i="91"/>
  <c r="H136" i="3"/>
  <c r="I136" i="3"/>
  <c r="B123" i="102"/>
  <c r="F123" i="102"/>
  <c r="H135" i="41"/>
  <c r="I135" i="41"/>
  <c r="F134" i="55"/>
  <c r="B134" i="55"/>
  <c r="H133" i="57"/>
  <c r="I133" i="57"/>
  <c r="B134" i="72"/>
  <c r="F134" i="72"/>
  <c r="B137" i="21"/>
  <c r="F137" i="21"/>
  <c r="H128" i="90"/>
  <c r="I128" i="90"/>
  <c r="D127" i="99"/>
  <c r="G126" i="99"/>
  <c r="E127" i="99"/>
  <c r="D130" i="96"/>
  <c r="G129" i="96"/>
  <c r="E130" i="96"/>
  <c r="B129" i="94"/>
  <c r="F129" i="94"/>
  <c r="H133" i="56"/>
  <c r="I133" i="56"/>
  <c r="F130" i="81"/>
  <c r="B130" i="81"/>
  <c r="I128" i="87"/>
  <c r="H128" i="87"/>
  <c r="I135" i="39"/>
  <c r="H135" i="39"/>
  <c r="F137" i="22"/>
  <c r="B137" i="22"/>
  <c r="G127" i="93"/>
  <c r="D128" i="93"/>
  <c r="E128" i="93"/>
  <c r="H135" i="74"/>
  <c r="I135" i="74"/>
  <c r="F138" i="71"/>
  <c r="B138" i="71"/>
  <c r="B131" i="75"/>
  <c r="F131" i="75"/>
  <c r="B130" i="83"/>
  <c r="F130" i="83"/>
  <c r="H128" i="91"/>
  <c r="I128" i="91"/>
  <c r="F137" i="3"/>
  <c r="B137" i="3"/>
  <c r="H133" i="46"/>
  <c r="I133" i="46"/>
  <c r="I132" i="63"/>
  <c r="H132" i="63"/>
  <c r="I139" i="28"/>
  <c r="H139" i="28"/>
  <c r="H138" i="29"/>
  <c r="I138" i="29"/>
  <c r="J128" i="96"/>
  <c r="B129" i="90"/>
  <c r="F129" i="90"/>
  <c r="H128" i="94"/>
  <c r="I128" i="94"/>
  <c r="B136" i="42"/>
  <c r="F136" i="42"/>
  <c r="B129" i="89"/>
  <c r="F129" i="89"/>
  <c r="I129" i="81"/>
  <c r="H129" i="81"/>
  <c r="F129" i="87"/>
  <c r="B129" i="87"/>
  <c r="H136" i="22"/>
  <c r="I136" i="22"/>
  <c r="F139" i="69"/>
  <c r="B139" i="69"/>
  <c r="I130" i="75"/>
  <c r="H130" i="75"/>
  <c r="B137" i="19"/>
  <c r="F137" i="19"/>
  <c r="B134" i="46"/>
  <c r="F134" i="46"/>
  <c r="B133" i="63"/>
  <c r="F133" i="63"/>
  <c r="B140" i="28"/>
  <c r="F140" i="28"/>
  <c r="J135" i="43" l="1"/>
  <c r="J132" i="59"/>
  <c r="J137" i="23"/>
  <c r="J131" i="68"/>
  <c r="J130" i="78"/>
  <c r="J129" i="101"/>
  <c r="E124" i="13"/>
  <c r="D124" i="13"/>
  <c r="G123" i="13"/>
  <c r="J128" i="91"/>
  <c r="J135" i="74"/>
  <c r="J138" i="27"/>
  <c r="J133" i="54"/>
  <c r="J135" i="41"/>
  <c r="J128" i="92"/>
  <c r="J128" i="88"/>
  <c r="J128" i="89"/>
  <c r="J135" i="73"/>
  <c r="J137" i="71"/>
  <c r="J128" i="84"/>
  <c r="J129" i="85"/>
  <c r="J136" i="21"/>
  <c r="J131" i="65"/>
  <c r="J133" i="53"/>
  <c r="J130" i="79"/>
  <c r="J136" i="22"/>
  <c r="J128" i="94"/>
  <c r="J128" i="90"/>
  <c r="J131" i="67"/>
  <c r="J132" i="62"/>
  <c r="J130" i="77"/>
  <c r="J138" i="70"/>
  <c r="J136" i="19"/>
  <c r="J135" i="42"/>
  <c r="G129" i="87"/>
  <c r="D130" i="87"/>
  <c r="E130" i="87"/>
  <c r="J122" i="102"/>
  <c r="G129" i="90"/>
  <c r="D130" i="90"/>
  <c r="E130" i="90"/>
  <c r="J130" i="75"/>
  <c r="G133" i="63"/>
  <c r="D134" i="63"/>
  <c r="E134" i="63"/>
  <c r="D130" i="89"/>
  <c r="G129" i="89"/>
  <c r="E130" i="89"/>
  <c r="J132" i="63"/>
  <c r="F128" i="93"/>
  <c r="B128" i="93"/>
  <c r="B130" i="96"/>
  <c r="F130" i="96"/>
  <c r="G134" i="72"/>
  <c r="D135" i="72"/>
  <c r="E135" i="72"/>
  <c r="D124" i="102"/>
  <c r="G123" i="102"/>
  <c r="E124" i="102"/>
  <c r="H136" i="20"/>
  <c r="I136" i="20"/>
  <c r="G135" i="45"/>
  <c r="D136" i="45"/>
  <c r="E136" i="45"/>
  <c r="J133" i="72"/>
  <c r="J131" i="66"/>
  <c r="J138" i="30"/>
  <c r="G129" i="88"/>
  <c r="D130" i="88"/>
  <c r="E130" i="88"/>
  <c r="G134" i="46"/>
  <c r="D135" i="46"/>
  <c r="E135" i="46"/>
  <c r="B127" i="99"/>
  <c r="F127" i="99"/>
  <c r="D138" i="19"/>
  <c r="G137" i="19"/>
  <c r="E138" i="19"/>
  <c r="D138" i="3"/>
  <c r="G137" i="3"/>
  <c r="E138" i="3"/>
  <c r="D130" i="94"/>
  <c r="G129" i="94"/>
  <c r="E130" i="94"/>
  <c r="I132" i="60"/>
  <c r="H132" i="60"/>
  <c r="G131" i="78"/>
  <c r="D132" i="78"/>
  <c r="E132" i="78"/>
  <c r="G139" i="69"/>
  <c r="D140" i="69"/>
  <c r="E140" i="69"/>
  <c r="J138" i="29"/>
  <c r="J133" i="46"/>
  <c r="D132" i="75"/>
  <c r="G131" i="75"/>
  <c r="E132" i="75"/>
  <c r="I127" i="93"/>
  <c r="H127" i="93"/>
  <c r="G130" i="81"/>
  <c r="D131" i="81"/>
  <c r="E131" i="81"/>
  <c r="J129" i="83"/>
  <c r="B137" i="20"/>
  <c r="F137" i="20"/>
  <c r="G132" i="65"/>
  <c r="D133" i="65"/>
  <c r="E133" i="65"/>
  <c r="D135" i="56"/>
  <c r="G134" i="56"/>
  <c r="E135" i="56"/>
  <c r="G133" i="59"/>
  <c r="D134" i="59"/>
  <c r="E134" i="59"/>
  <c r="D139" i="23"/>
  <c r="G138" i="23"/>
  <c r="E139" i="23"/>
  <c r="H132" i="61"/>
  <c r="I132" i="61"/>
  <c r="G132" i="66"/>
  <c r="D133" i="66"/>
  <c r="E133" i="66"/>
  <c r="D140" i="70"/>
  <c r="G139" i="70"/>
  <c r="E140" i="70"/>
  <c r="G136" i="73"/>
  <c r="D137" i="73"/>
  <c r="E137" i="73"/>
  <c r="G139" i="30"/>
  <c r="D140" i="30"/>
  <c r="E140" i="30"/>
  <c r="J133" i="56"/>
  <c r="I126" i="99"/>
  <c r="H126" i="99"/>
  <c r="J133" i="57"/>
  <c r="J136" i="3"/>
  <c r="G136" i="44"/>
  <c r="D137" i="44"/>
  <c r="E137" i="44"/>
  <c r="D137" i="41"/>
  <c r="G136" i="41"/>
  <c r="E137" i="41"/>
  <c r="G132" i="67"/>
  <c r="D133" i="67"/>
  <c r="E133" i="67"/>
  <c r="G130" i="80"/>
  <c r="D131" i="80"/>
  <c r="E131" i="80"/>
  <c r="D135" i="57"/>
  <c r="G134" i="57"/>
  <c r="E135" i="57"/>
  <c r="G131" i="77"/>
  <c r="D132" i="77"/>
  <c r="E132" i="77"/>
  <c r="B133" i="61"/>
  <c r="F133" i="61"/>
  <c r="D137" i="43"/>
  <c r="G136" i="43"/>
  <c r="E137" i="43"/>
  <c r="J133" i="58"/>
  <c r="B138" i="31"/>
  <c r="F138" i="31"/>
  <c r="G136" i="42"/>
  <c r="D137" i="42"/>
  <c r="E137" i="42"/>
  <c r="G137" i="22"/>
  <c r="D138" i="22"/>
  <c r="E138" i="22"/>
  <c r="G136" i="39"/>
  <c r="D137" i="39"/>
  <c r="E137" i="39"/>
  <c r="D130" i="92"/>
  <c r="G129" i="92"/>
  <c r="E130" i="92"/>
  <c r="G138" i="32"/>
  <c r="D139" i="32"/>
  <c r="E139" i="32"/>
  <c r="D134" i="64"/>
  <c r="G133" i="64"/>
  <c r="E134" i="64"/>
  <c r="J136" i="34"/>
  <c r="J129" i="86"/>
  <c r="I137" i="31"/>
  <c r="H137" i="31"/>
  <c r="F128" i="97"/>
  <c r="B128" i="97"/>
  <c r="G134" i="58"/>
  <c r="D135" i="58"/>
  <c r="E135" i="58"/>
  <c r="J132" i="64"/>
  <c r="G139" i="29"/>
  <c r="D140" i="29"/>
  <c r="E140" i="29"/>
  <c r="I127" i="95"/>
  <c r="H127" i="95"/>
  <c r="G130" i="86"/>
  <c r="D131" i="86"/>
  <c r="H127" i="97"/>
  <c r="I127" i="97"/>
  <c r="B133" i="60"/>
  <c r="F133" i="60"/>
  <c r="D131" i="85"/>
  <c r="G130" i="85"/>
  <c r="E131" i="85"/>
  <c r="D133" i="68"/>
  <c r="G132" i="68"/>
  <c r="E133" i="68"/>
  <c r="D131" i="101"/>
  <c r="G130" i="101"/>
  <c r="E131" i="101"/>
  <c r="J133" i="55"/>
  <c r="B128" i="95"/>
  <c r="F128" i="95"/>
  <c r="G127" i="98"/>
  <c r="D128" i="98"/>
  <c r="E128" i="98"/>
  <c r="B137" i="18"/>
  <c r="F137" i="18"/>
  <c r="G131" i="79"/>
  <c r="D132" i="79"/>
  <c r="E132" i="79"/>
  <c r="J137" i="32"/>
  <c r="J129" i="80"/>
  <c r="D135" i="54"/>
  <c r="G134" i="54"/>
  <c r="E135" i="54"/>
  <c r="J136" i="17"/>
  <c r="J130" i="76"/>
  <c r="D130" i="84"/>
  <c r="G129" i="84"/>
  <c r="E130" i="84"/>
  <c r="D140" i="27"/>
  <c r="G139" i="27"/>
  <c r="E140" i="27"/>
  <c r="I136" i="18"/>
  <c r="H136" i="18"/>
  <c r="G131" i="76"/>
  <c r="D132" i="76"/>
  <c r="E132" i="76"/>
  <c r="D138" i="34"/>
  <c r="G137" i="34"/>
  <c r="E138" i="34"/>
  <c r="D138" i="17"/>
  <c r="G137" i="17"/>
  <c r="E138" i="17"/>
  <c r="J139" i="28"/>
  <c r="G138" i="71"/>
  <c r="D139" i="71"/>
  <c r="E139" i="71"/>
  <c r="J135" i="39"/>
  <c r="D135" i="55"/>
  <c r="G134" i="55"/>
  <c r="E135" i="55"/>
  <c r="G129" i="91"/>
  <c r="D130" i="91"/>
  <c r="E130" i="91"/>
  <c r="D141" i="28"/>
  <c r="G140" i="28"/>
  <c r="E141" i="28"/>
  <c r="G137" i="21"/>
  <c r="D138" i="21"/>
  <c r="E138" i="21"/>
  <c r="J129" i="82"/>
  <c r="J129" i="81"/>
  <c r="D131" i="83"/>
  <c r="G130" i="83"/>
  <c r="E131" i="83"/>
  <c r="J128" i="87"/>
  <c r="I129" i="96"/>
  <c r="H129" i="96"/>
  <c r="D135" i="53"/>
  <c r="G134" i="53"/>
  <c r="E135" i="53"/>
  <c r="D137" i="74"/>
  <c r="G136" i="74"/>
  <c r="E137" i="74"/>
  <c r="G130" i="82"/>
  <c r="D131" i="82"/>
  <c r="E131" i="82"/>
  <c r="G138" i="24"/>
  <c r="D139" i="24"/>
  <c r="E139" i="24"/>
  <c r="J135" i="44"/>
  <c r="G133" i="62"/>
  <c r="D134" i="62"/>
  <c r="E134" i="62"/>
  <c r="J134" i="45"/>
  <c r="J137" i="24"/>
  <c r="J126" i="98"/>
  <c r="J138" i="69"/>
  <c r="I123" i="13" l="1"/>
  <c r="H123" i="13"/>
  <c r="B124" i="13"/>
  <c r="F124" i="13"/>
  <c r="J127" i="97"/>
  <c r="J132" i="61"/>
  <c r="J126" i="99"/>
  <c r="J132" i="60"/>
  <c r="J136" i="20"/>
  <c r="J129" i="96"/>
  <c r="J137" i="31"/>
  <c r="B132" i="79"/>
  <c r="F132" i="79"/>
  <c r="I138" i="24"/>
  <c r="H138" i="24"/>
  <c r="B131" i="83"/>
  <c r="F131" i="83"/>
  <c r="I139" i="27"/>
  <c r="H139" i="27"/>
  <c r="I130" i="101"/>
  <c r="H130" i="101"/>
  <c r="D129" i="97"/>
  <c r="G128" i="97"/>
  <c r="E129" i="97"/>
  <c r="I136" i="39"/>
  <c r="H136" i="39"/>
  <c r="H134" i="53"/>
  <c r="I134" i="53"/>
  <c r="B139" i="71"/>
  <c r="F139" i="71"/>
  <c r="B138" i="34"/>
  <c r="F138" i="34"/>
  <c r="B140" i="27"/>
  <c r="F140" i="27"/>
  <c r="F135" i="54"/>
  <c r="B135" i="54"/>
  <c r="B131" i="101"/>
  <c r="F131" i="101"/>
  <c r="B140" i="29"/>
  <c r="F140" i="29"/>
  <c r="F139" i="32"/>
  <c r="B139" i="32"/>
  <c r="H131" i="77"/>
  <c r="I131" i="77"/>
  <c r="B133" i="67"/>
  <c r="F133" i="67"/>
  <c r="I132" i="66"/>
  <c r="H132" i="66"/>
  <c r="H133" i="59"/>
  <c r="I133" i="59"/>
  <c r="H131" i="75"/>
  <c r="I131" i="75"/>
  <c r="F132" i="78"/>
  <c r="B132" i="78"/>
  <c r="H137" i="3"/>
  <c r="I137" i="3"/>
  <c r="B135" i="46"/>
  <c r="F135" i="46"/>
  <c r="H123" i="102"/>
  <c r="I123" i="102"/>
  <c r="G128" i="93"/>
  <c r="D129" i="93"/>
  <c r="E129" i="93"/>
  <c r="F132" i="75"/>
  <c r="B132" i="75"/>
  <c r="I131" i="78"/>
  <c r="H131" i="78"/>
  <c r="F138" i="3"/>
  <c r="B138" i="3"/>
  <c r="H134" i="46"/>
  <c r="I134" i="46"/>
  <c r="B136" i="45"/>
  <c r="F136" i="45"/>
  <c r="B124" i="102"/>
  <c r="F124" i="102"/>
  <c r="F131" i="82"/>
  <c r="B131" i="82"/>
  <c r="B135" i="53"/>
  <c r="F135" i="53"/>
  <c r="F130" i="91"/>
  <c r="B130" i="91"/>
  <c r="H138" i="71"/>
  <c r="I138" i="71"/>
  <c r="F128" i="98"/>
  <c r="B128" i="98"/>
  <c r="H139" i="29"/>
  <c r="I139" i="29"/>
  <c r="H138" i="32"/>
  <c r="I138" i="32"/>
  <c r="F138" i="22"/>
  <c r="B138" i="22"/>
  <c r="H132" i="67"/>
  <c r="I132" i="67"/>
  <c r="B137" i="73"/>
  <c r="F137" i="73"/>
  <c r="B134" i="62"/>
  <c r="F134" i="62"/>
  <c r="I130" i="82"/>
  <c r="H130" i="82"/>
  <c r="H129" i="91"/>
  <c r="I129" i="91"/>
  <c r="F132" i="76"/>
  <c r="B132" i="76"/>
  <c r="H129" i="84"/>
  <c r="I129" i="84"/>
  <c r="I127" i="98"/>
  <c r="H127" i="98"/>
  <c r="H132" i="68"/>
  <c r="I132" i="68"/>
  <c r="H137" i="22"/>
  <c r="I137" i="22"/>
  <c r="I136" i="43"/>
  <c r="H136" i="43"/>
  <c r="H134" i="57"/>
  <c r="I134" i="57"/>
  <c r="I136" i="73"/>
  <c r="H136" i="73"/>
  <c r="H134" i="56"/>
  <c r="I134" i="56"/>
  <c r="I135" i="45"/>
  <c r="H135" i="45"/>
  <c r="B130" i="90"/>
  <c r="F130" i="90"/>
  <c r="H133" i="62"/>
  <c r="I133" i="62"/>
  <c r="B138" i="21"/>
  <c r="F138" i="21"/>
  <c r="H131" i="76"/>
  <c r="I131" i="76"/>
  <c r="F130" i="84"/>
  <c r="B130" i="84"/>
  <c r="G128" i="95"/>
  <c r="D129" i="95"/>
  <c r="E129" i="95"/>
  <c r="F133" i="68"/>
  <c r="B133" i="68"/>
  <c r="E131" i="86"/>
  <c r="F131" i="86" s="1"/>
  <c r="B131" i="86"/>
  <c r="I129" i="92"/>
  <c r="H129" i="92"/>
  <c r="B137" i="43"/>
  <c r="F137" i="43"/>
  <c r="B135" i="57"/>
  <c r="F135" i="57"/>
  <c r="I136" i="41"/>
  <c r="H136" i="41"/>
  <c r="B135" i="56"/>
  <c r="F135" i="56"/>
  <c r="F131" i="81"/>
  <c r="B131" i="81"/>
  <c r="I137" i="19"/>
  <c r="H137" i="19"/>
  <c r="B130" i="88"/>
  <c r="F130" i="88"/>
  <c r="F135" i="72"/>
  <c r="B135" i="72"/>
  <c r="I129" i="89"/>
  <c r="H129" i="89"/>
  <c r="H129" i="90"/>
  <c r="I129" i="90"/>
  <c r="I130" i="86"/>
  <c r="H130" i="86"/>
  <c r="F137" i="42"/>
  <c r="B137" i="42"/>
  <c r="D134" i="61"/>
  <c r="G133" i="61"/>
  <c r="E134" i="61"/>
  <c r="B137" i="41"/>
  <c r="F137" i="41"/>
  <c r="H139" i="70"/>
  <c r="I139" i="70"/>
  <c r="H138" i="23"/>
  <c r="I138" i="23"/>
  <c r="H130" i="81"/>
  <c r="I130" i="81"/>
  <c r="F138" i="19"/>
  <c r="B138" i="19"/>
  <c r="I129" i="88"/>
  <c r="H129" i="88"/>
  <c r="H134" i="72"/>
  <c r="I134" i="72"/>
  <c r="B130" i="89"/>
  <c r="F130" i="89"/>
  <c r="H137" i="21"/>
  <c r="I137" i="21"/>
  <c r="B135" i="58"/>
  <c r="F135" i="58"/>
  <c r="B135" i="55"/>
  <c r="F135" i="55"/>
  <c r="B138" i="17"/>
  <c r="F138" i="17"/>
  <c r="J136" i="18"/>
  <c r="I131" i="79"/>
  <c r="H131" i="79"/>
  <c r="H130" i="85"/>
  <c r="I130" i="85"/>
  <c r="H134" i="58"/>
  <c r="I134" i="58"/>
  <c r="H133" i="64"/>
  <c r="I133" i="64"/>
  <c r="H136" i="42"/>
  <c r="I136" i="42"/>
  <c r="F131" i="80"/>
  <c r="B131" i="80"/>
  <c r="F140" i="70"/>
  <c r="B140" i="70"/>
  <c r="F139" i="23"/>
  <c r="B139" i="23"/>
  <c r="F133" i="65"/>
  <c r="B133" i="65"/>
  <c r="F140" i="69"/>
  <c r="B140" i="69"/>
  <c r="I129" i="94"/>
  <c r="H129" i="94"/>
  <c r="D128" i="99"/>
  <c r="G127" i="99"/>
  <c r="E128" i="99"/>
  <c r="D131" i="96"/>
  <c r="G130" i="96"/>
  <c r="E131" i="96"/>
  <c r="I134" i="55"/>
  <c r="H134" i="55"/>
  <c r="B130" i="92"/>
  <c r="F130" i="92"/>
  <c r="I136" i="74"/>
  <c r="H136" i="74"/>
  <c r="F139" i="24"/>
  <c r="B139" i="24"/>
  <c r="B137" i="74"/>
  <c r="F137" i="74"/>
  <c r="I130" i="83"/>
  <c r="H130" i="83"/>
  <c r="I140" i="28"/>
  <c r="H140" i="28"/>
  <c r="G137" i="18"/>
  <c r="D138" i="18"/>
  <c r="E138" i="18"/>
  <c r="B131" i="85"/>
  <c r="F131" i="85"/>
  <c r="J127" i="95"/>
  <c r="F134" i="64"/>
  <c r="B134" i="64"/>
  <c r="F137" i="39"/>
  <c r="B137" i="39"/>
  <c r="D139" i="31"/>
  <c r="G138" i="31"/>
  <c r="E139" i="31"/>
  <c r="I130" i="80"/>
  <c r="H130" i="80"/>
  <c r="F137" i="44"/>
  <c r="B137" i="44"/>
  <c r="F140" i="30"/>
  <c r="B140" i="30"/>
  <c r="H132" i="65"/>
  <c r="I132" i="65"/>
  <c r="J127" i="93"/>
  <c r="I139" i="69"/>
  <c r="H139" i="69"/>
  <c r="B130" i="94"/>
  <c r="F130" i="94"/>
  <c r="F134" i="63"/>
  <c r="B134" i="63"/>
  <c r="F130" i="87"/>
  <c r="B130" i="87"/>
  <c r="I137" i="17"/>
  <c r="H137" i="17"/>
  <c r="B141" i="28"/>
  <c r="F141" i="28"/>
  <c r="H137" i="34"/>
  <c r="I137" i="34"/>
  <c r="I134" i="54"/>
  <c r="H134" i="54"/>
  <c r="D134" i="60"/>
  <c r="G133" i="60"/>
  <c r="E134" i="60"/>
  <c r="B132" i="77"/>
  <c r="F132" i="77"/>
  <c r="H136" i="44"/>
  <c r="I136" i="44"/>
  <c r="H139" i="30"/>
  <c r="I139" i="30"/>
  <c r="F133" i="66"/>
  <c r="B133" i="66"/>
  <c r="B134" i="59"/>
  <c r="F134" i="59"/>
  <c r="D138" i="20"/>
  <c r="G137" i="20"/>
  <c r="E138" i="20"/>
  <c r="I133" i="63"/>
  <c r="H133" i="63"/>
  <c r="I129" i="87"/>
  <c r="H129" i="87"/>
  <c r="J136" i="43" l="1"/>
  <c r="J134" i="72"/>
  <c r="J135" i="45"/>
  <c r="J139" i="70"/>
  <c r="J123" i="13"/>
  <c r="J137" i="34"/>
  <c r="D125" i="13"/>
  <c r="G124" i="13"/>
  <c r="E125" i="13"/>
  <c r="J134" i="58"/>
  <c r="J130" i="81"/>
  <c r="J155" i="81" s="1"/>
  <c r="J137" i="19"/>
  <c r="J134" i="56"/>
  <c r="J137" i="22"/>
  <c r="J139" i="29"/>
  <c r="J134" i="46"/>
  <c r="J136" i="73"/>
  <c r="J130" i="101"/>
  <c r="J155" i="101" s="1"/>
  <c r="J129" i="87"/>
  <c r="J138" i="71"/>
  <c r="J133" i="59"/>
  <c r="J130" i="86"/>
  <c r="J155" i="86" s="1"/>
  <c r="J136" i="41"/>
  <c r="J130" i="80"/>
  <c r="J155" i="80" s="1"/>
  <c r="J136" i="42"/>
  <c r="J134" i="54"/>
  <c r="J130" i="83"/>
  <c r="J155" i="83" s="1"/>
  <c r="J134" i="57"/>
  <c r="J131" i="78"/>
  <c r="J136" i="39"/>
  <c r="J137" i="3"/>
  <c r="D132" i="86"/>
  <c r="G131" i="86"/>
  <c r="G124" i="102"/>
  <c r="D125" i="102"/>
  <c r="E125" i="102"/>
  <c r="D136" i="54"/>
  <c r="G135" i="54"/>
  <c r="E136" i="54"/>
  <c r="D141" i="27"/>
  <c r="G140" i="27"/>
  <c r="E141" i="27"/>
  <c r="J139" i="27"/>
  <c r="D131" i="90"/>
  <c r="G130" i="90"/>
  <c r="E131" i="90"/>
  <c r="G134" i="63"/>
  <c r="D135" i="63"/>
  <c r="E135" i="63"/>
  <c r="H133" i="61"/>
  <c r="I133" i="61"/>
  <c r="J127" i="98"/>
  <c r="D142" i="28"/>
  <c r="G141" i="28"/>
  <c r="E142" i="28"/>
  <c r="G130" i="94"/>
  <c r="D131" i="94"/>
  <c r="E131" i="94"/>
  <c r="G140" i="30"/>
  <c r="D141" i="30"/>
  <c r="E141" i="30"/>
  <c r="F138" i="18"/>
  <c r="B138" i="18"/>
  <c r="J130" i="85"/>
  <c r="J155" i="85" s="1"/>
  <c r="J138" i="23"/>
  <c r="F134" i="61"/>
  <c r="B134" i="61"/>
  <c r="J129" i="89"/>
  <c r="G131" i="81"/>
  <c r="D132" i="81"/>
  <c r="E132" i="81"/>
  <c r="J129" i="84"/>
  <c r="D135" i="62"/>
  <c r="G134" i="62"/>
  <c r="E135" i="62"/>
  <c r="J138" i="32"/>
  <c r="G136" i="45"/>
  <c r="D137" i="45"/>
  <c r="E137" i="45"/>
  <c r="D140" i="32"/>
  <c r="G139" i="32"/>
  <c r="E140" i="32"/>
  <c r="D132" i="83"/>
  <c r="G131" i="83"/>
  <c r="E132" i="83"/>
  <c r="G135" i="55"/>
  <c r="D136" i="55"/>
  <c r="E136" i="55"/>
  <c r="D138" i="43"/>
  <c r="G137" i="43"/>
  <c r="E138" i="43"/>
  <c r="G138" i="21"/>
  <c r="D139" i="21"/>
  <c r="E139" i="21"/>
  <c r="D139" i="22"/>
  <c r="G138" i="22"/>
  <c r="E139" i="22"/>
  <c r="G135" i="46"/>
  <c r="D136" i="46"/>
  <c r="E136" i="46"/>
  <c r="G139" i="24"/>
  <c r="D140" i="24"/>
  <c r="E140" i="24"/>
  <c r="I130" i="96"/>
  <c r="H130" i="96"/>
  <c r="G140" i="69"/>
  <c r="D141" i="69"/>
  <c r="E141" i="69"/>
  <c r="G131" i="80"/>
  <c r="D132" i="80"/>
  <c r="E132" i="80"/>
  <c r="D136" i="58"/>
  <c r="G135" i="58"/>
  <c r="E136" i="58"/>
  <c r="D136" i="56"/>
  <c r="G135" i="56"/>
  <c r="E136" i="56"/>
  <c r="B129" i="95"/>
  <c r="F129" i="95"/>
  <c r="D131" i="91"/>
  <c r="G130" i="91"/>
  <c r="E131" i="91"/>
  <c r="G132" i="75"/>
  <c r="D133" i="75"/>
  <c r="E133" i="75"/>
  <c r="G140" i="29"/>
  <c r="D141" i="29"/>
  <c r="E141" i="29"/>
  <c r="G138" i="34"/>
  <c r="D139" i="34"/>
  <c r="E139" i="34"/>
  <c r="I138" i="31"/>
  <c r="H138" i="31"/>
  <c r="J134" i="55"/>
  <c r="D141" i="70"/>
  <c r="G140" i="70"/>
  <c r="E141" i="70"/>
  <c r="G133" i="68"/>
  <c r="D134" i="68"/>
  <c r="E134" i="68"/>
  <c r="J130" i="82"/>
  <c r="J155" i="82" s="1"/>
  <c r="G137" i="39"/>
  <c r="D138" i="39"/>
  <c r="E138" i="39"/>
  <c r="H133" i="60"/>
  <c r="I133" i="60"/>
  <c r="D138" i="44"/>
  <c r="G137" i="44"/>
  <c r="E138" i="44"/>
  <c r="B131" i="96"/>
  <c r="F131" i="96"/>
  <c r="D138" i="42"/>
  <c r="G137" i="42"/>
  <c r="E138" i="42"/>
  <c r="D136" i="72"/>
  <c r="G135" i="72"/>
  <c r="E136" i="72"/>
  <c r="J129" i="92"/>
  <c r="H128" i="95"/>
  <c r="I128" i="95"/>
  <c r="D138" i="73"/>
  <c r="G137" i="73"/>
  <c r="E138" i="73"/>
  <c r="D136" i="53"/>
  <c r="G135" i="53"/>
  <c r="E136" i="53"/>
  <c r="J132" i="66"/>
  <c r="H128" i="97"/>
  <c r="I128" i="97"/>
  <c r="B138" i="20"/>
  <c r="F138" i="20"/>
  <c r="D138" i="74"/>
  <c r="G137" i="74"/>
  <c r="E138" i="74"/>
  <c r="D133" i="77"/>
  <c r="G132" i="77"/>
  <c r="E133" i="77"/>
  <c r="J129" i="94"/>
  <c r="I137" i="18"/>
  <c r="H137" i="18"/>
  <c r="D134" i="66"/>
  <c r="G133" i="66"/>
  <c r="E134" i="66"/>
  <c r="J133" i="63"/>
  <c r="J139" i="30"/>
  <c r="B134" i="60"/>
  <c r="F134" i="60"/>
  <c r="J137" i="17"/>
  <c r="J139" i="69"/>
  <c r="G134" i="64"/>
  <c r="D135" i="64"/>
  <c r="E135" i="64"/>
  <c r="J140" i="28"/>
  <c r="J136" i="74"/>
  <c r="D134" i="65"/>
  <c r="G133" i="65"/>
  <c r="E134" i="65"/>
  <c r="J131" i="79"/>
  <c r="J137" i="21"/>
  <c r="J129" i="88"/>
  <c r="D131" i="88"/>
  <c r="G130" i="88"/>
  <c r="E131" i="88"/>
  <c r="G132" i="76"/>
  <c r="D133" i="76"/>
  <c r="E133" i="76"/>
  <c r="B129" i="93"/>
  <c r="F129" i="93"/>
  <c r="G133" i="67"/>
  <c r="D134" i="67"/>
  <c r="E134" i="67"/>
  <c r="D132" i="101"/>
  <c r="G131" i="101"/>
  <c r="E132" i="101"/>
  <c r="G139" i="71"/>
  <c r="D140" i="71"/>
  <c r="E140" i="71"/>
  <c r="B129" i="97"/>
  <c r="F129" i="97"/>
  <c r="J138" i="24"/>
  <c r="G134" i="59"/>
  <c r="D135" i="59"/>
  <c r="E135" i="59"/>
  <c r="B139" i="31"/>
  <c r="F139" i="31"/>
  <c r="G130" i="92"/>
  <c r="D131" i="92"/>
  <c r="E131" i="92"/>
  <c r="H127" i="99"/>
  <c r="I127" i="99"/>
  <c r="J133" i="64"/>
  <c r="G137" i="41"/>
  <c r="D138" i="41"/>
  <c r="E138" i="41"/>
  <c r="D131" i="84"/>
  <c r="G130" i="84"/>
  <c r="E131" i="84"/>
  <c r="J133" i="62"/>
  <c r="J132" i="68"/>
  <c r="J129" i="91"/>
  <c r="J132" i="67"/>
  <c r="H128" i="93"/>
  <c r="I128" i="93"/>
  <c r="G132" i="78"/>
  <c r="D133" i="78"/>
  <c r="E133" i="78"/>
  <c r="D133" i="79"/>
  <c r="G132" i="79"/>
  <c r="E133" i="79"/>
  <c r="I137" i="20"/>
  <c r="H137" i="20"/>
  <c r="J136" i="44"/>
  <c r="G130" i="87"/>
  <c r="D131" i="87"/>
  <c r="E131" i="87"/>
  <c r="J132" i="65"/>
  <c r="G131" i="85"/>
  <c r="D132" i="85"/>
  <c r="E132" i="85"/>
  <c r="F128" i="99"/>
  <c r="B128" i="99"/>
  <c r="G139" i="23"/>
  <c r="D140" i="23"/>
  <c r="E140" i="23"/>
  <c r="G138" i="17"/>
  <c r="D139" i="17"/>
  <c r="E139" i="17"/>
  <c r="G130" i="89"/>
  <c r="D131" i="89"/>
  <c r="E131" i="89"/>
  <c r="D139" i="19"/>
  <c r="G138" i="19"/>
  <c r="E139" i="19"/>
  <c r="J129" i="90"/>
  <c r="D136" i="57"/>
  <c r="G135" i="57"/>
  <c r="E136" i="57"/>
  <c r="J131" i="76"/>
  <c r="G128" i="98"/>
  <c r="D129" i="98"/>
  <c r="E129" i="98"/>
  <c r="D132" i="82"/>
  <c r="G131" i="82"/>
  <c r="E132" i="82"/>
  <c r="G138" i="3"/>
  <c r="D139" i="3"/>
  <c r="E139" i="3"/>
  <c r="J123" i="102"/>
  <c r="J131" i="75"/>
  <c r="J131" i="77"/>
  <c r="J134" i="53"/>
  <c r="J137" i="18" l="1"/>
  <c r="J128" i="95"/>
  <c r="I124" i="13"/>
  <c r="H124" i="13"/>
  <c r="B125" i="13"/>
  <c r="F125" i="13"/>
  <c r="J128" i="97"/>
  <c r="J127" i="99"/>
  <c r="J133" i="61"/>
  <c r="J130" i="96"/>
  <c r="J155" i="96" s="1"/>
  <c r="J137" i="20"/>
  <c r="J138" i="31"/>
  <c r="B131" i="87"/>
  <c r="F131" i="87"/>
  <c r="I132" i="77"/>
  <c r="H132" i="77"/>
  <c r="F132" i="82"/>
  <c r="B132" i="82"/>
  <c r="B139" i="17"/>
  <c r="F139" i="17"/>
  <c r="F132" i="85"/>
  <c r="B132" i="85"/>
  <c r="I130" i="92"/>
  <c r="H130" i="92"/>
  <c r="B134" i="67"/>
  <c r="F134" i="67"/>
  <c r="H133" i="65"/>
  <c r="I133" i="65"/>
  <c r="B138" i="74"/>
  <c r="F138" i="74"/>
  <c r="B136" i="53"/>
  <c r="F136" i="53"/>
  <c r="I135" i="72"/>
  <c r="H135" i="72"/>
  <c r="H137" i="44"/>
  <c r="I137" i="44"/>
  <c r="F133" i="75"/>
  <c r="B133" i="75"/>
  <c r="G129" i="95"/>
  <c r="D130" i="95"/>
  <c r="E130" i="95"/>
  <c r="F139" i="22"/>
  <c r="B139" i="22"/>
  <c r="B136" i="55"/>
  <c r="F136" i="55"/>
  <c r="H134" i="63"/>
  <c r="I134" i="63"/>
  <c r="B140" i="23"/>
  <c r="F140" i="23"/>
  <c r="I139" i="23"/>
  <c r="H139" i="23"/>
  <c r="F136" i="56"/>
  <c r="B136" i="56"/>
  <c r="H138" i="17"/>
  <c r="I138" i="17"/>
  <c r="I131" i="85"/>
  <c r="H131" i="85"/>
  <c r="F138" i="41"/>
  <c r="B138" i="41"/>
  <c r="D140" i="31"/>
  <c r="G139" i="31"/>
  <c r="E140" i="31"/>
  <c r="I133" i="67"/>
  <c r="H133" i="67"/>
  <c r="F134" i="65"/>
  <c r="B134" i="65"/>
  <c r="G134" i="60"/>
  <c r="D135" i="60"/>
  <c r="E135" i="60"/>
  <c r="D139" i="20"/>
  <c r="G138" i="20"/>
  <c r="E139" i="20"/>
  <c r="B136" i="72"/>
  <c r="F136" i="72"/>
  <c r="F138" i="44"/>
  <c r="B138" i="44"/>
  <c r="B134" i="68"/>
  <c r="F134" i="68"/>
  <c r="H132" i="75"/>
  <c r="I132" i="75"/>
  <c r="F132" i="80"/>
  <c r="B132" i="80"/>
  <c r="F140" i="24"/>
  <c r="B140" i="24"/>
  <c r="I135" i="55"/>
  <c r="H135" i="55"/>
  <c r="B137" i="45"/>
  <c r="F137" i="45"/>
  <c r="F132" i="81"/>
  <c r="B132" i="81"/>
  <c r="D139" i="18"/>
  <c r="G138" i="18"/>
  <c r="E139" i="18"/>
  <c r="H141" i="28"/>
  <c r="I141" i="28"/>
  <c r="I135" i="54"/>
  <c r="H135" i="54"/>
  <c r="F139" i="19"/>
  <c r="B139" i="19"/>
  <c r="F133" i="79"/>
  <c r="B133" i="79"/>
  <c r="I139" i="71"/>
  <c r="H139" i="71"/>
  <c r="F129" i="98"/>
  <c r="B129" i="98"/>
  <c r="H138" i="19"/>
  <c r="I138" i="19"/>
  <c r="H132" i="79"/>
  <c r="I132" i="79"/>
  <c r="H137" i="41"/>
  <c r="I137" i="41"/>
  <c r="F140" i="71"/>
  <c r="B140" i="71"/>
  <c r="D130" i="93"/>
  <c r="G129" i="93"/>
  <c r="E130" i="93"/>
  <c r="H130" i="88"/>
  <c r="I130" i="88"/>
  <c r="H137" i="73"/>
  <c r="I137" i="73"/>
  <c r="J133" i="60"/>
  <c r="H133" i="68"/>
  <c r="I133" i="68"/>
  <c r="B139" i="34"/>
  <c r="F139" i="34"/>
  <c r="I131" i="80"/>
  <c r="H131" i="80"/>
  <c r="I139" i="24"/>
  <c r="H139" i="24"/>
  <c r="F139" i="21"/>
  <c r="B139" i="21"/>
  <c r="H136" i="45"/>
  <c r="I136" i="45"/>
  <c r="H131" i="81"/>
  <c r="I131" i="81"/>
  <c r="F142" i="28"/>
  <c r="B142" i="28"/>
  <c r="H130" i="90"/>
  <c r="I130" i="90"/>
  <c r="B136" i="54"/>
  <c r="F136" i="54"/>
  <c r="B131" i="88"/>
  <c r="F131" i="88"/>
  <c r="B138" i="73"/>
  <c r="F138" i="73"/>
  <c r="I137" i="42"/>
  <c r="H137" i="42"/>
  <c r="I138" i="34"/>
  <c r="H138" i="34"/>
  <c r="H130" i="91"/>
  <c r="I130" i="91"/>
  <c r="H135" i="56"/>
  <c r="I135" i="56"/>
  <c r="I138" i="21"/>
  <c r="H138" i="21"/>
  <c r="H131" i="83"/>
  <c r="I131" i="83"/>
  <c r="B141" i="30"/>
  <c r="F141" i="30"/>
  <c r="B131" i="90"/>
  <c r="F131" i="90"/>
  <c r="B132" i="83"/>
  <c r="F132" i="83"/>
  <c r="I140" i="30"/>
  <c r="H140" i="30"/>
  <c r="F125" i="102"/>
  <c r="B125" i="102"/>
  <c r="F135" i="59"/>
  <c r="B135" i="59"/>
  <c r="B138" i="42"/>
  <c r="F138" i="42"/>
  <c r="I140" i="70"/>
  <c r="H140" i="70"/>
  <c r="F141" i="69"/>
  <c r="B141" i="69"/>
  <c r="F133" i="78"/>
  <c r="B133" i="78"/>
  <c r="I134" i="59"/>
  <c r="H134" i="59"/>
  <c r="F133" i="77"/>
  <c r="B133" i="77"/>
  <c r="D132" i="96"/>
  <c r="G131" i="96"/>
  <c r="E132" i="96"/>
  <c r="B138" i="39"/>
  <c r="F138" i="39"/>
  <c r="B141" i="70"/>
  <c r="F141" i="70"/>
  <c r="B141" i="29"/>
  <c r="F141" i="29"/>
  <c r="H140" i="69"/>
  <c r="I140" i="69"/>
  <c r="H135" i="46"/>
  <c r="I135" i="46"/>
  <c r="H137" i="43"/>
  <c r="I137" i="43"/>
  <c r="H134" i="62"/>
  <c r="I134" i="62"/>
  <c r="G134" i="61"/>
  <c r="D135" i="61"/>
  <c r="E135" i="61"/>
  <c r="H124" i="102"/>
  <c r="I124" i="102"/>
  <c r="B131" i="91"/>
  <c r="F131" i="91"/>
  <c r="F131" i="89"/>
  <c r="B131" i="89"/>
  <c r="B133" i="76"/>
  <c r="F133" i="76"/>
  <c r="I135" i="57"/>
  <c r="H135" i="57"/>
  <c r="H130" i="89"/>
  <c r="I130" i="89"/>
  <c r="H132" i="78"/>
  <c r="I132" i="78"/>
  <c r="H130" i="84"/>
  <c r="I130" i="84"/>
  <c r="F132" i="101"/>
  <c r="B132" i="101"/>
  <c r="I132" i="76"/>
  <c r="H132" i="76"/>
  <c r="I134" i="64"/>
  <c r="H134" i="64"/>
  <c r="I133" i="66"/>
  <c r="H133" i="66"/>
  <c r="I137" i="39"/>
  <c r="H137" i="39"/>
  <c r="I140" i="29"/>
  <c r="H140" i="29"/>
  <c r="I135" i="58"/>
  <c r="H135" i="58"/>
  <c r="F138" i="43"/>
  <c r="B138" i="43"/>
  <c r="I139" i="32"/>
  <c r="H139" i="32"/>
  <c r="B135" i="62"/>
  <c r="F135" i="62"/>
  <c r="F131" i="94"/>
  <c r="B131" i="94"/>
  <c r="H140" i="27"/>
  <c r="I140" i="27"/>
  <c r="H131" i="86"/>
  <c r="I131" i="86"/>
  <c r="H128" i="98"/>
  <c r="I128" i="98"/>
  <c r="B139" i="3"/>
  <c r="F139" i="3"/>
  <c r="F136" i="46"/>
  <c r="B136" i="46"/>
  <c r="H138" i="3"/>
  <c r="I138" i="3"/>
  <c r="I130" i="87"/>
  <c r="H130" i="87"/>
  <c r="H131" i="101"/>
  <c r="I131" i="101"/>
  <c r="F135" i="64"/>
  <c r="B135" i="64"/>
  <c r="D129" i="99"/>
  <c r="G128" i="99"/>
  <c r="E129" i="99"/>
  <c r="H131" i="82"/>
  <c r="I131" i="82"/>
  <c r="F136" i="57"/>
  <c r="B136" i="57"/>
  <c r="J128" i="93"/>
  <c r="F131" i="84"/>
  <c r="B131" i="84"/>
  <c r="B131" i="92"/>
  <c r="F131" i="92"/>
  <c r="G129" i="97"/>
  <c r="D130" i="97"/>
  <c r="E130" i="97"/>
  <c r="F134" i="66"/>
  <c r="B134" i="66"/>
  <c r="H137" i="74"/>
  <c r="I137" i="74"/>
  <c r="H135" i="53"/>
  <c r="I135" i="53"/>
  <c r="B136" i="58"/>
  <c r="F136" i="58"/>
  <c r="I138" i="22"/>
  <c r="H138" i="22"/>
  <c r="B140" i="32"/>
  <c r="F140" i="32"/>
  <c r="I130" i="94"/>
  <c r="H130" i="94"/>
  <c r="F135" i="63"/>
  <c r="B135" i="63"/>
  <c r="B141" i="27"/>
  <c r="F141" i="27"/>
  <c r="E132" i="86"/>
  <c r="F132" i="86" s="1"/>
  <c r="B132" i="86"/>
  <c r="J124" i="13" l="1"/>
  <c r="J135" i="53"/>
  <c r="J130" i="88"/>
  <c r="J155" i="88" s="1"/>
  <c r="E126" i="13"/>
  <c r="G125" i="13"/>
  <c r="D126" i="13"/>
  <c r="J130" i="87"/>
  <c r="J155" i="87" s="1"/>
  <c r="J124" i="102"/>
  <c r="J139" i="71"/>
  <c r="J138" i="22"/>
  <c r="J140" i="27"/>
  <c r="J134" i="64"/>
  <c r="J140" i="69"/>
  <c r="J137" i="73"/>
  <c r="J132" i="75"/>
  <c r="J134" i="59"/>
  <c r="J138" i="21"/>
  <c r="J137" i="42"/>
  <c r="J137" i="74"/>
  <c r="J134" i="62"/>
  <c r="J135" i="56"/>
  <c r="J139" i="32"/>
  <c r="J140" i="29"/>
  <c r="J132" i="76"/>
  <c r="J133" i="67"/>
  <c r="J138" i="17"/>
  <c r="J134" i="63"/>
  <c r="J130" i="92"/>
  <c r="J155" i="92" s="1"/>
  <c r="J130" i="84"/>
  <c r="J155" i="84" s="1"/>
  <c r="J140" i="70"/>
  <c r="J140" i="30"/>
  <c r="J138" i="34"/>
  <c r="D134" i="79"/>
  <c r="G133" i="79"/>
  <c r="E134" i="79"/>
  <c r="H138" i="18"/>
  <c r="I138" i="18"/>
  <c r="F135" i="60"/>
  <c r="B135" i="60"/>
  <c r="B140" i="31"/>
  <c r="F140" i="31"/>
  <c r="D137" i="56"/>
  <c r="G136" i="56"/>
  <c r="E137" i="56"/>
  <c r="J137" i="44"/>
  <c r="J133" i="65"/>
  <c r="D140" i="17"/>
  <c r="G139" i="17"/>
  <c r="E140" i="17"/>
  <c r="D142" i="70"/>
  <c r="G141" i="70"/>
  <c r="E142" i="70"/>
  <c r="I129" i="97"/>
  <c r="H129" i="97"/>
  <c r="G131" i="94"/>
  <c r="D132" i="94"/>
  <c r="E132" i="94"/>
  <c r="J135" i="58"/>
  <c r="J133" i="66"/>
  <c r="F135" i="61"/>
  <c r="B135" i="61"/>
  <c r="G138" i="42"/>
  <c r="D139" i="42"/>
  <c r="E139" i="42"/>
  <c r="G132" i="83"/>
  <c r="D133" i="83"/>
  <c r="E133" i="83"/>
  <c r="J130" i="90"/>
  <c r="J155" i="90" s="1"/>
  <c r="J133" i="68"/>
  <c r="H129" i="93"/>
  <c r="I129" i="93"/>
  <c r="J138" i="19"/>
  <c r="B139" i="18"/>
  <c r="F139" i="18"/>
  <c r="D141" i="24"/>
  <c r="G140" i="24"/>
  <c r="E141" i="24"/>
  <c r="D139" i="44"/>
  <c r="G138" i="44"/>
  <c r="E139" i="44"/>
  <c r="I134" i="60"/>
  <c r="H134" i="60"/>
  <c r="J130" i="94"/>
  <c r="J155" i="94" s="1"/>
  <c r="D132" i="92"/>
  <c r="G131" i="92"/>
  <c r="E132" i="92"/>
  <c r="J128" i="98"/>
  <c r="D136" i="62"/>
  <c r="G135" i="62"/>
  <c r="E136" i="62"/>
  <c r="J132" i="78"/>
  <c r="I134" i="61"/>
  <c r="H134" i="61"/>
  <c r="G138" i="39"/>
  <c r="D139" i="39"/>
  <c r="E139" i="39"/>
  <c r="G139" i="21"/>
  <c r="D140" i="21"/>
  <c r="E140" i="21"/>
  <c r="B130" i="93"/>
  <c r="F130" i="93"/>
  <c r="G139" i="19"/>
  <c r="D140" i="19"/>
  <c r="E140" i="19"/>
  <c r="D137" i="72"/>
  <c r="G136" i="72"/>
  <c r="E137" i="72"/>
  <c r="G138" i="41"/>
  <c r="D139" i="41"/>
  <c r="E139" i="41"/>
  <c r="J139" i="23"/>
  <c r="D140" i="22"/>
  <c r="G139" i="22"/>
  <c r="E140" i="22"/>
  <c r="D135" i="67"/>
  <c r="G134" i="67"/>
  <c r="E135" i="67"/>
  <c r="G131" i="89"/>
  <c r="D132" i="89"/>
  <c r="E132" i="89"/>
  <c r="G131" i="90"/>
  <c r="D132" i="90"/>
  <c r="E132" i="90"/>
  <c r="D139" i="73"/>
  <c r="G138" i="73"/>
  <c r="E139" i="73"/>
  <c r="G132" i="81"/>
  <c r="D133" i="81"/>
  <c r="E133" i="81"/>
  <c r="D133" i="80"/>
  <c r="G132" i="80"/>
  <c r="E133" i="80"/>
  <c r="D135" i="65"/>
  <c r="G134" i="65"/>
  <c r="E135" i="65"/>
  <c r="D141" i="23"/>
  <c r="G140" i="23"/>
  <c r="E141" i="23"/>
  <c r="J135" i="72"/>
  <c r="D133" i="82"/>
  <c r="G132" i="82"/>
  <c r="E133" i="82"/>
  <c r="G135" i="63"/>
  <c r="D136" i="63"/>
  <c r="E136" i="63"/>
  <c r="B130" i="97"/>
  <c r="F130" i="97"/>
  <c r="G136" i="57"/>
  <c r="D137" i="57"/>
  <c r="E137" i="57"/>
  <c r="G139" i="3"/>
  <c r="D140" i="3"/>
  <c r="E140" i="3"/>
  <c r="D134" i="76"/>
  <c r="G133" i="76"/>
  <c r="E134" i="76"/>
  <c r="G133" i="77"/>
  <c r="D134" i="77"/>
  <c r="E134" i="77"/>
  <c r="G140" i="32"/>
  <c r="D141" i="32"/>
  <c r="E141" i="32"/>
  <c r="I128" i="99"/>
  <c r="H128" i="99"/>
  <c r="J138" i="3"/>
  <c r="J130" i="89"/>
  <c r="J155" i="89" s="1"/>
  <c r="G131" i="91"/>
  <c r="D132" i="91"/>
  <c r="E132" i="91"/>
  <c r="G133" i="78"/>
  <c r="D134" i="78"/>
  <c r="E134" i="78"/>
  <c r="D136" i="59"/>
  <c r="G135" i="59"/>
  <c r="E136" i="59"/>
  <c r="D143" i="28"/>
  <c r="G142" i="28"/>
  <c r="E143" i="28"/>
  <c r="J139" i="24"/>
  <c r="G140" i="71"/>
  <c r="D141" i="71"/>
  <c r="E141" i="71"/>
  <c r="G129" i="98"/>
  <c r="D130" i="98"/>
  <c r="E130" i="98"/>
  <c r="J135" i="54"/>
  <c r="D138" i="45"/>
  <c r="G137" i="45"/>
  <c r="E138" i="45"/>
  <c r="B130" i="95"/>
  <c r="F130" i="95"/>
  <c r="G136" i="53"/>
  <c r="D137" i="53"/>
  <c r="E137" i="53"/>
  <c r="D133" i="86"/>
  <c r="G132" i="86"/>
  <c r="D142" i="27"/>
  <c r="G141" i="27"/>
  <c r="E142" i="27"/>
  <c r="G131" i="84"/>
  <c r="D132" i="84"/>
  <c r="E132" i="84"/>
  <c r="F129" i="99"/>
  <c r="B129" i="99"/>
  <c r="J137" i="43"/>
  <c r="I131" i="96"/>
  <c r="H131" i="96"/>
  <c r="D142" i="30"/>
  <c r="B142" i="30" s="1"/>
  <c r="G141" i="30"/>
  <c r="J130" i="91"/>
  <c r="J155" i="91" s="1"/>
  <c r="D132" i="88"/>
  <c r="G131" i="88"/>
  <c r="E132" i="88"/>
  <c r="J137" i="41"/>
  <c r="J141" i="28"/>
  <c r="I138" i="20"/>
  <c r="H138" i="20"/>
  <c r="H129" i="95"/>
  <c r="I129" i="95"/>
  <c r="J132" i="77"/>
  <c r="G125" i="102"/>
  <c r="D126" i="102"/>
  <c r="E126" i="102"/>
  <c r="D135" i="68"/>
  <c r="G134" i="68"/>
  <c r="E135" i="68"/>
  <c r="F139" i="20"/>
  <c r="B139" i="20"/>
  <c r="G138" i="74"/>
  <c r="D139" i="74"/>
  <c r="E139" i="74"/>
  <c r="G131" i="87"/>
  <c r="D132" i="87"/>
  <c r="E132" i="87"/>
  <c r="G134" i="66"/>
  <c r="D135" i="66"/>
  <c r="E135" i="66"/>
  <c r="G141" i="29"/>
  <c r="D142" i="29"/>
  <c r="E142" i="29"/>
  <c r="F132" i="96"/>
  <c r="B132" i="96"/>
  <c r="D142" i="69"/>
  <c r="G141" i="69"/>
  <c r="E142" i="69"/>
  <c r="D137" i="58"/>
  <c r="G136" i="58"/>
  <c r="E137" i="58"/>
  <c r="D136" i="64"/>
  <c r="G135" i="64"/>
  <c r="E136" i="64"/>
  <c r="G136" i="46"/>
  <c r="D137" i="46"/>
  <c r="E137" i="46"/>
  <c r="D139" i="43"/>
  <c r="G138" i="43"/>
  <c r="E139" i="43"/>
  <c r="J137" i="39"/>
  <c r="D133" i="101"/>
  <c r="G132" i="101"/>
  <c r="E133" i="101"/>
  <c r="J135" i="57"/>
  <c r="J135" i="46"/>
  <c r="D137" i="54"/>
  <c r="G136" i="54"/>
  <c r="E137" i="54"/>
  <c r="J136" i="45"/>
  <c r="G139" i="34"/>
  <c r="D140" i="34"/>
  <c r="E140" i="34"/>
  <c r="J132" i="79"/>
  <c r="J135" i="55"/>
  <c r="I139" i="31"/>
  <c r="H139" i="31"/>
  <c r="G136" i="55"/>
  <c r="D137" i="55"/>
  <c r="E137" i="55"/>
  <c r="G133" i="75"/>
  <c r="D134" i="75"/>
  <c r="E134" i="75"/>
  <c r="G132" i="85"/>
  <c r="D133" i="85"/>
  <c r="E133" i="85"/>
  <c r="B126" i="13" l="1"/>
  <c r="F126" i="13"/>
  <c r="I125" i="13"/>
  <c r="H125" i="13"/>
  <c r="J138" i="18"/>
  <c r="I135" i="64"/>
  <c r="H135" i="64"/>
  <c r="D130" i="99"/>
  <c r="G129" i="99"/>
  <c r="E130" i="99"/>
  <c r="E133" i="86"/>
  <c r="F133" i="86" s="1"/>
  <c r="B133" i="86"/>
  <c r="B138" i="45"/>
  <c r="F138" i="45"/>
  <c r="F134" i="78"/>
  <c r="B134" i="78"/>
  <c r="H133" i="77"/>
  <c r="I133" i="77"/>
  <c r="B137" i="57"/>
  <c r="F137" i="57"/>
  <c r="I132" i="82"/>
  <c r="H132" i="82"/>
  <c r="F135" i="65"/>
  <c r="B135" i="65"/>
  <c r="I138" i="73"/>
  <c r="H138" i="73"/>
  <c r="B140" i="22"/>
  <c r="F140" i="22"/>
  <c r="B136" i="62"/>
  <c r="F136" i="62"/>
  <c r="B132" i="94"/>
  <c r="F132" i="94"/>
  <c r="H139" i="17"/>
  <c r="I139" i="17"/>
  <c r="H132" i="85"/>
  <c r="I132" i="85"/>
  <c r="J139" i="31"/>
  <c r="I136" i="54"/>
  <c r="H136" i="54"/>
  <c r="B136" i="64"/>
  <c r="F136" i="64"/>
  <c r="G132" i="96"/>
  <c r="D133" i="96"/>
  <c r="E133" i="96"/>
  <c r="B132" i="87"/>
  <c r="F132" i="87"/>
  <c r="I134" i="68"/>
  <c r="H134" i="68"/>
  <c r="E142" i="30"/>
  <c r="F142" i="30" s="1"/>
  <c r="H133" i="78"/>
  <c r="I133" i="78"/>
  <c r="I136" i="57"/>
  <c r="H136" i="57"/>
  <c r="F133" i="82"/>
  <c r="B133" i="82"/>
  <c r="F139" i="73"/>
  <c r="B139" i="73"/>
  <c r="B132" i="89"/>
  <c r="F132" i="89"/>
  <c r="B140" i="19"/>
  <c r="F140" i="19"/>
  <c r="B139" i="39"/>
  <c r="F139" i="39"/>
  <c r="I138" i="44"/>
  <c r="H138" i="44"/>
  <c r="J129" i="93"/>
  <c r="F139" i="42"/>
  <c r="B139" i="42"/>
  <c r="H131" i="94"/>
  <c r="I131" i="94"/>
  <c r="F140" i="17"/>
  <c r="B140" i="17"/>
  <c r="F137" i="54"/>
  <c r="B137" i="54"/>
  <c r="H138" i="43"/>
  <c r="I138" i="43"/>
  <c r="I131" i="87"/>
  <c r="H131" i="87"/>
  <c r="B135" i="68"/>
  <c r="F135" i="68"/>
  <c r="J138" i="20"/>
  <c r="H141" i="30"/>
  <c r="I141" i="30"/>
  <c r="B132" i="84"/>
  <c r="F132" i="84"/>
  <c r="F137" i="53"/>
  <c r="B137" i="53"/>
  <c r="H142" i="28"/>
  <c r="I142" i="28"/>
  <c r="J128" i="99"/>
  <c r="H133" i="76"/>
  <c r="I133" i="76"/>
  <c r="G130" i="97"/>
  <c r="D131" i="97"/>
  <c r="E131" i="97"/>
  <c r="I132" i="80"/>
  <c r="H132" i="80"/>
  <c r="H131" i="89"/>
  <c r="I131" i="89"/>
  <c r="I139" i="19"/>
  <c r="H139" i="19"/>
  <c r="H138" i="39"/>
  <c r="I138" i="39"/>
  <c r="F139" i="44"/>
  <c r="B139" i="44"/>
  <c r="H138" i="42"/>
  <c r="I138" i="42"/>
  <c r="G135" i="60"/>
  <c r="D136" i="60"/>
  <c r="E136" i="60"/>
  <c r="B139" i="43"/>
  <c r="F139" i="43"/>
  <c r="B143" i="28"/>
  <c r="F143" i="28"/>
  <c r="B134" i="76"/>
  <c r="F134" i="76"/>
  <c r="F133" i="80"/>
  <c r="B133" i="80"/>
  <c r="B132" i="90"/>
  <c r="F132" i="90"/>
  <c r="B139" i="41"/>
  <c r="F139" i="41"/>
  <c r="G130" i="93"/>
  <c r="D131" i="93"/>
  <c r="E131" i="93"/>
  <c r="H131" i="92"/>
  <c r="I131" i="92"/>
  <c r="J129" i="97"/>
  <c r="B134" i="75"/>
  <c r="F134" i="75"/>
  <c r="I136" i="53"/>
  <c r="H136" i="53"/>
  <c r="H133" i="75"/>
  <c r="I133" i="75"/>
  <c r="F137" i="58"/>
  <c r="B137" i="58"/>
  <c r="F139" i="74"/>
  <c r="B139" i="74"/>
  <c r="H129" i="98"/>
  <c r="I129" i="98"/>
  <c r="B141" i="32"/>
  <c r="F141" i="32"/>
  <c r="H140" i="23"/>
  <c r="I140" i="23"/>
  <c r="I131" i="90"/>
  <c r="H131" i="90"/>
  <c r="H134" i="67"/>
  <c r="I134" i="67"/>
  <c r="I138" i="41"/>
  <c r="H138" i="41"/>
  <c r="J134" i="61"/>
  <c r="F132" i="92"/>
  <c r="B132" i="92"/>
  <c r="H140" i="24"/>
  <c r="I140" i="24"/>
  <c r="G135" i="61"/>
  <c r="D136" i="61"/>
  <c r="E136" i="61"/>
  <c r="I131" i="84"/>
  <c r="H131" i="84"/>
  <c r="F130" i="98"/>
  <c r="B130" i="98"/>
  <c r="H141" i="29"/>
  <c r="I141" i="29"/>
  <c r="F126" i="102"/>
  <c r="B126" i="102"/>
  <c r="D131" i="95"/>
  <c r="G130" i="95"/>
  <c r="E131" i="95"/>
  <c r="B140" i="34"/>
  <c r="F140" i="34"/>
  <c r="B137" i="46"/>
  <c r="F137" i="46"/>
  <c r="H138" i="74"/>
  <c r="I138" i="74"/>
  <c r="I125" i="102"/>
  <c r="H125" i="102"/>
  <c r="H141" i="27"/>
  <c r="I141" i="27"/>
  <c r="H135" i="59"/>
  <c r="I135" i="59"/>
  <c r="B132" i="91"/>
  <c r="F132" i="91"/>
  <c r="I140" i="32"/>
  <c r="H140" i="32"/>
  <c r="F140" i="3"/>
  <c r="B140" i="3"/>
  <c r="B136" i="63"/>
  <c r="F136" i="63"/>
  <c r="B141" i="23"/>
  <c r="F141" i="23"/>
  <c r="B133" i="81"/>
  <c r="F133" i="81"/>
  <c r="B135" i="67"/>
  <c r="F135" i="67"/>
  <c r="B141" i="24"/>
  <c r="F141" i="24"/>
  <c r="I141" i="70"/>
  <c r="H141" i="70"/>
  <c r="H136" i="56"/>
  <c r="I136" i="56"/>
  <c r="F133" i="85"/>
  <c r="B133" i="85"/>
  <c r="I136" i="58"/>
  <c r="H136" i="58"/>
  <c r="F137" i="55"/>
  <c r="B137" i="55"/>
  <c r="H141" i="69"/>
  <c r="I141" i="69"/>
  <c r="B135" i="66"/>
  <c r="F135" i="66"/>
  <c r="H131" i="88"/>
  <c r="I131" i="88"/>
  <c r="B142" i="27"/>
  <c r="F142" i="27"/>
  <c r="F141" i="71"/>
  <c r="B141" i="71"/>
  <c r="F136" i="59"/>
  <c r="B136" i="59"/>
  <c r="I131" i="91"/>
  <c r="H131" i="91"/>
  <c r="I139" i="3"/>
  <c r="H139" i="3"/>
  <c r="I135" i="63"/>
  <c r="H135" i="63"/>
  <c r="I132" i="81"/>
  <c r="H132" i="81"/>
  <c r="I136" i="72"/>
  <c r="H136" i="72"/>
  <c r="F140" i="21"/>
  <c r="B140" i="21"/>
  <c r="G139" i="18"/>
  <c r="D140" i="18"/>
  <c r="E140" i="18"/>
  <c r="B133" i="83"/>
  <c r="F133" i="83"/>
  <c r="F142" i="70"/>
  <c r="B142" i="70"/>
  <c r="F137" i="56"/>
  <c r="B137" i="56"/>
  <c r="I133" i="79"/>
  <c r="H133" i="79"/>
  <c r="F142" i="29"/>
  <c r="B142" i="29"/>
  <c r="H139" i="34"/>
  <c r="I139" i="34"/>
  <c r="I132" i="101"/>
  <c r="H132" i="101"/>
  <c r="I136" i="46"/>
  <c r="H136" i="46"/>
  <c r="H136" i="55"/>
  <c r="I136" i="55"/>
  <c r="B133" i="101"/>
  <c r="F133" i="101"/>
  <c r="B142" i="69"/>
  <c r="F142" i="69"/>
  <c r="I134" i="66"/>
  <c r="H134" i="66"/>
  <c r="D140" i="20"/>
  <c r="G139" i="20"/>
  <c r="E140" i="20"/>
  <c r="J129" i="95"/>
  <c r="B132" i="88"/>
  <c r="F132" i="88"/>
  <c r="H132" i="86"/>
  <c r="I132" i="86"/>
  <c r="I137" i="45"/>
  <c r="H137" i="45"/>
  <c r="H140" i="71"/>
  <c r="I140" i="71"/>
  <c r="F134" i="77"/>
  <c r="B134" i="77"/>
  <c r="I134" i="65"/>
  <c r="H134" i="65"/>
  <c r="I139" i="22"/>
  <c r="H139" i="22"/>
  <c r="F137" i="72"/>
  <c r="B137" i="72"/>
  <c r="I139" i="21"/>
  <c r="H139" i="21"/>
  <c r="H135" i="62"/>
  <c r="I135" i="62"/>
  <c r="J134" i="60"/>
  <c r="I132" i="83"/>
  <c r="H132" i="83"/>
  <c r="G140" i="31"/>
  <c r="D141" i="31"/>
  <c r="E141" i="31"/>
  <c r="F134" i="79"/>
  <c r="B134" i="79"/>
  <c r="J134" i="68" l="1"/>
  <c r="J141" i="27"/>
  <c r="J140" i="24"/>
  <c r="J133" i="78"/>
  <c r="J125" i="13"/>
  <c r="E127" i="13"/>
  <c r="G126" i="13"/>
  <c r="D127" i="13"/>
  <c r="J138" i="39"/>
  <c r="J135" i="63"/>
  <c r="J140" i="71"/>
  <c r="J139" i="34"/>
  <c r="J135" i="62"/>
  <c r="J136" i="55"/>
  <c r="J136" i="72"/>
  <c r="J136" i="58"/>
  <c r="J135" i="59"/>
  <c r="J138" i="41"/>
  <c r="J141" i="70"/>
  <c r="J141" i="29"/>
  <c r="J134" i="67"/>
  <c r="J129" i="98"/>
  <c r="J133" i="76"/>
  <c r="J138" i="43"/>
  <c r="J139" i="3"/>
  <c r="J139" i="21"/>
  <c r="J134" i="65"/>
  <c r="J134" i="66"/>
  <c r="J136" i="46"/>
  <c r="J133" i="79"/>
  <c r="J142" i="28"/>
  <c r="J138" i="73"/>
  <c r="I130" i="97"/>
  <c r="H130" i="97"/>
  <c r="G140" i="22"/>
  <c r="D141" i="22"/>
  <c r="E141" i="22"/>
  <c r="G137" i="57"/>
  <c r="D138" i="57"/>
  <c r="E138" i="57"/>
  <c r="D134" i="86"/>
  <c r="G133" i="86"/>
  <c r="D137" i="63"/>
  <c r="G136" i="63"/>
  <c r="E137" i="63"/>
  <c r="G137" i="46"/>
  <c r="D138" i="46"/>
  <c r="E138" i="46"/>
  <c r="D134" i="80"/>
  <c r="G133" i="80"/>
  <c r="E134" i="80"/>
  <c r="G132" i="84"/>
  <c r="D133" i="84"/>
  <c r="E133" i="84"/>
  <c r="G134" i="79"/>
  <c r="D135" i="79"/>
  <c r="E135" i="79"/>
  <c r="F140" i="20"/>
  <c r="B140" i="20"/>
  <c r="G142" i="29"/>
  <c r="D143" i="29"/>
  <c r="B143" i="29" s="1"/>
  <c r="J136" i="57"/>
  <c r="G136" i="59"/>
  <c r="D137" i="59"/>
  <c r="E137" i="59"/>
  <c r="D134" i="85"/>
  <c r="G133" i="85"/>
  <c r="E134" i="85"/>
  <c r="G140" i="34"/>
  <c r="D141" i="34"/>
  <c r="E141" i="34"/>
  <c r="J136" i="53"/>
  <c r="H130" i="93"/>
  <c r="I130" i="93"/>
  <c r="J138" i="42"/>
  <c r="J141" i="30"/>
  <c r="D140" i="42"/>
  <c r="G139" i="42"/>
  <c r="E140" i="42"/>
  <c r="D133" i="89"/>
  <c r="G132" i="89"/>
  <c r="E133" i="89"/>
  <c r="B133" i="96"/>
  <c r="F133" i="96"/>
  <c r="F136" i="61"/>
  <c r="B136" i="61"/>
  <c r="G135" i="66"/>
  <c r="D136" i="66"/>
  <c r="E136" i="66"/>
  <c r="D136" i="67"/>
  <c r="G135" i="67"/>
  <c r="E136" i="67"/>
  <c r="I135" i="60"/>
  <c r="H135" i="60"/>
  <c r="F141" i="31"/>
  <c r="B141" i="31"/>
  <c r="B140" i="18"/>
  <c r="F140" i="18"/>
  <c r="J141" i="69"/>
  <c r="J136" i="56"/>
  <c r="D141" i="3"/>
  <c r="G140" i="3"/>
  <c r="E141" i="3"/>
  <c r="G134" i="75"/>
  <c r="D135" i="75"/>
  <c r="E135" i="75"/>
  <c r="G139" i="41"/>
  <c r="D140" i="41"/>
  <c r="E140" i="41"/>
  <c r="G143" i="28"/>
  <c r="D144" i="28"/>
  <c r="E144" i="28"/>
  <c r="H132" i="96"/>
  <c r="I132" i="96"/>
  <c r="J139" i="17"/>
  <c r="J133" i="77"/>
  <c r="G133" i="83"/>
  <c r="D134" i="83"/>
  <c r="E134" i="83"/>
  <c r="B131" i="93"/>
  <c r="F131" i="93"/>
  <c r="D135" i="76"/>
  <c r="G134" i="76"/>
  <c r="E135" i="76"/>
  <c r="I140" i="31"/>
  <c r="H140" i="31"/>
  <c r="G142" i="69"/>
  <c r="D143" i="69"/>
  <c r="E143" i="69"/>
  <c r="I139" i="18"/>
  <c r="H139" i="18"/>
  <c r="G141" i="71"/>
  <c r="D142" i="71"/>
  <c r="E142" i="71"/>
  <c r="G133" i="81"/>
  <c r="D134" i="81"/>
  <c r="E134" i="81"/>
  <c r="D131" i="98"/>
  <c r="G130" i="98"/>
  <c r="E131" i="98"/>
  <c r="D140" i="74"/>
  <c r="G139" i="74"/>
  <c r="E140" i="74"/>
  <c r="D138" i="54"/>
  <c r="G137" i="54"/>
  <c r="E138" i="54"/>
  <c r="G142" i="30"/>
  <c r="D143" i="30"/>
  <c r="B143" i="30" s="1"/>
  <c r="G136" i="64"/>
  <c r="D137" i="64"/>
  <c r="E137" i="64"/>
  <c r="I139" i="20"/>
  <c r="H139" i="20"/>
  <c r="G126" i="102"/>
  <c r="D127" i="102"/>
  <c r="E127" i="102"/>
  <c r="B136" i="60"/>
  <c r="F136" i="60"/>
  <c r="G140" i="19"/>
  <c r="D141" i="19"/>
  <c r="E141" i="19"/>
  <c r="J137" i="45"/>
  <c r="H135" i="61"/>
  <c r="I135" i="61"/>
  <c r="J139" i="19"/>
  <c r="D133" i="88"/>
  <c r="G132" i="88"/>
  <c r="E133" i="88"/>
  <c r="G137" i="72"/>
  <c r="D138" i="72"/>
  <c r="E138" i="72"/>
  <c r="D135" i="77"/>
  <c r="G134" i="77"/>
  <c r="E135" i="77"/>
  <c r="D138" i="56"/>
  <c r="G137" i="56"/>
  <c r="E138" i="56"/>
  <c r="G142" i="27"/>
  <c r="D143" i="27"/>
  <c r="B143" i="27" s="1"/>
  <c r="J140" i="32"/>
  <c r="J125" i="102"/>
  <c r="I130" i="95"/>
  <c r="H130" i="95"/>
  <c r="D133" i="92"/>
  <c r="G132" i="92"/>
  <c r="E133" i="92"/>
  <c r="J140" i="23"/>
  <c r="G132" i="90"/>
  <c r="D133" i="90"/>
  <c r="E133" i="90"/>
  <c r="D140" i="43"/>
  <c r="G139" i="43"/>
  <c r="E140" i="43"/>
  <c r="D140" i="44"/>
  <c r="G139" i="44"/>
  <c r="E140" i="44"/>
  <c r="D136" i="68"/>
  <c r="G135" i="68"/>
  <c r="E136" i="68"/>
  <c r="J138" i="44"/>
  <c r="D140" i="73"/>
  <c r="G139" i="73"/>
  <c r="E140" i="73"/>
  <c r="G132" i="94"/>
  <c r="D133" i="94"/>
  <c r="E133" i="94"/>
  <c r="I129" i="99"/>
  <c r="H129" i="99"/>
  <c r="G133" i="101"/>
  <c r="D134" i="101"/>
  <c r="E134" i="101"/>
  <c r="G140" i="21"/>
  <c r="D141" i="21"/>
  <c r="E141" i="21"/>
  <c r="G137" i="55"/>
  <c r="D138" i="55"/>
  <c r="E138" i="55"/>
  <c r="D142" i="23"/>
  <c r="G141" i="23"/>
  <c r="E142" i="23"/>
  <c r="D133" i="91"/>
  <c r="G132" i="91"/>
  <c r="E133" i="91"/>
  <c r="J138" i="74"/>
  <c r="B131" i="95"/>
  <c r="F131" i="95"/>
  <c r="D138" i="58"/>
  <c r="G137" i="58"/>
  <c r="E138" i="58"/>
  <c r="D141" i="17"/>
  <c r="G140" i="17"/>
  <c r="E141" i="17"/>
  <c r="G139" i="39"/>
  <c r="D140" i="39"/>
  <c r="E140" i="39"/>
  <c r="D136" i="65"/>
  <c r="G135" i="65"/>
  <c r="E136" i="65"/>
  <c r="G134" i="78"/>
  <c r="D135" i="78"/>
  <c r="E135" i="78"/>
  <c r="F130" i="99"/>
  <c r="B130" i="99"/>
  <c r="J139" i="22"/>
  <c r="D143" i="70"/>
  <c r="G142" i="70"/>
  <c r="E143" i="70"/>
  <c r="G141" i="24"/>
  <c r="D142" i="24"/>
  <c r="E142" i="24"/>
  <c r="D142" i="32"/>
  <c r="B142" i="32" s="1"/>
  <c r="G141" i="32"/>
  <c r="J133" i="75"/>
  <c r="F131" i="97"/>
  <c r="B131" i="97"/>
  <c r="D138" i="53"/>
  <c r="G137" i="53"/>
  <c r="E138" i="53"/>
  <c r="D134" i="82"/>
  <c r="G133" i="82"/>
  <c r="E134" i="82"/>
  <c r="D133" i="87"/>
  <c r="G132" i="87"/>
  <c r="E133" i="87"/>
  <c r="J136" i="54"/>
  <c r="D137" i="62"/>
  <c r="G136" i="62"/>
  <c r="E137" i="62"/>
  <c r="D139" i="45"/>
  <c r="G138" i="45"/>
  <c r="E139" i="45"/>
  <c r="J135" i="64"/>
  <c r="F127" i="13" l="1"/>
  <c r="B127" i="13"/>
  <c r="I126" i="13"/>
  <c r="H126" i="13"/>
  <c r="E143" i="29"/>
  <c r="F143" i="29" s="1"/>
  <c r="G143" i="29" s="1"/>
  <c r="J135" i="60"/>
  <c r="J130" i="93"/>
  <c r="J155" i="93" s="1"/>
  <c r="J130" i="95"/>
  <c r="J155" i="95" s="1"/>
  <c r="E142" i="32"/>
  <c r="F142" i="32" s="1"/>
  <c r="H137" i="53"/>
  <c r="I137" i="53"/>
  <c r="B142" i="23"/>
  <c r="F142" i="23"/>
  <c r="F134" i="101"/>
  <c r="B134" i="101"/>
  <c r="I139" i="73"/>
  <c r="J139" i="73" s="1"/>
  <c r="H139" i="73"/>
  <c r="B140" i="44"/>
  <c r="F140" i="44"/>
  <c r="F127" i="102"/>
  <c r="B127" i="102"/>
  <c r="I141" i="71"/>
  <c r="H141" i="71"/>
  <c r="F140" i="41"/>
  <c r="B140" i="41"/>
  <c r="D142" i="31"/>
  <c r="G141" i="31"/>
  <c r="E142" i="31"/>
  <c r="I135" i="66"/>
  <c r="H135" i="66"/>
  <c r="I136" i="59"/>
  <c r="H136" i="59"/>
  <c r="B135" i="79"/>
  <c r="F135" i="79"/>
  <c r="G130" i="99"/>
  <c r="D131" i="99"/>
  <c r="E131" i="99"/>
  <c r="B142" i="24"/>
  <c r="F142" i="24"/>
  <c r="H139" i="39"/>
  <c r="I139" i="39"/>
  <c r="H133" i="101"/>
  <c r="I133" i="101"/>
  <c r="F140" i="73"/>
  <c r="B140" i="73"/>
  <c r="I132" i="92"/>
  <c r="H132" i="92"/>
  <c r="H142" i="27"/>
  <c r="I142" i="27"/>
  <c r="F138" i="72"/>
  <c r="B138" i="72"/>
  <c r="H126" i="102"/>
  <c r="I126" i="102"/>
  <c r="I142" i="30"/>
  <c r="H142" i="30"/>
  <c r="H130" i="98"/>
  <c r="I130" i="98"/>
  <c r="I134" i="76"/>
  <c r="H134" i="76"/>
  <c r="H139" i="41"/>
  <c r="I139" i="41"/>
  <c r="I139" i="42"/>
  <c r="H139" i="42"/>
  <c r="F141" i="34"/>
  <c r="B141" i="34"/>
  <c r="H134" i="79"/>
  <c r="I134" i="79"/>
  <c r="B138" i="46"/>
  <c r="F138" i="46"/>
  <c r="F138" i="57"/>
  <c r="B138" i="57"/>
  <c r="F138" i="55"/>
  <c r="B138" i="55"/>
  <c r="I139" i="43"/>
  <c r="H139" i="43"/>
  <c r="B133" i="92"/>
  <c r="F133" i="92"/>
  <c r="I137" i="72"/>
  <c r="H137" i="72"/>
  <c r="B131" i="98"/>
  <c r="F131" i="98"/>
  <c r="J139" i="18"/>
  <c r="F135" i="76"/>
  <c r="B135" i="76"/>
  <c r="G136" i="61"/>
  <c r="D137" i="61"/>
  <c r="E137" i="61"/>
  <c r="B140" i="42"/>
  <c r="F140" i="42"/>
  <c r="H140" i="34"/>
  <c r="I140" i="34"/>
  <c r="H137" i="46"/>
  <c r="I137" i="46"/>
  <c r="H137" i="57"/>
  <c r="I137" i="57"/>
  <c r="F140" i="39"/>
  <c r="B140" i="39"/>
  <c r="H138" i="45"/>
  <c r="I138" i="45"/>
  <c r="H137" i="55"/>
  <c r="I137" i="55"/>
  <c r="J129" i="99"/>
  <c r="B140" i="43"/>
  <c r="F140" i="43"/>
  <c r="H137" i="56"/>
  <c r="I137" i="56"/>
  <c r="B141" i="19"/>
  <c r="F141" i="19"/>
  <c r="J139" i="20"/>
  <c r="H137" i="54"/>
  <c r="I137" i="54"/>
  <c r="G131" i="93"/>
  <c r="D132" i="93"/>
  <c r="E132" i="93"/>
  <c r="F135" i="75"/>
  <c r="B135" i="75"/>
  <c r="G133" i="96"/>
  <c r="D134" i="96"/>
  <c r="E134" i="96"/>
  <c r="B133" i="84"/>
  <c r="F133" i="84"/>
  <c r="H141" i="24"/>
  <c r="I141" i="24"/>
  <c r="G131" i="97"/>
  <c r="D132" i="97"/>
  <c r="E132" i="97"/>
  <c r="I140" i="17"/>
  <c r="H140" i="17"/>
  <c r="H135" i="68"/>
  <c r="I135" i="68"/>
  <c r="B138" i="56"/>
  <c r="F138" i="56"/>
  <c r="H132" i="88"/>
  <c r="I132" i="88"/>
  <c r="I140" i="19"/>
  <c r="H140" i="19"/>
  <c r="F138" i="54"/>
  <c r="B138" i="54"/>
  <c r="B134" i="81"/>
  <c r="F134" i="81"/>
  <c r="B143" i="69"/>
  <c r="F143" i="69"/>
  <c r="I134" i="75"/>
  <c r="H134" i="75"/>
  <c r="H135" i="67"/>
  <c r="I135" i="67"/>
  <c r="I133" i="85"/>
  <c r="H133" i="85"/>
  <c r="I142" i="29"/>
  <c r="H142" i="29"/>
  <c r="H132" i="84"/>
  <c r="I132" i="84"/>
  <c r="H136" i="63"/>
  <c r="I136" i="63"/>
  <c r="B141" i="22"/>
  <c r="F141" i="22"/>
  <c r="G131" i="95"/>
  <c r="D132" i="95"/>
  <c r="E132" i="95"/>
  <c r="F133" i="87"/>
  <c r="B133" i="87"/>
  <c r="B141" i="17"/>
  <c r="F141" i="17"/>
  <c r="I132" i="91"/>
  <c r="H132" i="91"/>
  <c r="H133" i="82"/>
  <c r="I133" i="82"/>
  <c r="I135" i="65"/>
  <c r="H135" i="65"/>
  <c r="B133" i="91"/>
  <c r="F133" i="91"/>
  <c r="B133" i="94"/>
  <c r="F133" i="94"/>
  <c r="B133" i="88"/>
  <c r="F133" i="88"/>
  <c r="G136" i="60"/>
  <c r="D137" i="60"/>
  <c r="E137" i="60"/>
  <c r="F137" i="64"/>
  <c r="B137" i="64"/>
  <c r="I133" i="81"/>
  <c r="H133" i="81"/>
  <c r="I142" i="69"/>
  <c r="H142" i="69"/>
  <c r="B144" i="28"/>
  <c r="F144" i="28"/>
  <c r="D141" i="18"/>
  <c r="G140" i="18"/>
  <c r="E141" i="18"/>
  <c r="B136" i="67"/>
  <c r="F136" i="67"/>
  <c r="F134" i="85"/>
  <c r="B134" i="85"/>
  <c r="B137" i="63"/>
  <c r="F137" i="63"/>
  <c r="H140" i="22"/>
  <c r="I140" i="22"/>
  <c r="B138" i="53"/>
  <c r="F138" i="53"/>
  <c r="H142" i="70"/>
  <c r="I142" i="70"/>
  <c r="D143" i="32"/>
  <c r="B143" i="32" s="1"/>
  <c r="G142" i="32"/>
  <c r="B136" i="68"/>
  <c r="F136" i="68"/>
  <c r="H136" i="62"/>
  <c r="I136" i="62"/>
  <c r="F134" i="82"/>
  <c r="B134" i="82"/>
  <c r="H141" i="32"/>
  <c r="I141" i="32"/>
  <c r="F136" i="65"/>
  <c r="B136" i="65"/>
  <c r="I137" i="58"/>
  <c r="H137" i="58"/>
  <c r="I140" i="21"/>
  <c r="H140" i="21"/>
  <c r="I132" i="94"/>
  <c r="H132" i="94"/>
  <c r="H132" i="90"/>
  <c r="I132" i="90"/>
  <c r="H134" i="77"/>
  <c r="I134" i="77"/>
  <c r="H136" i="64"/>
  <c r="I136" i="64"/>
  <c r="H139" i="74"/>
  <c r="I139" i="74"/>
  <c r="F134" i="83"/>
  <c r="B134" i="83"/>
  <c r="I143" i="28"/>
  <c r="H143" i="28"/>
  <c r="H140" i="3"/>
  <c r="I140" i="3"/>
  <c r="I132" i="89"/>
  <c r="H132" i="89"/>
  <c r="D141" i="20"/>
  <c r="G140" i="20"/>
  <c r="E141" i="20"/>
  <c r="I133" i="80"/>
  <c r="H133" i="80"/>
  <c r="H133" i="86"/>
  <c r="I133" i="86"/>
  <c r="I132" i="87"/>
  <c r="H132" i="87"/>
  <c r="B135" i="78"/>
  <c r="F135" i="78"/>
  <c r="I134" i="78"/>
  <c r="H134" i="78"/>
  <c r="F139" i="45"/>
  <c r="B139" i="45"/>
  <c r="B143" i="70"/>
  <c r="F143" i="70"/>
  <c r="F141" i="21"/>
  <c r="B141" i="21"/>
  <c r="F133" i="90"/>
  <c r="B133" i="90"/>
  <c r="F137" i="62"/>
  <c r="B137" i="62"/>
  <c r="B138" i="58"/>
  <c r="F138" i="58"/>
  <c r="H141" i="23"/>
  <c r="I141" i="23"/>
  <c r="H139" i="44"/>
  <c r="I139" i="44"/>
  <c r="E143" i="27"/>
  <c r="F143" i="27" s="1"/>
  <c r="B135" i="77"/>
  <c r="F135" i="77"/>
  <c r="J135" i="61"/>
  <c r="E143" i="30"/>
  <c r="F143" i="30" s="1"/>
  <c r="B140" i="74"/>
  <c r="F140" i="74"/>
  <c r="F142" i="71"/>
  <c r="B142" i="71"/>
  <c r="J140" i="31"/>
  <c r="H133" i="83"/>
  <c r="I133" i="83"/>
  <c r="B141" i="3"/>
  <c r="F141" i="3"/>
  <c r="F136" i="66"/>
  <c r="B136" i="66"/>
  <c r="B133" i="89"/>
  <c r="F133" i="89"/>
  <c r="F137" i="59"/>
  <c r="B137" i="59"/>
  <c r="F134" i="80"/>
  <c r="B134" i="80"/>
  <c r="E134" i="86"/>
  <c r="F134" i="86" s="1"/>
  <c r="B134" i="86"/>
  <c r="J130" i="97"/>
  <c r="J155" i="97" s="1"/>
  <c r="J140" i="22" l="1"/>
  <c r="D144" i="29"/>
  <c r="B144" i="29" s="1"/>
  <c r="J126" i="13"/>
  <c r="E128" i="13"/>
  <c r="G127" i="13"/>
  <c r="D128" i="13"/>
  <c r="J137" i="55"/>
  <c r="J140" i="3"/>
  <c r="J136" i="64"/>
  <c r="J134" i="79"/>
  <c r="J134" i="78"/>
  <c r="J134" i="77"/>
  <c r="J136" i="62"/>
  <c r="J137" i="57"/>
  <c r="J136" i="59"/>
  <c r="J136" i="63"/>
  <c r="J135" i="67"/>
  <c r="J135" i="68"/>
  <c r="J137" i="56"/>
  <c r="J135" i="65"/>
  <c r="J140" i="34"/>
  <c r="J137" i="72"/>
  <c r="J139" i="42"/>
  <c r="J137" i="46"/>
  <c r="J142" i="30"/>
  <c r="J141" i="24"/>
  <c r="J138" i="45"/>
  <c r="E144" i="29"/>
  <c r="F144" i="29" s="1"/>
  <c r="D145" i="29" s="1"/>
  <c r="B145" i="29" s="1"/>
  <c r="D135" i="86"/>
  <c r="G134" i="86"/>
  <c r="I142" i="32"/>
  <c r="H142" i="32"/>
  <c r="G137" i="64"/>
  <c r="D138" i="64"/>
  <c r="E138" i="64"/>
  <c r="D142" i="17"/>
  <c r="B142" i="17" s="1"/>
  <c r="G141" i="17"/>
  <c r="D136" i="75"/>
  <c r="G135" i="75"/>
  <c r="E136" i="75"/>
  <c r="B137" i="61"/>
  <c r="F137" i="61"/>
  <c r="D139" i="55"/>
  <c r="G138" i="55"/>
  <c r="E139" i="55"/>
  <c r="G141" i="34"/>
  <c r="D142" i="34"/>
  <c r="B142" i="34" s="1"/>
  <c r="F141" i="18"/>
  <c r="B141" i="18"/>
  <c r="D134" i="91"/>
  <c r="G133" i="91"/>
  <c r="E134" i="91"/>
  <c r="G143" i="27"/>
  <c r="D144" i="27"/>
  <c r="B144" i="27" s="1"/>
  <c r="D138" i="62"/>
  <c r="G137" i="62"/>
  <c r="E138" i="62"/>
  <c r="G139" i="45"/>
  <c r="D140" i="45"/>
  <c r="E140" i="45"/>
  <c r="D145" i="28"/>
  <c r="B145" i="28" s="1"/>
  <c r="G144" i="28"/>
  <c r="H136" i="61"/>
  <c r="I136" i="61"/>
  <c r="D143" i="24"/>
  <c r="B143" i="24" s="1"/>
  <c r="G142" i="24"/>
  <c r="G140" i="41"/>
  <c r="D141" i="41"/>
  <c r="E141" i="41"/>
  <c r="G133" i="89"/>
  <c r="D134" i="89"/>
  <c r="E134" i="89"/>
  <c r="G137" i="63"/>
  <c r="D138" i="63"/>
  <c r="E138" i="63"/>
  <c r="G142" i="71"/>
  <c r="D143" i="71"/>
  <c r="E143" i="71"/>
  <c r="J139" i="44"/>
  <c r="J140" i="21"/>
  <c r="G134" i="82"/>
  <c r="D135" i="82"/>
  <c r="E135" i="82"/>
  <c r="J142" i="70"/>
  <c r="F137" i="60"/>
  <c r="B137" i="60"/>
  <c r="D139" i="54"/>
  <c r="G138" i="54"/>
  <c r="E139" i="54"/>
  <c r="G133" i="84"/>
  <c r="D134" i="84"/>
  <c r="E134" i="84"/>
  <c r="B132" i="93"/>
  <c r="F132" i="93"/>
  <c r="I143" i="29"/>
  <c r="H143" i="29"/>
  <c r="G138" i="57"/>
  <c r="D139" i="57"/>
  <c r="E139" i="57"/>
  <c r="G134" i="85"/>
  <c r="D135" i="85"/>
  <c r="E135" i="85"/>
  <c r="H136" i="60"/>
  <c r="I136" i="60"/>
  <c r="G133" i="87"/>
  <c r="D134" i="87"/>
  <c r="E134" i="87"/>
  <c r="I131" i="93"/>
  <c r="H131" i="93"/>
  <c r="D141" i="43"/>
  <c r="G140" i="43"/>
  <c r="E141" i="43"/>
  <c r="G140" i="39"/>
  <c r="D141" i="39"/>
  <c r="E141" i="39"/>
  <c r="G133" i="92"/>
  <c r="D134" i="92"/>
  <c r="E134" i="92"/>
  <c r="D139" i="46"/>
  <c r="G138" i="46"/>
  <c r="E139" i="46"/>
  <c r="J139" i="41"/>
  <c r="J126" i="102"/>
  <c r="J135" i="66"/>
  <c r="J141" i="71"/>
  <c r="D135" i="101"/>
  <c r="G134" i="101"/>
  <c r="E135" i="101"/>
  <c r="G136" i="66"/>
  <c r="D137" i="66"/>
  <c r="E137" i="66"/>
  <c r="D141" i="74"/>
  <c r="G140" i="74"/>
  <c r="E141" i="74"/>
  <c r="G141" i="3"/>
  <c r="D142" i="3"/>
  <c r="E142" i="3"/>
  <c r="J141" i="23"/>
  <c r="D136" i="78"/>
  <c r="G135" i="78"/>
  <c r="E136" i="78"/>
  <c r="J143" i="28"/>
  <c r="J137" i="58"/>
  <c r="D139" i="53"/>
  <c r="G138" i="53"/>
  <c r="E139" i="53"/>
  <c r="D137" i="67"/>
  <c r="G136" i="67"/>
  <c r="E137" i="67"/>
  <c r="J142" i="69"/>
  <c r="G133" i="88"/>
  <c r="D134" i="88"/>
  <c r="E134" i="88"/>
  <c r="J134" i="75"/>
  <c r="J140" i="19"/>
  <c r="J140" i="17"/>
  <c r="J137" i="54"/>
  <c r="G140" i="73"/>
  <c r="D141" i="73"/>
  <c r="E141" i="73"/>
  <c r="F131" i="99"/>
  <c r="B131" i="99"/>
  <c r="D143" i="23"/>
  <c r="B143" i="23" s="1"/>
  <c r="G142" i="23"/>
  <c r="D142" i="21"/>
  <c r="G141" i="21"/>
  <c r="E142" i="21"/>
  <c r="F132" i="95"/>
  <c r="B132" i="95"/>
  <c r="D144" i="69"/>
  <c r="G143" i="69"/>
  <c r="E144" i="69"/>
  <c r="B134" i="96"/>
  <c r="F134" i="96"/>
  <c r="G140" i="42"/>
  <c r="D141" i="42"/>
  <c r="E141" i="42"/>
  <c r="G135" i="76"/>
  <c r="D136" i="76"/>
  <c r="E136" i="76"/>
  <c r="I130" i="99"/>
  <c r="H130" i="99"/>
  <c r="I141" i="31"/>
  <c r="H141" i="31"/>
  <c r="G127" i="102"/>
  <c r="D128" i="102"/>
  <c r="E128" i="102"/>
  <c r="G133" i="90"/>
  <c r="D134" i="90"/>
  <c r="E134" i="90"/>
  <c r="G134" i="80"/>
  <c r="D135" i="80"/>
  <c r="E135" i="80"/>
  <c r="D144" i="30"/>
  <c r="B144" i="30" s="1"/>
  <c r="G143" i="30"/>
  <c r="I140" i="20"/>
  <c r="H140" i="20"/>
  <c r="G138" i="58"/>
  <c r="D139" i="58"/>
  <c r="E139" i="58"/>
  <c r="D144" i="70"/>
  <c r="G143" i="70"/>
  <c r="E144" i="70"/>
  <c r="B141" i="20"/>
  <c r="F141" i="20"/>
  <c r="G134" i="83"/>
  <c r="D135" i="83"/>
  <c r="E135" i="83"/>
  <c r="G136" i="65"/>
  <c r="D137" i="65"/>
  <c r="E137" i="65"/>
  <c r="G133" i="94"/>
  <c r="D134" i="94"/>
  <c r="E134" i="94"/>
  <c r="H131" i="95"/>
  <c r="I131" i="95"/>
  <c r="J142" i="29"/>
  <c r="B132" i="97"/>
  <c r="F132" i="97"/>
  <c r="H133" i="96"/>
  <c r="I133" i="96"/>
  <c r="J139" i="43"/>
  <c r="J134" i="76"/>
  <c r="D139" i="72"/>
  <c r="G138" i="72"/>
  <c r="E139" i="72"/>
  <c r="D136" i="79"/>
  <c r="G135" i="79"/>
  <c r="E136" i="79"/>
  <c r="F142" i="31"/>
  <c r="B142" i="31"/>
  <c r="G140" i="44"/>
  <c r="D141" i="44"/>
  <c r="E141" i="44"/>
  <c r="J137" i="53"/>
  <c r="D137" i="68"/>
  <c r="G136" i="68"/>
  <c r="E137" i="68"/>
  <c r="G137" i="59"/>
  <c r="D138" i="59"/>
  <c r="E138" i="59"/>
  <c r="D136" i="77"/>
  <c r="G135" i="77"/>
  <c r="E136" i="77"/>
  <c r="J139" i="74"/>
  <c r="J141" i="32"/>
  <c r="E143" i="32"/>
  <c r="F143" i="32" s="1"/>
  <c r="H140" i="18"/>
  <c r="I140" i="18"/>
  <c r="D142" i="22"/>
  <c r="B142" i="22" s="1"/>
  <c r="G141" i="22"/>
  <c r="G134" i="81"/>
  <c r="D135" i="81"/>
  <c r="E135" i="81"/>
  <c r="G138" i="56"/>
  <c r="D139" i="56"/>
  <c r="E139" i="56"/>
  <c r="I131" i="97"/>
  <c r="H131" i="97"/>
  <c r="D142" i="19"/>
  <c r="B142" i="19" s="1"/>
  <c r="G141" i="19"/>
  <c r="G131" i="98"/>
  <c r="D132" i="98"/>
  <c r="E132" i="98"/>
  <c r="J130" i="98"/>
  <c r="J155" i="98" s="1"/>
  <c r="J142" i="27"/>
  <c r="J139" i="39"/>
  <c r="G144" i="29" l="1"/>
  <c r="F128" i="13"/>
  <c r="B128" i="13"/>
  <c r="I127" i="13"/>
  <c r="H127" i="13"/>
  <c r="E143" i="24"/>
  <c r="F143" i="24" s="1"/>
  <c r="G143" i="24" s="1"/>
  <c r="J140" i="18"/>
  <c r="J143" i="29"/>
  <c r="E145" i="29"/>
  <c r="F145" i="29" s="1"/>
  <c r="G145" i="29" s="1"/>
  <c r="J141" i="31"/>
  <c r="E144" i="30"/>
  <c r="F144" i="30" s="1"/>
  <c r="G144" i="30" s="1"/>
  <c r="E143" i="23"/>
  <c r="F143" i="23" s="1"/>
  <c r="G143" i="23" s="1"/>
  <c r="E145" i="28"/>
  <c r="F145" i="28" s="1"/>
  <c r="J142" i="32"/>
  <c r="D138" i="60"/>
  <c r="G137" i="60"/>
  <c r="E138" i="60"/>
  <c r="B136" i="77"/>
  <c r="F136" i="77"/>
  <c r="H135" i="78"/>
  <c r="I135" i="78"/>
  <c r="I134" i="85"/>
  <c r="H134" i="85"/>
  <c r="I142" i="71"/>
  <c r="H142" i="71"/>
  <c r="B141" i="41"/>
  <c r="F141" i="41"/>
  <c r="H144" i="28"/>
  <c r="I144" i="28"/>
  <c r="E144" i="27"/>
  <c r="F144" i="27" s="1"/>
  <c r="E142" i="34"/>
  <c r="F142" i="34" s="1"/>
  <c r="H135" i="77"/>
  <c r="I135" i="77"/>
  <c r="I133" i="92"/>
  <c r="H133" i="92"/>
  <c r="F139" i="56"/>
  <c r="B139" i="56"/>
  <c r="I138" i="72"/>
  <c r="H138" i="72"/>
  <c r="H136" i="65"/>
  <c r="I136" i="65"/>
  <c r="F144" i="70"/>
  <c r="B144" i="70"/>
  <c r="B128" i="102"/>
  <c r="F128" i="102"/>
  <c r="I135" i="76"/>
  <c r="H135" i="76"/>
  <c r="F144" i="69"/>
  <c r="B144" i="69"/>
  <c r="B137" i="67"/>
  <c r="F137" i="67"/>
  <c r="F136" i="78"/>
  <c r="B136" i="78"/>
  <c r="B134" i="84"/>
  <c r="F134" i="84"/>
  <c r="H140" i="41"/>
  <c r="I140" i="41"/>
  <c r="H144" i="29"/>
  <c r="I144" i="29"/>
  <c r="D145" i="30"/>
  <c r="B145" i="30" s="1"/>
  <c r="F137" i="65"/>
  <c r="B137" i="65"/>
  <c r="H143" i="69"/>
  <c r="I143" i="69"/>
  <c r="F141" i="74"/>
  <c r="B141" i="74"/>
  <c r="B141" i="44"/>
  <c r="F141" i="44"/>
  <c r="H131" i="98"/>
  <c r="I131" i="98"/>
  <c r="I138" i="56"/>
  <c r="H138" i="56"/>
  <c r="B138" i="59"/>
  <c r="F138" i="59"/>
  <c r="I140" i="44"/>
  <c r="H140" i="44"/>
  <c r="B139" i="72"/>
  <c r="F139" i="72"/>
  <c r="I127" i="102"/>
  <c r="H127" i="102"/>
  <c r="F137" i="66"/>
  <c r="B137" i="66"/>
  <c r="B141" i="39"/>
  <c r="F141" i="39"/>
  <c r="F134" i="87"/>
  <c r="B134" i="87"/>
  <c r="F139" i="57"/>
  <c r="B139" i="57"/>
  <c r="H133" i="84"/>
  <c r="I133" i="84"/>
  <c r="B135" i="82"/>
  <c r="F135" i="82"/>
  <c r="F138" i="63"/>
  <c r="B138" i="63"/>
  <c r="H143" i="27"/>
  <c r="I143" i="27"/>
  <c r="H141" i="34"/>
  <c r="I141" i="34"/>
  <c r="B138" i="64"/>
  <c r="F138" i="64"/>
  <c r="B135" i="85"/>
  <c r="F135" i="85"/>
  <c r="F143" i="71"/>
  <c r="B143" i="71"/>
  <c r="H143" i="30"/>
  <c r="I143" i="30"/>
  <c r="I142" i="23"/>
  <c r="H142" i="23"/>
  <c r="E142" i="19"/>
  <c r="F142" i="19" s="1"/>
  <c r="D144" i="32"/>
  <c r="B144" i="32" s="1"/>
  <c r="G143" i="32"/>
  <c r="H137" i="59"/>
  <c r="I137" i="59"/>
  <c r="B135" i="83"/>
  <c r="F135" i="83"/>
  <c r="F139" i="58"/>
  <c r="B139" i="58"/>
  <c r="F135" i="80"/>
  <c r="B135" i="80"/>
  <c r="B141" i="42"/>
  <c r="F141" i="42"/>
  <c r="G132" i="95"/>
  <c r="D133" i="95"/>
  <c r="E133" i="95"/>
  <c r="G131" i="99"/>
  <c r="D132" i="99"/>
  <c r="E132" i="99"/>
  <c r="H138" i="53"/>
  <c r="I138" i="53"/>
  <c r="H136" i="66"/>
  <c r="I136" i="66"/>
  <c r="I140" i="39"/>
  <c r="H140" i="39"/>
  <c r="H133" i="87"/>
  <c r="I133" i="87"/>
  <c r="H138" i="57"/>
  <c r="I138" i="57"/>
  <c r="I134" i="82"/>
  <c r="H134" i="82"/>
  <c r="H137" i="63"/>
  <c r="I137" i="63"/>
  <c r="H142" i="24"/>
  <c r="I142" i="24"/>
  <c r="B140" i="45"/>
  <c r="F140" i="45"/>
  <c r="H137" i="64"/>
  <c r="I137" i="64"/>
  <c r="G132" i="97"/>
  <c r="D133" i="97"/>
  <c r="E133" i="97"/>
  <c r="B134" i="92"/>
  <c r="F134" i="92"/>
  <c r="H143" i="70"/>
  <c r="I143" i="70"/>
  <c r="B136" i="76"/>
  <c r="F136" i="76"/>
  <c r="I136" i="67"/>
  <c r="H136" i="67"/>
  <c r="B132" i="98"/>
  <c r="F132" i="98"/>
  <c r="H141" i="19"/>
  <c r="I141" i="19"/>
  <c r="B135" i="81"/>
  <c r="F135" i="81"/>
  <c r="D143" i="31"/>
  <c r="G142" i="31"/>
  <c r="E143" i="31"/>
  <c r="I134" i="83"/>
  <c r="H134" i="83"/>
  <c r="H138" i="58"/>
  <c r="I138" i="58"/>
  <c r="H134" i="80"/>
  <c r="I134" i="80"/>
  <c r="I140" i="42"/>
  <c r="H140" i="42"/>
  <c r="B134" i="88"/>
  <c r="F134" i="88"/>
  <c r="F139" i="53"/>
  <c r="B139" i="53"/>
  <c r="B142" i="3"/>
  <c r="F142" i="3"/>
  <c r="H138" i="46"/>
  <c r="I138" i="46"/>
  <c r="J136" i="60"/>
  <c r="I138" i="54"/>
  <c r="H138" i="54"/>
  <c r="I139" i="45"/>
  <c r="H139" i="45"/>
  <c r="I133" i="91"/>
  <c r="H133" i="91"/>
  <c r="I138" i="55"/>
  <c r="H138" i="55"/>
  <c r="I135" i="75"/>
  <c r="H135" i="75"/>
  <c r="I141" i="22"/>
  <c r="H141" i="22"/>
  <c r="H136" i="68"/>
  <c r="I136" i="68"/>
  <c r="H141" i="21"/>
  <c r="I141" i="21"/>
  <c r="F141" i="73"/>
  <c r="B141" i="73"/>
  <c r="I133" i="88"/>
  <c r="H133" i="88"/>
  <c r="H141" i="3"/>
  <c r="I141" i="3"/>
  <c r="B139" i="46"/>
  <c r="F139" i="46"/>
  <c r="I140" i="43"/>
  <c r="H140" i="43"/>
  <c r="F139" i="54"/>
  <c r="B139" i="54"/>
  <c r="F134" i="89"/>
  <c r="B134" i="89"/>
  <c r="J136" i="61"/>
  <c r="B134" i="91"/>
  <c r="F134" i="91"/>
  <c r="F139" i="55"/>
  <c r="B139" i="55"/>
  <c r="F136" i="75"/>
  <c r="B136" i="75"/>
  <c r="F136" i="79"/>
  <c r="B136" i="79"/>
  <c r="H133" i="90"/>
  <c r="I133" i="90"/>
  <c r="H140" i="74"/>
  <c r="I140" i="74"/>
  <c r="G145" i="28"/>
  <c r="D146" i="28"/>
  <c r="B146" i="28" s="1"/>
  <c r="H134" i="81"/>
  <c r="I134" i="81"/>
  <c r="F134" i="94"/>
  <c r="B134" i="94"/>
  <c r="D142" i="20"/>
  <c r="G141" i="20"/>
  <c r="E142" i="20"/>
  <c r="D135" i="96"/>
  <c r="G134" i="96"/>
  <c r="E135" i="96"/>
  <c r="H134" i="101"/>
  <c r="I134" i="101"/>
  <c r="E142" i="22"/>
  <c r="F142" i="22" s="1"/>
  <c r="B137" i="68"/>
  <c r="F137" i="68"/>
  <c r="I135" i="79"/>
  <c r="H135" i="79"/>
  <c r="I133" i="94"/>
  <c r="H133" i="94"/>
  <c r="J140" i="20"/>
  <c r="B134" i="90"/>
  <c r="F134" i="90"/>
  <c r="J130" i="99"/>
  <c r="J155" i="99" s="1"/>
  <c r="B142" i="21"/>
  <c r="F142" i="21"/>
  <c r="H140" i="73"/>
  <c r="I140" i="73"/>
  <c r="F135" i="101"/>
  <c r="B135" i="101"/>
  <c r="B141" i="43"/>
  <c r="F141" i="43"/>
  <c r="G132" i="93"/>
  <c r="D133" i="93"/>
  <c r="E133" i="93"/>
  <c r="I133" i="89"/>
  <c r="H133" i="89"/>
  <c r="I137" i="62"/>
  <c r="H137" i="62"/>
  <c r="G137" i="61"/>
  <c r="D138" i="61"/>
  <c r="E138" i="61"/>
  <c r="E142" i="17"/>
  <c r="F142" i="17" s="1"/>
  <c r="H134" i="86"/>
  <c r="I134" i="86"/>
  <c r="F138" i="62"/>
  <c r="B138" i="62"/>
  <c r="D142" i="18"/>
  <c r="B142" i="18" s="1"/>
  <c r="G141" i="18"/>
  <c r="I141" i="17"/>
  <c r="H141" i="17"/>
  <c r="E135" i="86"/>
  <c r="F135" i="86" s="1"/>
  <c r="B135" i="86"/>
  <c r="D144" i="24" l="1"/>
  <c r="B144" i="24" s="1"/>
  <c r="J141" i="19"/>
  <c r="J127" i="13"/>
  <c r="J143" i="27"/>
  <c r="E129" i="13"/>
  <c r="D129" i="13"/>
  <c r="G128" i="13"/>
  <c r="E142" i="18"/>
  <c r="F142" i="18" s="1"/>
  <c r="D143" i="18" s="1"/>
  <c r="B143" i="18" s="1"/>
  <c r="J144" i="29"/>
  <c r="J144" i="28"/>
  <c r="J135" i="78"/>
  <c r="J142" i="24"/>
  <c r="D146" i="29"/>
  <c r="B146" i="29" s="1"/>
  <c r="J142" i="71"/>
  <c r="J142" i="23"/>
  <c r="E146" i="29"/>
  <c r="F146" i="29" s="1"/>
  <c r="D147" i="29" s="1"/>
  <c r="J138" i="55"/>
  <c r="J135" i="79"/>
  <c r="E146" i="28"/>
  <c r="F146" i="28" s="1"/>
  <c r="D147" i="28" s="1"/>
  <c r="B147" i="28" s="1"/>
  <c r="J141" i="3"/>
  <c r="J136" i="68"/>
  <c r="J140" i="42"/>
  <c r="J143" i="30"/>
  <c r="J141" i="34"/>
  <c r="J140" i="44"/>
  <c r="J140" i="74"/>
  <c r="J141" i="22"/>
  <c r="J139" i="45"/>
  <c r="J138" i="58"/>
  <c r="J136" i="67"/>
  <c r="J137" i="63"/>
  <c r="E144" i="24"/>
  <c r="F144" i="24" s="1"/>
  <c r="D145" i="24" s="1"/>
  <c r="B145" i="24" s="1"/>
  <c r="D144" i="23"/>
  <c r="B144" i="23" s="1"/>
  <c r="J137" i="62"/>
  <c r="J136" i="66"/>
  <c r="J143" i="69"/>
  <c r="D142" i="41"/>
  <c r="B142" i="41" s="1"/>
  <c r="G141" i="41"/>
  <c r="D137" i="77"/>
  <c r="G136" i="77"/>
  <c r="E137" i="77"/>
  <c r="G142" i="3"/>
  <c r="D143" i="3"/>
  <c r="B143" i="3" s="1"/>
  <c r="B143" i="31"/>
  <c r="F143" i="31"/>
  <c r="E144" i="32"/>
  <c r="F144" i="32" s="1"/>
  <c r="G138" i="63"/>
  <c r="D139" i="63"/>
  <c r="E139" i="63"/>
  <c r="D135" i="87"/>
  <c r="G134" i="87"/>
  <c r="E135" i="87"/>
  <c r="D138" i="65"/>
  <c r="G137" i="65"/>
  <c r="E138" i="65"/>
  <c r="D135" i="84"/>
  <c r="G134" i="84"/>
  <c r="E135" i="84"/>
  <c r="G132" i="98"/>
  <c r="D133" i="98"/>
  <c r="E133" i="98"/>
  <c r="G139" i="72"/>
  <c r="D140" i="72"/>
  <c r="E140" i="72"/>
  <c r="G144" i="69"/>
  <c r="D145" i="69"/>
  <c r="E145" i="69"/>
  <c r="D142" i="43"/>
  <c r="B142" i="43" s="1"/>
  <c r="G141" i="43"/>
  <c r="G137" i="68"/>
  <c r="D138" i="68"/>
  <c r="E138" i="68"/>
  <c r="D135" i="90"/>
  <c r="G134" i="90"/>
  <c r="E135" i="90"/>
  <c r="I141" i="20"/>
  <c r="H141" i="20"/>
  <c r="H145" i="28"/>
  <c r="I145" i="28"/>
  <c r="G136" i="75"/>
  <c r="D137" i="75"/>
  <c r="E137" i="75"/>
  <c r="G135" i="81"/>
  <c r="D136" i="81"/>
  <c r="E136" i="81"/>
  <c r="B132" i="99"/>
  <c r="F132" i="99"/>
  <c r="D136" i="80"/>
  <c r="G135" i="80"/>
  <c r="E136" i="80"/>
  <c r="I143" i="32"/>
  <c r="H143" i="32"/>
  <c r="D136" i="82"/>
  <c r="G135" i="82"/>
  <c r="E136" i="82"/>
  <c r="D142" i="39"/>
  <c r="B142" i="39" s="1"/>
  <c r="G141" i="39"/>
  <c r="G141" i="44"/>
  <c r="D142" i="44"/>
  <c r="E142" i="44"/>
  <c r="E145" i="30"/>
  <c r="F145" i="30" s="1"/>
  <c r="J135" i="76"/>
  <c r="J138" i="72"/>
  <c r="B142" i="20"/>
  <c r="F142" i="20"/>
  <c r="D140" i="54"/>
  <c r="G139" i="54"/>
  <c r="E140" i="54"/>
  <c r="B133" i="97"/>
  <c r="F133" i="97"/>
  <c r="D129" i="102"/>
  <c r="G128" i="102"/>
  <c r="E129" i="102"/>
  <c r="I145" i="29"/>
  <c r="H145" i="29"/>
  <c r="I137" i="60"/>
  <c r="H137" i="60"/>
  <c r="I142" i="31"/>
  <c r="H142" i="31"/>
  <c r="D136" i="101"/>
  <c r="G135" i="101"/>
  <c r="E136" i="101"/>
  <c r="G139" i="55"/>
  <c r="D140" i="55"/>
  <c r="E140" i="55"/>
  <c r="D140" i="53"/>
  <c r="G139" i="53"/>
  <c r="E140" i="53"/>
  <c r="D137" i="76"/>
  <c r="G136" i="76"/>
  <c r="E137" i="76"/>
  <c r="H132" i="97"/>
  <c r="I132" i="97"/>
  <c r="J140" i="39"/>
  <c r="G139" i="58"/>
  <c r="D140" i="58"/>
  <c r="E140" i="58"/>
  <c r="G142" i="19"/>
  <c r="D143" i="19"/>
  <c r="B143" i="19" s="1"/>
  <c r="D144" i="71"/>
  <c r="G143" i="71"/>
  <c r="E144" i="71"/>
  <c r="G138" i="59"/>
  <c r="D139" i="59"/>
  <c r="E139" i="59"/>
  <c r="I144" i="30"/>
  <c r="H144" i="30"/>
  <c r="D137" i="78"/>
  <c r="G136" i="78"/>
  <c r="E137" i="78"/>
  <c r="G139" i="56"/>
  <c r="D140" i="56"/>
  <c r="E140" i="56"/>
  <c r="G142" i="34"/>
  <c r="D143" i="34"/>
  <c r="B143" i="34" s="1"/>
  <c r="F138" i="60"/>
  <c r="B138" i="60"/>
  <c r="H132" i="93"/>
  <c r="I132" i="93"/>
  <c r="D139" i="62"/>
  <c r="G138" i="62"/>
  <c r="E139" i="62"/>
  <c r="G142" i="22"/>
  <c r="D143" i="22"/>
  <c r="B143" i="22" s="1"/>
  <c r="J140" i="73"/>
  <c r="G134" i="94"/>
  <c r="D135" i="94"/>
  <c r="E135" i="94"/>
  <c r="D135" i="91"/>
  <c r="G134" i="91"/>
  <c r="E135" i="91"/>
  <c r="J140" i="43"/>
  <c r="D142" i="73"/>
  <c r="G141" i="73"/>
  <c r="E142" i="73"/>
  <c r="J135" i="75"/>
  <c r="J138" i="54"/>
  <c r="D135" i="88"/>
  <c r="G134" i="88"/>
  <c r="E135" i="88"/>
  <c r="J137" i="64"/>
  <c r="B133" i="95"/>
  <c r="F133" i="95"/>
  <c r="G135" i="83"/>
  <c r="D136" i="83"/>
  <c r="E136" i="83"/>
  <c r="D136" i="85"/>
  <c r="G135" i="85"/>
  <c r="E136" i="85"/>
  <c r="G137" i="66"/>
  <c r="D138" i="66"/>
  <c r="E138" i="66"/>
  <c r="D142" i="74"/>
  <c r="G141" i="74"/>
  <c r="E142" i="74"/>
  <c r="D138" i="67"/>
  <c r="G137" i="67"/>
  <c r="E138" i="67"/>
  <c r="G144" i="27"/>
  <c r="D145" i="27"/>
  <c r="B145" i="27" s="1"/>
  <c r="I141" i="18"/>
  <c r="H141" i="18"/>
  <c r="D137" i="79"/>
  <c r="G136" i="79"/>
  <c r="E137" i="79"/>
  <c r="I137" i="61"/>
  <c r="H137" i="61"/>
  <c r="D135" i="89"/>
  <c r="G134" i="89"/>
  <c r="E135" i="89"/>
  <c r="G135" i="86"/>
  <c r="D136" i="86"/>
  <c r="H131" i="99"/>
  <c r="I131" i="99"/>
  <c r="J141" i="17"/>
  <c r="D143" i="17"/>
  <c r="B143" i="17" s="1"/>
  <c r="G142" i="17"/>
  <c r="G139" i="46"/>
  <c r="D140" i="46"/>
  <c r="E140" i="46"/>
  <c r="J141" i="21"/>
  <c r="J143" i="70"/>
  <c r="I132" i="95"/>
  <c r="H132" i="95"/>
  <c r="G144" i="70"/>
  <c r="D145" i="70"/>
  <c r="E145" i="70"/>
  <c r="F138" i="61"/>
  <c r="B138" i="61"/>
  <c r="B135" i="96"/>
  <c r="F135" i="96"/>
  <c r="D135" i="92"/>
  <c r="G134" i="92"/>
  <c r="E135" i="92"/>
  <c r="B133" i="93"/>
  <c r="F133" i="93"/>
  <c r="D143" i="21"/>
  <c r="G142" i="21"/>
  <c r="E143" i="21"/>
  <c r="I134" i="96"/>
  <c r="H134" i="96"/>
  <c r="J138" i="46"/>
  <c r="D141" i="45"/>
  <c r="G140" i="45"/>
  <c r="E141" i="45"/>
  <c r="J138" i="57"/>
  <c r="J138" i="53"/>
  <c r="D142" i="42"/>
  <c r="B142" i="42" s="1"/>
  <c r="G141" i="42"/>
  <c r="J137" i="59"/>
  <c r="G138" i="64"/>
  <c r="D139" i="64"/>
  <c r="E139" i="64"/>
  <c r="H143" i="24"/>
  <c r="I143" i="24"/>
  <c r="G139" i="57"/>
  <c r="D140" i="57"/>
  <c r="E140" i="57"/>
  <c r="J127" i="102"/>
  <c r="J138" i="56"/>
  <c r="J140" i="41"/>
  <c r="J136" i="65"/>
  <c r="J135" i="77"/>
  <c r="H143" i="23"/>
  <c r="I143" i="23"/>
  <c r="G142" i="18" l="1"/>
  <c r="G146" i="29"/>
  <c r="I128" i="13"/>
  <c r="H128" i="13"/>
  <c r="F129" i="13"/>
  <c r="B129" i="13"/>
  <c r="B147" i="29"/>
  <c r="E147" i="29"/>
  <c r="F147" i="29" s="1"/>
  <c r="G147" i="29" s="1"/>
  <c r="E143" i="19"/>
  <c r="F143" i="19" s="1"/>
  <c r="E145" i="27"/>
  <c r="F145" i="27" s="1"/>
  <c r="G145" i="27" s="1"/>
  <c r="E142" i="39"/>
  <c r="F142" i="39" s="1"/>
  <c r="G146" i="28"/>
  <c r="I146" i="28" s="1"/>
  <c r="E143" i="17"/>
  <c r="F143" i="17" s="1"/>
  <c r="J142" i="31"/>
  <c r="J145" i="29"/>
  <c r="J143" i="32"/>
  <c r="E142" i="41"/>
  <c r="F142" i="41" s="1"/>
  <c r="J143" i="24"/>
  <c r="E143" i="22"/>
  <c r="F143" i="22" s="1"/>
  <c r="E145" i="24"/>
  <c r="F145" i="24" s="1"/>
  <c r="G145" i="24" s="1"/>
  <c r="E144" i="23"/>
  <c r="F144" i="23" s="1"/>
  <c r="G144" i="24"/>
  <c r="I144" i="24" s="1"/>
  <c r="E143" i="34"/>
  <c r="F143" i="34" s="1"/>
  <c r="D144" i="34" s="1"/>
  <c r="B144" i="34" s="1"/>
  <c r="H139" i="57"/>
  <c r="I139" i="57"/>
  <c r="B144" i="71"/>
  <c r="F144" i="71"/>
  <c r="I137" i="68"/>
  <c r="H137" i="68"/>
  <c r="F140" i="46"/>
  <c r="B140" i="46"/>
  <c r="E136" i="86"/>
  <c r="F136" i="86" s="1"/>
  <c r="B136" i="86"/>
  <c r="I136" i="79"/>
  <c r="H136" i="79"/>
  <c r="B136" i="85"/>
  <c r="F136" i="85"/>
  <c r="H141" i="73"/>
  <c r="I141" i="73"/>
  <c r="H134" i="94"/>
  <c r="I134" i="94"/>
  <c r="E147" i="28"/>
  <c r="F147" i="28" s="1"/>
  <c r="G143" i="19"/>
  <c r="D144" i="19"/>
  <c r="B144" i="19" s="1"/>
  <c r="B140" i="55"/>
  <c r="F140" i="55"/>
  <c r="J137" i="60"/>
  <c r="F136" i="82"/>
  <c r="B136" i="82"/>
  <c r="E142" i="43"/>
  <c r="F142" i="43" s="1"/>
  <c r="I139" i="72"/>
  <c r="H139" i="72"/>
  <c r="I134" i="84"/>
  <c r="H134" i="84"/>
  <c r="H142" i="3"/>
  <c r="I142" i="3"/>
  <c r="I135" i="82"/>
  <c r="H135" i="82"/>
  <c r="B140" i="72"/>
  <c r="F140" i="72"/>
  <c r="F135" i="87"/>
  <c r="B135" i="87"/>
  <c r="B145" i="70"/>
  <c r="F145" i="70"/>
  <c r="H139" i="46"/>
  <c r="I139" i="46"/>
  <c r="I135" i="86"/>
  <c r="H135" i="86"/>
  <c r="B137" i="79"/>
  <c r="F137" i="79"/>
  <c r="I144" i="27"/>
  <c r="H144" i="27"/>
  <c r="F138" i="66"/>
  <c r="B138" i="66"/>
  <c r="B142" i="73"/>
  <c r="F142" i="73"/>
  <c r="I142" i="34"/>
  <c r="H142" i="34"/>
  <c r="J144" i="30"/>
  <c r="I139" i="55"/>
  <c r="H139" i="55"/>
  <c r="I139" i="54"/>
  <c r="H139" i="54"/>
  <c r="B142" i="44"/>
  <c r="F142" i="44"/>
  <c r="B136" i="81"/>
  <c r="F136" i="81"/>
  <c r="J141" i="20"/>
  <c r="I141" i="43"/>
  <c r="H141" i="43"/>
  <c r="F135" i="84"/>
  <c r="B135" i="84"/>
  <c r="F139" i="63"/>
  <c r="B139" i="63"/>
  <c r="D139" i="61"/>
  <c r="G138" i="61"/>
  <c r="E139" i="61"/>
  <c r="B135" i="94"/>
  <c r="F135" i="94"/>
  <c r="B137" i="78"/>
  <c r="F137" i="78"/>
  <c r="D146" i="30"/>
  <c r="B146" i="30" s="1"/>
  <c r="G145" i="30"/>
  <c r="H142" i="21"/>
  <c r="I142" i="21"/>
  <c r="I144" i="70"/>
  <c r="H144" i="70"/>
  <c r="G143" i="22"/>
  <c r="D144" i="22"/>
  <c r="B144" i="22" s="1"/>
  <c r="I142" i="19"/>
  <c r="H142" i="19"/>
  <c r="H136" i="76"/>
  <c r="I136" i="76"/>
  <c r="B140" i="54"/>
  <c r="F140" i="54"/>
  <c r="H141" i="44"/>
  <c r="I141" i="44"/>
  <c r="I135" i="81"/>
  <c r="H135" i="81"/>
  <c r="F133" i="98"/>
  <c r="B133" i="98"/>
  <c r="I138" i="63"/>
  <c r="H138" i="63"/>
  <c r="H136" i="77"/>
  <c r="I136" i="77"/>
  <c r="F142" i="74"/>
  <c r="B142" i="74"/>
  <c r="H137" i="66"/>
  <c r="I137" i="66"/>
  <c r="F135" i="92"/>
  <c r="B135" i="92"/>
  <c r="H134" i="89"/>
  <c r="I134" i="89"/>
  <c r="J141" i="18"/>
  <c r="I137" i="67"/>
  <c r="H137" i="67"/>
  <c r="I134" i="88"/>
  <c r="H134" i="88"/>
  <c r="B140" i="56"/>
  <c r="F140" i="56"/>
  <c r="B139" i="59"/>
  <c r="F139" i="59"/>
  <c r="B137" i="76"/>
  <c r="F137" i="76"/>
  <c r="H135" i="101"/>
  <c r="I135" i="101"/>
  <c r="G142" i="20"/>
  <c r="D143" i="20"/>
  <c r="B143" i="20" s="1"/>
  <c r="G142" i="39"/>
  <c r="D143" i="39"/>
  <c r="B143" i="39" s="1"/>
  <c r="I134" i="90"/>
  <c r="H134" i="90"/>
  <c r="H132" i="98"/>
  <c r="I132" i="98"/>
  <c r="H137" i="65"/>
  <c r="I137" i="65"/>
  <c r="D145" i="32"/>
  <c r="B145" i="32" s="1"/>
  <c r="G144" i="32"/>
  <c r="F137" i="77"/>
  <c r="B137" i="77"/>
  <c r="H142" i="18"/>
  <c r="I142" i="18"/>
  <c r="I135" i="85"/>
  <c r="H135" i="85"/>
  <c r="G143" i="17"/>
  <c r="D144" i="17"/>
  <c r="B144" i="17" s="1"/>
  <c r="B139" i="64"/>
  <c r="F139" i="64"/>
  <c r="B135" i="89"/>
  <c r="F135" i="89"/>
  <c r="B138" i="67"/>
  <c r="F138" i="67"/>
  <c r="F135" i="88"/>
  <c r="B135" i="88"/>
  <c r="I134" i="91"/>
  <c r="H134" i="91"/>
  <c r="I142" i="22"/>
  <c r="H142" i="22"/>
  <c r="I139" i="56"/>
  <c r="H139" i="56"/>
  <c r="H138" i="59"/>
  <c r="I138" i="59"/>
  <c r="B140" i="58"/>
  <c r="F140" i="58"/>
  <c r="B136" i="101"/>
  <c r="F136" i="101"/>
  <c r="H128" i="102"/>
  <c r="I128" i="102"/>
  <c r="H141" i="39"/>
  <c r="I141" i="39"/>
  <c r="I135" i="80"/>
  <c r="H135" i="80"/>
  <c r="F137" i="75"/>
  <c r="B137" i="75"/>
  <c r="F135" i="90"/>
  <c r="B135" i="90"/>
  <c r="B145" i="69"/>
  <c r="F145" i="69"/>
  <c r="F138" i="65"/>
  <c r="B138" i="65"/>
  <c r="G143" i="31"/>
  <c r="D144" i="31"/>
  <c r="B144" i="31" s="1"/>
  <c r="D143" i="41"/>
  <c r="B143" i="41" s="1"/>
  <c r="G142" i="41"/>
  <c r="H141" i="42"/>
  <c r="I141" i="42"/>
  <c r="B139" i="62"/>
  <c r="F139" i="62"/>
  <c r="I134" i="92"/>
  <c r="H134" i="92"/>
  <c r="B143" i="21"/>
  <c r="F143" i="21"/>
  <c r="H142" i="17"/>
  <c r="I142" i="17"/>
  <c r="I138" i="64"/>
  <c r="H138" i="64"/>
  <c r="D134" i="93"/>
  <c r="G133" i="93"/>
  <c r="E134" i="93"/>
  <c r="B141" i="45"/>
  <c r="F141" i="45"/>
  <c r="B136" i="83"/>
  <c r="F136" i="83"/>
  <c r="F135" i="91"/>
  <c r="B135" i="91"/>
  <c r="I139" i="58"/>
  <c r="H139" i="58"/>
  <c r="I139" i="53"/>
  <c r="H139" i="53"/>
  <c r="F129" i="102"/>
  <c r="B129" i="102"/>
  <c r="B136" i="80"/>
  <c r="F136" i="80"/>
  <c r="I136" i="75"/>
  <c r="H136" i="75"/>
  <c r="H144" i="69"/>
  <c r="I144" i="69"/>
  <c r="H141" i="41"/>
  <c r="I141" i="41"/>
  <c r="G133" i="95"/>
  <c r="D134" i="95"/>
  <c r="E134" i="95"/>
  <c r="H140" i="45"/>
  <c r="I140" i="45"/>
  <c r="G135" i="96"/>
  <c r="D136" i="96"/>
  <c r="E136" i="96"/>
  <c r="J143" i="23"/>
  <c r="B140" i="57"/>
  <c r="F140" i="57"/>
  <c r="E142" i="42"/>
  <c r="F142" i="42" s="1"/>
  <c r="E143" i="18"/>
  <c r="F143" i="18" s="1"/>
  <c r="J137" i="61"/>
  <c r="H141" i="74"/>
  <c r="I141" i="74"/>
  <c r="H135" i="83"/>
  <c r="I135" i="83"/>
  <c r="I138" i="62"/>
  <c r="H138" i="62"/>
  <c r="D139" i="60"/>
  <c r="G138" i="60"/>
  <c r="E139" i="60"/>
  <c r="I136" i="78"/>
  <c r="H136" i="78"/>
  <c r="I143" i="71"/>
  <c r="H143" i="71"/>
  <c r="B140" i="53"/>
  <c r="F140" i="53"/>
  <c r="D134" i="97"/>
  <c r="G133" i="97"/>
  <c r="E134" i="97"/>
  <c r="G132" i="99"/>
  <c r="D133" i="99"/>
  <c r="E133" i="99"/>
  <c r="J145" i="28"/>
  <c r="B138" i="68"/>
  <c r="F138" i="68"/>
  <c r="I146" i="29"/>
  <c r="H146" i="29"/>
  <c r="I134" i="87"/>
  <c r="H134" i="87"/>
  <c r="E143" i="3"/>
  <c r="F143" i="3" s="1"/>
  <c r="H144" i="24" l="1"/>
  <c r="H146" i="28"/>
  <c r="J146" i="28" s="1"/>
  <c r="D148" i="29"/>
  <c r="B148" i="29" s="1"/>
  <c r="G143" i="34"/>
  <c r="H143" i="34" s="1"/>
  <c r="J141" i="73"/>
  <c r="D146" i="27"/>
  <c r="B146" i="27" s="1"/>
  <c r="J141" i="39"/>
  <c r="J138" i="59"/>
  <c r="E144" i="31"/>
  <c r="F144" i="31" s="1"/>
  <c r="G144" i="31" s="1"/>
  <c r="J139" i="46"/>
  <c r="J142" i="34"/>
  <c r="D130" i="13"/>
  <c r="G129" i="13"/>
  <c r="E130" i="13"/>
  <c r="J128" i="13"/>
  <c r="J142" i="22"/>
  <c r="E143" i="20"/>
  <c r="F143" i="20" s="1"/>
  <c r="G143" i="20" s="1"/>
  <c r="E144" i="17"/>
  <c r="F144" i="17" s="1"/>
  <c r="D145" i="17" s="1"/>
  <c r="B145" i="17" s="1"/>
  <c r="J136" i="76"/>
  <c r="J142" i="3"/>
  <c r="D146" i="24"/>
  <c r="B146" i="24" s="1"/>
  <c r="J139" i="55"/>
  <c r="J141" i="41"/>
  <c r="J144" i="70"/>
  <c r="J139" i="54"/>
  <c r="J142" i="17"/>
  <c r="J142" i="21"/>
  <c r="E144" i="19"/>
  <c r="F144" i="19" s="1"/>
  <c r="G144" i="19" s="1"/>
  <c r="J139" i="57"/>
  <c r="J138" i="64"/>
  <c r="J144" i="69"/>
  <c r="J128" i="102"/>
  <c r="J144" i="24"/>
  <c r="J142" i="18"/>
  <c r="J142" i="19"/>
  <c r="J137" i="68"/>
  <c r="J143" i="71"/>
  <c r="J136" i="77"/>
  <c r="J141" i="44"/>
  <c r="E144" i="22"/>
  <c r="F144" i="22" s="1"/>
  <c r="G144" i="22" s="1"/>
  <c r="G144" i="23"/>
  <c r="D145" i="23"/>
  <c r="B145" i="23" s="1"/>
  <c r="E143" i="41"/>
  <c r="F143" i="41" s="1"/>
  <c r="G143" i="41" s="1"/>
  <c r="H138" i="60"/>
  <c r="I138" i="60"/>
  <c r="D143" i="43"/>
  <c r="B143" i="43" s="1"/>
  <c r="G142" i="43"/>
  <c r="G140" i="53"/>
  <c r="D141" i="53"/>
  <c r="E141" i="53"/>
  <c r="F139" i="60"/>
  <c r="B139" i="60"/>
  <c r="F136" i="96"/>
  <c r="B136" i="96"/>
  <c r="D130" i="102"/>
  <c r="G129" i="102"/>
  <c r="E130" i="102"/>
  <c r="D140" i="62"/>
  <c r="G139" i="62"/>
  <c r="E140" i="62"/>
  <c r="D136" i="88"/>
  <c r="G135" i="88"/>
  <c r="E136" i="88"/>
  <c r="G135" i="89"/>
  <c r="D136" i="89"/>
  <c r="E136" i="89"/>
  <c r="J137" i="65"/>
  <c r="I142" i="39"/>
  <c r="H142" i="39"/>
  <c r="D140" i="59"/>
  <c r="G139" i="59"/>
  <c r="E140" i="59"/>
  <c r="I145" i="24"/>
  <c r="H145" i="24"/>
  <c r="J137" i="66"/>
  <c r="D139" i="66"/>
  <c r="G138" i="66"/>
  <c r="E139" i="66"/>
  <c r="G147" i="28"/>
  <c r="D148" i="28"/>
  <c r="B148" i="28" s="1"/>
  <c r="J136" i="79"/>
  <c r="G144" i="71"/>
  <c r="D145" i="71"/>
  <c r="E145" i="71"/>
  <c r="D146" i="69"/>
  <c r="G145" i="69"/>
  <c r="E146" i="69"/>
  <c r="D142" i="45"/>
  <c r="B142" i="45" s="1"/>
  <c r="G141" i="45"/>
  <c r="I143" i="31"/>
  <c r="H143" i="31"/>
  <c r="G140" i="54"/>
  <c r="D141" i="54"/>
  <c r="E141" i="54"/>
  <c r="H143" i="22"/>
  <c r="I143" i="22"/>
  <c r="G137" i="78"/>
  <c r="D138" i="78"/>
  <c r="E138" i="78"/>
  <c r="G139" i="63"/>
  <c r="D140" i="63"/>
  <c r="E140" i="63"/>
  <c r="D143" i="44"/>
  <c r="B143" i="44" s="1"/>
  <c r="G142" i="44"/>
  <c r="D146" i="70"/>
  <c r="G145" i="70"/>
  <c r="E146" i="70"/>
  <c r="G136" i="82"/>
  <c r="D137" i="82"/>
  <c r="E137" i="82"/>
  <c r="G136" i="86"/>
  <c r="D137" i="86"/>
  <c r="G143" i="3"/>
  <c r="D144" i="3"/>
  <c r="B144" i="3" s="1"/>
  <c r="J138" i="62"/>
  <c r="G143" i="18"/>
  <c r="D144" i="18"/>
  <c r="B144" i="18" s="1"/>
  <c r="J140" i="45"/>
  <c r="J139" i="53"/>
  <c r="G143" i="21"/>
  <c r="D144" i="21"/>
  <c r="B144" i="21" s="1"/>
  <c r="J141" i="42"/>
  <c r="D136" i="90"/>
  <c r="G135" i="90"/>
  <c r="E136" i="90"/>
  <c r="J139" i="56"/>
  <c r="D140" i="64"/>
  <c r="G139" i="64"/>
  <c r="E140" i="64"/>
  <c r="G140" i="56"/>
  <c r="D141" i="56"/>
  <c r="E141" i="56"/>
  <c r="J137" i="67"/>
  <c r="E144" i="34"/>
  <c r="F144" i="34" s="1"/>
  <c r="J138" i="63"/>
  <c r="J144" i="27"/>
  <c r="G138" i="68"/>
  <c r="D139" i="68"/>
  <c r="E139" i="68"/>
  <c r="F139" i="61"/>
  <c r="B139" i="61"/>
  <c r="H143" i="19"/>
  <c r="I143" i="19"/>
  <c r="D137" i="101"/>
  <c r="G136" i="101"/>
  <c r="E137" i="101"/>
  <c r="D139" i="67"/>
  <c r="G138" i="67"/>
  <c r="E139" i="67"/>
  <c r="H142" i="20"/>
  <c r="I142" i="20"/>
  <c r="D136" i="94"/>
  <c r="G135" i="94"/>
  <c r="E136" i="94"/>
  <c r="G135" i="84"/>
  <c r="D136" i="84"/>
  <c r="E136" i="84"/>
  <c r="G137" i="79"/>
  <c r="D138" i="79"/>
  <c r="E138" i="79"/>
  <c r="D141" i="55"/>
  <c r="G140" i="55"/>
  <c r="E141" i="55"/>
  <c r="I145" i="27"/>
  <c r="H145" i="27"/>
  <c r="D137" i="83"/>
  <c r="G136" i="83"/>
  <c r="E137" i="83"/>
  <c r="I145" i="30"/>
  <c r="H145" i="30"/>
  <c r="D141" i="57"/>
  <c r="G140" i="57"/>
  <c r="E141" i="57"/>
  <c r="J136" i="75"/>
  <c r="G137" i="75"/>
  <c r="D138" i="75"/>
  <c r="E138" i="75"/>
  <c r="D138" i="77"/>
  <c r="G137" i="77"/>
  <c r="E138" i="77"/>
  <c r="I143" i="34"/>
  <c r="G133" i="98"/>
  <c r="D134" i="98"/>
  <c r="E134" i="98"/>
  <c r="G142" i="73"/>
  <c r="D143" i="73"/>
  <c r="E143" i="73"/>
  <c r="G135" i="87"/>
  <c r="D136" i="87"/>
  <c r="E136" i="87"/>
  <c r="B134" i="97"/>
  <c r="F134" i="97"/>
  <c r="B133" i="99"/>
  <c r="F133" i="99"/>
  <c r="D143" i="42"/>
  <c r="B143" i="42" s="1"/>
  <c r="G142" i="42"/>
  <c r="D139" i="65"/>
  <c r="G138" i="65"/>
  <c r="E139" i="65"/>
  <c r="H132" i="99"/>
  <c r="I132" i="99"/>
  <c r="J139" i="58"/>
  <c r="H133" i="93"/>
  <c r="I133" i="93"/>
  <c r="J146" i="29"/>
  <c r="J136" i="78"/>
  <c r="J141" i="74"/>
  <c r="F134" i="95"/>
  <c r="B134" i="95"/>
  <c r="D137" i="80"/>
  <c r="G136" i="80"/>
  <c r="E137" i="80"/>
  <c r="B134" i="93"/>
  <c r="F134" i="93"/>
  <c r="I142" i="41"/>
  <c r="H142" i="41"/>
  <c r="G140" i="58"/>
  <c r="D141" i="58"/>
  <c r="E141" i="58"/>
  <c r="E145" i="32"/>
  <c r="F145" i="32" s="1"/>
  <c r="J141" i="43"/>
  <c r="D141" i="72"/>
  <c r="G140" i="72"/>
  <c r="E141" i="72"/>
  <c r="D137" i="85"/>
  <c r="G136" i="85"/>
  <c r="E137" i="85"/>
  <c r="G140" i="46"/>
  <c r="D141" i="46"/>
  <c r="E141" i="46"/>
  <c r="D145" i="31"/>
  <c r="B145" i="31" s="1"/>
  <c r="G135" i="92"/>
  <c r="D136" i="92"/>
  <c r="E136" i="92"/>
  <c r="G136" i="81"/>
  <c r="D137" i="81"/>
  <c r="E137" i="81"/>
  <c r="I135" i="96"/>
  <c r="H135" i="96"/>
  <c r="H133" i="97"/>
  <c r="I133" i="97"/>
  <c r="H133" i="95"/>
  <c r="I133" i="95"/>
  <c r="G135" i="91"/>
  <c r="D136" i="91"/>
  <c r="E136" i="91"/>
  <c r="I147" i="29"/>
  <c r="H147" i="29"/>
  <c r="H143" i="17"/>
  <c r="I143" i="17"/>
  <c r="H144" i="32"/>
  <c r="I144" i="32"/>
  <c r="E143" i="39"/>
  <c r="F143" i="39" s="1"/>
  <c r="D138" i="76"/>
  <c r="G137" i="76"/>
  <c r="E138" i="76"/>
  <c r="G142" i="74"/>
  <c r="D143" i="74"/>
  <c r="E143" i="74"/>
  <c r="E146" i="30"/>
  <c r="F146" i="30" s="1"/>
  <c r="I138" i="61"/>
  <c r="H138" i="61"/>
  <c r="J139" i="72"/>
  <c r="E146" i="24" l="1"/>
  <c r="F146" i="24" s="1"/>
  <c r="E146" i="27"/>
  <c r="F146" i="27" s="1"/>
  <c r="G144" i="17"/>
  <c r="E148" i="29"/>
  <c r="F148" i="29" s="1"/>
  <c r="D145" i="22"/>
  <c r="B145" i="22" s="1"/>
  <c r="D144" i="41"/>
  <c r="B144" i="41" s="1"/>
  <c r="J138" i="60"/>
  <c r="J142" i="20"/>
  <c r="J143" i="19"/>
  <c r="E143" i="42"/>
  <c r="F143" i="42" s="1"/>
  <c r="G143" i="42" s="1"/>
  <c r="D144" i="20"/>
  <c r="B144" i="20" s="1"/>
  <c r="H129" i="13"/>
  <c r="I129" i="13"/>
  <c r="B130" i="13"/>
  <c r="F130" i="13"/>
  <c r="E144" i="18"/>
  <c r="F144" i="18" s="1"/>
  <c r="D145" i="18" s="1"/>
  <c r="B145" i="18" s="1"/>
  <c r="J144" i="32"/>
  <c r="J143" i="22"/>
  <c r="E145" i="23"/>
  <c r="F145" i="23" s="1"/>
  <c r="G145" i="23" s="1"/>
  <c r="J147" i="29"/>
  <c r="E143" i="43"/>
  <c r="F143" i="43" s="1"/>
  <c r="E145" i="31"/>
  <c r="F145" i="31" s="1"/>
  <c r="G145" i="31" s="1"/>
  <c r="D145" i="19"/>
  <c r="B145" i="19" s="1"/>
  <c r="J143" i="17"/>
  <c r="E148" i="28"/>
  <c r="F148" i="28" s="1"/>
  <c r="G148" i="28" s="1"/>
  <c r="J145" i="30"/>
  <c r="E143" i="44"/>
  <c r="F143" i="44" s="1"/>
  <c r="D144" i="44" s="1"/>
  <c r="B144" i="44" s="1"/>
  <c r="H144" i="23"/>
  <c r="I144" i="23"/>
  <c r="E145" i="17"/>
  <c r="F145" i="17" s="1"/>
  <c r="D146" i="17" s="1"/>
  <c r="B146" i="17" s="1"/>
  <c r="J145" i="24"/>
  <c r="E144" i="3"/>
  <c r="F144" i="3" s="1"/>
  <c r="D145" i="3" s="1"/>
  <c r="B145" i="3" s="1"/>
  <c r="H136" i="85"/>
  <c r="I136" i="85"/>
  <c r="I135" i="84"/>
  <c r="H135" i="84"/>
  <c r="B140" i="64"/>
  <c r="F140" i="64"/>
  <c r="I143" i="21"/>
  <c r="H143" i="21"/>
  <c r="I145" i="70"/>
  <c r="H145" i="70"/>
  <c r="H135" i="89"/>
  <c r="I135" i="89"/>
  <c r="I129" i="102"/>
  <c r="H129" i="102"/>
  <c r="F141" i="53"/>
  <c r="B141" i="53"/>
  <c r="H135" i="91"/>
  <c r="I135" i="91"/>
  <c r="F141" i="72"/>
  <c r="B141" i="72"/>
  <c r="F136" i="89"/>
  <c r="B136" i="89"/>
  <c r="F143" i="74"/>
  <c r="B143" i="74"/>
  <c r="I136" i="81"/>
  <c r="H136" i="81"/>
  <c r="D135" i="95"/>
  <c r="G134" i="95"/>
  <c r="E135" i="95"/>
  <c r="H135" i="87"/>
  <c r="I135" i="87"/>
  <c r="F138" i="75"/>
  <c r="B138" i="75"/>
  <c r="B139" i="67"/>
  <c r="F139" i="67"/>
  <c r="H142" i="74"/>
  <c r="I142" i="74"/>
  <c r="E145" i="22"/>
  <c r="F145" i="22" s="1"/>
  <c r="D146" i="31"/>
  <c r="B146" i="31" s="1"/>
  <c r="B137" i="85"/>
  <c r="F137" i="85"/>
  <c r="D146" i="32"/>
  <c r="B146" i="32" s="1"/>
  <c r="G145" i="32"/>
  <c r="J142" i="41"/>
  <c r="I137" i="75"/>
  <c r="H137" i="75"/>
  <c r="I140" i="55"/>
  <c r="H140" i="55"/>
  <c r="F139" i="68"/>
  <c r="B139" i="68"/>
  <c r="D145" i="34"/>
  <c r="B145" i="34" s="1"/>
  <c r="G144" i="34"/>
  <c r="H143" i="3"/>
  <c r="I143" i="3"/>
  <c r="B146" i="70"/>
  <c r="F146" i="70"/>
  <c r="F138" i="78"/>
  <c r="B138" i="78"/>
  <c r="I143" i="20"/>
  <c r="H143" i="20"/>
  <c r="I145" i="69"/>
  <c r="H145" i="69"/>
  <c r="I147" i="28"/>
  <c r="H147" i="28"/>
  <c r="H139" i="59"/>
  <c r="I139" i="59"/>
  <c r="F130" i="102"/>
  <c r="B130" i="102"/>
  <c r="I140" i="53"/>
  <c r="H140" i="53"/>
  <c r="I142" i="42"/>
  <c r="H142" i="42"/>
  <c r="J143" i="34"/>
  <c r="B141" i="57"/>
  <c r="F141" i="57"/>
  <c r="G146" i="24"/>
  <c r="D147" i="24"/>
  <c r="B147" i="24" s="1"/>
  <c r="H144" i="22"/>
  <c r="I144" i="22"/>
  <c r="G134" i="93"/>
  <c r="D135" i="93"/>
  <c r="E135" i="93"/>
  <c r="D134" i="99"/>
  <c r="G133" i="99"/>
  <c r="E134" i="99"/>
  <c r="B143" i="73"/>
  <c r="F143" i="73"/>
  <c r="I137" i="77"/>
  <c r="H137" i="77"/>
  <c r="B141" i="55"/>
  <c r="F141" i="55"/>
  <c r="I135" i="94"/>
  <c r="H135" i="94"/>
  <c r="H136" i="101"/>
  <c r="I136" i="101"/>
  <c r="I138" i="68"/>
  <c r="H138" i="68"/>
  <c r="E137" i="86"/>
  <c r="F137" i="86" s="1"/>
  <c r="B137" i="86"/>
  <c r="H137" i="78"/>
  <c r="I137" i="78"/>
  <c r="F146" i="69"/>
  <c r="B146" i="69"/>
  <c r="B140" i="59"/>
  <c r="F140" i="59"/>
  <c r="H135" i="88"/>
  <c r="I135" i="88"/>
  <c r="D144" i="43"/>
  <c r="B144" i="43" s="1"/>
  <c r="G143" i="43"/>
  <c r="B136" i="88"/>
  <c r="F136" i="88"/>
  <c r="G136" i="96"/>
  <c r="D137" i="96"/>
  <c r="E137" i="96"/>
  <c r="I142" i="43"/>
  <c r="H142" i="43"/>
  <c r="F137" i="81"/>
  <c r="B137" i="81"/>
  <c r="I140" i="57"/>
  <c r="H140" i="57"/>
  <c r="H138" i="67"/>
  <c r="I138" i="67"/>
  <c r="I136" i="86"/>
  <c r="H136" i="86"/>
  <c r="H142" i="44"/>
  <c r="I142" i="44"/>
  <c r="H137" i="76"/>
  <c r="I137" i="76"/>
  <c r="I144" i="19"/>
  <c r="H144" i="19"/>
  <c r="G134" i="97"/>
  <c r="D135" i="97"/>
  <c r="E135" i="97"/>
  <c r="H136" i="83"/>
  <c r="I136" i="83"/>
  <c r="F138" i="79"/>
  <c r="B138" i="79"/>
  <c r="B141" i="56"/>
  <c r="F141" i="56"/>
  <c r="B136" i="90"/>
  <c r="F136" i="90"/>
  <c r="J143" i="31"/>
  <c r="B145" i="71"/>
  <c r="F145" i="71"/>
  <c r="F139" i="66"/>
  <c r="B139" i="66"/>
  <c r="J142" i="39"/>
  <c r="H139" i="63"/>
  <c r="I139" i="63"/>
  <c r="I144" i="31"/>
  <c r="H144" i="31"/>
  <c r="I142" i="73"/>
  <c r="H142" i="73"/>
  <c r="F136" i="94"/>
  <c r="B136" i="94"/>
  <c r="B137" i="101"/>
  <c r="F137" i="101"/>
  <c r="H135" i="90"/>
  <c r="I135" i="90"/>
  <c r="I138" i="66"/>
  <c r="H138" i="66"/>
  <c r="J138" i="61"/>
  <c r="B138" i="76"/>
  <c r="F138" i="76"/>
  <c r="B136" i="92"/>
  <c r="F136" i="92"/>
  <c r="B141" i="46"/>
  <c r="F141" i="46"/>
  <c r="I136" i="80"/>
  <c r="H136" i="80"/>
  <c r="I138" i="65"/>
  <c r="H138" i="65"/>
  <c r="B134" i="98"/>
  <c r="F134" i="98"/>
  <c r="I144" i="17"/>
  <c r="H144" i="17"/>
  <c r="B137" i="83"/>
  <c r="F137" i="83"/>
  <c r="H137" i="79"/>
  <c r="I137" i="79"/>
  <c r="H140" i="56"/>
  <c r="I140" i="56"/>
  <c r="H143" i="18"/>
  <c r="I143" i="18"/>
  <c r="F137" i="82"/>
  <c r="B137" i="82"/>
  <c r="E142" i="45"/>
  <c r="F142" i="45" s="1"/>
  <c r="H144" i="71"/>
  <c r="I144" i="71"/>
  <c r="I139" i="62"/>
  <c r="H139" i="62"/>
  <c r="H140" i="58"/>
  <c r="I140" i="58"/>
  <c r="F136" i="87"/>
  <c r="B136" i="87"/>
  <c r="F136" i="84"/>
  <c r="B136" i="84"/>
  <c r="D140" i="61"/>
  <c r="G139" i="61"/>
  <c r="E140" i="61"/>
  <c r="I139" i="64"/>
  <c r="H139" i="64"/>
  <c r="H140" i="54"/>
  <c r="I140" i="54"/>
  <c r="F138" i="77"/>
  <c r="B138" i="77"/>
  <c r="D147" i="30"/>
  <c r="B147" i="30" s="1"/>
  <c r="G146" i="30"/>
  <c r="D144" i="39"/>
  <c r="B144" i="39" s="1"/>
  <c r="G143" i="39"/>
  <c r="F136" i="91"/>
  <c r="B136" i="91"/>
  <c r="H135" i="92"/>
  <c r="I135" i="92"/>
  <c r="I140" i="46"/>
  <c r="H140" i="46"/>
  <c r="I140" i="72"/>
  <c r="H140" i="72"/>
  <c r="F141" i="58"/>
  <c r="B141" i="58"/>
  <c r="F137" i="80"/>
  <c r="B137" i="80"/>
  <c r="H143" i="41"/>
  <c r="I143" i="41"/>
  <c r="B139" i="65"/>
  <c r="F139" i="65"/>
  <c r="I133" i="98"/>
  <c r="H133" i="98"/>
  <c r="J145" i="27"/>
  <c r="E144" i="21"/>
  <c r="F144" i="21" s="1"/>
  <c r="I136" i="82"/>
  <c r="H136" i="82"/>
  <c r="B140" i="63"/>
  <c r="F140" i="63"/>
  <c r="B141" i="54"/>
  <c r="F141" i="54"/>
  <c r="H141" i="45"/>
  <c r="I141" i="45"/>
  <c r="F140" i="62"/>
  <c r="B140" i="62"/>
  <c r="D140" i="60"/>
  <c r="G139" i="60"/>
  <c r="E140" i="60"/>
  <c r="G146" i="27" l="1"/>
  <c r="D147" i="27"/>
  <c r="G144" i="18"/>
  <c r="I144" i="18" s="1"/>
  <c r="J137" i="76"/>
  <c r="E144" i="41"/>
  <c r="F144" i="41" s="1"/>
  <c r="D145" i="41" s="1"/>
  <c r="B145" i="41" s="1"/>
  <c r="D144" i="42"/>
  <c r="B144" i="42" s="1"/>
  <c r="D146" i="23"/>
  <c r="B146" i="23" s="1"/>
  <c r="G148" i="29"/>
  <c r="D149" i="29"/>
  <c r="E147" i="30"/>
  <c r="F147" i="30" s="1"/>
  <c r="D148" i="30" s="1"/>
  <c r="B148" i="30" s="1"/>
  <c r="G143" i="44"/>
  <c r="I143" i="44" s="1"/>
  <c r="D149" i="28"/>
  <c r="B149" i="28" s="1"/>
  <c r="E144" i="20"/>
  <c r="F144" i="20" s="1"/>
  <c r="J129" i="13"/>
  <c r="J143" i="18"/>
  <c r="G145" i="17"/>
  <c r="H145" i="17" s="1"/>
  <c r="E131" i="13"/>
  <c r="D131" i="13"/>
  <c r="G130" i="13"/>
  <c r="E149" i="28"/>
  <c r="F149" i="28" s="1"/>
  <c r="D150" i="28" s="1"/>
  <c r="B150" i="28" s="1"/>
  <c r="J140" i="46"/>
  <c r="J144" i="23"/>
  <c r="J138" i="65"/>
  <c r="J142" i="73"/>
  <c r="G144" i="3"/>
  <c r="I144" i="3" s="1"/>
  <c r="E146" i="31"/>
  <c r="F146" i="31" s="1"/>
  <c r="D147" i="31" s="1"/>
  <c r="B147" i="31" s="1"/>
  <c r="J140" i="72"/>
  <c r="J141" i="45"/>
  <c r="E145" i="19"/>
  <c r="F145" i="19" s="1"/>
  <c r="J140" i="53"/>
  <c r="J145" i="69"/>
  <c r="J137" i="78"/>
  <c r="J139" i="59"/>
  <c r="J129" i="102"/>
  <c r="I145" i="23"/>
  <c r="H145" i="23"/>
  <c r="E144" i="39"/>
  <c r="F144" i="39" s="1"/>
  <c r="J139" i="63"/>
  <c r="J142" i="44"/>
  <c r="J144" i="22"/>
  <c r="E146" i="17"/>
  <c r="F146" i="17" s="1"/>
  <c r="G146" i="17" s="1"/>
  <c r="I146" i="30"/>
  <c r="H146" i="30"/>
  <c r="G139" i="68"/>
  <c r="D140" i="68"/>
  <c r="E140" i="68"/>
  <c r="H134" i="95"/>
  <c r="I134" i="95"/>
  <c r="G136" i="89"/>
  <c r="D137" i="89"/>
  <c r="E137" i="89"/>
  <c r="G139" i="66"/>
  <c r="D140" i="66"/>
  <c r="E140" i="66"/>
  <c r="G137" i="86"/>
  <c r="D138" i="86"/>
  <c r="D142" i="55"/>
  <c r="G141" i="55"/>
  <c r="E142" i="55"/>
  <c r="H133" i="99"/>
  <c r="I133" i="99"/>
  <c r="H144" i="3"/>
  <c r="J147" i="28"/>
  <c r="G137" i="85"/>
  <c r="D138" i="85"/>
  <c r="E138" i="85"/>
  <c r="D140" i="67"/>
  <c r="G139" i="67"/>
  <c r="E140" i="67"/>
  <c r="F135" i="95"/>
  <c r="B135" i="95"/>
  <c r="J143" i="21"/>
  <c r="H143" i="42"/>
  <c r="I143" i="42"/>
  <c r="D147" i="70"/>
  <c r="G146" i="70"/>
  <c r="E147" i="70"/>
  <c r="D138" i="80"/>
  <c r="G137" i="80"/>
  <c r="E138" i="80"/>
  <c r="H139" i="61"/>
  <c r="I139" i="61"/>
  <c r="D142" i="54"/>
  <c r="G141" i="54"/>
  <c r="E142" i="54"/>
  <c r="B140" i="61"/>
  <c r="F140" i="61"/>
  <c r="J139" i="62"/>
  <c r="J140" i="56"/>
  <c r="J144" i="17"/>
  <c r="D142" i="46"/>
  <c r="B142" i="46" s="1"/>
  <c r="G141" i="46"/>
  <c r="J138" i="66"/>
  <c r="J144" i="31"/>
  <c r="G145" i="71"/>
  <c r="D146" i="71"/>
  <c r="E146" i="71"/>
  <c r="D139" i="79"/>
  <c r="G138" i="79"/>
  <c r="E139" i="79"/>
  <c r="J144" i="19"/>
  <c r="J138" i="67"/>
  <c r="D138" i="81"/>
  <c r="G137" i="81"/>
  <c r="E138" i="81"/>
  <c r="E144" i="43"/>
  <c r="F144" i="43" s="1"/>
  <c r="G146" i="69"/>
  <c r="D147" i="69"/>
  <c r="E147" i="69"/>
  <c r="B134" i="99"/>
  <c r="F134" i="99"/>
  <c r="E147" i="24"/>
  <c r="F147" i="24" s="1"/>
  <c r="J142" i="42"/>
  <c r="J143" i="3"/>
  <c r="J140" i="55"/>
  <c r="D142" i="72"/>
  <c r="G141" i="72"/>
  <c r="E142" i="72"/>
  <c r="D141" i="64"/>
  <c r="G140" i="64"/>
  <c r="E141" i="64"/>
  <c r="G144" i="21"/>
  <c r="D145" i="21"/>
  <c r="B145" i="21" s="1"/>
  <c r="G137" i="83"/>
  <c r="D138" i="83"/>
  <c r="E138" i="83"/>
  <c r="D137" i="88"/>
  <c r="G136" i="88"/>
  <c r="E137" i="88"/>
  <c r="G141" i="58"/>
  <c r="D142" i="58"/>
  <c r="E142" i="58"/>
  <c r="G136" i="91"/>
  <c r="D137" i="91"/>
  <c r="E137" i="91"/>
  <c r="G138" i="77"/>
  <c r="D139" i="77"/>
  <c r="E139" i="77"/>
  <c r="J144" i="71"/>
  <c r="E145" i="18"/>
  <c r="F145" i="18" s="1"/>
  <c r="D138" i="101"/>
  <c r="G137" i="101"/>
  <c r="E138" i="101"/>
  <c r="B135" i="97"/>
  <c r="F135" i="97"/>
  <c r="H143" i="43"/>
  <c r="I143" i="43"/>
  <c r="H139" i="60"/>
  <c r="I139" i="60"/>
  <c r="G140" i="63"/>
  <c r="D141" i="63"/>
  <c r="E141" i="63"/>
  <c r="D140" i="65"/>
  <c r="G139" i="65"/>
  <c r="E140" i="65"/>
  <c r="D145" i="39"/>
  <c r="B145" i="39" s="1"/>
  <c r="G144" i="39"/>
  <c r="J140" i="54"/>
  <c r="D137" i="84"/>
  <c r="G136" i="84"/>
  <c r="E137" i="84"/>
  <c r="D135" i="98"/>
  <c r="G134" i="98"/>
  <c r="E135" i="98"/>
  <c r="G136" i="92"/>
  <c r="D137" i="92"/>
  <c r="E137" i="92"/>
  <c r="H134" i="97"/>
  <c r="I134" i="97"/>
  <c r="J142" i="43"/>
  <c r="J138" i="68"/>
  <c r="F135" i="93"/>
  <c r="B135" i="93"/>
  <c r="H146" i="24"/>
  <c r="I146" i="24"/>
  <c r="E145" i="34"/>
  <c r="F145" i="34" s="1"/>
  <c r="J137" i="75"/>
  <c r="G138" i="75"/>
  <c r="D139" i="75"/>
  <c r="E139" i="75"/>
  <c r="H144" i="18"/>
  <c r="G136" i="90"/>
  <c r="D137" i="90"/>
  <c r="E137" i="90"/>
  <c r="J140" i="57"/>
  <c r="E144" i="44"/>
  <c r="F144" i="44" s="1"/>
  <c r="J137" i="77"/>
  <c r="I134" i="93"/>
  <c r="H134" i="93"/>
  <c r="D131" i="102"/>
  <c r="G130" i="102"/>
  <c r="E131" i="102"/>
  <c r="J143" i="20"/>
  <c r="H144" i="34"/>
  <c r="I144" i="34"/>
  <c r="H145" i="31"/>
  <c r="I145" i="31"/>
  <c r="B140" i="60"/>
  <c r="F140" i="60"/>
  <c r="D143" i="45"/>
  <c r="B143" i="45" s="1"/>
  <c r="G142" i="45"/>
  <c r="J143" i="41"/>
  <c r="D137" i="87"/>
  <c r="G136" i="87"/>
  <c r="E137" i="87"/>
  <c r="J137" i="79"/>
  <c r="G138" i="76"/>
  <c r="D139" i="76"/>
  <c r="E139" i="76"/>
  <c r="G136" i="94"/>
  <c r="D137" i="94"/>
  <c r="E137" i="94"/>
  <c r="B137" i="96"/>
  <c r="F137" i="96"/>
  <c r="D144" i="73"/>
  <c r="G143" i="73"/>
  <c r="E144" i="73"/>
  <c r="H148" i="28"/>
  <c r="I148" i="28"/>
  <c r="E146" i="32"/>
  <c r="F146" i="32" s="1"/>
  <c r="G145" i="22"/>
  <c r="D146" i="22"/>
  <c r="B146" i="22" s="1"/>
  <c r="D144" i="74"/>
  <c r="G143" i="74"/>
  <c r="E144" i="74"/>
  <c r="G141" i="53"/>
  <c r="D142" i="53"/>
  <c r="E142" i="53"/>
  <c r="I143" i="39"/>
  <c r="H143" i="39"/>
  <c r="D141" i="62"/>
  <c r="G140" i="62"/>
  <c r="E141" i="62"/>
  <c r="J139" i="64"/>
  <c r="J140" i="58"/>
  <c r="D138" i="82"/>
  <c r="G137" i="82"/>
  <c r="E138" i="82"/>
  <c r="G141" i="56"/>
  <c r="D142" i="56"/>
  <c r="E142" i="56"/>
  <c r="D147" i="17"/>
  <c r="B147" i="17" s="1"/>
  <c r="H136" i="96"/>
  <c r="I136" i="96"/>
  <c r="G140" i="59"/>
  <c r="D141" i="59"/>
  <c r="E141" i="59"/>
  <c r="D146" i="19"/>
  <c r="B146" i="19" s="1"/>
  <c r="G145" i="19"/>
  <c r="G141" i="57"/>
  <c r="D142" i="57"/>
  <c r="E142" i="57"/>
  <c r="E145" i="3"/>
  <c r="F145" i="3" s="1"/>
  <c r="G138" i="78"/>
  <c r="D139" i="78"/>
  <c r="E139" i="78"/>
  <c r="H145" i="32"/>
  <c r="I145" i="32"/>
  <c r="J142" i="74"/>
  <c r="J145" i="70"/>
  <c r="H143" i="44" l="1"/>
  <c r="B147" i="27"/>
  <c r="E147" i="27"/>
  <c r="F147" i="27" s="1"/>
  <c r="E145" i="41"/>
  <c r="F145" i="41" s="1"/>
  <c r="G145" i="41" s="1"/>
  <c r="I145" i="41" s="1"/>
  <c r="H146" i="27"/>
  <c r="I146" i="27"/>
  <c r="J146" i="27" s="1"/>
  <c r="E146" i="23"/>
  <c r="F146" i="23" s="1"/>
  <c r="G146" i="23" s="1"/>
  <c r="G149" i="28"/>
  <c r="H149" i="28" s="1"/>
  <c r="E144" i="42"/>
  <c r="F144" i="42" s="1"/>
  <c r="D145" i="42" s="1"/>
  <c r="B145" i="42" s="1"/>
  <c r="I145" i="17"/>
  <c r="I148" i="29"/>
  <c r="H148" i="29"/>
  <c r="G147" i="30"/>
  <c r="B149" i="29"/>
  <c r="E149" i="29"/>
  <c r="F149" i="29" s="1"/>
  <c r="G144" i="41"/>
  <c r="E143" i="45"/>
  <c r="F143" i="45" s="1"/>
  <c r="G143" i="45" s="1"/>
  <c r="D145" i="20"/>
  <c r="G144" i="20"/>
  <c r="J146" i="30"/>
  <c r="I130" i="13"/>
  <c r="H130" i="13"/>
  <c r="F131" i="13"/>
  <c r="B131" i="13"/>
  <c r="E147" i="17"/>
  <c r="F147" i="17" s="1"/>
  <c r="J143" i="43"/>
  <c r="G146" i="31"/>
  <c r="J139" i="61"/>
  <c r="J143" i="42"/>
  <c r="J145" i="32"/>
  <c r="E146" i="19"/>
  <c r="F146" i="19" s="1"/>
  <c r="G146" i="19" s="1"/>
  <c r="J144" i="34"/>
  <c r="J145" i="23"/>
  <c r="J143" i="44"/>
  <c r="J146" i="24"/>
  <c r="E147" i="31"/>
  <c r="F147" i="31" s="1"/>
  <c r="D148" i="31" s="1"/>
  <c r="B148" i="31" s="1"/>
  <c r="J145" i="31"/>
  <c r="B142" i="56"/>
  <c r="F142" i="56"/>
  <c r="D147" i="32"/>
  <c r="B147" i="32" s="1"/>
  <c r="G146" i="32"/>
  <c r="D145" i="44"/>
  <c r="B145" i="44" s="1"/>
  <c r="G144" i="44"/>
  <c r="D146" i="18"/>
  <c r="B146" i="18" s="1"/>
  <c r="G145" i="18"/>
  <c r="H141" i="57"/>
  <c r="I141" i="57"/>
  <c r="I141" i="56"/>
  <c r="H141" i="56"/>
  <c r="I141" i="53"/>
  <c r="H141" i="53"/>
  <c r="G145" i="3"/>
  <c r="D146" i="3"/>
  <c r="B146" i="3" s="1"/>
  <c r="H146" i="17"/>
  <c r="I146" i="17"/>
  <c r="G140" i="60"/>
  <c r="D141" i="60"/>
  <c r="E141" i="60"/>
  <c r="F137" i="90"/>
  <c r="B137" i="90"/>
  <c r="D146" i="34"/>
  <c r="B146" i="34" s="1"/>
  <c r="G145" i="34"/>
  <c r="I134" i="98"/>
  <c r="H134" i="98"/>
  <c r="H144" i="39"/>
  <c r="I144" i="39"/>
  <c r="J139" i="60"/>
  <c r="H137" i="101"/>
  <c r="I137" i="101"/>
  <c r="F137" i="91"/>
  <c r="B137" i="91"/>
  <c r="J145" i="17"/>
  <c r="I141" i="46"/>
  <c r="H141" i="46"/>
  <c r="H141" i="54"/>
  <c r="I141" i="54"/>
  <c r="I146" i="70"/>
  <c r="H146" i="70"/>
  <c r="E138" i="86"/>
  <c r="F138" i="86" s="1"/>
  <c r="B138" i="86"/>
  <c r="H136" i="89"/>
  <c r="I136" i="89"/>
  <c r="B142" i="53"/>
  <c r="F142" i="53"/>
  <c r="E148" i="30"/>
  <c r="F148" i="30" s="1"/>
  <c r="H145" i="22"/>
  <c r="I145" i="22"/>
  <c r="I143" i="73"/>
  <c r="H143" i="73"/>
  <c r="I136" i="90"/>
  <c r="H136" i="90"/>
  <c r="E150" i="28"/>
  <c r="F150" i="28" s="1"/>
  <c r="B135" i="98"/>
  <c r="F135" i="98"/>
  <c r="F138" i="101"/>
  <c r="B138" i="101"/>
  <c r="H136" i="91"/>
  <c r="I136" i="91"/>
  <c r="I140" i="64"/>
  <c r="H140" i="64"/>
  <c r="G147" i="24"/>
  <c r="D148" i="24"/>
  <c r="B148" i="24" s="1"/>
  <c r="I137" i="81"/>
  <c r="H137" i="81"/>
  <c r="F146" i="71"/>
  <c r="B146" i="71"/>
  <c r="B142" i="54"/>
  <c r="F142" i="54"/>
  <c r="F147" i="70"/>
  <c r="B147" i="70"/>
  <c r="D136" i="95"/>
  <c r="G135" i="95"/>
  <c r="E136" i="95"/>
  <c r="I137" i="86"/>
  <c r="H137" i="86"/>
  <c r="B141" i="64"/>
  <c r="F141" i="64"/>
  <c r="D135" i="99"/>
  <c r="G134" i="99"/>
  <c r="E135" i="99"/>
  <c r="F138" i="81"/>
  <c r="B138" i="81"/>
  <c r="H145" i="71"/>
  <c r="I145" i="71"/>
  <c r="J144" i="3"/>
  <c r="H139" i="67"/>
  <c r="I139" i="67"/>
  <c r="H136" i="84"/>
  <c r="I136" i="84"/>
  <c r="B140" i="65"/>
  <c r="F140" i="65"/>
  <c r="H141" i="58"/>
  <c r="I141" i="58"/>
  <c r="I137" i="83"/>
  <c r="H137" i="83"/>
  <c r="I141" i="72"/>
  <c r="H141" i="72"/>
  <c r="B140" i="67"/>
  <c r="F140" i="67"/>
  <c r="F140" i="66"/>
  <c r="B140" i="66"/>
  <c r="B140" i="68"/>
  <c r="F140" i="68"/>
  <c r="H137" i="82"/>
  <c r="I137" i="82"/>
  <c r="I140" i="62"/>
  <c r="H140" i="62"/>
  <c r="I143" i="74"/>
  <c r="H143" i="74"/>
  <c r="F139" i="75"/>
  <c r="B139" i="75"/>
  <c r="B137" i="92"/>
  <c r="F137" i="92"/>
  <c r="B137" i="84"/>
  <c r="F137" i="84"/>
  <c r="G135" i="97"/>
  <c r="D136" i="97"/>
  <c r="E136" i="97"/>
  <c r="B139" i="77"/>
  <c r="F139" i="77"/>
  <c r="E145" i="21"/>
  <c r="F145" i="21" s="1"/>
  <c r="B142" i="72"/>
  <c r="F142" i="72"/>
  <c r="F147" i="69"/>
  <c r="B147" i="69"/>
  <c r="G140" i="61"/>
  <c r="D141" i="61"/>
  <c r="E141" i="61"/>
  <c r="I137" i="80"/>
  <c r="H137" i="80"/>
  <c r="H139" i="66"/>
  <c r="I139" i="66"/>
  <c r="H139" i="68"/>
  <c r="I139" i="68"/>
  <c r="F141" i="59"/>
  <c r="B141" i="59"/>
  <c r="H147" i="30"/>
  <c r="I147" i="30"/>
  <c r="F144" i="73"/>
  <c r="B144" i="73"/>
  <c r="I136" i="87"/>
  <c r="H136" i="87"/>
  <c r="D138" i="96"/>
  <c r="G137" i="96"/>
  <c r="E138" i="96"/>
  <c r="B137" i="87"/>
  <c r="F137" i="87"/>
  <c r="J144" i="18"/>
  <c r="B138" i="83"/>
  <c r="F138" i="83"/>
  <c r="B141" i="62"/>
  <c r="F141" i="62"/>
  <c r="B144" i="74"/>
  <c r="F144" i="74"/>
  <c r="F139" i="76"/>
  <c r="B139" i="76"/>
  <c r="H142" i="45"/>
  <c r="I142" i="45"/>
  <c r="H145" i="41"/>
  <c r="I138" i="75"/>
  <c r="H138" i="75"/>
  <c r="H136" i="92"/>
  <c r="I136" i="92"/>
  <c r="B141" i="63"/>
  <c r="F141" i="63"/>
  <c r="I146" i="31"/>
  <c r="H146" i="31"/>
  <c r="H138" i="77"/>
  <c r="I138" i="77"/>
  <c r="I136" i="88"/>
  <c r="H136" i="88"/>
  <c r="H146" i="69"/>
  <c r="I146" i="69"/>
  <c r="I138" i="79"/>
  <c r="H138" i="79"/>
  <c r="F138" i="80"/>
  <c r="B138" i="80"/>
  <c r="F138" i="85"/>
  <c r="B138" i="85"/>
  <c r="H141" i="55"/>
  <c r="I141" i="55"/>
  <c r="B142" i="57"/>
  <c r="F142" i="57"/>
  <c r="H130" i="102"/>
  <c r="I130" i="102"/>
  <c r="I140" i="59"/>
  <c r="H140" i="59"/>
  <c r="J148" i="28"/>
  <c r="B137" i="94"/>
  <c r="F137" i="94"/>
  <c r="B131" i="102"/>
  <c r="F131" i="102"/>
  <c r="I139" i="65"/>
  <c r="H139" i="65"/>
  <c r="B142" i="58"/>
  <c r="F142" i="58"/>
  <c r="H136" i="94"/>
  <c r="I136" i="94"/>
  <c r="I145" i="19"/>
  <c r="H145" i="19"/>
  <c r="F139" i="78"/>
  <c r="B139" i="78"/>
  <c r="G147" i="17"/>
  <c r="D148" i="17"/>
  <c r="B148" i="17" s="1"/>
  <c r="F138" i="82"/>
  <c r="B138" i="82"/>
  <c r="I138" i="78"/>
  <c r="H138" i="78"/>
  <c r="J143" i="39"/>
  <c r="E146" i="22"/>
  <c r="F146" i="22" s="1"/>
  <c r="H138" i="76"/>
  <c r="I138" i="76"/>
  <c r="G135" i="93"/>
  <c r="D136" i="93"/>
  <c r="E136" i="93"/>
  <c r="E145" i="39"/>
  <c r="F145" i="39" s="1"/>
  <c r="H140" i="63"/>
  <c r="I140" i="63"/>
  <c r="F137" i="88"/>
  <c r="B137" i="88"/>
  <c r="I144" i="21"/>
  <c r="H144" i="21"/>
  <c r="D145" i="43"/>
  <c r="B145" i="43" s="1"/>
  <c r="G144" i="43"/>
  <c r="F139" i="79"/>
  <c r="B139" i="79"/>
  <c r="E142" i="46"/>
  <c r="F142" i="46" s="1"/>
  <c r="I137" i="85"/>
  <c r="H137" i="85"/>
  <c r="B142" i="55"/>
  <c r="F142" i="55"/>
  <c r="F137" i="89"/>
  <c r="B137" i="89"/>
  <c r="I149" i="28" l="1"/>
  <c r="D147" i="23"/>
  <c r="B147" i="23" s="1"/>
  <c r="D147" i="19"/>
  <c r="B147" i="19" s="1"/>
  <c r="D146" i="41"/>
  <c r="B146" i="41" s="1"/>
  <c r="G147" i="31"/>
  <c r="H147" i="31" s="1"/>
  <c r="G144" i="42"/>
  <c r="I144" i="42" s="1"/>
  <c r="D148" i="27"/>
  <c r="B148" i="27" s="1"/>
  <c r="G147" i="27"/>
  <c r="E145" i="42"/>
  <c r="F145" i="42" s="1"/>
  <c r="D144" i="45"/>
  <c r="B144" i="45" s="1"/>
  <c r="I144" i="41"/>
  <c r="H144" i="41"/>
  <c r="D150" i="29"/>
  <c r="B150" i="29" s="1"/>
  <c r="G149" i="29"/>
  <c r="J148" i="29"/>
  <c r="H144" i="20"/>
  <c r="I144" i="20"/>
  <c r="B145" i="20"/>
  <c r="E145" i="20"/>
  <c r="F145" i="20" s="1"/>
  <c r="J144" i="39"/>
  <c r="J141" i="56"/>
  <c r="H144" i="42"/>
  <c r="J144" i="42" s="1"/>
  <c r="D132" i="13"/>
  <c r="E132" i="13"/>
  <c r="G131" i="13"/>
  <c r="J130" i="13"/>
  <c r="J155" i="13" s="1"/>
  <c r="J149" i="28"/>
  <c r="J142" i="45"/>
  <c r="J140" i="62"/>
  <c r="E147" i="23"/>
  <c r="F147" i="23" s="1"/>
  <c r="G147" i="23" s="1"/>
  <c r="J140" i="59"/>
  <c r="E146" i="18"/>
  <c r="F146" i="18" s="1"/>
  <c r="D147" i="18" s="1"/>
  <c r="B147" i="18" s="1"/>
  <c r="J146" i="69"/>
  <c r="J143" i="74"/>
  <c r="J138" i="76"/>
  <c r="J130" i="102"/>
  <c r="J155" i="102" s="1"/>
  <c r="E144" i="45"/>
  <c r="F144" i="45" s="1"/>
  <c r="G144" i="45" s="1"/>
  <c r="E147" i="32"/>
  <c r="F147" i="32" s="1"/>
  <c r="D148" i="32" s="1"/>
  <c r="B148" i="32" s="1"/>
  <c r="I146" i="23"/>
  <c r="H146" i="23"/>
  <c r="J145" i="19"/>
  <c r="J141" i="55"/>
  <c r="J141" i="58"/>
  <c r="J146" i="70"/>
  <c r="E146" i="34"/>
  <c r="F146" i="34" s="1"/>
  <c r="D147" i="34" s="1"/>
  <c r="B147" i="34" s="1"/>
  <c r="J146" i="17"/>
  <c r="E147" i="19"/>
  <c r="F147" i="19" s="1"/>
  <c r="D148" i="19" s="1"/>
  <c r="B148" i="19" s="1"/>
  <c r="J139" i="67"/>
  <c r="E145" i="43"/>
  <c r="F145" i="43" s="1"/>
  <c r="G145" i="43" s="1"/>
  <c r="J143" i="73"/>
  <c r="J141" i="53"/>
  <c r="J138" i="77"/>
  <c r="G138" i="86"/>
  <c r="D139" i="86"/>
  <c r="G144" i="73"/>
  <c r="D145" i="73"/>
  <c r="E145" i="73"/>
  <c r="I135" i="97"/>
  <c r="H135" i="97"/>
  <c r="D136" i="98"/>
  <c r="G135" i="98"/>
  <c r="E136" i="98"/>
  <c r="B141" i="60"/>
  <c r="F141" i="60"/>
  <c r="E145" i="44"/>
  <c r="F145" i="44" s="1"/>
  <c r="G142" i="58"/>
  <c r="D143" i="58"/>
  <c r="E143" i="58"/>
  <c r="G137" i="87"/>
  <c r="D138" i="87"/>
  <c r="E138" i="87"/>
  <c r="D148" i="69"/>
  <c r="G147" i="69"/>
  <c r="E148" i="69"/>
  <c r="D143" i="55"/>
  <c r="B143" i="55" s="1"/>
  <c r="G142" i="55"/>
  <c r="H144" i="43"/>
  <c r="I144" i="43"/>
  <c r="D146" i="39"/>
  <c r="B146" i="39" s="1"/>
  <c r="G145" i="39"/>
  <c r="G146" i="22"/>
  <c r="D147" i="22"/>
  <c r="B147" i="22" s="1"/>
  <c r="I147" i="17"/>
  <c r="H147" i="17"/>
  <c r="D140" i="76"/>
  <c r="G139" i="76"/>
  <c r="E140" i="76"/>
  <c r="J147" i="30"/>
  <c r="D143" i="72"/>
  <c r="G142" i="72"/>
  <c r="E143" i="72"/>
  <c r="E148" i="31"/>
  <c r="F148" i="31" s="1"/>
  <c r="D140" i="75"/>
  <c r="G139" i="75"/>
  <c r="E140" i="75"/>
  <c r="J140" i="64"/>
  <c r="G148" i="30"/>
  <c r="D149" i="30"/>
  <c r="B149" i="30" s="1"/>
  <c r="D138" i="91"/>
  <c r="G137" i="91"/>
  <c r="E138" i="91"/>
  <c r="H140" i="60"/>
  <c r="I140" i="60"/>
  <c r="I144" i="44"/>
  <c r="H144" i="44"/>
  <c r="G140" i="65"/>
  <c r="D141" i="65"/>
  <c r="E141" i="65"/>
  <c r="G138" i="81"/>
  <c r="D139" i="81"/>
  <c r="E139" i="81"/>
  <c r="G146" i="71"/>
  <c r="D147" i="71"/>
  <c r="E147" i="71"/>
  <c r="G150" i="28"/>
  <c r="D151" i="28"/>
  <c r="B151" i="28" s="1"/>
  <c r="D143" i="53"/>
  <c r="B143" i="53" s="1"/>
  <c r="G142" i="53"/>
  <c r="J141" i="54"/>
  <c r="H145" i="34"/>
  <c r="I145" i="34"/>
  <c r="J141" i="57"/>
  <c r="B136" i="93"/>
  <c r="F136" i="93"/>
  <c r="D140" i="78"/>
  <c r="G139" i="78"/>
  <c r="E140" i="78"/>
  <c r="J138" i="78"/>
  <c r="D132" i="102"/>
  <c r="G131" i="102"/>
  <c r="E132" i="102"/>
  <c r="F138" i="96"/>
  <c r="B138" i="96"/>
  <c r="D142" i="59"/>
  <c r="G141" i="59"/>
  <c r="E142" i="59"/>
  <c r="B141" i="61"/>
  <c r="F141" i="61"/>
  <c r="G139" i="77"/>
  <c r="D140" i="77"/>
  <c r="E140" i="77"/>
  <c r="D138" i="84"/>
  <c r="G137" i="84"/>
  <c r="E138" i="84"/>
  <c r="I134" i="99"/>
  <c r="H134" i="99"/>
  <c r="B136" i="95"/>
  <c r="F136" i="95"/>
  <c r="E146" i="3"/>
  <c r="F146" i="3" s="1"/>
  <c r="H146" i="32"/>
  <c r="I146" i="32"/>
  <c r="D143" i="57"/>
  <c r="B143" i="57" s="1"/>
  <c r="G142" i="57"/>
  <c r="I146" i="19"/>
  <c r="H146" i="19"/>
  <c r="J138" i="75"/>
  <c r="I137" i="96"/>
  <c r="H137" i="96"/>
  <c r="J138" i="79"/>
  <c r="J146" i="31"/>
  <c r="J145" i="41"/>
  <c r="J139" i="68"/>
  <c r="I140" i="61"/>
  <c r="H140" i="61"/>
  <c r="J141" i="72"/>
  <c r="F135" i="99"/>
  <c r="B135" i="99"/>
  <c r="E148" i="24"/>
  <c r="F148" i="24" s="1"/>
  <c r="G138" i="101"/>
  <c r="D139" i="101"/>
  <c r="E139" i="101"/>
  <c r="G146" i="18"/>
  <c r="J139" i="65"/>
  <c r="G138" i="80"/>
  <c r="D139" i="80"/>
  <c r="E139" i="80"/>
  <c r="D146" i="21"/>
  <c r="B146" i="21" s="1"/>
  <c r="G145" i="21"/>
  <c r="I135" i="95"/>
  <c r="H135" i="95"/>
  <c r="D138" i="88"/>
  <c r="G137" i="88"/>
  <c r="E138" i="88"/>
  <c r="G138" i="82"/>
  <c r="D139" i="82"/>
  <c r="E139" i="82"/>
  <c r="D138" i="94"/>
  <c r="G137" i="94"/>
  <c r="E138" i="94"/>
  <c r="D142" i="62"/>
  <c r="G141" i="62"/>
  <c r="E142" i="62"/>
  <c r="D138" i="92"/>
  <c r="G137" i="92"/>
  <c r="E138" i="92"/>
  <c r="I143" i="45"/>
  <c r="H143" i="45"/>
  <c r="D141" i="66"/>
  <c r="G140" i="66"/>
  <c r="E141" i="66"/>
  <c r="D142" i="64"/>
  <c r="B142" i="64" s="1"/>
  <c r="G141" i="64"/>
  <c r="G147" i="70"/>
  <c r="D148" i="70"/>
  <c r="E148" i="70"/>
  <c r="J141" i="46"/>
  <c r="G137" i="90"/>
  <c r="D138" i="90"/>
  <c r="E138" i="90"/>
  <c r="H145" i="3"/>
  <c r="I145" i="3"/>
  <c r="I145" i="18"/>
  <c r="H145" i="18"/>
  <c r="D143" i="56"/>
  <c r="B143" i="56" s="1"/>
  <c r="G142" i="56"/>
  <c r="D138" i="89"/>
  <c r="G137" i="89"/>
  <c r="E138" i="89"/>
  <c r="G138" i="83"/>
  <c r="D139" i="83"/>
  <c r="E139" i="83"/>
  <c r="D141" i="68"/>
  <c r="G140" i="68"/>
  <c r="E141" i="68"/>
  <c r="J144" i="21"/>
  <c r="I135" i="93"/>
  <c r="H135" i="93"/>
  <c r="D145" i="74"/>
  <c r="G144" i="74"/>
  <c r="E145" i="74"/>
  <c r="D143" i="46"/>
  <c r="B143" i="46" s="1"/>
  <c r="G142" i="46"/>
  <c r="D142" i="63"/>
  <c r="G141" i="63"/>
  <c r="E142" i="63"/>
  <c r="G139" i="79"/>
  <c r="D140" i="79"/>
  <c r="E140" i="79"/>
  <c r="J140" i="63"/>
  <c r="E148" i="17"/>
  <c r="F148" i="17" s="1"/>
  <c r="G138" i="85"/>
  <c r="D139" i="85"/>
  <c r="E139" i="85"/>
  <c r="J139" i="66"/>
  <c r="B136" i="97"/>
  <c r="F136" i="97"/>
  <c r="G140" i="67"/>
  <c r="D141" i="67"/>
  <c r="E141" i="67"/>
  <c r="J145" i="71"/>
  <c r="G142" i="54"/>
  <c r="D143" i="54"/>
  <c r="B143" i="54" s="1"/>
  <c r="H147" i="24"/>
  <c r="I147" i="24"/>
  <c r="J145" i="22"/>
  <c r="E146" i="41" l="1"/>
  <c r="F146" i="41" s="1"/>
  <c r="D147" i="41" s="1"/>
  <c r="B147" i="41" s="1"/>
  <c r="I147" i="31"/>
  <c r="E147" i="41"/>
  <c r="F147" i="41" s="1"/>
  <c r="G146" i="41"/>
  <c r="H146" i="41" s="1"/>
  <c r="E148" i="27"/>
  <c r="F148" i="27" s="1"/>
  <c r="D149" i="27" s="1"/>
  <c r="B149" i="27" s="1"/>
  <c r="G148" i="27"/>
  <c r="I147" i="27"/>
  <c r="H147" i="27"/>
  <c r="D146" i="42"/>
  <c r="G145" i="42"/>
  <c r="J144" i="41"/>
  <c r="H149" i="29"/>
  <c r="I149" i="29"/>
  <c r="J149" i="29" s="1"/>
  <c r="G147" i="32"/>
  <c r="J144" i="20"/>
  <c r="E150" i="29"/>
  <c r="F150" i="29" s="1"/>
  <c r="J147" i="24"/>
  <c r="D145" i="45"/>
  <c r="B145" i="45" s="1"/>
  <c r="D146" i="43"/>
  <c r="B146" i="43" s="1"/>
  <c r="D148" i="23"/>
  <c r="B148" i="23" s="1"/>
  <c r="D146" i="20"/>
  <c r="B146" i="20" s="1"/>
  <c r="G145" i="20"/>
  <c r="E143" i="57"/>
  <c r="F143" i="57" s="1"/>
  <c r="D144" i="57" s="1"/>
  <c r="B144" i="57" s="1"/>
  <c r="J140" i="61"/>
  <c r="H131" i="13"/>
  <c r="I131" i="13"/>
  <c r="B132" i="13"/>
  <c r="F132" i="13"/>
  <c r="J143" i="45"/>
  <c r="E149" i="30"/>
  <c r="F149" i="30" s="1"/>
  <c r="D150" i="30" s="1"/>
  <c r="B150" i="30" s="1"/>
  <c r="J145" i="18"/>
  <c r="G147" i="19"/>
  <c r="H147" i="19" s="1"/>
  <c r="J147" i="31"/>
  <c r="E147" i="34"/>
  <c r="F147" i="34" s="1"/>
  <c r="E142" i="64"/>
  <c r="F142" i="64" s="1"/>
  <c r="D143" i="64" s="1"/>
  <c r="B143" i="64" s="1"/>
  <c r="G146" i="34"/>
  <c r="H146" i="34" s="1"/>
  <c r="J145" i="34"/>
  <c r="E151" i="28"/>
  <c r="F151" i="28" s="1"/>
  <c r="G151" i="28" s="1"/>
  <c r="H147" i="23"/>
  <c r="I147" i="23"/>
  <c r="J146" i="23"/>
  <c r="H140" i="68"/>
  <c r="I140" i="68"/>
  <c r="H137" i="89"/>
  <c r="I137" i="89"/>
  <c r="B141" i="66"/>
  <c r="F141" i="66"/>
  <c r="B142" i="62"/>
  <c r="F142" i="62"/>
  <c r="H137" i="88"/>
  <c r="I137" i="88"/>
  <c r="H142" i="53"/>
  <c r="I142" i="53"/>
  <c r="H137" i="91"/>
  <c r="I137" i="91"/>
  <c r="B143" i="72"/>
  <c r="F143" i="72"/>
  <c r="I142" i="55"/>
  <c r="H142" i="55"/>
  <c r="F138" i="87"/>
  <c r="B138" i="87"/>
  <c r="B136" i="98"/>
  <c r="F136" i="98"/>
  <c r="F140" i="79"/>
  <c r="B140" i="79"/>
  <c r="F141" i="68"/>
  <c r="B141" i="68"/>
  <c r="F138" i="89"/>
  <c r="B138" i="89"/>
  <c r="H141" i="64"/>
  <c r="I141" i="64"/>
  <c r="B138" i="88"/>
  <c r="F138" i="88"/>
  <c r="F139" i="101"/>
  <c r="B139" i="101"/>
  <c r="J146" i="32"/>
  <c r="B140" i="77"/>
  <c r="F140" i="77"/>
  <c r="G138" i="96"/>
  <c r="D139" i="96"/>
  <c r="E139" i="96"/>
  <c r="I139" i="78"/>
  <c r="H139" i="78"/>
  <c r="F139" i="81"/>
  <c r="B139" i="81"/>
  <c r="B138" i="91"/>
  <c r="F138" i="91"/>
  <c r="H146" i="22"/>
  <c r="I146" i="22"/>
  <c r="I137" i="87"/>
  <c r="H137" i="87"/>
  <c r="F139" i="85"/>
  <c r="B139" i="85"/>
  <c r="I142" i="56"/>
  <c r="H142" i="56"/>
  <c r="I142" i="54"/>
  <c r="H142" i="54"/>
  <c r="H139" i="79"/>
  <c r="I139" i="79"/>
  <c r="I144" i="74"/>
  <c r="H144" i="74"/>
  <c r="E143" i="56"/>
  <c r="F143" i="56" s="1"/>
  <c r="B138" i="90"/>
  <c r="F138" i="90"/>
  <c r="H137" i="94"/>
  <c r="I137" i="94"/>
  <c r="F139" i="80"/>
  <c r="B139" i="80"/>
  <c r="H138" i="101"/>
  <c r="I138" i="101"/>
  <c r="I139" i="77"/>
  <c r="H139" i="77"/>
  <c r="F140" i="78"/>
  <c r="B140" i="78"/>
  <c r="I138" i="81"/>
  <c r="H138" i="81"/>
  <c r="E146" i="39"/>
  <c r="F146" i="39" s="1"/>
  <c r="E148" i="19"/>
  <c r="F148" i="19" s="1"/>
  <c r="H145" i="43"/>
  <c r="I145" i="43"/>
  <c r="I131" i="102"/>
  <c r="H131" i="102"/>
  <c r="G136" i="93"/>
  <c r="D137" i="93"/>
  <c r="E137" i="93"/>
  <c r="J144" i="44"/>
  <c r="H139" i="75"/>
  <c r="I139" i="75"/>
  <c r="H139" i="76"/>
  <c r="I139" i="76"/>
  <c r="I145" i="39"/>
  <c r="H145" i="39"/>
  <c r="D146" i="44"/>
  <c r="B146" i="44" s="1"/>
  <c r="G145" i="44"/>
  <c r="H137" i="92"/>
  <c r="I137" i="92"/>
  <c r="F132" i="102"/>
  <c r="B132" i="102"/>
  <c r="D148" i="34"/>
  <c r="B148" i="34" s="1"/>
  <c r="G147" i="34"/>
  <c r="I150" i="28"/>
  <c r="H150" i="28"/>
  <c r="I148" i="30"/>
  <c r="H148" i="30"/>
  <c r="B140" i="75"/>
  <c r="F140" i="75"/>
  <c r="F140" i="76"/>
  <c r="B140" i="76"/>
  <c r="D142" i="60"/>
  <c r="G141" i="60"/>
  <c r="E142" i="60"/>
  <c r="B145" i="73"/>
  <c r="F145" i="73"/>
  <c r="B145" i="74"/>
  <c r="F145" i="74"/>
  <c r="H137" i="90"/>
  <c r="I137" i="90"/>
  <c r="I138" i="80"/>
  <c r="H138" i="80"/>
  <c r="D147" i="3"/>
  <c r="B147" i="3" s="1"/>
  <c r="G146" i="3"/>
  <c r="F141" i="67"/>
  <c r="B141" i="67"/>
  <c r="I141" i="63"/>
  <c r="H141" i="63"/>
  <c r="B142" i="63"/>
  <c r="F142" i="63"/>
  <c r="B139" i="83"/>
  <c r="F139" i="83"/>
  <c r="B138" i="92"/>
  <c r="F138" i="92"/>
  <c r="F139" i="82"/>
  <c r="B139" i="82"/>
  <c r="E147" i="18"/>
  <c r="F147" i="18" s="1"/>
  <c r="G135" i="99"/>
  <c r="D136" i="99"/>
  <c r="E136" i="99"/>
  <c r="J146" i="19"/>
  <c r="E148" i="32"/>
  <c r="F148" i="32" s="1"/>
  <c r="I146" i="34"/>
  <c r="J140" i="60"/>
  <c r="D149" i="31"/>
  <c r="B149" i="31" s="1"/>
  <c r="G148" i="31"/>
  <c r="J144" i="43"/>
  <c r="H147" i="69"/>
  <c r="I147" i="69"/>
  <c r="H144" i="73"/>
  <c r="I144" i="73"/>
  <c r="B138" i="94"/>
  <c r="F138" i="94"/>
  <c r="D149" i="24"/>
  <c r="B149" i="24" s="1"/>
  <c r="G148" i="24"/>
  <c r="G141" i="61"/>
  <c r="D142" i="61"/>
  <c r="E142" i="61"/>
  <c r="H140" i="67"/>
  <c r="I140" i="67"/>
  <c r="I138" i="83"/>
  <c r="H138" i="83"/>
  <c r="F148" i="70"/>
  <c r="B148" i="70"/>
  <c r="D137" i="95"/>
  <c r="G136" i="95"/>
  <c r="E137" i="95"/>
  <c r="H137" i="84"/>
  <c r="I137" i="84"/>
  <c r="H141" i="59"/>
  <c r="I141" i="59"/>
  <c r="F147" i="71"/>
  <c r="B147" i="71"/>
  <c r="B141" i="65"/>
  <c r="F141" i="65"/>
  <c r="J147" i="17"/>
  <c r="F148" i="69"/>
  <c r="B148" i="69"/>
  <c r="F143" i="58"/>
  <c r="B143" i="58"/>
  <c r="E139" i="86"/>
  <c r="F139" i="86" s="1"/>
  <c r="B139" i="86"/>
  <c r="I144" i="45"/>
  <c r="H144" i="45"/>
  <c r="H138" i="85"/>
  <c r="I138" i="85"/>
  <c r="D149" i="17"/>
  <c r="B149" i="17" s="1"/>
  <c r="G148" i="17"/>
  <c r="E143" i="46"/>
  <c r="F143" i="46" s="1"/>
  <c r="I138" i="82"/>
  <c r="H138" i="82"/>
  <c r="E146" i="21"/>
  <c r="F146" i="21" s="1"/>
  <c r="E143" i="54"/>
  <c r="F143" i="54" s="1"/>
  <c r="G136" i="97"/>
  <c r="D137" i="97"/>
  <c r="E137" i="97"/>
  <c r="H142" i="46"/>
  <c r="I142" i="46"/>
  <c r="J145" i="3"/>
  <c r="H147" i="70"/>
  <c r="I147" i="70"/>
  <c r="I140" i="66"/>
  <c r="H140" i="66"/>
  <c r="H141" i="62"/>
  <c r="I141" i="62"/>
  <c r="I145" i="21"/>
  <c r="H145" i="21"/>
  <c r="I146" i="18"/>
  <c r="H146" i="18"/>
  <c r="I142" i="57"/>
  <c r="H142" i="57"/>
  <c r="F138" i="84"/>
  <c r="B138" i="84"/>
  <c r="B142" i="59"/>
  <c r="F142" i="59"/>
  <c r="H147" i="32"/>
  <c r="I147" i="32"/>
  <c r="E143" i="53"/>
  <c r="F143" i="53" s="1"/>
  <c r="I146" i="71"/>
  <c r="H146" i="71"/>
  <c r="I140" i="65"/>
  <c r="H140" i="65"/>
  <c r="I142" i="72"/>
  <c r="H142" i="72"/>
  <c r="E147" i="22"/>
  <c r="F147" i="22" s="1"/>
  <c r="E143" i="55"/>
  <c r="F143" i="55" s="1"/>
  <c r="H142" i="58"/>
  <c r="I142" i="58"/>
  <c r="I135" i="98"/>
  <c r="H135" i="98"/>
  <c r="I138" i="86"/>
  <c r="H138" i="86"/>
  <c r="I146" i="41" l="1"/>
  <c r="J146" i="41" s="1"/>
  <c r="D148" i="41"/>
  <c r="G147" i="41"/>
  <c r="J147" i="27"/>
  <c r="E149" i="27"/>
  <c r="F149" i="27" s="1"/>
  <c r="H148" i="27"/>
  <c r="I148" i="27"/>
  <c r="J148" i="27" s="1"/>
  <c r="G142" i="64"/>
  <c r="H142" i="64" s="1"/>
  <c r="I145" i="42"/>
  <c r="H145" i="42"/>
  <c r="E146" i="20"/>
  <c r="F146" i="20" s="1"/>
  <c r="B146" i="42"/>
  <c r="E146" i="42"/>
  <c r="F146" i="42" s="1"/>
  <c r="E145" i="45"/>
  <c r="F145" i="45" s="1"/>
  <c r="G145" i="45" s="1"/>
  <c r="G149" i="30"/>
  <c r="I149" i="30" s="1"/>
  <c r="E148" i="23"/>
  <c r="F148" i="23" s="1"/>
  <c r="D149" i="23" s="1"/>
  <c r="B149" i="23" s="1"/>
  <c r="G150" i="29"/>
  <c r="D151" i="29"/>
  <c r="B151" i="29" s="1"/>
  <c r="I147" i="19"/>
  <c r="J147" i="19" s="1"/>
  <c r="D147" i="20"/>
  <c r="B147" i="20" s="1"/>
  <c r="G146" i="20"/>
  <c r="I145" i="20"/>
  <c r="H145" i="20"/>
  <c r="G143" i="57"/>
  <c r="H143" i="57" s="1"/>
  <c r="J147" i="32"/>
  <c r="J147" i="70"/>
  <c r="D152" i="28"/>
  <c r="B152" i="28" s="1"/>
  <c r="E146" i="43"/>
  <c r="F146" i="43" s="1"/>
  <c r="E150" i="30"/>
  <c r="F150" i="30" s="1"/>
  <c r="D133" i="13"/>
  <c r="E133" i="13"/>
  <c r="G132" i="13"/>
  <c r="J141" i="63"/>
  <c r="J146" i="71"/>
  <c r="J146" i="22"/>
  <c r="J150" i="28"/>
  <c r="E148" i="34"/>
  <c r="F148" i="34" s="1"/>
  <c r="G148" i="34" s="1"/>
  <c r="J142" i="58"/>
  <c r="J142" i="46"/>
  <c r="E149" i="31"/>
  <c r="F149" i="31" s="1"/>
  <c r="D150" i="31" s="1"/>
  <c r="B150" i="31" s="1"/>
  <c r="J140" i="68"/>
  <c r="J142" i="57"/>
  <c r="J140" i="67"/>
  <c r="J140" i="66"/>
  <c r="J142" i="56"/>
  <c r="J141" i="64"/>
  <c r="J147" i="23"/>
  <c r="J148" i="30"/>
  <c r="J142" i="72"/>
  <c r="J141" i="62"/>
  <c r="J144" i="45"/>
  <c r="J147" i="69"/>
  <c r="J139" i="77"/>
  <c r="J144" i="74"/>
  <c r="J139" i="79"/>
  <c r="D141" i="77"/>
  <c r="G140" i="77"/>
  <c r="E141" i="77"/>
  <c r="D137" i="98"/>
  <c r="G136" i="98"/>
  <c r="E137" i="98"/>
  <c r="J142" i="55"/>
  <c r="G142" i="59"/>
  <c r="D143" i="59"/>
  <c r="B143" i="59" s="1"/>
  <c r="D144" i="54"/>
  <c r="B144" i="54" s="1"/>
  <c r="G143" i="54"/>
  <c r="E149" i="17"/>
  <c r="F149" i="17" s="1"/>
  <c r="H141" i="61"/>
  <c r="I141" i="61"/>
  <c r="D148" i="18"/>
  <c r="B148" i="18" s="1"/>
  <c r="G147" i="18"/>
  <c r="G140" i="78"/>
  <c r="D141" i="78"/>
  <c r="E141" i="78"/>
  <c r="J146" i="18"/>
  <c r="G146" i="21"/>
  <c r="D147" i="21"/>
  <c r="B147" i="21" s="1"/>
  <c r="I148" i="17"/>
  <c r="H148" i="17"/>
  <c r="G148" i="70"/>
  <c r="D149" i="70"/>
  <c r="E149" i="70"/>
  <c r="E149" i="24"/>
  <c r="F149" i="24" s="1"/>
  <c r="G148" i="32"/>
  <c r="D149" i="32"/>
  <c r="B149" i="32" s="1"/>
  <c r="H141" i="60"/>
  <c r="I141" i="60"/>
  <c r="D149" i="19"/>
  <c r="B149" i="19" s="1"/>
  <c r="G148" i="19"/>
  <c r="G139" i="80"/>
  <c r="D140" i="80"/>
  <c r="E140" i="80"/>
  <c r="D144" i="72"/>
  <c r="G143" i="72"/>
  <c r="E144" i="72"/>
  <c r="D140" i="85"/>
  <c r="G139" i="85"/>
  <c r="E140" i="85"/>
  <c r="G139" i="81"/>
  <c r="D140" i="81"/>
  <c r="E140" i="81"/>
  <c r="D143" i="62"/>
  <c r="B143" i="62" s="1"/>
  <c r="G142" i="62"/>
  <c r="G141" i="65"/>
  <c r="D142" i="65"/>
  <c r="B142" i="65" s="1"/>
  <c r="G139" i="82"/>
  <c r="D140" i="82"/>
  <c r="E140" i="82"/>
  <c r="G138" i="92"/>
  <c r="D139" i="92"/>
  <c r="E139" i="92"/>
  <c r="B137" i="93"/>
  <c r="F137" i="93"/>
  <c r="D147" i="39"/>
  <c r="B147" i="39" s="1"/>
  <c r="G146" i="39"/>
  <c r="D139" i="89"/>
  <c r="G138" i="89"/>
  <c r="E139" i="89"/>
  <c r="G143" i="58"/>
  <c r="D144" i="58"/>
  <c r="B144" i="58" s="1"/>
  <c r="G143" i="46"/>
  <c r="D144" i="46"/>
  <c r="B144" i="46" s="1"/>
  <c r="F137" i="95"/>
  <c r="B137" i="95"/>
  <c r="G138" i="94"/>
  <c r="D139" i="94"/>
  <c r="E139" i="94"/>
  <c r="I148" i="31"/>
  <c r="H148" i="31"/>
  <c r="G141" i="67"/>
  <c r="D142" i="67"/>
  <c r="E142" i="67"/>
  <c r="D146" i="74"/>
  <c r="B146" i="74" s="1"/>
  <c r="G145" i="74"/>
  <c r="D141" i="76"/>
  <c r="G140" i="76"/>
  <c r="E141" i="76"/>
  <c r="H147" i="34"/>
  <c r="I147" i="34"/>
  <c r="J145" i="39"/>
  <c r="I136" i="93"/>
  <c r="H136" i="93"/>
  <c r="D151" i="30"/>
  <c r="B151" i="30" s="1"/>
  <c r="G150" i="30"/>
  <c r="J139" i="78"/>
  <c r="D142" i="66"/>
  <c r="G141" i="66"/>
  <c r="E142" i="66"/>
  <c r="H148" i="24"/>
  <c r="I148" i="24"/>
  <c r="I136" i="95"/>
  <c r="H136" i="95"/>
  <c r="G147" i="22"/>
  <c r="D148" i="22"/>
  <c r="B148" i="22" s="1"/>
  <c r="G138" i="84"/>
  <c r="D139" i="84"/>
  <c r="E139" i="84"/>
  <c r="D149" i="69"/>
  <c r="G148" i="69"/>
  <c r="E149" i="69"/>
  <c r="G147" i="71"/>
  <c r="D148" i="71"/>
  <c r="E148" i="71"/>
  <c r="E144" i="57"/>
  <c r="F144" i="57" s="1"/>
  <c r="D140" i="83"/>
  <c r="G139" i="83"/>
  <c r="E140" i="83"/>
  <c r="E147" i="3"/>
  <c r="F147" i="3" s="1"/>
  <c r="G140" i="75"/>
  <c r="D141" i="75"/>
  <c r="E141" i="75"/>
  <c r="J139" i="76"/>
  <c r="G138" i="90"/>
  <c r="D139" i="90"/>
  <c r="E139" i="90"/>
  <c r="G139" i="101"/>
  <c r="D140" i="101"/>
  <c r="E140" i="101"/>
  <c r="G141" i="68"/>
  <c r="D142" i="68"/>
  <c r="E142" i="68"/>
  <c r="G143" i="55"/>
  <c r="D144" i="55"/>
  <c r="B144" i="55" s="1"/>
  <c r="J140" i="65"/>
  <c r="F137" i="97"/>
  <c r="B137" i="97"/>
  <c r="J141" i="59"/>
  <c r="J144" i="73"/>
  <c r="B136" i="99"/>
  <c r="F136" i="99"/>
  <c r="H146" i="3"/>
  <c r="I146" i="3"/>
  <c r="G145" i="73"/>
  <c r="D146" i="73"/>
  <c r="E146" i="73"/>
  <c r="E146" i="44"/>
  <c r="F146" i="44" s="1"/>
  <c r="I151" i="28"/>
  <c r="H151" i="28"/>
  <c r="J142" i="54"/>
  <c r="B139" i="96"/>
  <c r="F139" i="96"/>
  <c r="G138" i="88"/>
  <c r="D139" i="88"/>
  <c r="E139" i="88"/>
  <c r="D139" i="87"/>
  <c r="G138" i="87"/>
  <c r="E139" i="87"/>
  <c r="J142" i="53"/>
  <c r="E143" i="64"/>
  <c r="F143" i="64" s="1"/>
  <c r="B142" i="60"/>
  <c r="F142" i="60"/>
  <c r="J145" i="21"/>
  <c r="G143" i="53"/>
  <c r="D144" i="53"/>
  <c r="B144" i="53" s="1"/>
  <c r="H136" i="97"/>
  <c r="I136" i="97"/>
  <c r="G139" i="86"/>
  <c r="D140" i="86"/>
  <c r="F142" i="61"/>
  <c r="B142" i="61"/>
  <c r="J146" i="34"/>
  <c r="H135" i="99"/>
  <c r="I135" i="99"/>
  <c r="D143" i="63"/>
  <c r="B143" i="63" s="1"/>
  <c r="G142" i="63"/>
  <c r="D133" i="102"/>
  <c r="G132" i="102"/>
  <c r="E133" i="102"/>
  <c r="H145" i="44"/>
  <c r="I145" i="44"/>
  <c r="J139" i="75"/>
  <c r="J145" i="43"/>
  <c r="G143" i="56"/>
  <c r="D144" i="56"/>
  <c r="B144" i="56" s="1"/>
  <c r="D139" i="91"/>
  <c r="G138" i="91"/>
  <c r="E139" i="91"/>
  <c r="H138" i="96"/>
  <c r="I138" i="96"/>
  <c r="G140" i="79"/>
  <c r="D141" i="79"/>
  <c r="E141" i="79"/>
  <c r="H147" i="41" l="1"/>
  <c r="I147" i="41"/>
  <c r="J147" i="41" s="1"/>
  <c r="B148" i="41"/>
  <c r="E148" i="41"/>
  <c r="F148" i="41" s="1"/>
  <c r="J141" i="60"/>
  <c r="I142" i="64"/>
  <c r="J142" i="64" s="1"/>
  <c r="H149" i="30"/>
  <c r="J149" i="30" s="1"/>
  <c r="D150" i="27"/>
  <c r="B150" i="27" s="1"/>
  <c r="G149" i="27"/>
  <c r="D146" i="45"/>
  <c r="B146" i="45" s="1"/>
  <c r="G146" i="42"/>
  <c r="D147" i="42"/>
  <c r="J145" i="42"/>
  <c r="E152" i="28"/>
  <c r="F152" i="28" s="1"/>
  <c r="G152" i="28" s="1"/>
  <c r="I152" i="28" s="1"/>
  <c r="G148" i="23"/>
  <c r="I148" i="23" s="1"/>
  <c r="I150" i="29"/>
  <c r="H150" i="29"/>
  <c r="E147" i="20"/>
  <c r="F147" i="20" s="1"/>
  <c r="D148" i="20" s="1"/>
  <c r="E151" i="29"/>
  <c r="F151" i="29" s="1"/>
  <c r="I143" i="57"/>
  <c r="J143" i="57" s="1"/>
  <c r="E144" i="46"/>
  <c r="F144" i="46" s="1"/>
  <c r="E144" i="55"/>
  <c r="F144" i="55" s="1"/>
  <c r="D145" i="55" s="1"/>
  <c r="B145" i="55" s="1"/>
  <c r="J145" i="20"/>
  <c r="G146" i="43"/>
  <c r="D147" i="43"/>
  <c r="B147" i="43" s="1"/>
  <c r="H146" i="20"/>
  <c r="I146" i="20"/>
  <c r="G149" i="31"/>
  <c r="I149" i="31" s="1"/>
  <c r="J147" i="34"/>
  <c r="H132" i="13"/>
  <c r="I132" i="13"/>
  <c r="B133" i="13"/>
  <c r="F133" i="13"/>
  <c r="E143" i="62"/>
  <c r="F143" i="62" s="1"/>
  <c r="D144" i="62" s="1"/>
  <c r="B144" i="62" s="1"/>
  <c r="D149" i="34"/>
  <c r="B149" i="34" s="1"/>
  <c r="E142" i="65"/>
  <c r="F142" i="65" s="1"/>
  <c r="G142" i="65" s="1"/>
  <c r="E149" i="23"/>
  <c r="F149" i="23" s="1"/>
  <c r="D150" i="23" s="1"/>
  <c r="B150" i="23" s="1"/>
  <c r="E143" i="63"/>
  <c r="F143" i="63" s="1"/>
  <c r="G143" i="63" s="1"/>
  <c r="J146" i="3"/>
  <c r="E147" i="21"/>
  <c r="F147" i="21" s="1"/>
  <c r="D148" i="21" s="1"/>
  <c r="B148" i="21" s="1"/>
  <c r="E147" i="39"/>
  <c r="F147" i="39" s="1"/>
  <c r="G147" i="39" s="1"/>
  <c r="E143" i="59"/>
  <c r="F143" i="59" s="1"/>
  <c r="G143" i="59" s="1"/>
  <c r="F141" i="79"/>
  <c r="B141" i="79"/>
  <c r="I139" i="86"/>
  <c r="H139" i="86"/>
  <c r="I140" i="79"/>
  <c r="H140" i="79"/>
  <c r="H143" i="56"/>
  <c r="I143" i="56"/>
  <c r="G142" i="60"/>
  <c r="D143" i="60"/>
  <c r="B143" i="60" s="1"/>
  <c r="F139" i="87"/>
  <c r="B139" i="87"/>
  <c r="J151" i="28"/>
  <c r="D138" i="97"/>
  <c r="G137" i="97"/>
  <c r="E138" i="97"/>
  <c r="H138" i="90"/>
  <c r="I138" i="90"/>
  <c r="B140" i="83"/>
  <c r="F140" i="83"/>
  <c r="E146" i="74"/>
  <c r="F146" i="74" s="1"/>
  <c r="E144" i="58"/>
  <c r="F144" i="58" s="1"/>
  <c r="E150" i="31"/>
  <c r="F150" i="31" s="1"/>
  <c r="H141" i="65"/>
  <c r="I141" i="65"/>
  <c r="F140" i="81"/>
  <c r="B140" i="81"/>
  <c r="E148" i="18"/>
  <c r="F148" i="18" s="1"/>
  <c r="E144" i="54"/>
  <c r="F144" i="54" s="1"/>
  <c r="H141" i="68"/>
  <c r="I141" i="68"/>
  <c r="H132" i="102"/>
  <c r="I132" i="102"/>
  <c r="D137" i="99"/>
  <c r="G136" i="99"/>
  <c r="E137" i="99"/>
  <c r="B142" i="68"/>
  <c r="F142" i="68"/>
  <c r="D145" i="57"/>
  <c r="B145" i="57" s="1"/>
  <c r="G144" i="57"/>
  <c r="J148" i="24"/>
  <c r="I145" i="74"/>
  <c r="H145" i="74"/>
  <c r="B139" i="94"/>
  <c r="F139" i="94"/>
  <c r="I139" i="81"/>
  <c r="H139" i="81"/>
  <c r="F140" i="80"/>
  <c r="B140" i="80"/>
  <c r="F149" i="70"/>
  <c r="B149" i="70"/>
  <c r="H147" i="18"/>
  <c r="I147" i="18"/>
  <c r="I143" i="54"/>
  <c r="H143" i="54"/>
  <c r="F139" i="84"/>
  <c r="B139" i="84"/>
  <c r="I138" i="94"/>
  <c r="H138" i="94"/>
  <c r="H143" i="58"/>
  <c r="I143" i="58"/>
  <c r="I142" i="62"/>
  <c r="H142" i="62"/>
  <c r="H139" i="80"/>
  <c r="I139" i="80"/>
  <c r="I148" i="70"/>
  <c r="H148" i="70"/>
  <c r="F141" i="75"/>
  <c r="B141" i="75"/>
  <c r="B148" i="71"/>
  <c r="F148" i="71"/>
  <c r="I138" i="84"/>
  <c r="H138" i="84"/>
  <c r="H145" i="45"/>
  <c r="I145" i="45"/>
  <c r="I148" i="34"/>
  <c r="H148" i="34"/>
  <c r="I139" i="85"/>
  <c r="H139" i="85"/>
  <c r="E149" i="19"/>
  <c r="F149" i="19" s="1"/>
  <c r="J148" i="17"/>
  <c r="J141" i="61"/>
  <c r="I136" i="98"/>
  <c r="H136" i="98"/>
  <c r="G142" i="61"/>
  <c r="D143" i="61"/>
  <c r="B143" i="61" s="1"/>
  <c r="H138" i="88"/>
  <c r="I138" i="88"/>
  <c r="G146" i="44"/>
  <c r="D147" i="44"/>
  <c r="B147" i="44" s="1"/>
  <c r="I138" i="91"/>
  <c r="H138" i="91"/>
  <c r="H142" i="63"/>
  <c r="I142" i="63"/>
  <c r="E144" i="53"/>
  <c r="F144" i="53" s="1"/>
  <c r="D144" i="64"/>
  <c r="B144" i="64" s="1"/>
  <c r="G143" i="64"/>
  <c r="D140" i="96"/>
  <c r="G139" i="96"/>
  <c r="E140" i="96"/>
  <c r="H143" i="55"/>
  <c r="I143" i="55"/>
  <c r="F140" i="101"/>
  <c r="B140" i="101"/>
  <c r="H140" i="75"/>
  <c r="I140" i="75"/>
  <c r="I147" i="71"/>
  <c r="H147" i="71"/>
  <c r="E148" i="22"/>
  <c r="F148" i="22" s="1"/>
  <c r="I141" i="66"/>
  <c r="H141" i="66"/>
  <c r="B142" i="67"/>
  <c r="F142" i="67"/>
  <c r="G137" i="95"/>
  <c r="D138" i="95"/>
  <c r="E138" i="95"/>
  <c r="H138" i="89"/>
  <c r="I138" i="89"/>
  <c r="F140" i="82"/>
  <c r="B140" i="82"/>
  <c r="F140" i="85"/>
  <c r="B140" i="85"/>
  <c r="H148" i="19"/>
  <c r="I148" i="19"/>
  <c r="E149" i="32"/>
  <c r="F149" i="32" s="1"/>
  <c r="B141" i="78"/>
  <c r="F141" i="78"/>
  <c r="B137" i="98"/>
  <c r="F137" i="98"/>
  <c r="B139" i="91"/>
  <c r="F139" i="91"/>
  <c r="B146" i="73"/>
  <c r="F146" i="73"/>
  <c r="I139" i="101"/>
  <c r="H139" i="101"/>
  <c r="G147" i="3"/>
  <c r="D148" i="3"/>
  <c r="B148" i="3" s="1"/>
  <c r="B142" i="66"/>
  <c r="F142" i="66"/>
  <c r="E151" i="30"/>
  <c r="F151" i="30" s="1"/>
  <c r="I141" i="67"/>
  <c r="H141" i="67"/>
  <c r="D145" i="46"/>
  <c r="B145" i="46" s="1"/>
  <c r="G144" i="46"/>
  <c r="F139" i="89"/>
  <c r="B139" i="89"/>
  <c r="I146" i="39"/>
  <c r="H146" i="39"/>
  <c r="F139" i="92"/>
  <c r="B139" i="92"/>
  <c r="I139" i="82"/>
  <c r="H139" i="82"/>
  <c r="H140" i="78"/>
  <c r="I140" i="78"/>
  <c r="E144" i="56"/>
  <c r="F144" i="56" s="1"/>
  <c r="J145" i="44"/>
  <c r="E140" i="86"/>
  <c r="F140" i="86" s="1"/>
  <c r="B140" i="86"/>
  <c r="I143" i="53"/>
  <c r="H143" i="53"/>
  <c r="H145" i="73"/>
  <c r="I145" i="73"/>
  <c r="I148" i="69"/>
  <c r="H148" i="69"/>
  <c r="H147" i="22"/>
  <c r="I147" i="22"/>
  <c r="I150" i="30"/>
  <c r="H150" i="30"/>
  <c r="I140" i="76"/>
  <c r="H140" i="76"/>
  <c r="J148" i="31"/>
  <c r="H138" i="92"/>
  <c r="I138" i="92"/>
  <c r="H143" i="72"/>
  <c r="I143" i="72"/>
  <c r="H148" i="32"/>
  <c r="I148" i="32"/>
  <c r="H142" i="59"/>
  <c r="I142" i="59"/>
  <c r="H140" i="77"/>
  <c r="I140" i="77"/>
  <c r="B133" i="102"/>
  <c r="F133" i="102"/>
  <c r="F139" i="88"/>
  <c r="B139" i="88"/>
  <c r="I138" i="87"/>
  <c r="H138" i="87"/>
  <c r="B139" i="90"/>
  <c r="F139" i="90"/>
  <c r="I139" i="83"/>
  <c r="H139" i="83"/>
  <c r="B149" i="69"/>
  <c r="F149" i="69"/>
  <c r="B141" i="76"/>
  <c r="F141" i="76"/>
  <c r="I143" i="46"/>
  <c r="H143" i="46"/>
  <c r="G137" i="93"/>
  <c r="D138" i="93"/>
  <c r="E138" i="93"/>
  <c r="B144" i="72"/>
  <c r="F144" i="72"/>
  <c r="G149" i="24"/>
  <c r="D150" i="24"/>
  <c r="B150" i="24" s="1"/>
  <c r="I146" i="21"/>
  <c r="H146" i="21"/>
  <c r="D150" i="17"/>
  <c r="B150" i="17" s="1"/>
  <c r="G149" i="17"/>
  <c r="B141" i="77"/>
  <c r="F141" i="77"/>
  <c r="H152" i="28" l="1"/>
  <c r="D149" i="41"/>
  <c r="B149" i="41" s="1"/>
  <c r="G148" i="41"/>
  <c r="E149" i="41"/>
  <c r="F149" i="41" s="1"/>
  <c r="E150" i="27"/>
  <c r="F150" i="27" s="1"/>
  <c r="G150" i="27" s="1"/>
  <c r="G147" i="21"/>
  <c r="D151" i="27"/>
  <c r="B151" i="27" s="1"/>
  <c r="I149" i="27"/>
  <c r="H149" i="27"/>
  <c r="E146" i="45"/>
  <c r="F146" i="45" s="1"/>
  <c r="D147" i="45" s="1"/>
  <c r="B147" i="45" s="1"/>
  <c r="H148" i="23"/>
  <c r="J148" i="23" s="1"/>
  <c r="D153" i="28"/>
  <c r="B153" i="28" s="1"/>
  <c r="G143" i="62"/>
  <c r="H149" i="31"/>
  <c r="J149" i="31" s="1"/>
  <c r="E149" i="34"/>
  <c r="F149" i="34" s="1"/>
  <c r="D150" i="34" s="1"/>
  <c r="B150" i="34" s="1"/>
  <c r="G147" i="20"/>
  <c r="H147" i="20" s="1"/>
  <c r="B147" i="42"/>
  <c r="E147" i="42"/>
  <c r="F147" i="42" s="1"/>
  <c r="H146" i="42"/>
  <c r="I146" i="42"/>
  <c r="J146" i="20"/>
  <c r="B148" i="20"/>
  <c r="E148" i="20"/>
  <c r="F148" i="20" s="1"/>
  <c r="G148" i="20" s="1"/>
  <c r="G144" i="55"/>
  <c r="H144" i="55" s="1"/>
  <c r="D152" i="29"/>
  <c r="B152" i="29" s="1"/>
  <c r="G151" i="29"/>
  <c r="D143" i="65"/>
  <c r="B143" i="65" s="1"/>
  <c r="E153" i="28"/>
  <c r="F153" i="28" s="1"/>
  <c r="J150" i="29"/>
  <c r="J143" i="55"/>
  <c r="J142" i="63"/>
  <c r="J142" i="62"/>
  <c r="I146" i="43"/>
  <c r="H146" i="43"/>
  <c r="J143" i="56"/>
  <c r="E147" i="43"/>
  <c r="F147" i="43" s="1"/>
  <c r="J147" i="22"/>
  <c r="D134" i="13"/>
  <c r="E134" i="13"/>
  <c r="G133" i="13"/>
  <c r="J148" i="69"/>
  <c r="E145" i="55"/>
  <c r="F145" i="55" s="1"/>
  <c r="G145" i="55" s="1"/>
  <c r="J143" i="53"/>
  <c r="J141" i="68"/>
  <c r="J141" i="65"/>
  <c r="D144" i="63"/>
  <c r="B144" i="63" s="1"/>
  <c r="D148" i="39"/>
  <c r="B148" i="39" s="1"/>
  <c r="J143" i="58"/>
  <c r="G149" i="23"/>
  <c r="H149" i="23" s="1"/>
  <c r="J142" i="59"/>
  <c r="J146" i="39"/>
  <c r="J147" i="71"/>
  <c r="E145" i="57"/>
  <c r="F145" i="57" s="1"/>
  <c r="D146" i="57" s="1"/>
  <c r="B146" i="57" s="1"/>
  <c r="J143" i="72"/>
  <c r="D144" i="59"/>
  <c r="B144" i="59" s="1"/>
  <c r="J143" i="54"/>
  <c r="J145" i="45"/>
  <c r="J140" i="79"/>
  <c r="J140" i="76"/>
  <c r="J145" i="73"/>
  <c r="J141" i="67"/>
  <c r="J145" i="74"/>
  <c r="E143" i="60"/>
  <c r="F143" i="60" s="1"/>
  <c r="G143" i="60" s="1"/>
  <c r="E150" i="23"/>
  <c r="F150" i="23" s="1"/>
  <c r="H142" i="65"/>
  <c r="I142" i="65"/>
  <c r="G144" i="56"/>
  <c r="D145" i="56"/>
  <c r="B145" i="56" s="1"/>
  <c r="D140" i="91"/>
  <c r="G139" i="91"/>
  <c r="E140" i="91"/>
  <c r="G142" i="67"/>
  <c r="D143" i="67"/>
  <c r="B143" i="67" s="1"/>
  <c r="H139" i="96"/>
  <c r="I139" i="96"/>
  <c r="D140" i="94"/>
  <c r="G139" i="94"/>
  <c r="E140" i="94"/>
  <c r="D143" i="68"/>
  <c r="B143" i="68" s="1"/>
  <c r="G142" i="68"/>
  <c r="F138" i="97"/>
  <c r="B138" i="97"/>
  <c r="G149" i="69"/>
  <c r="D150" i="69"/>
  <c r="B150" i="69" s="1"/>
  <c r="I147" i="3"/>
  <c r="H147" i="3"/>
  <c r="E148" i="21"/>
  <c r="F148" i="21" s="1"/>
  <c r="G139" i="92"/>
  <c r="D140" i="92"/>
  <c r="E140" i="92"/>
  <c r="J140" i="75"/>
  <c r="F140" i="96"/>
  <c r="B140" i="96"/>
  <c r="E143" i="61"/>
  <c r="F143" i="61" s="1"/>
  <c r="J148" i="70"/>
  <c r="J147" i="18"/>
  <c r="E144" i="62"/>
  <c r="F144" i="62" s="1"/>
  <c r="J146" i="21"/>
  <c r="B138" i="93"/>
  <c r="F138" i="93"/>
  <c r="J148" i="32"/>
  <c r="J150" i="30"/>
  <c r="H147" i="21"/>
  <c r="I147" i="21"/>
  <c r="H143" i="59"/>
  <c r="I143" i="59"/>
  <c r="D141" i="85"/>
  <c r="G140" i="85"/>
  <c r="E141" i="85"/>
  <c r="H147" i="39"/>
  <c r="I147" i="39"/>
  <c r="J152" i="28"/>
  <c r="E144" i="64"/>
  <c r="F144" i="64" s="1"/>
  <c r="G144" i="54"/>
  <c r="D145" i="54"/>
  <c r="B145" i="54" s="1"/>
  <c r="G150" i="31"/>
  <c r="D151" i="31"/>
  <c r="B151" i="31" s="1"/>
  <c r="D141" i="83"/>
  <c r="G140" i="83"/>
  <c r="E141" i="83"/>
  <c r="G139" i="90"/>
  <c r="D140" i="90"/>
  <c r="E140" i="90"/>
  <c r="E150" i="24"/>
  <c r="F150" i="24" s="1"/>
  <c r="I137" i="93"/>
  <c r="H137" i="93"/>
  <c r="G139" i="88"/>
  <c r="D140" i="88"/>
  <c r="E140" i="88"/>
  <c r="H143" i="63"/>
  <c r="I143" i="63"/>
  <c r="G151" i="30"/>
  <c r="D152" i="30"/>
  <c r="B152" i="30" s="1"/>
  <c r="H143" i="64"/>
  <c r="I143" i="64"/>
  <c r="H142" i="61"/>
  <c r="I142" i="61"/>
  <c r="D150" i="19"/>
  <c r="B150" i="19" s="1"/>
  <c r="G149" i="19"/>
  <c r="I143" i="62"/>
  <c r="H143" i="62"/>
  <c r="I136" i="99"/>
  <c r="H136" i="99"/>
  <c r="G148" i="18"/>
  <c r="D149" i="18"/>
  <c r="B149" i="18" s="1"/>
  <c r="D140" i="87"/>
  <c r="G139" i="87"/>
  <c r="E140" i="87"/>
  <c r="D143" i="66"/>
  <c r="B143" i="66" s="1"/>
  <c r="G142" i="66"/>
  <c r="G141" i="78"/>
  <c r="D142" i="78"/>
  <c r="E142" i="78"/>
  <c r="D141" i="101"/>
  <c r="G140" i="101"/>
  <c r="E141" i="101"/>
  <c r="E147" i="44"/>
  <c r="F147" i="44" s="1"/>
  <c r="D149" i="71"/>
  <c r="B149" i="71" s="1"/>
  <c r="G148" i="71"/>
  <c r="D150" i="70"/>
  <c r="B150" i="70" s="1"/>
  <c r="G149" i="70"/>
  <c r="F137" i="99"/>
  <c r="B137" i="99"/>
  <c r="D142" i="77"/>
  <c r="G141" i="77"/>
  <c r="E142" i="77"/>
  <c r="D146" i="55"/>
  <c r="B146" i="55" s="1"/>
  <c r="I149" i="24"/>
  <c r="H149" i="24"/>
  <c r="J143" i="46"/>
  <c r="D140" i="89"/>
  <c r="G139" i="89"/>
  <c r="E140" i="89"/>
  <c r="J141" i="66"/>
  <c r="G144" i="53"/>
  <c r="D145" i="53"/>
  <c r="B145" i="53" s="1"/>
  <c r="G144" i="58"/>
  <c r="D145" i="58"/>
  <c r="B145" i="58" s="1"/>
  <c r="G133" i="102"/>
  <c r="D134" i="102"/>
  <c r="E134" i="102"/>
  <c r="D141" i="86"/>
  <c r="G140" i="86"/>
  <c r="E150" i="17"/>
  <c r="F150" i="17" s="1"/>
  <c r="G141" i="76"/>
  <c r="D142" i="76"/>
  <c r="E142" i="76"/>
  <c r="J140" i="77"/>
  <c r="E145" i="46"/>
  <c r="F145" i="46" s="1"/>
  <c r="E148" i="3"/>
  <c r="F148" i="3" s="1"/>
  <c r="D147" i="73"/>
  <c r="B147" i="73" s="1"/>
  <c r="G146" i="73"/>
  <c r="D150" i="32"/>
  <c r="B150" i="32" s="1"/>
  <c r="G149" i="32"/>
  <c r="F138" i="95"/>
  <c r="B138" i="95"/>
  <c r="D149" i="22"/>
  <c r="B149" i="22" s="1"/>
  <c r="G148" i="22"/>
  <c r="I146" i="44"/>
  <c r="H146" i="44"/>
  <c r="G139" i="84"/>
  <c r="D140" i="84"/>
  <c r="E140" i="84"/>
  <c r="G140" i="80"/>
  <c r="D141" i="80"/>
  <c r="E141" i="80"/>
  <c r="I144" i="57"/>
  <c r="H144" i="57"/>
  <c r="G146" i="74"/>
  <c r="D147" i="74"/>
  <c r="B147" i="74" s="1"/>
  <c r="H142" i="60"/>
  <c r="I142" i="60"/>
  <c r="I149" i="17"/>
  <c r="H149" i="17"/>
  <c r="G144" i="72"/>
  <c r="D145" i="72"/>
  <c r="B145" i="72" s="1"/>
  <c r="J140" i="78"/>
  <c r="H144" i="46"/>
  <c r="I144" i="46"/>
  <c r="D138" i="98"/>
  <c r="G137" i="98"/>
  <c r="E138" i="98"/>
  <c r="J148" i="19"/>
  <c r="G140" i="82"/>
  <c r="D141" i="82"/>
  <c r="E141" i="82"/>
  <c r="I137" i="95"/>
  <c r="H137" i="95"/>
  <c r="J148" i="34"/>
  <c r="D142" i="75"/>
  <c r="G141" i="75"/>
  <c r="E142" i="75"/>
  <c r="G140" i="81"/>
  <c r="D141" i="81"/>
  <c r="E141" i="81"/>
  <c r="H137" i="97"/>
  <c r="I137" i="97"/>
  <c r="D142" i="79"/>
  <c r="G141" i="79"/>
  <c r="E142" i="79"/>
  <c r="G149" i="34" l="1"/>
  <c r="D150" i="41"/>
  <c r="B150" i="41" s="1"/>
  <c r="G149" i="41"/>
  <c r="E150" i="41"/>
  <c r="F150" i="41" s="1"/>
  <c r="I148" i="41"/>
  <c r="H148" i="41"/>
  <c r="E151" i="27"/>
  <c r="F151" i="27" s="1"/>
  <c r="G151" i="27" s="1"/>
  <c r="J146" i="42"/>
  <c r="G146" i="45"/>
  <c r="I146" i="45" s="1"/>
  <c r="E144" i="59"/>
  <c r="F144" i="59" s="1"/>
  <c r="J149" i="27"/>
  <c r="H150" i="27"/>
  <c r="I150" i="27"/>
  <c r="I144" i="55"/>
  <c r="J144" i="55" s="1"/>
  <c r="I147" i="20"/>
  <c r="J147" i="20" s="1"/>
  <c r="E152" i="29"/>
  <c r="F152" i="29" s="1"/>
  <c r="D153" i="29" s="1"/>
  <c r="B153" i="29" s="1"/>
  <c r="D149" i="20"/>
  <c r="B149" i="20" s="1"/>
  <c r="G147" i="42"/>
  <c r="D148" i="42"/>
  <c r="I151" i="29"/>
  <c r="H151" i="29"/>
  <c r="D154" i="28"/>
  <c r="G153" i="28"/>
  <c r="E143" i="65"/>
  <c r="F143" i="65" s="1"/>
  <c r="D144" i="65" s="1"/>
  <c r="B144" i="65" s="1"/>
  <c r="J147" i="21"/>
  <c r="I148" i="20"/>
  <c r="H148" i="20"/>
  <c r="G145" i="57"/>
  <c r="I145" i="57" s="1"/>
  <c r="D144" i="60"/>
  <c r="B144" i="60" s="1"/>
  <c r="D148" i="43"/>
  <c r="B148" i="43" s="1"/>
  <c r="G147" i="43"/>
  <c r="J146" i="43"/>
  <c r="J143" i="59"/>
  <c r="I133" i="13"/>
  <c r="H133" i="13"/>
  <c r="B134" i="13"/>
  <c r="F134" i="13"/>
  <c r="E152" i="30"/>
  <c r="F152" i="30" s="1"/>
  <c r="G152" i="30" s="1"/>
  <c r="J147" i="39"/>
  <c r="I149" i="23"/>
  <c r="J149" i="23" s="1"/>
  <c r="E147" i="45"/>
  <c r="F147" i="45" s="1"/>
  <c r="G147" i="45" s="1"/>
  <c r="E147" i="73"/>
  <c r="F147" i="73" s="1"/>
  <c r="D148" i="73" s="1"/>
  <c r="B148" i="73" s="1"/>
  <c r="E149" i="22"/>
  <c r="F149" i="22" s="1"/>
  <c r="D150" i="22" s="1"/>
  <c r="B150" i="22" s="1"/>
  <c r="E146" i="55"/>
  <c r="F146" i="55" s="1"/>
  <c r="D147" i="55" s="1"/>
  <c r="B147" i="55" s="1"/>
  <c r="J147" i="3"/>
  <c r="J143" i="64"/>
  <c r="E148" i="39"/>
  <c r="F148" i="39" s="1"/>
  <c r="E145" i="56"/>
  <c r="F145" i="56" s="1"/>
  <c r="G145" i="56" s="1"/>
  <c r="E144" i="63"/>
  <c r="F144" i="63" s="1"/>
  <c r="E150" i="34"/>
  <c r="F150" i="34" s="1"/>
  <c r="D151" i="34" s="1"/>
  <c r="B151" i="34" s="1"/>
  <c r="G150" i="23"/>
  <c r="D151" i="23"/>
  <c r="B151" i="23" s="1"/>
  <c r="E145" i="72"/>
  <c r="F145" i="72" s="1"/>
  <c r="G145" i="72" s="1"/>
  <c r="E149" i="18"/>
  <c r="F149" i="18" s="1"/>
  <c r="D150" i="18" s="1"/>
  <c r="B150" i="18" s="1"/>
  <c r="J143" i="62"/>
  <c r="J142" i="61"/>
  <c r="E151" i="31"/>
  <c r="F151" i="31" s="1"/>
  <c r="G151" i="31" s="1"/>
  <c r="J149" i="17"/>
  <c r="E143" i="68"/>
  <c r="F143" i="68" s="1"/>
  <c r="D144" i="68" s="1"/>
  <c r="B144" i="68" s="1"/>
  <c r="J142" i="65"/>
  <c r="H141" i="79"/>
  <c r="I141" i="79"/>
  <c r="J144" i="46"/>
  <c r="J142" i="60"/>
  <c r="G148" i="3"/>
  <c r="D149" i="3"/>
  <c r="B149" i="3" s="1"/>
  <c r="E145" i="58"/>
  <c r="F145" i="58" s="1"/>
  <c r="E145" i="53"/>
  <c r="F145" i="53" s="1"/>
  <c r="B142" i="77"/>
  <c r="F142" i="77"/>
  <c r="H140" i="101"/>
  <c r="I140" i="101"/>
  <c r="I142" i="66"/>
  <c r="H142" i="66"/>
  <c r="B141" i="83"/>
  <c r="F141" i="83"/>
  <c r="E150" i="69"/>
  <c r="F150" i="69" s="1"/>
  <c r="H146" i="45"/>
  <c r="I149" i="34"/>
  <c r="H149" i="34"/>
  <c r="D139" i="95"/>
  <c r="G138" i="95"/>
  <c r="E139" i="95"/>
  <c r="D146" i="46"/>
  <c r="B146" i="46" s="1"/>
  <c r="G145" i="46"/>
  <c r="B141" i="101"/>
  <c r="F141" i="101"/>
  <c r="H151" i="30"/>
  <c r="I151" i="30"/>
  <c r="G144" i="59"/>
  <c r="D145" i="59"/>
  <c r="B145" i="59" s="1"/>
  <c r="H139" i="94"/>
  <c r="I139" i="94"/>
  <c r="H139" i="91"/>
  <c r="I139" i="91"/>
  <c r="I144" i="72"/>
  <c r="H144" i="72"/>
  <c r="F142" i="76"/>
  <c r="B142" i="76"/>
  <c r="I139" i="89"/>
  <c r="H139" i="89"/>
  <c r="F141" i="82"/>
  <c r="B141" i="82"/>
  <c r="E147" i="74"/>
  <c r="F147" i="74" s="1"/>
  <c r="E150" i="32"/>
  <c r="F150" i="32" s="1"/>
  <c r="D151" i="17"/>
  <c r="B151" i="17" s="1"/>
  <c r="G150" i="17"/>
  <c r="I144" i="58"/>
  <c r="H144" i="58"/>
  <c r="I144" i="53"/>
  <c r="H144" i="53"/>
  <c r="B140" i="89"/>
  <c r="F140" i="89"/>
  <c r="J149" i="24"/>
  <c r="J143" i="63"/>
  <c r="G150" i="24"/>
  <c r="D151" i="24"/>
  <c r="B151" i="24" s="1"/>
  <c r="G144" i="62"/>
  <c r="D145" i="62"/>
  <c r="B145" i="62" s="1"/>
  <c r="H149" i="69"/>
  <c r="I149" i="69"/>
  <c r="F140" i="94"/>
  <c r="B140" i="94"/>
  <c r="F140" i="91"/>
  <c r="B140" i="91"/>
  <c r="H140" i="86"/>
  <c r="I140" i="86"/>
  <c r="I143" i="60"/>
  <c r="H143" i="60"/>
  <c r="E149" i="71"/>
  <c r="F149" i="71" s="1"/>
  <c r="B142" i="78"/>
  <c r="F142" i="78"/>
  <c r="I139" i="87"/>
  <c r="H139" i="87"/>
  <c r="I150" i="31"/>
  <c r="H150" i="31"/>
  <c r="B140" i="92"/>
  <c r="F140" i="92"/>
  <c r="B141" i="81"/>
  <c r="F141" i="81"/>
  <c r="H140" i="82"/>
  <c r="I140" i="82"/>
  <c r="B141" i="80"/>
  <c r="F141" i="80"/>
  <c r="I149" i="32"/>
  <c r="H149" i="32"/>
  <c r="H140" i="81"/>
  <c r="I140" i="81"/>
  <c r="H141" i="75"/>
  <c r="I141" i="75"/>
  <c r="I146" i="74"/>
  <c r="H146" i="74"/>
  <c r="H140" i="80"/>
  <c r="I140" i="80"/>
  <c r="J146" i="44"/>
  <c r="E141" i="86"/>
  <c r="F141" i="86" s="1"/>
  <c r="B141" i="86"/>
  <c r="E146" i="57"/>
  <c r="F146" i="57" s="1"/>
  <c r="I148" i="71"/>
  <c r="H148" i="71"/>
  <c r="I141" i="78"/>
  <c r="H141" i="78"/>
  <c r="F140" i="87"/>
  <c r="B140" i="87"/>
  <c r="F140" i="90"/>
  <c r="B140" i="90"/>
  <c r="E145" i="54"/>
  <c r="F145" i="54" s="1"/>
  <c r="I140" i="85"/>
  <c r="H140" i="85"/>
  <c r="H139" i="92"/>
  <c r="I139" i="92"/>
  <c r="D139" i="97"/>
  <c r="G138" i="97"/>
  <c r="E139" i="97"/>
  <c r="D144" i="61"/>
  <c r="B144" i="61" s="1"/>
  <c r="G143" i="61"/>
  <c r="D149" i="21"/>
  <c r="B149" i="21" s="1"/>
  <c r="G148" i="21"/>
  <c r="E143" i="67"/>
  <c r="F143" i="67" s="1"/>
  <c r="H144" i="56"/>
  <c r="I144" i="56"/>
  <c r="D138" i="99"/>
  <c r="G137" i="99"/>
  <c r="E138" i="99"/>
  <c r="H139" i="90"/>
  <c r="I139" i="90"/>
  <c r="G138" i="93"/>
  <c r="D139" i="93"/>
  <c r="E139" i="93"/>
  <c r="B142" i="79"/>
  <c r="F142" i="79"/>
  <c r="I137" i="98"/>
  <c r="H137" i="98"/>
  <c r="J144" i="57"/>
  <c r="B140" i="84"/>
  <c r="F140" i="84"/>
  <c r="I148" i="22"/>
  <c r="H148" i="22"/>
  <c r="I146" i="73"/>
  <c r="H146" i="73"/>
  <c r="H141" i="76"/>
  <c r="I141" i="76"/>
  <c r="B134" i="102"/>
  <c r="F134" i="102"/>
  <c r="H145" i="57"/>
  <c r="E150" i="70"/>
  <c r="F150" i="70" s="1"/>
  <c r="D148" i="44"/>
  <c r="B148" i="44" s="1"/>
  <c r="G147" i="44"/>
  <c r="E150" i="19"/>
  <c r="F150" i="19" s="1"/>
  <c r="B140" i="88"/>
  <c r="F140" i="88"/>
  <c r="I144" i="54"/>
  <c r="H144" i="54"/>
  <c r="H142" i="68"/>
  <c r="I142" i="68"/>
  <c r="B142" i="75"/>
  <c r="F142" i="75"/>
  <c r="H145" i="55"/>
  <c r="I145" i="55"/>
  <c r="B141" i="85"/>
  <c r="F141" i="85"/>
  <c r="B138" i="98"/>
  <c r="F138" i="98"/>
  <c r="I139" i="84"/>
  <c r="H139" i="84"/>
  <c r="E153" i="29"/>
  <c r="F153" i="29" s="1"/>
  <c r="H133" i="102"/>
  <c r="I133" i="102"/>
  <c r="H141" i="77"/>
  <c r="I141" i="77"/>
  <c r="H149" i="70"/>
  <c r="I149" i="70"/>
  <c r="E143" i="66"/>
  <c r="F143" i="66" s="1"/>
  <c r="I148" i="18"/>
  <c r="H148" i="18"/>
  <c r="I149" i="19"/>
  <c r="H149" i="19"/>
  <c r="H139" i="88"/>
  <c r="I139" i="88"/>
  <c r="I140" i="83"/>
  <c r="H140" i="83"/>
  <c r="D145" i="64"/>
  <c r="B145" i="64" s="1"/>
  <c r="G144" i="64"/>
  <c r="D141" i="96"/>
  <c r="G140" i="96"/>
  <c r="E141" i="96"/>
  <c r="H142" i="67"/>
  <c r="I142" i="67"/>
  <c r="J148" i="41" l="1"/>
  <c r="D152" i="27"/>
  <c r="D153" i="30"/>
  <c r="B153" i="30" s="1"/>
  <c r="G150" i="41"/>
  <c r="D151" i="41"/>
  <c r="B151" i="41" s="1"/>
  <c r="I149" i="41"/>
  <c r="J149" i="41" s="1"/>
  <c r="H149" i="41"/>
  <c r="D146" i="56"/>
  <c r="B146" i="56" s="1"/>
  <c r="G143" i="65"/>
  <c r="H143" i="65" s="1"/>
  <c r="E149" i="20"/>
  <c r="F149" i="20" s="1"/>
  <c r="J150" i="27"/>
  <c r="G152" i="29"/>
  <c r="B152" i="27"/>
  <c r="E152" i="27"/>
  <c r="F152" i="27" s="1"/>
  <c r="I151" i="27"/>
  <c r="H151" i="27"/>
  <c r="G149" i="18"/>
  <c r="I149" i="18" s="1"/>
  <c r="B148" i="42"/>
  <c r="E148" i="42"/>
  <c r="F148" i="42" s="1"/>
  <c r="H147" i="42"/>
  <c r="I147" i="42"/>
  <c r="J151" i="29"/>
  <c r="G143" i="68"/>
  <c r="H143" i="68" s="1"/>
  <c r="D148" i="45"/>
  <c r="B148" i="45" s="1"/>
  <c r="H153" i="28"/>
  <c r="I153" i="28"/>
  <c r="G150" i="34"/>
  <c r="I150" i="34" s="1"/>
  <c r="G149" i="22"/>
  <c r="I149" i="22" s="1"/>
  <c r="G147" i="73"/>
  <c r="E154" i="28"/>
  <c r="E155" i="28" s="1"/>
  <c r="B154" i="28"/>
  <c r="E148" i="43"/>
  <c r="F148" i="43" s="1"/>
  <c r="G148" i="43" s="1"/>
  <c r="G146" i="55"/>
  <c r="H146" i="55" s="1"/>
  <c r="J145" i="57"/>
  <c r="E144" i="60"/>
  <c r="F144" i="60" s="1"/>
  <c r="D146" i="72"/>
  <c r="B146" i="72" s="1"/>
  <c r="D150" i="20"/>
  <c r="B150" i="20" s="1"/>
  <c r="G149" i="20"/>
  <c r="J149" i="70"/>
  <c r="J148" i="22"/>
  <c r="J148" i="20"/>
  <c r="E147" i="55"/>
  <c r="F147" i="55" s="1"/>
  <c r="G147" i="55" s="1"/>
  <c r="E151" i="17"/>
  <c r="F151" i="17" s="1"/>
  <c r="D152" i="17" s="1"/>
  <c r="B152" i="17" s="1"/>
  <c r="I147" i="43"/>
  <c r="H147" i="43"/>
  <c r="J142" i="68"/>
  <c r="E135" i="13"/>
  <c r="G134" i="13"/>
  <c r="D135" i="13"/>
  <c r="J141" i="77"/>
  <c r="D152" i="31"/>
  <c r="B152" i="31" s="1"/>
  <c r="J144" i="53"/>
  <c r="J146" i="74"/>
  <c r="G148" i="39"/>
  <c r="D149" i="39"/>
  <c r="J144" i="56"/>
  <c r="G144" i="63"/>
  <c r="D145" i="63"/>
  <c r="B145" i="63" s="1"/>
  <c r="J149" i="32"/>
  <c r="E149" i="21"/>
  <c r="F149" i="21" s="1"/>
  <c r="D150" i="21" s="1"/>
  <c r="B150" i="21" s="1"/>
  <c r="J148" i="18"/>
  <c r="E148" i="73"/>
  <c r="F148" i="73" s="1"/>
  <c r="D149" i="73" s="1"/>
  <c r="B149" i="73" s="1"/>
  <c r="J151" i="30"/>
  <c r="E151" i="23"/>
  <c r="F151" i="23" s="1"/>
  <c r="E153" i="30"/>
  <c r="F153" i="30" s="1"/>
  <c r="D154" i="30" s="1"/>
  <c r="E154" i="30" s="1"/>
  <c r="E155" i="30" s="1"/>
  <c r="E144" i="68"/>
  <c r="F144" i="68" s="1"/>
  <c r="D145" i="68" s="1"/>
  <c r="B145" i="68" s="1"/>
  <c r="E144" i="61"/>
  <c r="F144" i="61" s="1"/>
  <c r="D145" i="61" s="1"/>
  <c r="B145" i="61" s="1"/>
  <c r="J150" i="31"/>
  <c r="E145" i="59"/>
  <c r="F145" i="59" s="1"/>
  <c r="I150" i="23"/>
  <c r="H150" i="23"/>
  <c r="J145" i="55"/>
  <c r="J149" i="69"/>
  <c r="J149" i="34"/>
  <c r="E144" i="65"/>
  <c r="F144" i="65" s="1"/>
  <c r="D145" i="65" s="1"/>
  <c r="B145" i="65" s="1"/>
  <c r="J146" i="45"/>
  <c r="J142" i="66"/>
  <c r="J141" i="79"/>
  <c r="D142" i="86"/>
  <c r="E142" i="86" s="1"/>
  <c r="G141" i="86"/>
  <c r="G140" i="88"/>
  <c r="D141" i="88"/>
  <c r="E141" i="88"/>
  <c r="H137" i="99"/>
  <c r="I137" i="99"/>
  <c r="D142" i="80"/>
  <c r="G141" i="80"/>
  <c r="E142" i="80"/>
  <c r="G140" i="92"/>
  <c r="D141" i="92"/>
  <c r="E141" i="92"/>
  <c r="D150" i="71"/>
  <c r="B150" i="71" s="1"/>
  <c r="G149" i="71"/>
  <c r="H144" i="59"/>
  <c r="I144" i="59"/>
  <c r="J144" i="72"/>
  <c r="D142" i="83"/>
  <c r="G141" i="83"/>
  <c r="E142" i="83"/>
  <c r="D146" i="53"/>
  <c r="B146" i="53" s="1"/>
  <c r="G145" i="53"/>
  <c r="D147" i="57"/>
  <c r="B147" i="57" s="1"/>
  <c r="G146" i="57"/>
  <c r="G140" i="91"/>
  <c r="D141" i="91"/>
  <c r="E141" i="91"/>
  <c r="I144" i="62"/>
  <c r="H144" i="62"/>
  <c r="H140" i="96"/>
  <c r="I140" i="96"/>
  <c r="G143" i="66"/>
  <c r="D144" i="66"/>
  <c r="B144" i="66" s="1"/>
  <c r="J146" i="73"/>
  <c r="D143" i="79"/>
  <c r="B143" i="79" s="1"/>
  <c r="G142" i="79"/>
  <c r="E150" i="22"/>
  <c r="F150" i="22" s="1"/>
  <c r="D146" i="54"/>
  <c r="B146" i="54" s="1"/>
  <c r="G145" i="54"/>
  <c r="G140" i="87"/>
  <c r="D141" i="87"/>
  <c r="E141" i="87"/>
  <c r="J141" i="75"/>
  <c r="H147" i="73"/>
  <c r="I147" i="73"/>
  <c r="J143" i="60"/>
  <c r="E151" i="24"/>
  <c r="F151" i="24" s="1"/>
  <c r="E146" i="46"/>
  <c r="F146" i="46" s="1"/>
  <c r="D151" i="69"/>
  <c r="B151" i="69" s="1"/>
  <c r="G150" i="69"/>
  <c r="G145" i="58"/>
  <c r="D146" i="58"/>
  <c r="B146" i="58" s="1"/>
  <c r="H151" i="31"/>
  <c r="I151" i="31"/>
  <c r="H145" i="46"/>
  <c r="I145" i="46"/>
  <c r="G150" i="70"/>
  <c r="D151" i="70"/>
  <c r="B151" i="70" s="1"/>
  <c r="G140" i="94"/>
  <c r="D141" i="94"/>
  <c r="E141" i="94"/>
  <c r="D151" i="32"/>
  <c r="B151" i="32" s="1"/>
  <c r="G150" i="32"/>
  <c r="E145" i="64"/>
  <c r="F145" i="64" s="1"/>
  <c r="E151" i="34"/>
  <c r="F151" i="34" s="1"/>
  <c r="E150" i="18"/>
  <c r="F150" i="18" s="1"/>
  <c r="H138" i="97"/>
  <c r="I138" i="97"/>
  <c r="D141" i="90"/>
  <c r="G140" i="90"/>
  <c r="E141" i="90"/>
  <c r="J141" i="78"/>
  <c r="H145" i="72"/>
  <c r="I145" i="72"/>
  <c r="H150" i="24"/>
  <c r="I150" i="24"/>
  <c r="J144" i="58"/>
  <c r="G147" i="74"/>
  <c r="D148" i="74"/>
  <c r="B148" i="74" s="1"/>
  <c r="F138" i="99"/>
  <c r="B138" i="99"/>
  <c r="H143" i="61"/>
  <c r="I143" i="61"/>
  <c r="I152" i="30"/>
  <c r="H152" i="30"/>
  <c r="G150" i="19"/>
  <c r="D151" i="19"/>
  <c r="B151" i="19" s="1"/>
  <c r="D135" i="102"/>
  <c r="G134" i="102"/>
  <c r="E135" i="102"/>
  <c r="D141" i="84"/>
  <c r="G140" i="84"/>
  <c r="E141" i="84"/>
  <c r="F139" i="93"/>
  <c r="B139" i="93"/>
  <c r="B139" i="97"/>
  <c r="F139" i="97"/>
  <c r="E149" i="3"/>
  <c r="F149" i="3" s="1"/>
  <c r="H147" i="45"/>
  <c r="I147" i="45"/>
  <c r="G141" i="85"/>
  <c r="D142" i="85"/>
  <c r="E142" i="85"/>
  <c r="H138" i="93"/>
  <c r="I138" i="93"/>
  <c r="H149" i="18"/>
  <c r="I148" i="21"/>
  <c r="H148" i="21"/>
  <c r="J148" i="71"/>
  <c r="I145" i="56"/>
  <c r="H145" i="56"/>
  <c r="D143" i="78"/>
  <c r="B143" i="78" s="1"/>
  <c r="G142" i="78"/>
  <c r="I150" i="17"/>
  <c r="H150" i="17"/>
  <c r="D142" i="82"/>
  <c r="G141" i="82"/>
  <c r="E142" i="82"/>
  <c r="G145" i="59"/>
  <c r="D146" i="59"/>
  <c r="B146" i="59" s="1"/>
  <c r="D142" i="101"/>
  <c r="G141" i="101"/>
  <c r="E142" i="101"/>
  <c r="H138" i="95"/>
  <c r="I138" i="95"/>
  <c r="G153" i="29"/>
  <c r="D154" i="29"/>
  <c r="E154" i="29" s="1"/>
  <c r="E155" i="29" s="1"/>
  <c r="B141" i="96"/>
  <c r="F141" i="96"/>
  <c r="I144" i="64"/>
  <c r="H144" i="64"/>
  <c r="E148" i="44"/>
  <c r="F148" i="44" s="1"/>
  <c r="J142" i="67"/>
  <c r="J149" i="19"/>
  <c r="G138" i="98"/>
  <c r="D139" i="98"/>
  <c r="E139" i="98"/>
  <c r="D143" i="75"/>
  <c r="B143" i="75" s="1"/>
  <c r="G142" i="75"/>
  <c r="J144" i="54"/>
  <c r="H147" i="44"/>
  <c r="I147" i="44"/>
  <c r="J141" i="76"/>
  <c r="G143" i="67"/>
  <c r="D144" i="67"/>
  <c r="B144" i="67" s="1"/>
  <c r="G141" i="81"/>
  <c r="D142" i="81"/>
  <c r="E142" i="81"/>
  <c r="E145" i="62"/>
  <c r="F145" i="62" s="1"/>
  <c r="D141" i="89"/>
  <c r="G140" i="89"/>
  <c r="E141" i="89"/>
  <c r="G142" i="76"/>
  <c r="D143" i="76"/>
  <c r="B143" i="76" s="1"/>
  <c r="B139" i="95"/>
  <c r="F139" i="95"/>
  <c r="D143" i="77"/>
  <c r="B143" i="77" s="1"/>
  <c r="G142" i="77"/>
  <c r="I148" i="3"/>
  <c r="H148" i="3"/>
  <c r="J151" i="27" l="1"/>
  <c r="I150" i="41"/>
  <c r="H150" i="41"/>
  <c r="E148" i="45"/>
  <c r="F148" i="45" s="1"/>
  <c r="I143" i="65"/>
  <c r="E146" i="56"/>
  <c r="F146" i="56" s="1"/>
  <c r="D147" i="56" s="1"/>
  <c r="B147" i="56" s="1"/>
  <c r="E151" i="41"/>
  <c r="F151" i="41" s="1"/>
  <c r="J147" i="42"/>
  <c r="H149" i="22"/>
  <c r="G144" i="65"/>
  <c r="G152" i="27"/>
  <c r="D153" i="27"/>
  <c r="B153" i="27" s="1"/>
  <c r="I143" i="68"/>
  <c r="H152" i="29"/>
  <c r="I152" i="29"/>
  <c r="I146" i="55"/>
  <c r="J146" i="55" s="1"/>
  <c r="D148" i="55"/>
  <c r="B148" i="55" s="1"/>
  <c r="H150" i="34"/>
  <c r="D149" i="43"/>
  <c r="B149" i="43" s="1"/>
  <c r="D149" i="42"/>
  <c r="G148" i="42"/>
  <c r="E147" i="57"/>
  <c r="F147" i="57" s="1"/>
  <c r="G147" i="57" s="1"/>
  <c r="G144" i="68"/>
  <c r="H144" i="68" s="1"/>
  <c r="G151" i="17"/>
  <c r="H151" i="17" s="1"/>
  <c r="J153" i="28"/>
  <c r="E146" i="72"/>
  <c r="F146" i="72" s="1"/>
  <c r="J147" i="43"/>
  <c r="G148" i="73"/>
  <c r="H148" i="73" s="1"/>
  <c r="F154" i="28"/>
  <c r="G154" i="28" s="1"/>
  <c r="J150" i="24"/>
  <c r="D145" i="60"/>
  <c r="G144" i="60"/>
  <c r="J148" i="3"/>
  <c r="E150" i="20"/>
  <c r="F150" i="20" s="1"/>
  <c r="H149" i="20"/>
  <c r="I149" i="20"/>
  <c r="G144" i="61"/>
  <c r="I144" i="61" s="1"/>
  <c r="H148" i="43"/>
  <c r="I148" i="43"/>
  <c r="G149" i="21"/>
  <c r="H149" i="21" s="1"/>
  <c r="G153" i="30"/>
  <c r="E150" i="21"/>
  <c r="F150" i="21" s="1"/>
  <c r="G150" i="21" s="1"/>
  <c r="E152" i="31"/>
  <c r="F152" i="31" s="1"/>
  <c r="B135" i="13"/>
  <c r="F135" i="13"/>
  <c r="I134" i="13"/>
  <c r="H134" i="13"/>
  <c r="E151" i="69"/>
  <c r="F151" i="69" s="1"/>
  <c r="E143" i="79"/>
  <c r="F143" i="79" s="1"/>
  <c r="G143" i="79" s="1"/>
  <c r="E151" i="19"/>
  <c r="F151" i="19" s="1"/>
  <c r="D152" i="19" s="1"/>
  <c r="B152" i="19" s="1"/>
  <c r="I144" i="63"/>
  <c r="H144" i="63"/>
  <c r="J145" i="56"/>
  <c r="J145" i="46"/>
  <c r="B149" i="39"/>
  <c r="E149" i="39"/>
  <c r="F149" i="39" s="1"/>
  <c r="J145" i="72"/>
  <c r="E151" i="70"/>
  <c r="F151" i="70" s="1"/>
  <c r="G151" i="70" s="1"/>
  <c r="H148" i="39"/>
  <c r="I148" i="39"/>
  <c r="J143" i="65"/>
  <c r="E145" i="63"/>
  <c r="F145" i="63" s="1"/>
  <c r="J152" i="30"/>
  <c r="J148" i="21"/>
  <c r="E152" i="17"/>
  <c r="F152" i="17" s="1"/>
  <c r="G152" i="17" s="1"/>
  <c r="J144" i="59"/>
  <c r="E145" i="68"/>
  <c r="F145" i="68" s="1"/>
  <c r="D146" i="68" s="1"/>
  <c r="G151" i="23"/>
  <c r="D152" i="23"/>
  <c r="B152" i="23" s="1"/>
  <c r="J144" i="62"/>
  <c r="J150" i="23"/>
  <c r="J147" i="45"/>
  <c r="E146" i="53"/>
  <c r="F146" i="53" s="1"/>
  <c r="D147" i="53" s="1"/>
  <c r="B147" i="53" s="1"/>
  <c r="E150" i="71"/>
  <c r="F150" i="71" s="1"/>
  <c r="D151" i="71" s="1"/>
  <c r="B151" i="71" s="1"/>
  <c r="J149" i="22"/>
  <c r="E146" i="58"/>
  <c r="F146" i="58" s="1"/>
  <c r="D147" i="58" s="1"/>
  <c r="B147" i="58" s="1"/>
  <c r="E145" i="61"/>
  <c r="F145" i="61" s="1"/>
  <c r="G145" i="61" s="1"/>
  <c r="H141" i="82"/>
  <c r="I141" i="82"/>
  <c r="J143" i="61"/>
  <c r="I147" i="74"/>
  <c r="H147" i="74"/>
  <c r="H150" i="69"/>
  <c r="I150" i="69"/>
  <c r="I141" i="80"/>
  <c r="H141" i="80"/>
  <c r="G150" i="18"/>
  <c r="D151" i="18"/>
  <c r="B151" i="18" s="1"/>
  <c r="J143" i="68"/>
  <c r="H142" i="79"/>
  <c r="I142" i="79"/>
  <c r="I148" i="73"/>
  <c r="I141" i="83"/>
  <c r="H141" i="83"/>
  <c r="F142" i="80"/>
  <c r="B142" i="80"/>
  <c r="I140" i="89"/>
  <c r="H140" i="89"/>
  <c r="G139" i="95"/>
  <c r="D140" i="95"/>
  <c r="E140" i="95"/>
  <c r="F142" i="82"/>
  <c r="B142" i="82"/>
  <c r="H134" i="102"/>
  <c r="I134" i="102"/>
  <c r="D146" i="62"/>
  <c r="B146" i="62" s="1"/>
  <c r="G145" i="62"/>
  <c r="E143" i="75"/>
  <c r="F143" i="75" s="1"/>
  <c r="G148" i="44"/>
  <c r="D149" i="44"/>
  <c r="B149" i="44" s="1"/>
  <c r="H141" i="101"/>
  <c r="I141" i="101"/>
  <c r="F135" i="102"/>
  <c r="B135" i="102"/>
  <c r="B141" i="94"/>
  <c r="F141" i="94"/>
  <c r="J151" i="31"/>
  <c r="D147" i="46"/>
  <c r="B147" i="46" s="1"/>
  <c r="G146" i="46"/>
  <c r="B141" i="87"/>
  <c r="F141" i="87"/>
  <c r="B142" i="83"/>
  <c r="F142" i="83"/>
  <c r="H149" i="71"/>
  <c r="I149" i="71"/>
  <c r="E143" i="77"/>
  <c r="F143" i="77" s="1"/>
  <c r="E143" i="76"/>
  <c r="F143" i="76" s="1"/>
  <c r="E144" i="67"/>
  <c r="F144" i="67" s="1"/>
  <c r="I142" i="75"/>
  <c r="H142" i="75"/>
  <c r="J144" i="64"/>
  <c r="F142" i="101"/>
  <c r="B142" i="101"/>
  <c r="J150" i="17"/>
  <c r="F142" i="85"/>
  <c r="B142" i="85"/>
  <c r="G138" i="99"/>
  <c r="D139" i="99"/>
  <c r="E139" i="99"/>
  <c r="H140" i="94"/>
  <c r="I140" i="94"/>
  <c r="D152" i="24"/>
  <c r="B152" i="24" s="1"/>
  <c r="G151" i="24"/>
  <c r="I140" i="87"/>
  <c r="H140" i="87"/>
  <c r="H146" i="57"/>
  <c r="I146" i="57"/>
  <c r="B141" i="88"/>
  <c r="F141" i="88"/>
  <c r="E146" i="59"/>
  <c r="F146" i="59" s="1"/>
  <c r="E143" i="78"/>
  <c r="F143" i="78" s="1"/>
  <c r="J149" i="18"/>
  <c r="I141" i="85"/>
  <c r="H141" i="85"/>
  <c r="D140" i="93"/>
  <c r="G139" i="93"/>
  <c r="E140" i="93"/>
  <c r="I147" i="55"/>
  <c r="H147" i="55"/>
  <c r="G151" i="34"/>
  <c r="D152" i="34"/>
  <c r="B152" i="34" s="1"/>
  <c r="E146" i="54"/>
  <c r="F146" i="54" s="1"/>
  <c r="H140" i="88"/>
  <c r="I140" i="88"/>
  <c r="B141" i="89"/>
  <c r="F141" i="89"/>
  <c r="I142" i="76"/>
  <c r="H142" i="76"/>
  <c r="H143" i="67"/>
  <c r="I143" i="67"/>
  <c r="H142" i="78"/>
  <c r="I142" i="78"/>
  <c r="H150" i="19"/>
  <c r="I150" i="19"/>
  <c r="H140" i="90"/>
  <c r="I140" i="90"/>
  <c r="D146" i="64"/>
  <c r="B146" i="64" s="1"/>
  <c r="G145" i="64"/>
  <c r="H150" i="70"/>
  <c r="I150" i="70"/>
  <c r="J147" i="73"/>
  <c r="H145" i="54"/>
  <c r="I145" i="54"/>
  <c r="E144" i="66"/>
  <c r="F144" i="66" s="1"/>
  <c r="B141" i="91"/>
  <c r="F141" i="91"/>
  <c r="B141" i="92"/>
  <c r="F141" i="92"/>
  <c r="I142" i="77"/>
  <c r="H142" i="77"/>
  <c r="B154" i="29"/>
  <c r="F154" i="29"/>
  <c r="G154" i="29" s="1"/>
  <c r="B139" i="98"/>
  <c r="F139" i="98"/>
  <c r="H153" i="29"/>
  <c r="I153" i="29"/>
  <c r="H145" i="59"/>
  <c r="I145" i="59"/>
  <c r="D140" i="97"/>
  <c r="G139" i="97"/>
  <c r="E140" i="97"/>
  <c r="H140" i="84"/>
  <c r="I140" i="84"/>
  <c r="J150" i="34"/>
  <c r="H153" i="30"/>
  <c r="I153" i="30"/>
  <c r="E148" i="74"/>
  <c r="F148" i="74" s="1"/>
  <c r="E147" i="56"/>
  <c r="F147" i="56" s="1"/>
  <c r="B141" i="90"/>
  <c r="F141" i="90"/>
  <c r="E151" i="32"/>
  <c r="F151" i="32" s="1"/>
  <c r="D149" i="45"/>
  <c r="B149" i="45" s="1"/>
  <c r="G148" i="45"/>
  <c r="I145" i="58"/>
  <c r="H145" i="58"/>
  <c r="I140" i="91"/>
  <c r="H140" i="91"/>
  <c r="H145" i="53"/>
  <c r="I145" i="53"/>
  <c r="E145" i="65"/>
  <c r="F145" i="65" s="1"/>
  <c r="H140" i="92"/>
  <c r="I140" i="92"/>
  <c r="H141" i="86"/>
  <c r="I141" i="86"/>
  <c r="H141" i="81"/>
  <c r="I141" i="81"/>
  <c r="B142" i="81"/>
  <c r="F142" i="81"/>
  <c r="J147" i="44"/>
  <c r="I138" i="98"/>
  <c r="H138" i="98"/>
  <c r="G141" i="96"/>
  <c r="D142" i="96"/>
  <c r="E142" i="96"/>
  <c r="G149" i="3"/>
  <c r="D150" i="3"/>
  <c r="B150" i="3" s="1"/>
  <c r="B141" i="84"/>
  <c r="F141" i="84"/>
  <c r="B154" i="30"/>
  <c r="F154" i="30"/>
  <c r="G154" i="30" s="1"/>
  <c r="I150" i="32"/>
  <c r="H150" i="32"/>
  <c r="D152" i="69"/>
  <c r="B152" i="69" s="1"/>
  <c r="G151" i="69"/>
  <c r="D147" i="72"/>
  <c r="B147" i="72" s="1"/>
  <c r="G146" i="72"/>
  <c r="G150" i="22"/>
  <c r="D151" i="22"/>
  <c r="B151" i="22" s="1"/>
  <c r="I143" i="66"/>
  <c r="H143" i="66"/>
  <c r="E149" i="73"/>
  <c r="F149" i="73" s="1"/>
  <c r="H144" i="65"/>
  <c r="I144" i="65"/>
  <c r="B142" i="86"/>
  <c r="F142" i="86"/>
  <c r="J152" i="29" l="1"/>
  <c r="I151" i="17"/>
  <c r="D148" i="57"/>
  <c r="B148" i="57" s="1"/>
  <c r="G146" i="56"/>
  <c r="D152" i="41"/>
  <c r="B152" i="41" s="1"/>
  <c r="E152" i="41"/>
  <c r="F152" i="41" s="1"/>
  <c r="G151" i="41"/>
  <c r="E149" i="43"/>
  <c r="F149" i="43" s="1"/>
  <c r="D150" i="43" s="1"/>
  <c r="B150" i="43" s="1"/>
  <c r="J150" i="41"/>
  <c r="G146" i="58"/>
  <c r="H146" i="58" s="1"/>
  <c r="I144" i="68"/>
  <c r="J144" i="68" s="1"/>
  <c r="E148" i="55"/>
  <c r="F148" i="55" s="1"/>
  <c r="G148" i="55" s="1"/>
  <c r="H148" i="55" s="1"/>
  <c r="E153" i="27"/>
  <c r="F153" i="27" s="1"/>
  <c r="D144" i="79"/>
  <c r="B144" i="79" s="1"/>
  <c r="H152" i="27"/>
  <c r="I152" i="27"/>
  <c r="H148" i="42"/>
  <c r="I148" i="42"/>
  <c r="B149" i="42"/>
  <c r="E149" i="42"/>
  <c r="F149" i="42" s="1"/>
  <c r="E149" i="44"/>
  <c r="F149" i="44" s="1"/>
  <c r="J148" i="43"/>
  <c r="J149" i="20"/>
  <c r="I154" i="28"/>
  <c r="H154" i="28"/>
  <c r="H155" i="28" s="1"/>
  <c r="I149" i="21"/>
  <c r="J149" i="21" s="1"/>
  <c r="H144" i="61"/>
  <c r="J144" i="61" s="1"/>
  <c r="G151" i="19"/>
  <c r="I151" i="19" s="1"/>
  <c r="D151" i="21"/>
  <c r="B151" i="21" s="1"/>
  <c r="D152" i="70"/>
  <c r="B152" i="70" s="1"/>
  <c r="D153" i="17"/>
  <c r="B153" i="17" s="1"/>
  <c r="H144" i="60"/>
  <c r="I144" i="60"/>
  <c r="J147" i="55"/>
  <c r="B145" i="60"/>
  <c r="E145" i="60"/>
  <c r="F145" i="60" s="1"/>
  <c r="G146" i="53"/>
  <c r="H146" i="53" s="1"/>
  <c r="D151" i="20"/>
  <c r="B151" i="20" s="1"/>
  <c r="G150" i="20"/>
  <c r="G150" i="71"/>
  <c r="H150" i="71" s="1"/>
  <c r="G152" i="31"/>
  <c r="D153" i="31"/>
  <c r="G135" i="13"/>
  <c r="D136" i="13"/>
  <c r="E136" i="13"/>
  <c r="J153" i="29"/>
  <c r="J144" i="63"/>
  <c r="E147" i="72"/>
  <c r="F147" i="72" s="1"/>
  <c r="G147" i="72" s="1"/>
  <c r="J148" i="39"/>
  <c r="G145" i="68"/>
  <c r="H145" i="68" s="1"/>
  <c r="E149" i="45"/>
  <c r="F149" i="45" s="1"/>
  <c r="D150" i="45" s="1"/>
  <c r="B150" i="45" s="1"/>
  <c r="J146" i="57"/>
  <c r="G149" i="39"/>
  <c r="D150" i="39"/>
  <c r="J153" i="30"/>
  <c r="D146" i="63"/>
  <c r="B146" i="63" s="1"/>
  <c r="G145" i="63"/>
  <c r="B146" i="68"/>
  <c r="E146" i="68"/>
  <c r="F146" i="68" s="1"/>
  <c r="D147" i="68" s="1"/>
  <c r="B147" i="68" s="1"/>
  <c r="J147" i="74"/>
  <c r="D146" i="61"/>
  <c r="J149" i="71"/>
  <c r="H151" i="23"/>
  <c r="I151" i="23"/>
  <c r="E151" i="22"/>
  <c r="F151" i="22" s="1"/>
  <c r="D152" i="22" s="1"/>
  <c r="B152" i="22" s="1"/>
  <c r="E150" i="3"/>
  <c r="F150" i="3" s="1"/>
  <c r="D151" i="3" s="1"/>
  <c r="E147" i="53"/>
  <c r="F147" i="53" s="1"/>
  <c r="D148" i="53" s="1"/>
  <c r="J143" i="67"/>
  <c r="E152" i="34"/>
  <c r="F152" i="34" s="1"/>
  <c r="D153" i="34" s="1"/>
  <c r="B153" i="34" s="1"/>
  <c r="E152" i="19"/>
  <c r="F152" i="19" s="1"/>
  <c r="D153" i="19" s="1"/>
  <c r="B153" i="19" s="1"/>
  <c r="E151" i="71"/>
  <c r="F151" i="71" s="1"/>
  <c r="D152" i="71" s="1"/>
  <c r="B152" i="71" s="1"/>
  <c r="J148" i="73"/>
  <c r="E152" i="23"/>
  <c r="F152" i="23" s="1"/>
  <c r="J144" i="65"/>
  <c r="J142" i="79"/>
  <c r="F140" i="97"/>
  <c r="B140" i="97"/>
  <c r="J150" i="32"/>
  <c r="G145" i="65"/>
  <c r="D146" i="65"/>
  <c r="B146" i="65" s="1"/>
  <c r="H148" i="45"/>
  <c r="I148" i="45"/>
  <c r="G149" i="73"/>
  <c r="D150" i="73"/>
  <c r="B150" i="73" s="1"/>
  <c r="I154" i="30"/>
  <c r="H154" i="30"/>
  <c r="H155" i="30" s="1"/>
  <c r="F142" i="96"/>
  <c r="B142" i="96"/>
  <c r="J145" i="53"/>
  <c r="E147" i="58"/>
  <c r="F147" i="58" s="1"/>
  <c r="D147" i="59"/>
  <c r="B147" i="59" s="1"/>
  <c r="G146" i="59"/>
  <c r="J151" i="17"/>
  <c r="D142" i="94"/>
  <c r="B142" i="94" s="1"/>
  <c r="G141" i="94"/>
  <c r="H148" i="44"/>
  <c r="I148" i="44"/>
  <c r="D143" i="82"/>
  <c r="B143" i="82" s="1"/>
  <c r="G142" i="82"/>
  <c r="J142" i="75"/>
  <c r="H147" i="57"/>
  <c r="I147" i="57"/>
  <c r="H152" i="17"/>
  <c r="I152" i="17"/>
  <c r="G143" i="75"/>
  <c r="D144" i="75"/>
  <c r="B144" i="75" s="1"/>
  <c r="H150" i="18"/>
  <c r="I150" i="18"/>
  <c r="E152" i="69"/>
  <c r="F152" i="69" s="1"/>
  <c r="I141" i="96"/>
  <c r="H141" i="96"/>
  <c r="G141" i="91"/>
  <c r="D142" i="91"/>
  <c r="E142" i="91"/>
  <c r="D142" i="88"/>
  <c r="G141" i="88"/>
  <c r="E142" i="88"/>
  <c r="D143" i="86"/>
  <c r="B143" i="86" s="1"/>
  <c r="G142" i="86"/>
  <c r="J143" i="66"/>
  <c r="H151" i="69"/>
  <c r="I151" i="69"/>
  <c r="G141" i="84"/>
  <c r="D142" i="84"/>
  <c r="B142" i="84" s="1"/>
  <c r="G151" i="32"/>
  <c r="D152" i="32"/>
  <c r="B152" i="32" s="1"/>
  <c r="E146" i="64"/>
  <c r="F146" i="64" s="1"/>
  <c r="J150" i="19"/>
  <c r="I146" i="58"/>
  <c r="I139" i="93"/>
  <c r="H139" i="93"/>
  <c r="E152" i="24"/>
  <c r="F152" i="24" s="1"/>
  <c r="D145" i="67"/>
  <c r="B145" i="67" s="1"/>
  <c r="G144" i="67"/>
  <c r="I145" i="61"/>
  <c r="H145" i="61"/>
  <c r="D142" i="87"/>
  <c r="G141" i="87"/>
  <c r="E142" i="87"/>
  <c r="E146" i="62"/>
  <c r="F146" i="62" s="1"/>
  <c r="D143" i="80"/>
  <c r="B143" i="80" s="1"/>
  <c r="G142" i="80"/>
  <c r="I143" i="79"/>
  <c r="H143" i="79"/>
  <c r="D149" i="74"/>
  <c r="B149" i="74" s="1"/>
  <c r="G148" i="74"/>
  <c r="G141" i="90"/>
  <c r="D142" i="90"/>
  <c r="E142" i="90"/>
  <c r="G139" i="98"/>
  <c r="D140" i="98"/>
  <c r="E140" i="98"/>
  <c r="H154" i="29"/>
  <c r="H155" i="29" s="1"/>
  <c r="I154" i="29"/>
  <c r="G144" i="66"/>
  <c r="D145" i="66"/>
  <c r="B145" i="66" s="1"/>
  <c r="H145" i="64"/>
  <c r="I145" i="64"/>
  <c r="B140" i="93"/>
  <c r="F140" i="93"/>
  <c r="H151" i="24"/>
  <c r="I151" i="24"/>
  <c r="F139" i="99"/>
  <c r="B139" i="99"/>
  <c r="D143" i="85"/>
  <c r="B143" i="85" s="1"/>
  <c r="G142" i="85"/>
  <c r="I145" i="62"/>
  <c r="H145" i="62"/>
  <c r="J150" i="69"/>
  <c r="H150" i="21"/>
  <c r="I150" i="21"/>
  <c r="I149" i="3"/>
  <c r="H149" i="3"/>
  <c r="J145" i="58"/>
  <c r="G141" i="92"/>
  <c r="D142" i="92"/>
  <c r="B142" i="92" s="1"/>
  <c r="J145" i="54"/>
  <c r="J142" i="76"/>
  <c r="H138" i="99"/>
  <c r="I138" i="99"/>
  <c r="G143" i="76"/>
  <c r="D144" i="76"/>
  <c r="B144" i="76" s="1"/>
  <c r="E147" i="46"/>
  <c r="F147" i="46" s="1"/>
  <c r="I148" i="55"/>
  <c r="I146" i="72"/>
  <c r="H146" i="72"/>
  <c r="I150" i="22"/>
  <c r="H150" i="22"/>
  <c r="D143" i="81"/>
  <c r="B143" i="81" s="1"/>
  <c r="G142" i="81"/>
  <c r="D148" i="56"/>
  <c r="B148" i="56" s="1"/>
  <c r="G147" i="56"/>
  <c r="I139" i="97"/>
  <c r="H139" i="97"/>
  <c r="G141" i="89"/>
  <c r="D142" i="89"/>
  <c r="E142" i="89"/>
  <c r="H151" i="34"/>
  <c r="I151" i="34"/>
  <c r="G143" i="77"/>
  <c r="D144" i="77"/>
  <c r="B144" i="77" s="1"/>
  <c r="D143" i="83"/>
  <c r="B143" i="83" s="1"/>
  <c r="G142" i="83"/>
  <c r="H146" i="46"/>
  <c r="I146" i="46"/>
  <c r="B140" i="95"/>
  <c r="F140" i="95"/>
  <c r="D143" i="101"/>
  <c r="E143" i="101" s="1"/>
  <c r="G142" i="101"/>
  <c r="G135" i="102"/>
  <c r="D136" i="102"/>
  <c r="B136" i="102" s="1"/>
  <c r="E136" i="102"/>
  <c r="D150" i="44"/>
  <c r="B150" i="44" s="1"/>
  <c r="G149" i="44"/>
  <c r="I139" i="95"/>
  <c r="H139" i="95"/>
  <c r="J145" i="59"/>
  <c r="J142" i="77"/>
  <c r="J150" i="70"/>
  <c r="J142" i="78"/>
  <c r="G146" i="54"/>
  <c r="D147" i="54"/>
  <c r="B147" i="54" s="1"/>
  <c r="D144" i="78"/>
  <c r="B144" i="78" s="1"/>
  <c r="G143" i="78"/>
  <c r="I151" i="70"/>
  <c r="H151" i="70"/>
  <c r="E148" i="57"/>
  <c r="F148" i="57" s="1"/>
  <c r="E153" i="17"/>
  <c r="F153" i="17" s="1"/>
  <c r="E151" i="18"/>
  <c r="F151" i="18" s="1"/>
  <c r="E150" i="43" l="1"/>
  <c r="F150" i="43" s="1"/>
  <c r="E144" i="79"/>
  <c r="F144" i="79" s="1"/>
  <c r="G144" i="79" s="1"/>
  <c r="I146" i="56"/>
  <c r="H146" i="56"/>
  <c r="I150" i="71"/>
  <c r="G149" i="43"/>
  <c r="I149" i="43" s="1"/>
  <c r="I151" i="41"/>
  <c r="H151" i="41"/>
  <c r="G152" i="41"/>
  <c r="D153" i="41"/>
  <c r="D149" i="55"/>
  <c r="B149" i="55" s="1"/>
  <c r="J152" i="27"/>
  <c r="J148" i="42"/>
  <c r="G153" i="27"/>
  <c r="D154" i="27"/>
  <c r="E154" i="27"/>
  <c r="E155" i="27" s="1"/>
  <c r="D145" i="79"/>
  <c r="B145" i="79" s="1"/>
  <c r="G152" i="19"/>
  <c r="H152" i="19" s="1"/>
  <c r="G149" i="42"/>
  <c r="D150" i="42"/>
  <c r="I145" i="68"/>
  <c r="J145" i="68" s="1"/>
  <c r="I146" i="53"/>
  <c r="J146" i="53" s="1"/>
  <c r="E151" i="20"/>
  <c r="F151" i="20" s="1"/>
  <c r="D152" i="20" s="1"/>
  <c r="B152" i="20" s="1"/>
  <c r="E151" i="21"/>
  <c r="F151" i="21" s="1"/>
  <c r="H151" i="19"/>
  <c r="J151" i="19" s="1"/>
  <c r="G146" i="68"/>
  <c r="H146" i="68" s="1"/>
  <c r="E152" i="70"/>
  <c r="F152" i="70" s="1"/>
  <c r="D153" i="70" s="1"/>
  <c r="B153" i="70" s="1"/>
  <c r="J154" i="28"/>
  <c r="J155" i="28" s="1"/>
  <c r="I155" i="28"/>
  <c r="G145" i="60"/>
  <c r="D146" i="60"/>
  <c r="G152" i="34"/>
  <c r="H152" i="34" s="1"/>
  <c r="D148" i="72"/>
  <c r="B148" i="72" s="1"/>
  <c r="J144" i="60"/>
  <c r="G151" i="22"/>
  <c r="I151" i="22" s="1"/>
  <c r="G149" i="45"/>
  <c r="I149" i="45" s="1"/>
  <c r="I150" i="20"/>
  <c r="H150" i="20"/>
  <c r="E143" i="85"/>
  <c r="F143" i="85" s="1"/>
  <c r="D144" i="85" s="1"/>
  <c r="B144" i="85" s="1"/>
  <c r="E145" i="66"/>
  <c r="F145" i="66" s="1"/>
  <c r="G145" i="66" s="1"/>
  <c r="D151" i="43"/>
  <c r="B151" i="43" s="1"/>
  <c r="G150" i="43"/>
  <c r="B153" i="31"/>
  <c r="E153" i="31"/>
  <c r="F153" i="31" s="1"/>
  <c r="H152" i="31"/>
  <c r="I152" i="31"/>
  <c r="J146" i="72"/>
  <c r="B136" i="13"/>
  <c r="F136" i="13"/>
  <c r="I135" i="13"/>
  <c r="H135" i="13"/>
  <c r="E147" i="54"/>
  <c r="F147" i="54" s="1"/>
  <c r="G147" i="54" s="1"/>
  <c r="J151" i="34"/>
  <c r="G151" i="71"/>
  <c r="I151" i="71" s="1"/>
  <c r="E153" i="19"/>
  <c r="F153" i="19" s="1"/>
  <c r="G153" i="19" s="1"/>
  <c r="J150" i="22"/>
  <c r="J149" i="3"/>
  <c r="E146" i="65"/>
  <c r="F146" i="65" s="1"/>
  <c r="G146" i="65" s="1"/>
  <c r="E143" i="82"/>
  <c r="F143" i="82" s="1"/>
  <c r="G143" i="82" s="1"/>
  <c r="J150" i="71"/>
  <c r="E146" i="63"/>
  <c r="F146" i="63" s="1"/>
  <c r="I145" i="63"/>
  <c r="H145" i="63"/>
  <c r="E142" i="84"/>
  <c r="F142" i="84" s="1"/>
  <c r="G142" i="84" s="1"/>
  <c r="J148" i="44"/>
  <c r="J151" i="23"/>
  <c r="B150" i="39"/>
  <c r="E150" i="39"/>
  <c r="F150" i="39" s="1"/>
  <c r="H149" i="39"/>
  <c r="I149" i="39"/>
  <c r="E143" i="81"/>
  <c r="F143" i="81" s="1"/>
  <c r="D144" i="81" s="1"/>
  <c r="B144" i="81" s="1"/>
  <c r="J145" i="64"/>
  <c r="E144" i="75"/>
  <c r="F144" i="75" s="1"/>
  <c r="D145" i="75" s="1"/>
  <c r="B145" i="75" s="1"/>
  <c r="E142" i="94"/>
  <c r="F142" i="94" s="1"/>
  <c r="E150" i="73"/>
  <c r="F150" i="73" s="1"/>
  <c r="D151" i="73" s="1"/>
  <c r="B151" i="73" s="1"/>
  <c r="B151" i="3"/>
  <c r="E151" i="3"/>
  <c r="F151" i="3" s="1"/>
  <c r="D152" i="3" s="1"/>
  <c r="B152" i="3" s="1"/>
  <c r="G150" i="3"/>
  <c r="H150" i="3" s="1"/>
  <c r="B146" i="61"/>
  <c r="E146" i="61"/>
  <c r="F146" i="61" s="1"/>
  <c r="J151" i="70"/>
  <c r="J151" i="69"/>
  <c r="E152" i="71"/>
  <c r="F152" i="71" s="1"/>
  <c r="D153" i="71" s="1"/>
  <c r="B153" i="71" s="1"/>
  <c r="E153" i="34"/>
  <c r="F153" i="34" s="1"/>
  <c r="G153" i="34" s="1"/>
  <c r="E147" i="59"/>
  <c r="F147" i="59" s="1"/>
  <c r="G147" i="59" s="1"/>
  <c r="G147" i="53"/>
  <c r="H147" i="53" s="1"/>
  <c r="F136" i="102"/>
  <c r="E137" i="102" s="1"/>
  <c r="J146" i="46"/>
  <c r="E152" i="32"/>
  <c r="F152" i="32" s="1"/>
  <c r="G152" i="32" s="1"/>
  <c r="J148" i="45"/>
  <c r="G152" i="23"/>
  <c r="D153" i="23"/>
  <c r="B153" i="23" s="1"/>
  <c r="I143" i="78"/>
  <c r="H143" i="78"/>
  <c r="H142" i="101"/>
  <c r="I142" i="101"/>
  <c r="E144" i="78"/>
  <c r="F144" i="78" s="1"/>
  <c r="E150" i="44"/>
  <c r="F150" i="44" s="1"/>
  <c r="F143" i="101"/>
  <c r="B143" i="101"/>
  <c r="E144" i="77"/>
  <c r="F144" i="77" s="1"/>
  <c r="E148" i="56"/>
  <c r="F148" i="56" s="1"/>
  <c r="E152" i="22"/>
  <c r="F152" i="22" s="1"/>
  <c r="H143" i="76"/>
  <c r="I143" i="76"/>
  <c r="E142" i="92"/>
  <c r="F142" i="92" s="1"/>
  <c r="G140" i="93"/>
  <c r="D141" i="93"/>
  <c r="E141" i="93"/>
  <c r="I139" i="98"/>
  <c r="H139" i="98"/>
  <c r="H148" i="74"/>
  <c r="I148" i="74"/>
  <c r="I142" i="80"/>
  <c r="H142" i="80"/>
  <c r="B142" i="87"/>
  <c r="F142" i="87"/>
  <c r="E143" i="86"/>
  <c r="F143" i="86" s="1"/>
  <c r="J150" i="18"/>
  <c r="J147" i="57"/>
  <c r="J154" i="30"/>
  <c r="J155" i="30" s="1"/>
  <c r="I155" i="30"/>
  <c r="I145" i="65"/>
  <c r="H145" i="65"/>
  <c r="H142" i="86"/>
  <c r="I142" i="86"/>
  <c r="G151" i="18"/>
  <c r="D152" i="18"/>
  <c r="B152" i="18" s="1"/>
  <c r="H143" i="77"/>
  <c r="I143" i="77"/>
  <c r="B142" i="89"/>
  <c r="F142" i="89"/>
  <c r="I141" i="92"/>
  <c r="H141" i="92"/>
  <c r="I142" i="85"/>
  <c r="H142" i="85"/>
  <c r="B142" i="90"/>
  <c r="F142" i="90"/>
  <c r="J145" i="61"/>
  <c r="J146" i="58"/>
  <c r="H141" i="91"/>
  <c r="I141" i="91"/>
  <c r="H141" i="89"/>
  <c r="I141" i="89"/>
  <c r="I141" i="90"/>
  <c r="H141" i="90"/>
  <c r="E145" i="67"/>
  <c r="F145" i="67" s="1"/>
  <c r="E147" i="68"/>
  <c r="F147" i="68" s="1"/>
  <c r="D143" i="94"/>
  <c r="B143" i="94" s="1"/>
  <c r="G142" i="94"/>
  <c r="I146" i="59"/>
  <c r="H146" i="59"/>
  <c r="H149" i="73"/>
  <c r="I149" i="73"/>
  <c r="I149" i="44"/>
  <c r="H149" i="44"/>
  <c r="H144" i="66"/>
  <c r="I144" i="66"/>
  <c r="D154" i="17"/>
  <c r="G153" i="17"/>
  <c r="I152" i="19"/>
  <c r="I142" i="81"/>
  <c r="H142" i="81"/>
  <c r="J148" i="55"/>
  <c r="J145" i="62"/>
  <c r="I155" i="29"/>
  <c r="J154" i="29"/>
  <c r="J155" i="29" s="1"/>
  <c r="D147" i="62"/>
  <c r="B147" i="62" s="1"/>
  <c r="G146" i="62"/>
  <c r="I144" i="67"/>
  <c r="H144" i="67"/>
  <c r="D147" i="64"/>
  <c r="B147" i="64" s="1"/>
  <c r="G146" i="64"/>
  <c r="I141" i="84"/>
  <c r="H141" i="84"/>
  <c r="I141" i="88"/>
  <c r="H141" i="88"/>
  <c r="I144" i="79"/>
  <c r="H144" i="79"/>
  <c r="H141" i="94"/>
  <c r="I141" i="94"/>
  <c r="E148" i="53"/>
  <c r="F148" i="53" s="1"/>
  <c r="B148" i="53"/>
  <c r="I147" i="56"/>
  <c r="H147" i="56"/>
  <c r="I151" i="32"/>
  <c r="H151" i="32"/>
  <c r="B142" i="91"/>
  <c r="F142" i="91"/>
  <c r="G148" i="57"/>
  <c r="D149" i="57"/>
  <c r="B149" i="57" s="1"/>
  <c r="I146" i="54"/>
  <c r="H146" i="54"/>
  <c r="I135" i="102"/>
  <c r="H135" i="102"/>
  <c r="E143" i="83"/>
  <c r="F143" i="83" s="1"/>
  <c r="E150" i="45"/>
  <c r="F150" i="45" s="1"/>
  <c r="D148" i="46"/>
  <c r="B148" i="46" s="1"/>
  <c r="G147" i="46"/>
  <c r="H147" i="72"/>
  <c r="I147" i="72"/>
  <c r="D140" i="99"/>
  <c r="G139" i="99"/>
  <c r="E140" i="99"/>
  <c r="B142" i="88"/>
  <c r="F142" i="88"/>
  <c r="G152" i="69"/>
  <c r="D153" i="69"/>
  <c r="B153" i="69" s="1"/>
  <c r="H143" i="75"/>
  <c r="I143" i="75"/>
  <c r="G147" i="58"/>
  <c r="D148" i="58"/>
  <c r="B148" i="58" s="1"/>
  <c r="H142" i="83"/>
  <c r="I142" i="83"/>
  <c r="E144" i="76"/>
  <c r="F144" i="76" s="1"/>
  <c r="J150" i="21"/>
  <c r="J151" i="24"/>
  <c r="J143" i="79"/>
  <c r="G152" i="24"/>
  <c r="D153" i="24"/>
  <c r="B153" i="24" s="1"/>
  <c r="J152" i="17"/>
  <c r="D143" i="96"/>
  <c r="B143" i="96" s="1"/>
  <c r="G142" i="96"/>
  <c r="G140" i="95"/>
  <c r="D141" i="95"/>
  <c r="E141" i="95"/>
  <c r="B140" i="98"/>
  <c r="F140" i="98"/>
  <c r="E149" i="74"/>
  <c r="F149" i="74" s="1"/>
  <c r="E143" i="80"/>
  <c r="F143" i="80" s="1"/>
  <c r="H141" i="87"/>
  <c r="I141" i="87"/>
  <c r="H142" i="82"/>
  <c r="I142" i="82"/>
  <c r="G140" i="97"/>
  <c r="D141" i="97"/>
  <c r="E141" i="97"/>
  <c r="H149" i="43" l="1"/>
  <c r="J149" i="43" s="1"/>
  <c r="J146" i="56"/>
  <c r="B153" i="41"/>
  <c r="E153" i="41"/>
  <c r="F153" i="41" s="1"/>
  <c r="I152" i="34"/>
  <c r="I152" i="41"/>
  <c r="J152" i="41" s="1"/>
  <c r="H152" i="41"/>
  <c r="E149" i="55"/>
  <c r="F149" i="55" s="1"/>
  <c r="J151" i="41"/>
  <c r="I146" i="68"/>
  <c r="J146" i="68" s="1"/>
  <c r="G143" i="85"/>
  <c r="E145" i="79"/>
  <c r="F145" i="79" s="1"/>
  <c r="D146" i="79" s="1"/>
  <c r="B146" i="79" s="1"/>
  <c r="H151" i="22"/>
  <c r="G152" i="70"/>
  <c r="I152" i="70" s="1"/>
  <c r="B154" i="27"/>
  <c r="F154" i="27"/>
  <c r="G154" i="27" s="1"/>
  <c r="H153" i="27"/>
  <c r="I153" i="27"/>
  <c r="J153" i="27" s="1"/>
  <c r="G151" i="20"/>
  <c r="I151" i="20" s="1"/>
  <c r="B150" i="42"/>
  <c r="E150" i="42"/>
  <c r="F150" i="42" s="1"/>
  <c r="E148" i="72"/>
  <c r="F148" i="72" s="1"/>
  <c r="H149" i="42"/>
  <c r="I149" i="42"/>
  <c r="J149" i="42" s="1"/>
  <c r="D146" i="66"/>
  <c r="B146" i="66" s="1"/>
  <c r="D153" i="32"/>
  <c r="B153" i="32" s="1"/>
  <c r="D143" i="84"/>
  <c r="B143" i="84" s="1"/>
  <c r="H149" i="45"/>
  <c r="J149" i="45" s="1"/>
  <c r="D154" i="19"/>
  <c r="E154" i="19" s="1"/>
  <c r="E155" i="19" s="1"/>
  <c r="H151" i="71"/>
  <c r="J151" i="71" s="1"/>
  <c r="D147" i="65"/>
  <c r="B147" i="65" s="1"/>
  <c r="G150" i="73"/>
  <c r="I150" i="73" s="1"/>
  <c r="G151" i="21"/>
  <c r="D152" i="21"/>
  <c r="E147" i="64"/>
  <c r="F147" i="64" s="1"/>
  <c r="G136" i="102"/>
  <c r="B146" i="60"/>
  <c r="E146" i="60"/>
  <c r="F146" i="60" s="1"/>
  <c r="I145" i="60"/>
  <c r="H145" i="60"/>
  <c r="D144" i="82"/>
  <c r="G145" i="79"/>
  <c r="H145" i="79" s="1"/>
  <c r="I147" i="53"/>
  <c r="G144" i="75"/>
  <c r="I144" i="75" s="1"/>
  <c r="D148" i="54"/>
  <c r="B148" i="54" s="1"/>
  <c r="H151" i="20"/>
  <c r="E151" i="43"/>
  <c r="F151" i="43" s="1"/>
  <c r="J150" i="20"/>
  <c r="E143" i="94"/>
  <c r="F143" i="94" s="1"/>
  <c r="D144" i="94" s="1"/>
  <c r="B144" i="94" s="1"/>
  <c r="I150" i="43"/>
  <c r="H150" i="43"/>
  <c r="E152" i="20"/>
  <c r="F152" i="20" s="1"/>
  <c r="J143" i="75"/>
  <c r="I150" i="3"/>
  <c r="J150" i="3" s="1"/>
  <c r="J149" i="39"/>
  <c r="E151" i="73"/>
  <c r="F151" i="73" s="1"/>
  <c r="G151" i="73" s="1"/>
  <c r="G151" i="3"/>
  <c r="I151" i="3" s="1"/>
  <c r="D154" i="34"/>
  <c r="E154" i="34" s="1"/>
  <c r="E155" i="34" s="1"/>
  <c r="J152" i="31"/>
  <c r="E147" i="62"/>
  <c r="F147" i="62" s="1"/>
  <c r="D148" i="62" s="1"/>
  <c r="B148" i="62" s="1"/>
  <c r="J151" i="22"/>
  <c r="G153" i="31"/>
  <c r="D154" i="31"/>
  <c r="G136" i="13"/>
  <c r="E137" i="13"/>
  <c r="D137" i="13"/>
  <c r="D137" i="102"/>
  <c r="F137" i="102" s="1"/>
  <c r="J148" i="74"/>
  <c r="E144" i="85"/>
  <c r="F144" i="85" s="1"/>
  <c r="D145" i="85" s="1"/>
  <c r="B145" i="85" s="1"/>
  <c r="J143" i="77"/>
  <c r="J145" i="63"/>
  <c r="G143" i="81"/>
  <c r="H143" i="81" s="1"/>
  <c r="G150" i="39"/>
  <c r="D151" i="39"/>
  <c r="D147" i="63"/>
  <c r="B147" i="63" s="1"/>
  <c r="G146" i="63"/>
  <c r="J144" i="79"/>
  <c r="J145" i="65"/>
  <c r="J143" i="78"/>
  <c r="G152" i="71"/>
  <c r="I152" i="71" s="1"/>
  <c r="J151" i="32"/>
  <c r="E153" i="23"/>
  <c r="F153" i="23" s="1"/>
  <c r="G153" i="23" s="1"/>
  <c r="E148" i="58"/>
  <c r="F148" i="58" s="1"/>
  <c r="G148" i="58" s="1"/>
  <c r="E149" i="57"/>
  <c r="F149" i="57" s="1"/>
  <c r="D150" i="57" s="1"/>
  <c r="B150" i="57" s="1"/>
  <c r="J147" i="56"/>
  <c r="E152" i="3"/>
  <c r="F152" i="3" s="1"/>
  <c r="G152" i="3" s="1"/>
  <c r="J152" i="19"/>
  <c r="E152" i="18"/>
  <c r="F152" i="18" s="1"/>
  <c r="G152" i="18" s="1"/>
  <c r="I152" i="23"/>
  <c r="H152" i="23"/>
  <c r="G146" i="61"/>
  <c r="D147" i="61"/>
  <c r="J143" i="76"/>
  <c r="E144" i="81"/>
  <c r="F144" i="81" s="1"/>
  <c r="G144" i="81" s="1"/>
  <c r="D148" i="59"/>
  <c r="B148" i="59" s="1"/>
  <c r="E153" i="69"/>
  <c r="F153" i="69" s="1"/>
  <c r="G153" i="69" s="1"/>
  <c r="B141" i="95"/>
  <c r="F141" i="95"/>
  <c r="I146" i="64"/>
  <c r="H146" i="64"/>
  <c r="I136" i="102"/>
  <c r="H136" i="102"/>
  <c r="D149" i="56"/>
  <c r="B149" i="56" s="1"/>
  <c r="G148" i="56"/>
  <c r="G144" i="78"/>
  <c r="D145" i="78"/>
  <c r="B145" i="78" s="1"/>
  <c r="G149" i="74"/>
  <c r="D150" i="74"/>
  <c r="B150" i="74" s="1"/>
  <c r="I140" i="95"/>
  <c r="H140" i="95"/>
  <c r="E153" i="70"/>
  <c r="F153" i="70" s="1"/>
  <c r="B140" i="99"/>
  <c r="F140" i="99"/>
  <c r="G150" i="45"/>
  <c r="D151" i="45"/>
  <c r="B151" i="45" s="1"/>
  <c r="J146" i="54"/>
  <c r="J149" i="44"/>
  <c r="H142" i="94"/>
  <c r="I142" i="94"/>
  <c r="G147" i="68"/>
  <c r="D148" i="68"/>
  <c r="B148" i="68" s="1"/>
  <c r="G144" i="77"/>
  <c r="D145" i="77"/>
  <c r="B145" i="77" s="1"/>
  <c r="E153" i="24"/>
  <c r="F153" i="24" s="1"/>
  <c r="I147" i="58"/>
  <c r="H147" i="58"/>
  <c r="J147" i="72"/>
  <c r="D146" i="67"/>
  <c r="B146" i="67" s="1"/>
  <c r="G145" i="67"/>
  <c r="E148" i="54"/>
  <c r="F148" i="54" s="1"/>
  <c r="G142" i="92"/>
  <c r="D143" i="92"/>
  <c r="B143" i="92" s="1"/>
  <c r="B141" i="97"/>
  <c r="F141" i="97"/>
  <c r="D144" i="80"/>
  <c r="B144" i="80" s="1"/>
  <c r="G143" i="80"/>
  <c r="I139" i="99"/>
  <c r="H139" i="99"/>
  <c r="J144" i="67"/>
  <c r="J149" i="73"/>
  <c r="E146" i="79"/>
  <c r="F146" i="79" s="1"/>
  <c r="H147" i="54"/>
  <c r="I147" i="54"/>
  <c r="D144" i="101"/>
  <c r="E144" i="101" s="1"/>
  <c r="G143" i="101"/>
  <c r="I140" i="97"/>
  <c r="H140" i="97"/>
  <c r="D141" i="98"/>
  <c r="G140" i="98"/>
  <c r="E141" i="98"/>
  <c r="I146" i="65"/>
  <c r="H146" i="65"/>
  <c r="H152" i="32"/>
  <c r="I152" i="32"/>
  <c r="E146" i="66"/>
  <c r="F146" i="66" s="1"/>
  <c r="I143" i="82"/>
  <c r="H143" i="82"/>
  <c r="I152" i="24"/>
  <c r="H152" i="24"/>
  <c r="H148" i="57"/>
  <c r="I148" i="57"/>
  <c r="D149" i="53"/>
  <c r="B149" i="53" s="1"/>
  <c r="G148" i="53"/>
  <c r="G147" i="62"/>
  <c r="I153" i="17"/>
  <c r="H153" i="17"/>
  <c r="I147" i="59"/>
  <c r="H147" i="59"/>
  <c r="E143" i="84"/>
  <c r="F143" i="84" s="1"/>
  <c r="G142" i="90"/>
  <c r="D143" i="90"/>
  <c r="B143" i="90" s="1"/>
  <c r="I151" i="18"/>
  <c r="H151" i="18"/>
  <c r="D144" i="86"/>
  <c r="B144" i="86" s="1"/>
  <c r="G143" i="86"/>
  <c r="D151" i="44"/>
  <c r="B151" i="44" s="1"/>
  <c r="G150" i="44"/>
  <c r="H143" i="85"/>
  <c r="I143" i="85"/>
  <c r="H152" i="69"/>
  <c r="I152" i="69"/>
  <c r="D143" i="88"/>
  <c r="B143" i="88" s="1"/>
  <c r="G142" i="88"/>
  <c r="E143" i="96"/>
  <c r="F143" i="96" s="1"/>
  <c r="G143" i="83"/>
  <c r="D144" i="83"/>
  <c r="B144" i="83" s="1"/>
  <c r="G142" i="91"/>
  <c r="D143" i="91"/>
  <c r="B143" i="91" s="1"/>
  <c r="H146" i="62"/>
  <c r="I146" i="62"/>
  <c r="E154" i="17"/>
  <c r="E155" i="17" s="1"/>
  <c r="B154" i="17"/>
  <c r="I153" i="19"/>
  <c r="H153" i="19"/>
  <c r="E153" i="71"/>
  <c r="F153" i="71" s="1"/>
  <c r="G142" i="87"/>
  <c r="D143" i="87"/>
  <c r="B143" i="87" s="1"/>
  <c r="I145" i="66"/>
  <c r="H145" i="66"/>
  <c r="I142" i="96"/>
  <c r="H142" i="96"/>
  <c r="D145" i="76"/>
  <c r="B145" i="76" s="1"/>
  <c r="G144" i="76"/>
  <c r="J147" i="53"/>
  <c r="E148" i="46"/>
  <c r="F148" i="46" s="1"/>
  <c r="J144" i="66"/>
  <c r="J146" i="59"/>
  <c r="E145" i="75"/>
  <c r="F145" i="75" s="1"/>
  <c r="B154" i="19"/>
  <c r="F154" i="19"/>
  <c r="G154" i="19" s="1"/>
  <c r="H142" i="84"/>
  <c r="I142" i="84"/>
  <c r="D143" i="89"/>
  <c r="B143" i="89" s="1"/>
  <c r="G142" i="89"/>
  <c r="F141" i="93"/>
  <c r="B141" i="93"/>
  <c r="I147" i="46"/>
  <c r="H147" i="46"/>
  <c r="D148" i="64"/>
  <c r="B148" i="64" s="1"/>
  <c r="G147" i="64"/>
  <c r="J152" i="34"/>
  <c r="H153" i="34"/>
  <c r="I153" i="34"/>
  <c r="H140" i="93"/>
  <c r="I140" i="93"/>
  <c r="G152" i="22"/>
  <c r="D153" i="22"/>
  <c r="B153" i="22" s="1"/>
  <c r="H152" i="70" l="1"/>
  <c r="G149" i="55"/>
  <c r="D150" i="55"/>
  <c r="B154" i="34"/>
  <c r="D153" i="18"/>
  <c r="B153" i="18" s="1"/>
  <c r="G153" i="41"/>
  <c r="D154" i="41"/>
  <c r="B137" i="102"/>
  <c r="H144" i="75"/>
  <c r="I154" i="27"/>
  <c r="H154" i="27"/>
  <c r="H155" i="27" s="1"/>
  <c r="E153" i="32"/>
  <c r="F153" i="32" s="1"/>
  <c r="J151" i="20"/>
  <c r="I143" i="81"/>
  <c r="I145" i="79"/>
  <c r="H152" i="71"/>
  <c r="J152" i="71" s="1"/>
  <c r="G148" i="72"/>
  <c r="D149" i="72"/>
  <c r="G150" i="42"/>
  <c r="D151" i="42"/>
  <c r="H151" i="21"/>
  <c r="I151" i="21"/>
  <c r="H150" i="73"/>
  <c r="J150" i="73" s="1"/>
  <c r="G143" i="94"/>
  <c r="H143" i="94" s="1"/>
  <c r="E147" i="65"/>
  <c r="F147" i="65" s="1"/>
  <c r="G144" i="85"/>
  <c r="H144" i="85" s="1"/>
  <c r="B152" i="21"/>
  <c r="E152" i="21"/>
  <c r="F152" i="21" s="1"/>
  <c r="H151" i="3"/>
  <c r="J151" i="3" s="1"/>
  <c r="D152" i="73"/>
  <c r="B152" i="73" s="1"/>
  <c r="J145" i="60"/>
  <c r="D147" i="60"/>
  <c r="G146" i="60"/>
  <c r="D152" i="43"/>
  <c r="B152" i="43" s="1"/>
  <c r="G151" i="43"/>
  <c r="D153" i="20"/>
  <c r="G152" i="20"/>
  <c r="J150" i="43"/>
  <c r="B144" i="82"/>
  <c r="E144" i="82"/>
  <c r="F144" i="82" s="1"/>
  <c r="J148" i="57"/>
  <c r="E154" i="31"/>
  <c r="E155" i="31" s="1"/>
  <c r="B154" i="31"/>
  <c r="I153" i="31"/>
  <c r="H153" i="31"/>
  <c r="B137" i="13"/>
  <c r="F137" i="13"/>
  <c r="H136" i="13"/>
  <c r="I136" i="13"/>
  <c r="D149" i="58"/>
  <c r="B149" i="58" s="1"/>
  <c r="D154" i="23"/>
  <c r="E154" i="23" s="1"/>
  <c r="E143" i="88"/>
  <c r="F143" i="88" s="1"/>
  <c r="G143" i="88" s="1"/>
  <c r="E148" i="59"/>
  <c r="F148" i="59" s="1"/>
  <c r="D149" i="59" s="1"/>
  <c r="B149" i="59" s="1"/>
  <c r="E143" i="89"/>
  <c r="F143" i="89" s="1"/>
  <c r="D144" i="89" s="1"/>
  <c r="B144" i="89" s="1"/>
  <c r="J152" i="23"/>
  <c r="J153" i="34"/>
  <c r="B151" i="39"/>
  <c r="E151" i="39"/>
  <c r="F151" i="39" s="1"/>
  <c r="D145" i="81"/>
  <c r="B145" i="81" s="1"/>
  <c r="J153" i="17"/>
  <c r="I150" i="39"/>
  <c r="H150" i="39"/>
  <c r="J146" i="62"/>
  <c r="J152" i="32"/>
  <c r="E153" i="22"/>
  <c r="F153" i="22" s="1"/>
  <c r="G153" i="22" s="1"/>
  <c r="E143" i="91"/>
  <c r="F143" i="91" s="1"/>
  <c r="D144" i="91" s="1"/>
  <c r="B144" i="91" s="1"/>
  <c r="E144" i="80"/>
  <c r="F144" i="80" s="1"/>
  <c r="D153" i="3"/>
  <c r="B153" i="3" s="1"/>
  <c r="E151" i="45"/>
  <c r="F151" i="45" s="1"/>
  <c r="D152" i="45" s="1"/>
  <c r="B152" i="45" s="1"/>
  <c r="E147" i="63"/>
  <c r="F147" i="63" s="1"/>
  <c r="J147" i="54"/>
  <c r="H146" i="63"/>
  <c r="I146" i="63"/>
  <c r="E148" i="64"/>
  <c r="F148" i="64" s="1"/>
  <c r="G148" i="64" s="1"/>
  <c r="E148" i="62"/>
  <c r="F148" i="62" s="1"/>
  <c r="G148" i="62" s="1"/>
  <c r="J146" i="65"/>
  <c r="G149" i="57"/>
  <c r="H149" i="57" s="1"/>
  <c r="J147" i="58"/>
  <c r="E145" i="78"/>
  <c r="F145" i="78" s="1"/>
  <c r="D146" i="78" s="1"/>
  <c r="B146" i="78" s="1"/>
  <c r="E148" i="68"/>
  <c r="F148" i="68" s="1"/>
  <c r="D149" i="68" s="1"/>
  <c r="B149" i="68" s="1"/>
  <c r="D154" i="69"/>
  <c r="E154" i="69" s="1"/>
  <c r="E155" i="69" s="1"/>
  <c r="J152" i="69"/>
  <c r="B147" i="61"/>
  <c r="E147" i="61"/>
  <c r="F147" i="61" s="1"/>
  <c r="E149" i="53"/>
  <c r="F149" i="53" s="1"/>
  <c r="D150" i="53" s="1"/>
  <c r="B150" i="53" s="1"/>
  <c r="E149" i="56"/>
  <c r="F149" i="56" s="1"/>
  <c r="G149" i="56" s="1"/>
  <c r="J144" i="75"/>
  <c r="H146" i="61"/>
  <c r="I146" i="61"/>
  <c r="J152" i="24"/>
  <c r="F154" i="34"/>
  <c r="G154" i="34" s="1"/>
  <c r="H154" i="34" s="1"/>
  <c r="H155" i="34" s="1"/>
  <c r="E143" i="90"/>
  <c r="F143" i="90" s="1"/>
  <c r="D144" i="90" s="1"/>
  <c r="B144" i="90" s="1"/>
  <c r="J145" i="79"/>
  <c r="H153" i="23"/>
  <c r="I153" i="23"/>
  <c r="I142" i="87"/>
  <c r="H142" i="87"/>
  <c r="I148" i="58"/>
  <c r="H148" i="58"/>
  <c r="D149" i="54"/>
  <c r="B149" i="54" s="1"/>
  <c r="G148" i="54"/>
  <c r="I144" i="81"/>
  <c r="H144" i="81"/>
  <c r="E145" i="76"/>
  <c r="F145" i="76" s="1"/>
  <c r="J145" i="66"/>
  <c r="H143" i="83"/>
  <c r="I143" i="83"/>
  <c r="E144" i="86"/>
  <c r="F144" i="86" s="1"/>
  <c r="G143" i="84"/>
  <c r="D144" i="84"/>
  <c r="B144" i="84" s="1"/>
  <c r="E145" i="85"/>
  <c r="F145" i="85" s="1"/>
  <c r="I142" i="92"/>
  <c r="H142" i="92"/>
  <c r="E146" i="67"/>
  <c r="F146" i="67" s="1"/>
  <c r="D154" i="24"/>
  <c r="G153" i="24"/>
  <c r="G153" i="70"/>
  <c r="D154" i="70"/>
  <c r="I148" i="56"/>
  <c r="H148" i="56"/>
  <c r="E144" i="94"/>
  <c r="F144" i="94" s="1"/>
  <c r="E145" i="77"/>
  <c r="F145" i="77" s="1"/>
  <c r="E150" i="74"/>
  <c r="F150" i="74" s="1"/>
  <c r="D146" i="75"/>
  <c r="B146" i="75" s="1"/>
  <c r="G145" i="75"/>
  <c r="G153" i="71"/>
  <c r="D154" i="71"/>
  <c r="D144" i="96"/>
  <c r="B144" i="96" s="1"/>
  <c r="G143" i="96"/>
  <c r="I147" i="62"/>
  <c r="H147" i="62"/>
  <c r="H152" i="18"/>
  <c r="I152" i="18"/>
  <c r="H144" i="77"/>
  <c r="I144" i="77"/>
  <c r="G151" i="45"/>
  <c r="H149" i="74"/>
  <c r="I149" i="74"/>
  <c r="H142" i="90"/>
  <c r="I142" i="90"/>
  <c r="H144" i="76"/>
  <c r="I144" i="76"/>
  <c r="G144" i="80"/>
  <c r="D145" i="80"/>
  <c r="B145" i="80" s="1"/>
  <c r="H153" i="69"/>
  <c r="I153" i="69"/>
  <c r="D147" i="66"/>
  <c r="B147" i="66" s="1"/>
  <c r="G146" i="66"/>
  <c r="H143" i="80"/>
  <c r="I143" i="80"/>
  <c r="I152" i="22"/>
  <c r="H152" i="22"/>
  <c r="J151" i="18"/>
  <c r="I140" i="98"/>
  <c r="H140" i="98"/>
  <c r="H143" i="101"/>
  <c r="I143" i="101"/>
  <c r="G141" i="97"/>
  <c r="D142" i="97"/>
  <c r="E142" i="97"/>
  <c r="J146" i="64"/>
  <c r="I151" i="73"/>
  <c r="H151" i="73"/>
  <c r="H145" i="67"/>
  <c r="I145" i="67"/>
  <c r="D142" i="93"/>
  <c r="G141" i="93"/>
  <c r="E142" i="93"/>
  <c r="J147" i="59"/>
  <c r="I147" i="64"/>
  <c r="H147" i="64"/>
  <c r="I142" i="89"/>
  <c r="H142" i="89"/>
  <c r="J147" i="46"/>
  <c r="D149" i="46"/>
  <c r="B149" i="46" s="1"/>
  <c r="G148" i="46"/>
  <c r="E143" i="87"/>
  <c r="F143" i="87" s="1"/>
  <c r="J153" i="19"/>
  <c r="H142" i="91"/>
  <c r="I142" i="91"/>
  <c r="H142" i="88"/>
  <c r="I142" i="88"/>
  <c r="E151" i="44"/>
  <c r="F151" i="44" s="1"/>
  <c r="I148" i="53"/>
  <c r="H148" i="53"/>
  <c r="B141" i="98"/>
  <c r="F141" i="98"/>
  <c r="F144" i="101"/>
  <c r="B144" i="101"/>
  <c r="D147" i="79"/>
  <c r="B147" i="79" s="1"/>
  <c r="G146" i="79"/>
  <c r="H152" i="3"/>
  <c r="I152" i="3"/>
  <c r="H147" i="68"/>
  <c r="I147" i="68"/>
  <c r="I150" i="45"/>
  <c r="H150" i="45"/>
  <c r="G141" i="95"/>
  <c r="D142" i="95"/>
  <c r="E142" i="95"/>
  <c r="H154" i="19"/>
  <c r="H155" i="19" s="1"/>
  <c r="I154" i="19"/>
  <c r="I143" i="86"/>
  <c r="H143" i="86"/>
  <c r="G153" i="32"/>
  <c r="D154" i="32"/>
  <c r="F154" i="17"/>
  <c r="G154" i="17" s="1"/>
  <c r="E144" i="83"/>
  <c r="F144" i="83" s="1"/>
  <c r="I150" i="44"/>
  <c r="H150" i="44"/>
  <c r="J152" i="70"/>
  <c r="E143" i="92"/>
  <c r="F143" i="92" s="1"/>
  <c r="E150" i="57"/>
  <c r="F150" i="57" s="1"/>
  <c r="D138" i="102"/>
  <c r="G137" i="102"/>
  <c r="E138" i="102"/>
  <c r="D141" i="99"/>
  <c r="G140" i="99"/>
  <c r="E141" i="99"/>
  <c r="I144" i="78"/>
  <c r="H144" i="78"/>
  <c r="G143" i="89" l="1"/>
  <c r="E153" i="18"/>
  <c r="F153" i="18" s="1"/>
  <c r="D154" i="18" s="1"/>
  <c r="E154" i="18" s="1"/>
  <c r="E155" i="18" s="1"/>
  <c r="B154" i="41"/>
  <c r="E154" i="41"/>
  <c r="G145" i="78"/>
  <c r="H145" i="78" s="1"/>
  <c r="I143" i="94"/>
  <c r="I153" i="41"/>
  <c r="H153" i="41"/>
  <c r="G148" i="59"/>
  <c r="I148" i="59" s="1"/>
  <c r="D149" i="62"/>
  <c r="B149" i="62" s="1"/>
  <c r="B150" i="55"/>
  <c r="E150" i="55"/>
  <c r="F150" i="55" s="1"/>
  <c r="I154" i="34"/>
  <c r="I149" i="55"/>
  <c r="H149" i="55"/>
  <c r="E152" i="73"/>
  <c r="F152" i="73" s="1"/>
  <c r="D153" i="73" s="1"/>
  <c r="B153" i="73" s="1"/>
  <c r="J154" i="27"/>
  <c r="J155" i="27" s="1"/>
  <c r="I155" i="27"/>
  <c r="G148" i="68"/>
  <c r="B151" i="42"/>
  <c r="E151" i="42"/>
  <c r="F151" i="42" s="1"/>
  <c r="H150" i="42"/>
  <c r="I150" i="42"/>
  <c r="B149" i="72"/>
  <c r="E149" i="72"/>
  <c r="F149" i="72" s="1"/>
  <c r="H148" i="72"/>
  <c r="I148" i="72"/>
  <c r="E152" i="43"/>
  <c r="F152" i="43" s="1"/>
  <c r="D150" i="56"/>
  <c r="B150" i="56" s="1"/>
  <c r="D148" i="65"/>
  <c r="B148" i="65" s="1"/>
  <c r="G147" i="65"/>
  <c r="G152" i="21"/>
  <c r="D153" i="21"/>
  <c r="B153" i="21" s="1"/>
  <c r="G143" i="90"/>
  <c r="I143" i="90" s="1"/>
  <c r="E149" i="58"/>
  <c r="F149" i="58" s="1"/>
  <c r="D150" i="58" s="1"/>
  <c r="B150" i="58" s="1"/>
  <c r="I144" i="85"/>
  <c r="G153" i="18"/>
  <c r="H153" i="18" s="1"/>
  <c r="J151" i="21"/>
  <c r="F154" i="31"/>
  <c r="G154" i="31" s="1"/>
  <c r="I154" i="31" s="1"/>
  <c r="B154" i="69"/>
  <c r="H146" i="60"/>
  <c r="I146" i="60"/>
  <c r="B147" i="60"/>
  <c r="E147" i="60"/>
  <c r="F147" i="60" s="1"/>
  <c r="G144" i="82"/>
  <c r="D145" i="82"/>
  <c r="B145" i="82" s="1"/>
  <c r="I152" i="20"/>
  <c r="H152" i="20"/>
  <c r="B153" i="20"/>
  <c r="E153" i="20"/>
  <c r="F153" i="20" s="1"/>
  <c r="B154" i="23"/>
  <c r="G152" i="43"/>
  <c r="D153" i="43"/>
  <c r="H151" i="43"/>
  <c r="I151" i="43"/>
  <c r="J144" i="76"/>
  <c r="J150" i="45"/>
  <c r="E155" i="23"/>
  <c r="F154" i="23"/>
  <c r="G154" i="23" s="1"/>
  <c r="I154" i="23" s="1"/>
  <c r="J153" i="23"/>
  <c r="J153" i="31"/>
  <c r="E145" i="81"/>
  <c r="F145" i="81" s="1"/>
  <c r="G145" i="81" s="1"/>
  <c r="J144" i="77"/>
  <c r="J147" i="62"/>
  <c r="D144" i="88"/>
  <c r="B144" i="88" s="1"/>
  <c r="I149" i="57"/>
  <c r="J149" i="57" s="1"/>
  <c r="E138" i="13"/>
  <c r="G137" i="13"/>
  <c r="D138" i="13"/>
  <c r="E152" i="45"/>
  <c r="F152" i="45" s="1"/>
  <c r="D153" i="45" s="1"/>
  <c r="B153" i="45" s="1"/>
  <c r="D149" i="64"/>
  <c r="B149" i="64" s="1"/>
  <c r="E144" i="90"/>
  <c r="F144" i="90" s="1"/>
  <c r="D145" i="90" s="1"/>
  <c r="B145" i="90" s="1"/>
  <c r="E146" i="75"/>
  <c r="F146" i="75" s="1"/>
  <c r="D147" i="75" s="1"/>
  <c r="B147" i="75" s="1"/>
  <c r="J152" i="22"/>
  <c r="G147" i="63"/>
  <c r="D148" i="63"/>
  <c r="B148" i="63" s="1"/>
  <c r="J150" i="39"/>
  <c r="J148" i="58"/>
  <c r="E153" i="3"/>
  <c r="F153" i="3" s="1"/>
  <c r="D154" i="22"/>
  <c r="E154" i="22" s="1"/>
  <c r="E155" i="22" s="1"/>
  <c r="G143" i="91"/>
  <c r="I143" i="91" s="1"/>
  <c r="J146" i="63"/>
  <c r="G151" i="39"/>
  <c r="D152" i="39"/>
  <c r="E149" i="46"/>
  <c r="F149" i="46" s="1"/>
  <c r="G149" i="46" s="1"/>
  <c r="J147" i="64"/>
  <c r="E149" i="54"/>
  <c r="F149" i="54" s="1"/>
  <c r="D150" i="54" s="1"/>
  <c r="B150" i="54" s="1"/>
  <c r="J146" i="61"/>
  <c r="G147" i="61"/>
  <c r="D148" i="61"/>
  <c r="B148" i="61" s="1"/>
  <c r="F154" i="69"/>
  <c r="G154" i="69" s="1"/>
  <c r="I154" i="69" s="1"/>
  <c r="J152" i="3"/>
  <c r="J153" i="69"/>
  <c r="J147" i="68"/>
  <c r="E149" i="62"/>
  <c r="F149" i="62" s="1"/>
  <c r="D150" i="62" s="1"/>
  <c r="G149" i="53"/>
  <c r="H149" i="53" s="1"/>
  <c r="E150" i="53"/>
  <c r="F150" i="53" s="1"/>
  <c r="D151" i="53" s="1"/>
  <c r="B151" i="53" s="1"/>
  <c r="J144" i="78"/>
  <c r="E147" i="66"/>
  <c r="F147" i="66" s="1"/>
  <c r="G147" i="66" s="1"/>
  <c r="J148" i="56"/>
  <c r="B141" i="99"/>
  <c r="F141" i="99"/>
  <c r="J154" i="34"/>
  <c r="J155" i="34" s="1"/>
  <c r="I155" i="34"/>
  <c r="I148" i="46"/>
  <c r="H148" i="46"/>
  <c r="B142" i="93"/>
  <c r="F142" i="93"/>
  <c r="H141" i="97"/>
  <c r="I141" i="97"/>
  <c r="E149" i="68"/>
  <c r="F149" i="68" s="1"/>
  <c r="E144" i="96"/>
  <c r="F144" i="96" s="1"/>
  <c r="G152" i="73"/>
  <c r="H149" i="56"/>
  <c r="I149" i="56"/>
  <c r="D145" i="83"/>
  <c r="B145" i="83" s="1"/>
  <c r="G144" i="83"/>
  <c r="D144" i="92"/>
  <c r="B144" i="92" s="1"/>
  <c r="G143" i="92"/>
  <c r="H137" i="102"/>
  <c r="I137" i="102"/>
  <c r="J154" i="19"/>
  <c r="J155" i="19" s="1"/>
  <c r="I155" i="19"/>
  <c r="E147" i="79"/>
  <c r="F147" i="79" s="1"/>
  <c r="J148" i="53"/>
  <c r="J145" i="67"/>
  <c r="I153" i="22"/>
  <c r="H153" i="22"/>
  <c r="J149" i="74"/>
  <c r="H148" i="68"/>
  <c r="I148" i="68"/>
  <c r="J152" i="18"/>
  <c r="H143" i="96"/>
  <c r="I143" i="96"/>
  <c r="B154" i="18"/>
  <c r="F154" i="18"/>
  <c r="G154" i="18" s="1"/>
  <c r="G145" i="77"/>
  <c r="D146" i="77"/>
  <c r="B146" i="77" s="1"/>
  <c r="E154" i="70"/>
  <c r="E155" i="70" s="1"/>
  <c r="B154" i="70"/>
  <c r="D146" i="85"/>
  <c r="B146" i="85" s="1"/>
  <c r="G145" i="85"/>
  <c r="B142" i="97"/>
  <c r="F142" i="97"/>
  <c r="D151" i="74"/>
  <c r="B151" i="74" s="1"/>
  <c r="G150" i="74"/>
  <c r="E154" i="32"/>
  <c r="E155" i="32" s="1"/>
  <c r="B154" i="32"/>
  <c r="H146" i="79"/>
  <c r="I146" i="79"/>
  <c r="G144" i="90"/>
  <c r="E145" i="80"/>
  <c r="F145" i="80" s="1"/>
  <c r="I153" i="70"/>
  <c r="H153" i="70"/>
  <c r="E144" i="84"/>
  <c r="F144" i="84" s="1"/>
  <c r="G145" i="76"/>
  <c r="D146" i="76"/>
  <c r="B146" i="76" s="1"/>
  <c r="G144" i="101"/>
  <c r="D145" i="101"/>
  <c r="I141" i="93"/>
  <c r="H141" i="93"/>
  <c r="H153" i="71"/>
  <c r="I153" i="71"/>
  <c r="H153" i="32"/>
  <c r="I153" i="32"/>
  <c r="G143" i="87"/>
  <c r="D144" i="87"/>
  <c r="B144" i="87" s="1"/>
  <c r="E146" i="78"/>
  <c r="F146" i="78" s="1"/>
  <c r="I143" i="88"/>
  <c r="H143" i="88"/>
  <c r="E144" i="89"/>
  <c r="F144" i="89" s="1"/>
  <c r="H146" i="66"/>
  <c r="I146" i="66"/>
  <c r="E144" i="91"/>
  <c r="F144" i="91" s="1"/>
  <c r="H145" i="75"/>
  <c r="I145" i="75"/>
  <c r="F138" i="102"/>
  <c r="B138" i="102"/>
  <c r="D151" i="57"/>
  <c r="B151" i="57" s="1"/>
  <c r="G150" i="57"/>
  <c r="E149" i="59"/>
  <c r="F149" i="59" s="1"/>
  <c r="J150" i="44"/>
  <c r="F142" i="95"/>
  <c r="B142" i="95"/>
  <c r="I145" i="78"/>
  <c r="I143" i="89"/>
  <c r="H143" i="89"/>
  <c r="H144" i="80"/>
  <c r="I144" i="80"/>
  <c r="H153" i="24"/>
  <c r="I153" i="24"/>
  <c r="I143" i="84"/>
  <c r="H143" i="84"/>
  <c r="H148" i="54"/>
  <c r="I148" i="54"/>
  <c r="I141" i="95"/>
  <c r="H141" i="95"/>
  <c r="D152" i="44"/>
  <c r="B152" i="44" s="1"/>
  <c r="G151" i="44"/>
  <c r="I148" i="62"/>
  <c r="H148" i="62"/>
  <c r="E154" i="24"/>
  <c r="E155" i="24" s="1"/>
  <c r="B154" i="24"/>
  <c r="D145" i="86"/>
  <c r="B145" i="86" s="1"/>
  <c r="G144" i="86"/>
  <c r="H148" i="59"/>
  <c r="H140" i="99"/>
  <c r="I140" i="99"/>
  <c r="I154" i="17"/>
  <c r="H154" i="17"/>
  <c r="H155" i="17" s="1"/>
  <c r="D142" i="98"/>
  <c r="G141" i="98"/>
  <c r="E142" i="98"/>
  <c r="J151" i="73"/>
  <c r="I151" i="45"/>
  <c r="H151" i="45"/>
  <c r="E154" i="71"/>
  <c r="E155" i="71" s="1"/>
  <c r="B154" i="71"/>
  <c r="I148" i="64"/>
  <c r="H148" i="64"/>
  <c r="D145" i="94"/>
  <c r="B145" i="94" s="1"/>
  <c r="G144" i="94"/>
  <c r="D147" i="67"/>
  <c r="B147" i="67" s="1"/>
  <c r="G146" i="67"/>
  <c r="J153" i="41" l="1"/>
  <c r="J149" i="55"/>
  <c r="G150" i="55"/>
  <c r="D151" i="55"/>
  <c r="E155" i="41"/>
  <c r="F154" i="41"/>
  <c r="G154" i="41" s="1"/>
  <c r="I153" i="18"/>
  <c r="H154" i="23"/>
  <c r="H155" i="23" s="1"/>
  <c r="E150" i="56"/>
  <c r="F150" i="56" s="1"/>
  <c r="E145" i="82"/>
  <c r="F145" i="82" s="1"/>
  <c r="G145" i="82" s="1"/>
  <c r="E153" i="21"/>
  <c r="F153" i="21" s="1"/>
  <c r="G153" i="21" s="1"/>
  <c r="E148" i="61"/>
  <c r="F148" i="61" s="1"/>
  <c r="G148" i="61" s="1"/>
  <c r="J150" i="42"/>
  <c r="D146" i="82"/>
  <c r="B146" i="82" s="1"/>
  <c r="H154" i="31"/>
  <c r="H155" i="31" s="1"/>
  <c r="D146" i="81"/>
  <c r="B146" i="81" s="1"/>
  <c r="J148" i="72"/>
  <c r="G150" i="53"/>
  <c r="I150" i="53" s="1"/>
  <c r="G149" i="72"/>
  <c r="D150" i="72"/>
  <c r="B150" i="72" s="1"/>
  <c r="D152" i="42"/>
  <c r="B152" i="42" s="1"/>
  <c r="G151" i="42"/>
  <c r="E148" i="65"/>
  <c r="F148" i="65" s="1"/>
  <c r="G148" i="65" s="1"/>
  <c r="I148" i="65" s="1"/>
  <c r="H143" i="91"/>
  <c r="J146" i="60"/>
  <c r="G149" i="54"/>
  <c r="I149" i="54" s="1"/>
  <c r="H152" i="21"/>
  <c r="I152" i="21"/>
  <c r="H154" i="69"/>
  <c r="H155" i="69" s="1"/>
  <c r="H143" i="90"/>
  <c r="G149" i="58"/>
  <c r="H149" i="58" s="1"/>
  <c r="H147" i="65"/>
  <c r="I147" i="65"/>
  <c r="E149" i="64"/>
  <c r="F149" i="64" s="1"/>
  <c r="G149" i="64" s="1"/>
  <c r="G152" i="45"/>
  <c r="I152" i="45" s="1"/>
  <c r="D154" i="21"/>
  <c r="B154" i="21" s="1"/>
  <c r="D148" i="60"/>
  <c r="B148" i="60" s="1"/>
  <c r="G147" i="60"/>
  <c r="G146" i="75"/>
  <c r="H146" i="75" s="1"/>
  <c r="B154" i="22"/>
  <c r="H152" i="43"/>
  <c r="I152" i="43"/>
  <c r="G153" i="20"/>
  <c r="D154" i="20"/>
  <c r="E144" i="88"/>
  <c r="F144" i="88" s="1"/>
  <c r="D145" i="88" s="1"/>
  <c r="B145" i="88" s="1"/>
  <c r="J151" i="43"/>
  <c r="J152" i="20"/>
  <c r="E145" i="83"/>
  <c r="F145" i="83" s="1"/>
  <c r="G145" i="83" s="1"/>
  <c r="E153" i="43"/>
  <c r="F153" i="43" s="1"/>
  <c r="B153" i="43"/>
  <c r="I144" i="82"/>
  <c r="H144" i="82"/>
  <c r="D150" i="46"/>
  <c r="B150" i="46" s="1"/>
  <c r="I155" i="31"/>
  <c r="B138" i="13"/>
  <c r="F138" i="13"/>
  <c r="H137" i="13"/>
  <c r="I137" i="13"/>
  <c r="E148" i="63"/>
  <c r="F148" i="63" s="1"/>
  <c r="D148" i="66"/>
  <c r="B148" i="66" s="1"/>
  <c r="E147" i="67"/>
  <c r="F147" i="67" s="1"/>
  <c r="G147" i="67" s="1"/>
  <c r="J148" i="62"/>
  <c r="E150" i="54"/>
  <c r="F150" i="54" s="1"/>
  <c r="G150" i="54" s="1"/>
  <c r="J148" i="68"/>
  <c r="E145" i="86"/>
  <c r="F145" i="86" s="1"/>
  <c r="G145" i="86" s="1"/>
  <c r="J146" i="79"/>
  <c r="B150" i="62"/>
  <c r="E150" i="62"/>
  <c r="F150" i="62" s="1"/>
  <c r="G150" i="62" s="1"/>
  <c r="I151" i="39"/>
  <c r="H151" i="39"/>
  <c r="G149" i="62"/>
  <c r="H149" i="62" s="1"/>
  <c r="F154" i="24"/>
  <c r="G154" i="24" s="1"/>
  <c r="H154" i="24" s="1"/>
  <c r="H155" i="24" s="1"/>
  <c r="F154" i="22"/>
  <c r="G154" i="22" s="1"/>
  <c r="I154" i="22" s="1"/>
  <c r="I147" i="63"/>
  <c r="H147" i="63"/>
  <c r="B152" i="39"/>
  <c r="E152" i="39"/>
  <c r="F152" i="39" s="1"/>
  <c r="D154" i="3"/>
  <c r="G153" i="3"/>
  <c r="J151" i="45"/>
  <c r="I155" i="23"/>
  <c r="J148" i="46"/>
  <c r="J153" i="70"/>
  <c r="I149" i="53"/>
  <c r="F154" i="32"/>
  <c r="G154" i="32" s="1"/>
  <c r="I154" i="32" s="1"/>
  <c r="E151" i="53"/>
  <c r="F151" i="53" s="1"/>
  <c r="D152" i="53" s="1"/>
  <c r="B152" i="53" s="1"/>
  <c r="E153" i="73"/>
  <c r="F153" i="73" s="1"/>
  <c r="D154" i="73" s="1"/>
  <c r="J153" i="71"/>
  <c r="E146" i="76"/>
  <c r="F146" i="76" s="1"/>
  <c r="G146" i="76" s="1"/>
  <c r="E150" i="58"/>
  <c r="F150" i="58" s="1"/>
  <c r="G150" i="58" s="1"/>
  <c r="H147" i="61"/>
  <c r="I147" i="61"/>
  <c r="H145" i="82"/>
  <c r="I145" i="82"/>
  <c r="I147" i="66"/>
  <c r="H147" i="66"/>
  <c r="H146" i="67"/>
  <c r="I146" i="67"/>
  <c r="F154" i="71"/>
  <c r="G154" i="71" s="1"/>
  <c r="B142" i="98"/>
  <c r="F142" i="98"/>
  <c r="E151" i="57"/>
  <c r="F151" i="57" s="1"/>
  <c r="H149" i="54"/>
  <c r="J145" i="75"/>
  <c r="E147" i="75"/>
  <c r="F147" i="75" s="1"/>
  <c r="E146" i="77"/>
  <c r="F146" i="77" s="1"/>
  <c r="I145" i="81"/>
  <c r="H145" i="81"/>
  <c r="G144" i="96"/>
  <c r="D145" i="96"/>
  <c r="B145" i="96" s="1"/>
  <c r="I155" i="69"/>
  <c r="D150" i="64"/>
  <c r="B150" i="64" s="1"/>
  <c r="J148" i="59"/>
  <c r="J148" i="54"/>
  <c r="H150" i="57"/>
  <c r="I150" i="57"/>
  <c r="E144" i="87"/>
  <c r="F144" i="87" s="1"/>
  <c r="H145" i="76"/>
  <c r="I145" i="76"/>
  <c r="G150" i="56"/>
  <c r="D151" i="56"/>
  <c r="B151" i="56" s="1"/>
  <c r="E145" i="94"/>
  <c r="F145" i="94" s="1"/>
  <c r="E152" i="44"/>
  <c r="F152" i="44" s="1"/>
  <c r="G144" i="91"/>
  <c r="D145" i="91"/>
  <c r="B145" i="91" s="1"/>
  <c r="D145" i="84"/>
  <c r="B145" i="84" s="1"/>
  <c r="G144" i="84"/>
  <c r="E145" i="90"/>
  <c r="F145" i="90" s="1"/>
  <c r="E151" i="74"/>
  <c r="F151" i="74" s="1"/>
  <c r="E146" i="85"/>
  <c r="F146" i="85" s="1"/>
  <c r="H145" i="77"/>
  <c r="I145" i="77"/>
  <c r="I152" i="73"/>
  <c r="H152" i="73"/>
  <c r="H141" i="98"/>
  <c r="I141" i="98"/>
  <c r="I144" i="94"/>
  <c r="H144" i="94"/>
  <c r="E153" i="45"/>
  <c r="F153" i="45" s="1"/>
  <c r="I151" i="44"/>
  <c r="H151" i="44"/>
  <c r="D143" i="95"/>
  <c r="B143" i="95" s="1"/>
  <c r="G142" i="95"/>
  <c r="J146" i="66"/>
  <c r="D147" i="78"/>
  <c r="B147" i="78" s="1"/>
  <c r="G146" i="78"/>
  <c r="H143" i="87"/>
  <c r="I143" i="87"/>
  <c r="I150" i="74"/>
  <c r="H150" i="74"/>
  <c r="H145" i="85"/>
  <c r="I145" i="85"/>
  <c r="I154" i="18"/>
  <c r="H154" i="18"/>
  <c r="H155" i="18" s="1"/>
  <c r="D143" i="93"/>
  <c r="B143" i="93" s="1"/>
  <c r="G142" i="93"/>
  <c r="D139" i="102"/>
  <c r="G138" i="102"/>
  <c r="E139" i="102"/>
  <c r="D146" i="80"/>
  <c r="B146" i="80" s="1"/>
  <c r="G145" i="80"/>
  <c r="I144" i="90"/>
  <c r="H144" i="90"/>
  <c r="G147" i="79"/>
  <c r="D148" i="79"/>
  <c r="B148" i="79" s="1"/>
  <c r="H149" i="46"/>
  <c r="I149" i="46"/>
  <c r="I144" i="83"/>
  <c r="H144" i="83"/>
  <c r="D150" i="68"/>
  <c r="B150" i="68" s="1"/>
  <c r="G149" i="68"/>
  <c r="J153" i="24"/>
  <c r="G149" i="59"/>
  <c r="D150" i="59"/>
  <c r="B150" i="59" s="1"/>
  <c r="G144" i="89"/>
  <c r="D145" i="89"/>
  <c r="B145" i="89" s="1"/>
  <c r="J153" i="32"/>
  <c r="E145" i="101"/>
  <c r="F145" i="101" s="1"/>
  <c r="B145" i="101"/>
  <c r="G142" i="97"/>
  <c r="D143" i="97"/>
  <c r="B143" i="97" s="1"/>
  <c r="J153" i="22"/>
  <c r="E144" i="92"/>
  <c r="F144" i="92" s="1"/>
  <c r="D142" i="99"/>
  <c r="G141" i="99"/>
  <c r="E142" i="99"/>
  <c r="H144" i="86"/>
  <c r="I144" i="86"/>
  <c r="J148" i="64"/>
  <c r="J149" i="53"/>
  <c r="J154" i="17"/>
  <c r="J155" i="17" s="1"/>
  <c r="I155" i="17"/>
  <c r="J145" i="78"/>
  <c r="H144" i="101"/>
  <c r="I144" i="101"/>
  <c r="F154" i="70"/>
  <c r="G154" i="70" s="1"/>
  <c r="I143" i="92"/>
  <c r="H143" i="92"/>
  <c r="J149" i="56"/>
  <c r="J153" i="18"/>
  <c r="G153" i="73" l="1"/>
  <c r="D151" i="54"/>
  <c r="B151" i="54" s="1"/>
  <c r="I149" i="62"/>
  <c r="E146" i="81"/>
  <c r="F146" i="81" s="1"/>
  <c r="D147" i="81" s="1"/>
  <c r="B147" i="81" s="1"/>
  <c r="H154" i="41"/>
  <c r="H155" i="41" s="1"/>
  <c r="I154" i="41"/>
  <c r="J154" i="23"/>
  <c r="J155" i="23" s="1"/>
  <c r="I150" i="55"/>
  <c r="J150" i="55" s="1"/>
  <c r="H150" i="55"/>
  <c r="H148" i="65"/>
  <c r="J148" i="65" s="1"/>
  <c r="B151" i="55"/>
  <c r="E151" i="55"/>
  <c r="F151" i="55" s="1"/>
  <c r="H154" i="22"/>
  <c r="H155" i="22" s="1"/>
  <c r="I154" i="24"/>
  <c r="J154" i="24" s="1"/>
  <c r="J155" i="24" s="1"/>
  <c r="E150" i="72"/>
  <c r="F150" i="72" s="1"/>
  <c r="G150" i="72" s="1"/>
  <c r="E146" i="82"/>
  <c r="F146" i="82" s="1"/>
  <c r="G146" i="82" s="1"/>
  <c r="H146" i="82" s="1"/>
  <c r="I146" i="75"/>
  <c r="D149" i="61"/>
  <c r="B149" i="61" s="1"/>
  <c r="I149" i="58"/>
  <c r="J149" i="58" s="1"/>
  <c r="G144" i="88"/>
  <c r="H144" i="88" s="1"/>
  <c r="H150" i="53"/>
  <c r="J150" i="53" s="1"/>
  <c r="J154" i="31"/>
  <c r="J155" i="31" s="1"/>
  <c r="D149" i="65"/>
  <c r="J152" i="21"/>
  <c r="E152" i="42"/>
  <c r="F152" i="42" s="1"/>
  <c r="I151" i="42"/>
  <c r="H151" i="42"/>
  <c r="J147" i="65"/>
  <c r="I149" i="72"/>
  <c r="H149" i="72"/>
  <c r="E154" i="21"/>
  <c r="E155" i="21" s="1"/>
  <c r="D148" i="67"/>
  <c r="B148" i="67" s="1"/>
  <c r="I153" i="21"/>
  <c r="H153" i="21"/>
  <c r="J154" i="69"/>
  <c r="J155" i="69" s="1"/>
  <c r="H152" i="45"/>
  <c r="J152" i="45" s="1"/>
  <c r="J152" i="43"/>
  <c r="E148" i="60"/>
  <c r="F148" i="60" s="1"/>
  <c r="G148" i="60" s="1"/>
  <c r="D151" i="62"/>
  <c r="B151" i="62" s="1"/>
  <c r="D146" i="83"/>
  <c r="B146" i="83" s="1"/>
  <c r="H154" i="32"/>
  <c r="H155" i="32" s="1"/>
  <c r="I147" i="60"/>
  <c r="H147" i="60"/>
  <c r="G148" i="63"/>
  <c r="I148" i="63" s="1"/>
  <c r="D149" i="63"/>
  <c r="B149" i="63" s="1"/>
  <c r="E154" i="20"/>
  <c r="E155" i="20" s="1"/>
  <c r="B154" i="20"/>
  <c r="I153" i="20"/>
  <c r="H153" i="20"/>
  <c r="E150" i="46"/>
  <c r="F150" i="46" s="1"/>
  <c r="G150" i="46" s="1"/>
  <c r="D154" i="43"/>
  <c r="E154" i="43" s="1"/>
  <c r="E155" i="43" s="1"/>
  <c r="G153" i="43"/>
  <c r="E148" i="66"/>
  <c r="F148" i="66" s="1"/>
  <c r="G151" i="53"/>
  <c r="I151" i="53" s="1"/>
  <c r="G146" i="81"/>
  <c r="H146" i="81" s="1"/>
  <c r="E145" i="91"/>
  <c r="F145" i="91" s="1"/>
  <c r="D146" i="91" s="1"/>
  <c r="B146" i="91" s="1"/>
  <c r="E139" i="13"/>
  <c r="G138" i="13"/>
  <c r="D139" i="13"/>
  <c r="D146" i="86"/>
  <c r="B146" i="86" s="1"/>
  <c r="J151" i="44"/>
  <c r="G152" i="39"/>
  <c r="D153" i="39"/>
  <c r="B153" i="39" s="1"/>
  <c r="J149" i="46"/>
  <c r="E146" i="80"/>
  <c r="F146" i="80" s="1"/>
  <c r="G146" i="80" s="1"/>
  <c r="E147" i="78"/>
  <c r="F147" i="78" s="1"/>
  <c r="G147" i="78" s="1"/>
  <c r="J149" i="62"/>
  <c r="E151" i="54"/>
  <c r="F151" i="54" s="1"/>
  <c r="D152" i="54" s="1"/>
  <c r="B152" i="54" s="1"/>
  <c r="J151" i="39"/>
  <c r="E143" i="95"/>
  <c r="F143" i="95" s="1"/>
  <c r="G143" i="95" s="1"/>
  <c r="J146" i="75"/>
  <c r="E154" i="3"/>
  <c r="E155" i="3" s="1"/>
  <c r="B154" i="3"/>
  <c r="J150" i="74"/>
  <c r="E145" i="96"/>
  <c r="F145" i="96" s="1"/>
  <c r="G145" i="96" s="1"/>
  <c r="J147" i="61"/>
  <c r="H153" i="3"/>
  <c r="I153" i="3"/>
  <c r="J147" i="63"/>
  <c r="E148" i="67"/>
  <c r="F148" i="67" s="1"/>
  <c r="G148" i="67" s="1"/>
  <c r="D147" i="76"/>
  <c r="B147" i="76" s="1"/>
  <c r="E147" i="81"/>
  <c r="F147" i="81" s="1"/>
  <c r="D148" i="81" s="1"/>
  <c r="B148" i="81" s="1"/>
  <c r="E145" i="88"/>
  <c r="F145" i="88" s="1"/>
  <c r="D146" i="88" s="1"/>
  <c r="B146" i="88" s="1"/>
  <c r="E150" i="68"/>
  <c r="F150" i="68" s="1"/>
  <c r="E150" i="64"/>
  <c r="F150" i="64" s="1"/>
  <c r="D151" i="64" s="1"/>
  <c r="B151" i="64" s="1"/>
  <c r="J149" i="54"/>
  <c r="J150" i="57"/>
  <c r="D151" i="58"/>
  <c r="B151" i="58" s="1"/>
  <c r="E149" i="61"/>
  <c r="F149" i="61" s="1"/>
  <c r="J145" i="77"/>
  <c r="J146" i="67"/>
  <c r="H148" i="61"/>
  <c r="I148" i="61"/>
  <c r="D146" i="101"/>
  <c r="G145" i="101"/>
  <c r="D148" i="75"/>
  <c r="B148" i="75" s="1"/>
  <c r="G147" i="75"/>
  <c r="E145" i="89"/>
  <c r="F145" i="89" s="1"/>
  <c r="H149" i="59"/>
  <c r="I149" i="59"/>
  <c r="I145" i="86"/>
  <c r="H145" i="86"/>
  <c r="D145" i="87"/>
  <c r="B145" i="87" s="1"/>
  <c r="G144" i="87"/>
  <c r="D145" i="92"/>
  <c r="B145" i="92" s="1"/>
  <c r="G144" i="92"/>
  <c r="I142" i="95"/>
  <c r="H142" i="95"/>
  <c r="H147" i="67"/>
  <c r="I147" i="67"/>
  <c r="I155" i="24"/>
  <c r="I144" i="89"/>
  <c r="H144" i="89"/>
  <c r="E145" i="84"/>
  <c r="F145" i="84" s="1"/>
  <c r="E151" i="56"/>
  <c r="F151" i="56" s="1"/>
  <c r="H146" i="76"/>
  <c r="I146" i="76"/>
  <c r="I144" i="96"/>
  <c r="H144" i="96"/>
  <c r="D146" i="90"/>
  <c r="B146" i="90" s="1"/>
  <c r="G145" i="90"/>
  <c r="H144" i="91"/>
  <c r="I144" i="91"/>
  <c r="I155" i="32"/>
  <c r="H141" i="99"/>
  <c r="I141" i="99"/>
  <c r="E143" i="97"/>
  <c r="F143" i="97" s="1"/>
  <c r="H145" i="80"/>
  <c r="I145" i="80"/>
  <c r="I138" i="102"/>
  <c r="H138" i="102"/>
  <c r="I145" i="83"/>
  <c r="H145" i="83"/>
  <c r="I144" i="84"/>
  <c r="H144" i="84"/>
  <c r="D153" i="44"/>
  <c r="B153" i="44" s="1"/>
  <c r="G152" i="44"/>
  <c r="E154" i="73"/>
  <c r="E155" i="73" s="1"/>
  <c r="B154" i="73"/>
  <c r="D143" i="98"/>
  <c r="B143" i="98" s="1"/>
  <c r="G142" i="98"/>
  <c r="H154" i="70"/>
  <c r="H155" i="70" s="1"/>
  <c r="I154" i="70"/>
  <c r="G150" i="68"/>
  <c r="D151" i="68"/>
  <c r="B151" i="68" s="1"/>
  <c r="B139" i="102"/>
  <c r="F139" i="102"/>
  <c r="I150" i="56"/>
  <c r="H150" i="56"/>
  <c r="H149" i="64"/>
  <c r="I149" i="64"/>
  <c r="I153" i="73"/>
  <c r="H153" i="73"/>
  <c r="F142" i="99"/>
  <c r="B142" i="99"/>
  <c r="J154" i="22"/>
  <c r="J155" i="22" s="1"/>
  <c r="I155" i="22"/>
  <c r="H142" i="97"/>
  <c r="I142" i="97"/>
  <c r="I149" i="68"/>
  <c r="H149" i="68"/>
  <c r="E148" i="79"/>
  <c r="F148" i="79" s="1"/>
  <c r="E143" i="93"/>
  <c r="F143" i="93" s="1"/>
  <c r="J154" i="18"/>
  <c r="J155" i="18" s="1"/>
  <c r="I155" i="18"/>
  <c r="I146" i="78"/>
  <c r="H146" i="78"/>
  <c r="D154" i="45"/>
  <c r="G153" i="45"/>
  <c r="G146" i="85"/>
  <c r="D147" i="85"/>
  <c r="B147" i="85" s="1"/>
  <c r="I150" i="58"/>
  <c r="H150" i="58"/>
  <c r="E152" i="53"/>
  <c r="F152" i="53" s="1"/>
  <c r="G146" i="77"/>
  <c r="D147" i="77"/>
  <c r="B147" i="77" s="1"/>
  <c r="H150" i="54"/>
  <c r="I150" i="54"/>
  <c r="I147" i="79"/>
  <c r="H147" i="79"/>
  <c r="H150" i="62"/>
  <c r="I150" i="62"/>
  <c r="E150" i="59"/>
  <c r="F150" i="59" s="1"/>
  <c r="I142" i="93"/>
  <c r="H142" i="93"/>
  <c r="J152" i="73"/>
  <c r="G151" i="74"/>
  <c r="D152" i="74"/>
  <c r="B152" i="74" s="1"/>
  <c r="G145" i="94"/>
  <c r="D146" i="94"/>
  <c r="B146" i="94" s="1"/>
  <c r="J145" i="76"/>
  <c r="H151" i="53"/>
  <c r="D152" i="57"/>
  <c r="B152" i="57" s="1"/>
  <c r="G151" i="57"/>
  <c r="H154" i="71"/>
  <c r="H155" i="71" s="1"/>
  <c r="I154" i="71"/>
  <c r="J147" i="66"/>
  <c r="I146" i="82" l="1"/>
  <c r="D151" i="46"/>
  <c r="B151" i="46" s="1"/>
  <c r="D152" i="55"/>
  <c r="B152" i="55" s="1"/>
  <c r="G151" i="55"/>
  <c r="G147" i="81"/>
  <c r="D147" i="82"/>
  <c r="B147" i="82" s="1"/>
  <c r="J154" i="41"/>
  <c r="J155" i="41" s="1"/>
  <c r="I155" i="41"/>
  <c r="D151" i="72"/>
  <c r="I144" i="88"/>
  <c r="J154" i="32"/>
  <c r="J155" i="32" s="1"/>
  <c r="I146" i="81"/>
  <c r="F154" i="21"/>
  <c r="G154" i="21" s="1"/>
  <c r="D147" i="80"/>
  <c r="B147" i="80" s="1"/>
  <c r="J149" i="72"/>
  <c r="B149" i="65"/>
  <c r="E149" i="65"/>
  <c r="F149" i="65" s="1"/>
  <c r="G151" i="54"/>
  <c r="I151" i="54" s="1"/>
  <c r="H148" i="63"/>
  <c r="B151" i="72"/>
  <c r="E151" i="72"/>
  <c r="F151" i="72" s="1"/>
  <c r="I150" i="72"/>
  <c r="H150" i="72"/>
  <c r="D149" i="60"/>
  <c r="B149" i="60" s="1"/>
  <c r="J151" i="42"/>
  <c r="G152" i="42"/>
  <c r="D153" i="42"/>
  <c r="B153" i="42" s="1"/>
  <c r="E153" i="42"/>
  <c r="F153" i="42" s="1"/>
  <c r="E151" i="62"/>
  <c r="F151" i="62" s="1"/>
  <c r="D152" i="62" s="1"/>
  <c r="B152" i="62" s="1"/>
  <c r="E147" i="82"/>
  <c r="F147" i="82" s="1"/>
  <c r="D149" i="67"/>
  <c r="B149" i="67" s="1"/>
  <c r="E146" i="83"/>
  <c r="F146" i="83" s="1"/>
  <c r="D147" i="83" s="1"/>
  <c r="B147" i="83" s="1"/>
  <c r="J153" i="3"/>
  <c r="E146" i="86"/>
  <c r="F146" i="86" s="1"/>
  <c r="G146" i="86" s="1"/>
  <c r="F154" i="20"/>
  <c r="G154" i="20" s="1"/>
  <c r="H154" i="20" s="1"/>
  <c r="H155" i="20" s="1"/>
  <c r="G145" i="91"/>
  <c r="I145" i="91" s="1"/>
  <c r="J153" i="21"/>
  <c r="E153" i="39"/>
  <c r="F153" i="39" s="1"/>
  <c r="G153" i="39" s="1"/>
  <c r="I153" i="39" s="1"/>
  <c r="H148" i="60"/>
  <c r="I148" i="60"/>
  <c r="E147" i="76"/>
  <c r="F147" i="76" s="1"/>
  <c r="G147" i="76" s="1"/>
  <c r="J147" i="60"/>
  <c r="J153" i="20"/>
  <c r="G150" i="64"/>
  <c r="I150" i="64" s="1"/>
  <c r="G148" i="66"/>
  <c r="D149" i="66"/>
  <c r="I153" i="43"/>
  <c r="H153" i="43"/>
  <c r="B154" i="43"/>
  <c r="F154" i="43"/>
  <c r="G154" i="43" s="1"/>
  <c r="E149" i="63"/>
  <c r="F149" i="63" s="1"/>
  <c r="J149" i="59"/>
  <c r="J148" i="63"/>
  <c r="D146" i="96"/>
  <c r="B146" i="96" s="1"/>
  <c r="B139" i="13"/>
  <c r="F139" i="13"/>
  <c r="I138" i="13"/>
  <c r="H138" i="13"/>
  <c r="D144" i="95"/>
  <c r="B144" i="95" s="1"/>
  <c r="E151" i="58"/>
  <c r="F151" i="58" s="1"/>
  <c r="G151" i="58" s="1"/>
  <c r="H151" i="58" s="1"/>
  <c r="E152" i="57"/>
  <c r="F152" i="57" s="1"/>
  <c r="G152" i="57" s="1"/>
  <c r="E148" i="75"/>
  <c r="F148" i="75" s="1"/>
  <c r="G148" i="75" s="1"/>
  <c r="E147" i="85"/>
  <c r="F147" i="85" s="1"/>
  <c r="G147" i="85" s="1"/>
  <c r="E147" i="77"/>
  <c r="F147" i="77" s="1"/>
  <c r="G147" i="77" s="1"/>
  <c r="D148" i="78"/>
  <c r="B148" i="78" s="1"/>
  <c r="I152" i="39"/>
  <c r="H152" i="39"/>
  <c r="E146" i="94"/>
  <c r="F146" i="94" s="1"/>
  <c r="D147" i="94" s="1"/>
  <c r="B147" i="94" s="1"/>
  <c r="F154" i="3"/>
  <c r="G154" i="3" s="1"/>
  <c r="E153" i="44"/>
  <c r="F153" i="44" s="1"/>
  <c r="D154" i="44" s="1"/>
  <c r="E154" i="44" s="1"/>
  <c r="E155" i="44" s="1"/>
  <c r="J146" i="78"/>
  <c r="F154" i="73"/>
  <c r="G154" i="73" s="1"/>
  <c r="I154" i="73" s="1"/>
  <c r="G145" i="88"/>
  <c r="H145" i="88" s="1"/>
  <c r="D150" i="61"/>
  <c r="B150" i="61" s="1"/>
  <c r="G149" i="61"/>
  <c r="J150" i="58"/>
  <c r="J148" i="61"/>
  <c r="J154" i="71"/>
  <c r="J155" i="71" s="1"/>
  <c r="I155" i="71"/>
  <c r="D144" i="93"/>
  <c r="B144" i="93" s="1"/>
  <c r="G143" i="93"/>
  <c r="H145" i="96"/>
  <c r="I145" i="96"/>
  <c r="H145" i="94"/>
  <c r="I145" i="94"/>
  <c r="J147" i="79"/>
  <c r="H146" i="85"/>
  <c r="I146" i="85"/>
  <c r="G151" i="62"/>
  <c r="J154" i="70"/>
  <c r="J155" i="70" s="1"/>
  <c r="I155" i="70"/>
  <c r="H147" i="81"/>
  <c r="I147" i="81"/>
  <c r="G150" i="59"/>
  <c r="D151" i="59"/>
  <c r="B151" i="59" s="1"/>
  <c r="I151" i="57"/>
  <c r="H151" i="57"/>
  <c r="E152" i="74"/>
  <c r="F152" i="74" s="1"/>
  <c r="H153" i="45"/>
  <c r="I153" i="45"/>
  <c r="D149" i="79"/>
  <c r="B149" i="79" s="1"/>
  <c r="G148" i="79"/>
  <c r="I152" i="44"/>
  <c r="H152" i="44"/>
  <c r="D144" i="97"/>
  <c r="B144" i="97" s="1"/>
  <c r="G143" i="97"/>
  <c r="G151" i="56"/>
  <c r="D152" i="56"/>
  <c r="B152" i="56" s="1"/>
  <c r="J147" i="67"/>
  <c r="E145" i="87"/>
  <c r="F145" i="87" s="1"/>
  <c r="I147" i="75"/>
  <c r="H147" i="75"/>
  <c r="H150" i="68"/>
  <c r="I150" i="68"/>
  <c r="H146" i="80"/>
  <c r="I146" i="80"/>
  <c r="E146" i="88"/>
  <c r="F146" i="88" s="1"/>
  <c r="I146" i="77"/>
  <c r="H146" i="77"/>
  <c r="E154" i="45"/>
  <c r="E155" i="45" s="1"/>
  <c r="B154" i="45"/>
  <c r="J149" i="68"/>
  <c r="J153" i="73"/>
  <c r="H147" i="78"/>
  <c r="I147" i="78"/>
  <c r="E151" i="64"/>
  <c r="F151" i="64" s="1"/>
  <c r="D146" i="84"/>
  <c r="B146" i="84" s="1"/>
  <c r="G145" i="84"/>
  <c r="H148" i="67"/>
  <c r="I148" i="67"/>
  <c r="E145" i="92"/>
  <c r="F145" i="92" s="1"/>
  <c r="H144" i="87"/>
  <c r="I144" i="87"/>
  <c r="G145" i="89"/>
  <c r="D146" i="89"/>
  <c r="B146" i="89" s="1"/>
  <c r="J151" i="53"/>
  <c r="I151" i="74"/>
  <c r="H151" i="74"/>
  <c r="J150" i="54"/>
  <c r="G152" i="53"/>
  <c r="D153" i="53"/>
  <c r="B153" i="53" s="1"/>
  <c r="E146" i="91"/>
  <c r="F146" i="91" s="1"/>
  <c r="G142" i="99"/>
  <c r="D143" i="99"/>
  <c r="B143" i="99" s="1"/>
  <c r="J149" i="64"/>
  <c r="G139" i="102"/>
  <c r="D140" i="102"/>
  <c r="E140" i="102"/>
  <c r="H150" i="64"/>
  <c r="E146" i="90"/>
  <c r="F146" i="90" s="1"/>
  <c r="H144" i="92"/>
  <c r="I144" i="92"/>
  <c r="E152" i="54"/>
  <c r="F152" i="54" s="1"/>
  <c r="E143" i="98"/>
  <c r="F143" i="98" s="1"/>
  <c r="I145" i="90"/>
  <c r="H145" i="90"/>
  <c r="H143" i="95"/>
  <c r="I143" i="95"/>
  <c r="J150" i="62"/>
  <c r="J150" i="56"/>
  <c r="E151" i="68"/>
  <c r="F151" i="68" s="1"/>
  <c r="I142" i="98"/>
  <c r="H142" i="98"/>
  <c r="E151" i="46"/>
  <c r="F151" i="46" s="1"/>
  <c r="H145" i="101"/>
  <c r="I145" i="101"/>
  <c r="E148" i="81"/>
  <c r="F148" i="81" s="1"/>
  <c r="J146" i="76"/>
  <c r="I150" i="46"/>
  <c r="H150" i="46"/>
  <c r="E146" i="101"/>
  <c r="F146" i="101" s="1"/>
  <c r="B146" i="101"/>
  <c r="E147" i="80" l="1"/>
  <c r="F147" i="80" s="1"/>
  <c r="G147" i="80" s="1"/>
  <c r="I151" i="55"/>
  <c r="H151" i="55"/>
  <c r="I151" i="58"/>
  <c r="J151" i="58" s="1"/>
  <c r="E152" i="55"/>
  <c r="F152" i="55" s="1"/>
  <c r="E149" i="67"/>
  <c r="F149" i="67" s="1"/>
  <c r="G149" i="67" s="1"/>
  <c r="I149" i="67" s="1"/>
  <c r="D148" i="76"/>
  <c r="B148" i="76" s="1"/>
  <c r="E149" i="60"/>
  <c r="F149" i="60" s="1"/>
  <c r="G149" i="60" s="1"/>
  <c r="H151" i="54"/>
  <c r="I154" i="21"/>
  <c r="H154" i="21"/>
  <c r="H155" i="21" s="1"/>
  <c r="E147" i="83"/>
  <c r="F147" i="83" s="1"/>
  <c r="D148" i="83" s="1"/>
  <c r="B148" i="83" s="1"/>
  <c r="E148" i="78"/>
  <c r="F148" i="78" s="1"/>
  <c r="G148" i="78" s="1"/>
  <c r="I148" i="78" s="1"/>
  <c r="G146" i="83"/>
  <c r="D150" i="65"/>
  <c r="B150" i="65" s="1"/>
  <c r="G149" i="65"/>
  <c r="D147" i="86"/>
  <c r="B147" i="86" s="1"/>
  <c r="E146" i="96"/>
  <c r="F146" i="96" s="1"/>
  <c r="D147" i="96" s="1"/>
  <c r="B147" i="96" s="1"/>
  <c r="D148" i="82"/>
  <c r="G147" i="82"/>
  <c r="J150" i="72"/>
  <c r="D150" i="67"/>
  <c r="B150" i="67" s="1"/>
  <c r="D152" i="72"/>
  <c r="B152" i="72" s="1"/>
  <c r="G151" i="72"/>
  <c r="G153" i="42"/>
  <c r="D154" i="42"/>
  <c r="H152" i="42"/>
  <c r="I152" i="42"/>
  <c r="D148" i="77"/>
  <c r="B148" i="77" s="1"/>
  <c r="D148" i="85"/>
  <c r="B148" i="85" s="1"/>
  <c r="J148" i="60"/>
  <c r="J153" i="43"/>
  <c r="H145" i="91"/>
  <c r="G153" i="44"/>
  <c r="I153" i="44" s="1"/>
  <c r="I154" i="20"/>
  <c r="J154" i="20" s="1"/>
  <c r="J155" i="20" s="1"/>
  <c r="G146" i="94"/>
  <c r="I146" i="94" s="1"/>
  <c r="I145" i="88"/>
  <c r="H153" i="39"/>
  <c r="J153" i="39" s="1"/>
  <c r="D153" i="57"/>
  <c r="B153" i="57" s="1"/>
  <c r="D154" i="39"/>
  <c r="G146" i="96"/>
  <c r="I146" i="96" s="1"/>
  <c r="E147" i="94"/>
  <c r="F147" i="94" s="1"/>
  <c r="D148" i="94" s="1"/>
  <c r="B148" i="94" s="1"/>
  <c r="E144" i="93"/>
  <c r="F144" i="93" s="1"/>
  <c r="D145" i="93" s="1"/>
  <c r="B145" i="93" s="1"/>
  <c r="E144" i="95"/>
  <c r="F144" i="95" s="1"/>
  <c r="B149" i="66"/>
  <c r="E149" i="66"/>
  <c r="F149" i="66" s="1"/>
  <c r="H148" i="66"/>
  <c r="I148" i="66"/>
  <c r="D149" i="75"/>
  <c r="B149" i="75" s="1"/>
  <c r="G149" i="63"/>
  <c r="D150" i="63"/>
  <c r="H154" i="43"/>
  <c r="H155" i="43" s="1"/>
  <c r="I154" i="43"/>
  <c r="E153" i="53"/>
  <c r="F153" i="53" s="1"/>
  <c r="G153" i="53" s="1"/>
  <c r="D140" i="13"/>
  <c r="E140" i="13"/>
  <c r="G139" i="13"/>
  <c r="D148" i="80"/>
  <c r="B148" i="80" s="1"/>
  <c r="H154" i="73"/>
  <c r="H155" i="73" s="1"/>
  <c r="J152" i="44"/>
  <c r="E146" i="84"/>
  <c r="F146" i="84" s="1"/>
  <c r="G146" i="84" s="1"/>
  <c r="F154" i="45"/>
  <c r="G154" i="45" s="1"/>
  <c r="I154" i="45" s="1"/>
  <c r="E143" i="99"/>
  <c r="F143" i="99" s="1"/>
  <c r="D144" i="99" s="1"/>
  <c r="B144" i="99" s="1"/>
  <c r="D152" i="58"/>
  <c r="J150" i="64"/>
  <c r="J148" i="67"/>
  <c r="E144" i="97"/>
  <c r="F144" i="97" s="1"/>
  <c r="D145" i="97" s="1"/>
  <c r="B145" i="97" s="1"/>
  <c r="J152" i="39"/>
  <c r="J151" i="74"/>
  <c r="H154" i="3"/>
  <c r="H155" i="3" s="1"/>
  <c r="I154" i="3"/>
  <c r="J147" i="78"/>
  <c r="J146" i="77"/>
  <c r="E150" i="61"/>
  <c r="F150" i="61" s="1"/>
  <c r="J151" i="54"/>
  <c r="E146" i="89"/>
  <c r="F146" i="89" s="1"/>
  <c r="G146" i="89" s="1"/>
  <c r="J153" i="45"/>
  <c r="I149" i="61"/>
  <c r="H149" i="61"/>
  <c r="I145" i="84"/>
  <c r="H145" i="84"/>
  <c r="G145" i="87"/>
  <c r="D146" i="87"/>
  <c r="B146" i="87" s="1"/>
  <c r="G143" i="98"/>
  <c r="D144" i="98"/>
  <c r="B144" i="98" s="1"/>
  <c r="B140" i="102"/>
  <c r="F140" i="102"/>
  <c r="H143" i="97"/>
  <c r="I143" i="97"/>
  <c r="J151" i="57"/>
  <c r="H143" i="93"/>
  <c r="I143" i="93"/>
  <c r="G152" i="54"/>
  <c r="D153" i="54"/>
  <c r="B153" i="54" s="1"/>
  <c r="H139" i="102"/>
  <c r="I139" i="102"/>
  <c r="I152" i="53"/>
  <c r="H152" i="53"/>
  <c r="G151" i="64"/>
  <c r="D152" i="64"/>
  <c r="B152" i="64" s="1"/>
  <c r="J150" i="68"/>
  <c r="E152" i="56"/>
  <c r="F152" i="56" s="1"/>
  <c r="E151" i="59"/>
  <c r="F151" i="59" s="1"/>
  <c r="H148" i="75"/>
  <c r="I148" i="75"/>
  <c r="G146" i="101"/>
  <c r="D147" i="101"/>
  <c r="H147" i="85"/>
  <c r="I147" i="85"/>
  <c r="H147" i="77"/>
  <c r="I147" i="77"/>
  <c r="G143" i="99"/>
  <c r="D146" i="92"/>
  <c r="B146" i="92" s="1"/>
  <c r="G145" i="92"/>
  <c r="H151" i="56"/>
  <c r="I151" i="56"/>
  <c r="H150" i="59"/>
  <c r="I150" i="59"/>
  <c r="D149" i="81"/>
  <c r="B149" i="81" s="1"/>
  <c r="G148" i="81"/>
  <c r="H152" i="57"/>
  <c r="I152" i="57"/>
  <c r="D152" i="68"/>
  <c r="B152" i="68" s="1"/>
  <c r="G151" i="68"/>
  <c r="D147" i="90"/>
  <c r="B147" i="90" s="1"/>
  <c r="G146" i="90"/>
  <c r="E149" i="79"/>
  <c r="F149" i="79" s="1"/>
  <c r="I147" i="76"/>
  <c r="H147" i="76"/>
  <c r="B154" i="44"/>
  <c r="F154" i="44"/>
  <c r="G154" i="44" s="1"/>
  <c r="E152" i="62"/>
  <c r="F152" i="62" s="1"/>
  <c r="G146" i="91"/>
  <c r="D147" i="91"/>
  <c r="B147" i="91" s="1"/>
  <c r="G152" i="74"/>
  <c r="D153" i="74"/>
  <c r="B153" i="74" s="1"/>
  <c r="J150" i="46"/>
  <c r="D152" i="46"/>
  <c r="B152" i="46" s="1"/>
  <c r="G151" i="46"/>
  <c r="H146" i="86"/>
  <c r="I146" i="86"/>
  <c r="D147" i="89"/>
  <c r="B147" i="89" s="1"/>
  <c r="D147" i="88"/>
  <c r="B147" i="88" s="1"/>
  <c r="G146" i="88"/>
  <c r="H147" i="80"/>
  <c r="I147" i="80"/>
  <c r="E147" i="96"/>
  <c r="F147" i="96" s="1"/>
  <c r="H146" i="96"/>
  <c r="I142" i="99"/>
  <c r="H142" i="99"/>
  <c r="I145" i="89"/>
  <c r="H145" i="89"/>
  <c r="J147" i="75"/>
  <c r="H148" i="79"/>
  <c r="I148" i="79"/>
  <c r="I151" i="62"/>
  <c r="H151" i="62"/>
  <c r="I155" i="73"/>
  <c r="E150" i="67" l="1"/>
  <c r="F150" i="67" s="1"/>
  <c r="H149" i="67"/>
  <c r="H154" i="45"/>
  <c r="H155" i="45" s="1"/>
  <c r="D154" i="53"/>
  <c r="E148" i="76"/>
  <c r="F148" i="76" s="1"/>
  <c r="G148" i="76" s="1"/>
  <c r="H148" i="76" s="1"/>
  <c r="E153" i="57"/>
  <c r="F153" i="57" s="1"/>
  <c r="G153" i="57" s="1"/>
  <c r="D147" i="84"/>
  <c r="B147" i="84" s="1"/>
  <c r="D153" i="55"/>
  <c r="B153" i="55" s="1"/>
  <c r="G152" i="55"/>
  <c r="D150" i="60"/>
  <c r="E148" i="85"/>
  <c r="F148" i="85" s="1"/>
  <c r="J151" i="55"/>
  <c r="G144" i="97"/>
  <c r="I144" i="97" s="1"/>
  <c r="H146" i="94"/>
  <c r="E148" i="77"/>
  <c r="F148" i="77" s="1"/>
  <c r="D149" i="77" s="1"/>
  <c r="B149" i="77" s="1"/>
  <c r="H148" i="78"/>
  <c r="J148" i="78" s="1"/>
  <c r="D149" i="78"/>
  <c r="B149" i="78" s="1"/>
  <c r="G144" i="93"/>
  <c r="J154" i="21"/>
  <c r="J155" i="21" s="1"/>
  <c r="I155" i="21"/>
  <c r="E150" i="65"/>
  <c r="F150" i="65" s="1"/>
  <c r="G150" i="65" s="1"/>
  <c r="G147" i="83"/>
  <c r="H147" i="83" s="1"/>
  <c r="E149" i="75"/>
  <c r="F149" i="75" s="1"/>
  <c r="G149" i="75" s="1"/>
  <c r="H149" i="75" s="1"/>
  <c r="H149" i="65"/>
  <c r="I149" i="65"/>
  <c r="J149" i="65" s="1"/>
  <c r="E147" i="86"/>
  <c r="F147" i="86" s="1"/>
  <c r="G147" i="86" s="1"/>
  <c r="H146" i="83"/>
  <c r="I146" i="83"/>
  <c r="J152" i="42"/>
  <c r="I151" i="72"/>
  <c r="H151" i="72"/>
  <c r="E152" i="72"/>
  <c r="F152" i="72" s="1"/>
  <c r="H147" i="82"/>
  <c r="I147" i="82"/>
  <c r="E154" i="42"/>
  <c r="E155" i="42" s="1"/>
  <c r="B154" i="42"/>
  <c r="B148" i="82"/>
  <c r="E148" i="82"/>
  <c r="F148" i="82" s="1"/>
  <c r="H153" i="42"/>
  <c r="I153" i="42"/>
  <c r="G147" i="94"/>
  <c r="H147" i="94" s="1"/>
  <c r="H153" i="44"/>
  <c r="J153" i="44" s="1"/>
  <c r="D149" i="76"/>
  <c r="B149" i="76" s="1"/>
  <c r="I155" i="20"/>
  <c r="E154" i="39"/>
  <c r="E155" i="39" s="1"/>
  <c r="B154" i="39"/>
  <c r="J149" i="61"/>
  <c r="I149" i="60"/>
  <c r="H149" i="60"/>
  <c r="E150" i="60"/>
  <c r="F150" i="60" s="1"/>
  <c r="B150" i="60"/>
  <c r="J154" i="43"/>
  <c r="J155" i="43" s="1"/>
  <c r="J148" i="66"/>
  <c r="I155" i="43"/>
  <c r="D150" i="66"/>
  <c r="B150" i="66" s="1"/>
  <c r="G149" i="66"/>
  <c r="E148" i="80"/>
  <c r="F148" i="80" s="1"/>
  <c r="G148" i="80" s="1"/>
  <c r="H148" i="80" s="1"/>
  <c r="B150" i="63"/>
  <c r="E150" i="63"/>
  <c r="F150" i="63" s="1"/>
  <c r="I149" i="63"/>
  <c r="H149" i="63"/>
  <c r="D145" i="95"/>
  <c r="G144" i="95"/>
  <c r="J154" i="73"/>
  <c r="J155" i="73" s="1"/>
  <c r="E145" i="93"/>
  <c r="F145" i="93" s="1"/>
  <c r="G145" i="93" s="1"/>
  <c r="E153" i="54"/>
  <c r="F153" i="54" s="1"/>
  <c r="G153" i="54" s="1"/>
  <c r="H139" i="13"/>
  <c r="I139" i="13"/>
  <c r="F140" i="13"/>
  <c r="B140" i="13"/>
  <c r="B152" i="58"/>
  <c r="E152" i="58"/>
  <c r="F152" i="58" s="1"/>
  <c r="E147" i="90"/>
  <c r="F147" i="90" s="1"/>
  <c r="G147" i="90" s="1"/>
  <c r="J148" i="79"/>
  <c r="J154" i="3"/>
  <c r="J155" i="3" s="1"/>
  <c r="I155" i="3"/>
  <c r="J147" i="76"/>
  <c r="J152" i="57"/>
  <c r="D151" i="61"/>
  <c r="B151" i="61" s="1"/>
  <c r="G150" i="61"/>
  <c r="E148" i="94"/>
  <c r="F148" i="94" s="1"/>
  <c r="D149" i="94" s="1"/>
  <c r="B149" i="94" s="1"/>
  <c r="J150" i="59"/>
  <c r="J148" i="75"/>
  <c r="E149" i="78"/>
  <c r="F149" i="78" s="1"/>
  <c r="E147" i="89"/>
  <c r="F147" i="89" s="1"/>
  <c r="D148" i="89" s="1"/>
  <c r="E148" i="83"/>
  <c r="F148" i="83" s="1"/>
  <c r="G148" i="83" s="1"/>
  <c r="J149" i="67"/>
  <c r="H146" i="101"/>
  <c r="I146" i="101"/>
  <c r="E147" i="88"/>
  <c r="F147" i="88" s="1"/>
  <c r="E152" i="46"/>
  <c r="F152" i="46" s="1"/>
  <c r="J154" i="45"/>
  <c r="J155" i="45" s="1"/>
  <c r="I155" i="45"/>
  <c r="I154" i="44"/>
  <c r="H154" i="44"/>
  <c r="E152" i="68"/>
  <c r="F152" i="68" s="1"/>
  <c r="E149" i="81"/>
  <c r="F149" i="81" s="1"/>
  <c r="I148" i="76"/>
  <c r="E152" i="64"/>
  <c r="F152" i="64" s="1"/>
  <c r="I143" i="98"/>
  <c r="H143" i="98"/>
  <c r="H144" i="97"/>
  <c r="E154" i="53"/>
  <c r="E155" i="53" s="1"/>
  <c r="B154" i="53"/>
  <c r="H146" i="88"/>
  <c r="I146" i="88"/>
  <c r="H151" i="46"/>
  <c r="I151" i="46"/>
  <c r="E147" i="91"/>
  <c r="F147" i="91" s="1"/>
  <c r="G149" i="79"/>
  <c r="D150" i="79"/>
  <c r="B150" i="79" s="1"/>
  <c r="I151" i="68"/>
  <c r="H151" i="68"/>
  <c r="I148" i="81"/>
  <c r="H148" i="81"/>
  <c r="E144" i="99"/>
  <c r="F144" i="99" s="1"/>
  <c r="E146" i="87"/>
  <c r="F146" i="87" s="1"/>
  <c r="H153" i="53"/>
  <c r="I153" i="53"/>
  <c r="I143" i="99"/>
  <c r="H143" i="99"/>
  <c r="H151" i="64"/>
  <c r="I151" i="64"/>
  <c r="I146" i="84"/>
  <c r="H146" i="84"/>
  <c r="H145" i="92"/>
  <c r="I145" i="92"/>
  <c r="I146" i="91"/>
  <c r="H146" i="91"/>
  <c r="D154" i="57"/>
  <c r="D149" i="85"/>
  <c r="B149" i="85" s="1"/>
  <c r="G148" i="85"/>
  <c r="H145" i="87"/>
  <c r="I145" i="87"/>
  <c r="D153" i="62"/>
  <c r="B153" i="62" s="1"/>
  <c r="G152" i="62"/>
  <c r="G147" i="96"/>
  <c r="D148" i="96"/>
  <c r="B148" i="96" s="1"/>
  <c r="J151" i="62"/>
  <c r="E153" i="74"/>
  <c r="F153" i="74" s="1"/>
  <c r="J151" i="56"/>
  <c r="J147" i="77"/>
  <c r="J152" i="53"/>
  <c r="H152" i="54"/>
  <c r="I152" i="54"/>
  <c r="D141" i="102"/>
  <c r="G140" i="102"/>
  <c r="E141" i="102"/>
  <c r="I144" i="93"/>
  <c r="H144" i="93"/>
  <c r="I146" i="89"/>
  <c r="H146" i="89"/>
  <c r="I146" i="90"/>
  <c r="H146" i="90"/>
  <c r="I147" i="83"/>
  <c r="I148" i="80"/>
  <c r="G151" i="59"/>
  <c r="D152" i="59"/>
  <c r="B152" i="59" s="1"/>
  <c r="G150" i="67"/>
  <c r="D151" i="67"/>
  <c r="B151" i="67" s="1"/>
  <c r="H152" i="74"/>
  <c r="I152" i="74"/>
  <c r="E146" i="92"/>
  <c r="F146" i="92" s="1"/>
  <c r="E149" i="76"/>
  <c r="F149" i="76" s="1"/>
  <c r="E147" i="101"/>
  <c r="F147" i="101" s="1"/>
  <c r="B147" i="101"/>
  <c r="G152" i="56"/>
  <c r="D153" i="56"/>
  <c r="B153" i="56" s="1"/>
  <c r="E144" i="98"/>
  <c r="F144" i="98" s="1"/>
  <c r="E145" i="97"/>
  <c r="F145" i="97" s="1"/>
  <c r="G148" i="77" l="1"/>
  <c r="I149" i="75"/>
  <c r="E147" i="84"/>
  <c r="F147" i="84" s="1"/>
  <c r="E153" i="55"/>
  <c r="F153" i="55" s="1"/>
  <c r="D151" i="65"/>
  <c r="B151" i="65" s="1"/>
  <c r="G153" i="55"/>
  <c r="D154" i="55"/>
  <c r="H152" i="55"/>
  <c r="I152" i="55"/>
  <c r="I147" i="94"/>
  <c r="E151" i="65"/>
  <c r="F151" i="65" s="1"/>
  <c r="D152" i="65" s="1"/>
  <c r="B152" i="65" s="1"/>
  <c r="D150" i="75"/>
  <c r="B150" i="75" s="1"/>
  <c r="J151" i="72"/>
  <c r="D154" i="54"/>
  <c r="D148" i="86"/>
  <c r="B148" i="86" s="1"/>
  <c r="H155" i="44"/>
  <c r="H150" i="65"/>
  <c r="I150" i="65"/>
  <c r="F154" i="42"/>
  <c r="G154" i="42" s="1"/>
  <c r="D146" i="93"/>
  <c r="B146" i="93" s="1"/>
  <c r="J153" i="42"/>
  <c r="D153" i="72"/>
  <c r="B153" i="72" s="1"/>
  <c r="G152" i="72"/>
  <c r="G148" i="82"/>
  <c r="D149" i="82"/>
  <c r="B148" i="89"/>
  <c r="E148" i="89"/>
  <c r="F148" i="89" s="1"/>
  <c r="D149" i="89" s="1"/>
  <c r="B149" i="89" s="1"/>
  <c r="E150" i="66"/>
  <c r="F150" i="66" s="1"/>
  <c r="G150" i="66" s="1"/>
  <c r="G147" i="89"/>
  <c r="I147" i="89" s="1"/>
  <c r="F154" i="39"/>
  <c r="G154" i="39" s="1"/>
  <c r="D149" i="83"/>
  <c r="B149" i="83" s="1"/>
  <c r="G150" i="60"/>
  <c r="D151" i="60"/>
  <c r="D149" i="80"/>
  <c r="B149" i="80" s="1"/>
  <c r="J149" i="60"/>
  <c r="D151" i="66"/>
  <c r="I144" i="95"/>
  <c r="H144" i="95"/>
  <c r="H149" i="66"/>
  <c r="I149" i="66"/>
  <c r="B145" i="95"/>
  <c r="E145" i="95"/>
  <c r="F145" i="95" s="1"/>
  <c r="J149" i="63"/>
  <c r="G148" i="94"/>
  <c r="I148" i="94" s="1"/>
  <c r="D151" i="63"/>
  <c r="G150" i="63"/>
  <c r="G140" i="13"/>
  <c r="D141" i="13"/>
  <c r="E141" i="13"/>
  <c r="D153" i="58"/>
  <c r="G152" i="58"/>
  <c r="D148" i="90"/>
  <c r="B148" i="90" s="1"/>
  <c r="E151" i="61"/>
  <c r="F151" i="61" s="1"/>
  <c r="G151" i="61" s="1"/>
  <c r="J151" i="46"/>
  <c r="E152" i="59"/>
  <c r="F152" i="59" s="1"/>
  <c r="G152" i="59" s="1"/>
  <c r="E149" i="85"/>
  <c r="F149" i="85" s="1"/>
  <c r="G149" i="85" s="1"/>
  <c r="G149" i="78"/>
  <c r="D150" i="78"/>
  <c r="H150" i="61"/>
  <c r="I150" i="61"/>
  <c r="J151" i="64"/>
  <c r="E146" i="93"/>
  <c r="F146" i="93" s="1"/>
  <c r="G146" i="93" s="1"/>
  <c r="J152" i="74"/>
  <c r="E149" i="77"/>
  <c r="F149" i="77" s="1"/>
  <c r="D148" i="101"/>
  <c r="G147" i="101"/>
  <c r="I147" i="86"/>
  <c r="H147" i="86"/>
  <c r="I147" i="90"/>
  <c r="H147" i="90"/>
  <c r="E154" i="57"/>
  <c r="E155" i="57" s="1"/>
  <c r="B154" i="57"/>
  <c r="D147" i="87"/>
  <c r="B147" i="87" s="1"/>
  <c r="G146" i="87"/>
  <c r="D150" i="81"/>
  <c r="B150" i="81" s="1"/>
  <c r="G149" i="81"/>
  <c r="H145" i="93"/>
  <c r="I145" i="93"/>
  <c r="D148" i="88"/>
  <c r="B148" i="88" s="1"/>
  <c r="G147" i="88"/>
  <c r="D150" i="76"/>
  <c r="B150" i="76" s="1"/>
  <c r="G149" i="76"/>
  <c r="E151" i="67"/>
  <c r="F151" i="67" s="1"/>
  <c r="E149" i="94"/>
  <c r="F149" i="94" s="1"/>
  <c r="I148" i="85"/>
  <c r="H148" i="85"/>
  <c r="H153" i="57"/>
  <c r="I153" i="57"/>
  <c r="G152" i="68"/>
  <c r="D153" i="68"/>
  <c r="B153" i="68" s="1"/>
  <c r="D145" i="98"/>
  <c r="B145" i="98" s="1"/>
  <c r="G144" i="98"/>
  <c r="G146" i="92"/>
  <c r="D147" i="92"/>
  <c r="B147" i="92" s="1"/>
  <c r="J149" i="75"/>
  <c r="I140" i="102"/>
  <c r="H140" i="102"/>
  <c r="E148" i="96"/>
  <c r="F148" i="96" s="1"/>
  <c r="J151" i="68"/>
  <c r="G152" i="64"/>
  <c r="D153" i="64"/>
  <c r="B153" i="64" s="1"/>
  <c r="E153" i="56"/>
  <c r="F153" i="56" s="1"/>
  <c r="I150" i="67"/>
  <c r="H150" i="67"/>
  <c r="B141" i="102"/>
  <c r="F141" i="102"/>
  <c r="H148" i="83"/>
  <c r="I148" i="83"/>
  <c r="H153" i="54"/>
  <c r="I153" i="54"/>
  <c r="E150" i="79"/>
  <c r="F150" i="79" s="1"/>
  <c r="G149" i="77"/>
  <c r="D150" i="77"/>
  <c r="B150" i="77" s="1"/>
  <c r="J154" i="44"/>
  <c r="J155" i="44" s="1"/>
  <c r="I155" i="44"/>
  <c r="H147" i="96"/>
  <c r="I147" i="96"/>
  <c r="E154" i="54"/>
  <c r="E155" i="54" s="1"/>
  <c r="B154" i="54"/>
  <c r="I148" i="77"/>
  <c r="H148" i="77"/>
  <c r="H152" i="56"/>
  <c r="I152" i="56"/>
  <c r="D154" i="74"/>
  <c r="G153" i="74"/>
  <c r="E153" i="62"/>
  <c r="F153" i="62" s="1"/>
  <c r="G144" i="99"/>
  <c r="D145" i="99"/>
  <c r="B145" i="99" s="1"/>
  <c r="I149" i="79"/>
  <c r="H149" i="79"/>
  <c r="D148" i="84"/>
  <c r="B148" i="84" s="1"/>
  <c r="G147" i="84"/>
  <c r="G145" i="97"/>
  <c r="D146" i="97"/>
  <c r="B146" i="97" s="1"/>
  <c r="I151" i="59"/>
  <c r="H151" i="59"/>
  <c r="E148" i="86"/>
  <c r="F148" i="86" s="1"/>
  <c r="J152" i="54"/>
  <c r="H152" i="62"/>
  <c r="I152" i="62"/>
  <c r="J153" i="53"/>
  <c r="G147" i="91"/>
  <c r="D148" i="91"/>
  <c r="B148" i="91" s="1"/>
  <c r="F154" i="53"/>
  <c r="G154" i="53" s="1"/>
  <c r="J148" i="76"/>
  <c r="G152" i="46"/>
  <c r="D153" i="46"/>
  <c r="B153" i="46" s="1"/>
  <c r="G151" i="65" l="1"/>
  <c r="J152" i="55"/>
  <c r="E154" i="55"/>
  <c r="E155" i="55" s="1"/>
  <c r="B154" i="55"/>
  <c r="F154" i="55"/>
  <c r="G154" i="55" s="1"/>
  <c r="H153" i="55"/>
  <c r="I153" i="55"/>
  <c r="G148" i="89"/>
  <c r="H148" i="89" s="1"/>
  <c r="J150" i="65"/>
  <c r="E148" i="91"/>
  <c r="F148" i="91" s="1"/>
  <c r="G148" i="91" s="1"/>
  <c r="E152" i="65"/>
  <c r="F152" i="65" s="1"/>
  <c r="G152" i="65" s="1"/>
  <c r="E150" i="75"/>
  <c r="F150" i="75" s="1"/>
  <c r="D153" i="65"/>
  <c r="B153" i="65" s="1"/>
  <c r="I151" i="65"/>
  <c r="H151" i="65"/>
  <c r="H147" i="89"/>
  <c r="E153" i="72"/>
  <c r="F153" i="72" s="1"/>
  <c r="I148" i="82"/>
  <c r="H148" i="82"/>
  <c r="H152" i="72"/>
  <c r="I152" i="72"/>
  <c r="B149" i="82"/>
  <c r="E149" i="82"/>
  <c r="F149" i="82" s="1"/>
  <c r="I154" i="42"/>
  <c r="H154" i="42"/>
  <c r="H155" i="42" s="1"/>
  <c r="E149" i="83"/>
  <c r="F149" i="83" s="1"/>
  <c r="G149" i="83" s="1"/>
  <c r="E146" i="97"/>
  <c r="F146" i="97" s="1"/>
  <c r="H154" i="39"/>
  <c r="H155" i="39" s="1"/>
  <c r="I154" i="39"/>
  <c r="E151" i="60"/>
  <c r="F151" i="60" s="1"/>
  <c r="B151" i="60"/>
  <c r="H148" i="94"/>
  <c r="E149" i="80"/>
  <c r="F149" i="80" s="1"/>
  <c r="I150" i="60"/>
  <c r="H150" i="60"/>
  <c r="D150" i="85"/>
  <c r="B150" i="85" s="1"/>
  <c r="G145" i="95"/>
  <c r="D146" i="95"/>
  <c r="B146" i="95" s="1"/>
  <c r="J149" i="66"/>
  <c r="H150" i="63"/>
  <c r="I150" i="63"/>
  <c r="B151" i="63"/>
  <c r="E151" i="63"/>
  <c r="F151" i="63" s="1"/>
  <c r="J150" i="67"/>
  <c r="H150" i="66"/>
  <c r="I150" i="66"/>
  <c r="B151" i="66"/>
  <c r="E151" i="66"/>
  <c r="F151" i="66" s="1"/>
  <c r="D153" i="59"/>
  <c r="B153" i="59" s="1"/>
  <c r="D152" i="61"/>
  <c r="B152" i="61" s="1"/>
  <c r="E148" i="90"/>
  <c r="F148" i="90" s="1"/>
  <c r="G148" i="90" s="1"/>
  <c r="F141" i="13"/>
  <c r="B141" i="13"/>
  <c r="H140" i="13"/>
  <c r="I140" i="13"/>
  <c r="I152" i="58"/>
  <c r="H152" i="58"/>
  <c r="B153" i="58"/>
  <c r="E153" i="58"/>
  <c r="F153" i="58" s="1"/>
  <c r="E150" i="76"/>
  <c r="F150" i="76" s="1"/>
  <c r="D151" i="76" s="1"/>
  <c r="B151" i="76" s="1"/>
  <c r="E147" i="87"/>
  <c r="F147" i="87" s="1"/>
  <c r="D148" i="87" s="1"/>
  <c r="B148" i="87" s="1"/>
  <c r="J149" i="79"/>
  <c r="D147" i="93"/>
  <c r="B147" i="93" s="1"/>
  <c r="E153" i="64"/>
  <c r="F153" i="64" s="1"/>
  <c r="G153" i="64" s="1"/>
  <c r="E145" i="98"/>
  <c r="F145" i="98" s="1"/>
  <c r="D146" i="98" s="1"/>
  <c r="B146" i="98" s="1"/>
  <c r="J150" i="61"/>
  <c r="E149" i="89"/>
  <c r="F149" i="89" s="1"/>
  <c r="G149" i="89" s="1"/>
  <c r="B150" i="78"/>
  <c r="E150" i="78"/>
  <c r="F150" i="78" s="1"/>
  <c r="E148" i="84"/>
  <c r="F148" i="84" s="1"/>
  <c r="J152" i="62"/>
  <c r="F154" i="54"/>
  <c r="G154" i="54" s="1"/>
  <c r="H154" i="54" s="1"/>
  <c r="H155" i="54" s="1"/>
  <c r="H149" i="78"/>
  <c r="I149" i="78"/>
  <c r="J153" i="57"/>
  <c r="H151" i="61"/>
  <c r="I151" i="61"/>
  <c r="D149" i="91"/>
  <c r="B149" i="91" s="1"/>
  <c r="J151" i="59"/>
  <c r="I147" i="91"/>
  <c r="H147" i="91"/>
  <c r="E153" i="46"/>
  <c r="F153" i="46" s="1"/>
  <c r="E154" i="74"/>
  <c r="E155" i="74" s="1"/>
  <c r="B154" i="74"/>
  <c r="E153" i="68"/>
  <c r="F153" i="68" s="1"/>
  <c r="H147" i="88"/>
  <c r="I147" i="88"/>
  <c r="F154" i="57"/>
  <c r="G154" i="57" s="1"/>
  <c r="H147" i="101"/>
  <c r="I147" i="101"/>
  <c r="E148" i="101"/>
  <c r="F148" i="101" s="1"/>
  <c r="B148" i="101"/>
  <c r="H152" i="46"/>
  <c r="I152" i="46"/>
  <c r="J152" i="56"/>
  <c r="J153" i="54"/>
  <c r="I152" i="68"/>
  <c r="H152" i="68"/>
  <c r="D152" i="67"/>
  <c r="B152" i="67" s="1"/>
  <c r="G151" i="67"/>
  <c r="I146" i="87"/>
  <c r="H146" i="87"/>
  <c r="G148" i="86"/>
  <c r="D149" i="86"/>
  <c r="B149" i="86" s="1"/>
  <c r="H144" i="98"/>
  <c r="I144" i="98"/>
  <c r="G149" i="94"/>
  <c r="D150" i="94"/>
  <c r="B150" i="94" s="1"/>
  <c r="G150" i="76"/>
  <c r="I149" i="85"/>
  <c r="H149" i="85"/>
  <c r="H145" i="97"/>
  <c r="I145" i="97"/>
  <c r="I152" i="64"/>
  <c r="H152" i="64"/>
  <c r="H154" i="53"/>
  <c r="H155" i="53" s="1"/>
  <c r="I154" i="53"/>
  <c r="E145" i="99"/>
  <c r="F145" i="99" s="1"/>
  <c r="H146" i="93"/>
  <c r="I146" i="93"/>
  <c r="J148" i="77"/>
  <c r="E150" i="77"/>
  <c r="F150" i="77" s="1"/>
  <c r="G153" i="56"/>
  <c r="D154" i="56"/>
  <c r="H149" i="76"/>
  <c r="I149" i="76"/>
  <c r="E147" i="92"/>
  <c r="F147" i="92" s="1"/>
  <c r="D154" i="62"/>
  <c r="G153" i="62"/>
  <c r="I149" i="77"/>
  <c r="H149" i="77"/>
  <c r="G148" i="96"/>
  <c r="D149" i="96"/>
  <c r="B149" i="96" s="1"/>
  <c r="E150" i="81"/>
  <c r="F150" i="81" s="1"/>
  <c r="I148" i="89"/>
  <c r="H152" i="59"/>
  <c r="I152" i="59"/>
  <c r="H147" i="84"/>
  <c r="I147" i="84"/>
  <c r="I144" i="99"/>
  <c r="H144" i="99"/>
  <c r="D147" i="97"/>
  <c r="B147" i="97" s="1"/>
  <c r="G146" i="97"/>
  <c r="I153" i="74"/>
  <c r="H153" i="74"/>
  <c r="D151" i="79"/>
  <c r="B151" i="79" s="1"/>
  <c r="G150" i="79"/>
  <c r="D142" i="102"/>
  <c r="G141" i="102"/>
  <c r="E142" i="102"/>
  <c r="H146" i="92"/>
  <c r="I146" i="92"/>
  <c r="E148" i="88"/>
  <c r="F148" i="88" s="1"/>
  <c r="H149" i="81"/>
  <c r="I149" i="81"/>
  <c r="J153" i="55" l="1"/>
  <c r="H154" i="55"/>
  <c r="H155" i="55" s="1"/>
  <c r="I154" i="55"/>
  <c r="E153" i="65"/>
  <c r="F153" i="65" s="1"/>
  <c r="D150" i="89"/>
  <c r="B150" i="89" s="1"/>
  <c r="G147" i="87"/>
  <c r="G150" i="75"/>
  <c r="D151" i="75"/>
  <c r="D150" i="83"/>
  <c r="B150" i="83" s="1"/>
  <c r="D154" i="64"/>
  <c r="E154" i="64" s="1"/>
  <c r="E155" i="64" s="1"/>
  <c r="J151" i="65"/>
  <c r="I152" i="65"/>
  <c r="H152" i="65"/>
  <c r="G149" i="82"/>
  <c r="D150" i="82"/>
  <c r="J154" i="42"/>
  <c r="J155" i="42" s="1"/>
  <c r="I155" i="42"/>
  <c r="J152" i="72"/>
  <c r="G153" i="72"/>
  <c r="D154" i="72"/>
  <c r="E154" i="72" s="1"/>
  <c r="E155" i="72" s="1"/>
  <c r="J150" i="63"/>
  <c r="J154" i="39"/>
  <c r="J155" i="39" s="1"/>
  <c r="I155" i="39"/>
  <c r="D149" i="90"/>
  <c r="B149" i="90" s="1"/>
  <c r="E150" i="85"/>
  <c r="F150" i="85" s="1"/>
  <c r="J150" i="60"/>
  <c r="G149" i="80"/>
  <c r="D150" i="80"/>
  <c r="F154" i="74"/>
  <c r="G154" i="74" s="1"/>
  <c r="H154" i="74" s="1"/>
  <c r="H155" i="74" s="1"/>
  <c r="E152" i="61"/>
  <c r="F152" i="61" s="1"/>
  <c r="D153" i="61" s="1"/>
  <c r="B153" i="61" s="1"/>
  <c r="E150" i="89"/>
  <c r="F150" i="89" s="1"/>
  <c r="G150" i="89" s="1"/>
  <c r="D152" i="60"/>
  <c r="G151" i="60"/>
  <c r="D152" i="66"/>
  <c r="G151" i="66"/>
  <c r="E153" i="59"/>
  <c r="F153" i="59" s="1"/>
  <c r="J150" i="66"/>
  <c r="E146" i="95"/>
  <c r="F146" i="95" s="1"/>
  <c r="I145" i="95"/>
  <c r="H145" i="95"/>
  <c r="D152" i="63"/>
  <c r="G151" i="63"/>
  <c r="D142" i="13"/>
  <c r="G141" i="13"/>
  <c r="E142" i="13"/>
  <c r="G153" i="58"/>
  <c r="D154" i="58"/>
  <c r="E150" i="94"/>
  <c r="F150" i="94" s="1"/>
  <c r="G150" i="94" s="1"/>
  <c r="J152" i="58"/>
  <c r="E149" i="96"/>
  <c r="F149" i="96" s="1"/>
  <c r="G149" i="96" s="1"/>
  <c r="D149" i="84"/>
  <c r="B149" i="84" s="1"/>
  <c r="J149" i="78"/>
  <c r="G148" i="84"/>
  <c r="I148" i="84" s="1"/>
  <c r="E147" i="93"/>
  <c r="F147" i="93" s="1"/>
  <c r="D148" i="93" s="1"/>
  <c r="B148" i="93" s="1"/>
  <c r="J152" i="59"/>
  <c r="J151" i="61"/>
  <c r="E146" i="98"/>
  <c r="F146" i="98" s="1"/>
  <c r="G145" i="98"/>
  <c r="H145" i="98" s="1"/>
  <c r="G150" i="78"/>
  <c r="D151" i="78"/>
  <c r="B151" i="78" s="1"/>
  <c r="E149" i="86"/>
  <c r="F149" i="86" s="1"/>
  <c r="E149" i="91"/>
  <c r="F149" i="91" s="1"/>
  <c r="D150" i="91" s="1"/>
  <c r="B150" i="91" s="1"/>
  <c r="I154" i="54"/>
  <c r="I155" i="54" s="1"/>
  <c r="E148" i="87"/>
  <c r="F148" i="87" s="1"/>
  <c r="D149" i="87" s="1"/>
  <c r="B149" i="87" s="1"/>
  <c r="D149" i="101"/>
  <c r="G148" i="101"/>
  <c r="G150" i="77"/>
  <c r="D151" i="77"/>
  <c r="B151" i="77" s="1"/>
  <c r="I155" i="53"/>
  <c r="J154" i="53"/>
  <c r="J155" i="53" s="1"/>
  <c r="I141" i="102"/>
  <c r="H141" i="102"/>
  <c r="E147" i="97"/>
  <c r="F147" i="97" s="1"/>
  <c r="D151" i="81"/>
  <c r="B151" i="81" s="1"/>
  <c r="G150" i="81"/>
  <c r="B154" i="62"/>
  <c r="G147" i="92"/>
  <c r="D148" i="92"/>
  <c r="B148" i="92" s="1"/>
  <c r="J149" i="76"/>
  <c r="D154" i="68"/>
  <c r="E154" i="68" s="1"/>
  <c r="E155" i="68" s="1"/>
  <c r="G153" i="68"/>
  <c r="H148" i="90"/>
  <c r="I148" i="90"/>
  <c r="D147" i="98"/>
  <c r="B147" i="98" s="1"/>
  <c r="G146" i="98"/>
  <c r="I148" i="86"/>
  <c r="H148" i="86"/>
  <c r="E151" i="79"/>
  <c r="F151" i="79" s="1"/>
  <c r="E154" i="56"/>
  <c r="E155" i="56" s="1"/>
  <c r="B154" i="56"/>
  <c r="J152" i="64"/>
  <c r="E151" i="76"/>
  <c r="F151" i="76" s="1"/>
  <c r="H147" i="87"/>
  <c r="I147" i="87"/>
  <c r="E152" i="67"/>
  <c r="F152" i="67" s="1"/>
  <c r="I149" i="89"/>
  <c r="H149" i="89"/>
  <c r="I150" i="79"/>
  <c r="H150" i="79"/>
  <c r="H148" i="96"/>
  <c r="I148" i="96"/>
  <c r="I153" i="56"/>
  <c r="H153" i="56"/>
  <c r="I149" i="83"/>
  <c r="H149" i="83"/>
  <c r="H151" i="67"/>
  <c r="I151" i="67"/>
  <c r="J152" i="46"/>
  <c r="I153" i="62"/>
  <c r="H153" i="62"/>
  <c r="H146" i="97"/>
  <c r="I146" i="97"/>
  <c r="G145" i="99"/>
  <c r="D146" i="99"/>
  <c r="B146" i="99" s="1"/>
  <c r="I150" i="76"/>
  <c r="H150" i="76"/>
  <c r="I153" i="64"/>
  <c r="H153" i="64"/>
  <c r="J149" i="77"/>
  <c r="I154" i="57"/>
  <c r="H154" i="57"/>
  <c r="H155" i="57" s="1"/>
  <c r="D154" i="46"/>
  <c r="G153" i="46"/>
  <c r="H148" i="91"/>
  <c r="I148" i="91"/>
  <c r="D149" i="88"/>
  <c r="B149" i="88" s="1"/>
  <c r="G148" i="88"/>
  <c r="F142" i="102"/>
  <c r="B142" i="102"/>
  <c r="B154" i="64"/>
  <c r="F154" i="64"/>
  <c r="G154" i="64" s="1"/>
  <c r="J153" i="74"/>
  <c r="E154" i="62"/>
  <c r="E155" i="62" s="1"/>
  <c r="G147" i="93"/>
  <c r="I149" i="94"/>
  <c r="H149" i="94"/>
  <c r="J152" i="68"/>
  <c r="I155" i="55" l="1"/>
  <c r="J154" i="55"/>
  <c r="J155" i="55" s="1"/>
  <c r="E150" i="83"/>
  <c r="F150" i="83" s="1"/>
  <c r="E149" i="90"/>
  <c r="F149" i="90" s="1"/>
  <c r="D150" i="90" s="1"/>
  <c r="B150" i="90" s="1"/>
  <c r="D151" i="94"/>
  <c r="B151" i="94" s="1"/>
  <c r="B151" i="75"/>
  <c r="E151" i="75"/>
  <c r="F151" i="75" s="1"/>
  <c r="I150" i="75"/>
  <c r="H150" i="75"/>
  <c r="D150" i="96"/>
  <c r="B150" i="96" s="1"/>
  <c r="J152" i="65"/>
  <c r="D154" i="65"/>
  <c r="G153" i="65"/>
  <c r="E153" i="61"/>
  <c r="F153" i="61" s="1"/>
  <c r="D154" i="61" s="1"/>
  <c r="E154" i="61" s="1"/>
  <c r="E155" i="61" s="1"/>
  <c r="G152" i="61"/>
  <c r="H152" i="61" s="1"/>
  <c r="H153" i="72"/>
  <c r="I153" i="72"/>
  <c r="B150" i="82"/>
  <c r="E150" i="82"/>
  <c r="F150" i="82" s="1"/>
  <c r="B154" i="72"/>
  <c r="F154" i="72"/>
  <c r="G154" i="72" s="1"/>
  <c r="I149" i="82"/>
  <c r="H149" i="82"/>
  <c r="G148" i="87"/>
  <c r="H148" i="87" s="1"/>
  <c r="I145" i="98"/>
  <c r="I154" i="74"/>
  <c r="J154" i="74" s="1"/>
  <c r="J155" i="74" s="1"/>
  <c r="B150" i="80"/>
  <c r="E150" i="80"/>
  <c r="F150" i="80" s="1"/>
  <c r="I149" i="80"/>
  <c r="H149" i="80"/>
  <c r="D151" i="89"/>
  <c r="B151" i="89" s="1"/>
  <c r="H151" i="60"/>
  <c r="I151" i="60"/>
  <c r="D151" i="85"/>
  <c r="G150" i="85"/>
  <c r="J154" i="54"/>
  <c r="J155" i="54" s="1"/>
  <c r="B152" i="60"/>
  <c r="E152" i="60"/>
  <c r="F152" i="60" s="1"/>
  <c r="B152" i="63"/>
  <c r="E152" i="63"/>
  <c r="F152" i="63" s="1"/>
  <c r="D147" i="95"/>
  <c r="B147" i="95" s="1"/>
  <c r="G146" i="95"/>
  <c r="D154" i="59"/>
  <c r="G153" i="59"/>
  <c r="I151" i="66"/>
  <c r="H151" i="66"/>
  <c r="I152" i="61"/>
  <c r="J152" i="61" s="1"/>
  <c r="H151" i="63"/>
  <c r="I151" i="63"/>
  <c r="B152" i="66"/>
  <c r="E152" i="66"/>
  <c r="F152" i="66" s="1"/>
  <c r="E148" i="93"/>
  <c r="F148" i="93" s="1"/>
  <c r="G148" i="93" s="1"/>
  <c r="J153" i="64"/>
  <c r="E146" i="99"/>
  <c r="F146" i="99" s="1"/>
  <c r="D147" i="99" s="1"/>
  <c r="B147" i="99" s="1"/>
  <c r="H141" i="13"/>
  <c r="I141" i="13"/>
  <c r="B142" i="13"/>
  <c r="F142" i="13"/>
  <c r="J151" i="67"/>
  <c r="E154" i="58"/>
  <c r="E155" i="58" s="1"/>
  <c r="B154" i="58"/>
  <c r="H153" i="58"/>
  <c r="I153" i="58"/>
  <c r="J153" i="56"/>
  <c r="D150" i="86"/>
  <c r="B150" i="86" s="1"/>
  <c r="H148" i="84"/>
  <c r="G149" i="86"/>
  <c r="H149" i="86" s="1"/>
  <c r="E149" i="84"/>
  <c r="F149" i="84" s="1"/>
  <c r="J150" i="76"/>
  <c r="J153" i="62"/>
  <c r="J150" i="79"/>
  <c r="E150" i="91"/>
  <c r="F150" i="91" s="1"/>
  <c r="D151" i="91" s="1"/>
  <c r="B151" i="91" s="1"/>
  <c r="E151" i="78"/>
  <c r="F151" i="78" s="1"/>
  <c r="G149" i="91"/>
  <c r="H149" i="91" s="1"/>
  <c r="H150" i="78"/>
  <c r="I150" i="78"/>
  <c r="E149" i="88"/>
  <c r="F149" i="88" s="1"/>
  <c r="G149" i="88" s="1"/>
  <c r="E149" i="87"/>
  <c r="F149" i="87" s="1"/>
  <c r="D150" i="87" s="1"/>
  <c r="B150" i="87" s="1"/>
  <c r="E151" i="81"/>
  <c r="F151" i="81" s="1"/>
  <c r="G151" i="81" s="1"/>
  <c r="E151" i="77"/>
  <c r="F151" i="77" s="1"/>
  <c r="G151" i="77" s="1"/>
  <c r="I148" i="88"/>
  <c r="H148" i="88"/>
  <c r="I153" i="68"/>
  <c r="H153" i="68"/>
  <c r="I146" i="98"/>
  <c r="H146" i="98"/>
  <c r="B154" i="68"/>
  <c r="F154" i="68"/>
  <c r="G154" i="68" s="1"/>
  <c r="I150" i="81"/>
  <c r="H150" i="81"/>
  <c r="J154" i="57"/>
  <c r="J155" i="57" s="1"/>
  <c r="I155" i="57"/>
  <c r="H149" i="96"/>
  <c r="I149" i="96"/>
  <c r="H145" i="99"/>
  <c r="I145" i="99"/>
  <c r="I147" i="93"/>
  <c r="H147" i="93"/>
  <c r="H154" i="64"/>
  <c r="H155" i="64" s="1"/>
  <c r="I154" i="64"/>
  <c r="E151" i="94"/>
  <c r="F151" i="94" s="1"/>
  <c r="H150" i="77"/>
  <c r="I150" i="77"/>
  <c r="D152" i="76"/>
  <c r="B152" i="76" s="1"/>
  <c r="G151" i="76"/>
  <c r="D152" i="79"/>
  <c r="B152" i="79" s="1"/>
  <c r="G151" i="79"/>
  <c r="E148" i="92"/>
  <c r="F148" i="92" s="1"/>
  <c r="G147" i="97"/>
  <c r="D148" i="97"/>
  <c r="B148" i="97" s="1"/>
  <c r="D153" i="67"/>
  <c r="B153" i="67" s="1"/>
  <c r="G152" i="67"/>
  <c r="D143" i="102"/>
  <c r="G142" i="102"/>
  <c r="E143" i="102"/>
  <c r="I153" i="46"/>
  <c r="H153" i="46"/>
  <c r="I150" i="94"/>
  <c r="H150" i="94"/>
  <c r="F154" i="56"/>
  <c r="G154" i="56" s="1"/>
  <c r="H147" i="92"/>
  <c r="I147" i="92"/>
  <c r="H148" i="101"/>
  <c r="I148" i="101"/>
  <c r="E154" i="46"/>
  <c r="E155" i="46" s="1"/>
  <c r="B154" i="46"/>
  <c r="I150" i="89"/>
  <c r="H150" i="89"/>
  <c r="E147" i="98"/>
  <c r="F147" i="98" s="1"/>
  <c r="F154" i="62"/>
  <c r="G154" i="62" s="1"/>
  <c r="E149" i="101"/>
  <c r="F149" i="101" s="1"/>
  <c r="B149" i="101"/>
  <c r="I148" i="87" l="1"/>
  <c r="G149" i="90"/>
  <c r="G153" i="61"/>
  <c r="J150" i="75"/>
  <c r="D152" i="75"/>
  <c r="B152" i="75" s="1"/>
  <c r="G151" i="75"/>
  <c r="I153" i="65"/>
  <c r="H153" i="65"/>
  <c r="E150" i="96"/>
  <c r="F150" i="96" s="1"/>
  <c r="D151" i="96" s="1"/>
  <c r="B151" i="96" s="1"/>
  <c r="E154" i="65"/>
  <c r="E155" i="65" s="1"/>
  <c r="B154" i="65"/>
  <c r="G150" i="83"/>
  <c r="D151" i="83"/>
  <c r="D149" i="93"/>
  <c r="B149" i="93" s="1"/>
  <c r="I155" i="74"/>
  <c r="E151" i="89"/>
  <c r="F151" i="89" s="1"/>
  <c r="D152" i="89" s="1"/>
  <c r="B152" i="89" s="1"/>
  <c r="H154" i="72"/>
  <c r="H155" i="72" s="1"/>
  <c r="I154" i="72"/>
  <c r="G150" i="82"/>
  <c r="D151" i="82"/>
  <c r="J153" i="72"/>
  <c r="G146" i="99"/>
  <c r="H146" i="99" s="1"/>
  <c r="D152" i="77"/>
  <c r="B152" i="77" s="1"/>
  <c r="J151" i="66"/>
  <c r="I149" i="91"/>
  <c r="J151" i="60"/>
  <c r="J151" i="63"/>
  <c r="B151" i="85"/>
  <c r="E151" i="85"/>
  <c r="F151" i="85" s="1"/>
  <c r="D153" i="60"/>
  <c r="B153" i="60" s="1"/>
  <c r="G152" i="60"/>
  <c r="G150" i="80"/>
  <c r="D151" i="80"/>
  <c r="B151" i="80" s="1"/>
  <c r="E147" i="95"/>
  <c r="F147" i="95" s="1"/>
  <c r="G147" i="95" s="1"/>
  <c r="I150" i="85"/>
  <c r="H150" i="85"/>
  <c r="I153" i="59"/>
  <c r="H153" i="59"/>
  <c r="D153" i="66"/>
  <c r="G152" i="66"/>
  <c r="E154" i="59"/>
  <c r="E155" i="59" s="1"/>
  <c r="B154" i="59"/>
  <c r="I146" i="95"/>
  <c r="H146" i="95"/>
  <c r="D150" i="88"/>
  <c r="B150" i="88" s="1"/>
  <c r="G152" i="63"/>
  <c r="D153" i="63"/>
  <c r="E148" i="97"/>
  <c r="F148" i="97" s="1"/>
  <c r="G148" i="97" s="1"/>
  <c r="G149" i="87"/>
  <c r="I149" i="87" s="1"/>
  <c r="D152" i="81"/>
  <c r="B152" i="81" s="1"/>
  <c r="J153" i="46"/>
  <c r="D143" i="13"/>
  <c r="G142" i="13"/>
  <c r="E143" i="13"/>
  <c r="I149" i="86"/>
  <c r="J153" i="58"/>
  <c r="F154" i="58"/>
  <c r="G154" i="58" s="1"/>
  <c r="G149" i="84"/>
  <c r="D150" i="84"/>
  <c r="B150" i="84" s="1"/>
  <c r="E150" i="86"/>
  <c r="F150" i="86" s="1"/>
  <c r="E150" i="87"/>
  <c r="F150" i="87" s="1"/>
  <c r="G150" i="87" s="1"/>
  <c r="E152" i="76"/>
  <c r="F152" i="76" s="1"/>
  <c r="G152" i="76" s="1"/>
  <c r="J150" i="78"/>
  <c r="E147" i="99"/>
  <c r="F147" i="99" s="1"/>
  <c r="G147" i="99" s="1"/>
  <c r="G151" i="78"/>
  <c r="D152" i="78"/>
  <c r="B152" i="78" s="1"/>
  <c r="G150" i="91"/>
  <c r="H150" i="91" s="1"/>
  <c r="H153" i="61"/>
  <c r="I153" i="61"/>
  <c r="B154" i="61"/>
  <c r="F154" i="61"/>
  <c r="G154" i="61" s="1"/>
  <c r="D150" i="101"/>
  <c r="G149" i="101"/>
  <c r="I142" i="102"/>
  <c r="H142" i="102"/>
  <c r="E152" i="79"/>
  <c r="F152" i="79" s="1"/>
  <c r="J150" i="77"/>
  <c r="I149" i="90"/>
  <c r="H149" i="90"/>
  <c r="E151" i="91"/>
  <c r="F151" i="91" s="1"/>
  <c r="H148" i="93"/>
  <c r="I148" i="93"/>
  <c r="F143" i="102"/>
  <c r="B143" i="102"/>
  <c r="H151" i="79"/>
  <c r="I151" i="79"/>
  <c r="G151" i="94"/>
  <c r="D152" i="94"/>
  <c r="B152" i="94" s="1"/>
  <c r="H154" i="62"/>
  <c r="H155" i="62" s="1"/>
  <c r="I154" i="62"/>
  <c r="D148" i="98"/>
  <c r="B148" i="98" s="1"/>
  <c r="G147" i="98"/>
  <c r="I154" i="56"/>
  <c r="H154" i="56"/>
  <c r="H155" i="56" s="1"/>
  <c r="E153" i="67"/>
  <c r="F153" i="67" s="1"/>
  <c r="I154" i="68"/>
  <c r="H154" i="68"/>
  <c r="H155" i="68" s="1"/>
  <c r="H152" i="67"/>
  <c r="I152" i="67"/>
  <c r="I155" i="64"/>
  <c r="J154" i="64"/>
  <c r="J155" i="64" s="1"/>
  <c r="I151" i="77"/>
  <c r="H151" i="77"/>
  <c r="H147" i="97"/>
  <c r="I147" i="97"/>
  <c r="H151" i="81"/>
  <c r="I151" i="81"/>
  <c r="H151" i="76"/>
  <c r="I151" i="76"/>
  <c r="F154" i="46"/>
  <c r="G154" i="46" s="1"/>
  <c r="D149" i="92"/>
  <c r="B149" i="92" s="1"/>
  <c r="G148" i="92"/>
  <c r="H149" i="88"/>
  <c r="I149" i="88"/>
  <c r="E150" i="90"/>
  <c r="F150" i="90" s="1"/>
  <c r="J153" i="68"/>
  <c r="E149" i="93"/>
  <c r="F149" i="93" s="1"/>
  <c r="E152" i="77" l="1"/>
  <c r="F152" i="77" s="1"/>
  <c r="E152" i="75"/>
  <c r="F152" i="75" s="1"/>
  <c r="G151" i="89"/>
  <c r="J153" i="65"/>
  <c r="B151" i="83"/>
  <c r="E151" i="83"/>
  <c r="F151" i="83" s="1"/>
  <c r="G152" i="75"/>
  <c r="D153" i="75"/>
  <c r="B153" i="75" s="1"/>
  <c r="G150" i="96"/>
  <c r="I150" i="96" s="1"/>
  <c r="E151" i="96"/>
  <c r="F151" i="96" s="1"/>
  <c r="F154" i="59"/>
  <c r="G154" i="59" s="1"/>
  <c r="H154" i="59" s="1"/>
  <c r="H155" i="59" s="1"/>
  <c r="H150" i="83"/>
  <c r="I150" i="83"/>
  <c r="H151" i="75"/>
  <c r="I151" i="75"/>
  <c r="J151" i="75" s="1"/>
  <c r="F154" i="65"/>
  <c r="G154" i="65" s="1"/>
  <c r="J154" i="72"/>
  <c r="D149" i="97"/>
  <c r="B149" i="97" s="1"/>
  <c r="D151" i="87"/>
  <c r="B151" i="87" s="1"/>
  <c r="D148" i="95"/>
  <c r="B148" i="95" s="1"/>
  <c r="I155" i="72"/>
  <c r="I146" i="99"/>
  <c r="B151" i="82"/>
  <c r="E151" i="82"/>
  <c r="F151" i="82" s="1"/>
  <c r="H150" i="82"/>
  <c r="I150" i="82"/>
  <c r="J155" i="72"/>
  <c r="H149" i="87"/>
  <c r="E152" i="81"/>
  <c r="F152" i="81" s="1"/>
  <c r="H150" i="96"/>
  <c r="H150" i="80"/>
  <c r="I150" i="80"/>
  <c r="E153" i="60"/>
  <c r="F153" i="60" s="1"/>
  <c r="I152" i="60"/>
  <c r="H152" i="60"/>
  <c r="D152" i="85"/>
  <c r="G151" i="85"/>
  <c r="E150" i="88"/>
  <c r="F150" i="88" s="1"/>
  <c r="E151" i="80"/>
  <c r="F151" i="80" s="1"/>
  <c r="H147" i="95"/>
  <c r="I147" i="95"/>
  <c r="I154" i="59"/>
  <c r="H152" i="63"/>
  <c r="I152" i="63"/>
  <c r="B153" i="63"/>
  <c r="E153" i="63"/>
  <c r="F153" i="63" s="1"/>
  <c r="H152" i="66"/>
  <c r="I152" i="66"/>
  <c r="B153" i="66"/>
  <c r="E153" i="66"/>
  <c r="F153" i="66" s="1"/>
  <c r="E148" i="95"/>
  <c r="F148" i="95" s="1"/>
  <c r="J153" i="59"/>
  <c r="I142" i="13"/>
  <c r="H142" i="13"/>
  <c r="B143" i="13"/>
  <c r="F143" i="13"/>
  <c r="E150" i="84"/>
  <c r="F150" i="84" s="1"/>
  <c r="E152" i="94"/>
  <c r="F152" i="94" s="1"/>
  <c r="G152" i="94" s="1"/>
  <c r="I154" i="58"/>
  <c r="H154" i="58"/>
  <c r="H155" i="58" s="1"/>
  <c r="D153" i="76"/>
  <c r="B153" i="76" s="1"/>
  <c r="I150" i="91"/>
  <c r="G150" i="86"/>
  <c r="D151" i="86"/>
  <c r="E152" i="89"/>
  <c r="F152" i="89" s="1"/>
  <c r="G152" i="89" s="1"/>
  <c r="I149" i="84"/>
  <c r="H149" i="84"/>
  <c r="D148" i="99"/>
  <c r="B148" i="99" s="1"/>
  <c r="E149" i="92"/>
  <c r="F149" i="92" s="1"/>
  <c r="G149" i="92" s="1"/>
  <c r="H154" i="61"/>
  <c r="H155" i="61" s="1"/>
  <c r="I154" i="61"/>
  <c r="E152" i="78"/>
  <c r="F152" i="78" s="1"/>
  <c r="J153" i="61"/>
  <c r="J151" i="77"/>
  <c r="I151" i="78"/>
  <c r="H151" i="78"/>
  <c r="E149" i="97"/>
  <c r="F149" i="97" s="1"/>
  <c r="H154" i="46"/>
  <c r="H155" i="46" s="1"/>
  <c r="I154" i="46"/>
  <c r="J154" i="56"/>
  <c r="J155" i="56" s="1"/>
  <c r="I155" i="56"/>
  <c r="H148" i="97"/>
  <c r="I148" i="97"/>
  <c r="E148" i="98"/>
  <c r="F148" i="98" s="1"/>
  <c r="G143" i="102"/>
  <c r="D144" i="102"/>
  <c r="E150" i="101"/>
  <c r="F150" i="101" s="1"/>
  <c r="B150" i="101"/>
  <c r="I147" i="98"/>
  <c r="H147" i="98"/>
  <c r="D151" i="90"/>
  <c r="B151" i="90" s="1"/>
  <c r="G150" i="90"/>
  <c r="I151" i="89"/>
  <c r="H151" i="89"/>
  <c r="H149" i="101"/>
  <c r="I149" i="101"/>
  <c r="H150" i="87"/>
  <c r="I150" i="87"/>
  <c r="I148" i="92"/>
  <c r="H148" i="92"/>
  <c r="I152" i="76"/>
  <c r="H152" i="76"/>
  <c r="D154" i="67"/>
  <c r="E154" i="67" s="1"/>
  <c r="E155" i="67" s="1"/>
  <c r="G153" i="67"/>
  <c r="J154" i="62"/>
  <c r="J155" i="62" s="1"/>
  <c r="I155" i="62"/>
  <c r="G152" i="79"/>
  <c r="D153" i="79"/>
  <c r="B153" i="79" s="1"/>
  <c r="D153" i="77"/>
  <c r="B153" i="77" s="1"/>
  <c r="G152" i="77"/>
  <c r="J151" i="76"/>
  <c r="H147" i="99"/>
  <c r="I147" i="99"/>
  <c r="J152" i="67"/>
  <c r="J154" i="68"/>
  <c r="J155" i="68" s="1"/>
  <c r="I155" i="68"/>
  <c r="I151" i="94"/>
  <c r="H151" i="94"/>
  <c r="D152" i="96"/>
  <c r="B152" i="96" s="1"/>
  <c r="G151" i="96"/>
  <c r="G149" i="93"/>
  <c r="D150" i="93"/>
  <c r="B150" i="93" s="1"/>
  <c r="J151" i="79"/>
  <c r="D152" i="91"/>
  <c r="B152" i="91" s="1"/>
  <c r="G151" i="91"/>
  <c r="E153" i="75" l="1"/>
  <c r="F153" i="75" s="1"/>
  <c r="E151" i="87"/>
  <c r="F151" i="87" s="1"/>
  <c r="D153" i="94"/>
  <c r="B153" i="94" s="1"/>
  <c r="I154" i="65"/>
  <c r="H154" i="65"/>
  <c r="H155" i="65" s="1"/>
  <c r="D154" i="75"/>
  <c r="B154" i="75" s="1"/>
  <c r="G153" i="75"/>
  <c r="H152" i="75"/>
  <c r="I152" i="75"/>
  <c r="D152" i="83"/>
  <c r="B152" i="83" s="1"/>
  <c r="G151" i="83"/>
  <c r="D150" i="92"/>
  <c r="B150" i="92" s="1"/>
  <c r="J152" i="66"/>
  <c r="G151" i="82"/>
  <c r="D152" i="82"/>
  <c r="E151" i="90"/>
  <c r="F151" i="90" s="1"/>
  <c r="D152" i="90" s="1"/>
  <c r="B152" i="90" s="1"/>
  <c r="J152" i="63"/>
  <c r="D153" i="81"/>
  <c r="G152" i="81"/>
  <c r="D151" i="88"/>
  <c r="G150" i="88"/>
  <c r="B152" i="85"/>
  <c r="E152" i="85"/>
  <c r="F152" i="85" s="1"/>
  <c r="J152" i="60"/>
  <c r="G153" i="60"/>
  <c r="D154" i="60"/>
  <c r="I151" i="85"/>
  <c r="H151" i="85"/>
  <c r="D152" i="80"/>
  <c r="B152" i="80" s="1"/>
  <c r="G151" i="80"/>
  <c r="G153" i="63"/>
  <c r="D154" i="63"/>
  <c r="G148" i="95"/>
  <c r="D149" i="95"/>
  <c r="B149" i="95" s="1"/>
  <c r="D154" i="66"/>
  <c r="G153" i="66"/>
  <c r="J154" i="59"/>
  <c r="J155" i="59" s="1"/>
  <c r="I155" i="59"/>
  <c r="D153" i="89"/>
  <c r="B153" i="89" s="1"/>
  <c r="G143" i="13"/>
  <c r="D144" i="13"/>
  <c r="J151" i="78"/>
  <c r="J154" i="58"/>
  <c r="J155" i="58" s="1"/>
  <c r="I155" i="58"/>
  <c r="G150" i="84"/>
  <c r="D151" i="84"/>
  <c r="B151" i="86"/>
  <c r="E151" i="86"/>
  <c r="F151" i="86" s="1"/>
  <c r="E150" i="93"/>
  <c r="F150" i="93" s="1"/>
  <c r="G150" i="93" s="1"/>
  <c r="H150" i="86"/>
  <c r="I150" i="86"/>
  <c r="E153" i="76"/>
  <c r="F153" i="76" s="1"/>
  <c r="J154" i="61"/>
  <c r="J155" i="61" s="1"/>
  <c r="D153" i="78"/>
  <c r="B153" i="78" s="1"/>
  <c r="G152" i="78"/>
  <c r="I155" i="61"/>
  <c r="E148" i="99"/>
  <c r="F148" i="99" s="1"/>
  <c r="E152" i="91"/>
  <c r="F152" i="91" s="1"/>
  <c r="J154" i="46"/>
  <c r="J155" i="46" s="1"/>
  <c r="I155" i="46"/>
  <c r="H152" i="89"/>
  <c r="I152" i="89"/>
  <c r="H152" i="79"/>
  <c r="I152" i="79"/>
  <c r="J152" i="76"/>
  <c r="H150" i="90"/>
  <c r="I150" i="90"/>
  <c r="I151" i="91"/>
  <c r="H151" i="91"/>
  <c r="H149" i="92"/>
  <c r="I149" i="92"/>
  <c r="D151" i="101"/>
  <c r="B151" i="101" s="1"/>
  <c r="G150" i="101"/>
  <c r="E144" i="102"/>
  <c r="F144" i="102" s="1"/>
  <c r="B144" i="102"/>
  <c r="I153" i="67"/>
  <c r="H153" i="67"/>
  <c r="E153" i="94"/>
  <c r="F153" i="94" s="1"/>
  <c r="H143" i="102"/>
  <c r="I143" i="102"/>
  <c r="I149" i="93"/>
  <c r="H149" i="93"/>
  <c r="E153" i="77"/>
  <c r="F153" i="77" s="1"/>
  <c r="B154" i="67"/>
  <c r="F154" i="67"/>
  <c r="G154" i="67" s="1"/>
  <c r="D149" i="98"/>
  <c r="B149" i="98" s="1"/>
  <c r="G148" i="98"/>
  <c r="E152" i="96"/>
  <c r="F152" i="96" s="1"/>
  <c r="H151" i="96"/>
  <c r="I151" i="96"/>
  <c r="H152" i="77"/>
  <c r="I152" i="77"/>
  <c r="E153" i="79"/>
  <c r="F153" i="79" s="1"/>
  <c r="I152" i="94"/>
  <c r="H152" i="94"/>
  <c r="D152" i="87"/>
  <c r="B152" i="87" s="1"/>
  <c r="G151" i="87"/>
  <c r="D150" i="97"/>
  <c r="B150" i="97" s="1"/>
  <c r="G149" i="97"/>
  <c r="G151" i="90" l="1"/>
  <c r="E150" i="92"/>
  <c r="F150" i="92" s="1"/>
  <c r="D151" i="92" s="1"/>
  <c r="B151" i="92" s="1"/>
  <c r="E154" i="75"/>
  <c r="E155" i="75" s="1"/>
  <c r="E153" i="89"/>
  <c r="F153" i="89" s="1"/>
  <c r="D154" i="89" s="1"/>
  <c r="E154" i="89" s="1"/>
  <c r="E155" i="89" s="1"/>
  <c r="J152" i="75"/>
  <c r="G153" i="89"/>
  <c r="I153" i="89" s="1"/>
  <c r="I153" i="75"/>
  <c r="H153" i="75"/>
  <c r="H151" i="83"/>
  <c r="I151" i="83"/>
  <c r="E152" i="83"/>
  <c r="F152" i="83" s="1"/>
  <c r="I155" i="65"/>
  <c r="J154" i="65"/>
  <c r="J155" i="65" s="1"/>
  <c r="B152" i="82"/>
  <c r="E152" i="82"/>
  <c r="F152" i="82" s="1"/>
  <c r="H151" i="82"/>
  <c r="I151" i="82"/>
  <c r="E151" i="101"/>
  <c r="F151" i="101" s="1"/>
  <c r="E152" i="80"/>
  <c r="F152" i="80" s="1"/>
  <c r="D153" i="80" s="1"/>
  <c r="B153" i="80" s="1"/>
  <c r="D151" i="93"/>
  <c r="B151" i="93" s="1"/>
  <c r="I152" i="81"/>
  <c r="H152" i="81"/>
  <c r="B153" i="81"/>
  <c r="E153" i="81"/>
  <c r="F153" i="81" s="1"/>
  <c r="H153" i="60"/>
  <c r="I153" i="60"/>
  <c r="E154" i="60"/>
  <c r="E155" i="60" s="1"/>
  <c r="B154" i="60"/>
  <c r="D153" i="85"/>
  <c r="G152" i="85"/>
  <c r="I151" i="80"/>
  <c r="H151" i="80"/>
  <c r="G150" i="92"/>
  <c r="I150" i="92" s="1"/>
  <c r="H150" i="88"/>
  <c r="I150" i="88"/>
  <c r="B151" i="88"/>
  <c r="E151" i="88"/>
  <c r="F151" i="88" s="1"/>
  <c r="I153" i="66"/>
  <c r="H153" i="66"/>
  <c r="B154" i="66"/>
  <c r="E154" i="66"/>
  <c r="E155" i="66" s="1"/>
  <c r="E149" i="95"/>
  <c r="F149" i="95" s="1"/>
  <c r="H148" i="95"/>
  <c r="I148" i="95"/>
  <c r="E154" i="63"/>
  <c r="E155" i="63" s="1"/>
  <c r="B154" i="63"/>
  <c r="I153" i="63"/>
  <c r="H153" i="63"/>
  <c r="B144" i="13"/>
  <c r="E144" i="13"/>
  <c r="F144" i="13" s="1"/>
  <c r="H143" i="13"/>
  <c r="I143" i="13"/>
  <c r="B151" i="84"/>
  <c r="E151" i="84"/>
  <c r="F151" i="84" s="1"/>
  <c r="H150" i="84"/>
  <c r="I150" i="84"/>
  <c r="E151" i="92"/>
  <c r="F151" i="92" s="1"/>
  <c r="D152" i="92" s="1"/>
  <c r="B152" i="92" s="1"/>
  <c r="D154" i="76"/>
  <c r="G153" i="76"/>
  <c r="E153" i="78"/>
  <c r="F153" i="78" s="1"/>
  <c r="G153" i="78" s="1"/>
  <c r="J152" i="79"/>
  <c r="G151" i="86"/>
  <c r="D152" i="86"/>
  <c r="B152" i="86" s="1"/>
  <c r="D149" i="99"/>
  <c r="B149" i="99" s="1"/>
  <c r="G148" i="99"/>
  <c r="J153" i="67"/>
  <c r="I152" i="78"/>
  <c r="H152" i="78"/>
  <c r="E152" i="90"/>
  <c r="F152" i="90" s="1"/>
  <c r="D153" i="90" s="1"/>
  <c r="B153" i="90" s="1"/>
  <c r="D154" i="77"/>
  <c r="E154" i="77" s="1"/>
  <c r="E155" i="77" s="1"/>
  <c r="G153" i="77"/>
  <c r="D153" i="91"/>
  <c r="B153" i="91" s="1"/>
  <c r="G152" i="91"/>
  <c r="G144" i="102"/>
  <c r="D145" i="102"/>
  <c r="B154" i="89"/>
  <c r="I154" i="67"/>
  <c r="H154" i="67"/>
  <c r="H155" i="67" s="1"/>
  <c r="D154" i="79"/>
  <c r="G153" i="79"/>
  <c r="E152" i="87"/>
  <c r="F152" i="87" s="1"/>
  <c r="J152" i="77"/>
  <c r="H150" i="92"/>
  <c r="H150" i="93"/>
  <c r="I150" i="93"/>
  <c r="I149" i="97"/>
  <c r="H149" i="97"/>
  <c r="H151" i="87"/>
  <c r="I151" i="87"/>
  <c r="H148" i="98"/>
  <c r="I148" i="98"/>
  <c r="I151" i="90"/>
  <c r="H151" i="90"/>
  <c r="G152" i="96"/>
  <c r="D153" i="96"/>
  <c r="B153" i="96" s="1"/>
  <c r="G153" i="94"/>
  <c r="D154" i="94"/>
  <c r="E154" i="94" s="1"/>
  <c r="E155" i="94" s="1"/>
  <c r="G151" i="101"/>
  <c r="D152" i="101"/>
  <c r="B152" i="101" s="1"/>
  <c r="E150" i="97"/>
  <c r="F150" i="97" s="1"/>
  <c r="E149" i="98"/>
  <c r="F149" i="98" s="1"/>
  <c r="I150" i="101"/>
  <c r="H150" i="101"/>
  <c r="H153" i="89" l="1"/>
  <c r="F154" i="75"/>
  <c r="G154" i="75" s="1"/>
  <c r="E152" i="86"/>
  <c r="F152" i="86" s="1"/>
  <c r="G152" i="86" s="1"/>
  <c r="F154" i="89"/>
  <c r="G154" i="89" s="1"/>
  <c r="G152" i="83"/>
  <c r="D153" i="83"/>
  <c r="B153" i="83" s="1"/>
  <c r="J153" i="75"/>
  <c r="F154" i="60"/>
  <c r="G154" i="60" s="1"/>
  <c r="I154" i="60" s="1"/>
  <c r="E151" i="93"/>
  <c r="F151" i="93" s="1"/>
  <c r="G152" i="80"/>
  <c r="I152" i="80" s="1"/>
  <c r="G152" i="82"/>
  <c r="D153" i="82"/>
  <c r="F154" i="63"/>
  <c r="G154" i="63" s="1"/>
  <c r="H154" i="63" s="1"/>
  <c r="H155" i="63" s="1"/>
  <c r="E153" i="80"/>
  <c r="F153" i="80" s="1"/>
  <c r="G153" i="80" s="1"/>
  <c r="G153" i="81"/>
  <c r="D154" i="81"/>
  <c r="H152" i="85"/>
  <c r="I152" i="85"/>
  <c r="J153" i="60"/>
  <c r="G151" i="88"/>
  <c r="D152" i="88"/>
  <c r="B152" i="88" s="1"/>
  <c r="B153" i="85"/>
  <c r="E153" i="85"/>
  <c r="F153" i="85" s="1"/>
  <c r="G151" i="92"/>
  <c r="H151" i="92" s="1"/>
  <c r="D150" i="95"/>
  <c r="B150" i="95" s="1"/>
  <c r="G149" i="95"/>
  <c r="J153" i="63"/>
  <c r="F154" i="66"/>
  <c r="G154" i="66" s="1"/>
  <c r="J153" i="66"/>
  <c r="G144" i="13"/>
  <c r="D145" i="13"/>
  <c r="D152" i="84"/>
  <c r="G151" i="84"/>
  <c r="D153" i="86"/>
  <c r="B153" i="86" s="1"/>
  <c r="I151" i="86"/>
  <c r="H151" i="86"/>
  <c r="D154" i="78"/>
  <c r="E154" i="78" s="1"/>
  <c r="E155" i="78" s="1"/>
  <c r="G152" i="90"/>
  <c r="H152" i="90" s="1"/>
  <c r="I153" i="76"/>
  <c r="H153" i="76"/>
  <c r="E154" i="76"/>
  <c r="E155" i="76" s="1"/>
  <c r="B154" i="76"/>
  <c r="E153" i="96"/>
  <c r="F153" i="96" s="1"/>
  <c r="G153" i="96" s="1"/>
  <c r="I148" i="99"/>
  <c r="H148" i="99"/>
  <c r="J152" i="78"/>
  <c r="H153" i="78"/>
  <c r="I153" i="78"/>
  <c r="E152" i="101"/>
  <c r="F152" i="101" s="1"/>
  <c r="D153" i="101" s="1"/>
  <c r="B153" i="101" s="1"/>
  <c r="E153" i="90"/>
  <c r="F153" i="90" s="1"/>
  <c r="G153" i="90" s="1"/>
  <c r="E149" i="99"/>
  <c r="F149" i="99" s="1"/>
  <c r="I153" i="79"/>
  <c r="H153" i="79"/>
  <c r="I153" i="94"/>
  <c r="H153" i="94"/>
  <c r="E145" i="102"/>
  <c r="F145" i="102" s="1"/>
  <c r="B145" i="102"/>
  <c r="B154" i="94"/>
  <c r="F154" i="94"/>
  <c r="G154" i="94" s="1"/>
  <c r="I152" i="96"/>
  <c r="H152" i="96"/>
  <c r="I144" i="102"/>
  <c r="H144" i="102"/>
  <c r="D150" i="98"/>
  <c r="B150" i="98" s="1"/>
  <c r="G149" i="98"/>
  <c r="B154" i="79"/>
  <c r="D153" i="87"/>
  <c r="B153" i="87" s="1"/>
  <c r="G152" i="87"/>
  <c r="G151" i="93"/>
  <c r="D152" i="93"/>
  <c r="B152" i="93" s="1"/>
  <c r="I154" i="89"/>
  <c r="I155" i="89" s="1"/>
  <c r="H154" i="89"/>
  <c r="H155" i="89" s="1"/>
  <c r="D151" i="97"/>
  <c r="B151" i="97" s="1"/>
  <c r="G150" i="97"/>
  <c r="E152" i="92"/>
  <c r="F152" i="92" s="1"/>
  <c r="I155" i="67"/>
  <c r="J154" i="67"/>
  <c r="J155" i="67" s="1"/>
  <c r="E153" i="91"/>
  <c r="F153" i="91" s="1"/>
  <c r="I153" i="77"/>
  <c r="H153" i="77"/>
  <c r="I151" i="101"/>
  <c r="H151" i="101"/>
  <c r="E154" i="79"/>
  <c r="E155" i="79" s="1"/>
  <c r="I152" i="91"/>
  <c r="H152" i="91"/>
  <c r="B154" i="77"/>
  <c r="F154" i="77"/>
  <c r="G154" i="77" s="1"/>
  <c r="H154" i="75" l="1"/>
  <c r="H155" i="75" s="1"/>
  <c r="I154" i="75"/>
  <c r="H152" i="80"/>
  <c r="E153" i="83"/>
  <c r="F153" i="83" s="1"/>
  <c r="H154" i="60"/>
  <c r="H155" i="60" s="1"/>
  <c r="I152" i="83"/>
  <c r="H152" i="83"/>
  <c r="I151" i="92"/>
  <c r="I152" i="90"/>
  <c r="I154" i="63"/>
  <c r="I155" i="63" s="1"/>
  <c r="B153" i="82"/>
  <c r="E153" i="82"/>
  <c r="F153" i="82" s="1"/>
  <c r="H152" i="82"/>
  <c r="I152" i="82"/>
  <c r="D154" i="96"/>
  <c r="B154" i="96" s="1"/>
  <c r="D154" i="80"/>
  <c r="E154" i="80" s="1"/>
  <c r="E155" i="80" s="1"/>
  <c r="E150" i="95"/>
  <c r="F150" i="95" s="1"/>
  <c r="D151" i="95" s="1"/>
  <c r="B151" i="95" s="1"/>
  <c r="E154" i="81"/>
  <c r="B154" i="81"/>
  <c r="I153" i="81"/>
  <c r="H153" i="81"/>
  <c r="G153" i="85"/>
  <c r="D154" i="85"/>
  <c r="B154" i="85" s="1"/>
  <c r="E152" i="88"/>
  <c r="F152" i="88" s="1"/>
  <c r="H151" i="88"/>
  <c r="I151" i="88"/>
  <c r="I155" i="60"/>
  <c r="H153" i="80"/>
  <c r="I153" i="80"/>
  <c r="H154" i="66"/>
  <c r="H155" i="66" s="1"/>
  <c r="I154" i="66"/>
  <c r="H149" i="95"/>
  <c r="I149" i="95"/>
  <c r="J153" i="78"/>
  <c r="E153" i="87"/>
  <c r="F153" i="87" s="1"/>
  <c r="D154" i="87" s="1"/>
  <c r="D154" i="90"/>
  <c r="E154" i="90" s="1"/>
  <c r="E155" i="90" s="1"/>
  <c r="H144" i="13"/>
  <c r="I144" i="13"/>
  <c r="B145" i="13"/>
  <c r="E145" i="13"/>
  <c r="F145" i="13" s="1"/>
  <c r="E153" i="86"/>
  <c r="F153" i="86" s="1"/>
  <c r="G153" i="86" s="1"/>
  <c r="I151" i="84"/>
  <c r="H151" i="84"/>
  <c r="F154" i="76"/>
  <c r="G154" i="76" s="1"/>
  <c r="I154" i="76" s="1"/>
  <c r="B152" i="84"/>
  <c r="E152" i="84"/>
  <c r="F152" i="84" s="1"/>
  <c r="E153" i="101"/>
  <c r="F153" i="101" s="1"/>
  <c r="D154" i="101" s="1"/>
  <c r="G152" i="101"/>
  <c r="H152" i="101" s="1"/>
  <c r="F154" i="78"/>
  <c r="G154" i="78" s="1"/>
  <c r="H154" i="78" s="1"/>
  <c r="H155" i="78" s="1"/>
  <c r="B154" i="78"/>
  <c r="J153" i="76"/>
  <c r="H152" i="86"/>
  <c r="I152" i="86"/>
  <c r="E151" i="97"/>
  <c r="F151" i="97" s="1"/>
  <c r="G151" i="97" s="1"/>
  <c r="F154" i="79"/>
  <c r="G154" i="79" s="1"/>
  <c r="I154" i="79" s="1"/>
  <c r="D150" i="99"/>
  <c r="B150" i="99" s="1"/>
  <c r="G149" i="99"/>
  <c r="D146" i="102"/>
  <c r="G145" i="102"/>
  <c r="G152" i="92"/>
  <c r="D153" i="92"/>
  <c r="B153" i="92" s="1"/>
  <c r="I154" i="77"/>
  <c r="H154" i="77"/>
  <c r="H155" i="77" s="1"/>
  <c r="J153" i="77"/>
  <c r="I150" i="97"/>
  <c r="H150" i="97"/>
  <c r="E152" i="93"/>
  <c r="F152" i="93" s="1"/>
  <c r="I153" i="96"/>
  <c r="H153" i="96"/>
  <c r="G153" i="91"/>
  <c r="D154" i="91"/>
  <c r="H153" i="90"/>
  <c r="I153" i="90"/>
  <c r="H151" i="93"/>
  <c r="I151" i="93"/>
  <c r="J153" i="79"/>
  <c r="H149" i="98"/>
  <c r="I149" i="98"/>
  <c r="H154" i="79"/>
  <c r="H155" i="79" s="1"/>
  <c r="H152" i="87"/>
  <c r="I152" i="87"/>
  <c r="I154" i="94"/>
  <c r="I155" i="94" s="1"/>
  <c r="H154" i="94"/>
  <c r="H155" i="94" s="1"/>
  <c r="E150" i="98"/>
  <c r="F150" i="98" s="1"/>
  <c r="J154" i="75" l="1"/>
  <c r="J155" i="75" s="1"/>
  <c r="I155" i="75"/>
  <c r="J154" i="60"/>
  <c r="J155" i="60" s="1"/>
  <c r="E154" i="96"/>
  <c r="E155" i="96" s="1"/>
  <c r="G150" i="95"/>
  <c r="J154" i="63"/>
  <c r="J155" i="63" s="1"/>
  <c r="G153" i="83"/>
  <c r="D154" i="83"/>
  <c r="E154" i="83" s="1"/>
  <c r="E155" i="83" s="1"/>
  <c r="B154" i="80"/>
  <c r="F154" i="90"/>
  <c r="G154" i="90" s="1"/>
  <c r="I154" i="90" s="1"/>
  <c r="I155" i="90" s="1"/>
  <c r="B154" i="90"/>
  <c r="H154" i="76"/>
  <c r="H155" i="76" s="1"/>
  <c r="D154" i="82"/>
  <c r="E154" i="82" s="1"/>
  <c r="E155" i="82" s="1"/>
  <c r="G153" i="82"/>
  <c r="F154" i="80"/>
  <c r="G154" i="80" s="1"/>
  <c r="I154" i="80" s="1"/>
  <c r="I155" i="80" s="1"/>
  <c r="E154" i="85"/>
  <c r="E155" i="85" s="1"/>
  <c r="E155" i="81"/>
  <c r="F154" i="81"/>
  <c r="G154" i="81" s="1"/>
  <c r="G153" i="87"/>
  <c r="I153" i="87" s="1"/>
  <c r="G152" i="88"/>
  <c r="D153" i="88"/>
  <c r="B153" i="88" s="1"/>
  <c r="E151" i="95"/>
  <c r="F151" i="95" s="1"/>
  <c r="D152" i="95" s="1"/>
  <c r="B152" i="95" s="1"/>
  <c r="I153" i="85"/>
  <c r="H153" i="85"/>
  <c r="D154" i="86"/>
  <c r="B154" i="86" s="1"/>
  <c r="I150" i="95"/>
  <c r="H150" i="95"/>
  <c r="J154" i="66"/>
  <c r="J155" i="66" s="1"/>
  <c r="I155" i="66"/>
  <c r="I154" i="78"/>
  <c r="I155" i="78" s="1"/>
  <c r="I152" i="101"/>
  <c r="G145" i="13"/>
  <c r="D146" i="13"/>
  <c r="B146" i="13" s="1"/>
  <c r="D153" i="84"/>
  <c r="B153" i="84" s="1"/>
  <c r="G152" i="84"/>
  <c r="D152" i="97"/>
  <c r="B152" i="97" s="1"/>
  <c r="H153" i="86"/>
  <c r="I153" i="86"/>
  <c r="G153" i="101"/>
  <c r="H153" i="101" s="1"/>
  <c r="I155" i="76"/>
  <c r="E154" i="101"/>
  <c r="E155" i="101" s="1"/>
  <c r="E150" i="99"/>
  <c r="F150" i="99" s="1"/>
  <c r="D151" i="99" s="1"/>
  <c r="B151" i="99" s="1"/>
  <c r="I149" i="99"/>
  <c r="H149" i="99"/>
  <c r="J154" i="78"/>
  <c r="J155" i="78" s="1"/>
  <c r="G150" i="98"/>
  <c r="D151" i="98"/>
  <c r="B151" i="98" s="1"/>
  <c r="H153" i="91"/>
  <c r="I153" i="91"/>
  <c r="B154" i="91"/>
  <c r="H145" i="102"/>
  <c r="I145" i="102"/>
  <c r="E146" i="102"/>
  <c r="F146" i="102" s="1"/>
  <c r="B146" i="102"/>
  <c r="H154" i="90"/>
  <c r="H155" i="90" s="1"/>
  <c r="I155" i="77"/>
  <c r="J154" i="77"/>
  <c r="J155" i="77" s="1"/>
  <c r="B154" i="101"/>
  <c r="E153" i="92"/>
  <c r="F153" i="92" s="1"/>
  <c r="J154" i="79"/>
  <c r="J155" i="79" s="1"/>
  <c r="I155" i="79"/>
  <c r="B154" i="87"/>
  <c r="E154" i="87"/>
  <c r="E155" i="87" s="1"/>
  <c r="E154" i="91"/>
  <c r="E155" i="91" s="1"/>
  <c r="G152" i="93"/>
  <c r="D153" i="93"/>
  <c r="B153" i="93" s="1"/>
  <c r="H152" i="92"/>
  <c r="I152" i="92"/>
  <c r="I151" i="97"/>
  <c r="H151" i="97"/>
  <c r="F154" i="96" l="1"/>
  <c r="G154" i="96" s="1"/>
  <c r="B154" i="83"/>
  <c r="F154" i="83"/>
  <c r="G154" i="83" s="1"/>
  <c r="I153" i="83"/>
  <c r="H153" i="83"/>
  <c r="I153" i="101"/>
  <c r="H154" i="80"/>
  <c r="H155" i="80" s="1"/>
  <c r="J154" i="76"/>
  <c r="J155" i="76" s="1"/>
  <c r="I153" i="82"/>
  <c r="H153" i="82"/>
  <c r="B154" i="82"/>
  <c r="F154" i="82"/>
  <c r="G154" i="82" s="1"/>
  <c r="F154" i="85"/>
  <c r="G154" i="85" s="1"/>
  <c r="H154" i="85" s="1"/>
  <c r="H155" i="85" s="1"/>
  <c r="E154" i="86"/>
  <c r="F154" i="86" s="1"/>
  <c r="G154" i="86" s="1"/>
  <c r="H153" i="87"/>
  <c r="H154" i="81"/>
  <c r="H155" i="81" s="1"/>
  <c r="I154" i="81"/>
  <c r="I155" i="81" s="1"/>
  <c r="G151" i="95"/>
  <c r="H151" i="95" s="1"/>
  <c r="E153" i="88"/>
  <c r="F153" i="88" s="1"/>
  <c r="G153" i="88" s="1"/>
  <c r="E152" i="95"/>
  <c r="F152" i="95" s="1"/>
  <c r="G152" i="95" s="1"/>
  <c r="I152" i="88"/>
  <c r="H152" i="88"/>
  <c r="E153" i="84"/>
  <c r="F153" i="84" s="1"/>
  <c r="G153" i="84" s="1"/>
  <c r="I151" i="95"/>
  <c r="E152" i="97"/>
  <c r="F152" i="97" s="1"/>
  <c r="G152" i="97" s="1"/>
  <c r="H145" i="13"/>
  <c r="I145" i="13"/>
  <c r="E146" i="13"/>
  <c r="F146" i="13" s="1"/>
  <c r="E151" i="99"/>
  <c r="F151" i="99" s="1"/>
  <c r="D152" i="99" s="1"/>
  <c r="B152" i="99" s="1"/>
  <c r="G150" i="99"/>
  <c r="I150" i="99" s="1"/>
  <c r="I152" i="84"/>
  <c r="H152" i="84"/>
  <c r="F154" i="101"/>
  <c r="G154" i="101" s="1"/>
  <c r="I154" i="101" s="1"/>
  <c r="G146" i="102"/>
  <c r="D147" i="102"/>
  <c r="I154" i="96"/>
  <c r="I155" i="96" s="1"/>
  <c r="H154" i="96"/>
  <c r="H155" i="96" s="1"/>
  <c r="E153" i="93"/>
  <c r="F153" i="93" s="1"/>
  <c r="G153" i="92"/>
  <c r="D154" i="92"/>
  <c r="E151" i="98"/>
  <c r="F151" i="98" s="1"/>
  <c r="F154" i="87"/>
  <c r="G154" i="87" s="1"/>
  <c r="I152" i="93"/>
  <c r="H152" i="93"/>
  <c r="F154" i="91"/>
  <c r="G154" i="91" s="1"/>
  <c r="H150" i="98"/>
  <c r="I150" i="98"/>
  <c r="E155" i="86" l="1"/>
  <c r="I155" i="101"/>
  <c r="I154" i="83"/>
  <c r="I155" i="83" s="1"/>
  <c r="H154" i="83"/>
  <c r="H155" i="83" s="1"/>
  <c r="I154" i="85"/>
  <c r="I155" i="85" s="1"/>
  <c r="I154" i="82"/>
  <c r="I155" i="82" s="1"/>
  <c r="H154" i="82"/>
  <c r="H155" i="82" s="1"/>
  <c r="D153" i="95"/>
  <c r="D154" i="88"/>
  <c r="E154" i="88" s="1"/>
  <c r="E155" i="88" s="1"/>
  <c r="D154" i="84"/>
  <c r="B154" i="84" s="1"/>
  <c r="H150" i="99"/>
  <c r="I153" i="88"/>
  <c r="H153" i="88"/>
  <c r="D153" i="97"/>
  <c r="B153" i="97" s="1"/>
  <c r="I152" i="95"/>
  <c r="H152" i="95"/>
  <c r="G151" i="99"/>
  <c r="H151" i="99" s="1"/>
  <c r="G146" i="13"/>
  <c r="D147" i="13"/>
  <c r="B147" i="13" s="1"/>
  <c r="I153" i="84"/>
  <c r="H153" i="84"/>
  <c r="H154" i="101"/>
  <c r="H155" i="101" s="1"/>
  <c r="E152" i="99"/>
  <c r="F152" i="99" s="1"/>
  <c r="G152" i="99" s="1"/>
  <c r="I154" i="86"/>
  <c r="I155" i="86" s="1"/>
  <c r="H154" i="86"/>
  <c r="H155" i="86" s="1"/>
  <c r="I152" i="97"/>
  <c r="H152" i="97"/>
  <c r="E154" i="92"/>
  <c r="E155" i="92" s="1"/>
  <c r="B154" i="92"/>
  <c r="G151" i="98"/>
  <c r="D152" i="98"/>
  <c r="B152" i="98" s="1"/>
  <c r="H154" i="91"/>
  <c r="H155" i="91" s="1"/>
  <c r="I154" i="91"/>
  <c r="I155" i="91" s="1"/>
  <c r="D154" i="93"/>
  <c r="E154" i="93" s="1"/>
  <c r="E155" i="93" s="1"/>
  <c r="G153" i="93"/>
  <c r="E147" i="102"/>
  <c r="F147" i="102" s="1"/>
  <c r="B147" i="102"/>
  <c r="H154" i="87"/>
  <c r="H155" i="87" s="1"/>
  <c r="I154" i="87"/>
  <c r="I155" i="87" s="1"/>
  <c r="I153" i="92"/>
  <c r="H153" i="92"/>
  <c r="I146" i="102"/>
  <c r="H146" i="102"/>
  <c r="B154" i="88" l="1"/>
  <c r="E154" i="84"/>
  <c r="E155" i="84" s="1"/>
  <c r="F154" i="88"/>
  <c r="G154" i="88" s="1"/>
  <c r="I151" i="99"/>
  <c r="B153" i="95"/>
  <c r="E153" i="95"/>
  <c r="F153" i="95" s="1"/>
  <c r="H154" i="88"/>
  <c r="H155" i="88" s="1"/>
  <c r="I154" i="88"/>
  <c r="I155" i="88" s="1"/>
  <c r="E153" i="97"/>
  <c r="F153" i="97" s="1"/>
  <c r="E147" i="13"/>
  <c r="F147" i="13" s="1"/>
  <c r="D148" i="13" s="1"/>
  <c r="B148" i="13" s="1"/>
  <c r="I146" i="13"/>
  <c r="H146" i="13"/>
  <c r="D153" i="99"/>
  <c r="B153" i="99" s="1"/>
  <c r="E152" i="98"/>
  <c r="F152" i="98" s="1"/>
  <c r="D153" i="98" s="1"/>
  <c r="B153" i="98" s="1"/>
  <c r="F154" i="92"/>
  <c r="G154" i="92" s="1"/>
  <c r="H154" i="92" s="1"/>
  <c r="H155" i="92" s="1"/>
  <c r="H152" i="99"/>
  <c r="I152" i="99"/>
  <c r="H153" i="93"/>
  <c r="I153" i="93"/>
  <c r="I151" i="98"/>
  <c r="H151" i="98"/>
  <c r="B154" i="93"/>
  <c r="F154" i="93"/>
  <c r="G154" i="93" s="1"/>
  <c r="D148" i="102"/>
  <c r="B148" i="102" s="1"/>
  <c r="G147" i="102"/>
  <c r="F154" i="84" l="1"/>
  <c r="G154" i="84" s="1"/>
  <c r="D154" i="95"/>
  <c r="G153" i="95"/>
  <c r="E153" i="99"/>
  <c r="F153" i="99" s="1"/>
  <c r="D154" i="99" s="1"/>
  <c r="G147" i="13"/>
  <c r="I147" i="13" s="1"/>
  <c r="D154" i="97"/>
  <c r="G153" i="97"/>
  <c r="E148" i="13"/>
  <c r="F148" i="13" s="1"/>
  <c r="H154" i="84"/>
  <c r="H155" i="84" s="1"/>
  <c r="I154" i="84"/>
  <c r="I155" i="84" s="1"/>
  <c r="I154" i="92"/>
  <c r="I155" i="92" s="1"/>
  <c r="G152" i="98"/>
  <c r="H152" i="98" s="1"/>
  <c r="E153" i="98"/>
  <c r="F153" i="98" s="1"/>
  <c r="E148" i="102"/>
  <c r="F148" i="102" s="1"/>
  <c r="I154" i="93"/>
  <c r="I155" i="93" s="1"/>
  <c r="H154" i="93"/>
  <c r="H155" i="93" s="1"/>
  <c r="H147" i="102"/>
  <c r="I147" i="102"/>
  <c r="G153" i="99" l="1"/>
  <c r="H147" i="13"/>
  <c r="I153" i="95"/>
  <c r="H153" i="95"/>
  <c r="E154" i="95"/>
  <c r="E155" i="95" s="1"/>
  <c r="B154" i="95"/>
  <c r="I153" i="97"/>
  <c r="H153" i="97"/>
  <c r="E154" i="97"/>
  <c r="E155" i="97" s="1"/>
  <c r="B154" i="97"/>
  <c r="D149" i="13"/>
  <c r="B149" i="13" s="1"/>
  <c r="G148" i="13"/>
  <c r="I152" i="98"/>
  <c r="H153" i="99"/>
  <c r="I153" i="99"/>
  <c r="E154" i="99"/>
  <c r="E155" i="99" s="1"/>
  <c r="B154" i="99"/>
  <c r="D149" i="102"/>
  <c r="B149" i="102" s="1"/>
  <c r="G148" i="102"/>
  <c r="D154" i="98"/>
  <c r="G153" i="98"/>
  <c r="F154" i="95" l="1"/>
  <c r="G154" i="95" s="1"/>
  <c r="F154" i="97"/>
  <c r="G154" i="97" s="1"/>
  <c r="E149" i="13"/>
  <c r="F149" i="13" s="1"/>
  <c r="H148" i="13"/>
  <c r="I148" i="13"/>
  <c r="F154" i="99"/>
  <c r="G154" i="99" s="1"/>
  <c r="I153" i="98"/>
  <c r="H153" i="98"/>
  <c r="E149" i="102"/>
  <c r="F149" i="102" s="1"/>
  <c r="E154" i="98"/>
  <c r="E155" i="98" s="1"/>
  <c r="B154" i="98"/>
  <c r="H148" i="102"/>
  <c r="I148" i="102"/>
  <c r="I154" i="95" l="1"/>
  <c r="I155" i="95" s="1"/>
  <c r="H154" i="95"/>
  <c r="H155" i="95" s="1"/>
  <c r="H154" i="97"/>
  <c r="H155" i="97" s="1"/>
  <c r="I154" i="97"/>
  <c r="I155" i="97" s="1"/>
  <c r="G149" i="13"/>
  <c r="D150" i="13"/>
  <c r="B150" i="13" s="1"/>
  <c r="H154" i="99"/>
  <c r="H155" i="99" s="1"/>
  <c r="I154" i="99"/>
  <c r="I155" i="99" s="1"/>
  <c r="F154" i="98"/>
  <c r="G154" i="98" s="1"/>
  <c r="D150" i="102"/>
  <c r="G149" i="102"/>
  <c r="E150" i="13" l="1"/>
  <c r="F150" i="13" s="1"/>
  <c r="H149" i="13"/>
  <c r="I149" i="13"/>
  <c r="H149" i="102"/>
  <c r="I149" i="102"/>
  <c r="E150" i="102"/>
  <c r="F150" i="102" s="1"/>
  <c r="B150" i="102"/>
  <c r="I154" i="98"/>
  <c r="I155" i="98" s="1"/>
  <c r="H154" i="98"/>
  <c r="H155" i="98" s="1"/>
  <c r="G150" i="13" l="1"/>
  <c r="D151" i="13"/>
  <c r="B151" i="13" s="1"/>
  <c r="D151" i="102"/>
  <c r="G150" i="102"/>
  <c r="E151" i="13" l="1"/>
  <c r="F151" i="13" s="1"/>
  <c r="G151" i="13" s="1"/>
  <c r="I150" i="13"/>
  <c r="H150" i="13"/>
  <c r="I150" i="102"/>
  <c r="H150" i="102"/>
  <c r="E151" i="102"/>
  <c r="F151" i="102" s="1"/>
  <c r="B151" i="102"/>
  <c r="D152" i="13" l="1"/>
  <c r="B152" i="13" s="1"/>
  <c r="H151" i="13"/>
  <c r="I151" i="13"/>
  <c r="G151" i="102"/>
  <c r="D152" i="102"/>
  <c r="E152" i="13" l="1"/>
  <c r="F152" i="13" s="1"/>
  <c r="D153" i="13" s="1"/>
  <c r="B153" i="13" s="1"/>
  <c r="E152" i="102"/>
  <c r="F152" i="102" s="1"/>
  <c r="B152" i="102"/>
  <c r="H151" i="102"/>
  <c r="I151" i="102"/>
  <c r="G152" i="13" l="1"/>
  <c r="I152" i="13" s="1"/>
  <c r="E153" i="13"/>
  <c r="F153" i="13" s="1"/>
  <c r="G152" i="102"/>
  <c r="D153" i="102"/>
  <c r="H152" i="13" l="1"/>
  <c r="D154" i="13"/>
  <c r="G153" i="13"/>
  <c r="E153" i="102"/>
  <c r="F153" i="102" s="1"/>
  <c r="B153" i="102"/>
  <c r="H152" i="102"/>
  <c r="I152" i="102"/>
  <c r="H153" i="13" l="1"/>
  <c r="I153" i="13"/>
  <c r="E154" i="13"/>
  <c r="E155" i="13" s="1"/>
  <c r="B154" i="13"/>
  <c r="D154" i="102"/>
  <c r="G153" i="102"/>
  <c r="F154" i="13" l="1"/>
  <c r="G154" i="13" s="1"/>
  <c r="I154" i="13" s="1"/>
  <c r="I155" i="13" s="1"/>
  <c r="I153" i="102"/>
  <c r="H153" i="102"/>
  <c r="E154" i="102"/>
  <c r="E155" i="102" s="1"/>
  <c r="B154" i="102"/>
  <c r="F154" i="102" l="1"/>
  <c r="G154" i="102" s="1"/>
  <c r="H154" i="102" s="1"/>
  <c r="H155" i="102" s="1"/>
  <c r="H154" i="13"/>
  <c r="H155" i="13" s="1"/>
  <c r="I154" i="102" l="1"/>
  <c r="I155" i="102" s="1"/>
  <c r="Q93" i="36" l="1"/>
  <c r="R93" i="36" s="1"/>
  <c r="T93" i="36" s="1"/>
  <c r="Q88" i="36"/>
  <c r="R88" i="36" s="1"/>
  <c r="T88" i="36" s="1"/>
  <c r="Q30" i="36"/>
  <c r="R30" i="36" s="1"/>
  <c r="T30" i="36" s="1"/>
  <c r="Q67" i="36"/>
  <c r="R67" i="36" s="1"/>
  <c r="T67" i="36" s="1"/>
  <c r="Q53" i="36"/>
  <c r="R53" i="36" s="1"/>
  <c r="T53" i="36" s="1"/>
  <c r="Q72" i="36"/>
  <c r="R72" i="36" s="1"/>
  <c r="T72" i="36" s="1"/>
  <c r="Q86" i="36"/>
  <c r="R86" i="36" s="1"/>
  <c r="T86" i="36" s="1"/>
  <c r="Q41" i="36"/>
  <c r="R41" i="36" s="1"/>
  <c r="T41" i="36" s="1"/>
  <c r="Q56" i="36"/>
  <c r="R56" i="36" s="1"/>
  <c r="T56" i="36" s="1"/>
  <c r="Q58" i="36"/>
  <c r="R58" i="36" s="1"/>
  <c r="T58" i="36" s="1"/>
  <c r="Q84" i="36"/>
  <c r="R84" i="36" s="1"/>
  <c r="T84" i="36" s="1"/>
  <c r="Q60" i="36"/>
  <c r="R60" i="36" s="1"/>
  <c r="T60" i="36" s="1"/>
  <c r="Q69" i="36"/>
  <c r="R69" i="36" s="1"/>
  <c r="T69" i="36" s="1"/>
  <c r="Q35" i="36"/>
  <c r="R35" i="36" s="1"/>
  <c r="T35" i="36" s="1"/>
  <c r="Q91" i="36"/>
  <c r="R91" i="36" s="1"/>
  <c r="T91" i="36" s="1"/>
  <c r="Q45" i="36"/>
  <c r="R45" i="36" s="1"/>
  <c r="T45" i="36" s="1"/>
  <c r="Q65" i="36"/>
  <c r="R65" i="36" s="1"/>
  <c r="T65" i="36" s="1"/>
  <c r="Q51" i="36"/>
  <c r="R51" i="36" s="1"/>
  <c r="T51" i="36" s="1"/>
  <c r="Q48" i="36"/>
  <c r="R48" i="36" s="1"/>
  <c r="T48" i="36" s="1"/>
  <c r="Q32" i="36"/>
  <c r="R32" i="36" s="1"/>
  <c r="T32" i="36" s="1"/>
  <c r="Q68" i="36"/>
  <c r="R68" i="36" s="1"/>
  <c r="T68" i="36" s="1"/>
  <c r="Q36" i="36"/>
  <c r="R36" i="36" s="1"/>
  <c r="T36" i="36" s="1"/>
  <c r="Q40" i="36"/>
  <c r="R40" i="36" s="1"/>
  <c r="T40" i="36" s="1"/>
  <c r="Q85" i="36"/>
  <c r="R85" i="36" s="1"/>
  <c r="T85" i="36" s="1"/>
  <c r="Q78" i="36"/>
  <c r="R78" i="36" s="1"/>
  <c r="T78" i="36" s="1"/>
  <c r="Q49" i="36"/>
  <c r="R49" i="36" s="1"/>
  <c r="T49" i="36" s="1"/>
  <c r="Q50" i="36"/>
  <c r="R50" i="36" s="1"/>
  <c r="T50" i="36" s="1"/>
  <c r="Q46" i="36"/>
  <c r="R46" i="36" s="1"/>
  <c r="T46" i="36" s="1"/>
  <c r="Q92" i="36"/>
  <c r="R92" i="36" s="1"/>
  <c r="T92" i="36" s="1"/>
  <c r="Q33" i="36"/>
  <c r="R33" i="36" s="1"/>
  <c r="T33" i="36" s="1"/>
  <c r="Q25" i="36"/>
  <c r="R25" i="36" s="1"/>
  <c r="T25" i="36" s="1"/>
  <c r="Q42" i="36"/>
  <c r="R42" i="36" s="1"/>
  <c r="T42" i="36" s="1"/>
  <c r="Q71" i="36"/>
  <c r="R71" i="36" s="1"/>
  <c r="T71" i="36" s="1"/>
  <c r="Q66" i="36"/>
  <c r="R66" i="36" s="1"/>
  <c r="T66" i="36" s="1"/>
  <c r="Q59" i="36"/>
  <c r="R59" i="36" s="1"/>
  <c r="T59" i="36" s="1"/>
  <c r="Q27" i="36"/>
  <c r="R27" i="36" s="1"/>
  <c r="T27" i="36" s="1"/>
  <c r="Q87" i="36"/>
  <c r="R87" i="36" s="1"/>
  <c r="T87" i="36" s="1"/>
  <c r="Q52" i="36"/>
  <c r="R52" i="36" s="1"/>
  <c r="T52" i="36" s="1"/>
  <c r="Q79" i="36"/>
  <c r="R79" i="36" s="1"/>
  <c r="T79" i="36" s="1"/>
  <c r="Q76" i="36"/>
  <c r="R76" i="36" s="1"/>
  <c r="T76" i="36" s="1"/>
  <c r="Q89" i="36"/>
  <c r="R89" i="36" s="1"/>
  <c r="T89" i="36" s="1"/>
  <c r="Q23" i="36"/>
  <c r="R23" i="36" s="1"/>
  <c r="T23" i="36" s="1"/>
  <c r="Q22" i="36"/>
  <c r="R22" i="36" s="1"/>
  <c r="T22" i="36" s="1"/>
  <c r="Q20" i="36"/>
  <c r="R20" i="36" s="1"/>
  <c r="T20" i="36" s="1"/>
  <c r="Q47" i="36"/>
  <c r="R47" i="36" s="1"/>
  <c r="T47" i="36" s="1"/>
  <c r="Q44" i="36"/>
  <c r="R44" i="36" s="1"/>
  <c r="T44" i="36" s="1"/>
  <c r="Q37" i="36"/>
  <c r="R37" i="36" s="1"/>
  <c r="T37" i="36" s="1"/>
  <c r="Q18" i="36"/>
  <c r="R18" i="36" s="1"/>
  <c r="Q54" i="36"/>
  <c r="R54" i="36" s="1"/>
  <c r="T54" i="36" s="1"/>
  <c r="Q19" i="36"/>
  <c r="R19" i="36" s="1"/>
  <c r="T19" i="36" s="1"/>
  <c r="Q29" i="36"/>
  <c r="R29" i="36" s="1"/>
  <c r="T29" i="36" s="1"/>
  <c r="Q24" i="36"/>
  <c r="R24" i="36" s="1"/>
  <c r="T24" i="36" s="1"/>
  <c r="Q64" i="36"/>
  <c r="R64" i="36" s="1"/>
  <c r="T64" i="36" s="1"/>
  <c r="Q43" i="36"/>
  <c r="R43" i="36" s="1"/>
  <c r="T43" i="36" s="1"/>
  <c r="Q75" i="36"/>
  <c r="R75" i="36" s="1"/>
  <c r="T75" i="36" s="1"/>
  <c r="Q39" i="36"/>
  <c r="R39" i="36" s="1"/>
  <c r="T39" i="36" s="1"/>
  <c r="Q70" i="36"/>
  <c r="R70" i="36" s="1"/>
  <c r="T70" i="36" s="1"/>
  <c r="Q77" i="36"/>
  <c r="R77" i="36" s="1"/>
  <c r="T77" i="36" s="1"/>
  <c r="Q34" i="36"/>
  <c r="R34" i="36" s="1"/>
  <c r="T34" i="36" s="1"/>
  <c r="Q94" i="36"/>
  <c r="R94" i="36" s="1"/>
  <c r="T94" i="36" s="1"/>
  <c r="Q81" i="36"/>
  <c r="R81" i="36" s="1"/>
  <c r="T81" i="36" s="1"/>
  <c r="Q63" i="36"/>
  <c r="R63" i="36" s="1"/>
  <c r="T63" i="36" s="1"/>
  <c r="Q21" i="36"/>
  <c r="R21" i="36" s="1"/>
  <c r="T21" i="36" s="1"/>
  <c r="Q61" i="36"/>
  <c r="R61" i="36" s="1"/>
  <c r="T61" i="36" s="1"/>
  <c r="Q55" i="36"/>
  <c r="R55" i="36" s="1"/>
  <c r="T55" i="36" s="1"/>
  <c r="Q62" i="36"/>
  <c r="R62" i="36" s="1"/>
  <c r="T62" i="36" s="1"/>
  <c r="Q28" i="36"/>
  <c r="R28" i="36" s="1"/>
  <c r="T28" i="36" s="1"/>
  <c r="Q83" i="36"/>
  <c r="R83" i="36" s="1"/>
  <c r="T83" i="36" s="1"/>
  <c r="Q26" i="36"/>
  <c r="R26" i="36" s="1"/>
  <c r="T26" i="36" s="1"/>
  <c r="Q57" i="36"/>
  <c r="R57" i="36" s="1"/>
  <c r="T57" i="36" s="1"/>
  <c r="Q38" i="36"/>
  <c r="R38" i="36" s="1"/>
  <c r="T38" i="36" s="1"/>
  <c r="Q73" i="36"/>
  <c r="R73" i="36" s="1"/>
  <c r="T73" i="36" s="1"/>
  <c r="Q74" i="36"/>
  <c r="R74" i="36" s="1"/>
  <c r="T74" i="36" s="1"/>
  <c r="Q82" i="36"/>
  <c r="R82" i="36" s="1"/>
  <c r="T82" i="36" s="1"/>
  <c r="Q90" i="36"/>
  <c r="R90" i="36" s="1"/>
  <c r="T90" i="36" s="1"/>
  <c r="Q31" i="36"/>
  <c r="R31" i="36" s="1"/>
  <c r="T31" i="36" s="1"/>
  <c r="Q80" i="36"/>
  <c r="R80" i="36" s="1"/>
  <c r="T80" i="36" s="1"/>
  <c r="Q97" i="36" l="1"/>
  <c r="T18" i="36"/>
  <c r="T96" i="36" s="1"/>
  <c r="R96" i="3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R.Pennybaker</author>
    <author>AEP</author>
    <author>Jim Martin</author>
    <author>rlp</author>
  </authors>
  <commentList>
    <comment ref="C16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 Descriptions are in WS-F cell D7.</t>
        </r>
      </text>
    </comment>
    <comment ref="D16" authorId="0" shapeId="0" xr:uid="{00000000-0006-0000-0000-000002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Year In Service is in WS-F cell D11.</t>
        </r>
      </text>
    </comment>
    <comment ref="E16" authorId="0" shapeId="0" xr:uid="{00000000-0006-0000-0000-000003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Projected Base ARR is in cell WS-F cell N5.</t>
        </r>
      </text>
    </comment>
    <comment ref="F16" authorId="0" shapeId="0" xr:uid="{00000000-0006-0000-0000-000004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Projected Incentive ARR is in WS-F cell N7.</t>
        </r>
      </text>
    </comment>
    <comment ref="I16" authorId="1" shapeId="0" xr:uid="{00000000-0006-0000-0000-000005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"TRUE-UP Adjustment (i.e., Forecast Error) is from WS-G in cell M89.</t>
        </r>
      </text>
    </comment>
    <comment ref="J16" authorId="1" shapeId="0" xr:uid="{00000000-0006-0000-0000-000006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"Manually input from previous year's update "</t>
        </r>
        <r>
          <rPr>
            <i/>
            <sz val="8"/>
            <color indexed="81"/>
            <rFont val="Tahoma"/>
            <family val="2"/>
          </rPr>
          <t>Schedule 11 Rates</t>
        </r>
        <r>
          <rPr>
            <sz val="8"/>
            <color indexed="81"/>
            <rFont val="Tahoma"/>
            <family val="2"/>
          </rPr>
          <t>" by project, column R values.</t>
        </r>
      </text>
    </comment>
    <comment ref="K16" authorId="0" shapeId="0" xr:uid="{00000000-0006-0000-0000-000007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These values reflect SPP remittance to AEP of Schedule 11 revenues for prior Calendar Year T-service transactions.</t>
        </r>
      </text>
    </comment>
    <comment ref="L16" authorId="0" shapeId="0" xr:uid="{00000000-0006-0000-0000-000008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can also be referred to as the Billing Error.</t>
        </r>
      </text>
    </comment>
    <comment ref="N16" authorId="1" shapeId="0" xr:uid="{00000000-0006-0000-0000-000009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This is "Prior Year True-Up (WS-G)"; and "Incentive Amounts" O88</t>
        </r>
      </text>
    </comment>
    <comment ref="O16" authorId="1" shapeId="0" xr:uid="{00000000-0006-0000-0000-00000A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Prior Year Projected (WS-F) and Incentive Amounts [cell O87]</t>
        </r>
      </text>
    </comment>
    <comment ref="I18" authorId="2" shapeId="0" xr:uid="{00000000-0006-0000-0000-00000B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19" authorId="2" shapeId="0" xr:uid="{00000000-0006-0000-0000-00000C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0" authorId="2" shapeId="0" xr:uid="{00000000-0006-0000-0000-00000D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1" authorId="2" shapeId="0" xr:uid="{00000000-0006-0000-0000-00000E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2" authorId="2" shapeId="0" xr:uid="{00000000-0006-0000-0000-00000F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3" authorId="2" shapeId="0" xr:uid="{00000000-0006-0000-0000-000010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4" authorId="2" shapeId="0" xr:uid="{00000000-0006-0000-0000-000011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5" authorId="2" shapeId="0" xr:uid="{00000000-0006-0000-0000-000012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6" authorId="2" shapeId="0" xr:uid="{00000000-0006-0000-0000-000013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7" authorId="2" shapeId="0" xr:uid="{00000000-0006-0000-0000-000014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8" authorId="2" shapeId="0" xr:uid="{00000000-0006-0000-0000-000015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9" authorId="2" shapeId="0" xr:uid="{00000000-0006-0000-0000-000016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0" authorId="2" shapeId="0" xr:uid="{00000000-0006-0000-0000-000017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1" authorId="2" shapeId="0" xr:uid="{00000000-0006-0000-0000-000018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2" authorId="2" shapeId="0" xr:uid="{00000000-0006-0000-0000-000019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3" authorId="2" shapeId="0" xr:uid="{00000000-0006-0000-0000-00001A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4" authorId="2" shapeId="0" xr:uid="{00000000-0006-0000-0000-00001B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5" authorId="2" shapeId="0" xr:uid="{00000000-0006-0000-0000-00001C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6" authorId="2" shapeId="0" xr:uid="{00000000-0006-0000-0000-00001D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7" authorId="2" shapeId="0" xr:uid="{00000000-0006-0000-0000-00001E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8" authorId="2" shapeId="0" xr:uid="{00000000-0006-0000-0000-00001F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9" authorId="2" shapeId="0" xr:uid="{00000000-0006-0000-0000-000020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0" authorId="2" shapeId="0" xr:uid="{00000000-0006-0000-0000-000021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1" authorId="2" shapeId="0" xr:uid="{00000000-0006-0000-0000-000022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2" authorId="2" shapeId="0" xr:uid="{00000000-0006-0000-0000-000023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3" authorId="2" shapeId="0" xr:uid="{00000000-0006-0000-0000-000024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4" authorId="2" shapeId="0" xr:uid="{00000000-0006-0000-0000-000025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5" authorId="2" shapeId="0" xr:uid="{00000000-0006-0000-0000-000026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6" authorId="2" shapeId="0" xr:uid="{00000000-0006-0000-0000-000027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7" authorId="2" shapeId="0" xr:uid="{00000000-0006-0000-0000-000028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8" authorId="2" shapeId="0" xr:uid="{00000000-0006-0000-0000-000029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9" authorId="2" shapeId="0" xr:uid="{00000000-0006-0000-0000-00002A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0" authorId="2" shapeId="0" xr:uid="{00000000-0006-0000-0000-00002B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1" authorId="2" shapeId="0" xr:uid="{00000000-0006-0000-0000-00002C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2" authorId="2" shapeId="0" xr:uid="{00000000-0006-0000-0000-00002D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3" authorId="2" shapeId="0" xr:uid="{00000000-0006-0000-0000-00002E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4" authorId="2" shapeId="0" xr:uid="{00000000-0006-0000-0000-00002F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5" authorId="2" shapeId="0" xr:uid="{00000000-0006-0000-0000-000030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6" authorId="2" shapeId="0" xr:uid="{00000000-0006-0000-0000-000031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7" authorId="2" shapeId="0" xr:uid="{00000000-0006-0000-0000-000032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8" authorId="2" shapeId="0" xr:uid="{00000000-0006-0000-0000-000033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9" authorId="2" shapeId="0" xr:uid="{00000000-0006-0000-0000-000034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0" authorId="2" shapeId="0" xr:uid="{00000000-0006-0000-0000-000035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1" authorId="2" shapeId="0" xr:uid="{00000000-0006-0000-0000-000036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2" authorId="2" shapeId="0" xr:uid="{00000000-0006-0000-0000-000037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3" authorId="2" shapeId="0" xr:uid="{00000000-0006-0000-0000-000038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4" authorId="2" shapeId="0" xr:uid="{00000000-0006-0000-0000-000039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5" authorId="2" shapeId="0" xr:uid="{00000000-0006-0000-0000-00003A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6" authorId="2" shapeId="0" xr:uid="{00000000-0006-0000-0000-00003B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7" authorId="2" shapeId="0" xr:uid="{00000000-0006-0000-0000-00003C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8" authorId="2" shapeId="0" xr:uid="{00000000-0006-0000-0000-00003D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9" authorId="2" shapeId="0" xr:uid="{00000000-0006-0000-0000-00003E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0" authorId="2" shapeId="0" xr:uid="{00000000-0006-0000-0000-00003F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1" authorId="2" shapeId="0" xr:uid="{00000000-0006-0000-0000-000040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2" authorId="2" shapeId="0" xr:uid="{00000000-0006-0000-0000-000041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3" authorId="2" shapeId="0" xr:uid="{00000000-0006-0000-0000-000042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4" authorId="2" shapeId="0" xr:uid="{00000000-0006-0000-0000-000043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5" authorId="2" shapeId="0" xr:uid="{00000000-0006-0000-0000-000044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6" authorId="2" shapeId="0" xr:uid="{00000000-0006-0000-0000-000045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7" authorId="2" shapeId="0" xr:uid="{00000000-0006-0000-0000-000046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8" authorId="2" shapeId="0" xr:uid="{00000000-0006-0000-0000-000047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9" authorId="2" shapeId="0" xr:uid="{00000000-0006-0000-0000-000048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0" authorId="2" shapeId="0" xr:uid="{00000000-0006-0000-0000-000049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1" authorId="2" shapeId="0" xr:uid="{00000000-0006-0000-0000-00004A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2" authorId="2" shapeId="0" xr:uid="{00000000-0006-0000-0000-00004B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3" authorId="2" shapeId="0" xr:uid="{00000000-0006-0000-0000-00004C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4" authorId="2" shapeId="0" xr:uid="{00000000-0006-0000-0000-00004D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5" authorId="2" shapeId="0" xr:uid="{00000000-0006-0000-0000-00004E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6" authorId="2" shapeId="0" xr:uid="{00000000-0006-0000-0000-00004F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7" authorId="2" shapeId="0" xr:uid="{00000000-0006-0000-0000-000050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8" authorId="2" shapeId="0" xr:uid="{00000000-0006-0000-0000-000051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9" authorId="2" shapeId="0" xr:uid="{00000000-0006-0000-0000-000052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90" authorId="2" shapeId="0" xr:uid="{00000000-0006-0000-0000-000053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91" authorId="2" shapeId="0" xr:uid="{00000000-0006-0000-0000-000054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J96" authorId="0" shapeId="0" xr:uid="{00000000-0006-0000-0000-000055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normally should equal last year's SWEPCO total Adj ARR effective prior July 1st on same sheet.    </t>
        </r>
      </text>
    </comment>
    <comment ref="K96" authorId="3" shapeId="0" xr:uid="{00000000-0006-0000-0000-000056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This amount was booked by AEP during CY 2016  Represents Sch. 11 revenues remitted from SPP&gt;</t>
        </r>
      </text>
    </comment>
    <comment ref="Q96" authorId="3" shapeId="0" xr:uid="{00000000-0006-0000-0000-000057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from the "33" Base Plan Interest xls file.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99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2007 Hist values from '09 template calculations (first published).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7" authorId="0" shapeId="0" xr:uid="{00000000-0006-0000-11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2007 hist values from 2008 template WS-F calculations.</t>
        </r>
      </text>
    </comment>
    <comment ref="D99" authorId="0" shapeId="0" xr:uid="{00000000-0006-0000-11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see comment for 2007 in WS-F.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8" authorId="0" shapeId="0" xr:uid="{00000000-0006-0000-12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2009 and prior historic values from 2010 FR Correction template calculations.  Hist values not previously published.</t>
        </r>
      </text>
    </comment>
    <comment ref="K18" authorId="0" shapeId="0" xr:uid="{00000000-0006-0000-12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2008/9 ARRs set to zero since project on Dist WO same years.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7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2009 hist values from 09 template (first published).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dtsoa33</author>
  </authors>
  <commentList>
    <comment ref="M87" authorId="0" shapeId="0" xr:uid="{00000000-0006-0000-1600-000001000000}">
      <text>
        <r>
          <rPr>
            <b/>
            <sz val="8"/>
            <color indexed="81"/>
            <rFont val="Tahoma"/>
            <family val="2"/>
          </rPr>
          <t>mew:</t>
        </r>
        <r>
          <rPr>
            <sz val="8"/>
            <color indexed="81"/>
            <rFont val="Tahoma"/>
            <family val="2"/>
          </rPr>
          <t xml:space="preserve">
Prior yr projected ARR being forced to zero.  Initial year (2008) investment for this multi-yr project is being included in project S.003 from the 2011 update forward. (May 12, 2011)
If the value is not set to zero, a negative ARR is calculated which would result in a refund which would reflect a project's removal from base plan status.  This case is a transfer of a  project's (S.020) investment into project (S.003).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Martin</author>
  </authors>
  <commentList>
    <comment ref="C99" authorId="0" shapeId="0" xr:uid="{00000000-0006-0000-3D00-000001000000}">
      <text>
        <r>
          <rPr>
            <b/>
            <sz val="22"/>
            <color indexed="81"/>
            <rFont val="Tahoma"/>
            <family val="2"/>
          </rPr>
          <t>Jim Martin:</t>
        </r>
        <r>
          <rPr>
            <sz val="22"/>
            <color indexed="81"/>
            <rFont val="Tahoma"/>
            <family val="2"/>
          </rPr>
          <t xml:space="preserve">
FIX THIS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Martin</author>
  </authors>
  <commentList>
    <comment ref="G17" authorId="0" shapeId="0" xr:uid="{00000000-0006-0000-3E00-000001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did not have a projected revenue requiremnt in 2016 update so this is a 0.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R.Pennybaker</author>
  </authors>
  <commentList>
    <comment ref="L19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value comes from Formula Template file via data INPUT table below.  Then, it supuplies the project year value to the P.xxx sheets.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R.Pennybaker</author>
  </authors>
  <commentList>
    <comment ref="M16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cell comes from Formula Template file.  Then, it drives all the S.xxx sheets.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E17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 depreciation calculated by or published in this year's template due to originanl estimated Dec in-service month.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7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Historical values input as if calculated (and shown) from 2009 template.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7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These hist values from pg 66 of 87 of '08 template (1st project in WS-F that year).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R.Pennybaker</author>
  </authors>
  <commentList>
    <comment ref="K18" authorId="0" shapeId="0" xr:uid="{00000000-0006-0000-0D00-000001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Prior Yr Projected ARR was $1,203,444.  However, this value is being set to $0 to force a negative Adjusted  Tot. Rev. Requirement equal to the amount actually collected (billed) by SPP for 2008 T-service related to this project.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B20" authorId="0" shapeId="0" xr:uid="{00000000-0006-0000-0E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 actual total investment update in 2010.</t>
        </r>
      </text>
    </comment>
    <comment ref="E99" authorId="0" shapeId="0" xr:uid="{00000000-0006-0000-0E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This year's depreciation input as if the 2008 template WS-G calculated values had been shown.</t>
        </r>
      </text>
    </comment>
    <comment ref="B101" authorId="0" shapeId="0" xr:uid="{00000000-0006-0000-0E00-000003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not an actual update to total investment this year.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8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2006/7 hist values precede FR eff. Date.  Thus, we input calculated historical data from 09 template formulas.</t>
        </r>
      </text>
    </comment>
    <comment ref="D100" authorId="0" shapeId="0" xr:uid="{00000000-0006-0000-0F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see comment for 2007 hist values in WS-F.</t>
        </r>
      </text>
    </comment>
  </commentList>
</comments>
</file>

<file path=xl/sharedStrings.xml><?xml version="1.0" encoding="utf-8"?>
<sst xmlns="http://schemas.openxmlformats.org/spreadsheetml/2006/main" count="9614" uniqueCount="514">
  <si>
    <t>I.</t>
  </si>
  <si>
    <t xml:space="preserve">   Project ROE Incentive Adder (Enter as whole number)</t>
  </si>
  <si>
    <t>&lt;==Incentive ROE  Cannot Exceed 12.45%</t>
  </si>
  <si>
    <t xml:space="preserve">   Determine R  ( cost of long term debt, cost of preferred stock and percent is from Attachment H, lns 158 through160)</t>
  </si>
  <si>
    <t>SUMMARY OF PROJECTED ANNUAL BASE PLAN AND  NON-BASE PLAN REVENUE REQUIREMENTS</t>
  </si>
  <si>
    <t>%</t>
  </si>
  <si>
    <t>Cost</t>
  </si>
  <si>
    <t>Weighted cost</t>
  </si>
  <si>
    <t>Long Term Debt</t>
  </si>
  <si>
    <t>Rev Require</t>
  </si>
  <si>
    <t xml:space="preserve"> W Incentives</t>
  </si>
  <si>
    <t>Incentive Amounts</t>
  </si>
  <si>
    <t>Preferred Stock</t>
  </si>
  <si>
    <t>Common Stock</t>
  </si>
  <si>
    <t>PROJECTED YEAR</t>
  </si>
  <si>
    <t>R =</t>
  </si>
  <si>
    <r>
      <t xml:space="preserve">Note:  </t>
    </r>
    <r>
      <rPr>
        <sz val="10"/>
        <rFont val="Arial"/>
        <family val="2"/>
      </rPr>
      <t xml:space="preserve">Review formulas in summary to ensure the proper year's revenue requirement is being </t>
    </r>
  </si>
  <si>
    <t>accumulated for each project from the tables below.</t>
  </si>
  <si>
    <t xml:space="preserve">   R   (fom A. above)</t>
  </si>
  <si>
    <t xml:space="preserve">   Return (Rate Base  x  R)</t>
  </si>
  <si>
    <t xml:space="preserve">   Return   (from B. above)</t>
  </si>
  <si>
    <t xml:space="preserve">   EIT=(T/(1-T)) * (1-(WCLTD/WACC)) =</t>
  </si>
  <si>
    <t xml:space="preserve">   Income Tax Calculation  (Return  x  EIT)</t>
  </si>
  <si>
    <t xml:space="preserve">   Income Taxes</t>
  </si>
  <si>
    <t>II.</t>
  </si>
  <si>
    <t>A.   Determine Net Revenue Requirement less return and Income Taxes.</t>
  </si>
  <si>
    <t xml:space="preserve">   Net Revenue Requirement, Less Return and Taxes</t>
  </si>
  <si>
    <t xml:space="preserve">   Income Taxes  (from I.C. above)</t>
  </si>
  <si>
    <t xml:space="preserve">   Revenue Requirement w/ Gross Margin Taxes</t>
  </si>
  <si>
    <t xml:space="preserve">      Basis Point ROE increase (II B. above)</t>
  </si>
  <si>
    <t xml:space="preserve">       Apportioned Texas Revenues</t>
  </si>
  <si>
    <t xml:space="preserve">       Taxable, Apportioned Margin</t>
  </si>
  <si>
    <t xml:space="preserve">       Texas Gross Margin Tax Rate</t>
  </si>
  <si>
    <t xml:space="preserve">       Texas Gross Margin Tax Expense</t>
  </si>
  <si>
    <t xml:space="preserve">      Gross-up Required for Gross Margin Tax Expense </t>
  </si>
  <si>
    <t>Total Additional Gross Margin Tax Revenue Requirement</t>
  </si>
  <si>
    <t>III.</t>
  </si>
  <si>
    <t>Calculation of Composite Depreciation Rate</t>
  </si>
  <si>
    <t>Transmission Plant @ Beginning of Period (P.206, ln 58)</t>
  </si>
  <si>
    <t>&lt;==From Input on Worksheet B</t>
  </si>
  <si>
    <t>Transmission Plant @ End of Period (P.207, ln 58)</t>
  </si>
  <si>
    <t>Composite Depreciation Rate</t>
  </si>
  <si>
    <t>Depreciable Life for Composite Depreciation Rate</t>
  </si>
  <si>
    <t>Round to nearest whole year</t>
  </si>
  <si>
    <t>IV.</t>
  </si>
  <si>
    <t>Determine the Revenue Requirement &amp; Additional Revenue Requirement for facilities receiving incentives.</t>
  </si>
  <si>
    <t>A.   Facilities receiving incentives accepted by FERC in Docket No.</t>
  </si>
  <si>
    <t xml:space="preserve">   (e.g. ER05-925-000)</t>
  </si>
  <si>
    <t xml:space="preserve">Project Description: </t>
  </si>
  <si>
    <t>Current Projected Year Incentive ARR</t>
  </si>
  <si>
    <t>DETAILS</t>
  </si>
  <si>
    <t>Investment</t>
  </si>
  <si>
    <t>Current Year</t>
  </si>
  <si>
    <t>CUMMULATIVE HISTORY OF PROJECTED ANNUAL REVENUE REQUIREMENTS:</t>
  </si>
  <si>
    <t>Service Year (yyyy)</t>
  </si>
  <si>
    <t>ROE increase accepted by FERC (Basis Points)</t>
  </si>
  <si>
    <t>Service Month (1-12)</t>
  </si>
  <si>
    <t>FCR w/o incentives, less depreciation</t>
  </si>
  <si>
    <t xml:space="preserve">          TEMPLATE BELOW TO MAINTAIN HISTORY OF PROJECTED ARRS OVER THE </t>
  </si>
  <si>
    <t>Useful life</t>
  </si>
  <si>
    <t>FCR w/incentives approved for these facilities, less dep.</t>
  </si>
  <si>
    <t xml:space="preserve">         LIFE OF THE PROJECT.</t>
  </si>
  <si>
    <t>CIAC (Yes or No)</t>
  </si>
  <si>
    <t>No</t>
  </si>
  <si>
    <t>Annual Depreciation Expense</t>
  </si>
  <si>
    <t>Beginning</t>
  </si>
  <si>
    <t>Depreciation</t>
  </si>
  <si>
    <t>Ending</t>
  </si>
  <si>
    <t>Additional Rev.</t>
  </si>
  <si>
    <t>Project Rev Req't True-up</t>
  </si>
  <si>
    <t>True-up of Incentive</t>
  </si>
  <si>
    <t>Year</t>
  </si>
  <si>
    <t>Balance</t>
  </si>
  <si>
    <t>Expense</t>
  </si>
  <si>
    <t xml:space="preserve">Requirement </t>
  </si>
  <si>
    <t xml:space="preserve">with Incentives </t>
  </si>
  <si>
    <t xml:space="preserve">  </t>
  </si>
  <si>
    <t xml:space="preserve">w/o Incentives </t>
  </si>
  <si>
    <t>Project Totals</t>
  </si>
  <si>
    <t>additional incentive requirement is applicable for the life of this specific project.  Each year the revenue requirement calculated for SPP</t>
  </si>
  <si>
    <t xml:space="preserve">should be incremented by the amount of the incentive revenue calculated for that year on this project. </t>
  </si>
  <si>
    <t>SUMMARY OF TRUED-UP ANNUAL REVENUE REQUIREMENTS FOR SPP BPU &amp; NON-BPU PROJECTS</t>
  </si>
  <si>
    <t>TRUE-UP YEAR</t>
  </si>
  <si>
    <t>Determine the Revenue Requirement, and Additional Revenue Requirement for facilities receiving incentives.</t>
  </si>
  <si>
    <t>Project Description:</t>
  </si>
  <si>
    <t>Details</t>
  </si>
  <si>
    <t>True-Up Year</t>
  </si>
  <si>
    <t>CUMMULATIVE HISTORY OF TRUED-UP ANNUAL REVENUE REQUIREMENTS:</t>
  </si>
  <si>
    <t xml:space="preserve">          TEMPLATE BELOW TO MAINTAIN HISTORY OF TRUED-UP ARRS OVER THE </t>
  </si>
  <si>
    <t>Average</t>
  </si>
  <si>
    <t>Incentive Rev.</t>
  </si>
  <si>
    <t>BPU Rev Req't True-up</t>
  </si>
  <si>
    <r>
      <t xml:space="preserve">** </t>
    </r>
    <r>
      <rPr>
        <sz val="10"/>
        <rFont val="Arial"/>
        <family val="2"/>
      </rPr>
      <t xml:space="preserve"> This is the total amount that needs to be reported to SPP for billing to all regions. </t>
    </r>
  </si>
  <si>
    <r>
      <t xml:space="preserve">   Return   (from </t>
    </r>
    <r>
      <rPr>
        <sz val="10"/>
        <rFont val="MS Serif"/>
        <family val="1"/>
      </rPr>
      <t>I</t>
    </r>
    <r>
      <rPr>
        <sz val="10"/>
        <rFont val="Arial"/>
        <family val="2"/>
      </rPr>
      <t>.B. above)</t>
    </r>
  </si>
  <si>
    <r>
      <t xml:space="preserve">Requirement </t>
    </r>
    <r>
      <rPr>
        <b/>
        <sz val="10"/>
        <color indexed="10"/>
        <rFont val="Arial"/>
        <family val="2"/>
      </rPr>
      <t>##</t>
    </r>
  </si>
  <si>
    <r>
      <t>with Incentives</t>
    </r>
    <r>
      <rPr>
        <b/>
        <sz val="10"/>
        <color indexed="10"/>
        <rFont val="Arial"/>
        <family val="2"/>
      </rPr>
      <t xml:space="preserve"> **</t>
    </r>
  </si>
  <si>
    <r>
      <t>##</t>
    </r>
    <r>
      <rPr>
        <b/>
        <sz val="10"/>
        <rFont val="Arial"/>
        <family val="2"/>
      </rPr>
      <t xml:space="preserve"> This is the calculation of  additional incentive revenue on projects deemed by the FERC to be eligible for an incentive return.  This</t>
    </r>
  </si>
  <si>
    <r>
      <t xml:space="preserve">## </t>
    </r>
    <r>
      <rPr>
        <b/>
        <sz val="10"/>
        <color indexed="8"/>
        <rFont val="Arial"/>
        <family val="2"/>
      </rPr>
      <t>This is the calculation of  additional incentive revenue on projects deemed by the FERC to be eligible for an incentive return.  This</t>
    </r>
  </si>
  <si>
    <t>Long Term Debt %</t>
  </si>
  <si>
    <t>Long Term Debt Cost</t>
  </si>
  <si>
    <t>Preferred Stock %</t>
  </si>
  <si>
    <t>Preferred Stock Cost</t>
  </si>
  <si>
    <t>Common Stock %</t>
  </si>
  <si>
    <t>STEP 2</t>
  </si>
  <si>
    <t>STEP 3</t>
  </si>
  <si>
    <t xml:space="preserve">       Apportionment Factor to Texas (Worksheet K, ln 12)</t>
  </si>
  <si>
    <t>Black text is not used in this workbook.</t>
  </si>
  <si>
    <t>Blue text is used by this workbbok and driven by non WS-F Formula Rate template worksheets</t>
  </si>
  <si>
    <t>SEE INPUT/OUTPUT ranges to the right  ----&gt;</t>
  </si>
  <si>
    <t>SEE INPUT/OUTPUT ranges to the right  ------&gt;</t>
  </si>
  <si>
    <t xml:space="preserve">AEP West SPP Member Companies </t>
  </si>
  <si>
    <t>See INPUT/OUTPUT ranges below.</t>
  </si>
  <si>
    <t>STEP 1</t>
  </si>
  <si>
    <t>Is done first in the main Formula Rate template  Worksheet F.</t>
  </si>
  <si>
    <t>STEP 4</t>
  </si>
  <si>
    <t>Is done last in the main Formula Rate template  Worksheet F.</t>
  </si>
  <si>
    <t>Copy to main FR Template</t>
  </si>
  <si>
    <t>Project Description</t>
  </si>
  <si>
    <t>Is done first in the main Formula Rate template  Worksheet G.</t>
  </si>
  <si>
    <t>Is done last in the main Formula Rate template  Worksheet G.</t>
  </si>
  <si>
    <t>Blue text below is used by this workbbok and comes from main Formula Rate template WS-G sheet.</t>
  </si>
  <si>
    <t>As Projected in Prior Year WS F   Rev Require</t>
  </si>
  <si>
    <t>As Projected in Prior Year WS F    W Incentives</t>
  </si>
  <si>
    <t>Actual after True-up Rev Require</t>
  </si>
  <si>
    <t>Actual after True-up  W Incentives</t>
  </si>
  <si>
    <r>
      <t>Worksheet F</t>
    </r>
    <r>
      <rPr>
        <sz val="14"/>
        <rFont val="Arial"/>
        <family val="2"/>
      </rPr>
      <t xml:space="preserve"> - Calculation of PROJECTED Annual Revenue Requirement for BPU and Special-billed Projects</t>
    </r>
  </si>
  <si>
    <r>
      <t>Worksheet G</t>
    </r>
    <r>
      <rPr>
        <sz val="14"/>
        <rFont val="Arial"/>
        <family val="2"/>
      </rPr>
      <t xml:space="preserve"> - Calculation of TRUED-UP Annual Revenue Requirement for BPU and Special-billed Projects</t>
    </r>
  </si>
  <si>
    <t>&lt;----Worksheet data is for</t>
  </si>
  <si>
    <t>(Worksheet G)</t>
  </si>
  <si>
    <t>(Worksheet F)</t>
  </si>
  <si>
    <t>Worksheet F</t>
  </si>
  <si>
    <t>Worksheet G</t>
  </si>
  <si>
    <r>
      <t>##</t>
    </r>
    <r>
      <rPr>
        <sz val="10"/>
        <rFont val="Arial"/>
        <family val="2"/>
      </rPr>
      <t xml:space="preserve"> </t>
    </r>
    <r>
      <rPr>
        <b/>
        <sz val="10"/>
        <color indexed="8"/>
        <rFont val="Arial"/>
        <family val="2"/>
      </rPr>
      <t>This is the calculation of  additional incentive revenue on projects deemed by the FERC to be eligible for an incentive return.  This</t>
    </r>
  </si>
  <si>
    <r>
      <t>Worksheet F  --  SOUTHWESTERN ELECTRIC POWER COMPANY  --  Calculation of "</t>
    </r>
    <r>
      <rPr>
        <b/>
        <u/>
        <sz val="16"/>
        <rFont val="Arial"/>
        <family val="2"/>
      </rPr>
      <t>Projected</t>
    </r>
    <r>
      <rPr>
        <b/>
        <sz val="16"/>
        <rFont val="Arial"/>
        <family val="2"/>
      </rPr>
      <t>" ARR for SPP Base Plan Upgrade Projects</t>
    </r>
  </si>
  <si>
    <r>
      <t>Worksheet G  --  SOUTHWESTERN ELECTRIC POWER COMPANY  --  Calculation of "</t>
    </r>
    <r>
      <rPr>
        <b/>
        <u/>
        <sz val="16"/>
        <rFont val="Arial"/>
        <family val="2"/>
      </rPr>
      <t>Trued-Up</t>
    </r>
    <r>
      <rPr>
        <b/>
        <sz val="16"/>
        <rFont val="Arial"/>
        <family val="2"/>
      </rPr>
      <t>" ARR for SPP Base Plan Upgrade Projects</t>
    </r>
  </si>
  <si>
    <t>SOUTHWESTERN ELECTRIC POWER COMPANY</t>
  </si>
  <si>
    <t>EXPORT DATA to Template SWEPCO WS F</t>
  </si>
  <si>
    <t>Worksheet F --- DATA INPUT (Paste.Values) from TEMPLATE SWEPCO WS F</t>
  </si>
  <si>
    <t>DATA INPUT (Paste.Values) from main FR TEMPLATE SWEPCO WS G</t>
  </si>
  <si>
    <t>EXPORT DATA to main FR Template SWEPCO WS G</t>
  </si>
  <si>
    <t>TP2007057</t>
  </si>
  <si>
    <t>TP2007060</t>
  </si>
  <si>
    <t>TP2007103</t>
  </si>
  <si>
    <t>TP2007114</t>
  </si>
  <si>
    <t>TP2007120</t>
  </si>
  <si>
    <t>TP2007165</t>
  </si>
  <si>
    <t>TP2008080</t>
  </si>
  <si>
    <t>TP2002085</t>
  </si>
  <si>
    <t>TP2006130</t>
  </si>
  <si>
    <t>TP2004036</t>
  </si>
  <si>
    <t xml:space="preserve">Carthage REC - Carthage T 138 kV </t>
  </si>
  <si>
    <t>TP2004139</t>
  </si>
  <si>
    <t>TP2006089</t>
  </si>
  <si>
    <t>TP2004148</t>
  </si>
  <si>
    <t>TP2005142</t>
  </si>
  <si>
    <t>basis points</t>
  </si>
  <si>
    <t xml:space="preserve">True-Up Adjustment  </t>
  </si>
  <si>
    <t>Current Projected Year ARR</t>
  </si>
  <si>
    <t>Current Projected Year ARR w/ Incentive</t>
  </si>
  <si>
    <t>w/Incentives</t>
  </si>
  <si>
    <t xml:space="preserve"> Worksheet G</t>
  </si>
  <si>
    <t>TRUE-UP Adjustment from Prior Year WS-G</t>
  </si>
  <si>
    <t>TP2008017</t>
  </si>
  <si>
    <t>TP2007019</t>
  </si>
  <si>
    <t>Knox Lee - Oak Hill #2 138 kV line, S. Shreveport  (SWE Minor Proj II)</t>
  </si>
  <si>
    <t>ok</t>
  </si>
  <si>
    <t>AEP Transmission Formula Rate Template</t>
  </si>
  <si>
    <r>
      <t xml:space="preserve">Calculation of Schedule </t>
    </r>
    <r>
      <rPr>
        <sz val="12"/>
        <rFont val="Arial"/>
        <family val="2"/>
      </rPr>
      <t>11 Revenue Requirements For AEP Transmission Projects</t>
    </r>
  </si>
  <si>
    <t xml:space="preserve">AEP Schedule 11 Revenue Requirement Including True-Up of Prior Collections </t>
  </si>
  <si>
    <t>(A)</t>
  </si>
  <si>
    <t>(B)</t>
  </si>
  <si>
    <t>(C )</t>
  </si>
  <si>
    <t>(D)</t>
  </si>
  <si>
    <t>(E)</t>
  </si>
  <si>
    <t>(F)</t>
  </si>
  <si>
    <t>(H)</t>
  </si>
  <si>
    <t>(I)</t>
  </si>
  <si>
    <t>(M)</t>
  </si>
  <si>
    <t>Sheet Name</t>
  </si>
  <si>
    <t>Owner</t>
  </si>
  <si>
    <t>Year in Service</t>
  </si>
  <si>
    <t>Base ARR</t>
  </si>
  <si>
    <t>Incentive</t>
  </si>
  <si>
    <t>Total</t>
  </si>
  <si>
    <t>True-up</t>
  </si>
  <si>
    <t>As Billed</t>
  </si>
  <si>
    <t>Change</t>
  </si>
  <si>
    <t>Interest</t>
  </si>
  <si>
    <t>Indirect References</t>
  </si>
  <si>
    <r>
      <t xml:space="preserve">   DO </t>
    </r>
    <r>
      <rPr>
        <b/>
        <sz val="10"/>
        <color indexed="10"/>
        <rFont val="Arial"/>
        <family val="2"/>
      </rPr>
      <t>NOT</t>
    </r>
    <r>
      <rPr>
        <b/>
        <sz val="10"/>
        <rFont val="Arial"/>
        <family val="2"/>
      </rPr>
      <t xml:space="preserve"> delete this row or the formulas above will not work.</t>
    </r>
  </si>
  <si>
    <t>S.001</t>
  </si>
  <si>
    <t>SWE</t>
  </si>
  <si>
    <t>S.002</t>
  </si>
  <si>
    <t>S.003</t>
  </si>
  <si>
    <t>S.004</t>
  </si>
  <si>
    <t>S.005</t>
  </si>
  <si>
    <t>S.006</t>
  </si>
  <si>
    <t>S.007</t>
  </si>
  <si>
    <t>S.008</t>
  </si>
  <si>
    <t>S.009</t>
  </si>
  <si>
    <t>S.010</t>
  </si>
  <si>
    <t>S.011</t>
  </si>
  <si>
    <t>S.012</t>
  </si>
  <si>
    <t>S.013</t>
  </si>
  <si>
    <t>S.014</t>
  </si>
  <si>
    <t>S.015</t>
  </si>
  <si>
    <t>S.016</t>
  </si>
  <si>
    <t>S.017</t>
  </si>
  <si>
    <t>S.018</t>
  </si>
  <si>
    <t>S.019</t>
  </si>
  <si>
    <t>S.020</t>
  </si>
  <si>
    <r>
      <t xml:space="preserve">TRUE-UP Adjustment </t>
    </r>
    <r>
      <rPr>
        <sz val="10"/>
        <rFont val="Arial"/>
        <family val="2"/>
      </rPr>
      <t>(WS-G)</t>
    </r>
  </si>
  <si>
    <t>(J)</t>
  </si>
  <si>
    <t>from WS-F &amp; G</t>
  </si>
  <si>
    <t>Do NOT delete.</t>
  </si>
  <si>
    <t>COLLECTION Adjustment</t>
  </si>
  <si>
    <t>(L)</t>
  </si>
  <si>
    <t>(O)</t>
  </si>
  <si>
    <t>Incentive ARR</t>
  </si>
  <si>
    <r>
      <t xml:space="preserve">Total Adjustments
</t>
    </r>
    <r>
      <rPr>
        <sz val="8"/>
        <rFont val="Arial"/>
        <family val="2"/>
      </rPr>
      <t>(Forecast, Billing, &amp; Interest)</t>
    </r>
  </si>
  <si>
    <t>Total Adjustments before Interest</t>
  </si>
  <si>
    <t>the column above</t>
  </si>
  <si>
    <t>is used to feed interest</t>
  </si>
  <si>
    <t>calculation engine and its</t>
  </si>
  <si>
    <t>output is put into the interest</t>
  </si>
  <si>
    <t>Arsenal Hill Auto xfmr &amp; AH to Water Works line</t>
  </si>
  <si>
    <t>SW Shreveport (sub work &amp; tap)</t>
  </si>
  <si>
    <t>PROJECTED Rev. Req't From Prior Year Template</t>
  </si>
  <si>
    <t>TRUE-UP Rev. Req't.From Prior Year Template</t>
  </si>
  <si>
    <t>Rebuild N. Magazine - Danville 161 kV Line</t>
  </si>
  <si>
    <t>Dyess to S. Fayetteville 69 kV Convert to 161 kV (multi-projects)</t>
  </si>
  <si>
    <t>Northwest Texarkana-Bann-Alumax Tap 138kV -- reconductor</t>
  </si>
  <si>
    <r>
      <t xml:space="preserve">As Billed
by SPP
</t>
    </r>
    <r>
      <rPr>
        <sz val="10"/>
        <rFont val="Arial"/>
        <family val="2"/>
      </rPr>
      <t>(for Prior Yr
T-Service)</t>
    </r>
  </si>
  <si>
    <t>NW Henderson - Oak Hill 138 kV line*</t>
  </si>
  <si>
    <t>Linwood 138 Station Switch Replacement*</t>
  </si>
  <si>
    <t>Tontitown - Elm Springs REC 161 kV line***</t>
  </si>
  <si>
    <t>Siloam Springs - Chamber Springs 161 kV line***</t>
  </si>
  <si>
    <t>Daingerfield - Jenkins REC 69 kV CB Repl**</t>
  </si>
  <si>
    <t>Linwood-McWillie 138 kV Rebuild</t>
  </si>
  <si>
    <t>Port Robson-Caplis Line (SW 138 kV Loop -- 2009)</t>
  </si>
  <si>
    <t>Wallace Lake-Prt Robson-Red Point 138 kV Loop</t>
  </si>
  <si>
    <t>[NW Ark Area Improve - 2008]  Elm Springs, East Rogers, Shipe Road Stations</t>
  </si>
  <si>
    <t>[NW Ark Area Improve - 2009]  E. Centerton-Flint Crk, E Rogers-N Rogers, Centerton</t>
  </si>
  <si>
    <t>[Greenwood, AR Area Improve]  N Huntington, Greenwood, Reeves, Bonanza</t>
  </si>
  <si>
    <t>Arsenal Hill 138kV Device (Cap. Bank)</t>
  </si>
  <si>
    <t xml:space="preserve">∑ Prior Year Projected  (WS-F)  </t>
  </si>
  <si>
    <t xml:space="preserve">∑ Prior Year True-Up  (WS-G)  </t>
  </si>
  <si>
    <t>SWEPCO Total</t>
  </si>
  <si>
    <t>TP2006077</t>
  </si>
  <si>
    <t>TP2008014</t>
  </si>
  <si>
    <t>Reconductor: Greggton-Lake Lamond &amp; Quitman-Westwood 69 kV lines</t>
  </si>
  <si>
    <t>TP2008015</t>
  </si>
  <si>
    <t>TP2008026</t>
  </si>
  <si>
    <t>Rebuild/reconductor Dyess-Elm Springs REC [Dyess Station-Flint Creek]</t>
  </si>
  <si>
    <t>TP2009012</t>
  </si>
  <si>
    <t>S.021</t>
  </si>
  <si>
    <t>S.022</t>
  </si>
  <si>
    <t>S.023</t>
  </si>
  <si>
    <t>S.024</t>
  </si>
  <si>
    <t>S.025</t>
  </si>
  <si>
    <t>Additional Annual Rev.</t>
  </si>
  <si>
    <t>Reconductor 4 mi. of McNabb-Turk</t>
  </si>
  <si>
    <t>Longwood: r&amp;r switches, upgrade bus</t>
  </si>
  <si>
    <t>TP______</t>
  </si>
  <si>
    <t>Projected ADJUSTED ARR from Prior Update</t>
  </si>
  <si>
    <t>Port Robson (SW 138 kV Loop -- 2008)</t>
  </si>
  <si>
    <t>*</t>
  </si>
  <si>
    <t>*&lt;$100K investment, **AI xfer, ***Non-BPU (to be removed from list in future).</t>
  </si>
  <si>
    <t>Replace switch at Diana*</t>
  </si>
  <si>
    <t>column to left (Q).</t>
  </si>
  <si>
    <t>NOTE:  Delete duplicate project.  Will track this multi-element multi-year project via 1 set of worksheet F and G tables (S.006).</t>
  </si>
  <si>
    <t>NOTE:  $310K Investment still on Dist plant accounts at YE2009.  Thus YE2009 Trans investment set to $0.</t>
  </si>
  <si>
    <t>NOTE:  Investment expected to be transferred from Distribution to Transmission during 2010.</t>
  </si>
  <si>
    <t>Whitney repl CB and Switches</t>
  </si>
  <si>
    <t>S.026</t>
  </si>
  <si>
    <t>***2008 INVESTMENT NOW INCLUDED IN PROJECT S.003 ABOVE***</t>
  </si>
  <si>
    <t>NOTE:  Transfer project.  Initial yr investment included in project S.003.</t>
  </si>
  <si>
    <t>PID 452, UIP 10586</t>
  </si>
  <si>
    <t>TP2009015</t>
  </si>
  <si>
    <t>Linwood - Powell Street 138 kV</t>
  </si>
  <si>
    <t>TP2008027</t>
  </si>
  <si>
    <t xml:space="preserve">Bloomburg-Texarkana Plant </t>
  </si>
  <si>
    <t>TP2010062</t>
  </si>
  <si>
    <t xml:space="preserve">Knox Lee - Pirkey 138 kV / Pirkey - Whitney 138 kV - Replace Breaker,  Wavetraps, and reset relays and CT's </t>
  </si>
  <si>
    <t>NW Texarkana - Turk 345</t>
  </si>
  <si>
    <t>TP2009100</t>
  </si>
  <si>
    <t>Lone Star South - Pittsburg 138 kV - Replace Wavetraps, reset CT's and Relays</t>
  </si>
  <si>
    <t>Howell-Kilgore 69 kV rebuild</t>
  </si>
  <si>
    <t>TP208126</t>
  </si>
  <si>
    <t xml:space="preserve"> Flint Creek-Shipe Road 345 kV Line</t>
  </si>
  <si>
    <t>S.027</t>
  </si>
  <si>
    <t>S.028</t>
  </si>
  <si>
    <t>S.029</t>
  </si>
  <si>
    <t>S.030</t>
  </si>
  <si>
    <t>S.031</t>
  </si>
  <si>
    <t>S.032</t>
  </si>
  <si>
    <t>S.033</t>
  </si>
  <si>
    <t>TP2011024</t>
  </si>
  <si>
    <t>Diana - Replace North Autotransformer #3</t>
  </si>
  <si>
    <t>Bann - LS Ordnance - Hooks 69 kV - Rebuild 7.1 mi</t>
  </si>
  <si>
    <t>TP2010065</t>
  </si>
  <si>
    <t>Osburn 161 kV Line Work</t>
  </si>
  <si>
    <t>TP2010066</t>
  </si>
  <si>
    <t>SW Shreveport to Spring Ridge REC 138 kV Line Rebuild</t>
  </si>
  <si>
    <t>TP2010064</t>
  </si>
  <si>
    <t>Eastex Switching Station - Whitney 138 kV Station - Rebuild 2.5 miles of 138 Kv</t>
  </si>
  <si>
    <t>S.034</t>
  </si>
  <si>
    <t>S.035</t>
  </si>
  <si>
    <t>S.036</t>
  </si>
  <si>
    <t>S.037</t>
  </si>
  <si>
    <t>S.038</t>
  </si>
  <si>
    <t>TP2009092</t>
  </si>
  <si>
    <t>TP20100102</t>
  </si>
  <si>
    <t xml:space="preserve">Rock Hill to Carthage 69 kV Rebuild 11.4 Miles </t>
  </si>
  <si>
    <t>TP2010103</t>
  </si>
  <si>
    <t>Broadmoor to Fern Street 69 kV Rebuild 1 mile</t>
  </si>
  <si>
    <t>TP2004031</t>
  </si>
  <si>
    <t>Northwest Henderson to Poynter 69 kV Rebuild 3.2 miles</t>
  </si>
  <si>
    <t>TP2011023</t>
  </si>
  <si>
    <t>Diana to Perdue 138 kV Rebuild 21.8 miles; Station Upgrades at Diana and Perdue</t>
  </si>
  <si>
    <t>S.039</t>
  </si>
  <si>
    <t>S.040</t>
  </si>
  <si>
    <t>S.041</t>
  </si>
  <si>
    <t>S.042</t>
  </si>
  <si>
    <t>S.043</t>
  </si>
  <si>
    <t xml:space="preserve">  SPP Project ID = 681</t>
  </si>
  <si>
    <t xml:space="preserve">  SPP Project ID = 502</t>
  </si>
  <si>
    <t xml:space="preserve">  SPP Project ID = 503/1012</t>
  </si>
  <si>
    <t xml:space="preserve">  SPP Project ID = 882</t>
  </si>
  <si>
    <t xml:space="preserve">  SPP Project ID = 770 (split between PSO &amp; SWEPCO)</t>
  </si>
  <si>
    <r>
      <t xml:space="preserve">Ashdown West - Craig Junction 138KV Rebuild </t>
    </r>
    <r>
      <rPr>
        <sz val="10"/>
        <color indexed="12"/>
        <rFont val="Arial"/>
        <family val="2"/>
      </rPr>
      <t>(tie w/PSO)</t>
    </r>
  </si>
  <si>
    <t>TP2002006</t>
  </si>
  <si>
    <t>Pittsburg-Winnsboro-North Mineola</t>
  </si>
  <si>
    <t>TP2005152</t>
  </si>
  <si>
    <t>CHAMBER SPRINGS - TONTITOWN 161KV CKT 1</t>
  </si>
  <si>
    <t>TP2002123</t>
  </si>
  <si>
    <t>CHAMBER SPRINGS - TONTITOWN 345KV CKT 1</t>
  </si>
  <si>
    <t>FULTON - HOPE 115KV CKT 1</t>
  </si>
  <si>
    <t>TP2007166</t>
  </si>
  <si>
    <t>MINEOLA - NORTH MINEOLA 69KV CKT 1</t>
  </si>
  <si>
    <t>TP2004032</t>
  </si>
  <si>
    <t xml:space="preserve">SUGAR HILL 138/69KV TRANSFORMER CKT 1 </t>
  </si>
  <si>
    <t>Dekalb-New Boston 69 kV</t>
  </si>
  <si>
    <t>Hardy Street-Waterworks 69 kV</t>
  </si>
  <si>
    <t>Red Oak (State Line)-North Huntington 69 kV</t>
  </si>
  <si>
    <t>Mt. Pleasant - West Mt. Pleasant 69 kV Ckt 1)</t>
  </si>
  <si>
    <t>Benteler - Port Robson 138 kV Ckt 1 and 2</t>
  </si>
  <si>
    <t>S.044</t>
  </si>
  <si>
    <t>S.045</t>
  </si>
  <si>
    <t>S.046</t>
  </si>
  <si>
    <t>S.047</t>
  </si>
  <si>
    <t>S.048</t>
  </si>
  <si>
    <t>S.049</t>
  </si>
  <si>
    <t>S.050</t>
  </si>
  <si>
    <t>S.051</t>
  </si>
  <si>
    <t>S.052</t>
  </si>
  <si>
    <t>S.053</t>
  </si>
  <si>
    <t>S.054</t>
  </si>
  <si>
    <t xml:space="preserve">***Sch. 11 recovery commenced in the 2015 rate year *** </t>
  </si>
  <si>
    <t>Ellerbe Rd-S Shreveport 69 kv Build</t>
  </si>
  <si>
    <t>TP201154</t>
  </si>
  <si>
    <t>Logansport 138 kv</t>
  </si>
  <si>
    <t>TP2011022</t>
  </si>
  <si>
    <t>Winnsboro 138 kw</t>
  </si>
  <si>
    <t>TP2013122</t>
  </si>
  <si>
    <t>Rock Hill-Springridge Pan-Harr REC 138 kv</t>
  </si>
  <si>
    <t>Brownlee-North Mrket 69 kv Rebuild</t>
  </si>
  <si>
    <t>S.055</t>
  </si>
  <si>
    <t>S.056</t>
  </si>
  <si>
    <t>S.057</t>
  </si>
  <si>
    <t>S.058</t>
  </si>
  <si>
    <t>S.059</t>
  </si>
  <si>
    <t xml:space="preserve"> &lt;--- this value goes to sched 11 interest support file line 18</t>
  </si>
  <si>
    <t xml:space="preserve">***Sch. 11 recovery commenced in the 2015 rate year.  Beg Bal = to depreciated balance as of 1/1/15. *** </t>
  </si>
  <si>
    <t>S.060</t>
  </si>
  <si>
    <t>S.061</t>
  </si>
  <si>
    <t>S.062</t>
  </si>
  <si>
    <t>S.063</t>
  </si>
  <si>
    <t>S.064</t>
  </si>
  <si>
    <t>S.065</t>
  </si>
  <si>
    <t>S.066</t>
  </si>
  <si>
    <t>S.067</t>
  </si>
  <si>
    <t>Valliant-NW Texarkana 345 kV</t>
  </si>
  <si>
    <t>Messick 500/230 kV</t>
  </si>
  <si>
    <t>TP2011033</t>
  </si>
  <si>
    <t>Letourneau 69 kV Capacitor Bank Addition</t>
  </si>
  <si>
    <t>Brooks Street - Edwards Street 69 kV Line Rebuild</t>
  </si>
  <si>
    <t>Hallsville - Marshall New 69 kV Circuit</t>
  </si>
  <si>
    <t>Daingerfield - Jenkins Rebuild</t>
  </si>
  <si>
    <t>Broadmoor - Fort Humbug Rebuild</t>
  </si>
  <si>
    <t>Chamber Springs - Farmington 161 kV Line</t>
  </si>
  <si>
    <t>Beg/Ending 
Average
Revenue</t>
  </si>
  <si>
    <t>Beg/Ending
Average
Revenue Req't.</t>
  </si>
  <si>
    <t>insert project name here</t>
  </si>
  <si>
    <t xml:space="preserve">True-Up Year Projected  (WS-F)  </t>
  </si>
  <si>
    <t xml:space="preserve">True-Up Year Actual  (WS-G)  </t>
  </si>
  <si>
    <t xml:space="preserve">       Taxable Percentage of Revenue (22%)</t>
  </si>
  <si>
    <t xml:space="preserve"> Worksheet F</t>
  </si>
  <si>
    <t xml:space="preserve">  SPP Project ID = 221</t>
  </si>
  <si>
    <t xml:space="preserve">  SPP Project ID = 294</t>
  </si>
  <si>
    <t xml:space="preserve">  SPP Project ID = 30471</t>
  </si>
  <si>
    <t xml:space="preserve">  SPP Project ID = 30472</t>
  </si>
  <si>
    <t xml:space="preserve">  SPP Project ID = 30731</t>
  </si>
  <si>
    <t xml:space="preserve">  SPP Project ID = 30769</t>
  </si>
  <si>
    <t xml:space="preserve">  SPP Project ID = 30298</t>
  </si>
  <si>
    <t xml:space="preserve">  SPP Project ID = 30296</t>
  </si>
  <si>
    <t>TP2010067</t>
  </si>
  <si>
    <t xml:space="preserve">  SPP Project ID = 30449</t>
  </si>
  <si>
    <t xml:space="preserve">  SPP Project ID = 504</t>
  </si>
  <si>
    <t>TP2009104</t>
  </si>
  <si>
    <t>TP2015106</t>
  </si>
  <si>
    <t xml:space="preserve">  SPP Project ID = 30598</t>
  </si>
  <si>
    <t>TP2014138</t>
  </si>
  <si>
    <t xml:space="preserve">  SPP Project ID = 30895</t>
  </si>
  <si>
    <t>TP2013167</t>
  </si>
  <si>
    <t xml:space="preserve">  SPP Project ID = 30576</t>
  </si>
  <si>
    <t>TP2013166</t>
  </si>
  <si>
    <t xml:space="preserve">  SPP Project ID = 30574</t>
  </si>
  <si>
    <t>TP2013165</t>
  </si>
  <si>
    <t xml:space="preserve">  SPP Project ID = 30573</t>
  </si>
  <si>
    <t>TP2011147</t>
  </si>
  <si>
    <t xml:space="preserve">  SPP Project ID = 451</t>
  </si>
  <si>
    <t>TP2010100</t>
  </si>
  <si>
    <t xml:space="preserve">  SPP Project ID = 501</t>
  </si>
  <si>
    <t>Evenside - Northwest Henderson 69 KV Line Rebuild</t>
  </si>
  <si>
    <t xml:space="preserve">  SPP Project ID = 30575</t>
  </si>
  <si>
    <t>Hallsville - Longview Heights 69 KV Line Rebuild</t>
  </si>
  <si>
    <t>TP2014139</t>
  </si>
  <si>
    <t xml:space="preserve">  SPP Project ID = 30889</t>
  </si>
  <si>
    <t>TP2017012</t>
  </si>
  <si>
    <t xml:space="preserve">  SPP Project ID = 31186</t>
  </si>
  <si>
    <t>S.068</t>
  </si>
  <si>
    <t>S.069</t>
  </si>
  <si>
    <t>S.070</t>
  </si>
  <si>
    <t>S.071</t>
  </si>
  <si>
    <t>Linwood - South Shreveport 138 KV Kine Rebuild</t>
  </si>
  <si>
    <t>IPC 138 KV Capacitor Bank Addition</t>
  </si>
  <si>
    <t xml:space="preserve">Transmission Plant Average Balance for 2017 </t>
  </si>
  <si>
    <t xml:space="preserve">   ROE w/o incentives  (Projected TCOS, ln 148)</t>
  </si>
  <si>
    <t>Annual Depreciation Expense  (Historic TCOS, ln 244)</t>
  </si>
  <si>
    <t xml:space="preserve">                         -  </t>
  </si>
  <si>
    <t xml:space="preserve">   Excess DFIT Adjustment  (TCOS, ln 109)</t>
  </si>
  <si>
    <t xml:space="preserve">   Tax Effect of Permanent and Flow Through Differences (TCOS, ln 110)</t>
  </si>
  <si>
    <t xml:space="preserve">   Rate Base  (TCOS, ln 62)</t>
  </si>
  <si>
    <t xml:space="preserve">   Tax Rate  (TCOS, ln 97)</t>
  </si>
  <si>
    <t xml:space="preserve">   ITC Adjustment  (TCOS, ln 106)</t>
  </si>
  <si>
    <t xml:space="preserve">   Excess DFIT Adjustment  (TCOS, ln 107)</t>
  </si>
  <si>
    <t xml:space="preserve">   Tax Effect of Permanent and Flow Through Differences  (TCOS, ln 108)</t>
  </si>
  <si>
    <t xml:space="preserve">   Net Revenue Requirement  (TCOS, ln 115)</t>
  </si>
  <si>
    <t xml:space="preserve">   Return  (TCOS, ln 110)</t>
  </si>
  <si>
    <t xml:space="preserve">   Income Taxes  (TCOS, ln 109)</t>
  </si>
  <si>
    <t xml:space="preserve">  Gross Margin Taxes  (TCOS, ln 114)</t>
  </si>
  <si>
    <t xml:space="preserve">   Less: Depreciation  (TCOS, ln 84)</t>
  </si>
  <si>
    <t xml:space="preserve">   Net Transmission Plant  (TCOS, ln 37)</t>
  </si>
  <si>
    <t xml:space="preserve">   FCR less Depreciation  (TCOS, ln 10)</t>
  </si>
  <si>
    <t>S.073</t>
  </si>
  <si>
    <t>S.072</t>
  </si>
  <si>
    <t>Siloam Springs - Siloam Springs City 161 kV Rebuild</t>
  </si>
  <si>
    <t>Ellerbe Road - Lucas 69 kV Rebuild</t>
  </si>
  <si>
    <t>Figure Five - VBI North 69 kV Rebuild</t>
  </si>
  <si>
    <t>TA2016806</t>
  </si>
  <si>
    <t>S.074</t>
  </si>
  <si>
    <t xml:space="preserve">   Rate Base  (TCOS, ln 63)</t>
  </si>
  <si>
    <t xml:space="preserve">   Tax Rate  (TCOS, ln 99)</t>
  </si>
  <si>
    <t xml:space="preserve">   ITC Adjustment  (TCOS, ln 108)</t>
  </si>
  <si>
    <t xml:space="preserve">   Net Revenue Requirement  (TCOS, ln 117)</t>
  </si>
  <si>
    <t xml:space="preserve">   Return  (TCOS, ln 112)</t>
  </si>
  <si>
    <t xml:space="preserve">   Income Taxes  (TCOS, ln 111)</t>
  </si>
  <si>
    <t xml:space="preserve">  Gross Margin Taxes  (TCOS, ln 116)</t>
  </si>
  <si>
    <t xml:space="preserve">   Less: Depreciation  (TCOS, ln 86)</t>
  </si>
  <si>
    <t xml:space="preserve">  SPP Project ID = 31131</t>
  </si>
  <si>
    <t>TP2017010</t>
  </si>
  <si>
    <t xml:space="preserve">  SPP Project ID = 51300</t>
  </si>
  <si>
    <t>TP2014154</t>
  </si>
  <si>
    <t xml:space="preserve">  SPP Project ID = 30762</t>
  </si>
  <si>
    <t xml:space="preserve"> </t>
  </si>
  <si>
    <t xml:space="preserve">   ROE w/o incentives  (TCOS, ln 143)</t>
  </si>
  <si>
    <t>Transmission Plant Average Balance for 2022 (WS A-1 Ln 14 Col (d))</t>
  </si>
  <si>
    <t>Annual Depreciation Expense  (TCOS, ln 86)</t>
  </si>
  <si>
    <t>TP2012146</t>
  </si>
  <si>
    <t>TP2012172</t>
  </si>
  <si>
    <t>TP2009089</t>
  </si>
  <si>
    <t>SPP Project ID = 936</t>
  </si>
  <si>
    <t>SPP Project ID = 30495</t>
  </si>
  <si>
    <t>Siloam Springs 161 kV Rebuild</t>
  </si>
  <si>
    <t>TP2022737_____</t>
  </si>
  <si>
    <t>SPP Project ID = 92393</t>
  </si>
  <si>
    <t>Shreveport - Wallace Lake 138 kV Rebuild</t>
  </si>
  <si>
    <t>TP2020102</t>
  </si>
  <si>
    <t>SPP Project ID = 81687</t>
  </si>
  <si>
    <t>Layfield 500 kV Terminal Upgrades</t>
  </si>
  <si>
    <t>S.075</t>
  </si>
  <si>
    <t>S.076</t>
  </si>
  <si>
    <t>S.077</t>
  </si>
  <si>
    <t xml:space="preserve">SPP Project ID = </t>
  </si>
  <si>
    <t>108, 507, 30145, 30146</t>
  </si>
  <si>
    <t>SPP Project ID =</t>
  </si>
  <si>
    <t>224 &amp; 581</t>
  </si>
  <si>
    <t>107 &amp; 229</t>
  </si>
  <si>
    <t>217, 218, 219, &amp; 222</t>
  </si>
  <si>
    <t>115 &amp; 116</t>
  </si>
  <si>
    <t>6 &amp; 42</t>
  </si>
  <si>
    <t>41 &amp; 44</t>
  </si>
  <si>
    <t>5 &amp; 7</t>
  </si>
  <si>
    <t>292 &amp; 297</t>
  </si>
  <si>
    <t>296, 348, &amp; 30149</t>
  </si>
  <si>
    <t>30156 &amp; 30157</t>
  </si>
  <si>
    <t>30317, 30318, &amp; 30319</t>
  </si>
  <si>
    <t>349 &amp; 30142</t>
  </si>
  <si>
    <t>10 &amp; 40</t>
  </si>
  <si>
    <t>TP2012144</t>
  </si>
  <si>
    <t>30473, 30474 &amp; 30475</t>
  </si>
  <si>
    <t>478 &amp; 512</t>
  </si>
  <si>
    <t>20XX Formal Challenge Refund with Interest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</si>
</sst>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5" formatCode="&quot;$&quot;#,##0_);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%"/>
    <numFmt numFmtId="165" formatCode="0.00000"/>
    <numFmt numFmtId="166" formatCode="#,##0.0000"/>
    <numFmt numFmtId="167" formatCode="0.0000"/>
    <numFmt numFmtId="168" formatCode="&quot;$&quot;#,##0"/>
    <numFmt numFmtId="169" formatCode="&quot;$&quot;#,##0.00"/>
    <numFmt numFmtId="170" formatCode="_(* #,##0_);_(* \(#,##0\);_(* &quot;-&quot;??_);_(@_)"/>
    <numFmt numFmtId="171" formatCode="_(&quot;$&quot;* #,##0_);_(&quot;$&quot;* \(#,##0\);_(&quot;$&quot;* &quot;-&quot;??_);_(@_)"/>
    <numFmt numFmtId="172" formatCode="_(* #,##0.0000_);_(* \(#,##0.0000\);_(* &quot;-&quot;????_);_(@_)"/>
    <numFmt numFmtId="173" formatCode="_(* #,##0.0000_);_(* \(#,##0.0000\);_(* &quot;-&quot;_);_(@_)"/>
    <numFmt numFmtId="174" formatCode="_(* #,##0.0000000000_);_(* \(#,##0.0000000000\);_(* &quot;-&quot;_);_(@_)"/>
    <numFmt numFmtId="175" formatCode="_(* #,##0.00000_);_(* \(#,##0.00000\);_(* &quot;-&quot;??_);_(@_)"/>
    <numFmt numFmtId="176" formatCode="_(* #,##0.0000000_);_(* \(#,##0.0000000\);_(* &quot;-&quot;_);_(@_)"/>
    <numFmt numFmtId="177" formatCode="_(* #,##0.00000000_);_(* \(#,##0.00000000\);_(* &quot;-&quot;??_);_(@_)"/>
    <numFmt numFmtId="178" formatCode="&quot;$&quot;#,##0\ ;\(&quot;$&quot;#,##0\)"/>
    <numFmt numFmtId="179" formatCode="_(* #,##0.0,_);_(* \(#,##0.0,\);_(* &quot;-   &quot;_);_(@_)"/>
    <numFmt numFmtId="180" formatCode="0_);\(0\)"/>
  </numFmts>
  <fonts count="126">
    <font>
      <sz val="10"/>
      <name val="Arial"/>
    </font>
    <font>
      <sz val="10"/>
      <name val="Arial"/>
      <family val="2"/>
    </font>
    <font>
      <sz val="11"/>
      <color indexed="8"/>
      <name val="Arial Narrow"/>
      <family val="2"/>
    </font>
    <font>
      <sz val="11"/>
      <color indexed="9"/>
      <name val="Arial Narrow"/>
      <family val="2"/>
    </font>
    <font>
      <sz val="11"/>
      <color indexed="20"/>
      <name val="Arial Narrow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b/>
      <sz val="11"/>
      <color indexed="52"/>
      <name val="Arial Narrow"/>
      <family val="2"/>
    </font>
    <font>
      <b/>
      <sz val="11"/>
      <color indexed="9"/>
      <name val="Arial Narrow"/>
      <family val="2"/>
    </font>
    <font>
      <i/>
      <sz val="11"/>
      <color indexed="23"/>
      <name val="Arial Narrow"/>
      <family val="2"/>
    </font>
    <font>
      <sz val="11"/>
      <color indexed="17"/>
      <name val="Arial Narrow"/>
      <family val="2"/>
    </font>
    <font>
      <b/>
      <sz val="18"/>
      <name val="Arial"/>
      <family val="2"/>
    </font>
    <font>
      <b/>
      <sz val="11"/>
      <color indexed="56"/>
      <name val="Arial Narrow"/>
      <family val="2"/>
    </font>
    <font>
      <b/>
      <sz val="14"/>
      <name val="Book Antiqua"/>
      <family val="1"/>
    </font>
    <font>
      <i/>
      <sz val="10"/>
      <name val="Book Antiqua"/>
      <family val="1"/>
    </font>
    <font>
      <sz val="11"/>
      <color indexed="62"/>
      <name val="Arial Narrow"/>
      <family val="2"/>
    </font>
    <font>
      <sz val="11"/>
      <color indexed="52"/>
      <name val="Arial Narrow"/>
      <family val="2"/>
    </font>
    <font>
      <sz val="11"/>
      <color indexed="60"/>
      <name val="Arial Narrow"/>
      <family val="2"/>
    </font>
    <font>
      <sz val="12"/>
      <name val="Arial MT"/>
    </font>
    <font>
      <b/>
      <sz val="11"/>
      <color indexed="63"/>
      <name val="Arial Narrow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i/>
      <sz val="16"/>
      <name val="Arial"/>
      <family val="2"/>
    </font>
    <font>
      <b/>
      <sz val="12"/>
      <color indexed="32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b/>
      <sz val="18"/>
      <color indexed="56"/>
      <name val="Cambria"/>
      <family val="2"/>
    </font>
    <font>
      <sz val="11"/>
      <color indexed="10"/>
      <name val="Arial Narrow"/>
      <family val="2"/>
    </font>
    <font>
      <sz val="14"/>
      <name val="Arial"/>
      <family val="2"/>
    </font>
    <font>
      <b/>
      <sz val="14"/>
      <name val="MS Serif"/>
      <family val="1"/>
    </font>
    <font>
      <u/>
      <sz val="10"/>
      <name val="Arial"/>
      <family val="2"/>
    </font>
    <font>
      <sz val="10"/>
      <name val="MS Serif"/>
      <family val="1"/>
    </font>
    <font>
      <b/>
      <sz val="16"/>
      <name val="Arial"/>
      <family val="2"/>
    </font>
    <font>
      <sz val="12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u val="singleAccounting"/>
      <sz val="10"/>
      <name val="Arial"/>
      <family val="2"/>
    </font>
    <font>
      <sz val="12"/>
      <color indexed="10"/>
      <name val="Arial"/>
      <family val="2"/>
    </font>
    <font>
      <b/>
      <sz val="10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48"/>
      <name val="Arial"/>
      <family val="2"/>
    </font>
    <font>
      <sz val="8"/>
      <name val="Arial"/>
      <family val="2"/>
    </font>
    <font>
      <b/>
      <i/>
      <sz val="8"/>
      <color indexed="10"/>
      <name val="Arial"/>
      <family val="2"/>
    </font>
    <font>
      <sz val="10"/>
      <color indexed="12"/>
      <name val="Arial"/>
      <family val="2"/>
    </font>
    <font>
      <b/>
      <u/>
      <sz val="10"/>
      <name val="Arial"/>
      <family val="2"/>
    </font>
    <font>
      <b/>
      <sz val="10"/>
      <color indexed="57"/>
      <name val="Arial"/>
      <family val="2"/>
    </font>
    <font>
      <sz val="14"/>
      <color indexed="12"/>
      <name val="Arial"/>
      <family val="2"/>
    </font>
    <font>
      <sz val="10"/>
      <color indexed="9"/>
      <name val="Arial"/>
      <family val="2"/>
    </font>
    <font>
      <sz val="12"/>
      <name val="Arial"/>
      <family val="2"/>
    </font>
    <font>
      <b/>
      <u/>
      <sz val="16"/>
      <name val="Arial"/>
      <family val="2"/>
    </font>
    <font>
      <b/>
      <sz val="14"/>
      <color indexed="12"/>
      <name val="Arial"/>
      <family val="2"/>
    </font>
    <font>
      <sz val="16"/>
      <name val="Arial"/>
      <family val="2"/>
    </font>
    <font>
      <b/>
      <sz val="12"/>
      <color indexed="12"/>
      <name val="Arial"/>
      <family val="2"/>
    </font>
    <font>
      <sz val="10"/>
      <color indexed="13"/>
      <name val="Arial"/>
      <family val="2"/>
    </font>
    <font>
      <sz val="10"/>
      <color indexed="10"/>
      <name val="Arial"/>
      <family val="2"/>
    </font>
    <font>
      <i/>
      <sz val="8"/>
      <color indexed="81"/>
      <name val="Tahoma"/>
      <family val="2"/>
    </font>
    <font>
      <sz val="8"/>
      <color indexed="10"/>
      <name val="Arial"/>
      <family val="2"/>
    </font>
    <font>
      <b/>
      <i/>
      <sz val="10"/>
      <color indexed="10"/>
      <name val="Arial"/>
      <family val="2"/>
    </font>
    <font>
      <sz val="10"/>
      <color indexed="12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22"/>
      <color indexed="81"/>
      <name val="Tahoma"/>
      <family val="2"/>
    </font>
    <font>
      <sz val="22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0"/>
      <color indexed="30"/>
      <name val="Arial"/>
      <family val="2"/>
    </font>
    <font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color indexed="22"/>
      <name val="Arial"/>
      <family val="2"/>
    </font>
    <font>
      <sz val="10"/>
      <color indexed="8"/>
      <name val="Calibri"/>
      <family val="2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6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57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61">
    <xf numFmtId="0" fontId="0" fillId="0" borderId="0"/>
    <xf numFmtId="0" fontId="2" fillId="2" borderId="0" applyNumberFormat="0" applyBorder="0" applyAlignment="0" applyProtection="0"/>
    <xf numFmtId="0" fontId="108" fillId="29" borderId="0" applyNumberFormat="0" applyBorder="0" applyAlignment="0" applyProtection="0"/>
    <xf numFmtId="0" fontId="80" fillId="2" borderId="0" applyNumberFormat="0" applyBorder="0" applyAlignment="0" applyProtection="0"/>
    <xf numFmtId="0" fontId="108" fillId="29" borderId="0" applyNumberFormat="0" applyBorder="0" applyAlignment="0" applyProtection="0"/>
    <xf numFmtId="0" fontId="2" fillId="2" borderId="0" applyNumberFormat="0" applyBorder="0" applyAlignment="0" applyProtection="0"/>
    <xf numFmtId="0" fontId="80" fillId="2" borderId="0" applyNumberFormat="0" applyBorder="0" applyAlignment="0" applyProtection="0"/>
    <xf numFmtId="0" fontId="2" fillId="3" borderId="0" applyNumberFormat="0" applyBorder="0" applyAlignment="0" applyProtection="0"/>
    <xf numFmtId="0" fontId="108" fillId="30" borderId="0" applyNumberFormat="0" applyBorder="0" applyAlignment="0" applyProtection="0"/>
    <xf numFmtId="0" fontId="80" fillId="3" borderId="0" applyNumberFormat="0" applyBorder="0" applyAlignment="0" applyProtection="0"/>
    <xf numFmtId="0" fontId="108" fillId="30" borderId="0" applyNumberFormat="0" applyBorder="0" applyAlignment="0" applyProtection="0"/>
    <xf numFmtId="0" fontId="2" fillId="3" borderId="0" applyNumberFormat="0" applyBorder="0" applyAlignment="0" applyProtection="0"/>
    <xf numFmtId="0" fontId="80" fillId="3" borderId="0" applyNumberFormat="0" applyBorder="0" applyAlignment="0" applyProtection="0"/>
    <xf numFmtId="0" fontId="2" fillId="4" borderId="0" applyNumberFormat="0" applyBorder="0" applyAlignment="0" applyProtection="0"/>
    <xf numFmtId="0" fontId="108" fillId="31" borderId="0" applyNumberFormat="0" applyBorder="0" applyAlignment="0" applyProtection="0"/>
    <xf numFmtId="0" fontId="80" fillId="4" borderId="0" applyNumberFormat="0" applyBorder="0" applyAlignment="0" applyProtection="0"/>
    <xf numFmtId="0" fontId="108" fillId="31" borderId="0" applyNumberFormat="0" applyBorder="0" applyAlignment="0" applyProtection="0"/>
    <xf numFmtId="0" fontId="2" fillId="4" borderId="0" applyNumberFormat="0" applyBorder="0" applyAlignment="0" applyProtection="0"/>
    <xf numFmtId="0" fontId="80" fillId="4" borderId="0" applyNumberFormat="0" applyBorder="0" applyAlignment="0" applyProtection="0"/>
    <xf numFmtId="0" fontId="2" fillId="5" borderId="0" applyNumberFormat="0" applyBorder="0" applyAlignment="0" applyProtection="0"/>
    <xf numFmtId="0" fontId="108" fillId="32" borderId="0" applyNumberFormat="0" applyBorder="0" applyAlignment="0" applyProtection="0"/>
    <xf numFmtId="0" fontId="80" fillId="5" borderId="0" applyNumberFormat="0" applyBorder="0" applyAlignment="0" applyProtection="0"/>
    <xf numFmtId="0" fontId="108" fillId="32" borderId="0" applyNumberFormat="0" applyBorder="0" applyAlignment="0" applyProtection="0"/>
    <xf numFmtId="0" fontId="2" fillId="5" borderId="0" applyNumberFormat="0" applyBorder="0" applyAlignment="0" applyProtection="0"/>
    <xf numFmtId="0" fontId="80" fillId="5" borderId="0" applyNumberFormat="0" applyBorder="0" applyAlignment="0" applyProtection="0"/>
    <xf numFmtId="0" fontId="2" fillId="6" borderId="0" applyNumberFormat="0" applyBorder="0" applyAlignment="0" applyProtection="0"/>
    <xf numFmtId="0" fontId="108" fillId="33" borderId="0" applyNumberFormat="0" applyBorder="0" applyAlignment="0" applyProtection="0"/>
    <xf numFmtId="0" fontId="80" fillId="6" borderId="0" applyNumberFormat="0" applyBorder="0" applyAlignment="0" applyProtection="0"/>
    <xf numFmtId="0" fontId="108" fillId="33" borderId="0" applyNumberFormat="0" applyBorder="0" applyAlignment="0" applyProtection="0"/>
    <xf numFmtId="0" fontId="2" fillId="6" borderId="0" applyNumberFormat="0" applyBorder="0" applyAlignment="0" applyProtection="0"/>
    <xf numFmtId="0" fontId="80" fillId="6" borderId="0" applyNumberFormat="0" applyBorder="0" applyAlignment="0" applyProtection="0"/>
    <xf numFmtId="0" fontId="2" fillId="7" borderId="0" applyNumberFormat="0" applyBorder="0" applyAlignment="0" applyProtection="0"/>
    <xf numFmtId="0" fontId="108" fillId="34" borderId="0" applyNumberFormat="0" applyBorder="0" applyAlignment="0" applyProtection="0"/>
    <xf numFmtId="0" fontId="80" fillId="7" borderId="0" applyNumberFormat="0" applyBorder="0" applyAlignment="0" applyProtection="0"/>
    <xf numFmtId="0" fontId="108" fillId="34" borderId="0" applyNumberFormat="0" applyBorder="0" applyAlignment="0" applyProtection="0"/>
    <xf numFmtId="0" fontId="2" fillId="7" borderId="0" applyNumberFormat="0" applyBorder="0" applyAlignment="0" applyProtection="0"/>
    <xf numFmtId="0" fontId="80" fillId="7" borderId="0" applyNumberFormat="0" applyBorder="0" applyAlignment="0" applyProtection="0"/>
    <xf numFmtId="0" fontId="2" fillId="8" borderId="0" applyNumberFormat="0" applyBorder="0" applyAlignment="0" applyProtection="0"/>
    <xf numFmtId="0" fontId="108" fillId="35" borderId="0" applyNumberFormat="0" applyBorder="0" applyAlignment="0" applyProtection="0"/>
    <xf numFmtId="0" fontId="80" fillId="8" borderId="0" applyNumberFormat="0" applyBorder="0" applyAlignment="0" applyProtection="0"/>
    <xf numFmtId="0" fontId="108" fillId="35" borderId="0" applyNumberFormat="0" applyBorder="0" applyAlignment="0" applyProtection="0"/>
    <xf numFmtId="0" fontId="2" fillId="8" borderId="0" applyNumberFormat="0" applyBorder="0" applyAlignment="0" applyProtection="0"/>
    <xf numFmtId="0" fontId="80" fillId="8" borderId="0" applyNumberFormat="0" applyBorder="0" applyAlignment="0" applyProtection="0"/>
    <xf numFmtId="0" fontId="2" fillId="9" borderId="0" applyNumberFormat="0" applyBorder="0" applyAlignment="0" applyProtection="0"/>
    <xf numFmtId="0" fontId="108" fillId="36" borderId="0" applyNumberFormat="0" applyBorder="0" applyAlignment="0" applyProtection="0"/>
    <xf numFmtId="0" fontId="80" fillId="9" borderId="0" applyNumberFormat="0" applyBorder="0" applyAlignment="0" applyProtection="0"/>
    <xf numFmtId="0" fontId="108" fillId="36" borderId="0" applyNumberFormat="0" applyBorder="0" applyAlignment="0" applyProtection="0"/>
    <xf numFmtId="0" fontId="2" fillId="9" borderId="0" applyNumberFormat="0" applyBorder="0" applyAlignment="0" applyProtection="0"/>
    <xf numFmtId="0" fontId="80" fillId="9" borderId="0" applyNumberFormat="0" applyBorder="0" applyAlignment="0" applyProtection="0"/>
    <xf numFmtId="0" fontId="2" fillId="10" borderId="0" applyNumberFormat="0" applyBorder="0" applyAlignment="0" applyProtection="0"/>
    <xf numFmtId="0" fontId="108" fillId="37" borderId="0" applyNumberFormat="0" applyBorder="0" applyAlignment="0" applyProtection="0"/>
    <xf numFmtId="0" fontId="80" fillId="10" borderId="0" applyNumberFormat="0" applyBorder="0" applyAlignment="0" applyProtection="0"/>
    <xf numFmtId="0" fontId="108" fillId="37" borderId="0" applyNumberFormat="0" applyBorder="0" applyAlignment="0" applyProtection="0"/>
    <xf numFmtId="0" fontId="2" fillId="10" borderId="0" applyNumberFormat="0" applyBorder="0" applyAlignment="0" applyProtection="0"/>
    <xf numFmtId="0" fontId="80" fillId="10" borderId="0" applyNumberFormat="0" applyBorder="0" applyAlignment="0" applyProtection="0"/>
    <xf numFmtId="0" fontId="2" fillId="5" borderId="0" applyNumberFormat="0" applyBorder="0" applyAlignment="0" applyProtection="0"/>
    <xf numFmtId="0" fontId="108" fillId="38" borderId="0" applyNumberFormat="0" applyBorder="0" applyAlignment="0" applyProtection="0"/>
    <xf numFmtId="0" fontId="80" fillId="5" borderId="0" applyNumberFormat="0" applyBorder="0" applyAlignment="0" applyProtection="0"/>
    <xf numFmtId="0" fontId="108" fillId="38" borderId="0" applyNumberFormat="0" applyBorder="0" applyAlignment="0" applyProtection="0"/>
    <xf numFmtId="0" fontId="2" fillId="5" borderId="0" applyNumberFormat="0" applyBorder="0" applyAlignment="0" applyProtection="0"/>
    <xf numFmtId="0" fontId="80" fillId="5" borderId="0" applyNumberFormat="0" applyBorder="0" applyAlignment="0" applyProtection="0"/>
    <xf numFmtId="0" fontId="2" fillId="8" borderId="0" applyNumberFormat="0" applyBorder="0" applyAlignment="0" applyProtection="0"/>
    <xf numFmtId="0" fontId="108" fillId="39" borderId="0" applyNumberFormat="0" applyBorder="0" applyAlignment="0" applyProtection="0"/>
    <xf numFmtId="0" fontId="80" fillId="8" borderId="0" applyNumberFormat="0" applyBorder="0" applyAlignment="0" applyProtection="0"/>
    <xf numFmtId="0" fontId="108" fillId="39" borderId="0" applyNumberFormat="0" applyBorder="0" applyAlignment="0" applyProtection="0"/>
    <xf numFmtId="0" fontId="2" fillId="8" borderId="0" applyNumberFormat="0" applyBorder="0" applyAlignment="0" applyProtection="0"/>
    <xf numFmtId="0" fontId="80" fillId="8" borderId="0" applyNumberFormat="0" applyBorder="0" applyAlignment="0" applyProtection="0"/>
    <xf numFmtId="0" fontId="2" fillId="11" borderId="0" applyNumberFormat="0" applyBorder="0" applyAlignment="0" applyProtection="0"/>
    <xf numFmtId="0" fontId="108" fillId="40" borderId="0" applyNumberFormat="0" applyBorder="0" applyAlignment="0" applyProtection="0"/>
    <xf numFmtId="0" fontId="80" fillId="11" borderId="0" applyNumberFormat="0" applyBorder="0" applyAlignment="0" applyProtection="0"/>
    <xf numFmtId="0" fontId="108" fillId="40" borderId="0" applyNumberFormat="0" applyBorder="0" applyAlignment="0" applyProtection="0"/>
    <xf numFmtId="0" fontId="2" fillId="11" borderId="0" applyNumberFormat="0" applyBorder="0" applyAlignment="0" applyProtection="0"/>
    <xf numFmtId="0" fontId="80" fillId="11" borderId="0" applyNumberFormat="0" applyBorder="0" applyAlignment="0" applyProtection="0"/>
    <xf numFmtId="0" fontId="3" fillId="12" borderId="0" applyNumberFormat="0" applyBorder="0" applyAlignment="0" applyProtection="0"/>
    <xf numFmtId="0" fontId="109" fillId="41" borderId="0" applyNumberFormat="0" applyBorder="0" applyAlignment="0" applyProtection="0"/>
    <xf numFmtId="0" fontId="90" fillId="12" borderId="0" applyNumberFormat="0" applyBorder="0" applyAlignment="0" applyProtection="0"/>
    <xf numFmtId="0" fontId="109" fillId="41" borderId="0" applyNumberFormat="0" applyBorder="0" applyAlignment="0" applyProtection="0"/>
    <xf numFmtId="0" fontId="3" fillId="12" borderId="0" applyNumberFormat="0" applyBorder="0" applyAlignment="0" applyProtection="0"/>
    <xf numFmtId="0" fontId="90" fillId="12" borderId="0" applyNumberFormat="0" applyBorder="0" applyAlignment="0" applyProtection="0"/>
    <xf numFmtId="0" fontId="3" fillId="9" borderId="0" applyNumberFormat="0" applyBorder="0" applyAlignment="0" applyProtection="0"/>
    <xf numFmtId="0" fontId="109" fillId="42" borderId="0" applyNumberFormat="0" applyBorder="0" applyAlignment="0" applyProtection="0"/>
    <xf numFmtId="0" fontId="90" fillId="9" borderId="0" applyNumberFormat="0" applyBorder="0" applyAlignment="0" applyProtection="0"/>
    <xf numFmtId="0" fontId="109" fillId="42" borderId="0" applyNumberFormat="0" applyBorder="0" applyAlignment="0" applyProtection="0"/>
    <xf numFmtId="0" fontId="3" fillId="9" borderId="0" applyNumberFormat="0" applyBorder="0" applyAlignment="0" applyProtection="0"/>
    <xf numFmtId="0" fontId="90" fillId="9" borderId="0" applyNumberFormat="0" applyBorder="0" applyAlignment="0" applyProtection="0"/>
    <xf numFmtId="0" fontId="3" fillId="10" borderId="0" applyNumberFormat="0" applyBorder="0" applyAlignment="0" applyProtection="0"/>
    <xf numFmtId="0" fontId="109" fillId="43" borderId="0" applyNumberFormat="0" applyBorder="0" applyAlignment="0" applyProtection="0"/>
    <xf numFmtId="0" fontId="90" fillId="10" borderId="0" applyNumberFormat="0" applyBorder="0" applyAlignment="0" applyProtection="0"/>
    <xf numFmtId="0" fontId="109" fillId="43" borderId="0" applyNumberFormat="0" applyBorder="0" applyAlignment="0" applyProtection="0"/>
    <xf numFmtId="0" fontId="3" fillId="10" borderId="0" applyNumberFormat="0" applyBorder="0" applyAlignment="0" applyProtection="0"/>
    <xf numFmtId="0" fontId="90" fillId="10" borderId="0" applyNumberFormat="0" applyBorder="0" applyAlignment="0" applyProtection="0"/>
    <xf numFmtId="0" fontId="3" fillId="13" borderId="0" applyNumberFormat="0" applyBorder="0" applyAlignment="0" applyProtection="0"/>
    <xf numFmtId="0" fontId="109" fillId="44" borderId="0" applyNumberFormat="0" applyBorder="0" applyAlignment="0" applyProtection="0"/>
    <xf numFmtId="0" fontId="90" fillId="13" borderId="0" applyNumberFormat="0" applyBorder="0" applyAlignment="0" applyProtection="0"/>
    <xf numFmtId="0" fontId="109" fillId="44" borderId="0" applyNumberFormat="0" applyBorder="0" applyAlignment="0" applyProtection="0"/>
    <xf numFmtId="0" fontId="3" fillId="13" borderId="0" applyNumberFormat="0" applyBorder="0" applyAlignment="0" applyProtection="0"/>
    <xf numFmtId="0" fontId="90" fillId="13" borderId="0" applyNumberFormat="0" applyBorder="0" applyAlignment="0" applyProtection="0"/>
    <xf numFmtId="0" fontId="3" fillId="14" borderId="0" applyNumberFormat="0" applyBorder="0" applyAlignment="0" applyProtection="0"/>
    <xf numFmtId="0" fontId="109" fillId="45" borderId="0" applyNumberFormat="0" applyBorder="0" applyAlignment="0" applyProtection="0"/>
    <xf numFmtId="0" fontId="90" fillId="14" borderId="0" applyNumberFormat="0" applyBorder="0" applyAlignment="0" applyProtection="0"/>
    <xf numFmtId="0" fontId="109" fillId="45" borderId="0" applyNumberFormat="0" applyBorder="0" applyAlignment="0" applyProtection="0"/>
    <xf numFmtId="0" fontId="3" fillId="14" borderId="0" applyNumberFormat="0" applyBorder="0" applyAlignment="0" applyProtection="0"/>
    <xf numFmtId="0" fontId="90" fillId="14" borderId="0" applyNumberFormat="0" applyBorder="0" applyAlignment="0" applyProtection="0"/>
    <xf numFmtId="0" fontId="3" fillId="15" borderId="0" applyNumberFormat="0" applyBorder="0" applyAlignment="0" applyProtection="0"/>
    <xf numFmtId="0" fontId="109" fillId="46" borderId="0" applyNumberFormat="0" applyBorder="0" applyAlignment="0" applyProtection="0"/>
    <xf numFmtId="0" fontId="90" fillId="15" borderId="0" applyNumberFormat="0" applyBorder="0" applyAlignment="0" applyProtection="0"/>
    <xf numFmtId="0" fontId="109" fillId="46" borderId="0" applyNumberFormat="0" applyBorder="0" applyAlignment="0" applyProtection="0"/>
    <xf numFmtId="0" fontId="3" fillId="15" borderId="0" applyNumberFormat="0" applyBorder="0" applyAlignment="0" applyProtection="0"/>
    <xf numFmtId="0" fontId="90" fillId="15" borderId="0" applyNumberFormat="0" applyBorder="0" applyAlignment="0" applyProtection="0"/>
    <xf numFmtId="0" fontId="3" fillId="16" borderId="0" applyNumberFormat="0" applyBorder="0" applyAlignment="0" applyProtection="0"/>
    <xf numFmtId="0" fontId="109" fillId="47" borderId="0" applyNumberFormat="0" applyBorder="0" applyAlignment="0" applyProtection="0"/>
    <xf numFmtId="0" fontId="90" fillId="16" borderId="0" applyNumberFormat="0" applyBorder="0" applyAlignment="0" applyProtection="0"/>
    <xf numFmtId="0" fontId="109" fillId="47" borderId="0" applyNumberFormat="0" applyBorder="0" applyAlignment="0" applyProtection="0"/>
    <xf numFmtId="0" fontId="3" fillId="16" borderId="0" applyNumberFormat="0" applyBorder="0" applyAlignment="0" applyProtection="0"/>
    <xf numFmtId="0" fontId="90" fillId="16" borderId="0" applyNumberFormat="0" applyBorder="0" applyAlignment="0" applyProtection="0"/>
    <xf numFmtId="0" fontId="3" fillId="17" borderId="0" applyNumberFormat="0" applyBorder="0" applyAlignment="0" applyProtection="0"/>
    <xf numFmtId="0" fontId="109" fillId="48" borderId="0" applyNumberFormat="0" applyBorder="0" applyAlignment="0" applyProtection="0"/>
    <xf numFmtId="0" fontId="90" fillId="17" borderId="0" applyNumberFormat="0" applyBorder="0" applyAlignment="0" applyProtection="0"/>
    <xf numFmtId="0" fontId="109" fillId="48" borderId="0" applyNumberFormat="0" applyBorder="0" applyAlignment="0" applyProtection="0"/>
    <xf numFmtId="0" fontId="3" fillId="17" borderId="0" applyNumberFormat="0" applyBorder="0" applyAlignment="0" applyProtection="0"/>
    <xf numFmtId="0" fontId="90" fillId="17" borderId="0" applyNumberFormat="0" applyBorder="0" applyAlignment="0" applyProtection="0"/>
    <xf numFmtId="0" fontId="3" fillId="18" borderId="0" applyNumberFormat="0" applyBorder="0" applyAlignment="0" applyProtection="0"/>
    <xf numFmtId="0" fontId="109" fillId="49" borderId="0" applyNumberFormat="0" applyBorder="0" applyAlignment="0" applyProtection="0"/>
    <xf numFmtId="0" fontId="90" fillId="18" borderId="0" applyNumberFormat="0" applyBorder="0" applyAlignment="0" applyProtection="0"/>
    <xf numFmtId="0" fontId="109" fillId="49" borderId="0" applyNumberFormat="0" applyBorder="0" applyAlignment="0" applyProtection="0"/>
    <xf numFmtId="0" fontId="3" fillId="18" borderId="0" applyNumberFormat="0" applyBorder="0" applyAlignment="0" applyProtection="0"/>
    <xf numFmtId="0" fontId="90" fillId="18" borderId="0" applyNumberFormat="0" applyBorder="0" applyAlignment="0" applyProtection="0"/>
    <xf numFmtId="0" fontId="3" fillId="13" borderId="0" applyNumberFormat="0" applyBorder="0" applyAlignment="0" applyProtection="0"/>
    <xf numFmtId="0" fontId="109" fillId="50" borderId="0" applyNumberFormat="0" applyBorder="0" applyAlignment="0" applyProtection="0"/>
    <xf numFmtId="0" fontId="90" fillId="13" borderId="0" applyNumberFormat="0" applyBorder="0" applyAlignment="0" applyProtection="0"/>
    <xf numFmtId="0" fontId="109" fillId="50" borderId="0" applyNumberFormat="0" applyBorder="0" applyAlignment="0" applyProtection="0"/>
    <xf numFmtId="0" fontId="3" fillId="13" borderId="0" applyNumberFormat="0" applyBorder="0" applyAlignment="0" applyProtection="0"/>
    <xf numFmtId="0" fontId="90" fillId="13" borderId="0" applyNumberFormat="0" applyBorder="0" applyAlignment="0" applyProtection="0"/>
    <xf numFmtId="0" fontId="3" fillId="14" borderId="0" applyNumberFormat="0" applyBorder="0" applyAlignment="0" applyProtection="0"/>
    <xf numFmtId="0" fontId="109" fillId="51" borderId="0" applyNumberFormat="0" applyBorder="0" applyAlignment="0" applyProtection="0"/>
    <xf numFmtId="0" fontId="90" fillId="14" borderId="0" applyNumberFormat="0" applyBorder="0" applyAlignment="0" applyProtection="0"/>
    <xf numFmtId="0" fontId="109" fillId="51" borderId="0" applyNumberFormat="0" applyBorder="0" applyAlignment="0" applyProtection="0"/>
    <xf numFmtId="0" fontId="3" fillId="14" borderId="0" applyNumberFormat="0" applyBorder="0" applyAlignment="0" applyProtection="0"/>
    <xf numFmtId="0" fontId="90" fillId="14" borderId="0" applyNumberFormat="0" applyBorder="0" applyAlignment="0" applyProtection="0"/>
    <xf numFmtId="0" fontId="3" fillId="19" borderId="0" applyNumberFormat="0" applyBorder="0" applyAlignment="0" applyProtection="0"/>
    <xf numFmtId="0" fontId="109" fillId="52" borderId="0" applyNumberFormat="0" applyBorder="0" applyAlignment="0" applyProtection="0"/>
    <xf numFmtId="0" fontId="90" fillId="19" borderId="0" applyNumberFormat="0" applyBorder="0" applyAlignment="0" applyProtection="0"/>
    <xf numFmtId="0" fontId="109" fillId="52" borderId="0" applyNumberFormat="0" applyBorder="0" applyAlignment="0" applyProtection="0"/>
    <xf numFmtId="0" fontId="3" fillId="19" borderId="0" applyNumberFormat="0" applyBorder="0" applyAlignment="0" applyProtection="0"/>
    <xf numFmtId="0" fontId="90" fillId="19" borderId="0" applyNumberFormat="0" applyBorder="0" applyAlignment="0" applyProtection="0"/>
    <xf numFmtId="0" fontId="4" fillId="3" borderId="0" applyNumberFormat="0" applyBorder="0" applyAlignment="0" applyProtection="0"/>
    <xf numFmtId="0" fontId="110" fillId="53" borderId="0" applyNumberFormat="0" applyBorder="0" applyAlignment="0" applyProtection="0"/>
    <xf numFmtId="0" fontId="91" fillId="3" borderId="0" applyNumberFormat="0" applyBorder="0" applyAlignment="0" applyProtection="0"/>
    <xf numFmtId="0" fontId="110" fillId="53" borderId="0" applyNumberFormat="0" applyBorder="0" applyAlignment="0" applyProtection="0"/>
    <xf numFmtId="0" fontId="4" fillId="3" borderId="0" applyNumberFormat="0" applyBorder="0" applyAlignment="0" applyProtection="0"/>
    <xf numFmtId="0" fontId="91" fillId="3" borderId="0" applyNumberFormat="0" applyBorder="0" applyAlignment="0" applyProtection="0"/>
    <xf numFmtId="169" fontId="5" fillId="0" borderId="0" applyFill="0"/>
    <xf numFmtId="169" fontId="5" fillId="0" borderId="0">
      <alignment horizontal="center"/>
    </xf>
    <xf numFmtId="0" fontId="5" fillId="0" borderId="0" applyFill="0">
      <alignment horizontal="center"/>
    </xf>
    <xf numFmtId="169" fontId="6" fillId="0" borderId="1" applyFill="0"/>
    <xf numFmtId="0" fontId="7" fillId="0" borderId="0" applyFont="0" applyAlignment="0"/>
    <xf numFmtId="0" fontId="7" fillId="0" borderId="0" applyFont="0" applyAlignment="0"/>
    <xf numFmtId="0" fontId="8" fillId="0" borderId="0" applyFill="0">
      <alignment vertical="top"/>
    </xf>
    <xf numFmtId="0" fontId="6" fillId="0" borderId="0" applyFill="0">
      <alignment horizontal="left" vertical="top"/>
    </xf>
    <xf numFmtId="169" fontId="9" fillId="0" borderId="2" applyFill="0"/>
    <xf numFmtId="0" fontId="7" fillId="0" borderId="0" applyNumberFormat="0" applyFont="0" applyAlignment="0"/>
    <xf numFmtId="0" fontId="7" fillId="0" borderId="0" applyNumberFormat="0" applyFont="0" applyAlignment="0"/>
    <xf numFmtId="0" fontId="8" fillId="0" borderId="0" applyFill="0">
      <alignment wrapText="1"/>
    </xf>
    <xf numFmtId="0" fontId="6" fillId="0" borderId="0" applyFill="0">
      <alignment horizontal="left" vertical="top" wrapText="1"/>
    </xf>
    <xf numFmtId="169" fontId="10" fillId="0" borderId="0" applyFill="0"/>
    <xf numFmtId="0" fontId="11" fillId="0" borderId="0" applyNumberFormat="0" applyFont="0" applyAlignment="0">
      <alignment horizontal="center"/>
    </xf>
    <xf numFmtId="0" fontId="12" fillId="0" borderId="0" applyFill="0">
      <alignment vertical="top" wrapText="1"/>
    </xf>
    <xf numFmtId="0" fontId="9" fillId="0" borderId="0" applyFill="0">
      <alignment horizontal="left" vertical="top" wrapText="1"/>
    </xf>
    <xf numFmtId="169" fontId="7" fillId="0" borderId="0" applyFill="0"/>
    <xf numFmtId="169" fontId="7" fillId="0" borderId="0" applyFill="0"/>
    <xf numFmtId="0" fontId="11" fillId="0" borderId="0" applyNumberFormat="0" applyFont="0" applyAlignment="0">
      <alignment horizontal="center"/>
    </xf>
    <xf numFmtId="0" fontId="13" fillId="0" borderId="0" applyFill="0">
      <alignment vertical="center" wrapText="1"/>
    </xf>
    <xf numFmtId="0" fontId="14" fillId="0" borderId="0">
      <alignment horizontal="left" vertical="center" wrapText="1"/>
    </xf>
    <xf numFmtId="169" fontId="15" fillId="0" borderId="0" applyFill="0"/>
    <xf numFmtId="0" fontId="11" fillId="0" borderId="0" applyNumberFormat="0" applyFont="0" applyAlignment="0">
      <alignment horizontal="center"/>
    </xf>
    <xf numFmtId="0" fontId="16" fillId="0" borderId="0" applyFill="0">
      <alignment horizontal="center" vertical="center" wrapText="1"/>
    </xf>
    <xf numFmtId="0" fontId="7" fillId="0" borderId="0" applyFill="0">
      <alignment horizontal="center" vertical="center" wrapText="1"/>
    </xf>
    <xf numFmtId="0" fontId="7" fillId="0" borderId="0" applyFill="0">
      <alignment horizontal="center" vertical="center" wrapText="1"/>
    </xf>
    <xf numFmtId="169" fontId="17" fillId="0" borderId="0" applyFill="0"/>
    <xf numFmtId="0" fontId="11" fillId="0" borderId="0" applyNumberFormat="0" applyFont="0" applyAlignment="0">
      <alignment horizontal="center"/>
    </xf>
    <xf numFmtId="0" fontId="18" fillId="0" borderId="0" applyFill="0">
      <alignment horizontal="center" vertical="center" wrapText="1"/>
    </xf>
    <xf numFmtId="0" fontId="19" fillId="0" borderId="0" applyFill="0">
      <alignment horizontal="center" vertical="center" wrapText="1"/>
    </xf>
    <xf numFmtId="169" fontId="20" fillId="0" borderId="0" applyFill="0"/>
    <xf numFmtId="0" fontId="11" fillId="0" borderId="0" applyNumberFormat="0" applyFont="0" applyAlignment="0">
      <alignment horizontal="center"/>
    </xf>
    <xf numFmtId="0" fontId="21" fillId="0" borderId="0">
      <alignment horizontal="center" wrapText="1"/>
    </xf>
    <xf numFmtId="0" fontId="17" fillId="0" borderId="0" applyFill="0">
      <alignment horizontal="center" wrapText="1"/>
    </xf>
    <xf numFmtId="0" fontId="22" fillId="20" borderId="3" applyNumberFormat="0" applyAlignment="0" applyProtection="0"/>
    <xf numFmtId="0" fontId="111" fillId="54" borderId="48" applyNumberFormat="0" applyAlignment="0" applyProtection="0"/>
    <xf numFmtId="0" fontId="92" fillId="20" borderId="3" applyNumberFormat="0" applyAlignment="0" applyProtection="0"/>
    <xf numFmtId="0" fontId="111" fillId="54" borderId="48" applyNumberFormat="0" applyAlignment="0" applyProtection="0"/>
    <xf numFmtId="0" fontId="22" fillId="20" borderId="3" applyNumberFormat="0" applyAlignment="0" applyProtection="0"/>
    <xf numFmtId="0" fontId="92" fillId="20" borderId="3" applyNumberFormat="0" applyAlignment="0" applyProtection="0"/>
    <xf numFmtId="0" fontId="23" fillId="21" borderId="4" applyNumberFormat="0" applyAlignment="0" applyProtection="0"/>
    <xf numFmtId="0" fontId="112" fillId="55" borderId="49" applyNumberFormat="0" applyAlignment="0" applyProtection="0"/>
    <xf numFmtId="0" fontId="93" fillId="21" borderId="4" applyNumberFormat="0" applyAlignment="0" applyProtection="0"/>
    <xf numFmtId="0" fontId="112" fillId="55" borderId="49" applyNumberFormat="0" applyAlignment="0" applyProtection="0"/>
    <xf numFmtId="0" fontId="23" fillId="21" borderId="4" applyNumberFormat="0" applyAlignment="0" applyProtection="0"/>
    <xf numFmtId="0" fontId="93" fillId="21" borderId="4" applyNumberFormat="0" applyAlignment="0" applyProtection="0"/>
    <xf numFmtId="43" fontId="1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0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5" fontId="7" fillId="0" borderId="0" applyFont="0" applyFill="0" applyBorder="0" applyAlignment="0" applyProtection="0"/>
    <xf numFmtId="178" fontId="102" fillId="0" borderId="0" applyFont="0" applyFill="0" applyBorder="0" applyAlignment="0" applyProtection="0"/>
    <xf numFmtId="178" fontId="102" fillId="0" borderId="0" applyFont="0" applyFill="0" applyBorder="0" applyAlignment="0" applyProtection="0"/>
    <xf numFmtId="5" fontId="7" fillId="0" borderId="0" applyFont="0" applyFill="0" applyBorder="0" applyAlignment="0" applyProtection="0"/>
    <xf numFmtId="178" fontId="102" fillId="0" borderId="0" applyFont="0" applyFill="0" applyBorder="0" applyAlignment="0" applyProtection="0"/>
    <xf numFmtId="5" fontId="7" fillId="0" borderId="0" applyFont="0" applyFill="0" applyBorder="0" applyAlignment="0" applyProtection="0"/>
    <xf numFmtId="5" fontId="7" fillId="0" borderId="0" applyFont="0" applyFill="0" applyBorder="0" applyAlignment="0" applyProtection="0"/>
    <xf numFmtId="178" fontId="102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102" fillId="0" borderId="0" applyFont="0" applyFill="0" applyBorder="0" applyAlignment="0" applyProtection="0"/>
    <xf numFmtId="0" fontId="102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102" fillId="0" borderId="0" applyFont="0" applyFill="0" applyBorder="0" applyAlignment="0" applyProtection="0"/>
    <xf numFmtId="14" fontId="7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10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2" fontId="7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102" fillId="0" borderId="0" applyFont="0" applyFill="0" applyBorder="0" applyAlignment="0" applyProtection="0"/>
    <xf numFmtId="0" fontId="25" fillId="4" borderId="0" applyNumberFormat="0" applyBorder="0" applyAlignment="0" applyProtection="0"/>
    <xf numFmtId="0" fontId="114" fillId="56" borderId="0" applyNumberFormat="0" applyBorder="0" applyAlignment="0" applyProtection="0"/>
    <xf numFmtId="0" fontId="95" fillId="4" borderId="0" applyNumberFormat="0" applyBorder="0" applyAlignment="0" applyProtection="0"/>
    <xf numFmtId="0" fontId="114" fillId="56" borderId="0" applyNumberFormat="0" applyBorder="0" applyAlignment="0" applyProtection="0"/>
    <xf numFmtId="0" fontId="25" fillId="4" borderId="0" applyNumberFormat="0" applyBorder="0" applyAlignment="0" applyProtection="0"/>
    <xf numFmtId="0" fontId="95" fillId="4" borderId="0" applyNumberFormat="0" applyBorder="0" applyAlignment="0" applyProtection="0"/>
    <xf numFmtId="0" fontId="26" fillId="0" borderId="0" applyFont="0" applyFill="0" applyBorder="0" applyAlignment="0" applyProtection="0"/>
    <xf numFmtId="0" fontId="115" fillId="0" borderId="50" applyNumberFormat="0" applyFill="0" applyAlignment="0" applyProtection="0"/>
    <xf numFmtId="0" fontId="104" fillId="0" borderId="0" applyNumberFormat="0" applyFill="0" applyBorder="0" applyAlignment="0" applyProtection="0"/>
    <xf numFmtId="0" fontId="115" fillId="0" borderId="50" applyNumberFormat="0" applyFill="0" applyAlignment="0" applyProtection="0"/>
    <xf numFmtId="0" fontId="26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9" fillId="0" borderId="0" applyFont="0" applyFill="0" applyBorder="0" applyAlignment="0" applyProtection="0"/>
    <xf numFmtId="0" fontId="116" fillId="0" borderId="51" applyNumberFormat="0" applyFill="0" applyAlignment="0" applyProtection="0"/>
    <xf numFmtId="0" fontId="105" fillId="0" borderId="0" applyNumberFormat="0" applyFill="0" applyBorder="0" applyAlignment="0" applyProtection="0"/>
    <xf numFmtId="0" fontId="116" fillId="0" borderId="51" applyNumberFormat="0" applyFill="0" applyAlignment="0" applyProtection="0"/>
    <xf numFmtId="0" fontId="9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27" fillId="0" borderId="5" applyNumberFormat="0" applyFill="0" applyAlignment="0" applyProtection="0"/>
    <xf numFmtId="0" fontId="117" fillId="0" borderId="52" applyNumberFormat="0" applyFill="0" applyAlignment="0" applyProtection="0"/>
    <xf numFmtId="0" fontId="96" fillId="0" borderId="5" applyNumberFormat="0" applyFill="0" applyAlignment="0" applyProtection="0"/>
    <xf numFmtId="0" fontId="117" fillId="0" borderId="52" applyNumberFormat="0" applyFill="0" applyAlignment="0" applyProtection="0"/>
    <xf numFmtId="0" fontId="27" fillId="0" borderId="5" applyNumberFormat="0" applyFill="0" applyAlignment="0" applyProtection="0"/>
    <xf numFmtId="0" fontId="96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28" fillId="0" borderId="6"/>
    <xf numFmtId="0" fontId="29" fillId="0" borderId="0"/>
    <xf numFmtId="0" fontId="30" fillId="7" borderId="3" applyNumberFormat="0" applyAlignment="0" applyProtection="0"/>
    <xf numFmtId="0" fontId="118" fillId="57" borderId="48" applyNumberFormat="0" applyAlignment="0" applyProtection="0"/>
    <xf numFmtId="0" fontId="97" fillId="7" borderId="3" applyNumberFormat="0" applyAlignment="0" applyProtection="0"/>
    <xf numFmtId="0" fontId="118" fillId="57" borderId="48" applyNumberFormat="0" applyAlignment="0" applyProtection="0"/>
    <xf numFmtId="0" fontId="30" fillId="7" borderId="3" applyNumberFormat="0" applyAlignment="0" applyProtection="0"/>
    <xf numFmtId="0" fontId="97" fillId="7" borderId="3" applyNumberFormat="0" applyAlignment="0" applyProtection="0"/>
    <xf numFmtId="0" fontId="31" fillId="0" borderId="7" applyNumberFormat="0" applyFill="0" applyAlignment="0" applyProtection="0"/>
    <xf numFmtId="0" fontId="119" fillId="0" borderId="53" applyNumberFormat="0" applyFill="0" applyAlignment="0" applyProtection="0"/>
    <xf numFmtId="0" fontId="98" fillId="0" borderId="7" applyNumberFormat="0" applyFill="0" applyAlignment="0" applyProtection="0"/>
    <xf numFmtId="0" fontId="119" fillId="0" borderId="53" applyNumberFormat="0" applyFill="0" applyAlignment="0" applyProtection="0"/>
    <xf numFmtId="0" fontId="31" fillId="0" borderId="7" applyNumberFormat="0" applyFill="0" applyAlignment="0" applyProtection="0"/>
    <xf numFmtId="0" fontId="98" fillId="0" borderId="7" applyNumberFormat="0" applyFill="0" applyAlignment="0" applyProtection="0"/>
    <xf numFmtId="179" fontId="81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106" fillId="0" borderId="0"/>
    <xf numFmtId="0" fontId="32" fillId="22" borderId="0" applyNumberFormat="0" applyBorder="0" applyAlignment="0" applyProtection="0"/>
    <xf numFmtId="0" fontId="120" fillId="58" borderId="0" applyNumberFormat="0" applyBorder="0" applyAlignment="0" applyProtection="0"/>
    <xf numFmtId="0" fontId="99" fillId="22" borderId="0" applyNumberFormat="0" applyBorder="0" applyAlignment="0" applyProtection="0"/>
    <xf numFmtId="0" fontId="120" fillId="58" borderId="0" applyNumberFormat="0" applyBorder="0" applyAlignment="0" applyProtection="0"/>
    <xf numFmtId="0" fontId="32" fillId="22" borderId="0" applyNumberFormat="0" applyBorder="0" applyAlignment="0" applyProtection="0"/>
    <xf numFmtId="0" fontId="99" fillId="22" borderId="0" applyNumberFormat="0" applyBorder="0" applyAlignment="0" applyProtection="0"/>
    <xf numFmtId="0" fontId="108" fillId="0" borderId="0"/>
    <xf numFmtId="0" fontId="35" fillId="0" borderId="0"/>
    <xf numFmtId="3" fontId="7" fillId="0" borderId="0"/>
    <xf numFmtId="3" fontId="7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3" fontId="7" fillId="0" borderId="0"/>
    <xf numFmtId="0" fontId="7" fillId="0" borderId="0"/>
    <xf numFmtId="0" fontId="35" fillId="0" borderId="0"/>
    <xf numFmtId="0" fontId="35" fillId="0" borderId="0"/>
    <xf numFmtId="0" fontId="108" fillId="0" borderId="0"/>
    <xf numFmtId="3" fontId="7" fillId="0" borderId="0"/>
    <xf numFmtId="3" fontId="7" fillId="0" borderId="0"/>
    <xf numFmtId="3" fontId="7" fillId="0" borderId="0"/>
    <xf numFmtId="0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0" fontId="7" fillId="0" borderId="0"/>
    <xf numFmtId="0" fontId="103" fillId="0" borderId="0"/>
    <xf numFmtId="0" fontId="7" fillId="0" borderId="0"/>
    <xf numFmtId="0" fontId="121" fillId="0" borderId="0"/>
    <xf numFmtId="0" fontId="103" fillId="0" borderId="0"/>
    <xf numFmtId="0" fontId="7" fillId="0" borderId="0"/>
    <xf numFmtId="0" fontId="7" fillId="0" borderId="0"/>
    <xf numFmtId="0" fontId="121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0" fontId="7" fillId="0" borderId="0"/>
    <xf numFmtId="0" fontId="7" fillId="0" borderId="0"/>
    <xf numFmtId="0" fontId="7" fillId="0" borderId="0"/>
    <xf numFmtId="0" fontId="103" fillId="0" borderId="0"/>
    <xf numFmtId="0" fontId="7" fillId="0" borderId="0"/>
    <xf numFmtId="0" fontId="103" fillId="0" borderId="0"/>
    <xf numFmtId="0" fontId="7" fillId="0" borderId="0"/>
    <xf numFmtId="3" fontId="7" fillId="0" borderId="0"/>
    <xf numFmtId="0" fontId="7" fillId="0" borderId="0"/>
    <xf numFmtId="3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3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7" fillId="0" borderId="0"/>
    <xf numFmtId="3" fontId="7" fillId="0" borderId="0"/>
    <xf numFmtId="0" fontId="7" fillId="0" borderId="0"/>
    <xf numFmtId="0" fontId="35" fillId="0" borderId="0"/>
    <xf numFmtId="0" fontId="7" fillId="0" borderId="0"/>
    <xf numFmtId="0" fontId="7" fillId="0" borderId="0"/>
    <xf numFmtId="0" fontId="35" fillId="0" borderId="0"/>
    <xf numFmtId="0" fontId="35" fillId="0" borderId="0"/>
    <xf numFmtId="3" fontId="7" fillId="0" borderId="0"/>
    <xf numFmtId="3" fontId="7" fillId="0" borderId="0"/>
    <xf numFmtId="0" fontId="7" fillId="0" borderId="0"/>
    <xf numFmtId="0" fontId="108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108" fillId="0" borderId="0"/>
    <xf numFmtId="0" fontId="7" fillId="0" borderId="0"/>
    <xf numFmtId="0" fontId="7" fillId="0" borderId="0"/>
    <xf numFmtId="0" fontId="108" fillId="0" borderId="0"/>
    <xf numFmtId="0" fontId="35" fillId="0" borderId="0"/>
    <xf numFmtId="0" fontId="7" fillId="0" borderId="0"/>
    <xf numFmtId="0" fontId="108" fillId="0" borderId="0"/>
    <xf numFmtId="0" fontId="35" fillId="0" borderId="0"/>
    <xf numFmtId="0" fontId="7" fillId="0" borderId="0"/>
    <xf numFmtId="169" fontId="33" fillId="0" borderId="0" applyProtection="0"/>
    <xf numFmtId="0" fontId="33" fillId="23" borderId="8" applyNumberFormat="0" applyFont="0" applyAlignment="0" applyProtection="0"/>
    <xf numFmtId="0" fontId="80" fillId="59" borderId="54" applyNumberFormat="0" applyFont="0" applyAlignment="0" applyProtection="0"/>
    <xf numFmtId="0" fontId="7" fillId="23" borderId="8" applyNumberFormat="0" applyFont="0" applyAlignment="0" applyProtection="0"/>
    <xf numFmtId="0" fontId="80" fillId="59" borderId="54" applyNumberFormat="0" applyFont="0" applyAlignment="0" applyProtection="0"/>
    <xf numFmtId="0" fontId="7" fillId="23" borderId="8" applyNumberFormat="0" applyFont="0" applyAlignment="0" applyProtection="0"/>
    <xf numFmtId="0" fontId="80" fillId="59" borderId="54" applyNumberFormat="0" applyFont="0" applyAlignment="0" applyProtection="0"/>
    <xf numFmtId="0" fontId="80" fillId="59" borderId="54" applyNumberFormat="0" applyFont="0" applyAlignment="0" applyProtection="0"/>
    <xf numFmtId="0" fontId="33" fillId="23" borderId="8" applyNumberFormat="0" applyFont="0" applyAlignment="0" applyProtection="0"/>
    <xf numFmtId="0" fontId="7" fillId="23" borderId="8" applyNumberFormat="0" applyFont="0" applyAlignment="0" applyProtection="0"/>
    <xf numFmtId="0" fontId="34" fillId="20" borderId="9" applyNumberFormat="0" applyAlignment="0" applyProtection="0"/>
    <xf numFmtId="0" fontId="122" fillId="54" borderId="55" applyNumberFormat="0" applyAlignment="0" applyProtection="0"/>
    <xf numFmtId="0" fontId="100" fillId="20" borderId="9" applyNumberFormat="0" applyAlignment="0" applyProtection="0"/>
    <xf numFmtId="0" fontId="122" fillId="54" borderId="55" applyNumberFormat="0" applyAlignment="0" applyProtection="0"/>
    <xf numFmtId="0" fontId="34" fillId="20" borderId="9" applyNumberFormat="0" applyAlignment="0" applyProtection="0"/>
    <xf numFmtId="0" fontId="100" fillId="20" borderId="9" applyNumberFormat="0" applyAlignment="0" applyProtection="0"/>
    <xf numFmtId="9" fontId="1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3" fontId="7" fillId="0" borderId="0">
      <alignment horizontal="left" vertical="top"/>
    </xf>
    <xf numFmtId="3" fontId="7" fillId="0" borderId="0">
      <alignment horizontal="left" vertical="top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3" fontId="7" fillId="0" borderId="0">
      <alignment horizontal="right" vertical="top"/>
    </xf>
    <xf numFmtId="3" fontId="7" fillId="0" borderId="0">
      <alignment horizontal="right" vertical="top"/>
    </xf>
    <xf numFmtId="41" fontId="14" fillId="25" borderId="10" applyFill="0"/>
    <xf numFmtId="0" fontId="37" fillId="0" borderId="0">
      <alignment horizontal="left" indent="7"/>
    </xf>
    <xf numFmtId="41" fontId="14" fillId="0" borderId="10" applyFill="0">
      <alignment horizontal="left" indent="2"/>
    </xf>
    <xf numFmtId="169" fontId="38" fillId="0" borderId="11" applyFill="0">
      <alignment horizontal="right"/>
    </xf>
    <xf numFmtId="0" fontId="39" fillId="0" borderId="12" applyNumberFormat="0" applyFont="0" applyBorder="0">
      <alignment horizontal="right"/>
    </xf>
    <xf numFmtId="0" fontId="40" fillId="0" borderId="0" applyFill="0"/>
    <xf numFmtId="0" fontId="9" fillId="0" borderId="0" applyFill="0"/>
    <xf numFmtId="4" fontId="38" fillId="0" borderId="11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2" fillId="0" borderId="0" applyFill="0">
      <alignment horizontal="left" indent="1"/>
    </xf>
    <xf numFmtId="0" fontId="41" fillId="0" borderId="0" applyFill="0">
      <alignment horizontal="left" indent="1"/>
    </xf>
    <xf numFmtId="4" fontId="15" fillId="0" borderId="0" applyFill="0"/>
    <xf numFmtId="0" fontId="7" fillId="0" borderId="0" applyNumberFormat="0" applyFont="0" applyFill="0" applyBorder="0" applyAlignment="0"/>
    <xf numFmtId="0" fontId="7" fillId="0" borderId="0" applyNumberFormat="0" applyFont="0" applyFill="0" applyBorder="0" applyAlignment="0"/>
    <xf numFmtId="0" fontId="12" fillId="0" borderId="0" applyFill="0">
      <alignment horizontal="left" indent="2"/>
    </xf>
    <xf numFmtId="0" fontId="9" fillId="0" borderId="0" applyFill="0">
      <alignment horizontal="left" indent="2"/>
    </xf>
    <xf numFmtId="4" fontId="15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42" fillId="0" borderId="0">
      <alignment horizontal="left" indent="3"/>
    </xf>
    <xf numFmtId="0" fontId="43" fillId="0" borderId="0" applyFill="0">
      <alignment horizontal="left" indent="3"/>
    </xf>
    <xf numFmtId="4" fontId="15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6" fillId="0" borderId="0">
      <alignment horizontal="left" indent="4"/>
    </xf>
    <xf numFmtId="0" fontId="7" fillId="0" borderId="0" applyFill="0">
      <alignment horizontal="left" indent="4"/>
    </xf>
    <xf numFmtId="0" fontId="7" fillId="0" borderId="0" applyFill="0">
      <alignment horizontal="left" indent="4"/>
    </xf>
    <xf numFmtId="4" fontId="17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8" fillId="0" borderId="0">
      <alignment horizontal="left" indent="5"/>
    </xf>
    <xf numFmtId="0" fontId="19" fillId="0" borderId="0" applyFill="0">
      <alignment horizontal="left" indent="5"/>
    </xf>
    <xf numFmtId="4" fontId="20" fillId="0" borderId="0" applyFill="0"/>
    <xf numFmtId="0" fontId="7" fillId="0" borderId="0" applyNumberFormat="0" applyFont="0" applyFill="0" applyBorder="0" applyAlignment="0"/>
    <xf numFmtId="0" fontId="7" fillId="0" borderId="0" applyNumberFormat="0" applyFont="0" applyFill="0" applyBorder="0" applyAlignment="0"/>
    <xf numFmtId="0" fontId="21" fillId="0" borderId="0" applyFill="0">
      <alignment horizontal="left" indent="6"/>
    </xf>
    <xf numFmtId="0" fontId="17" fillId="0" borderId="0" applyFill="0">
      <alignment horizontal="left" indent="6"/>
    </xf>
    <xf numFmtId="0" fontId="4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" fillId="0" borderId="0" applyFont="0" applyFill="0" applyBorder="0" applyAlignment="0" applyProtection="0"/>
    <xf numFmtId="0" fontId="124" fillId="0" borderId="56" applyNumberFormat="0" applyFill="0" applyAlignment="0" applyProtection="0"/>
    <xf numFmtId="0" fontId="102" fillId="0" borderId="1" applyNumberFormat="0" applyFont="0" applyFill="0" applyAlignment="0" applyProtection="0"/>
    <xf numFmtId="0" fontId="124" fillId="0" borderId="56" applyNumberFormat="0" applyFill="0" applyAlignment="0" applyProtection="0"/>
    <xf numFmtId="0" fontId="7" fillId="0" borderId="0" applyFont="0" applyFill="0" applyBorder="0" applyAlignment="0" applyProtection="0"/>
    <xf numFmtId="0" fontId="102" fillId="0" borderId="1" applyNumberFormat="0" applyFont="0" applyFill="0" applyAlignment="0" applyProtection="0"/>
    <xf numFmtId="0" fontId="102" fillId="0" borderId="1" applyNumberFormat="0" applyFont="0" applyFill="0" applyAlignment="0" applyProtection="0"/>
    <xf numFmtId="0" fontId="102" fillId="0" borderId="1" applyNumberFormat="0" applyFont="0" applyFill="0" applyAlignment="0" applyProtection="0"/>
    <xf numFmtId="0" fontId="4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1" fillId="0" borderId="0" applyNumberFormat="0" applyFill="0" applyBorder="0" applyAlignment="0" applyProtection="0"/>
  </cellStyleXfs>
  <cellXfs count="485">
    <xf numFmtId="0" fontId="0" fillId="0" borderId="0" xfId="0"/>
    <xf numFmtId="0" fontId="7" fillId="0" borderId="0" xfId="0" applyFont="1"/>
    <xf numFmtId="0" fontId="7" fillId="0" borderId="0" xfId="0" applyFont="1" applyAlignment="1">
      <alignment horizontal="center"/>
    </xf>
    <xf numFmtId="170" fontId="7" fillId="0" borderId="0" xfId="198" applyNumberFormat="1" applyFont="1"/>
    <xf numFmtId="0" fontId="47" fillId="0" borderId="0" xfId="0" applyFont="1"/>
    <xf numFmtId="0" fontId="0" fillId="0" borderId="0" xfId="0" applyAlignment="1">
      <alignment wrapText="1"/>
    </xf>
    <xf numFmtId="0" fontId="9" fillId="0" borderId="0" xfId="0" applyFont="1" applyAlignment="1">
      <alignment horizontal="left"/>
    </xf>
    <xf numFmtId="0" fontId="0" fillId="0" borderId="0" xfId="0" applyAlignment="1">
      <alignment horizontal="center"/>
    </xf>
    <xf numFmtId="10" fontId="7" fillId="0" borderId="0" xfId="0" applyNumberFormat="1" applyFont="1"/>
    <xf numFmtId="0" fontId="14" fillId="0" borderId="0" xfId="995" applyNumberFormat="1" applyFont="1" applyProtection="1">
      <protection locked="0"/>
    </xf>
    <xf numFmtId="0" fontId="6" fillId="0" borderId="0" xfId="0" applyFont="1"/>
    <xf numFmtId="0" fontId="7" fillId="0" borderId="0" xfId="0" applyFont="1" applyAlignment="1">
      <alignment wrapText="1"/>
    </xf>
    <xf numFmtId="170" fontId="7" fillId="0" borderId="0" xfId="0" applyNumberFormat="1" applyFont="1"/>
    <xf numFmtId="0" fontId="50" fillId="0" borderId="0" xfId="0" applyFont="1"/>
    <xf numFmtId="0" fontId="46" fillId="0" borderId="0" xfId="0" applyFont="1" applyAlignment="1">
      <alignment horizontal="right"/>
    </xf>
    <xf numFmtId="170" fontId="7" fillId="0" borderId="0" xfId="198" applyNumberFormat="1" applyFont="1" applyBorder="1"/>
    <xf numFmtId="0" fontId="39" fillId="0" borderId="0" xfId="0" applyFont="1" applyAlignment="1">
      <alignment horizontal="left"/>
    </xf>
    <xf numFmtId="0" fontId="51" fillId="27" borderId="0" xfId="198" applyNumberFormat="1" applyFont="1" applyFill="1" applyAlignment="1">
      <alignment horizontal="left"/>
    </xf>
    <xf numFmtId="0" fontId="39" fillId="0" borderId="17" xfId="0" applyFont="1" applyBorder="1"/>
    <xf numFmtId="0" fontId="7" fillId="0" borderId="17" xfId="0" applyFont="1" applyBorder="1"/>
    <xf numFmtId="170" fontId="39" fillId="0" borderId="18" xfId="198" applyNumberFormat="1" applyFont="1" applyBorder="1"/>
    <xf numFmtId="0" fontId="14" fillId="0" borderId="0" xfId="198" applyNumberFormat="1" applyFont="1" applyFill="1" applyAlignment="1">
      <alignment horizontal="left"/>
    </xf>
    <xf numFmtId="0" fontId="14" fillId="0" borderId="0" xfId="198" applyNumberFormat="1" applyFont="1" applyFill="1" applyBorder="1" applyAlignment="1">
      <alignment horizontal="left"/>
    </xf>
    <xf numFmtId="0" fontId="9" fillId="0" borderId="0" xfId="198" applyNumberFormat="1" applyFont="1" applyFill="1" applyBorder="1" applyAlignment="1">
      <alignment horizontal="left"/>
    </xf>
    <xf numFmtId="170" fontId="39" fillId="0" borderId="19" xfId="198" applyNumberFormat="1" applyFont="1" applyBorder="1"/>
    <xf numFmtId="0" fontId="39" fillId="0" borderId="0" xfId="0" applyFont="1"/>
    <xf numFmtId="170" fontId="39" fillId="0" borderId="15" xfId="198" applyNumberFormat="1" applyFont="1" applyBorder="1"/>
    <xf numFmtId="170" fontId="7" fillId="0" borderId="6" xfId="198" applyNumberFormat="1" applyFont="1" applyBorder="1"/>
    <xf numFmtId="170" fontId="7" fillId="0" borderId="16" xfId="198" applyNumberFormat="1" applyFont="1" applyBorder="1"/>
    <xf numFmtId="0" fontId="53" fillId="0" borderId="0" xfId="0" applyFont="1"/>
    <xf numFmtId="0" fontId="39" fillId="0" borderId="20" xfId="0" applyFont="1" applyBorder="1" applyAlignment="1">
      <alignment horizontal="center"/>
    </xf>
    <xf numFmtId="0" fontId="39" fillId="0" borderId="21" xfId="0" applyFont="1" applyBorder="1" applyAlignment="1">
      <alignment horizontal="center"/>
    </xf>
    <xf numFmtId="0" fontId="39" fillId="0" borderId="22" xfId="0" applyFont="1" applyBorder="1" applyAlignment="1">
      <alignment horizontal="center"/>
    </xf>
    <xf numFmtId="0" fontId="39" fillId="0" borderId="0" xfId="0" applyFont="1" applyAlignment="1">
      <alignment horizontal="center"/>
    </xf>
    <xf numFmtId="0" fontId="7" fillId="0" borderId="13" xfId="0" applyFont="1" applyBorder="1"/>
    <xf numFmtId="170" fontId="54" fillId="27" borderId="14" xfId="198" applyNumberFormat="1" applyFont="1" applyFill="1" applyBorder="1" applyAlignment="1">
      <alignment horizontal="right"/>
    </xf>
    <xf numFmtId="0" fontId="39" fillId="0" borderId="18" xfId="0" applyFont="1" applyBorder="1" applyAlignment="1">
      <alignment horizontal="center"/>
    </xf>
    <xf numFmtId="0" fontId="54" fillId="27" borderId="14" xfId="0" applyFont="1" applyFill="1" applyBorder="1" applyAlignment="1">
      <alignment horizontal="right"/>
    </xf>
    <xf numFmtId="170" fontId="7" fillId="0" borderId="14" xfId="0" applyNumberFormat="1" applyFont="1" applyBorder="1" applyAlignment="1">
      <alignment horizontal="right"/>
    </xf>
    <xf numFmtId="170" fontId="7" fillId="0" borderId="0" xfId="0" applyNumberFormat="1" applyFont="1" applyAlignment="1">
      <alignment horizontal="right"/>
    </xf>
    <xf numFmtId="10" fontId="7" fillId="0" borderId="14" xfId="0" applyNumberFormat="1" applyFont="1" applyBorder="1"/>
    <xf numFmtId="170" fontId="7" fillId="0" borderId="14" xfId="198" applyNumberFormat="1" applyFont="1" applyBorder="1"/>
    <xf numFmtId="0" fontId="39" fillId="0" borderId="23" xfId="0" applyFont="1" applyBorder="1" applyAlignment="1">
      <alignment horizontal="center"/>
    </xf>
    <xf numFmtId="170" fontId="39" fillId="0" borderId="23" xfId="198" applyNumberFormat="1" applyFont="1" applyBorder="1" applyAlignment="1">
      <alignment horizontal="center"/>
    </xf>
    <xf numFmtId="0" fontId="39" fillId="0" borderId="24" xfId="0" applyFont="1" applyBorder="1" applyAlignment="1">
      <alignment horizontal="center"/>
    </xf>
    <xf numFmtId="170" fontId="39" fillId="0" borderId="23" xfId="198" applyNumberFormat="1" applyFont="1" applyBorder="1" applyAlignment="1">
      <alignment horizontal="center" wrapText="1"/>
    </xf>
    <xf numFmtId="0" fontId="39" fillId="0" borderId="25" xfId="0" applyFont="1" applyBorder="1" applyAlignment="1">
      <alignment horizontal="center"/>
    </xf>
    <xf numFmtId="170" fontId="39" fillId="0" borderId="16" xfId="198" applyNumberFormat="1" applyFont="1" applyBorder="1" applyAlignment="1">
      <alignment horizontal="center"/>
    </xf>
    <xf numFmtId="170" fontId="39" fillId="0" borderId="25" xfId="198" applyNumberFormat="1" applyFont="1" applyBorder="1" applyAlignment="1">
      <alignment horizontal="center"/>
    </xf>
    <xf numFmtId="170" fontId="39" fillId="0" borderId="15" xfId="198" applyNumberFormat="1" applyFont="1" applyBorder="1" applyAlignment="1">
      <alignment horizontal="center"/>
    </xf>
    <xf numFmtId="0" fontId="7" fillId="0" borderId="24" xfId="0" applyFont="1" applyBorder="1" applyAlignment="1">
      <alignment horizontal="center"/>
    </xf>
    <xf numFmtId="170" fontId="7" fillId="0" borderId="23" xfId="198" applyNumberFormat="1" applyFont="1" applyBorder="1"/>
    <xf numFmtId="171" fontId="7" fillId="0" borderId="14" xfId="0" applyNumberFormat="1" applyFont="1" applyBorder="1"/>
    <xf numFmtId="171" fontId="7" fillId="0" borderId="23" xfId="0" applyNumberFormat="1" applyFont="1" applyBorder="1"/>
    <xf numFmtId="171" fontId="7" fillId="0" borderId="24" xfId="0" applyNumberFormat="1" applyFont="1" applyBorder="1"/>
    <xf numFmtId="170" fontId="7" fillId="0" borderId="24" xfId="0" applyNumberFormat="1" applyFont="1" applyBorder="1"/>
    <xf numFmtId="170" fontId="1" fillId="0" borderId="24" xfId="198" applyNumberFormat="1" applyBorder="1"/>
    <xf numFmtId="170" fontId="7" fillId="0" borderId="24" xfId="198" applyNumberFormat="1" applyFont="1" applyBorder="1"/>
    <xf numFmtId="170" fontId="7" fillId="0" borderId="24" xfId="198" applyNumberFormat="1" applyFont="1" applyFill="1" applyBorder="1"/>
    <xf numFmtId="0" fontId="7" fillId="0" borderId="25" xfId="0" applyFont="1" applyBorder="1" applyAlignment="1">
      <alignment horizontal="center"/>
    </xf>
    <xf numFmtId="170" fontId="7" fillId="0" borderId="25" xfId="0" applyNumberFormat="1" applyFont="1" applyBorder="1"/>
    <xf numFmtId="170" fontId="1" fillId="0" borderId="25" xfId="198" applyNumberFormat="1" applyBorder="1"/>
    <xf numFmtId="170" fontId="7" fillId="0" borderId="25" xfId="198" applyNumberFormat="1" applyFont="1" applyFill="1" applyBorder="1"/>
    <xf numFmtId="171" fontId="7" fillId="0" borderId="16" xfId="0" applyNumberFormat="1" applyFont="1" applyBorder="1"/>
    <xf numFmtId="171" fontId="7" fillId="0" borderId="25" xfId="0" applyNumberFormat="1" applyFont="1" applyBorder="1"/>
    <xf numFmtId="171" fontId="7" fillId="0" borderId="0" xfId="0" applyNumberFormat="1" applyFont="1"/>
    <xf numFmtId="170" fontId="55" fillId="0" borderId="0" xfId="0" applyNumberFormat="1" applyFont="1" applyAlignment="1">
      <alignment horizontal="left"/>
    </xf>
    <xf numFmtId="0" fontId="9" fillId="0" borderId="0" xfId="0" applyFont="1"/>
    <xf numFmtId="170" fontId="39" fillId="0" borderId="0" xfId="198" applyNumberFormat="1" applyFont="1" applyBorder="1"/>
    <xf numFmtId="170" fontId="7" fillId="0" borderId="14" xfId="0" applyNumberFormat="1" applyFont="1" applyBorder="1"/>
    <xf numFmtId="170" fontId="39" fillId="0" borderId="11" xfId="198" applyNumberFormat="1" applyFont="1" applyBorder="1"/>
    <xf numFmtId="170" fontId="7" fillId="0" borderId="19" xfId="0" applyNumberFormat="1" applyFont="1" applyBorder="1"/>
    <xf numFmtId="0" fontId="7" fillId="0" borderId="15" xfId="0" applyFont="1" applyBorder="1"/>
    <xf numFmtId="170" fontId="39" fillId="0" borderId="6" xfId="198" applyNumberFormat="1" applyFont="1" applyFill="1" applyBorder="1" applyAlignment="1">
      <alignment horizontal="left"/>
    </xf>
    <xf numFmtId="170" fontId="39" fillId="0" borderId="16" xfId="198" applyNumberFormat="1" applyFont="1" applyFill="1" applyBorder="1" applyAlignment="1">
      <alignment horizontal="left"/>
    </xf>
    <xf numFmtId="0" fontId="7" fillId="0" borderId="20" xfId="0" applyFont="1" applyBorder="1" applyAlignment="1">
      <alignment horizontal="center"/>
    </xf>
    <xf numFmtId="0" fontId="0" fillId="0" borderId="21" xfId="0" applyBorder="1"/>
    <xf numFmtId="0" fontId="7" fillId="0" borderId="6" xfId="0" applyFont="1" applyBorder="1" applyAlignment="1">
      <alignment horizontal="center"/>
    </xf>
    <xf numFmtId="0" fontId="0" fillId="0" borderId="6" xfId="0" applyBorder="1"/>
    <xf numFmtId="0" fontId="39" fillId="0" borderId="23" xfId="0" applyFont="1" applyBorder="1" applyAlignment="1">
      <alignment horizontal="center" wrapText="1"/>
    </xf>
    <xf numFmtId="170" fontId="39" fillId="0" borderId="0" xfId="198" applyNumberFormat="1" applyFont="1" applyBorder="1" applyAlignment="1">
      <alignment horizontal="center" wrapText="1"/>
    </xf>
    <xf numFmtId="0" fontId="39" fillId="0" borderId="24" xfId="0" applyFont="1" applyBorder="1" applyAlignment="1">
      <alignment horizontal="center" wrapText="1"/>
    </xf>
    <xf numFmtId="0" fontId="39" fillId="0" borderId="6" xfId="0" applyFont="1" applyBorder="1" applyAlignment="1">
      <alignment horizontal="center"/>
    </xf>
    <xf numFmtId="170" fontId="7" fillId="0" borderId="23" xfId="0" applyNumberFormat="1" applyFont="1" applyBorder="1"/>
    <xf numFmtId="170" fontId="7" fillId="0" borderId="6" xfId="0" applyNumberFormat="1" applyFont="1" applyBorder="1"/>
    <xf numFmtId="0" fontId="55" fillId="0" borderId="0" xfId="0" applyFont="1"/>
    <xf numFmtId="0" fontId="58" fillId="0" borderId="0" xfId="0" applyFont="1"/>
    <xf numFmtId="170" fontId="7" fillId="0" borderId="14" xfId="198" applyNumberFormat="1" applyFont="1" applyFill="1" applyBorder="1" applyAlignment="1">
      <alignment horizontal="right"/>
    </xf>
    <xf numFmtId="0" fontId="7" fillId="0" borderId="14" xfId="0" applyFont="1" applyBorder="1" applyAlignment="1">
      <alignment horizontal="right"/>
    </xf>
    <xf numFmtId="0" fontId="7" fillId="0" borderId="16" xfId="0" applyFont="1" applyBorder="1" applyAlignment="1">
      <alignment horizontal="right"/>
    </xf>
    <xf numFmtId="0" fontId="52" fillId="27" borderId="0" xfId="0" applyFont="1" applyFill="1" applyAlignment="1">
      <alignment horizontal="left"/>
    </xf>
    <xf numFmtId="0" fontId="39" fillId="0" borderId="21" xfId="0" applyFont="1" applyBorder="1"/>
    <xf numFmtId="0" fontId="61" fillId="28" borderId="21" xfId="0" applyFont="1" applyFill="1" applyBorder="1" applyAlignment="1">
      <alignment horizontal="center"/>
    </xf>
    <xf numFmtId="0" fontId="39" fillId="0" borderId="0" xfId="0" quotePrefix="1" applyFont="1" applyAlignment="1">
      <alignment horizontal="left"/>
    </xf>
    <xf numFmtId="0" fontId="46" fillId="0" borderId="0" xfId="0" applyFont="1" applyAlignment="1">
      <alignment horizontal="center"/>
    </xf>
    <xf numFmtId="0" fontId="0" fillId="0" borderId="22" xfId="0" applyBorder="1"/>
    <xf numFmtId="0" fontId="68" fillId="0" borderId="0" xfId="0" quotePrefix="1" applyFont="1" applyAlignment="1">
      <alignment horizontal="left"/>
    </xf>
    <xf numFmtId="0" fontId="68" fillId="0" borderId="0" xfId="0" applyFont="1"/>
    <xf numFmtId="0" fontId="69" fillId="0" borderId="0" xfId="0" applyFont="1"/>
    <xf numFmtId="0" fontId="7" fillId="0" borderId="0" xfId="0" applyFont="1" applyAlignment="1">
      <alignment horizontal="left"/>
    </xf>
    <xf numFmtId="0" fontId="50" fillId="0" borderId="0" xfId="0" quotePrefix="1" applyFont="1" applyAlignment="1">
      <alignment horizontal="left"/>
    </xf>
    <xf numFmtId="0" fontId="46" fillId="0" borderId="0" xfId="0" quotePrefix="1" applyFont="1" applyAlignment="1">
      <alignment horizontal="center"/>
    </xf>
    <xf numFmtId="171" fontId="46" fillId="0" borderId="0" xfId="0" quotePrefix="1" applyNumberFormat="1" applyFont="1" applyAlignment="1">
      <alignment horizontal="center"/>
    </xf>
    <xf numFmtId="0" fontId="52" fillId="0" borderId="0" xfId="0" applyFont="1" applyAlignment="1">
      <alignment horizontal="left"/>
    </xf>
    <xf numFmtId="0" fontId="55" fillId="0" borderId="0" xfId="0" quotePrefix="1" applyFont="1" applyAlignment="1">
      <alignment horizontal="left"/>
    </xf>
    <xf numFmtId="0" fontId="67" fillId="0" borderId="0" xfId="0" applyFont="1" applyAlignment="1">
      <alignment horizontal="right"/>
    </xf>
    <xf numFmtId="168" fontId="7" fillId="0" borderId="24" xfId="198" applyNumberFormat="1" applyFont="1" applyFill="1" applyBorder="1"/>
    <xf numFmtId="168" fontId="7" fillId="0" borderId="14" xfId="198" applyNumberFormat="1" applyFont="1" applyFill="1" applyBorder="1"/>
    <xf numFmtId="170" fontId="7" fillId="0" borderId="14" xfId="198" applyNumberFormat="1" applyFont="1" applyFill="1" applyBorder="1"/>
    <xf numFmtId="170" fontId="7" fillId="0" borderId="16" xfId="198" applyNumberFormat="1" applyFont="1" applyFill="1" applyBorder="1"/>
    <xf numFmtId="170" fontId="39" fillId="27" borderId="25" xfId="198" applyNumberFormat="1" applyFont="1" applyFill="1" applyBorder="1" applyAlignment="1">
      <alignment horizontal="center"/>
    </xf>
    <xf numFmtId="170" fontId="39" fillId="27" borderId="16" xfId="198" applyNumberFormat="1" applyFont="1" applyFill="1" applyBorder="1" applyAlignment="1">
      <alignment horizontal="center"/>
    </xf>
    <xf numFmtId="171" fontId="54" fillId="0" borderId="23" xfId="0" applyNumberFormat="1" applyFont="1" applyBorder="1"/>
    <xf numFmtId="171" fontId="54" fillId="0" borderId="24" xfId="0" applyNumberFormat="1" applyFont="1" applyBorder="1"/>
    <xf numFmtId="170" fontId="7" fillId="0" borderId="13" xfId="198" quotePrefix="1" applyNumberFormat="1" applyFont="1" applyBorder="1" applyAlignment="1">
      <alignment horizontal="right"/>
    </xf>
    <xf numFmtId="0" fontId="7" fillId="0" borderId="15" xfId="0" quotePrefix="1" applyFont="1" applyBorder="1" applyAlignment="1">
      <alignment horizontal="right"/>
    </xf>
    <xf numFmtId="0" fontId="55" fillId="0" borderId="23" xfId="0" applyFont="1" applyBorder="1"/>
    <xf numFmtId="170" fontId="55" fillId="0" borderId="25" xfId="198" applyNumberFormat="1" applyFont="1" applyBorder="1"/>
    <xf numFmtId="0" fontId="57" fillId="0" borderId="28" xfId="198" applyNumberFormat="1" applyFont="1" applyFill="1" applyBorder="1" applyAlignment="1">
      <alignment horizontal="left"/>
    </xf>
    <xf numFmtId="170" fontId="7" fillId="0" borderId="29" xfId="198" quotePrefix="1" applyNumberFormat="1" applyFont="1" applyBorder="1" applyAlignment="1">
      <alignment horizontal="right"/>
    </xf>
    <xf numFmtId="0" fontId="39" fillId="0" borderId="30" xfId="0" applyFont="1" applyBorder="1" applyAlignment="1">
      <alignment horizontal="center"/>
    </xf>
    <xf numFmtId="169" fontId="7" fillId="0" borderId="31" xfId="995" applyFont="1" applyBorder="1" applyAlignment="1" applyProtection="1">
      <alignment horizontal="center"/>
      <protection locked="0"/>
    </xf>
    <xf numFmtId="3" fontId="7" fillId="0" borderId="32" xfId="995" applyNumberFormat="1" applyFont="1" applyBorder="1" applyAlignment="1" applyProtection="1">
      <alignment horizontal="center"/>
      <protection locked="0"/>
    </xf>
    <xf numFmtId="0" fontId="39" fillId="0" borderId="26" xfId="0" quotePrefix="1" applyFont="1" applyBorder="1" applyAlignment="1">
      <alignment horizontal="left"/>
    </xf>
    <xf numFmtId="0" fontId="39" fillId="0" borderId="13" xfId="0" quotePrefix="1" applyFont="1" applyBorder="1" applyAlignment="1">
      <alignment horizontal="left"/>
    </xf>
    <xf numFmtId="169" fontId="7" fillId="0" borderId="31" xfId="995" quotePrefix="1" applyFont="1" applyBorder="1" applyAlignment="1" applyProtection="1">
      <alignment horizontal="center"/>
      <protection locked="0"/>
    </xf>
    <xf numFmtId="170" fontId="39" fillId="0" borderId="23" xfId="198" quotePrefix="1" applyNumberFormat="1" applyFont="1" applyBorder="1" applyAlignment="1">
      <alignment horizontal="center" wrapText="1"/>
    </xf>
    <xf numFmtId="0" fontId="52" fillId="0" borderId="0" xfId="0" quotePrefix="1" applyFont="1" applyAlignment="1">
      <alignment horizontal="left"/>
    </xf>
    <xf numFmtId="171" fontId="54" fillId="27" borderId="23" xfId="0" applyNumberFormat="1" applyFont="1" applyFill="1" applyBorder="1"/>
    <xf numFmtId="171" fontId="54" fillId="27" borderId="24" xfId="0" applyNumberFormat="1" applyFont="1" applyFill="1" applyBorder="1"/>
    <xf numFmtId="171" fontId="54" fillId="27" borderId="25" xfId="0" applyNumberFormat="1" applyFont="1" applyFill="1" applyBorder="1"/>
    <xf numFmtId="0" fontId="39" fillId="0" borderId="23" xfId="0" quotePrefix="1" applyFont="1" applyBorder="1" applyAlignment="1">
      <alignment horizontal="center" wrapText="1"/>
    </xf>
    <xf numFmtId="0" fontId="55" fillId="0" borderId="0" xfId="0" applyFont="1" applyAlignment="1">
      <alignment horizontal="left"/>
    </xf>
    <xf numFmtId="170" fontId="54" fillId="27" borderId="0" xfId="0" applyNumberFormat="1" applyFont="1" applyFill="1"/>
    <xf numFmtId="170" fontId="54" fillId="27" borderId="23" xfId="198" applyNumberFormat="1" applyFont="1" applyFill="1" applyBorder="1"/>
    <xf numFmtId="170" fontId="54" fillId="27" borderId="14" xfId="198" applyNumberFormat="1" applyFont="1" applyFill="1" applyBorder="1"/>
    <xf numFmtId="170" fontId="54" fillId="27" borderId="24" xfId="198" applyNumberFormat="1" applyFont="1" applyFill="1" applyBorder="1"/>
    <xf numFmtId="170" fontId="54" fillId="27" borderId="24" xfId="0" applyNumberFormat="1" applyFont="1" applyFill="1" applyBorder="1"/>
    <xf numFmtId="168" fontId="54" fillId="27" borderId="24" xfId="198" applyNumberFormat="1" applyFont="1" applyFill="1" applyBorder="1"/>
    <xf numFmtId="168" fontId="54" fillId="27" borderId="14" xfId="198" applyNumberFormat="1" applyFont="1" applyFill="1" applyBorder="1"/>
    <xf numFmtId="170" fontId="54" fillId="27" borderId="23" xfId="0" applyNumberFormat="1" applyFont="1" applyFill="1" applyBorder="1"/>
    <xf numFmtId="171" fontId="54" fillId="0" borderId="14" xfId="0" applyNumberFormat="1" applyFont="1" applyBorder="1"/>
    <xf numFmtId="0" fontId="53" fillId="0" borderId="0" xfId="0" quotePrefix="1" applyFont="1"/>
    <xf numFmtId="170" fontId="53" fillId="0" borderId="0" xfId="0" applyNumberFormat="1" applyFont="1" applyAlignment="1">
      <alignment horizontal="left"/>
    </xf>
    <xf numFmtId="170" fontId="79" fillId="27" borderId="24" xfId="198" applyNumberFormat="1" applyFont="1" applyFill="1" applyBorder="1"/>
    <xf numFmtId="170" fontId="7" fillId="27" borderId="0" xfId="0" applyNumberFormat="1" applyFont="1" applyFill="1"/>
    <xf numFmtId="170" fontId="1" fillId="27" borderId="24" xfId="198" applyNumberFormat="1" applyFill="1" applyBorder="1"/>
    <xf numFmtId="170" fontId="7" fillId="27" borderId="24" xfId="0" applyNumberFormat="1" applyFont="1" applyFill="1" applyBorder="1"/>
    <xf numFmtId="170" fontId="7" fillId="27" borderId="24" xfId="198" applyNumberFormat="1" applyFont="1" applyFill="1" applyBorder="1"/>
    <xf numFmtId="170" fontId="7" fillId="27" borderId="14" xfId="198" applyNumberFormat="1" applyFont="1" applyFill="1" applyBorder="1"/>
    <xf numFmtId="170" fontId="87" fillId="27" borderId="14" xfId="198" applyNumberFormat="1" applyFont="1" applyFill="1" applyBorder="1"/>
    <xf numFmtId="170" fontId="87" fillId="27" borderId="24" xfId="0" applyNumberFormat="1" applyFont="1" applyFill="1" applyBorder="1"/>
    <xf numFmtId="170" fontId="87" fillId="27" borderId="24" xfId="198" applyNumberFormat="1" applyFont="1" applyFill="1" applyBorder="1"/>
    <xf numFmtId="171" fontId="87" fillId="0" borderId="14" xfId="0" applyNumberFormat="1" applyFont="1" applyBorder="1"/>
    <xf numFmtId="171" fontId="88" fillId="0" borderId="24" xfId="0" applyNumberFormat="1" applyFont="1" applyBorder="1"/>
    <xf numFmtId="170" fontId="39" fillId="0" borderId="25" xfId="198" applyNumberFormat="1" applyFont="1" applyFill="1" applyBorder="1" applyAlignment="1">
      <alignment horizontal="center"/>
    </xf>
    <xf numFmtId="170" fontId="39" fillId="0" borderId="16" xfId="198" applyNumberFormat="1" applyFont="1" applyFill="1" applyBorder="1" applyAlignment="1">
      <alignment horizontal="center"/>
    </xf>
    <xf numFmtId="170" fontId="39" fillId="0" borderId="18" xfId="349" applyNumberFormat="1" applyFont="1" applyFill="1" applyBorder="1" applyAlignment="1">
      <alignment horizontal="center" wrapText="1"/>
    </xf>
    <xf numFmtId="170" fontId="39" fillId="0" borderId="18" xfId="349" applyNumberFormat="1" applyFont="1" applyBorder="1" applyAlignment="1">
      <alignment horizontal="center" wrapText="1"/>
    </xf>
    <xf numFmtId="170" fontId="7" fillId="0" borderId="23" xfId="285" applyNumberFormat="1" applyFont="1" applyBorder="1"/>
    <xf numFmtId="0" fontId="14" fillId="0" borderId="0" xfId="0" applyFont="1" applyAlignment="1">
      <alignment horizontal="center"/>
    </xf>
    <xf numFmtId="3" fontId="14" fillId="0" borderId="0" xfId="0" quotePrefix="1" applyNumberFormat="1" applyFont="1" applyAlignment="1">
      <alignment horizontal="center"/>
    </xf>
    <xf numFmtId="169" fontId="14" fillId="0" borderId="0" xfId="995" applyFont="1" applyProtection="1"/>
    <xf numFmtId="49" fontId="73" fillId="0" borderId="0" xfId="995" applyNumberFormat="1" applyFont="1" applyAlignment="1" applyProtection="1">
      <alignment horizontal="center"/>
    </xf>
    <xf numFmtId="3" fontId="6" fillId="0" borderId="0" xfId="0" applyNumberFormat="1" applyFont="1" applyAlignment="1">
      <alignment horizontal="center"/>
    </xf>
    <xf numFmtId="3" fontId="6" fillId="0" borderId="0" xfId="0" quotePrefix="1" applyNumberFormat="1" applyFont="1" applyAlignment="1">
      <alignment horizont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39" fillId="0" borderId="11" xfId="0" applyFont="1" applyBorder="1" applyAlignment="1">
      <alignment horizontal="centerContinuous"/>
    </xf>
    <xf numFmtId="0" fontId="53" fillId="0" borderId="0" xfId="0" quotePrefix="1" applyFont="1" applyAlignment="1">
      <alignment horizontal="left"/>
    </xf>
    <xf numFmtId="0" fontId="39" fillId="0" borderId="11" xfId="0" quotePrefix="1" applyFont="1" applyBorder="1" applyAlignment="1">
      <alignment horizontal="centerContinuous"/>
    </xf>
    <xf numFmtId="0" fontId="65" fillId="0" borderId="0" xfId="0" quotePrefix="1" applyFont="1" applyAlignment="1">
      <alignment horizontal="centerContinuous"/>
    </xf>
    <xf numFmtId="0" fontId="65" fillId="0" borderId="11" xfId="0" applyFont="1" applyBorder="1" applyAlignment="1">
      <alignment horizontal="centerContinuous"/>
    </xf>
    <xf numFmtId="0" fontId="74" fillId="0" borderId="0" xfId="0" applyFont="1"/>
    <xf numFmtId="0" fontId="65" fillId="0" borderId="0" xfId="0" applyFont="1" applyAlignment="1">
      <alignment horizontal="center" wrapText="1"/>
    </xf>
    <xf numFmtId="0" fontId="65" fillId="0" borderId="0" xfId="0" applyFont="1" applyAlignment="1">
      <alignment horizontal="center"/>
    </xf>
    <xf numFmtId="0" fontId="65" fillId="0" borderId="0" xfId="0" quotePrefix="1" applyFont="1" applyAlignment="1">
      <alignment horizontal="center" wrapText="1"/>
    </xf>
    <xf numFmtId="0" fontId="0" fillId="0" borderId="38" xfId="0" applyBorder="1" applyAlignment="1">
      <alignment wrapText="1"/>
    </xf>
    <xf numFmtId="0" fontId="0" fillId="0" borderId="24" xfId="0" applyBorder="1"/>
    <xf numFmtId="0" fontId="0" fillId="0" borderId="0" xfId="0" quotePrefix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/>
    </xf>
    <xf numFmtId="170" fontId="1" fillId="0" borderId="0" xfId="198" applyNumberFormat="1" applyFont="1" applyFill="1" applyAlignment="1" applyProtection="1">
      <alignment vertical="center"/>
    </xf>
    <xf numFmtId="170" fontId="1" fillId="0" borderId="0" xfId="198" applyNumberFormat="1" applyFill="1" applyAlignment="1" applyProtection="1">
      <alignment vertical="center"/>
    </xf>
    <xf numFmtId="170" fontId="7" fillId="0" borderId="0" xfId="202" applyNumberFormat="1" applyFont="1" applyFill="1" applyAlignment="1" applyProtection="1">
      <alignment vertical="center"/>
    </xf>
    <xf numFmtId="170" fontId="64" fillId="27" borderId="0" xfId="198" applyNumberFormat="1" applyFont="1" applyFill="1" applyAlignment="1" applyProtection="1">
      <alignment vertical="center"/>
    </xf>
    <xf numFmtId="170" fontId="1" fillId="0" borderId="0" xfId="198" applyNumberFormat="1" applyAlignment="1" applyProtection="1">
      <alignment vertical="center"/>
    </xf>
    <xf numFmtId="170" fontId="39" fillId="0" borderId="0" xfId="198" applyNumberFormat="1" applyFont="1" applyAlignment="1" applyProtection="1">
      <alignment horizontal="center" vertical="center"/>
    </xf>
    <xf numFmtId="170" fontId="0" fillId="0" borderId="24" xfId="0" applyNumberFormat="1" applyBorder="1" applyAlignment="1">
      <alignment vertical="center"/>
    </xf>
    <xf numFmtId="170" fontId="39" fillId="0" borderId="0" xfId="198" applyNumberFormat="1" applyFont="1" applyAlignment="1" applyProtection="1">
      <alignment vertical="center"/>
    </xf>
    <xf numFmtId="0" fontId="0" fillId="0" borderId="0" xfId="0" applyAlignment="1">
      <alignment vertical="center" wrapText="1"/>
    </xf>
    <xf numFmtId="170" fontId="1" fillId="0" borderId="0" xfId="198" applyNumberFormat="1" applyFont="1" applyAlignment="1" applyProtection="1">
      <alignment vertical="center"/>
    </xf>
    <xf numFmtId="0" fontId="1" fillId="0" borderId="0" xfId="0" applyFont="1" applyAlignment="1">
      <alignment vertical="center" wrapText="1"/>
    </xf>
    <xf numFmtId="0" fontId="7" fillId="0" borderId="0" xfId="0" quotePrefix="1" applyFont="1" applyAlignment="1">
      <alignment horizontal="center" vertical="center"/>
    </xf>
    <xf numFmtId="170" fontId="1" fillId="0" borderId="0" xfId="198" applyNumberFormat="1" applyBorder="1" applyAlignment="1" applyProtection="1">
      <alignment vertical="center"/>
    </xf>
    <xf numFmtId="170" fontId="39" fillId="0" borderId="0" xfId="198" applyNumberFormat="1" applyFont="1" applyBorder="1" applyAlignment="1" applyProtection="1">
      <alignment vertical="center"/>
    </xf>
    <xf numFmtId="171" fontId="39" fillId="0" borderId="0" xfId="622" applyNumberFormat="1" applyFont="1" applyAlignment="1" applyProtection="1">
      <alignment vertical="center"/>
    </xf>
    <xf numFmtId="170" fontId="39" fillId="0" borderId="24" xfId="0" applyNumberFormat="1" applyFont="1" applyBorder="1"/>
    <xf numFmtId="0" fontId="64" fillId="0" borderId="0" xfId="0" quotePrefix="1" applyFont="1" applyAlignment="1">
      <alignment horizontal="left"/>
    </xf>
    <xf numFmtId="0" fontId="7" fillId="0" borderId="0" xfId="0" applyFont="1" applyAlignment="1">
      <alignment vertical="center"/>
    </xf>
    <xf numFmtId="170" fontId="75" fillId="0" borderId="0" xfId="198" applyNumberFormat="1" applyFont="1" applyAlignment="1" applyProtection="1">
      <alignment horizontal="center" vertical="center"/>
    </xf>
    <xf numFmtId="43" fontId="77" fillId="0" borderId="0" xfId="198" applyFont="1" applyAlignment="1" applyProtection="1">
      <alignment horizontal="left" vertical="center"/>
    </xf>
    <xf numFmtId="43" fontId="78" fillId="0" borderId="0" xfId="198" applyFont="1" applyAlignment="1" applyProtection="1">
      <alignment vertical="center"/>
    </xf>
    <xf numFmtId="43" fontId="1" fillId="0" borderId="0" xfId="198" applyAlignment="1" applyProtection="1">
      <alignment vertical="center"/>
    </xf>
    <xf numFmtId="170" fontId="0" fillId="0" borderId="25" xfId="0" applyNumberFormat="1" applyBorder="1"/>
    <xf numFmtId="0" fontId="0" fillId="0" borderId="0" xfId="0" quotePrefix="1" applyAlignment="1">
      <alignment horizontal="left" vertical="center"/>
    </xf>
    <xf numFmtId="13" fontId="5" fillId="0" borderId="0" xfId="0" applyNumberFormat="1" applyFont="1" applyAlignment="1">
      <alignment horizontal="center" vertical="center"/>
    </xf>
    <xf numFmtId="170" fontId="64" fillId="27" borderId="0" xfId="0" applyNumberFormat="1" applyFont="1" applyFill="1" applyAlignment="1">
      <alignment vertical="center"/>
    </xf>
    <xf numFmtId="177" fontId="1" fillId="0" borderId="0" xfId="198" applyNumberFormat="1" applyAlignment="1" applyProtection="1">
      <alignment vertical="center"/>
    </xf>
    <xf numFmtId="170" fontId="1" fillId="0" borderId="0" xfId="198" applyNumberFormat="1" applyProtection="1"/>
    <xf numFmtId="43" fontId="1" fillId="0" borderId="0" xfId="198" applyProtection="1"/>
    <xf numFmtId="170" fontId="0" fillId="0" borderId="0" xfId="0" applyNumberFormat="1"/>
    <xf numFmtId="0" fontId="0" fillId="0" borderId="33" xfId="0" applyBorder="1"/>
    <xf numFmtId="0" fontId="0" fillId="0" borderId="2" xfId="0" applyBorder="1"/>
    <xf numFmtId="170" fontId="1" fillId="0" borderId="2" xfId="198" applyNumberFormat="1" applyBorder="1" applyProtection="1"/>
    <xf numFmtId="0" fontId="0" fillId="0" borderId="27" xfId="0" applyBorder="1"/>
    <xf numFmtId="0" fontId="0" fillId="0" borderId="34" xfId="0" applyBorder="1"/>
    <xf numFmtId="0" fontId="0" fillId="0" borderId="35" xfId="0" applyBorder="1" applyAlignment="1">
      <alignment horizontal="center"/>
    </xf>
    <xf numFmtId="0" fontId="0" fillId="0" borderId="36" xfId="0" applyBorder="1"/>
    <xf numFmtId="0" fontId="0" fillId="0" borderId="11" xfId="0" applyBorder="1"/>
    <xf numFmtId="170" fontId="1" fillId="0" borderId="11" xfId="198" applyNumberFormat="1" applyBorder="1" applyProtection="1"/>
    <xf numFmtId="0" fontId="0" fillId="0" borderId="37" xfId="0" applyBorder="1"/>
    <xf numFmtId="0" fontId="0" fillId="0" borderId="0" xfId="0" quotePrefix="1" applyAlignment="1">
      <alignment horizontal="left"/>
    </xf>
    <xf numFmtId="0" fontId="0" fillId="0" borderId="0" xfId="0" quotePrefix="1" applyAlignment="1">
      <alignment horizontal="center"/>
    </xf>
    <xf numFmtId="170" fontId="0" fillId="0" borderId="0" xfId="198" applyNumberFormat="1" applyFont="1" applyProtection="1"/>
    <xf numFmtId="170" fontId="0" fillId="0" borderId="0" xfId="202" applyNumberFormat="1" applyFont="1" applyProtection="1"/>
    <xf numFmtId="170" fontId="0" fillId="0" borderId="0" xfId="1013" applyNumberFormat="1" applyFont="1" applyProtection="1"/>
    <xf numFmtId="171" fontId="0" fillId="0" borderId="0" xfId="622" applyNumberFormat="1" applyFont="1" applyProtection="1"/>
    <xf numFmtId="170" fontId="7" fillId="0" borderId="0" xfId="198" applyNumberFormat="1" applyFont="1" applyProtection="1"/>
    <xf numFmtId="41" fontId="0" fillId="0" borderId="0" xfId="0" applyNumberFormat="1"/>
    <xf numFmtId="3" fontId="0" fillId="0" borderId="0" xfId="0" applyNumberFormat="1"/>
    <xf numFmtId="0" fontId="7" fillId="0" borderId="0" xfId="995" applyNumberFormat="1" applyFont="1" applyProtection="1"/>
    <xf numFmtId="3" fontId="7" fillId="0" borderId="0" xfId="995" applyNumberFormat="1" applyFont="1" applyProtection="1"/>
    <xf numFmtId="10" fontId="7" fillId="0" borderId="0" xfId="995" applyNumberFormat="1" applyFont="1" applyProtection="1"/>
    <xf numFmtId="166" fontId="7" fillId="0" borderId="0" xfId="995" applyNumberFormat="1" applyFont="1" applyProtection="1"/>
    <xf numFmtId="43" fontId="7" fillId="0" borderId="0" xfId="198" applyFont="1" applyAlignment="1" applyProtection="1"/>
    <xf numFmtId="169" fontId="7" fillId="0" borderId="0" xfId="995" applyFont="1" applyProtection="1"/>
    <xf numFmtId="0" fontId="7" fillId="28" borderId="0" xfId="198" applyNumberFormat="1" applyFont="1" applyFill="1" applyAlignment="1" applyProtection="1"/>
    <xf numFmtId="10" fontId="7" fillId="0" borderId="0" xfId="995" applyNumberFormat="1" applyFont="1" applyAlignment="1" applyProtection="1">
      <alignment horizontal="right"/>
    </xf>
    <xf numFmtId="3" fontId="39" fillId="0" borderId="0" xfId="995" applyNumberFormat="1" applyFont="1" applyProtection="1"/>
    <xf numFmtId="3" fontId="48" fillId="0" borderId="0" xfId="995" applyNumberFormat="1" applyFont="1" applyAlignment="1" applyProtection="1">
      <alignment horizontal="center"/>
    </xf>
    <xf numFmtId="10" fontId="48" fillId="0" borderId="0" xfId="995" applyNumberFormat="1" applyFont="1" applyAlignment="1" applyProtection="1">
      <alignment horizontal="center"/>
    </xf>
    <xf numFmtId="0" fontId="7" fillId="0" borderId="0" xfId="995" applyNumberFormat="1" applyFont="1" applyAlignment="1" applyProtection="1">
      <alignment horizontal="right"/>
    </xf>
    <xf numFmtId="10" fontId="0" fillId="0" borderId="0" xfId="0" applyNumberFormat="1" applyAlignment="1">
      <alignment horizontal="center"/>
    </xf>
    <xf numFmtId="166" fontId="7" fillId="0" borderId="0" xfId="995" applyNumberFormat="1" applyFont="1" applyAlignment="1" applyProtection="1">
      <alignment horizontal="center"/>
    </xf>
    <xf numFmtId="167" fontId="7" fillId="0" borderId="0" xfId="995" applyNumberFormat="1" applyFont="1" applyProtection="1"/>
    <xf numFmtId="165" fontId="7" fillId="0" borderId="0" xfId="995" applyNumberFormat="1" applyFont="1" applyAlignment="1" applyProtection="1">
      <alignment horizontal="center"/>
    </xf>
    <xf numFmtId="169" fontId="7" fillId="0" borderId="13" xfId="995" applyFont="1" applyBorder="1" applyProtection="1"/>
    <xf numFmtId="0" fontId="7" fillId="0" borderId="0" xfId="995" applyNumberFormat="1" applyFont="1" applyAlignment="1" applyProtection="1">
      <alignment horizontal="center"/>
    </xf>
    <xf numFmtId="3" fontId="7" fillId="0" borderId="14" xfId="995" applyNumberFormat="1" applyFont="1" applyBorder="1" applyProtection="1"/>
    <xf numFmtId="41" fontId="7" fillId="0" borderId="0" xfId="995" applyNumberFormat="1" applyFont="1" applyProtection="1"/>
    <xf numFmtId="41" fontId="7" fillId="0" borderId="0" xfId="995" applyNumberFormat="1" applyFont="1" applyAlignment="1" applyProtection="1">
      <alignment horizontal="center"/>
    </xf>
    <xf numFmtId="0" fontId="0" fillId="0" borderId="13" xfId="0" applyBorder="1"/>
    <xf numFmtId="0" fontId="0" fillId="0" borderId="14" xfId="0" applyBorder="1"/>
    <xf numFmtId="167" fontId="48" fillId="0" borderId="0" xfId="995" applyNumberFormat="1" applyFont="1" applyProtection="1"/>
    <xf numFmtId="165" fontId="15" fillId="0" borderId="15" xfId="995" applyNumberFormat="1" applyFont="1" applyBorder="1" applyAlignment="1" applyProtection="1">
      <alignment horizontal="center"/>
    </xf>
    <xf numFmtId="0" fontId="7" fillId="28" borderId="6" xfId="995" applyNumberFormat="1" applyFont="1" applyFill="1" applyBorder="1" applyAlignment="1" applyProtection="1">
      <alignment horizontal="center"/>
    </xf>
    <xf numFmtId="170" fontId="7" fillId="0" borderId="6" xfId="995" applyNumberFormat="1" applyFont="1" applyBorder="1" applyAlignment="1" applyProtection="1">
      <alignment horizontal="center"/>
    </xf>
    <xf numFmtId="171" fontId="0" fillId="0" borderId="16" xfId="0" applyNumberFormat="1" applyBorder="1"/>
    <xf numFmtId="3" fontId="7" fillId="0" borderId="0" xfId="995" applyNumberFormat="1" applyFont="1" applyAlignment="1" applyProtection="1">
      <alignment horizontal="right"/>
    </xf>
    <xf numFmtId="0" fontId="63" fillId="0" borderId="0" xfId="0" applyFont="1" applyAlignment="1">
      <alignment horizontal="center"/>
    </xf>
    <xf numFmtId="10" fontId="7" fillId="0" borderId="0" xfId="995" applyNumberFormat="1" applyFont="1" applyAlignment="1" applyProtection="1">
      <alignment horizontal="left"/>
    </xf>
    <xf numFmtId="41" fontId="7" fillId="0" borderId="0" xfId="995" quotePrefix="1" applyNumberFormat="1" applyFont="1" applyProtection="1"/>
    <xf numFmtId="41" fontId="7" fillId="0" borderId="0" xfId="995" applyNumberFormat="1" applyFont="1" applyAlignment="1" applyProtection="1">
      <alignment horizontal="right"/>
    </xf>
    <xf numFmtId="172" fontId="7" fillId="0" borderId="11" xfId="995" applyNumberFormat="1" applyFont="1" applyBorder="1" applyProtection="1"/>
    <xf numFmtId="164" fontId="7" fillId="0" borderId="0" xfId="995" applyNumberFormat="1" applyFont="1" applyAlignment="1" applyProtection="1">
      <alignment horizontal="left"/>
    </xf>
    <xf numFmtId="3" fontId="7" fillId="0" borderId="0" xfId="995" applyNumberFormat="1" applyFont="1" applyAlignment="1" applyProtection="1">
      <alignment vertical="center" wrapText="1"/>
    </xf>
    <xf numFmtId="41" fontId="7" fillId="0" borderId="0" xfId="995" applyNumberFormat="1" applyFont="1" applyAlignment="1" applyProtection="1">
      <alignment vertical="center"/>
    </xf>
    <xf numFmtId="41" fontId="7" fillId="0" borderId="0" xfId="995" applyNumberFormat="1" applyFont="1" applyAlignment="1" applyProtection="1">
      <alignment horizontal="center" vertical="center"/>
    </xf>
    <xf numFmtId="41" fontId="7" fillId="0" borderId="0" xfId="0" applyNumberFormat="1" applyFont="1"/>
    <xf numFmtId="3" fontId="14" fillId="0" borderId="0" xfId="995" applyNumberFormat="1" applyFont="1" applyProtection="1"/>
    <xf numFmtId="3" fontId="14" fillId="0" borderId="0" xfId="995" applyNumberFormat="1" applyFont="1" applyAlignment="1" applyProtection="1">
      <alignment horizontal="center"/>
    </xf>
    <xf numFmtId="41" fontId="14" fillId="0" borderId="0" xfId="995" applyNumberFormat="1" applyFont="1" applyProtection="1"/>
    <xf numFmtId="0" fontId="14" fillId="0" borderId="0" xfId="995" applyNumberFormat="1" applyFont="1" applyProtection="1"/>
    <xf numFmtId="3" fontId="7" fillId="0" borderId="0" xfId="995" applyNumberFormat="1" applyFont="1" applyAlignment="1" applyProtection="1">
      <alignment horizontal="center"/>
    </xf>
    <xf numFmtId="41" fontId="7" fillId="0" borderId="11" xfId="995" applyNumberFormat="1" applyFont="1" applyBorder="1" applyProtection="1"/>
    <xf numFmtId="3" fontId="7" fillId="0" borderId="0" xfId="995" quotePrefix="1" applyNumberFormat="1" applyFont="1" applyProtection="1"/>
    <xf numFmtId="3" fontId="39" fillId="0" borderId="0" xfId="995" applyNumberFormat="1" applyFont="1" applyAlignment="1" applyProtection="1">
      <alignment horizontal="right"/>
    </xf>
    <xf numFmtId="167" fontId="39" fillId="0" borderId="0" xfId="995" applyNumberFormat="1" applyFont="1" applyProtection="1"/>
    <xf numFmtId="3" fontId="39" fillId="0" borderId="0" xfId="995" quotePrefix="1" applyNumberFormat="1" applyFont="1" applyProtection="1"/>
    <xf numFmtId="170" fontId="7" fillId="0" borderId="0" xfId="198" applyNumberFormat="1" applyFont="1" applyFill="1" applyBorder="1" applyProtection="1"/>
    <xf numFmtId="41" fontId="48" fillId="0" borderId="0" xfId="995" applyNumberFormat="1" applyFont="1" applyProtection="1"/>
    <xf numFmtId="41" fontId="7" fillId="0" borderId="11" xfId="0" applyNumberFormat="1" applyFont="1" applyBorder="1"/>
    <xf numFmtId="41" fontId="48" fillId="0" borderId="0" xfId="0" applyNumberFormat="1" applyFont="1"/>
    <xf numFmtId="170" fontId="7" fillId="0" borderId="0" xfId="198" applyNumberFormat="1" applyFont="1" applyFill="1" applyProtection="1"/>
    <xf numFmtId="10" fontId="7" fillId="0" borderId="11" xfId="0" applyNumberFormat="1" applyFont="1" applyBorder="1"/>
    <xf numFmtId="9" fontId="7" fillId="0" borderId="11" xfId="1011" applyFont="1" applyFill="1" applyBorder="1" applyProtection="1"/>
    <xf numFmtId="170" fontId="7" fillId="0" borderId="11" xfId="198" applyNumberFormat="1" applyFont="1" applyFill="1" applyBorder="1" applyAlignment="1" applyProtection="1"/>
    <xf numFmtId="10" fontId="48" fillId="0" borderId="0" xfId="0" applyNumberFormat="1" applyFont="1"/>
    <xf numFmtId="170" fontId="7" fillId="0" borderId="11" xfId="198" applyNumberFormat="1" applyFont="1" applyFill="1" applyBorder="1" applyProtection="1"/>
    <xf numFmtId="175" fontId="7" fillId="0" borderId="0" xfId="0" applyNumberFormat="1" applyFont="1"/>
    <xf numFmtId="43" fontId="7" fillId="0" borderId="0" xfId="198" applyFont="1" applyProtection="1"/>
    <xf numFmtId="170" fontId="7" fillId="0" borderId="0" xfId="198" applyNumberFormat="1" applyFont="1" applyBorder="1" applyProtection="1"/>
    <xf numFmtId="0" fontId="65" fillId="0" borderId="0" xfId="0" quotePrefix="1" applyFont="1" applyAlignment="1">
      <alignment horizontal="left"/>
    </xf>
    <xf numFmtId="0" fontId="66" fillId="0" borderId="0" xfId="0" quotePrefix="1" applyFont="1" applyAlignment="1">
      <alignment horizontal="left"/>
    </xf>
    <xf numFmtId="0" fontId="7" fillId="0" borderId="26" xfId="0" quotePrefix="1" applyFont="1" applyBorder="1" applyAlignment="1">
      <alignment horizontal="left"/>
    </xf>
    <xf numFmtId="0" fontId="0" fillId="0" borderId="39" xfId="0" quotePrefix="1" applyBorder="1" applyAlignment="1">
      <alignment horizontal="left"/>
    </xf>
    <xf numFmtId="0" fontId="54" fillId="0" borderId="43" xfId="0" applyFont="1" applyBorder="1"/>
    <xf numFmtId="0" fontId="106" fillId="0" borderId="14" xfId="0" applyFont="1" applyBorder="1"/>
    <xf numFmtId="10" fontId="54" fillId="0" borderId="43" xfId="0" applyNumberFormat="1" applyFont="1" applyBorder="1"/>
    <xf numFmtId="170" fontId="54" fillId="0" borderId="43" xfId="274" applyNumberFormat="1" applyFont="1" applyBorder="1" applyProtection="1"/>
    <xf numFmtId="0" fontId="106" fillId="0" borderId="41" xfId="0" applyFont="1" applyBorder="1"/>
    <xf numFmtId="166" fontId="54" fillId="0" borderId="43" xfId="0" applyNumberFormat="1" applyFont="1" applyBorder="1"/>
    <xf numFmtId="0" fontId="106" fillId="0" borderId="42" xfId="0" applyFont="1" applyBorder="1"/>
    <xf numFmtId="41" fontId="54" fillId="0" borderId="43" xfId="0" applyNumberFormat="1" applyFont="1" applyBorder="1"/>
    <xf numFmtId="3" fontId="7" fillId="0" borderId="45" xfId="880" applyNumberFormat="1" applyBorder="1"/>
    <xf numFmtId="10" fontId="54" fillId="0" borderId="13" xfId="0" applyNumberFormat="1" applyFont="1" applyBorder="1"/>
    <xf numFmtId="0" fontId="7" fillId="0" borderId="14" xfId="880" applyBorder="1"/>
    <xf numFmtId="41" fontId="54" fillId="0" borderId="13" xfId="0" applyNumberFormat="1" applyFont="1" applyBorder="1"/>
    <xf numFmtId="0" fontId="7" fillId="0" borderId="19" xfId="880" applyBorder="1"/>
    <xf numFmtId="170" fontId="54" fillId="0" borderId="44" xfId="0" applyNumberFormat="1" applyFont="1" applyBorder="1"/>
    <xf numFmtId="0" fontId="54" fillId="0" borderId="46" xfId="0" applyFont="1" applyBorder="1"/>
    <xf numFmtId="0" fontId="54" fillId="0" borderId="16" xfId="0" applyFont="1" applyBorder="1"/>
    <xf numFmtId="170" fontId="54" fillId="0" borderId="23" xfId="0" applyNumberFormat="1" applyFont="1" applyBorder="1"/>
    <xf numFmtId="170" fontId="54" fillId="0" borderId="24" xfId="0" applyNumberFormat="1" applyFont="1" applyBorder="1"/>
    <xf numFmtId="171" fontId="54" fillId="0" borderId="25" xfId="0" applyNumberFormat="1" applyFont="1" applyBorder="1"/>
    <xf numFmtId="0" fontId="7" fillId="26" borderId="0" xfId="198" applyNumberFormat="1" applyFont="1" applyFill="1" applyAlignment="1" applyProtection="1"/>
    <xf numFmtId="0" fontId="7" fillId="0" borderId="0" xfId="198" applyNumberFormat="1" applyFont="1" applyFill="1" applyAlignment="1" applyProtection="1"/>
    <xf numFmtId="169" fontId="15" fillId="0" borderId="26" xfId="995" applyFont="1" applyBorder="1" applyProtection="1"/>
    <xf numFmtId="169" fontId="7" fillId="0" borderId="17" xfId="995" applyFont="1" applyBorder="1" applyProtection="1"/>
    <xf numFmtId="3" fontId="7" fillId="0" borderId="18" xfId="995" applyNumberFormat="1" applyFont="1" applyBorder="1" applyProtection="1"/>
    <xf numFmtId="0" fontId="7" fillId="28" borderId="0" xfId="995" applyNumberFormat="1" applyFont="1" applyFill="1" applyAlignment="1" applyProtection="1">
      <alignment horizontal="center"/>
    </xf>
    <xf numFmtId="0" fontId="0" fillId="0" borderId="0" xfId="0" applyAlignment="1">
      <alignment horizontal="right"/>
    </xf>
    <xf numFmtId="171" fontId="0" fillId="0" borderId="0" xfId="0" applyNumberFormat="1"/>
    <xf numFmtId="171" fontId="0" fillId="0" borderId="14" xfId="0" applyNumberFormat="1" applyBorder="1"/>
    <xf numFmtId="171" fontId="0" fillId="0" borderId="6" xfId="0" applyNumberFormat="1" applyBorder="1"/>
    <xf numFmtId="170" fontId="0" fillId="0" borderId="18" xfId="0" applyNumberFormat="1" applyBorder="1"/>
    <xf numFmtId="173" fontId="7" fillId="0" borderId="0" xfId="995" applyNumberFormat="1" applyFont="1" applyProtection="1"/>
    <xf numFmtId="165" fontId="7" fillId="0" borderId="15" xfId="995" applyNumberFormat="1" applyFont="1" applyBorder="1" applyAlignment="1" applyProtection="1">
      <alignment horizontal="center"/>
    </xf>
    <xf numFmtId="0" fontId="7" fillId="0" borderId="6" xfId="995" applyNumberFormat="1" applyFont="1" applyBorder="1" applyAlignment="1" applyProtection="1">
      <alignment horizontal="center"/>
    </xf>
    <xf numFmtId="170" fontId="7" fillId="0" borderId="6" xfId="995" quotePrefix="1" applyNumberFormat="1" applyFont="1" applyBorder="1" applyAlignment="1" applyProtection="1">
      <alignment horizontal="center"/>
    </xf>
    <xf numFmtId="174" fontId="7" fillId="0" borderId="0" xfId="995" applyNumberFormat="1" applyFont="1" applyAlignment="1" applyProtection="1">
      <alignment horizontal="center"/>
    </xf>
    <xf numFmtId="176" fontId="7" fillId="0" borderId="0" xfId="995" applyNumberFormat="1" applyFont="1" applyAlignment="1" applyProtection="1">
      <alignment horizontal="center" vertical="center"/>
    </xf>
    <xf numFmtId="41" fontId="48" fillId="0" borderId="11" xfId="995" applyNumberFormat="1" applyFont="1" applyBorder="1" applyProtection="1"/>
    <xf numFmtId="9" fontId="7" fillId="0" borderId="0" xfId="1011" applyFont="1" applyFill="1" applyBorder="1" applyProtection="1"/>
    <xf numFmtId="170" fontId="7" fillId="0" borderId="0" xfId="198" applyNumberFormat="1" applyFont="1" applyFill="1" applyBorder="1" applyAlignment="1" applyProtection="1"/>
    <xf numFmtId="41" fontId="56" fillId="0" borderId="0" xfId="0" applyNumberFormat="1" applyFont="1"/>
    <xf numFmtId="10" fontId="0" fillId="0" borderId="0" xfId="0" applyNumberFormat="1"/>
    <xf numFmtId="164" fontId="1" fillId="0" borderId="0" xfId="1011" applyNumberFormat="1" applyProtection="1"/>
    <xf numFmtId="0" fontId="7" fillId="0" borderId="40" xfId="0" quotePrefix="1" applyFont="1" applyBorder="1" applyAlignment="1">
      <alignment horizontal="left"/>
    </xf>
    <xf numFmtId="0" fontId="0" fillId="0" borderId="18" xfId="0" applyBorder="1"/>
    <xf numFmtId="0" fontId="54" fillId="0" borderId="43" xfId="0" quotePrefix="1" applyFont="1" applyBorder="1" applyAlignment="1">
      <alignment horizontal="right"/>
    </xf>
    <xf numFmtId="169" fontId="0" fillId="0" borderId="14" xfId="0" applyNumberFormat="1" applyBorder="1"/>
    <xf numFmtId="170" fontId="54" fillId="0" borderId="43" xfId="202" applyNumberFormat="1" applyFont="1" applyFill="1" applyBorder="1" applyProtection="1"/>
    <xf numFmtId="3" fontId="54" fillId="0" borderId="45" xfId="0" applyNumberFormat="1" applyFont="1" applyBorder="1"/>
    <xf numFmtId="0" fontId="54" fillId="0" borderId="14" xfId="0" applyFont="1" applyBorder="1"/>
    <xf numFmtId="0" fontId="7" fillId="0" borderId="14" xfId="0" applyFont="1" applyBorder="1"/>
    <xf numFmtId="0" fontId="54" fillId="0" borderId="19" xfId="0" applyFont="1" applyBorder="1"/>
    <xf numFmtId="170" fontId="54" fillId="0" borderId="43" xfId="0" applyNumberFormat="1" applyFont="1" applyBorder="1"/>
    <xf numFmtId="170" fontId="54" fillId="0" borderId="47" xfId="0" applyNumberFormat="1" applyFont="1" applyBorder="1"/>
    <xf numFmtId="170" fontId="54" fillId="0" borderId="23" xfId="516" applyNumberFormat="1" applyFont="1" applyBorder="1" applyProtection="1"/>
    <xf numFmtId="170" fontId="54" fillId="0" borderId="24" xfId="516" applyNumberFormat="1" applyFont="1" applyBorder="1" applyProtection="1"/>
    <xf numFmtId="170" fontId="54" fillId="0" borderId="25" xfId="516" applyNumberFormat="1" applyFont="1" applyBorder="1" applyProtection="1"/>
    <xf numFmtId="0" fontId="51" fillId="27" borderId="0" xfId="198" applyNumberFormat="1" applyFont="1" applyFill="1" applyAlignment="1" applyProtection="1">
      <alignment horizontal="left"/>
    </xf>
    <xf numFmtId="170" fontId="39" fillId="0" borderId="18" xfId="198" applyNumberFormat="1" applyFont="1" applyBorder="1" applyProtection="1"/>
    <xf numFmtId="0" fontId="14" fillId="0" borderId="0" xfId="198" applyNumberFormat="1" applyFont="1" applyFill="1" applyAlignment="1" applyProtection="1">
      <alignment horizontal="left"/>
    </xf>
    <xf numFmtId="0" fontId="14" fillId="0" borderId="0" xfId="198" applyNumberFormat="1" applyFont="1" applyFill="1" applyBorder="1" applyAlignment="1" applyProtection="1">
      <alignment horizontal="left"/>
    </xf>
    <xf numFmtId="0" fontId="9" fillId="0" borderId="0" xfId="198" applyNumberFormat="1" applyFont="1" applyFill="1" applyBorder="1" applyAlignment="1" applyProtection="1">
      <alignment horizontal="left"/>
    </xf>
    <xf numFmtId="170" fontId="39" fillId="0" borderId="19" xfId="198" applyNumberFormat="1" applyFont="1" applyBorder="1" applyProtection="1"/>
    <xf numFmtId="170" fontId="39" fillId="0" borderId="15" xfId="198" applyNumberFormat="1" applyFont="1" applyBorder="1" applyProtection="1"/>
    <xf numFmtId="170" fontId="7" fillId="0" borderId="6" xfId="198" applyNumberFormat="1" applyFont="1" applyBorder="1" applyProtection="1"/>
    <xf numFmtId="170" fontId="7" fillId="0" borderId="16" xfId="198" applyNumberFormat="1" applyFont="1" applyBorder="1" applyProtection="1"/>
    <xf numFmtId="170" fontId="54" fillId="27" borderId="14" xfId="198" applyNumberFormat="1" applyFont="1" applyFill="1" applyBorder="1" applyAlignment="1" applyProtection="1">
      <alignment horizontal="right"/>
    </xf>
    <xf numFmtId="170" fontId="7" fillId="0" borderId="14" xfId="198" applyNumberFormat="1" applyFont="1" applyBorder="1" applyProtection="1"/>
    <xf numFmtId="170" fontId="39" fillId="0" borderId="23" xfId="198" applyNumberFormat="1" applyFont="1" applyBorder="1" applyAlignment="1" applyProtection="1">
      <alignment horizontal="center"/>
    </xf>
    <xf numFmtId="170" fontId="39" fillId="0" borderId="18" xfId="349" applyNumberFormat="1" applyFont="1" applyFill="1" applyBorder="1" applyAlignment="1" applyProtection="1">
      <alignment horizontal="center" wrapText="1"/>
    </xf>
    <xf numFmtId="170" fontId="39" fillId="0" borderId="18" xfId="349" applyNumberFormat="1" applyFont="1" applyBorder="1" applyAlignment="1" applyProtection="1">
      <alignment horizontal="center" wrapText="1"/>
    </xf>
    <xf numFmtId="170" fontId="39" fillId="0" borderId="23" xfId="198" quotePrefix="1" applyNumberFormat="1" applyFont="1" applyBorder="1" applyAlignment="1" applyProtection="1">
      <alignment horizontal="center" wrapText="1"/>
    </xf>
    <xf numFmtId="170" fontId="39" fillId="0" borderId="23" xfId="198" applyNumberFormat="1" applyFont="1" applyBorder="1" applyAlignment="1" applyProtection="1">
      <alignment horizontal="center" wrapText="1"/>
    </xf>
    <xf numFmtId="170" fontId="39" fillId="0" borderId="16" xfId="198" applyNumberFormat="1" applyFont="1" applyFill="1" applyBorder="1" applyAlignment="1" applyProtection="1">
      <alignment horizontal="center"/>
    </xf>
    <xf numFmtId="170" fontId="39" fillId="0" borderId="16" xfId="198" applyNumberFormat="1" applyFont="1" applyBorder="1" applyAlignment="1" applyProtection="1">
      <alignment horizontal="center"/>
    </xf>
    <xf numFmtId="170" fontId="39" fillId="0" borderId="25" xfId="198" applyNumberFormat="1" applyFont="1" applyBorder="1" applyAlignment="1" applyProtection="1">
      <alignment horizontal="center"/>
    </xf>
    <xf numFmtId="170" fontId="39" fillId="0" borderId="15" xfId="198" applyNumberFormat="1" applyFont="1" applyBorder="1" applyAlignment="1" applyProtection="1">
      <alignment horizontal="center"/>
    </xf>
    <xf numFmtId="170" fontId="54" fillId="27" borderId="23" xfId="198" applyNumberFormat="1" applyFont="1" applyFill="1" applyBorder="1" applyProtection="1"/>
    <xf numFmtId="170" fontId="54" fillId="27" borderId="14" xfId="198" applyNumberFormat="1" applyFont="1" applyFill="1" applyBorder="1" applyProtection="1"/>
    <xf numFmtId="170" fontId="54" fillId="27" borderId="24" xfId="198" applyNumberFormat="1" applyFont="1" applyFill="1" applyBorder="1" applyProtection="1"/>
    <xf numFmtId="170" fontId="79" fillId="27" borderId="24" xfId="198" applyNumberFormat="1" applyFont="1" applyFill="1" applyBorder="1" applyProtection="1"/>
    <xf numFmtId="170" fontId="1" fillId="0" borderId="24" xfId="198" applyNumberFormat="1" applyBorder="1" applyProtection="1"/>
    <xf numFmtId="170" fontId="7" fillId="0" borderId="24" xfId="198" applyNumberFormat="1" applyFont="1" applyBorder="1" applyProtection="1"/>
    <xf numFmtId="170" fontId="7" fillId="0" borderId="24" xfId="198" applyNumberFormat="1" applyFont="1" applyFill="1" applyBorder="1" applyProtection="1"/>
    <xf numFmtId="170" fontId="1" fillId="0" borderId="25" xfId="198" applyNumberFormat="1" applyBorder="1" applyProtection="1"/>
    <xf numFmtId="170" fontId="7" fillId="0" borderId="25" xfId="198" applyNumberFormat="1" applyFont="1" applyFill="1" applyBorder="1" applyProtection="1"/>
    <xf numFmtId="169" fontId="7" fillId="0" borderId="31" xfId="995" applyFont="1" applyBorder="1" applyAlignment="1" applyProtection="1">
      <alignment horizontal="center"/>
    </xf>
    <xf numFmtId="169" fontId="7" fillId="0" borderId="31" xfId="995" quotePrefix="1" applyFont="1" applyBorder="1" applyAlignment="1" applyProtection="1">
      <alignment horizontal="center"/>
    </xf>
    <xf numFmtId="3" fontId="7" fillId="0" borderId="32" xfId="995" applyNumberFormat="1" applyFont="1" applyBorder="1" applyAlignment="1" applyProtection="1">
      <alignment horizontal="center"/>
    </xf>
    <xf numFmtId="170" fontId="7" fillId="0" borderId="13" xfId="198" quotePrefix="1" applyNumberFormat="1" applyFont="1" applyBorder="1" applyAlignment="1" applyProtection="1">
      <alignment horizontal="right"/>
    </xf>
    <xf numFmtId="170" fontId="39" fillId="0" borderId="0" xfId="198" applyNumberFormat="1" applyFont="1" applyBorder="1" applyProtection="1"/>
    <xf numFmtId="0" fontId="57" fillId="0" borderId="28" xfId="198" applyNumberFormat="1" applyFont="1" applyFill="1" applyBorder="1" applyAlignment="1" applyProtection="1">
      <alignment horizontal="left"/>
    </xf>
    <xf numFmtId="170" fontId="7" fillId="0" borderId="29" xfId="198" quotePrefix="1" applyNumberFormat="1" applyFont="1" applyBorder="1" applyAlignment="1" applyProtection="1">
      <alignment horizontal="right"/>
    </xf>
    <xf numFmtId="170" fontId="39" fillId="0" borderId="11" xfId="198" applyNumberFormat="1" applyFont="1" applyBorder="1" applyProtection="1"/>
    <xf numFmtId="170" fontId="55" fillId="0" borderId="25" xfId="198" applyNumberFormat="1" applyFont="1" applyBorder="1" applyProtection="1"/>
    <xf numFmtId="170" fontId="39" fillId="0" borderId="6" xfId="198" applyNumberFormat="1" applyFont="1" applyFill="1" applyBorder="1" applyAlignment="1" applyProtection="1">
      <alignment horizontal="left"/>
    </xf>
    <xf numFmtId="170" fontId="39" fillId="0" borderId="16" xfId="198" applyNumberFormat="1" applyFont="1" applyFill="1" applyBorder="1" applyAlignment="1" applyProtection="1">
      <alignment horizontal="left"/>
    </xf>
    <xf numFmtId="170" fontId="7" fillId="0" borderId="14" xfId="198" applyNumberFormat="1" applyFont="1" applyFill="1" applyBorder="1" applyAlignment="1" applyProtection="1">
      <alignment horizontal="right"/>
    </xf>
    <xf numFmtId="170" fontId="39" fillId="0" borderId="0" xfId="198" applyNumberFormat="1" applyFont="1" applyBorder="1" applyAlignment="1" applyProtection="1">
      <alignment horizontal="center" wrapText="1"/>
    </xf>
    <xf numFmtId="170" fontId="39" fillId="0" borderId="25" xfId="198" applyNumberFormat="1" applyFont="1" applyFill="1" applyBorder="1" applyAlignment="1" applyProtection="1">
      <alignment horizontal="center"/>
    </xf>
    <xf numFmtId="168" fontId="54" fillId="27" borderId="24" xfId="198" applyNumberFormat="1" applyFont="1" applyFill="1" applyBorder="1" applyProtection="1"/>
    <xf numFmtId="168" fontId="54" fillId="27" borderId="14" xfId="198" applyNumberFormat="1" applyFont="1" applyFill="1" applyBorder="1" applyProtection="1"/>
    <xf numFmtId="170" fontId="7" fillId="0" borderId="14" xfId="198" applyNumberFormat="1" applyFont="1" applyFill="1" applyBorder="1" applyProtection="1"/>
    <xf numFmtId="170" fontId="7" fillId="0" borderId="16" xfId="198" applyNumberFormat="1" applyFont="1" applyFill="1" applyBorder="1" applyProtection="1"/>
    <xf numFmtId="0" fontId="68" fillId="0" borderId="0" xfId="0" applyFont="1" applyAlignment="1">
      <alignment horizontal="center"/>
    </xf>
    <xf numFmtId="44" fontId="7" fillId="0" borderId="0" xfId="622" applyFont="1" applyProtection="1"/>
    <xf numFmtId="170" fontId="7" fillId="0" borderId="0" xfId="0" applyNumberFormat="1" applyFont="1" applyAlignment="1">
      <alignment wrapText="1"/>
    </xf>
    <xf numFmtId="44" fontId="7" fillId="0" borderId="0" xfId="0" applyNumberFormat="1" applyFont="1" applyAlignment="1">
      <alignment wrapText="1"/>
    </xf>
    <xf numFmtId="0" fontId="50" fillId="27" borderId="0" xfId="0" quotePrefix="1" applyFont="1" applyFill="1" applyAlignment="1">
      <alignment horizontal="left"/>
    </xf>
    <xf numFmtId="0" fontId="7" fillId="27" borderId="0" xfId="0" applyFont="1" applyFill="1"/>
    <xf numFmtId="0" fontId="7" fillId="27" borderId="0" xfId="0" applyFont="1" applyFill="1" applyAlignment="1">
      <alignment horizontal="center"/>
    </xf>
    <xf numFmtId="10" fontId="7" fillId="27" borderId="0" xfId="0" applyNumberFormat="1" applyFont="1" applyFill="1"/>
    <xf numFmtId="170" fontId="7" fillId="27" borderId="0" xfId="198" applyNumberFormat="1" applyFont="1" applyFill="1" applyProtection="1"/>
    <xf numFmtId="0" fontId="0" fillId="27" borderId="0" xfId="0" applyFill="1"/>
    <xf numFmtId="0" fontId="72" fillId="0" borderId="0" xfId="0" applyFont="1"/>
    <xf numFmtId="170" fontId="53" fillId="0" borderId="0" xfId="198" applyNumberFormat="1" applyFont="1" applyFill="1" applyProtection="1"/>
    <xf numFmtId="170" fontId="39" fillId="27" borderId="16" xfId="198" applyNumberFormat="1" applyFont="1" applyFill="1" applyBorder="1" applyAlignment="1" applyProtection="1">
      <alignment horizontal="center"/>
    </xf>
    <xf numFmtId="170" fontId="7" fillId="0" borderId="23" xfId="198" applyNumberFormat="1" applyFont="1" applyBorder="1" applyProtection="1"/>
    <xf numFmtId="170" fontId="39" fillId="27" borderId="25" xfId="198" applyNumberFormat="1" applyFont="1" applyFill="1" applyBorder="1" applyAlignment="1" applyProtection="1">
      <alignment horizontal="center"/>
    </xf>
    <xf numFmtId="168" fontId="7" fillId="0" borderId="24" xfId="198" applyNumberFormat="1" applyFont="1" applyFill="1" applyBorder="1" applyProtection="1"/>
    <xf numFmtId="168" fontId="7" fillId="0" borderId="14" xfId="198" applyNumberFormat="1" applyFont="1" applyFill="1" applyBorder="1" applyProtection="1"/>
    <xf numFmtId="170" fontId="64" fillId="27" borderId="24" xfId="198" applyNumberFormat="1" applyFont="1" applyFill="1" applyBorder="1" applyProtection="1"/>
    <xf numFmtId="170" fontId="64" fillId="27" borderId="24" xfId="0" applyNumberFormat="1" applyFont="1" applyFill="1" applyBorder="1"/>
    <xf numFmtId="170" fontId="87" fillId="27" borderId="24" xfId="198" applyNumberFormat="1" applyFont="1" applyFill="1" applyBorder="1" applyProtection="1"/>
    <xf numFmtId="170" fontId="87" fillId="27" borderId="14" xfId="198" applyNumberFormat="1" applyFont="1" applyFill="1" applyBorder="1" applyProtection="1"/>
    <xf numFmtId="170" fontId="53" fillId="0" borderId="0" xfId="198" quotePrefix="1" applyNumberFormat="1" applyFont="1" applyFill="1" applyAlignment="1" applyProtection="1">
      <alignment horizontal="left"/>
    </xf>
    <xf numFmtId="171" fontId="88" fillId="0" borderId="14" xfId="0" applyNumberFormat="1" applyFont="1" applyBorder="1"/>
    <xf numFmtId="0" fontId="39" fillId="28" borderId="21" xfId="0" applyFont="1" applyFill="1" applyBorder="1" applyAlignment="1">
      <alignment horizontal="center"/>
    </xf>
    <xf numFmtId="170" fontId="54" fillId="27" borderId="13" xfId="0" applyNumberFormat="1" applyFont="1" applyFill="1" applyBorder="1"/>
    <xf numFmtId="170" fontId="87" fillId="27" borderId="0" xfId="0" applyNumberFormat="1" applyFont="1" applyFill="1"/>
    <xf numFmtId="170" fontId="87" fillId="27" borderId="23" xfId="198" applyNumberFormat="1" applyFont="1" applyFill="1" applyBorder="1" applyProtection="1"/>
    <xf numFmtId="170" fontId="88" fillId="27" borderId="14" xfId="198" applyNumberFormat="1" applyFont="1" applyFill="1" applyBorder="1" applyAlignment="1" applyProtection="1">
      <alignment horizontal="right"/>
    </xf>
    <xf numFmtId="170" fontId="88" fillId="27" borderId="0" xfId="0" applyNumberFormat="1" applyFont="1" applyFill="1"/>
    <xf numFmtId="170" fontId="88" fillId="27" borderId="24" xfId="198" applyNumberFormat="1" applyFont="1" applyFill="1" applyBorder="1" applyProtection="1"/>
    <xf numFmtId="170" fontId="88" fillId="27" borderId="24" xfId="0" applyNumberFormat="1" applyFont="1" applyFill="1" applyBorder="1"/>
    <xf numFmtId="170" fontId="88" fillId="27" borderId="23" xfId="0" applyNumberFormat="1" applyFont="1" applyFill="1" applyBorder="1"/>
    <xf numFmtId="168" fontId="88" fillId="27" borderId="24" xfId="198" applyNumberFormat="1" applyFont="1" applyFill="1" applyBorder="1" applyProtection="1"/>
    <xf numFmtId="168" fontId="88" fillId="27" borderId="14" xfId="198" applyNumberFormat="1" applyFont="1" applyFill="1" applyBorder="1" applyProtection="1"/>
    <xf numFmtId="170" fontId="7" fillId="0" borderId="14" xfId="198" quotePrefix="1" applyNumberFormat="1" applyFont="1" applyFill="1" applyBorder="1" applyAlignment="1" applyProtection="1">
      <alignment horizontal="right"/>
    </xf>
    <xf numFmtId="0" fontId="7" fillId="0" borderId="21" xfId="0" applyFont="1" applyBorder="1" applyAlignment="1">
      <alignment horizontal="left"/>
    </xf>
    <xf numFmtId="170" fontId="88" fillId="27" borderId="23" xfId="198" applyNumberFormat="1" applyFont="1" applyFill="1" applyBorder="1" applyProtection="1"/>
    <xf numFmtId="170" fontId="88" fillId="27" borderId="14" xfId="198" applyNumberFormat="1" applyFont="1" applyFill="1" applyBorder="1" applyProtection="1"/>
    <xf numFmtId="171" fontId="88" fillId="27" borderId="24" xfId="0" applyNumberFormat="1" applyFont="1" applyFill="1" applyBorder="1"/>
    <xf numFmtId="171" fontId="54" fillId="0" borderId="26" xfId="0" applyNumberFormat="1" applyFont="1" applyBorder="1"/>
    <xf numFmtId="171" fontId="7" fillId="0" borderId="17" xfId="0" applyNumberFormat="1" applyFont="1" applyBorder="1"/>
    <xf numFmtId="171" fontId="54" fillId="0" borderId="17" xfId="0" applyNumberFormat="1" applyFont="1" applyBorder="1"/>
    <xf numFmtId="171" fontId="7" fillId="0" borderId="18" xfId="0" applyNumberFormat="1" applyFont="1" applyBorder="1"/>
    <xf numFmtId="170" fontId="7" fillId="0" borderId="0" xfId="0" applyNumberFormat="1" applyFont="1" applyAlignment="1">
      <alignment horizontal="left"/>
    </xf>
    <xf numFmtId="170" fontId="1" fillId="0" borderId="24" xfId="198" applyNumberFormat="1" applyFill="1" applyBorder="1" applyProtection="1"/>
    <xf numFmtId="170" fontId="7" fillId="27" borderId="24" xfId="198" applyNumberFormat="1" applyFont="1" applyFill="1" applyBorder="1" applyProtection="1"/>
    <xf numFmtId="170" fontId="7" fillId="27" borderId="23" xfId="0" applyNumberFormat="1" applyFont="1" applyFill="1" applyBorder="1"/>
    <xf numFmtId="168" fontId="7" fillId="27" borderId="24" xfId="198" applyNumberFormat="1" applyFont="1" applyFill="1" applyBorder="1" applyProtection="1"/>
    <xf numFmtId="168" fontId="7" fillId="27" borderId="14" xfId="198" applyNumberFormat="1" applyFont="1" applyFill="1" applyBorder="1" applyProtection="1"/>
    <xf numFmtId="171" fontId="54" fillId="60" borderId="24" xfId="0" applyNumberFormat="1" applyFont="1" applyFill="1" applyBorder="1"/>
    <xf numFmtId="170" fontId="1" fillId="27" borderId="24" xfId="198" applyNumberFormat="1" applyFill="1" applyBorder="1" applyProtection="1"/>
    <xf numFmtId="170" fontId="7" fillId="27" borderId="14" xfId="198" applyNumberFormat="1" applyFont="1" applyFill="1" applyBorder="1" applyProtection="1"/>
    <xf numFmtId="170" fontId="7" fillId="27" borderId="23" xfId="285" applyNumberFormat="1" applyFont="1" applyFill="1" applyBorder="1" applyProtection="1"/>
    <xf numFmtId="170" fontId="7" fillId="27" borderId="23" xfId="198" applyNumberFormat="1" applyFont="1" applyFill="1" applyBorder="1" applyProtection="1"/>
    <xf numFmtId="180" fontId="7" fillId="0" borderId="14" xfId="198" applyNumberFormat="1" applyFont="1" applyFill="1" applyBorder="1" applyAlignment="1" applyProtection="1">
      <alignment horizontal="right"/>
    </xf>
    <xf numFmtId="10" fontId="54" fillId="0" borderId="43" xfId="1011" applyNumberFormat="1" applyFont="1" applyFill="1" applyBorder="1" applyProtection="1"/>
    <xf numFmtId="170" fontId="52" fillId="27" borderId="0" xfId="198" applyNumberFormat="1" applyFont="1" applyFill="1" applyAlignment="1" applyProtection="1">
      <alignment vertical="center"/>
    </xf>
    <xf numFmtId="0" fontId="7" fillId="61" borderId="14" xfId="0" applyFont="1" applyFill="1" applyBorder="1" applyAlignment="1">
      <alignment horizontal="right"/>
    </xf>
    <xf numFmtId="170" fontId="7" fillId="61" borderId="14" xfId="198" applyNumberFormat="1" applyFont="1" applyFill="1" applyBorder="1" applyAlignment="1" applyProtection="1">
      <alignment horizontal="right"/>
    </xf>
    <xf numFmtId="37" fontId="54" fillId="27" borderId="14" xfId="198" applyNumberFormat="1" applyFont="1" applyFill="1" applyBorder="1" applyAlignment="1" applyProtection="1">
      <alignment horizontal="right"/>
    </xf>
    <xf numFmtId="37" fontId="54" fillId="27" borderId="14" xfId="198" applyNumberFormat="1" applyFont="1" applyFill="1" applyBorder="1" applyAlignment="1">
      <alignment horizontal="right"/>
    </xf>
    <xf numFmtId="0" fontId="39" fillId="0" borderId="21" xfId="0" applyFont="1" applyBorder="1" applyAlignment="1">
      <alignment horizontal="left"/>
    </xf>
    <xf numFmtId="0" fontId="0" fillId="0" borderId="21" xfId="0" applyBorder="1" applyAlignment="1">
      <alignment horizontal="left"/>
    </xf>
    <xf numFmtId="180" fontId="0" fillId="0" borderId="0" xfId="198" applyNumberFormat="1" applyFont="1" applyProtection="1"/>
    <xf numFmtId="180" fontId="0" fillId="0" borderId="0" xfId="198" applyNumberFormat="1" applyFont="1" applyAlignment="1" applyProtection="1"/>
    <xf numFmtId="180" fontId="0" fillId="0" borderId="0" xfId="198" applyNumberFormat="1" applyFont="1" applyBorder="1" applyProtection="1"/>
    <xf numFmtId="0" fontId="39" fillId="0" borderId="11" xfId="0" applyFont="1" applyBorder="1" applyAlignment="1">
      <alignment horizontal="center"/>
    </xf>
    <xf numFmtId="0" fontId="65" fillId="0" borderId="0" xfId="0" applyFont="1" applyAlignment="1">
      <alignment horizontal="center" wrapText="1"/>
    </xf>
    <xf numFmtId="169" fontId="7" fillId="0" borderId="26" xfId="995" applyFont="1" applyBorder="1" applyAlignment="1" applyProtection="1">
      <alignment wrapText="1"/>
    </xf>
    <xf numFmtId="0" fontId="7" fillId="0" borderId="17" xfId="0" applyFont="1" applyBorder="1" applyAlignment="1">
      <alignment wrapText="1"/>
    </xf>
    <xf numFmtId="0" fontId="7" fillId="0" borderId="18" xfId="0" applyFont="1" applyBorder="1" applyAlignment="1">
      <alignment wrapText="1"/>
    </xf>
    <xf numFmtId="0" fontId="7" fillId="0" borderId="13" xfId="0" applyFont="1" applyBorder="1" applyAlignment="1">
      <alignment wrapText="1"/>
    </xf>
    <xf numFmtId="0" fontId="7" fillId="0" borderId="0" xfId="0" applyFont="1" applyAlignment="1">
      <alignment wrapText="1"/>
    </xf>
    <xf numFmtId="0" fontId="7" fillId="0" borderId="14" xfId="0" applyFont="1" applyBorder="1" applyAlignment="1">
      <alignment wrapText="1"/>
    </xf>
    <xf numFmtId="0" fontId="6" fillId="0" borderId="0" xfId="0" applyFont="1" applyAlignment="1">
      <alignment wrapText="1"/>
    </xf>
    <xf numFmtId="0" fontId="0" fillId="0" borderId="0" xfId="0" applyAlignment="1">
      <alignment wrapText="1"/>
    </xf>
    <xf numFmtId="49" fontId="46" fillId="0" borderId="0" xfId="0" applyNumberFormat="1" applyFont="1" applyAlignment="1">
      <alignment horizontal="center"/>
    </xf>
    <xf numFmtId="0" fontId="46" fillId="0" borderId="0" xfId="0" applyFont="1" applyAlignment="1">
      <alignment horizontal="center"/>
    </xf>
    <xf numFmtId="0" fontId="46" fillId="0" borderId="0" xfId="896" applyFont="1" applyAlignment="1">
      <alignment horizontal="center"/>
    </xf>
    <xf numFmtId="0" fontId="6" fillId="0" borderId="0" xfId="896" quotePrefix="1" applyFont="1" applyAlignment="1">
      <alignment horizontal="center"/>
    </xf>
    <xf numFmtId="3" fontId="71" fillId="0" borderId="0" xfId="0" quotePrefix="1" applyNumberFormat="1" applyFont="1" applyAlignment="1">
      <alignment horizontal="center"/>
    </xf>
    <xf numFmtId="3" fontId="71" fillId="0" borderId="0" xfId="0" applyNumberFormat="1" applyFont="1" applyAlignment="1">
      <alignment horizontal="center"/>
    </xf>
    <xf numFmtId="49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</cellXfs>
  <cellStyles count="1261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3" xfId="4" xr:uid="{00000000-0005-0000-0000-000003000000}"/>
    <cellStyle name="20% - Accent1 2 4" xfId="5" xr:uid="{00000000-0005-0000-0000-000004000000}"/>
    <cellStyle name="20% - Accent1 2 5" xfId="6" xr:uid="{00000000-0005-0000-0000-000005000000}"/>
    <cellStyle name="20% - Accent2" xfId="7" builtinId="34" customBuiltin="1"/>
    <cellStyle name="20% - Accent2 2" xfId="8" xr:uid="{00000000-0005-0000-0000-000007000000}"/>
    <cellStyle name="20% - Accent2 2 2" xfId="9" xr:uid="{00000000-0005-0000-0000-000008000000}"/>
    <cellStyle name="20% - Accent2 2 3" xfId="10" xr:uid="{00000000-0005-0000-0000-000009000000}"/>
    <cellStyle name="20% - Accent2 2 4" xfId="11" xr:uid="{00000000-0005-0000-0000-00000A000000}"/>
    <cellStyle name="20% - Accent2 2 5" xfId="12" xr:uid="{00000000-0005-0000-0000-00000B000000}"/>
    <cellStyle name="20% - Accent3" xfId="13" builtinId="38" customBuiltin="1"/>
    <cellStyle name="20% - Accent3 2" xfId="14" xr:uid="{00000000-0005-0000-0000-00000D000000}"/>
    <cellStyle name="20% - Accent3 2 2" xfId="15" xr:uid="{00000000-0005-0000-0000-00000E000000}"/>
    <cellStyle name="20% - Accent3 2 3" xfId="16" xr:uid="{00000000-0005-0000-0000-00000F000000}"/>
    <cellStyle name="20% - Accent3 2 4" xfId="17" xr:uid="{00000000-0005-0000-0000-000010000000}"/>
    <cellStyle name="20% - Accent3 2 5" xfId="18" xr:uid="{00000000-0005-0000-0000-000011000000}"/>
    <cellStyle name="20% - Accent4" xfId="19" builtinId="42" customBuiltin="1"/>
    <cellStyle name="20% - Accent4 2" xfId="20" xr:uid="{00000000-0005-0000-0000-000013000000}"/>
    <cellStyle name="20% - Accent4 2 2" xfId="21" xr:uid="{00000000-0005-0000-0000-000014000000}"/>
    <cellStyle name="20% - Accent4 2 3" xfId="22" xr:uid="{00000000-0005-0000-0000-000015000000}"/>
    <cellStyle name="20% - Accent4 2 4" xfId="23" xr:uid="{00000000-0005-0000-0000-000016000000}"/>
    <cellStyle name="20% - Accent4 2 5" xfId="24" xr:uid="{00000000-0005-0000-0000-000017000000}"/>
    <cellStyle name="20% - Accent5" xfId="25" builtinId="46" customBuiltin="1"/>
    <cellStyle name="20% - Accent5 2" xfId="26" xr:uid="{00000000-0005-0000-0000-000019000000}"/>
    <cellStyle name="20% - Accent5 2 2" xfId="27" xr:uid="{00000000-0005-0000-0000-00001A000000}"/>
    <cellStyle name="20% - Accent5 2 3" xfId="28" xr:uid="{00000000-0005-0000-0000-00001B000000}"/>
    <cellStyle name="20% - Accent5 2 4" xfId="29" xr:uid="{00000000-0005-0000-0000-00001C000000}"/>
    <cellStyle name="20% - Accent5 2 5" xfId="30" xr:uid="{00000000-0005-0000-0000-00001D000000}"/>
    <cellStyle name="20% - Accent6" xfId="31" builtinId="50" customBuiltin="1"/>
    <cellStyle name="20% - Accent6 2" xfId="32" xr:uid="{00000000-0005-0000-0000-00001F000000}"/>
    <cellStyle name="20% - Accent6 2 2" xfId="33" xr:uid="{00000000-0005-0000-0000-000020000000}"/>
    <cellStyle name="20% - Accent6 2 3" xfId="34" xr:uid="{00000000-0005-0000-0000-000021000000}"/>
    <cellStyle name="20% - Accent6 2 4" xfId="35" xr:uid="{00000000-0005-0000-0000-000022000000}"/>
    <cellStyle name="20% - Accent6 2 5" xfId="36" xr:uid="{00000000-0005-0000-0000-000023000000}"/>
    <cellStyle name="40% - Accent1" xfId="37" builtinId="31" customBuiltin="1"/>
    <cellStyle name="40% - Accent1 2" xfId="38" xr:uid="{00000000-0005-0000-0000-000025000000}"/>
    <cellStyle name="40% - Accent1 2 2" xfId="39" xr:uid="{00000000-0005-0000-0000-000026000000}"/>
    <cellStyle name="40% - Accent1 2 3" xfId="40" xr:uid="{00000000-0005-0000-0000-000027000000}"/>
    <cellStyle name="40% - Accent1 2 4" xfId="41" xr:uid="{00000000-0005-0000-0000-000028000000}"/>
    <cellStyle name="40% - Accent1 2 5" xfId="42" xr:uid="{00000000-0005-0000-0000-000029000000}"/>
    <cellStyle name="40% - Accent2" xfId="43" builtinId="35" customBuiltin="1"/>
    <cellStyle name="40% - Accent2 2" xfId="44" xr:uid="{00000000-0005-0000-0000-00002B000000}"/>
    <cellStyle name="40% - Accent2 2 2" xfId="45" xr:uid="{00000000-0005-0000-0000-00002C000000}"/>
    <cellStyle name="40% - Accent2 2 3" xfId="46" xr:uid="{00000000-0005-0000-0000-00002D000000}"/>
    <cellStyle name="40% - Accent2 2 4" xfId="47" xr:uid="{00000000-0005-0000-0000-00002E000000}"/>
    <cellStyle name="40% - Accent2 2 5" xfId="48" xr:uid="{00000000-0005-0000-0000-00002F000000}"/>
    <cellStyle name="40% - Accent3" xfId="49" builtinId="39" customBuiltin="1"/>
    <cellStyle name="40% - Accent3 2" xfId="50" xr:uid="{00000000-0005-0000-0000-000031000000}"/>
    <cellStyle name="40% - Accent3 2 2" xfId="51" xr:uid="{00000000-0005-0000-0000-000032000000}"/>
    <cellStyle name="40% - Accent3 2 3" xfId="52" xr:uid="{00000000-0005-0000-0000-000033000000}"/>
    <cellStyle name="40% - Accent3 2 4" xfId="53" xr:uid="{00000000-0005-0000-0000-000034000000}"/>
    <cellStyle name="40% - Accent3 2 5" xfId="54" xr:uid="{00000000-0005-0000-0000-000035000000}"/>
    <cellStyle name="40% - Accent4" xfId="55" builtinId="43" customBuiltin="1"/>
    <cellStyle name="40% - Accent4 2" xfId="56" xr:uid="{00000000-0005-0000-0000-000037000000}"/>
    <cellStyle name="40% - Accent4 2 2" xfId="57" xr:uid="{00000000-0005-0000-0000-000038000000}"/>
    <cellStyle name="40% - Accent4 2 3" xfId="58" xr:uid="{00000000-0005-0000-0000-000039000000}"/>
    <cellStyle name="40% - Accent4 2 4" xfId="59" xr:uid="{00000000-0005-0000-0000-00003A000000}"/>
    <cellStyle name="40% - Accent4 2 5" xfId="60" xr:uid="{00000000-0005-0000-0000-00003B000000}"/>
    <cellStyle name="40% - Accent5" xfId="61" builtinId="47" customBuiltin="1"/>
    <cellStyle name="40% - Accent5 2" xfId="62" xr:uid="{00000000-0005-0000-0000-00003D000000}"/>
    <cellStyle name="40% - Accent5 2 2" xfId="63" xr:uid="{00000000-0005-0000-0000-00003E000000}"/>
    <cellStyle name="40% - Accent5 2 3" xfId="64" xr:uid="{00000000-0005-0000-0000-00003F000000}"/>
    <cellStyle name="40% - Accent5 2 4" xfId="65" xr:uid="{00000000-0005-0000-0000-000040000000}"/>
    <cellStyle name="40% - Accent5 2 5" xfId="66" xr:uid="{00000000-0005-0000-0000-000041000000}"/>
    <cellStyle name="40% - Accent6" xfId="67" builtinId="51" customBuiltin="1"/>
    <cellStyle name="40% - Accent6 2" xfId="68" xr:uid="{00000000-0005-0000-0000-000043000000}"/>
    <cellStyle name="40% - Accent6 2 2" xfId="69" xr:uid="{00000000-0005-0000-0000-000044000000}"/>
    <cellStyle name="40% - Accent6 2 3" xfId="70" xr:uid="{00000000-0005-0000-0000-000045000000}"/>
    <cellStyle name="40% - Accent6 2 4" xfId="71" xr:uid="{00000000-0005-0000-0000-000046000000}"/>
    <cellStyle name="40% - Accent6 2 5" xfId="72" xr:uid="{00000000-0005-0000-0000-000047000000}"/>
    <cellStyle name="60% - Accent1" xfId="73" builtinId="32" customBuiltin="1"/>
    <cellStyle name="60% - Accent1 2" xfId="74" xr:uid="{00000000-0005-0000-0000-000049000000}"/>
    <cellStyle name="60% - Accent1 2 2" xfId="75" xr:uid="{00000000-0005-0000-0000-00004A000000}"/>
    <cellStyle name="60% - Accent1 2 3" xfId="76" xr:uid="{00000000-0005-0000-0000-00004B000000}"/>
    <cellStyle name="60% - Accent1 2 4" xfId="77" xr:uid="{00000000-0005-0000-0000-00004C000000}"/>
    <cellStyle name="60% - Accent1 2 5" xfId="78" xr:uid="{00000000-0005-0000-0000-00004D000000}"/>
    <cellStyle name="60% - Accent2" xfId="79" builtinId="36" customBuiltin="1"/>
    <cellStyle name="60% - Accent2 2" xfId="80" xr:uid="{00000000-0005-0000-0000-00004F000000}"/>
    <cellStyle name="60% - Accent2 2 2" xfId="81" xr:uid="{00000000-0005-0000-0000-000050000000}"/>
    <cellStyle name="60% - Accent2 2 3" xfId="82" xr:uid="{00000000-0005-0000-0000-000051000000}"/>
    <cellStyle name="60% - Accent2 2 4" xfId="83" xr:uid="{00000000-0005-0000-0000-000052000000}"/>
    <cellStyle name="60% - Accent2 2 5" xfId="84" xr:uid="{00000000-0005-0000-0000-000053000000}"/>
    <cellStyle name="60% - Accent3" xfId="85" builtinId="40" customBuiltin="1"/>
    <cellStyle name="60% - Accent3 2" xfId="86" xr:uid="{00000000-0005-0000-0000-000055000000}"/>
    <cellStyle name="60% - Accent3 2 2" xfId="87" xr:uid="{00000000-0005-0000-0000-000056000000}"/>
    <cellStyle name="60% - Accent3 2 3" xfId="88" xr:uid="{00000000-0005-0000-0000-000057000000}"/>
    <cellStyle name="60% - Accent3 2 4" xfId="89" xr:uid="{00000000-0005-0000-0000-000058000000}"/>
    <cellStyle name="60% - Accent3 2 5" xfId="90" xr:uid="{00000000-0005-0000-0000-000059000000}"/>
    <cellStyle name="60% - Accent4" xfId="91" builtinId="44" customBuiltin="1"/>
    <cellStyle name="60% - Accent4 2" xfId="92" xr:uid="{00000000-0005-0000-0000-00005B000000}"/>
    <cellStyle name="60% - Accent4 2 2" xfId="93" xr:uid="{00000000-0005-0000-0000-00005C000000}"/>
    <cellStyle name="60% - Accent4 2 3" xfId="94" xr:uid="{00000000-0005-0000-0000-00005D000000}"/>
    <cellStyle name="60% - Accent4 2 4" xfId="95" xr:uid="{00000000-0005-0000-0000-00005E000000}"/>
    <cellStyle name="60% - Accent4 2 5" xfId="96" xr:uid="{00000000-0005-0000-0000-00005F000000}"/>
    <cellStyle name="60% - Accent5" xfId="97" builtinId="48" customBuiltin="1"/>
    <cellStyle name="60% - Accent5 2" xfId="98" xr:uid="{00000000-0005-0000-0000-000061000000}"/>
    <cellStyle name="60% - Accent5 2 2" xfId="99" xr:uid="{00000000-0005-0000-0000-000062000000}"/>
    <cellStyle name="60% - Accent5 2 3" xfId="100" xr:uid="{00000000-0005-0000-0000-000063000000}"/>
    <cellStyle name="60% - Accent5 2 4" xfId="101" xr:uid="{00000000-0005-0000-0000-000064000000}"/>
    <cellStyle name="60% - Accent5 2 5" xfId="102" xr:uid="{00000000-0005-0000-0000-000065000000}"/>
    <cellStyle name="60% - Accent6" xfId="103" builtinId="52" customBuiltin="1"/>
    <cellStyle name="60% - Accent6 2" xfId="104" xr:uid="{00000000-0005-0000-0000-000067000000}"/>
    <cellStyle name="60% - Accent6 2 2" xfId="105" xr:uid="{00000000-0005-0000-0000-000068000000}"/>
    <cellStyle name="60% - Accent6 2 3" xfId="106" xr:uid="{00000000-0005-0000-0000-000069000000}"/>
    <cellStyle name="60% - Accent6 2 4" xfId="107" xr:uid="{00000000-0005-0000-0000-00006A000000}"/>
    <cellStyle name="60% - Accent6 2 5" xfId="108" xr:uid="{00000000-0005-0000-0000-00006B000000}"/>
    <cellStyle name="Accent1" xfId="109" builtinId="29" customBuiltin="1"/>
    <cellStyle name="Accent1 2" xfId="110" xr:uid="{00000000-0005-0000-0000-00006D000000}"/>
    <cellStyle name="Accent1 2 2" xfId="111" xr:uid="{00000000-0005-0000-0000-00006E000000}"/>
    <cellStyle name="Accent1 2 3" xfId="112" xr:uid="{00000000-0005-0000-0000-00006F000000}"/>
    <cellStyle name="Accent1 2 4" xfId="113" xr:uid="{00000000-0005-0000-0000-000070000000}"/>
    <cellStyle name="Accent1 2 5" xfId="114" xr:uid="{00000000-0005-0000-0000-000071000000}"/>
    <cellStyle name="Accent2" xfId="115" builtinId="33" customBuiltin="1"/>
    <cellStyle name="Accent2 2" xfId="116" xr:uid="{00000000-0005-0000-0000-000073000000}"/>
    <cellStyle name="Accent2 2 2" xfId="117" xr:uid="{00000000-0005-0000-0000-000074000000}"/>
    <cellStyle name="Accent2 2 3" xfId="118" xr:uid="{00000000-0005-0000-0000-000075000000}"/>
    <cellStyle name="Accent2 2 4" xfId="119" xr:uid="{00000000-0005-0000-0000-000076000000}"/>
    <cellStyle name="Accent2 2 5" xfId="120" xr:uid="{00000000-0005-0000-0000-000077000000}"/>
    <cellStyle name="Accent3" xfId="121" builtinId="37" customBuiltin="1"/>
    <cellStyle name="Accent3 2" xfId="122" xr:uid="{00000000-0005-0000-0000-000079000000}"/>
    <cellStyle name="Accent3 2 2" xfId="123" xr:uid="{00000000-0005-0000-0000-00007A000000}"/>
    <cellStyle name="Accent3 2 3" xfId="124" xr:uid="{00000000-0005-0000-0000-00007B000000}"/>
    <cellStyle name="Accent3 2 4" xfId="125" xr:uid="{00000000-0005-0000-0000-00007C000000}"/>
    <cellStyle name="Accent3 2 5" xfId="126" xr:uid="{00000000-0005-0000-0000-00007D000000}"/>
    <cellStyle name="Accent4" xfId="127" builtinId="41" customBuiltin="1"/>
    <cellStyle name="Accent4 2" xfId="128" xr:uid="{00000000-0005-0000-0000-00007F000000}"/>
    <cellStyle name="Accent4 2 2" xfId="129" xr:uid="{00000000-0005-0000-0000-000080000000}"/>
    <cellStyle name="Accent4 2 3" xfId="130" xr:uid="{00000000-0005-0000-0000-000081000000}"/>
    <cellStyle name="Accent4 2 4" xfId="131" xr:uid="{00000000-0005-0000-0000-000082000000}"/>
    <cellStyle name="Accent4 2 5" xfId="132" xr:uid="{00000000-0005-0000-0000-000083000000}"/>
    <cellStyle name="Accent5" xfId="133" builtinId="45" customBuiltin="1"/>
    <cellStyle name="Accent5 2" xfId="134" xr:uid="{00000000-0005-0000-0000-000085000000}"/>
    <cellStyle name="Accent5 2 2" xfId="135" xr:uid="{00000000-0005-0000-0000-000086000000}"/>
    <cellStyle name="Accent5 2 3" xfId="136" xr:uid="{00000000-0005-0000-0000-000087000000}"/>
    <cellStyle name="Accent5 2 4" xfId="137" xr:uid="{00000000-0005-0000-0000-000088000000}"/>
    <cellStyle name="Accent5 2 5" xfId="138" xr:uid="{00000000-0005-0000-0000-000089000000}"/>
    <cellStyle name="Accent6" xfId="139" builtinId="49" customBuiltin="1"/>
    <cellStyle name="Accent6 2" xfId="140" xr:uid="{00000000-0005-0000-0000-00008B000000}"/>
    <cellStyle name="Accent6 2 2" xfId="141" xr:uid="{00000000-0005-0000-0000-00008C000000}"/>
    <cellStyle name="Accent6 2 3" xfId="142" xr:uid="{00000000-0005-0000-0000-00008D000000}"/>
    <cellStyle name="Accent6 2 4" xfId="143" xr:uid="{00000000-0005-0000-0000-00008E000000}"/>
    <cellStyle name="Accent6 2 5" xfId="144" xr:uid="{00000000-0005-0000-0000-00008F000000}"/>
    <cellStyle name="Bad" xfId="145" builtinId="27" customBuiltin="1"/>
    <cellStyle name="Bad 2" xfId="146" xr:uid="{00000000-0005-0000-0000-000091000000}"/>
    <cellStyle name="Bad 2 2" xfId="147" xr:uid="{00000000-0005-0000-0000-000092000000}"/>
    <cellStyle name="Bad 2 3" xfId="148" xr:uid="{00000000-0005-0000-0000-000093000000}"/>
    <cellStyle name="Bad 2 4" xfId="149" xr:uid="{00000000-0005-0000-0000-000094000000}"/>
    <cellStyle name="Bad 2 5" xfId="150" xr:uid="{00000000-0005-0000-0000-000095000000}"/>
    <cellStyle name="C00A" xfId="151" xr:uid="{00000000-0005-0000-0000-000096000000}"/>
    <cellStyle name="C00B" xfId="152" xr:uid="{00000000-0005-0000-0000-000097000000}"/>
    <cellStyle name="C00L" xfId="153" xr:uid="{00000000-0005-0000-0000-000098000000}"/>
    <cellStyle name="C01A" xfId="154" xr:uid="{00000000-0005-0000-0000-000099000000}"/>
    <cellStyle name="C01B" xfId="155" xr:uid="{00000000-0005-0000-0000-00009A000000}"/>
    <cellStyle name="C01B 2" xfId="156" xr:uid="{00000000-0005-0000-0000-00009B000000}"/>
    <cellStyle name="C01H" xfId="157" xr:uid="{00000000-0005-0000-0000-00009C000000}"/>
    <cellStyle name="C01L" xfId="158" xr:uid="{00000000-0005-0000-0000-00009D000000}"/>
    <cellStyle name="C02A" xfId="159" xr:uid="{00000000-0005-0000-0000-00009E000000}"/>
    <cellStyle name="C02B" xfId="160" xr:uid="{00000000-0005-0000-0000-00009F000000}"/>
    <cellStyle name="C02B 2" xfId="161" xr:uid="{00000000-0005-0000-0000-0000A0000000}"/>
    <cellStyle name="C02H" xfId="162" xr:uid="{00000000-0005-0000-0000-0000A1000000}"/>
    <cellStyle name="C02L" xfId="163" xr:uid="{00000000-0005-0000-0000-0000A2000000}"/>
    <cellStyle name="C03A" xfId="164" xr:uid="{00000000-0005-0000-0000-0000A3000000}"/>
    <cellStyle name="C03B" xfId="165" xr:uid="{00000000-0005-0000-0000-0000A4000000}"/>
    <cellStyle name="C03H" xfId="166" xr:uid="{00000000-0005-0000-0000-0000A5000000}"/>
    <cellStyle name="C03L" xfId="167" xr:uid="{00000000-0005-0000-0000-0000A6000000}"/>
    <cellStyle name="C04A" xfId="168" xr:uid="{00000000-0005-0000-0000-0000A7000000}"/>
    <cellStyle name="C04A 2" xfId="169" xr:uid="{00000000-0005-0000-0000-0000A8000000}"/>
    <cellStyle name="C04B" xfId="170" xr:uid="{00000000-0005-0000-0000-0000A9000000}"/>
    <cellStyle name="C04H" xfId="171" xr:uid="{00000000-0005-0000-0000-0000AA000000}"/>
    <cellStyle name="C04L" xfId="172" xr:uid="{00000000-0005-0000-0000-0000AB000000}"/>
    <cellStyle name="C05A" xfId="173" xr:uid="{00000000-0005-0000-0000-0000AC000000}"/>
    <cellStyle name="C05B" xfId="174" xr:uid="{00000000-0005-0000-0000-0000AD000000}"/>
    <cellStyle name="C05H" xfId="175" xr:uid="{00000000-0005-0000-0000-0000AE000000}"/>
    <cellStyle name="C05L" xfId="176" xr:uid="{00000000-0005-0000-0000-0000AF000000}"/>
    <cellStyle name="C05L 2" xfId="177" xr:uid="{00000000-0005-0000-0000-0000B0000000}"/>
    <cellStyle name="C06A" xfId="178" xr:uid="{00000000-0005-0000-0000-0000B1000000}"/>
    <cellStyle name="C06B" xfId="179" xr:uid="{00000000-0005-0000-0000-0000B2000000}"/>
    <cellStyle name="C06H" xfId="180" xr:uid="{00000000-0005-0000-0000-0000B3000000}"/>
    <cellStyle name="C06L" xfId="181" xr:uid="{00000000-0005-0000-0000-0000B4000000}"/>
    <cellStyle name="C07A" xfId="182" xr:uid="{00000000-0005-0000-0000-0000B5000000}"/>
    <cellStyle name="C07B" xfId="183" xr:uid="{00000000-0005-0000-0000-0000B6000000}"/>
    <cellStyle name="C07H" xfId="184" xr:uid="{00000000-0005-0000-0000-0000B7000000}"/>
    <cellStyle name="C07L" xfId="185" xr:uid="{00000000-0005-0000-0000-0000B8000000}"/>
    <cellStyle name="Calculation" xfId="186" builtinId="22" customBuiltin="1"/>
    <cellStyle name="Calculation 2" xfId="187" xr:uid="{00000000-0005-0000-0000-0000BA000000}"/>
    <cellStyle name="Calculation 2 2" xfId="188" xr:uid="{00000000-0005-0000-0000-0000BB000000}"/>
    <cellStyle name="Calculation 2 3" xfId="189" xr:uid="{00000000-0005-0000-0000-0000BC000000}"/>
    <cellStyle name="Calculation 2 4" xfId="190" xr:uid="{00000000-0005-0000-0000-0000BD000000}"/>
    <cellStyle name="Calculation 2 5" xfId="191" xr:uid="{00000000-0005-0000-0000-0000BE000000}"/>
    <cellStyle name="Check Cell" xfId="192" builtinId="23" customBuiltin="1"/>
    <cellStyle name="Check Cell 2" xfId="193" xr:uid="{00000000-0005-0000-0000-0000C0000000}"/>
    <cellStyle name="Check Cell 2 2" xfId="194" xr:uid="{00000000-0005-0000-0000-0000C1000000}"/>
    <cellStyle name="Check Cell 2 3" xfId="195" xr:uid="{00000000-0005-0000-0000-0000C2000000}"/>
    <cellStyle name="Check Cell 2 4" xfId="196" xr:uid="{00000000-0005-0000-0000-0000C3000000}"/>
    <cellStyle name="Check Cell 2 5" xfId="197" xr:uid="{00000000-0005-0000-0000-0000C4000000}"/>
    <cellStyle name="Comma" xfId="198" builtinId="3"/>
    <cellStyle name="Comma [0] 2" xfId="199" xr:uid="{00000000-0005-0000-0000-0000C6000000}"/>
    <cellStyle name="Comma [0] 2 2" xfId="200" xr:uid="{00000000-0005-0000-0000-0000C7000000}"/>
    <cellStyle name="Comma 10" xfId="201" xr:uid="{00000000-0005-0000-0000-0000C8000000}"/>
    <cellStyle name="Comma 100" xfId="202" xr:uid="{00000000-0005-0000-0000-0000C9000000}"/>
    <cellStyle name="Comma 101" xfId="203" xr:uid="{00000000-0005-0000-0000-0000CA000000}"/>
    <cellStyle name="Comma 101 2" xfId="204" xr:uid="{00000000-0005-0000-0000-0000CB000000}"/>
    <cellStyle name="Comma 102" xfId="205" xr:uid="{00000000-0005-0000-0000-0000CC000000}"/>
    <cellStyle name="Comma 102 2" xfId="206" xr:uid="{00000000-0005-0000-0000-0000CD000000}"/>
    <cellStyle name="Comma 103" xfId="207" xr:uid="{00000000-0005-0000-0000-0000CE000000}"/>
    <cellStyle name="Comma 103 2" xfId="208" xr:uid="{00000000-0005-0000-0000-0000CF000000}"/>
    <cellStyle name="Comma 104" xfId="209" xr:uid="{00000000-0005-0000-0000-0000D0000000}"/>
    <cellStyle name="Comma 104 2" xfId="210" xr:uid="{00000000-0005-0000-0000-0000D1000000}"/>
    <cellStyle name="Comma 105" xfId="211" xr:uid="{00000000-0005-0000-0000-0000D2000000}"/>
    <cellStyle name="Comma 105 2" xfId="212" xr:uid="{00000000-0005-0000-0000-0000D3000000}"/>
    <cellStyle name="Comma 106" xfId="213" xr:uid="{00000000-0005-0000-0000-0000D4000000}"/>
    <cellStyle name="Comma 106 2" xfId="214" xr:uid="{00000000-0005-0000-0000-0000D5000000}"/>
    <cellStyle name="Comma 107" xfId="215" xr:uid="{00000000-0005-0000-0000-0000D6000000}"/>
    <cellStyle name="Comma 107 2" xfId="216" xr:uid="{00000000-0005-0000-0000-0000D7000000}"/>
    <cellStyle name="Comma 108" xfId="217" xr:uid="{00000000-0005-0000-0000-0000D8000000}"/>
    <cellStyle name="Comma 108 2" xfId="218" xr:uid="{00000000-0005-0000-0000-0000D9000000}"/>
    <cellStyle name="Comma 109" xfId="219" xr:uid="{00000000-0005-0000-0000-0000DA000000}"/>
    <cellStyle name="Comma 11" xfId="220" xr:uid="{00000000-0005-0000-0000-0000DB000000}"/>
    <cellStyle name="Comma 110" xfId="221" xr:uid="{00000000-0005-0000-0000-0000DC000000}"/>
    <cellStyle name="Comma 111" xfId="222" xr:uid="{00000000-0005-0000-0000-0000DD000000}"/>
    <cellStyle name="Comma 112" xfId="223" xr:uid="{00000000-0005-0000-0000-0000DE000000}"/>
    <cellStyle name="Comma 112 2" xfId="224" xr:uid="{00000000-0005-0000-0000-0000DF000000}"/>
    <cellStyle name="Comma 113" xfId="225" xr:uid="{00000000-0005-0000-0000-0000E0000000}"/>
    <cellStyle name="Comma 113 2" xfId="226" xr:uid="{00000000-0005-0000-0000-0000E1000000}"/>
    <cellStyle name="Comma 114" xfId="227" xr:uid="{00000000-0005-0000-0000-0000E2000000}"/>
    <cellStyle name="Comma 114 2" xfId="228" xr:uid="{00000000-0005-0000-0000-0000E3000000}"/>
    <cellStyle name="Comma 115" xfId="229" xr:uid="{00000000-0005-0000-0000-0000E4000000}"/>
    <cellStyle name="Comma 115 2" xfId="230" xr:uid="{00000000-0005-0000-0000-0000E5000000}"/>
    <cellStyle name="Comma 116" xfId="231" xr:uid="{00000000-0005-0000-0000-0000E6000000}"/>
    <cellStyle name="Comma 116 2" xfId="232" xr:uid="{00000000-0005-0000-0000-0000E7000000}"/>
    <cellStyle name="Comma 117" xfId="233" xr:uid="{00000000-0005-0000-0000-0000E8000000}"/>
    <cellStyle name="Comma 117 2" xfId="234" xr:uid="{00000000-0005-0000-0000-0000E9000000}"/>
    <cellStyle name="Comma 118" xfId="235" xr:uid="{00000000-0005-0000-0000-0000EA000000}"/>
    <cellStyle name="Comma 118 2" xfId="236" xr:uid="{00000000-0005-0000-0000-0000EB000000}"/>
    <cellStyle name="Comma 119" xfId="237" xr:uid="{00000000-0005-0000-0000-0000EC000000}"/>
    <cellStyle name="Comma 119 2" xfId="238" xr:uid="{00000000-0005-0000-0000-0000ED000000}"/>
    <cellStyle name="Comma 12" xfId="239" xr:uid="{00000000-0005-0000-0000-0000EE000000}"/>
    <cellStyle name="Comma 12 2" xfId="240" xr:uid="{00000000-0005-0000-0000-0000EF000000}"/>
    <cellStyle name="Comma 12 2 2" xfId="241" xr:uid="{00000000-0005-0000-0000-0000F0000000}"/>
    <cellStyle name="Comma 12 2 3" xfId="242" xr:uid="{00000000-0005-0000-0000-0000F1000000}"/>
    <cellStyle name="Comma 120" xfId="243" xr:uid="{00000000-0005-0000-0000-0000F2000000}"/>
    <cellStyle name="Comma 120 2" xfId="244" xr:uid="{00000000-0005-0000-0000-0000F3000000}"/>
    <cellStyle name="Comma 121" xfId="245" xr:uid="{00000000-0005-0000-0000-0000F4000000}"/>
    <cellStyle name="Comma 121 2" xfId="246" xr:uid="{00000000-0005-0000-0000-0000F5000000}"/>
    <cellStyle name="Comma 122" xfId="247" xr:uid="{00000000-0005-0000-0000-0000F6000000}"/>
    <cellStyle name="Comma 122 2" xfId="248" xr:uid="{00000000-0005-0000-0000-0000F7000000}"/>
    <cellStyle name="Comma 123" xfId="249" xr:uid="{00000000-0005-0000-0000-0000F8000000}"/>
    <cellStyle name="Comma 123 2" xfId="250" xr:uid="{00000000-0005-0000-0000-0000F9000000}"/>
    <cellStyle name="Comma 124" xfId="251" xr:uid="{00000000-0005-0000-0000-0000FA000000}"/>
    <cellStyle name="Comma 124 2" xfId="252" xr:uid="{00000000-0005-0000-0000-0000FB000000}"/>
    <cellStyle name="Comma 125" xfId="253" xr:uid="{00000000-0005-0000-0000-0000FC000000}"/>
    <cellStyle name="Comma 125 2" xfId="254" xr:uid="{00000000-0005-0000-0000-0000FD000000}"/>
    <cellStyle name="Comma 126" xfId="255" xr:uid="{00000000-0005-0000-0000-0000FE000000}"/>
    <cellStyle name="Comma 126 2" xfId="256" xr:uid="{00000000-0005-0000-0000-0000FF000000}"/>
    <cellStyle name="Comma 127" xfId="257" xr:uid="{00000000-0005-0000-0000-000000010000}"/>
    <cellStyle name="Comma 127 2" xfId="258" xr:uid="{00000000-0005-0000-0000-000001010000}"/>
    <cellStyle name="Comma 128" xfId="259" xr:uid="{00000000-0005-0000-0000-000002010000}"/>
    <cellStyle name="Comma 128 2" xfId="260" xr:uid="{00000000-0005-0000-0000-000003010000}"/>
    <cellStyle name="Comma 129" xfId="261" xr:uid="{00000000-0005-0000-0000-000004010000}"/>
    <cellStyle name="Comma 129 2" xfId="262" xr:uid="{00000000-0005-0000-0000-000005010000}"/>
    <cellStyle name="Comma 13" xfId="263" xr:uid="{00000000-0005-0000-0000-000006010000}"/>
    <cellStyle name="Comma 130" xfId="264" xr:uid="{00000000-0005-0000-0000-000007010000}"/>
    <cellStyle name="Comma 130 2" xfId="265" xr:uid="{00000000-0005-0000-0000-000008010000}"/>
    <cellStyle name="Comma 131" xfId="266" xr:uid="{00000000-0005-0000-0000-000009010000}"/>
    <cellStyle name="Comma 132" xfId="267" xr:uid="{00000000-0005-0000-0000-00000A010000}"/>
    <cellStyle name="Comma 133" xfId="268" xr:uid="{00000000-0005-0000-0000-00000B010000}"/>
    <cellStyle name="Comma 134" xfId="269" xr:uid="{00000000-0005-0000-0000-00000C010000}"/>
    <cellStyle name="Comma 135" xfId="270" xr:uid="{00000000-0005-0000-0000-00000D010000}"/>
    <cellStyle name="Comma 136" xfId="271" xr:uid="{00000000-0005-0000-0000-00000E010000}"/>
    <cellStyle name="Comma 137" xfId="272" xr:uid="{00000000-0005-0000-0000-00000F010000}"/>
    <cellStyle name="Comma 138" xfId="273" xr:uid="{00000000-0005-0000-0000-000010010000}"/>
    <cellStyle name="Comma 139" xfId="274" xr:uid="{00000000-0005-0000-0000-000011010000}"/>
    <cellStyle name="Comma 14" xfId="275" xr:uid="{00000000-0005-0000-0000-000012010000}"/>
    <cellStyle name="Comma 140" xfId="276" xr:uid="{00000000-0005-0000-0000-000013010000}"/>
    <cellStyle name="Comma 141" xfId="277" xr:uid="{00000000-0005-0000-0000-000014010000}"/>
    <cellStyle name="Comma 142" xfId="278" xr:uid="{00000000-0005-0000-0000-000015010000}"/>
    <cellStyle name="Comma 143" xfId="279" xr:uid="{00000000-0005-0000-0000-000016010000}"/>
    <cellStyle name="Comma 15" xfId="280" xr:uid="{00000000-0005-0000-0000-000017010000}"/>
    <cellStyle name="Comma 16" xfId="281" xr:uid="{00000000-0005-0000-0000-000018010000}"/>
    <cellStyle name="Comma 17" xfId="282" xr:uid="{00000000-0005-0000-0000-000019010000}"/>
    <cellStyle name="Comma 18" xfId="283" xr:uid="{00000000-0005-0000-0000-00001A010000}"/>
    <cellStyle name="Comma 19" xfId="284" xr:uid="{00000000-0005-0000-0000-00001B010000}"/>
    <cellStyle name="Comma 2" xfId="285" xr:uid="{00000000-0005-0000-0000-00001C010000}"/>
    <cellStyle name="Comma 2 2" xfId="286" xr:uid="{00000000-0005-0000-0000-00001D010000}"/>
    <cellStyle name="Comma 2 2 2" xfId="287" xr:uid="{00000000-0005-0000-0000-00001E010000}"/>
    <cellStyle name="Comma 2 3" xfId="288" xr:uid="{00000000-0005-0000-0000-00001F010000}"/>
    <cellStyle name="Comma 2 3 2" xfId="289" xr:uid="{00000000-0005-0000-0000-000020010000}"/>
    <cellStyle name="Comma 2 3 3" xfId="290" xr:uid="{00000000-0005-0000-0000-000021010000}"/>
    <cellStyle name="Comma 2 3 4" xfId="291" xr:uid="{00000000-0005-0000-0000-000022010000}"/>
    <cellStyle name="Comma 2 4" xfId="292" xr:uid="{00000000-0005-0000-0000-000023010000}"/>
    <cellStyle name="Comma 20" xfId="293" xr:uid="{00000000-0005-0000-0000-000024010000}"/>
    <cellStyle name="Comma 21" xfId="294" xr:uid="{00000000-0005-0000-0000-000025010000}"/>
    <cellStyle name="Comma 22" xfId="295" xr:uid="{00000000-0005-0000-0000-000026010000}"/>
    <cellStyle name="Comma 23" xfId="296" xr:uid="{00000000-0005-0000-0000-000027010000}"/>
    <cellStyle name="Comma 24" xfId="297" xr:uid="{00000000-0005-0000-0000-000028010000}"/>
    <cellStyle name="Comma 25" xfId="298" xr:uid="{00000000-0005-0000-0000-000029010000}"/>
    <cellStyle name="Comma 25 2" xfId="299" xr:uid="{00000000-0005-0000-0000-00002A010000}"/>
    <cellStyle name="Comma 26" xfId="300" xr:uid="{00000000-0005-0000-0000-00002B010000}"/>
    <cellStyle name="Comma 26 2" xfId="301" xr:uid="{00000000-0005-0000-0000-00002C010000}"/>
    <cellStyle name="Comma 27" xfId="302" xr:uid="{00000000-0005-0000-0000-00002D010000}"/>
    <cellStyle name="Comma 27 2" xfId="303" xr:uid="{00000000-0005-0000-0000-00002E010000}"/>
    <cellStyle name="Comma 28" xfId="304" xr:uid="{00000000-0005-0000-0000-00002F010000}"/>
    <cellStyle name="Comma 28 2" xfId="305" xr:uid="{00000000-0005-0000-0000-000030010000}"/>
    <cellStyle name="Comma 29" xfId="306" xr:uid="{00000000-0005-0000-0000-000031010000}"/>
    <cellStyle name="Comma 29 2" xfId="307" xr:uid="{00000000-0005-0000-0000-000032010000}"/>
    <cellStyle name="Comma 3" xfId="308" xr:uid="{00000000-0005-0000-0000-000033010000}"/>
    <cellStyle name="Comma 3 10" xfId="309" xr:uid="{00000000-0005-0000-0000-000034010000}"/>
    <cellStyle name="Comma 3 10 2" xfId="310" xr:uid="{00000000-0005-0000-0000-000035010000}"/>
    <cellStyle name="Comma 3 10 3" xfId="311" xr:uid="{00000000-0005-0000-0000-000036010000}"/>
    <cellStyle name="Comma 3 11" xfId="312" xr:uid="{00000000-0005-0000-0000-000037010000}"/>
    <cellStyle name="Comma 3 11 2" xfId="313" xr:uid="{00000000-0005-0000-0000-000038010000}"/>
    <cellStyle name="Comma 3 12" xfId="314" xr:uid="{00000000-0005-0000-0000-000039010000}"/>
    <cellStyle name="Comma 3 12 2" xfId="315" xr:uid="{00000000-0005-0000-0000-00003A010000}"/>
    <cellStyle name="Comma 3 13" xfId="316" xr:uid="{00000000-0005-0000-0000-00003B010000}"/>
    <cellStyle name="Comma 3 13 2" xfId="317" xr:uid="{00000000-0005-0000-0000-00003C010000}"/>
    <cellStyle name="Comma 3 14" xfId="318" xr:uid="{00000000-0005-0000-0000-00003D010000}"/>
    <cellStyle name="Comma 3 15" xfId="319" xr:uid="{00000000-0005-0000-0000-00003E010000}"/>
    <cellStyle name="Comma 3 2" xfId="320" xr:uid="{00000000-0005-0000-0000-00003F010000}"/>
    <cellStyle name="Comma 3 2 2" xfId="321" xr:uid="{00000000-0005-0000-0000-000040010000}"/>
    <cellStyle name="Comma 3 3" xfId="322" xr:uid="{00000000-0005-0000-0000-000041010000}"/>
    <cellStyle name="Comma 3 3 2" xfId="323" xr:uid="{00000000-0005-0000-0000-000042010000}"/>
    <cellStyle name="Comma 3 3 2 2" xfId="324" xr:uid="{00000000-0005-0000-0000-000043010000}"/>
    <cellStyle name="Comma 3 3 2 3" xfId="325" xr:uid="{00000000-0005-0000-0000-000044010000}"/>
    <cellStyle name="Comma 3 3 3" xfId="326" xr:uid="{00000000-0005-0000-0000-000045010000}"/>
    <cellStyle name="Comma 3 3 3 2" xfId="327" xr:uid="{00000000-0005-0000-0000-000046010000}"/>
    <cellStyle name="Comma 3 3 3 2 2" xfId="328" xr:uid="{00000000-0005-0000-0000-000047010000}"/>
    <cellStyle name="Comma 3 3 3 2 3" xfId="329" xr:uid="{00000000-0005-0000-0000-000048010000}"/>
    <cellStyle name="Comma 3 3 3 2 4" xfId="330" xr:uid="{00000000-0005-0000-0000-000049010000}"/>
    <cellStyle name="Comma 3 3 3 2 5" xfId="331" xr:uid="{00000000-0005-0000-0000-00004A010000}"/>
    <cellStyle name="Comma 3 3 3 3" xfId="332" xr:uid="{00000000-0005-0000-0000-00004B010000}"/>
    <cellStyle name="Comma 3 3 4" xfId="333" xr:uid="{00000000-0005-0000-0000-00004C010000}"/>
    <cellStyle name="Comma 3 3 5" xfId="334" xr:uid="{00000000-0005-0000-0000-00004D010000}"/>
    <cellStyle name="Comma 3 3 5 2" xfId="335" xr:uid="{00000000-0005-0000-0000-00004E010000}"/>
    <cellStyle name="Comma 3 3 5 3" xfId="336" xr:uid="{00000000-0005-0000-0000-00004F010000}"/>
    <cellStyle name="Comma 3 3 5 4" xfId="337" xr:uid="{00000000-0005-0000-0000-000050010000}"/>
    <cellStyle name="Comma 3 3 5 5" xfId="338" xr:uid="{00000000-0005-0000-0000-000051010000}"/>
    <cellStyle name="Comma 3 3 6" xfId="339" xr:uid="{00000000-0005-0000-0000-000052010000}"/>
    <cellStyle name="Comma 3 4" xfId="340" xr:uid="{00000000-0005-0000-0000-000053010000}"/>
    <cellStyle name="Comma 3 4 2" xfId="341" xr:uid="{00000000-0005-0000-0000-000054010000}"/>
    <cellStyle name="Comma 3 4 3" xfId="342" xr:uid="{00000000-0005-0000-0000-000055010000}"/>
    <cellStyle name="Comma 3 4 4" xfId="343" xr:uid="{00000000-0005-0000-0000-000056010000}"/>
    <cellStyle name="Comma 3 4 4 2" xfId="344" xr:uid="{00000000-0005-0000-0000-000057010000}"/>
    <cellStyle name="Comma 3 4 4 3" xfId="345" xr:uid="{00000000-0005-0000-0000-000058010000}"/>
    <cellStyle name="Comma 3 4 4 4" xfId="346" xr:uid="{00000000-0005-0000-0000-000059010000}"/>
    <cellStyle name="Comma 3 4 4 5" xfId="347" xr:uid="{00000000-0005-0000-0000-00005A010000}"/>
    <cellStyle name="Comma 3 4 5" xfId="348" xr:uid="{00000000-0005-0000-0000-00005B010000}"/>
    <cellStyle name="Comma 3 5" xfId="349" xr:uid="{00000000-0005-0000-0000-00005C010000}"/>
    <cellStyle name="Comma 3 5 2" xfId="350" xr:uid="{00000000-0005-0000-0000-00005D010000}"/>
    <cellStyle name="Comma 3 5 3" xfId="351" xr:uid="{00000000-0005-0000-0000-00005E010000}"/>
    <cellStyle name="Comma 3 5 3 2" xfId="352" xr:uid="{00000000-0005-0000-0000-00005F010000}"/>
    <cellStyle name="Comma 3 5 3 3" xfId="353" xr:uid="{00000000-0005-0000-0000-000060010000}"/>
    <cellStyle name="Comma 3 6" xfId="354" xr:uid="{00000000-0005-0000-0000-000061010000}"/>
    <cellStyle name="Comma 3 6 2" xfId="355" xr:uid="{00000000-0005-0000-0000-000062010000}"/>
    <cellStyle name="Comma 3 6 3" xfId="356" xr:uid="{00000000-0005-0000-0000-000063010000}"/>
    <cellStyle name="Comma 3 6 4" xfId="357" xr:uid="{00000000-0005-0000-0000-000064010000}"/>
    <cellStyle name="Comma 3 7" xfId="358" xr:uid="{00000000-0005-0000-0000-000065010000}"/>
    <cellStyle name="Comma 3 7 2" xfId="359" xr:uid="{00000000-0005-0000-0000-000066010000}"/>
    <cellStyle name="Comma 3 7 3" xfId="360" xr:uid="{00000000-0005-0000-0000-000067010000}"/>
    <cellStyle name="Comma 3 7 4" xfId="361" xr:uid="{00000000-0005-0000-0000-000068010000}"/>
    <cellStyle name="Comma 3 8" xfId="362" xr:uid="{00000000-0005-0000-0000-000069010000}"/>
    <cellStyle name="Comma 3 8 2" xfId="363" xr:uid="{00000000-0005-0000-0000-00006A010000}"/>
    <cellStyle name="Comma 3 8 3" xfId="364" xr:uid="{00000000-0005-0000-0000-00006B010000}"/>
    <cellStyle name="Comma 3 8 4" xfId="365" xr:uid="{00000000-0005-0000-0000-00006C010000}"/>
    <cellStyle name="Comma 3 9" xfId="366" xr:uid="{00000000-0005-0000-0000-00006D010000}"/>
    <cellStyle name="Comma 3 9 2" xfId="367" xr:uid="{00000000-0005-0000-0000-00006E010000}"/>
    <cellStyle name="Comma 3 9 3" xfId="368" xr:uid="{00000000-0005-0000-0000-00006F010000}"/>
    <cellStyle name="Comma 3 9 4" xfId="369" xr:uid="{00000000-0005-0000-0000-000070010000}"/>
    <cellStyle name="Comma 30" xfId="370" xr:uid="{00000000-0005-0000-0000-000071010000}"/>
    <cellStyle name="Comma 31" xfId="371" xr:uid="{00000000-0005-0000-0000-000072010000}"/>
    <cellStyle name="Comma 32" xfId="372" xr:uid="{00000000-0005-0000-0000-000073010000}"/>
    <cellStyle name="Comma 33" xfId="373" xr:uid="{00000000-0005-0000-0000-000074010000}"/>
    <cellStyle name="Comma 34" xfId="374" xr:uid="{00000000-0005-0000-0000-000075010000}"/>
    <cellStyle name="Comma 35" xfId="375" xr:uid="{00000000-0005-0000-0000-000076010000}"/>
    <cellStyle name="Comma 36" xfId="376" xr:uid="{00000000-0005-0000-0000-000077010000}"/>
    <cellStyle name="Comma 37" xfId="377" xr:uid="{00000000-0005-0000-0000-000078010000}"/>
    <cellStyle name="Comma 38" xfId="378" xr:uid="{00000000-0005-0000-0000-000079010000}"/>
    <cellStyle name="Comma 39" xfId="379" xr:uid="{00000000-0005-0000-0000-00007A010000}"/>
    <cellStyle name="Comma 4" xfId="380" xr:uid="{00000000-0005-0000-0000-00007B010000}"/>
    <cellStyle name="Comma 4 2" xfId="381" xr:uid="{00000000-0005-0000-0000-00007C010000}"/>
    <cellStyle name="Comma 4 2 2" xfId="382" xr:uid="{00000000-0005-0000-0000-00007D010000}"/>
    <cellStyle name="Comma 4 2 2 2" xfId="383" xr:uid="{00000000-0005-0000-0000-00007E010000}"/>
    <cellStyle name="Comma 4 2 2 3" xfId="384" xr:uid="{00000000-0005-0000-0000-00007F010000}"/>
    <cellStyle name="Comma 4 2 2 4" xfId="385" xr:uid="{00000000-0005-0000-0000-000080010000}"/>
    <cellStyle name="Comma 4 2 2 5" xfId="386" xr:uid="{00000000-0005-0000-0000-000081010000}"/>
    <cellStyle name="Comma 4 2 3" xfId="387" xr:uid="{00000000-0005-0000-0000-000082010000}"/>
    <cellStyle name="Comma 4 2 3 2" xfId="388" xr:uid="{00000000-0005-0000-0000-000083010000}"/>
    <cellStyle name="Comma 4 2 3 2 2" xfId="389" xr:uid="{00000000-0005-0000-0000-000084010000}"/>
    <cellStyle name="Comma 4 2 3 3" xfId="390" xr:uid="{00000000-0005-0000-0000-000085010000}"/>
    <cellStyle name="Comma 4 2 3 3 2" xfId="391" xr:uid="{00000000-0005-0000-0000-000086010000}"/>
    <cellStyle name="Comma 4 2 3 4" xfId="392" xr:uid="{00000000-0005-0000-0000-000087010000}"/>
    <cellStyle name="Comma 4 2 4" xfId="393" xr:uid="{00000000-0005-0000-0000-000088010000}"/>
    <cellStyle name="Comma 4 2 4 2" xfId="394" xr:uid="{00000000-0005-0000-0000-000089010000}"/>
    <cellStyle name="Comma 4 2 4 3" xfId="395" xr:uid="{00000000-0005-0000-0000-00008A010000}"/>
    <cellStyle name="Comma 4 2 4 4" xfId="396" xr:uid="{00000000-0005-0000-0000-00008B010000}"/>
    <cellStyle name="Comma 4 2 5" xfId="397" xr:uid="{00000000-0005-0000-0000-00008C010000}"/>
    <cellStyle name="Comma 4 2 6" xfId="398" xr:uid="{00000000-0005-0000-0000-00008D010000}"/>
    <cellStyle name="Comma 4 2 7" xfId="399" xr:uid="{00000000-0005-0000-0000-00008E010000}"/>
    <cellStyle name="Comma 4 3" xfId="400" xr:uid="{00000000-0005-0000-0000-00008F010000}"/>
    <cellStyle name="Comma 4 3 2" xfId="401" xr:uid="{00000000-0005-0000-0000-000090010000}"/>
    <cellStyle name="Comma 4 3 2 2" xfId="402" xr:uid="{00000000-0005-0000-0000-000091010000}"/>
    <cellStyle name="Comma 4 3 2 2 2" xfId="403" xr:uid="{00000000-0005-0000-0000-000092010000}"/>
    <cellStyle name="Comma 4 3 2 3" xfId="404" xr:uid="{00000000-0005-0000-0000-000093010000}"/>
    <cellStyle name="Comma 4 3 2 3 2" xfId="405" xr:uid="{00000000-0005-0000-0000-000094010000}"/>
    <cellStyle name="Comma 4 3 2 4" xfId="406" xr:uid="{00000000-0005-0000-0000-000095010000}"/>
    <cellStyle name="Comma 4 3 3" xfId="407" xr:uid="{00000000-0005-0000-0000-000096010000}"/>
    <cellStyle name="Comma 4 3 4" xfId="408" xr:uid="{00000000-0005-0000-0000-000097010000}"/>
    <cellStyle name="Comma 4 3 4 2" xfId="409" xr:uid="{00000000-0005-0000-0000-000098010000}"/>
    <cellStyle name="Comma 4 3 4 3" xfId="410" xr:uid="{00000000-0005-0000-0000-000099010000}"/>
    <cellStyle name="Comma 4 3 5" xfId="411" xr:uid="{00000000-0005-0000-0000-00009A010000}"/>
    <cellStyle name="Comma 4 3 5 2" xfId="412" xr:uid="{00000000-0005-0000-0000-00009B010000}"/>
    <cellStyle name="Comma 4 3 6" xfId="413" xr:uid="{00000000-0005-0000-0000-00009C010000}"/>
    <cellStyle name="Comma 4 3 6 2" xfId="414" xr:uid="{00000000-0005-0000-0000-00009D010000}"/>
    <cellStyle name="Comma 4 3 7" xfId="415" xr:uid="{00000000-0005-0000-0000-00009E010000}"/>
    <cellStyle name="Comma 4 4" xfId="416" xr:uid="{00000000-0005-0000-0000-00009F010000}"/>
    <cellStyle name="Comma 4 4 2" xfId="417" xr:uid="{00000000-0005-0000-0000-0000A0010000}"/>
    <cellStyle name="Comma 4 4 3" xfId="418" xr:uid="{00000000-0005-0000-0000-0000A1010000}"/>
    <cellStyle name="Comma 4 4 4" xfId="419" xr:uid="{00000000-0005-0000-0000-0000A2010000}"/>
    <cellStyle name="Comma 4 4 5" xfId="420" xr:uid="{00000000-0005-0000-0000-0000A3010000}"/>
    <cellStyle name="Comma 4 5" xfId="421" xr:uid="{00000000-0005-0000-0000-0000A4010000}"/>
    <cellStyle name="Comma 4 5 2" xfId="422" xr:uid="{00000000-0005-0000-0000-0000A5010000}"/>
    <cellStyle name="Comma 4 6" xfId="423" xr:uid="{00000000-0005-0000-0000-0000A6010000}"/>
    <cellStyle name="Comma 4 7" xfId="424" xr:uid="{00000000-0005-0000-0000-0000A7010000}"/>
    <cellStyle name="Comma 4 7 2" xfId="425" xr:uid="{00000000-0005-0000-0000-0000A8010000}"/>
    <cellStyle name="Comma 4 7 3" xfId="426" xr:uid="{00000000-0005-0000-0000-0000A9010000}"/>
    <cellStyle name="Comma 40" xfId="427" xr:uid="{00000000-0005-0000-0000-0000AA010000}"/>
    <cellStyle name="Comma 41" xfId="428" xr:uid="{00000000-0005-0000-0000-0000AB010000}"/>
    <cellStyle name="Comma 42" xfId="429" xr:uid="{00000000-0005-0000-0000-0000AC010000}"/>
    <cellStyle name="Comma 43" xfId="430" xr:uid="{00000000-0005-0000-0000-0000AD010000}"/>
    <cellStyle name="Comma 44" xfId="431" xr:uid="{00000000-0005-0000-0000-0000AE010000}"/>
    <cellStyle name="Comma 45" xfId="432" xr:uid="{00000000-0005-0000-0000-0000AF010000}"/>
    <cellStyle name="Comma 46" xfId="433" xr:uid="{00000000-0005-0000-0000-0000B0010000}"/>
    <cellStyle name="Comma 47" xfId="434" xr:uid="{00000000-0005-0000-0000-0000B1010000}"/>
    <cellStyle name="Comma 48" xfId="435" xr:uid="{00000000-0005-0000-0000-0000B2010000}"/>
    <cellStyle name="Comma 49" xfId="436" xr:uid="{00000000-0005-0000-0000-0000B3010000}"/>
    <cellStyle name="Comma 5" xfId="437" xr:uid="{00000000-0005-0000-0000-0000B4010000}"/>
    <cellStyle name="Comma 5 2" xfId="438" xr:uid="{00000000-0005-0000-0000-0000B5010000}"/>
    <cellStyle name="Comma 5 2 2" xfId="439" xr:uid="{00000000-0005-0000-0000-0000B6010000}"/>
    <cellStyle name="Comma 5 2 3" xfId="440" xr:uid="{00000000-0005-0000-0000-0000B7010000}"/>
    <cellStyle name="Comma 5 3" xfId="441" xr:uid="{00000000-0005-0000-0000-0000B8010000}"/>
    <cellStyle name="Comma 50" xfId="442" xr:uid="{00000000-0005-0000-0000-0000B9010000}"/>
    <cellStyle name="Comma 51" xfId="443" xr:uid="{00000000-0005-0000-0000-0000BA010000}"/>
    <cellStyle name="Comma 52" xfId="444" xr:uid="{00000000-0005-0000-0000-0000BB010000}"/>
    <cellStyle name="Comma 52 2" xfId="445" xr:uid="{00000000-0005-0000-0000-0000BC010000}"/>
    <cellStyle name="Comma 53" xfId="446" xr:uid="{00000000-0005-0000-0000-0000BD010000}"/>
    <cellStyle name="Comma 54" xfId="447" xr:uid="{00000000-0005-0000-0000-0000BE010000}"/>
    <cellStyle name="Comma 55" xfId="448" xr:uid="{00000000-0005-0000-0000-0000BF010000}"/>
    <cellStyle name="Comma 56" xfId="449" xr:uid="{00000000-0005-0000-0000-0000C0010000}"/>
    <cellStyle name="Comma 57" xfId="450" xr:uid="{00000000-0005-0000-0000-0000C1010000}"/>
    <cellStyle name="Comma 57 2" xfId="451" xr:uid="{00000000-0005-0000-0000-0000C2010000}"/>
    <cellStyle name="Comma 57 3" xfId="452" xr:uid="{00000000-0005-0000-0000-0000C3010000}"/>
    <cellStyle name="Comma 57 4" xfId="453" xr:uid="{00000000-0005-0000-0000-0000C4010000}"/>
    <cellStyle name="Comma 57 5" xfId="454" xr:uid="{00000000-0005-0000-0000-0000C5010000}"/>
    <cellStyle name="Comma 58" xfId="455" xr:uid="{00000000-0005-0000-0000-0000C6010000}"/>
    <cellStyle name="Comma 58 2" xfId="456" xr:uid="{00000000-0005-0000-0000-0000C7010000}"/>
    <cellStyle name="Comma 58 3" xfId="457" xr:uid="{00000000-0005-0000-0000-0000C8010000}"/>
    <cellStyle name="Comma 58 4" xfId="458" xr:uid="{00000000-0005-0000-0000-0000C9010000}"/>
    <cellStyle name="Comma 58 5" xfId="459" xr:uid="{00000000-0005-0000-0000-0000CA010000}"/>
    <cellStyle name="Comma 59" xfId="460" xr:uid="{00000000-0005-0000-0000-0000CB010000}"/>
    <cellStyle name="Comma 59 2" xfId="461" xr:uid="{00000000-0005-0000-0000-0000CC010000}"/>
    <cellStyle name="Comma 59 3" xfId="462" xr:uid="{00000000-0005-0000-0000-0000CD010000}"/>
    <cellStyle name="Comma 59 4" xfId="463" xr:uid="{00000000-0005-0000-0000-0000CE010000}"/>
    <cellStyle name="Comma 59 5" xfId="464" xr:uid="{00000000-0005-0000-0000-0000CF010000}"/>
    <cellStyle name="Comma 6" xfId="465" xr:uid="{00000000-0005-0000-0000-0000D0010000}"/>
    <cellStyle name="Comma 6 2" xfId="466" xr:uid="{00000000-0005-0000-0000-0000D1010000}"/>
    <cellStyle name="Comma 6 3" xfId="467" xr:uid="{00000000-0005-0000-0000-0000D2010000}"/>
    <cellStyle name="Comma 6 4" xfId="468" xr:uid="{00000000-0005-0000-0000-0000D3010000}"/>
    <cellStyle name="Comma 6 4 2" xfId="469" xr:uid="{00000000-0005-0000-0000-0000D4010000}"/>
    <cellStyle name="Comma 6 4 3" xfId="470" xr:uid="{00000000-0005-0000-0000-0000D5010000}"/>
    <cellStyle name="Comma 6 4 4" xfId="471" xr:uid="{00000000-0005-0000-0000-0000D6010000}"/>
    <cellStyle name="Comma 6 4 5" xfId="472" xr:uid="{00000000-0005-0000-0000-0000D7010000}"/>
    <cellStyle name="Comma 6 5" xfId="473" xr:uid="{00000000-0005-0000-0000-0000D8010000}"/>
    <cellStyle name="Comma 6 6" xfId="474" xr:uid="{00000000-0005-0000-0000-0000D9010000}"/>
    <cellStyle name="Comma 6 7" xfId="475" xr:uid="{00000000-0005-0000-0000-0000DA010000}"/>
    <cellStyle name="Comma 6 7 2" xfId="476" xr:uid="{00000000-0005-0000-0000-0000DB010000}"/>
    <cellStyle name="Comma 6 7 3" xfId="477" xr:uid="{00000000-0005-0000-0000-0000DC010000}"/>
    <cellStyle name="Comma 60" xfId="478" xr:uid="{00000000-0005-0000-0000-0000DD010000}"/>
    <cellStyle name="Comma 60 2" xfId="479" xr:uid="{00000000-0005-0000-0000-0000DE010000}"/>
    <cellStyle name="Comma 60 3" xfId="480" xr:uid="{00000000-0005-0000-0000-0000DF010000}"/>
    <cellStyle name="Comma 60 4" xfId="481" xr:uid="{00000000-0005-0000-0000-0000E0010000}"/>
    <cellStyle name="Comma 60 5" xfId="482" xr:uid="{00000000-0005-0000-0000-0000E1010000}"/>
    <cellStyle name="Comma 61" xfId="483" xr:uid="{00000000-0005-0000-0000-0000E2010000}"/>
    <cellStyle name="Comma 61 2" xfId="484" xr:uid="{00000000-0005-0000-0000-0000E3010000}"/>
    <cellStyle name="Comma 61 3" xfId="485" xr:uid="{00000000-0005-0000-0000-0000E4010000}"/>
    <cellStyle name="Comma 61 4" xfId="486" xr:uid="{00000000-0005-0000-0000-0000E5010000}"/>
    <cellStyle name="Comma 61 5" xfId="487" xr:uid="{00000000-0005-0000-0000-0000E6010000}"/>
    <cellStyle name="Comma 62" xfId="488" xr:uid="{00000000-0005-0000-0000-0000E7010000}"/>
    <cellStyle name="Comma 62 2" xfId="489" xr:uid="{00000000-0005-0000-0000-0000E8010000}"/>
    <cellStyle name="Comma 62 3" xfId="490" xr:uid="{00000000-0005-0000-0000-0000E9010000}"/>
    <cellStyle name="Comma 62 4" xfId="491" xr:uid="{00000000-0005-0000-0000-0000EA010000}"/>
    <cellStyle name="Comma 63" xfId="492" xr:uid="{00000000-0005-0000-0000-0000EB010000}"/>
    <cellStyle name="Comma 63 2" xfId="493" xr:uid="{00000000-0005-0000-0000-0000EC010000}"/>
    <cellStyle name="Comma 63 3" xfId="494" xr:uid="{00000000-0005-0000-0000-0000ED010000}"/>
    <cellStyle name="Comma 63 4" xfId="495" xr:uid="{00000000-0005-0000-0000-0000EE010000}"/>
    <cellStyle name="Comma 64" xfId="496" xr:uid="{00000000-0005-0000-0000-0000EF010000}"/>
    <cellStyle name="Comma 64 2" xfId="497" xr:uid="{00000000-0005-0000-0000-0000F0010000}"/>
    <cellStyle name="Comma 64 3" xfId="498" xr:uid="{00000000-0005-0000-0000-0000F1010000}"/>
    <cellStyle name="Comma 64 4" xfId="499" xr:uid="{00000000-0005-0000-0000-0000F2010000}"/>
    <cellStyle name="Comma 65" xfId="500" xr:uid="{00000000-0005-0000-0000-0000F3010000}"/>
    <cellStyle name="Comma 65 2" xfId="501" xr:uid="{00000000-0005-0000-0000-0000F4010000}"/>
    <cellStyle name="Comma 65 3" xfId="502" xr:uid="{00000000-0005-0000-0000-0000F5010000}"/>
    <cellStyle name="Comma 65 4" xfId="503" xr:uid="{00000000-0005-0000-0000-0000F6010000}"/>
    <cellStyle name="Comma 66" xfId="504" xr:uid="{00000000-0005-0000-0000-0000F7010000}"/>
    <cellStyle name="Comma 66 2" xfId="505" xr:uid="{00000000-0005-0000-0000-0000F8010000}"/>
    <cellStyle name="Comma 66 3" xfId="506" xr:uid="{00000000-0005-0000-0000-0000F9010000}"/>
    <cellStyle name="Comma 66 4" xfId="507" xr:uid="{00000000-0005-0000-0000-0000FA010000}"/>
    <cellStyle name="Comma 67" xfId="508" xr:uid="{00000000-0005-0000-0000-0000FB010000}"/>
    <cellStyle name="Comma 67 2" xfId="509" xr:uid="{00000000-0005-0000-0000-0000FC010000}"/>
    <cellStyle name="Comma 67 3" xfId="510" xr:uid="{00000000-0005-0000-0000-0000FD010000}"/>
    <cellStyle name="Comma 67 4" xfId="511" xr:uid="{00000000-0005-0000-0000-0000FE010000}"/>
    <cellStyle name="Comma 68" xfId="512" xr:uid="{00000000-0005-0000-0000-0000FF010000}"/>
    <cellStyle name="Comma 68 2" xfId="513" xr:uid="{00000000-0005-0000-0000-000000020000}"/>
    <cellStyle name="Comma 68 3" xfId="514" xr:uid="{00000000-0005-0000-0000-000001020000}"/>
    <cellStyle name="Comma 68 4" xfId="515" xr:uid="{00000000-0005-0000-0000-000002020000}"/>
    <cellStyle name="Comma 69" xfId="516" xr:uid="{00000000-0005-0000-0000-000003020000}"/>
    <cellStyle name="Comma 69 2" xfId="517" xr:uid="{00000000-0005-0000-0000-000004020000}"/>
    <cellStyle name="Comma 7" xfId="518" xr:uid="{00000000-0005-0000-0000-000005020000}"/>
    <cellStyle name="Comma 7 2" xfId="519" xr:uid="{00000000-0005-0000-0000-000006020000}"/>
    <cellStyle name="Comma 70" xfId="520" xr:uid="{00000000-0005-0000-0000-000007020000}"/>
    <cellStyle name="Comma 70 2" xfId="521" xr:uid="{00000000-0005-0000-0000-000008020000}"/>
    <cellStyle name="Comma 71" xfId="522" xr:uid="{00000000-0005-0000-0000-000009020000}"/>
    <cellStyle name="Comma 71 2" xfId="523" xr:uid="{00000000-0005-0000-0000-00000A020000}"/>
    <cellStyle name="Comma 72" xfId="524" xr:uid="{00000000-0005-0000-0000-00000B020000}"/>
    <cellStyle name="Comma 72 2" xfId="525" xr:uid="{00000000-0005-0000-0000-00000C020000}"/>
    <cellStyle name="Comma 72 3" xfId="526" xr:uid="{00000000-0005-0000-0000-00000D020000}"/>
    <cellStyle name="Comma 72 4" xfId="527" xr:uid="{00000000-0005-0000-0000-00000E020000}"/>
    <cellStyle name="Comma 73" xfId="528" xr:uid="{00000000-0005-0000-0000-00000F020000}"/>
    <cellStyle name="Comma 73 2" xfId="529" xr:uid="{00000000-0005-0000-0000-000010020000}"/>
    <cellStyle name="Comma 73 3" xfId="530" xr:uid="{00000000-0005-0000-0000-000011020000}"/>
    <cellStyle name="Comma 73 4" xfId="531" xr:uid="{00000000-0005-0000-0000-000012020000}"/>
    <cellStyle name="Comma 74" xfId="532" xr:uid="{00000000-0005-0000-0000-000013020000}"/>
    <cellStyle name="Comma 74 2" xfId="533" xr:uid="{00000000-0005-0000-0000-000014020000}"/>
    <cellStyle name="Comma 74 3" xfId="534" xr:uid="{00000000-0005-0000-0000-000015020000}"/>
    <cellStyle name="Comma 74 4" xfId="535" xr:uid="{00000000-0005-0000-0000-000016020000}"/>
    <cellStyle name="Comma 75" xfId="536" xr:uid="{00000000-0005-0000-0000-000017020000}"/>
    <cellStyle name="Comma 75 2" xfId="537" xr:uid="{00000000-0005-0000-0000-000018020000}"/>
    <cellStyle name="Comma 75 3" xfId="538" xr:uid="{00000000-0005-0000-0000-000019020000}"/>
    <cellStyle name="Comma 75 4" xfId="539" xr:uid="{00000000-0005-0000-0000-00001A020000}"/>
    <cellStyle name="Comma 76" xfId="540" xr:uid="{00000000-0005-0000-0000-00001B020000}"/>
    <cellStyle name="Comma 76 2" xfId="541" xr:uid="{00000000-0005-0000-0000-00001C020000}"/>
    <cellStyle name="Comma 76 3" xfId="542" xr:uid="{00000000-0005-0000-0000-00001D020000}"/>
    <cellStyle name="Comma 76 4" xfId="543" xr:uid="{00000000-0005-0000-0000-00001E020000}"/>
    <cellStyle name="Comma 77" xfId="544" xr:uid="{00000000-0005-0000-0000-00001F020000}"/>
    <cellStyle name="Comma 77 2" xfId="545" xr:uid="{00000000-0005-0000-0000-000020020000}"/>
    <cellStyle name="Comma 77 3" xfId="546" xr:uid="{00000000-0005-0000-0000-000021020000}"/>
    <cellStyle name="Comma 77 4" xfId="547" xr:uid="{00000000-0005-0000-0000-000022020000}"/>
    <cellStyle name="Comma 78" xfId="548" xr:uid="{00000000-0005-0000-0000-000023020000}"/>
    <cellStyle name="Comma 78 2" xfId="549" xr:uid="{00000000-0005-0000-0000-000024020000}"/>
    <cellStyle name="Comma 78 3" xfId="550" xr:uid="{00000000-0005-0000-0000-000025020000}"/>
    <cellStyle name="Comma 78 4" xfId="551" xr:uid="{00000000-0005-0000-0000-000026020000}"/>
    <cellStyle name="Comma 79" xfId="552" xr:uid="{00000000-0005-0000-0000-000027020000}"/>
    <cellStyle name="Comma 79 2" xfId="553" xr:uid="{00000000-0005-0000-0000-000028020000}"/>
    <cellStyle name="Comma 79 3" xfId="554" xr:uid="{00000000-0005-0000-0000-000029020000}"/>
    <cellStyle name="Comma 79 4" xfId="555" xr:uid="{00000000-0005-0000-0000-00002A020000}"/>
    <cellStyle name="Comma 8" xfId="556" xr:uid="{00000000-0005-0000-0000-00002B020000}"/>
    <cellStyle name="Comma 80" xfId="557" xr:uid="{00000000-0005-0000-0000-00002C020000}"/>
    <cellStyle name="Comma 80 2" xfId="558" xr:uid="{00000000-0005-0000-0000-00002D020000}"/>
    <cellStyle name="Comma 80 3" xfId="559" xr:uid="{00000000-0005-0000-0000-00002E020000}"/>
    <cellStyle name="Comma 80 4" xfId="560" xr:uid="{00000000-0005-0000-0000-00002F020000}"/>
    <cellStyle name="Comma 81" xfId="561" xr:uid="{00000000-0005-0000-0000-000030020000}"/>
    <cellStyle name="Comma 81 2" xfId="562" xr:uid="{00000000-0005-0000-0000-000031020000}"/>
    <cellStyle name="Comma 81 3" xfId="563" xr:uid="{00000000-0005-0000-0000-000032020000}"/>
    <cellStyle name="Comma 81 4" xfId="564" xr:uid="{00000000-0005-0000-0000-000033020000}"/>
    <cellStyle name="Comma 82" xfId="565" xr:uid="{00000000-0005-0000-0000-000034020000}"/>
    <cellStyle name="Comma 82 2" xfId="566" xr:uid="{00000000-0005-0000-0000-000035020000}"/>
    <cellStyle name="Comma 82 3" xfId="567" xr:uid="{00000000-0005-0000-0000-000036020000}"/>
    <cellStyle name="Comma 82 4" xfId="568" xr:uid="{00000000-0005-0000-0000-000037020000}"/>
    <cellStyle name="Comma 83" xfId="569" xr:uid="{00000000-0005-0000-0000-000038020000}"/>
    <cellStyle name="Comma 83 2" xfId="570" xr:uid="{00000000-0005-0000-0000-000039020000}"/>
    <cellStyle name="Comma 83 3" xfId="571" xr:uid="{00000000-0005-0000-0000-00003A020000}"/>
    <cellStyle name="Comma 83 4" xfId="572" xr:uid="{00000000-0005-0000-0000-00003B020000}"/>
    <cellStyle name="Comma 84" xfId="573" xr:uid="{00000000-0005-0000-0000-00003C020000}"/>
    <cellStyle name="Comma 84 2" xfId="574" xr:uid="{00000000-0005-0000-0000-00003D020000}"/>
    <cellStyle name="Comma 84 3" xfId="575" xr:uid="{00000000-0005-0000-0000-00003E020000}"/>
    <cellStyle name="Comma 84 4" xfId="576" xr:uid="{00000000-0005-0000-0000-00003F020000}"/>
    <cellStyle name="Comma 85" xfId="577" xr:uid="{00000000-0005-0000-0000-000040020000}"/>
    <cellStyle name="Comma 85 2" xfId="578" xr:uid="{00000000-0005-0000-0000-000041020000}"/>
    <cellStyle name="Comma 85 3" xfId="579" xr:uid="{00000000-0005-0000-0000-000042020000}"/>
    <cellStyle name="Comma 85 4" xfId="580" xr:uid="{00000000-0005-0000-0000-000043020000}"/>
    <cellStyle name="Comma 86" xfId="581" xr:uid="{00000000-0005-0000-0000-000044020000}"/>
    <cellStyle name="Comma 86 2" xfId="582" xr:uid="{00000000-0005-0000-0000-000045020000}"/>
    <cellStyle name="Comma 86 3" xfId="583" xr:uid="{00000000-0005-0000-0000-000046020000}"/>
    <cellStyle name="Comma 86 4" xfId="584" xr:uid="{00000000-0005-0000-0000-000047020000}"/>
    <cellStyle name="Comma 87" xfId="585" xr:uid="{00000000-0005-0000-0000-000048020000}"/>
    <cellStyle name="Comma 87 2" xfId="586" xr:uid="{00000000-0005-0000-0000-000049020000}"/>
    <cellStyle name="Comma 87 3" xfId="587" xr:uid="{00000000-0005-0000-0000-00004A020000}"/>
    <cellStyle name="Comma 87 4" xfId="588" xr:uid="{00000000-0005-0000-0000-00004B020000}"/>
    <cellStyle name="Comma 88" xfId="589" xr:uid="{00000000-0005-0000-0000-00004C020000}"/>
    <cellStyle name="Comma 88 2" xfId="590" xr:uid="{00000000-0005-0000-0000-00004D020000}"/>
    <cellStyle name="Comma 88 3" xfId="591" xr:uid="{00000000-0005-0000-0000-00004E020000}"/>
    <cellStyle name="Comma 88 4" xfId="592" xr:uid="{00000000-0005-0000-0000-00004F020000}"/>
    <cellStyle name="Comma 89" xfId="593" xr:uid="{00000000-0005-0000-0000-000050020000}"/>
    <cellStyle name="Comma 89 2" xfId="594" xr:uid="{00000000-0005-0000-0000-000051020000}"/>
    <cellStyle name="Comma 89 3" xfId="595" xr:uid="{00000000-0005-0000-0000-000052020000}"/>
    <cellStyle name="Comma 89 4" xfId="596" xr:uid="{00000000-0005-0000-0000-000053020000}"/>
    <cellStyle name="Comma 9" xfId="597" xr:uid="{00000000-0005-0000-0000-000054020000}"/>
    <cellStyle name="Comma 90" xfId="598" xr:uid="{00000000-0005-0000-0000-000055020000}"/>
    <cellStyle name="Comma 90 2" xfId="599" xr:uid="{00000000-0005-0000-0000-000056020000}"/>
    <cellStyle name="Comma 91" xfId="600" xr:uid="{00000000-0005-0000-0000-000057020000}"/>
    <cellStyle name="Comma 91 2" xfId="601" xr:uid="{00000000-0005-0000-0000-000058020000}"/>
    <cellStyle name="Comma 92" xfId="602" xr:uid="{00000000-0005-0000-0000-000059020000}"/>
    <cellStyle name="Comma 92 2" xfId="603" xr:uid="{00000000-0005-0000-0000-00005A020000}"/>
    <cellStyle name="Comma 92 3" xfId="604" xr:uid="{00000000-0005-0000-0000-00005B020000}"/>
    <cellStyle name="Comma 93" xfId="605" xr:uid="{00000000-0005-0000-0000-00005C020000}"/>
    <cellStyle name="Comma 93 2" xfId="606" xr:uid="{00000000-0005-0000-0000-00005D020000}"/>
    <cellStyle name="Comma 93 3" xfId="607" xr:uid="{00000000-0005-0000-0000-00005E020000}"/>
    <cellStyle name="Comma 94" xfId="608" xr:uid="{00000000-0005-0000-0000-00005F020000}"/>
    <cellStyle name="Comma 95" xfId="609" xr:uid="{00000000-0005-0000-0000-000060020000}"/>
    <cellStyle name="Comma 96" xfId="610" xr:uid="{00000000-0005-0000-0000-000061020000}"/>
    <cellStyle name="Comma 97" xfId="611" xr:uid="{00000000-0005-0000-0000-000062020000}"/>
    <cellStyle name="Comma 98" xfId="612" xr:uid="{00000000-0005-0000-0000-000063020000}"/>
    <cellStyle name="Comma 99" xfId="613" xr:uid="{00000000-0005-0000-0000-000064020000}"/>
    <cellStyle name="Comma0" xfId="614" xr:uid="{00000000-0005-0000-0000-000065020000}"/>
    <cellStyle name="Comma0 2" xfId="615" xr:uid="{00000000-0005-0000-0000-000066020000}"/>
    <cellStyle name="Comma0 2 2" xfId="616" xr:uid="{00000000-0005-0000-0000-000067020000}"/>
    <cellStyle name="Comma0 2 3" xfId="617" xr:uid="{00000000-0005-0000-0000-000068020000}"/>
    <cellStyle name="Comma0 2 4" xfId="618" xr:uid="{00000000-0005-0000-0000-000069020000}"/>
    <cellStyle name="Comma0 2 5" xfId="619" xr:uid="{00000000-0005-0000-0000-00006A020000}"/>
    <cellStyle name="Comma0 2 6" xfId="620" xr:uid="{00000000-0005-0000-0000-00006B020000}"/>
    <cellStyle name="Comma0 3" xfId="621" xr:uid="{00000000-0005-0000-0000-00006C020000}"/>
    <cellStyle name="Currency" xfId="622" builtinId="4"/>
    <cellStyle name="Currency 10" xfId="623" xr:uid="{00000000-0005-0000-0000-00006E020000}"/>
    <cellStyle name="Currency 10 2" xfId="624" xr:uid="{00000000-0005-0000-0000-00006F020000}"/>
    <cellStyle name="Currency 10 3" xfId="625" xr:uid="{00000000-0005-0000-0000-000070020000}"/>
    <cellStyle name="Currency 10 4" xfId="626" xr:uid="{00000000-0005-0000-0000-000071020000}"/>
    <cellStyle name="Currency 11" xfId="627" xr:uid="{00000000-0005-0000-0000-000072020000}"/>
    <cellStyle name="Currency 11 2" xfId="628" xr:uid="{00000000-0005-0000-0000-000073020000}"/>
    <cellStyle name="Currency 11 3" xfId="629" xr:uid="{00000000-0005-0000-0000-000074020000}"/>
    <cellStyle name="Currency 12" xfId="630" xr:uid="{00000000-0005-0000-0000-000075020000}"/>
    <cellStyle name="Currency 12 2" xfId="631" xr:uid="{00000000-0005-0000-0000-000076020000}"/>
    <cellStyle name="Currency 13" xfId="632" xr:uid="{00000000-0005-0000-0000-000077020000}"/>
    <cellStyle name="Currency 2" xfId="633" xr:uid="{00000000-0005-0000-0000-000078020000}"/>
    <cellStyle name="Currency 2 2" xfId="634" xr:uid="{00000000-0005-0000-0000-000079020000}"/>
    <cellStyle name="Currency 2 2 2" xfId="635" xr:uid="{00000000-0005-0000-0000-00007A020000}"/>
    <cellStyle name="Currency 2 3" xfId="636" xr:uid="{00000000-0005-0000-0000-00007B020000}"/>
    <cellStyle name="Currency 3" xfId="637" xr:uid="{00000000-0005-0000-0000-00007C020000}"/>
    <cellStyle name="Currency 3 10" xfId="638" xr:uid="{00000000-0005-0000-0000-00007D020000}"/>
    <cellStyle name="Currency 3 10 2" xfId="639" xr:uid="{00000000-0005-0000-0000-00007E020000}"/>
    <cellStyle name="Currency 3 10 3" xfId="640" xr:uid="{00000000-0005-0000-0000-00007F020000}"/>
    <cellStyle name="Currency 3 11" xfId="641" xr:uid="{00000000-0005-0000-0000-000080020000}"/>
    <cellStyle name="Currency 3 11 2" xfId="642" xr:uid="{00000000-0005-0000-0000-000081020000}"/>
    <cellStyle name="Currency 3 12" xfId="643" xr:uid="{00000000-0005-0000-0000-000082020000}"/>
    <cellStyle name="Currency 3 12 2" xfId="644" xr:uid="{00000000-0005-0000-0000-000083020000}"/>
    <cellStyle name="Currency 3 13" xfId="645" xr:uid="{00000000-0005-0000-0000-000084020000}"/>
    <cellStyle name="Currency 3 13 2" xfId="646" xr:uid="{00000000-0005-0000-0000-000085020000}"/>
    <cellStyle name="Currency 3 14" xfId="647" xr:uid="{00000000-0005-0000-0000-000086020000}"/>
    <cellStyle name="Currency 3 15" xfId="648" xr:uid="{00000000-0005-0000-0000-000087020000}"/>
    <cellStyle name="Currency 3 2" xfId="649" xr:uid="{00000000-0005-0000-0000-000088020000}"/>
    <cellStyle name="Currency 3 2 2" xfId="650" xr:uid="{00000000-0005-0000-0000-000089020000}"/>
    <cellStyle name="Currency 3 3" xfId="651" xr:uid="{00000000-0005-0000-0000-00008A020000}"/>
    <cellStyle name="Currency 3 3 2" xfId="652" xr:uid="{00000000-0005-0000-0000-00008B020000}"/>
    <cellStyle name="Currency 3 3 2 2" xfId="653" xr:uid="{00000000-0005-0000-0000-00008C020000}"/>
    <cellStyle name="Currency 3 3 2 3" xfId="654" xr:uid="{00000000-0005-0000-0000-00008D020000}"/>
    <cellStyle name="Currency 3 3 3" xfId="655" xr:uid="{00000000-0005-0000-0000-00008E020000}"/>
    <cellStyle name="Currency 3 3 3 2" xfId="656" xr:uid="{00000000-0005-0000-0000-00008F020000}"/>
    <cellStyle name="Currency 3 3 3 2 2" xfId="657" xr:uid="{00000000-0005-0000-0000-000090020000}"/>
    <cellStyle name="Currency 3 3 3 2 3" xfId="658" xr:uid="{00000000-0005-0000-0000-000091020000}"/>
    <cellStyle name="Currency 3 3 3 2 4" xfId="659" xr:uid="{00000000-0005-0000-0000-000092020000}"/>
    <cellStyle name="Currency 3 3 3 2 5" xfId="660" xr:uid="{00000000-0005-0000-0000-000093020000}"/>
    <cellStyle name="Currency 3 3 3 3" xfId="661" xr:uid="{00000000-0005-0000-0000-000094020000}"/>
    <cellStyle name="Currency 3 3 4" xfId="662" xr:uid="{00000000-0005-0000-0000-000095020000}"/>
    <cellStyle name="Currency 3 3 5" xfId="663" xr:uid="{00000000-0005-0000-0000-000096020000}"/>
    <cellStyle name="Currency 3 3 5 2" xfId="664" xr:uid="{00000000-0005-0000-0000-000097020000}"/>
    <cellStyle name="Currency 3 3 5 3" xfId="665" xr:uid="{00000000-0005-0000-0000-000098020000}"/>
    <cellStyle name="Currency 3 3 5 4" xfId="666" xr:uid="{00000000-0005-0000-0000-000099020000}"/>
    <cellStyle name="Currency 3 3 5 5" xfId="667" xr:uid="{00000000-0005-0000-0000-00009A020000}"/>
    <cellStyle name="Currency 3 3 6" xfId="668" xr:uid="{00000000-0005-0000-0000-00009B020000}"/>
    <cellStyle name="Currency 3 4" xfId="669" xr:uid="{00000000-0005-0000-0000-00009C020000}"/>
    <cellStyle name="Currency 3 4 2" xfId="670" xr:uid="{00000000-0005-0000-0000-00009D020000}"/>
    <cellStyle name="Currency 3 4 3" xfId="671" xr:uid="{00000000-0005-0000-0000-00009E020000}"/>
    <cellStyle name="Currency 3 4 4" xfId="672" xr:uid="{00000000-0005-0000-0000-00009F020000}"/>
    <cellStyle name="Currency 3 4 4 2" xfId="673" xr:uid="{00000000-0005-0000-0000-0000A0020000}"/>
    <cellStyle name="Currency 3 4 4 3" xfId="674" xr:uid="{00000000-0005-0000-0000-0000A1020000}"/>
    <cellStyle name="Currency 3 4 4 4" xfId="675" xr:uid="{00000000-0005-0000-0000-0000A2020000}"/>
    <cellStyle name="Currency 3 4 4 5" xfId="676" xr:uid="{00000000-0005-0000-0000-0000A3020000}"/>
    <cellStyle name="Currency 3 4 5" xfId="677" xr:uid="{00000000-0005-0000-0000-0000A4020000}"/>
    <cellStyle name="Currency 3 5" xfId="678" xr:uid="{00000000-0005-0000-0000-0000A5020000}"/>
    <cellStyle name="Currency 3 5 2" xfId="679" xr:uid="{00000000-0005-0000-0000-0000A6020000}"/>
    <cellStyle name="Currency 3 6" xfId="680" xr:uid="{00000000-0005-0000-0000-0000A7020000}"/>
    <cellStyle name="Currency 3 6 2" xfId="681" xr:uid="{00000000-0005-0000-0000-0000A8020000}"/>
    <cellStyle name="Currency 3 6 3" xfId="682" xr:uid="{00000000-0005-0000-0000-0000A9020000}"/>
    <cellStyle name="Currency 3 6 4" xfId="683" xr:uid="{00000000-0005-0000-0000-0000AA020000}"/>
    <cellStyle name="Currency 3 7" xfId="684" xr:uid="{00000000-0005-0000-0000-0000AB020000}"/>
    <cellStyle name="Currency 3 7 2" xfId="685" xr:uid="{00000000-0005-0000-0000-0000AC020000}"/>
    <cellStyle name="Currency 3 7 3" xfId="686" xr:uid="{00000000-0005-0000-0000-0000AD020000}"/>
    <cellStyle name="Currency 3 7 4" xfId="687" xr:uid="{00000000-0005-0000-0000-0000AE020000}"/>
    <cellStyle name="Currency 3 8" xfId="688" xr:uid="{00000000-0005-0000-0000-0000AF020000}"/>
    <cellStyle name="Currency 3 8 2" xfId="689" xr:uid="{00000000-0005-0000-0000-0000B0020000}"/>
    <cellStyle name="Currency 3 8 3" xfId="690" xr:uid="{00000000-0005-0000-0000-0000B1020000}"/>
    <cellStyle name="Currency 3 8 4" xfId="691" xr:uid="{00000000-0005-0000-0000-0000B2020000}"/>
    <cellStyle name="Currency 3 9" xfId="692" xr:uid="{00000000-0005-0000-0000-0000B3020000}"/>
    <cellStyle name="Currency 3 9 2" xfId="693" xr:uid="{00000000-0005-0000-0000-0000B4020000}"/>
    <cellStyle name="Currency 3 9 3" xfId="694" xr:uid="{00000000-0005-0000-0000-0000B5020000}"/>
    <cellStyle name="Currency 3 9 4" xfId="695" xr:uid="{00000000-0005-0000-0000-0000B6020000}"/>
    <cellStyle name="Currency 4" xfId="696" xr:uid="{00000000-0005-0000-0000-0000B7020000}"/>
    <cellStyle name="Currency 4 10" xfId="697" xr:uid="{00000000-0005-0000-0000-0000B8020000}"/>
    <cellStyle name="Currency 4 10 2" xfId="698" xr:uid="{00000000-0005-0000-0000-0000B9020000}"/>
    <cellStyle name="Currency 4 10 2 2" xfId="699" xr:uid="{00000000-0005-0000-0000-0000BA020000}"/>
    <cellStyle name="Currency 4 10 2 2 2" xfId="700" xr:uid="{00000000-0005-0000-0000-0000BB020000}"/>
    <cellStyle name="Currency 4 10 2 3" xfId="701" xr:uid="{00000000-0005-0000-0000-0000BC020000}"/>
    <cellStyle name="Currency 4 10 2 3 2" xfId="702" xr:uid="{00000000-0005-0000-0000-0000BD020000}"/>
    <cellStyle name="Currency 4 10 2 4" xfId="703" xr:uid="{00000000-0005-0000-0000-0000BE020000}"/>
    <cellStyle name="Currency 4 10 2 5" xfId="704" xr:uid="{00000000-0005-0000-0000-0000BF020000}"/>
    <cellStyle name="Currency 4 10 2 6" xfId="705" xr:uid="{00000000-0005-0000-0000-0000C0020000}"/>
    <cellStyle name="Currency 4 10 3" xfId="706" xr:uid="{00000000-0005-0000-0000-0000C1020000}"/>
    <cellStyle name="Currency 4 10 3 2" xfId="707" xr:uid="{00000000-0005-0000-0000-0000C2020000}"/>
    <cellStyle name="Currency 4 10 4" xfId="708" xr:uid="{00000000-0005-0000-0000-0000C3020000}"/>
    <cellStyle name="Currency 4 10 4 2" xfId="709" xr:uid="{00000000-0005-0000-0000-0000C4020000}"/>
    <cellStyle name="Currency 4 10 4 3" xfId="710" xr:uid="{00000000-0005-0000-0000-0000C5020000}"/>
    <cellStyle name="Currency 4 10 5" xfId="711" xr:uid="{00000000-0005-0000-0000-0000C6020000}"/>
    <cellStyle name="Currency 4 10 5 2" xfId="712" xr:uid="{00000000-0005-0000-0000-0000C7020000}"/>
    <cellStyle name="Currency 4 10 6" xfId="713" xr:uid="{00000000-0005-0000-0000-0000C8020000}"/>
    <cellStyle name="Currency 4 2" xfId="714" xr:uid="{00000000-0005-0000-0000-0000C9020000}"/>
    <cellStyle name="Currency 4 2 2" xfId="715" xr:uid="{00000000-0005-0000-0000-0000CA020000}"/>
    <cellStyle name="Currency 4 2 3" xfId="716" xr:uid="{00000000-0005-0000-0000-0000CB020000}"/>
    <cellStyle name="Currency 4 3" xfId="717" xr:uid="{00000000-0005-0000-0000-0000CC020000}"/>
    <cellStyle name="Currency 4 3 2" xfId="718" xr:uid="{00000000-0005-0000-0000-0000CD020000}"/>
    <cellStyle name="Currency 4 3 2 2" xfId="719" xr:uid="{00000000-0005-0000-0000-0000CE020000}"/>
    <cellStyle name="Currency 4 3 2 3" xfId="720" xr:uid="{00000000-0005-0000-0000-0000CF020000}"/>
    <cellStyle name="Currency 4 3 2 4" xfId="721" xr:uid="{00000000-0005-0000-0000-0000D0020000}"/>
    <cellStyle name="Currency 4 3 2 5" xfId="722" xr:uid="{00000000-0005-0000-0000-0000D1020000}"/>
    <cellStyle name="Currency 4 3 3" xfId="723" xr:uid="{00000000-0005-0000-0000-0000D2020000}"/>
    <cellStyle name="Currency 4 4" xfId="724" xr:uid="{00000000-0005-0000-0000-0000D3020000}"/>
    <cellStyle name="Currency 4 5" xfId="725" xr:uid="{00000000-0005-0000-0000-0000D4020000}"/>
    <cellStyle name="Currency 4 5 2" xfId="726" xr:uid="{00000000-0005-0000-0000-0000D5020000}"/>
    <cellStyle name="Currency 4 5 3" xfId="727" xr:uid="{00000000-0005-0000-0000-0000D6020000}"/>
    <cellStyle name="Currency 4 5 4" xfId="728" xr:uid="{00000000-0005-0000-0000-0000D7020000}"/>
    <cellStyle name="Currency 4 5 5" xfId="729" xr:uid="{00000000-0005-0000-0000-0000D8020000}"/>
    <cellStyle name="Currency 5" xfId="730" xr:uid="{00000000-0005-0000-0000-0000D9020000}"/>
    <cellStyle name="Currency 5 2" xfId="731" xr:uid="{00000000-0005-0000-0000-0000DA020000}"/>
    <cellStyle name="Currency 5 3" xfId="732" xr:uid="{00000000-0005-0000-0000-0000DB020000}"/>
    <cellStyle name="Currency 5 4" xfId="733" xr:uid="{00000000-0005-0000-0000-0000DC020000}"/>
    <cellStyle name="Currency 5 4 2" xfId="734" xr:uid="{00000000-0005-0000-0000-0000DD020000}"/>
    <cellStyle name="Currency 5 4 3" xfId="735" xr:uid="{00000000-0005-0000-0000-0000DE020000}"/>
    <cellStyle name="Currency 5 4 4" xfId="736" xr:uid="{00000000-0005-0000-0000-0000DF020000}"/>
    <cellStyle name="Currency 5 4 5" xfId="737" xr:uid="{00000000-0005-0000-0000-0000E0020000}"/>
    <cellStyle name="Currency 5 5" xfId="738" xr:uid="{00000000-0005-0000-0000-0000E1020000}"/>
    <cellStyle name="Currency 6" xfId="739" xr:uid="{00000000-0005-0000-0000-0000E2020000}"/>
    <cellStyle name="Currency 6 2" xfId="740" xr:uid="{00000000-0005-0000-0000-0000E3020000}"/>
    <cellStyle name="Currency 6 3" xfId="741" xr:uid="{00000000-0005-0000-0000-0000E4020000}"/>
    <cellStyle name="Currency 6 3 2" xfId="742" xr:uid="{00000000-0005-0000-0000-0000E5020000}"/>
    <cellStyle name="Currency 6 3 3" xfId="743" xr:uid="{00000000-0005-0000-0000-0000E6020000}"/>
    <cellStyle name="Currency 6 3 4" xfId="744" xr:uid="{00000000-0005-0000-0000-0000E7020000}"/>
    <cellStyle name="Currency 6 3 5" xfId="745" xr:uid="{00000000-0005-0000-0000-0000E8020000}"/>
    <cellStyle name="Currency 6 4" xfId="746" xr:uid="{00000000-0005-0000-0000-0000E9020000}"/>
    <cellStyle name="Currency 6 4 2" xfId="747" xr:uid="{00000000-0005-0000-0000-0000EA020000}"/>
    <cellStyle name="Currency 6 4 3" xfId="748" xr:uid="{00000000-0005-0000-0000-0000EB020000}"/>
    <cellStyle name="Currency 7" xfId="749" xr:uid="{00000000-0005-0000-0000-0000EC020000}"/>
    <cellStyle name="Currency 7 2" xfId="750" xr:uid="{00000000-0005-0000-0000-0000ED020000}"/>
    <cellStyle name="Currency 7 3" xfId="751" xr:uid="{00000000-0005-0000-0000-0000EE020000}"/>
    <cellStyle name="Currency 7 4" xfId="752" xr:uid="{00000000-0005-0000-0000-0000EF020000}"/>
    <cellStyle name="Currency 8" xfId="753" xr:uid="{00000000-0005-0000-0000-0000F0020000}"/>
    <cellStyle name="Currency 8 2" xfId="754" xr:uid="{00000000-0005-0000-0000-0000F1020000}"/>
    <cellStyle name="Currency 8 3" xfId="755" xr:uid="{00000000-0005-0000-0000-0000F2020000}"/>
    <cellStyle name="Currency 8 4" xfId="756" xr:uid="{00000000-0005-0000-0000-0000F3020000}"/>
    <cellStyle name="Currency 9" xfId="757" xr:uid="{00000000-0005-0000-0000-0000F4020000}"/>
    <cellStyle name="Currency 9 2" xfId="758" xr:uid="{00000000-0005-0000-0000-0000F5020000}"/>
    <cellStyle name="Currency 9 3" xfId="759" xr:uid="{00000000-0005-0000-0000-0000F6020000}"/>
    <cellStyle name="Currency 9 4" xfId="760" xr:uid="{00000000-0005-0000-0000-0000F7020000}"/>
    <cellStyle name="Currency0" xfId="761" xr:uid="{00000000-0005-0000-0000-0000F8020000}"/>
    <cellStyle name="Currency0 2" xfId="762" xr:uid="{00000000-0005-0000-0000-0000F9020000}"/>
    <cellStyle name="Currency0 2 2" xfId="763" xr:uid="{00000000-0005-0000-0000-0000FA020000}"/>
    <cellStyle name="Currency0 2 3" xfId="764" xr:uid="{00000000-0005-0000-0000-0000FB020000}"/>
    <cellStyle name="Currency0 2 4" xfId="765" xr:uid="{00000000-0005-0000-0000-0000FC020000}"/>
    <cellStyle name="Currency0 2 5" xfId="766" xr:uid="{00000000-0005-0000-0000-0000FD020000}"/>
    <cellStyle name="Currency0 2 6" xfId="767" xr:uid="{00000000-0005-0000-0000-0000FE020000}"/>
    <cellStyle name="Currency0 3" xfId="768" xr:uid="{00000000-0005-0000-0000-0000FF020000}"/>
    <cellStyle name="Date" xfId="769" xr:uid="{00000000-0005-0000-0000-000000030000}"/>
    <cellStyle name="Date 2" xfId="770" xr:uid="{00000000-0005-0000-0000-000001030000}"/>
    <cellStyle name="Date 2 2" xfId="771" xr:uid="{00000000-0005-0000-0000-000002030000}"/>
    <cellStyle name="Date 2 3" xfId="772" xr:uid="{00000000-0005-0000-0000-000003030000}"/>
    <cellStyle name="Date 2 4" xfId="773" xr:uid="{00000000-0005-0000-0000-000004030000}"/>
    <cellStyle name="Date 2 5" xfId="774" xr:uid="{00000000-0005-0000-0000-000005030000}"/>
    <cellStyle name="Date 2 6" xfId="775" xr:uid="{00000000-0005-0000-0000-000006030000}"/>
    <cellStyle name="Date 3" xfId="776" xr:uid="{00000000-0005-0000-0000-000007030000}"/>
    <cellStyle name="Explanatory Text" xfId="777" builtinId="53" customBuiltin="1"/>
    <cellStyle name="Explanatory Text 2" xfId="778" xr:uid="{00000000-0005-0000-0000-000009030000}"/>
    <cellStyle name="Explanatory Text 2 2" xfId="779" xr:uid="{00000000-0005-0000-0000-00000A030000}"/>
    <cellStyle name="Explanatory Text 2 3" xfId="780" xr:uid="{00000000-0005-0000-0000-00000B030000}"/>
    <cellStyle name="Explanatory Text 2 4" xfId="781" xr:uid="{00000000-0005-0000-0000-00000C030000}"/>
    <cellStyle name="Explanatory Text 2 5" xfId="782" xr:uid="{00000000-0005-0000-0000-00000D030000}"/>
    <cellStyle name="Fixed" xfId="783" xr:uid="{00000000-0005-0000-0000-00000E030000}"/>
    <cellStyle name="Fixed 2" xfId="784" xr:uid="{00000000-0005-0000-0000-00000F030000}"/>
    <cellStyle name="Fixed 2 2" xfId="785" xr:uid="{00000000-0005-0000-0000-000010030000}"/>
    <cellStyle name="Fixed 2 3" xfId="786" xr:uid="{00000000-0005-0000-0000-000011030000}"/>
    <cellStyle name="Fixed 2 4" xfId="787" xr:uid="{00000000-0005-0000-0000-000012030000}"/>
    <cellStyle name="Fixed 2 5" xfId="788" xr:uid="{00000000-0005-0000-0000-000013030000}"/>
    <cellStyle name="Fixed 2 6" xfId="789" xr:uid="{00000000-0005-0000-0000-000014030000}"/>
    <cellStyle name="Fixed 3" xfId="790" xr:uid="{00000000-0005-0000-0000-000015030000}"/>
    <cellStyle name="Good" xfId="791" builtinId="26" customBuiltin="1"/>
    <cellStyle name="Good 2" xfId="792" xr:uid="{00000000-0005-0000-0000-000017030000}"/>
    <cellStyle name="Good 2 2" xfId="793" xr:uid="{00000000-0005-0000-0000-000018030000}"/>
    <cellStyle name="Good 2 3" xfId="794" xr:uid="{00000000-0005-0000-0000-000019030000}"/>
    <cellStyle name="Good 2 4" xfId="795" xr:uid="{00000000-0005-0000-0000-00001A030000}"/>
    <cellStyle name="Good 2 5" xfId="796" xr:uid="{00000000-0005-0000-0000-00001B030000}"/>
    <cellStyle name="Heading 1" xfId="797" builtinId="16" customBuiltin="1"/>
    <cellStyle name="Heading 1 2" xfId="798" xr:uid="{00000000-0005-0000-0000-00001D030000}"/>
    <cellStyle name="Heading 1 2 2" xfId="799" xr:uid="{00000000-0005-0000-0000-00001E030000}"/>
    <cellStyle name="Heading 1 2 3" xfId="800" xr:uid="{00000000-0005-0000-0000-00001F030000}"/>
    <cellStyle name="Heading 1 2 4" xfId="801" xr:uid="{00000000-0005-0000-0000-000020030000}"/>
    <cellStyle name="Heading 1 2 5" xfId="802" xr:uid="{00000000-0005-0000-0000-000021030000}"/>
    <cellStyle name="Heading 1 3" xfId="803" xr:uid="{00000000-0005-0000-0000-000022030000}"/>
    <cellStyle name="Heading 1 3 2" xfId="804" xr:uid="{00000000-0005-0000-0000-000023030000}"/>
    <cellStyle name="Heading 2" xfId="805" builtinId="17" customBuiltin="1"/>
    <cellStyle name="Heading 2 2" xfId="806" xr:uid="{00000000-0005-0000-0000-000025030000}"/>
    <cellStyle name="Heading 2 2 2" xfId="807" xr:uid="{00000000-0005-0000-0000-000026030000}"/>
    <cellStyle name="Heading 2 2 3" xfId="808" xr:uid="{00000000-0005-0000-0000-000027030000}"/>
    <cellStyle name="Heading 2 2 4" xfId="809" xr:uid="{00000000-0005-0000-0000-000028030000}"/>
    <cellStyle name="Heading 2 2 5" xfId="810" xr:uid="{00000000-0005-0000-0000-000029030000}"/>
    <cellStyle name="Heading 2 3" xfId="811" xr:uid="{00000000-0005-0000-0000-00002A030000}"/>
    <cellStyle name="Heading 2 3 2" xfId="812" xr:uid="{00000000-0005-0000-0000-00002B030000}"/>
    <cellStyle name="Heading 3" xfId="813" builtinId="18" customBuiltin="1"/>
    <cellStyle name="Heading 3 2" xfId="814" xr:uid="{00000000-0005-0000-0000-00002D030000}"/>
    <cellStyle name="Heading 3 2 2" xfId="815" xr:uid="{00000000-0005-0000-0000-00002E030000}"/>
    <cellStyle name="Heading 3 2 3" xfId="816" xr:uid="{00000000-0005-0000-0000-00002F030000}"/>
    <cellStyle name="Heading 3 2 4" xfId="817" xr:uid="{00000000-0005-0000-0000-000030030000}"/>
    <cellStyle name="Heading 3 2 5" xfId="818" xr:uid="{00000000-0005-0000-0000-000031030000}"/>
    <cellStyle name="Heading 4" xfId="819" builtinId="19" customBuiltin="1"/>
    <cellStyle name="Heading 4 2" xfId="820" xr:uid="{00000000-0005-0000-0000-000033030000}"/>
    <cellStyle name="Heading 4 2 2" xfId="821" xr:uid="{00000000-0005-0000-0000-000034030000}"/>
    <cellStyle name="Heading 4 2 3" xfId="822" xr:uid="{00000000-0005-0000-0000-000035030000}"/>
    <cellStyle name="Heading 4 2 4" xfId="823" xr:uid="{00000000-0005-0000-0000-000036030000}"/>
    <cellStyle name="Heading 4 2 5" xfId="824" xr:uid="{00000000-0005-0000-0000-000037030000}"/>
    <cellStyle name="Heading1" xfId="825" xr:uid="{00000000-0005-0000-0000-000038030000}"/>
    <cellStyle name="Heading2" xfId="826" xr:uid="{00000000-0005-0000-0000-000039030000}"/>
    <cellStyle name="Input" xfId="827" builtinId="20" customBuiltin="1"/>
    <cellStyle name="Input 2" xfId="828" xr:uid="{00000000-0005-0000-0000-00003B030000}"/>
    <cellStyle name="Input 2 2" xfId="829" xr:uid="{00000000-0005-0000-0000-00003C030000}"/>
    <cellStyle name="Input 2 3" xfId="830" xr:uid="{00000000-0005-0000-0000-00003D030000}"/>
    <cellStyle name="Input 2 4" xfId="831" xr:uid="{00000000-0005-0000-0000-00003E030000}"/>
    <cellStyle name="Input 2 5" xfId="832" xr:uid="{00000000-0005-0000-0000-00003F030000}"/>
    <cellStyle name="Linked Cell" xfId="833" builtinId="24" customBuiltin="1"/>
    <cellStyle name="Linked Cell 2" xfId="834" xr:uid="{00000000-0005-0000-0000-000041030000}"/>
    <cellStyle name="Linked Cell 2 2" xfId="835" xr:uid="{00000000-0005-0000-0000-000042030000}"/>
    <cellStyle name="Linked Cell 2 3" xfId="836" xr:uid="{00000000-0005-0000-0000-000043030000}"/>
    <cellStyle name="Linked Cell 2 4" xfId="837" xr:uid="{00000000-0005-0000-0000-000044030000}"/>
    <cellStyle name="Linked Cell 2 5" xfId="838" xr:uid="{00000000-0005-0000-0000-000045030000}"/>
    <cellStyle name="M" xfId="839" xr:uid="{00000000-0005-0000-0000-000046030000}"/>
    <cellStyle name="M 2" xfId="840" xr:uid="{00000000-0005-0000-0000-000047030000}"/>
    <cellStyle name="M 2 2" xfId="841" xr:uid="{00000000-0005-0000-0000-000048030000}"/>
    <cellStyle name="M 2 2 2" xfId="842" xr:uid="{00000000-0005-0000-0000-000049030000}"/>
    <cellStyle name="M 3" xfId="843" xr:uid="{00000000-0005-0000-0000-00004A030000}"/>
    <cellStyle name="M 3 2" xfId="844" xr:uid="{00000000-0005-0000-0000-00004B030000}"/>
    <cellStyle name="M 3 2 2" xfId="845" xr:uid="{00000000-0005-0000-0000-00004C030000}"/>
    <cellStyle name="M 4" xfId="846" xr:uid="{00000000-0005-0000-0000-00004D030000}"/>
    <cellStyle name="M 5" xfId="847" xr:uid="{00000000-0005-0000-0000-00004E030000}"/>
    <cellStyle name="M 5 2" xfId="848" xr:uid="{00000000-0005-0000-0000-00004F030000}"/>
    <cellStyle name="M 6" xfId="849" xr:uid="{00000000-0005-0000-0000-000050030000}"/>
    <cellStyle name="M 6 2" xfId="850" xr:uid="{00000000-0005-0000-0000-000051030000}"/>
    <cellStyle name="M 7" xfId="851" xr:uid="{00000000-0005-0000-0000-000052030000}"/>
    <cellStyle name="M 8" xfId="852" xr:uid="{00000000-0005-0000-0000-000053030000}"/>
    <cellStyle name="Neutral" xfId="853" builtinId="28" customBuiltin="1"/>
    <cellStyle name="Neutral 2" xfId="854" xr:uid="{00000000-0005-0000-0000-000055030000}"/>
    <cellStyle name="Neutral 2 2" xfId="855" xr:uid="{00000000-0005-0000-0000-000056030000}"/>
    <cellStyle name="Neutral 2 3" xfId="856" xr:uid="{00000000-0005-0000-0000-000057030000}"/>
    <cellStyle name="Neutral 2 4" xfId="857" xr:uid="{00000000-0005-0000-0000-000058030000}"/>
    <cellStyle name="Neutral 2 5" xfId="858" xr:uid="{00000000-0005-0000-0000-000059030000}"/>
    <cellStyle name="Normal" xfId="0" builtinId="0"/>
    <cellStyle name="Normal 10" xfId="859" xr:uid="{00000000-0005-0000-0000-00005B030000}"/>
    <cellStyle name="Normal 10 2" xfId="860" xr:uid="{00000000-0005-0000-0000-00005C030000}"/>
    <cellStyle name="Normal 10 2 2" xfId="861" xr:uid="{00000000-0005-0000-0000-00005D030000}"/>
    <cellStyle name="Normal 10 3" xfId="862" xr:uid="{00000000-0005-0000-0000-00005E030000}"/>
    <cellStyle name="Normal 11" xfId="863" xr:uid="{00000000-0005-0000-0000-00005F030000}"/>
    <cellStyle name="Normal 11 2" xfId="864" xr:uid="{00000000-0005-0000-0000-000060030000}"/>
    <cellStyle name="Normal 11 2 2" xfId="865" xr:uid="{00000000-0005-0000-0000-000061030000}"/>
    <cellStyle name="Normal 11 3" xfId="866" xr:uid="{00000000-0005-0000-0000-000062030000}"/>
    <cellStyle name="Normal 11 4" xfId="867" xr:uid="{00000000-0005-0000-0000-000063030000}"/>
    <cellStyle name="Normal 12" xfId="868" xr:uid="{00000000-0005-0000-0000-000064030000}"/>
    <cellStyle name="Normal 12 2" xfId="869" xr:uid="{00000000-0005-0000-0000-000065030000}"/>
    <cellStyle name="Normal 12 3" xfId="870" xr:uid="{00000000-0005-0000-0000-000066030000}"/>
    <cellStyle name="Normal 12 4" xfId="871" xr:uid="{00000000-0005-0000-0000-000067030000}"/>
    <cellStyle name="Normal 12 5" xfId="872" xr:uid="{00000000-0005-0000-0000-000068030000}"/>
    <cellStyle name="Normal 13" xfId="873" xr:uid="{00000000-0005-0000-0000-000069030000}"/>
    <cellStyle name="Normal 14" xfId="874" xr:uid="{00000000-0005-0000-0000-00006A030000}"/>
    <cellStyle name="Normal 15" xfId="875" xr:uid="{00000000-0005-0000-0000-00006B030000}"/>
    <cellStyle name="Normal 16" xfId="876" xr:uid="{00000000-0005-0000-0000-00006C030000}"/>
    <cellStyle name="Normal 17" xfId="877" xr:uid="{00000000-0005-0000-0000-00006D030000}"/>
    <cellStyle name="Normal 18" xfId="878" xr:uid="{00000000-0005-0000-0000-00006E030000}"/>
    <cellStyle name="Normal 19" xfId="879" xr:uid="{00000000-0005-0000-0000-00006F030000}"/>
    <cellStyle name="Normal 2" xfId="880" xr:uid="{00000000-0005-0000-0000-000070030000}"/>
    <cellStyle name="Normal 2 2" xfId="881" xr:uid="{00000000-0005-0000-0000-000071030000}"/>
    <cellStyle name="Normal 2 2 2" xfId="882" xr:uid="{00000000-0005-0000-0000-000072030000}"/>
    <cellStyle name="Normal 2 2 2 2" xfId="883" xr:uid="{00000000-0005-0000-0000-000073030000}"/>
    <cellStyle name="Normal 2 2 3" xfId="884" xr:uid="{00000000-0005-0000-0000-000074030000}"/>
    <cellStyle name="Normal 2 2 3 2" xfId="885" xr:uid="{00000000-0005-0000-0000-000075030000}"/>
    <cellStyle name="Normal 2 2 4" xfId="886" xr:uid="{00000000-0005-0000-0000-000076030000}"/>
    <cellStyle name="Normal 2 3" xfId="887" xr:uid="{00000000-0005-0000-0000-000077030000}"/>
    <cellStyle name="Normal 20" xfId="888" xr:uid="{00000000-0005-0000-0000-000078030000}"/>
    <cellStyle name="Normal 21" xfId="889" xr:uid="{00000000-0005-0000-0000-000079030000}"/>
    <cellStyle name="Normal 22" xfId="890" xr:uid="{00000000-0005-0000-0000-00007A030000}"/>
    <cellStyle name="Normal 23" xfId="891" xr:uid="{00000000-0005-0000-0000-00007B030000}"/>
    <cellStyle name="Normal 24" xfId="892" xr:uid="{00000000-0005-0000-0000-00007C030000}"/>
    <cellStyle name="Normal 25" xfId="893" xr:uid="{00000000-0005-0000-0000-00007D030000}"/>
    <cellStyle name="Normal 26" xfId="894" xr:uid="{00000000-0005-0000-0000-00007E030000}"/>
    <cellStyle name="Normal 3" xfId="895" xr:uid="{00000000-0005-0000-0000-00007F030000}"/>
    <cellStyle name="Normal 3 2" xfId="896" xr:uid="{00000000-0005-0000-0000-000080030000}"/>
    <cellStyle name="Normal 3 2 2" xfId="897" xr:uid="{00000000-0005-0000-0000-000081030000}"/>
    <cellStyle name="Normal 3 3" xfId="898" xr:uid="{00000000-0005-0000-0000-000082030000}"/>
    <cellStyle name="Normal 3 3 2" xfId="899" xr:uid="{00000000-0005-0000-0000-000083030000}"/>
    <cellStyle name="Normal 3 3 3" xfId="900" xr:uid="{00000000-0005-0000-0000-000084030000}"/>
    <cellStyle name="Normal 3 3 4" xfId="901" xr:uid="{00000000-0005-0000-0000-000085030000}"/>
    <cellStyle name="Normal 3 3 5" xfId="902" xr:uid="{00000000-0005-0000-0000-000086030000}"/>
    <cellStyle name="Normal 3_OPCo Period I PJM  Formula Rate" xfId="903" xr:uid="{00000000-0005-0000-0000-000087030000}"/>
    <cellStyle name="Normal 35" xfId="904" xr:uid="{00000000-0005-0000-0000-000088030000}"/>
    <cellStyle name="Normal 4" xfId="905" xr:uid="{00000000-0005-0000-0000-000089030000}"/>
    <cellStyle name="Normal 4 10" xfId="906" xr:uid="{00000000-0005-0000-0000-00008A030000}"/>
    <cellStyle name="Normal 4 10 2" xfId="907" xr:uid="{00000000-0005-0000-0000-00008B030000}"/>
    <cellStyle name="Normal 4 10 3" xfId="908" xr:uid="{00000000-0005-0000-0000-00008C030000}"/>
    <cellStyle name="Normal 4 11" xfId="909" xr:uid="{00000000-0005-0000-0000-00008D030000}"/>
    <cellStyle name="Normal 4 11 2" xfId="910" xr:uid="{00000000-0005-0000-0000-00008E030000}"/>
    <cellStyle name="Normal 4 12" xfId="911" xr:uid="{00000000-0005-0000-0000-00008F030000}"/>
    <cellStyle name="Normal 4 12 2" xfId="912" xr:uid="{00000000-0005-0000-0000-000090030000}"/>
    <cellStyle name="Normal 4 13" xfId="913" xr:uid="{00000000-0005-0000-0000-000091030000}"/>
    <cellStyle name="Normal 4 13 2" xfId="914" xr:uid="{00000000-0005-0000-0000-000092030000}"/>
    <cellStyle name="Normal 4 14" xfId="915" xr:uid="{00000000-0005-0000-0000-000093030000}"/>
    <cellStyle name="Normal 4 15" xfId="916" xr:uid="{00000000-0005-0000-0000-000094030000}"/>
    <cellStyle name="Normal 4 2" xfId="917" xr:uid="{00000000-0005-0000-0000-000095030000}"/>
    <cellStyle name="Normal 4 2 2" xfId="918" xr:uid="{00000000-0005-0000-0000-000096030000}"/>
    <cellStyle name="Normal 4 3" xfId="919" xr:uid="{00000000-0005-0000-0000-000097030000}"/>
    <cellStyle name="Normal 4 3 2" xfId="920" xr:uid="{00000000-0005-0000-0000-000098030000}"/>
    <cellStyle name="Normal 4 3 2 2" xfId="921" xr:uid="{00000000-0005-0000-0000-000099030000}"/>
    <cellStyle name="Normal 4 3 2 3" xfId="922" xr:uid="{00000000-0005-0000-0000-00009A030000}"/>
    <cellStyle name="Normal 4 3 3" xfId="923" xr:uid="{00000000-0005-0000-0000-00009B030000}"/>
    <cellStyle name="Normal 4 3 3 2" xfId="924" xr:uid="{00000000-0005-0000-0000-00009C030000}"/>
    <cellStyle name="Normal 4 3 3 2 2" xfId="925" xr:uid="{00000000-0005-0000-0000-00009D030000}"/>
    <cellStyle name="Normal 4 3 3 2 3" xfId="926" xr:uid="{00000000-0005-0000-0000-00009E030000}"/>
    <cellStyle name="Normal 4 3 3 2 4" xfId="927" xr:uid="{00000000-0005-0000-0000-00009F030000}"/>
    <cellStyle name="Normal 4 3 3 2 5" xfId="928" xr:uid="{00000000-0005-0000-0000-0000A0030000}"/>
    <cellStyle name="Normal 4 3 3 3" xfId="929" xr:uid="{00000000-0005-0000-0000-0000A1030000}"/>
    <cellStyle name="Normal 4 3 4" xfId="930" xr:uid="{00000000-0005-0000-0000-0000A2030000}"/>
    <cellStyle name="Normal 4 3 5" xfId="931" xr:uid="{00000000-0005-0000-0000-0000A3030000}"/>
    <cellStyle name="Normal 4 3 5 2" xfId="932" xr:uid="{00000000-0005-0000-0000-0000A4030000}"/>
    <cellStyle name="Normal 4 3 5 3" xfId="933" xr:uid="{00000000-0005-0000-0000-0000A5030000}"/>
    <cellStyle name="Normal 4 3 5 4" xfId="934" xr:uid="{00000000-0005-0000-0000-0000A6030000}"/>
    <cellStyle name="Normal 4 3 5 5" xfId="935" xr:uid="{00000000-0005-0000-0000-0000A7030000}"/>
    <cellStyle name="Normal 4 3 6" xfId="936" xr:uid="{00000000-0005-0000-0000-0000A8030000}"/>
    <cellStyle name="Normal 4 4" xfId="937" xr:uid="{00000000-0005-0000-0000-0000A9030000}"/>
    <cellStyle name="Normal 4 4 2" xfId="938" xr:uid="{00000000-0005-0000-0000-0000AA030000}"/>
    <cellStyle name="Normal 4 4 3" xfId="939" xr:uid="{00000000-0005-0000-0000-0000AB030000}"/>
    <cellStyle name="Normal 4 4 4" xfId="940" xr:uid="{00000000-0005-0000-0000-0000AC030000}"/>
    <cellStyle name="Normal 4 4 4 2" xfId="941" xr:uid="{00000000-0005-0000-0000-0000AD030000}"/>
    <cellStyle name="Normal 4 4 4 3" xfId="942" xr:uid="{00000000-0005-0000-0000-0000AE030000}"/>
    <cellStyle name="Normal 4 4 4 4" xfId="943" xr:uid="{00000000-0005-0000-0000-0000AF030000}"/>
    <cellStyle name="Normal 4 4 4 5" xfId="944" xr:uid="{00000000-0005-0000-0000-0000B0030000}"/>
    <cellStyle name="Normal 4 4 5" xfId="945" xr:uid="{00000000-0005-0000-0000-0000B1030000}"/>
    <cellStyle name="Normal 4 5" xfId="946" xr:uid="{00000000-0005-0000-0000-0000B2030000}"/>
    <cellStyle name="Normal 4 5 2" xfId="947" xr:uid="{00000000-0005-0000-0000-0000B3030000}"/>
    <cellStyle name="Normal 4 5 2 2" xfId="948" xr:uid="{00000000-0005-0000-0000-0000B4030000}"/>
    <cellStyle name="Normal 4 5 2 2 2" xfId="949" xr:uid="{00000000-0005-0000-0000-0000B5030000}"/>
    <cellStyle name="Normal 4 5 2 2 3" xfId="950" xr:uid="{00000000-0005-0000-0000-0000B6030000}"/>
    <cellStyle name="Normal 4 5 2 2 4" xfId="951" xr:uid="{00000000-0005-0000-0000-0000B7030000}"/>
    <cellStyle name="Normal 4 5 2 2 5" xfId="952" xr:uid="{00000000-0005-0000-0000-0000B8030000}"/>
    <cellStyle name="Normal 4 5 3" xfId="953" xr:uid="{00000000-0005-0000-0000-0000B9030000}"/>
    <cellStyle name="Normal 4 6" xfId="954" xr:uid="{00000000-0005-0000-0000-0000BA030000}"/>
    <cellStyle name="Normal 4 6 2" xfId="955" xr:uid="{00000000-0005-0000-0000-0000BB030000}"/>
    <cellStyle name="Normal 4 6 3" xfId="956" xr:uid="{00000000-0005-0000-0000-0000BC030000}"/>
    <cellStyle name="Normal 4 6 4" xfId="957" xr:uid="{00000000-0005-0000-0000-0000BD030000}"/>
    <cellStyle name="Normal 4 7" xfId="958" xr:uid="{00000000-0005-0000-0000-0000BE030000}"/>
    <cellStyle name="Normal 4 7 2" xfId="959" xr:uid="{00000000-0005-0000-0000-0000BF030000}"/>
    <cellStyle name="Normal 4 7 3" xfId="960" xr:uid="{00000000-0005-0000-0000-0000C0030000}"/>
    <cellStyle name="Normal 4 7 4" xfId="961" xr:uid="{00000000-0005-0000-0000-0000C1030000}"/>
    <cellStyle name="Normal 4 8" xfId="962" xr:uid="{00000000-0005-0000-0000-0000C2030000}"/>
    <cellStyle name="Normal 4 8 2" xfId="963" xr:uid="{00000000-0005-0000-0000-0000C3030000}"/>
    <cellStyle name="Normal 4 8 3" xfId="964" xr:uid="{00000000-0005-0000-0000-0000C4030000}"/>
    <cellStyle name="Normal 4 8 4" xfId="965" xr:uid="{00000000-0005-0000-0000-0000C5030000}"/>
    <cellStyle name="Normal 4 9" xfId="966" xr:uid="{00000000-0005-0000-0000-0000C6030000}"/>
    <cellStyle name="Normal 4 9 2" xfId="967" xr:uid="{00000000-0005-0000-0000-0000C7030000}"/>
    <cellStyle name="Normal 4 9 3" xfId="968" xr:uid="{00000000-0005-0000-0000-0000C8030000}"/>
    <cellStyle name="Normal 4 9 4" xfId="969" xr:uid="{00000000-0005-0000-0000-0000C9030000}"/>
    <cellStyle name="Normal 4_PBOP Exhibit 1" xfId="970" xr:uid="{00000000-0005-0000-0000-0000CA030000}"/>
    <cellStyle name="Normal 5" xfId="971" xr:uid="{00000000-0005-0000-0000-0000CB030000}"/>
    <cellStyle name="Normal 5 2" xfId="972" xr:uid="{00000000-0005-0000-0000-0000CC030000}"/>
    <cellStyle name="Normal 5 2 2" xfId="973" xr:uid="{00000000-0005-0000-0000-0000CD030000}"/>
    <cellStyle name="Normal 5 2 2 2" xfId="974" xr:uid="{00000000-0005-0000-0000-0000CE030000}"/>
    <cellStyle name="Normal 5 2 3" xfId="975" xr:uid="{00000000-0005-0000-0000-0000CF030000}"/>
    <cellStyle name="Normal 5 2 4" xfId="976" xr:uid="{00000000-0005-0000-0000-0000D0030000}"/>
    <cellStyle name="Normal 5 2 5" xfId="977" xr:uid="{00000000-0005-0000-0000-0000D1030000}"/>
    <cellStyle name="Normal 5 2 6" xfId="978" xr:uid="{00000000-0005-0000-0000-0000D2030000}"/>
    <cellStyle name="Normal 5 3" xfId="979" xr:uid="{00000000-0005-0000-0000-0000D3030000}"/>
    <cellStyle name="Normal 5 4" xfId="980" xr:uid="{00000000-0005-0000-0000-0000D4030000}"/>
    <cellStyle name="Normal 6" xfId="981" xr:uid="{00000000-0005-0000-0000-0000D5030000}"/>
    <cellStyle name="Normal 6 2" xfId="982" xr:uid="{00000000-0005-0000-0000-0000D6030000}"/>
    <cellStyle name="Normal 6 2 2" xfId="983" xr:uid="{00000000-0005-0000-0000-0000D7030000}"/>
    <cellStyle name="Normal 6 2 3" xfId="984" xr:uid="{00000000-0005-0000-0000-0000D8030000}"/>
    <cellStyle name="Normal 6 3" xfId="985" xr:uid="{00000000-0005-0000-0000-0000D9030000}"/>
    <cellStyle name="Normal 7" xfId="986" xr:uid="{00000000-0005-0000-0000-0000DA030000}"/>
    <cellStyle name="Normal 7 2" xfId="987" xr:uid="{00000000-0005-0000-0000-0000DB030000}"/>
    <cellStyle name="Normal 7 3" xfId="988" xr:uid="{00000000-0005-0000-0000-0000DC030000}"/>
    <cellStyle name="Normal 8" xfId="989" xr:uid="{00000000-0005-0000-0000-0000DD030000}"/>
    <cellStyle name="Normal 8 2" xfId="990" xr:uid="{00000000-0005-0000-0000-0000DE030000}"/>
    <cellStyle name="Normal 8 2 2" xfId="991" xr:uid="{00000000-0005-0000-0000-0000DF030000}"/>
    <cellStyle name="Normal 9" xfId="992" xr:uid="{00000000-0005-0000-0000-0000E0030000}"/>
    <cellStyle name="Normal 9 2" xfId="993" xr:uid="{00000000-0005-0000-0000-0000E1030000}"/>
    <cellStyle name="Normal 9 2 2" xfId="994" xr:uid="{00000000-0005-0000-0000-0000E2030000}"/>
    <cellStyle name="Normal_FN1 Ratebase Draft SPP template (6-11-04) v2" xfId="995" xr:uid="{00000000-0005-0000-0000-0000E3030000}"/>
    <cellStyle name="Note" xfId="996" builtinId="10" customBuiltin="1"/>
    <cellStyle name="Note 2" xfId="997" xr:uid="{00000000-0005-0000-0000-0000E5030000}"/>
    <cellStyle name="Note 2 2" xfId="998" xr:uid="{00000000-0005-0000-0000-0000E6030000}"/>
    <cellStyle name="Note 2 2 2" xfId="999" xr:uid="{00000000-0005-0000-0000-0000E7030000}"/>
    <cellStyle name="Note 2 2 3" xfId="1000" xr:uid="{00000000-0005-0000-0000-0000E8030000}"/>
    <cellStyle name="Note 2 2 4" xfId="1001" xr:uid="{00000000-0005-0000-0000-0000E9030000}"/>
    <cellStyle name="Note 2 3" xfId="1002" xr:uid="{00000000-0005-0000-0000-0000EA030000}"/>
    <cellStyle name="Note 2 4" xfId="1003" xr:uid="{00000000-0005-0000-0000-0000EB030000}"/>
    <cellStyle name="Note 2 5" xfId="1004" xr:uid="{00000000-0005-0000-0000-0000EC030000}"/>
    <cellStyle name="Output" xfId="1005" builtinId="21" customBuiltin="1"/>
    <cellStyle name="Output 2" xfId="1006" xr:uid="{00000000-0005-0000-0000-0000EE030000}"/>
    <cellStyle name="Output 2 2" xfId="1007" xr:uid="{00000000-0005-0000-0000-0000EF030000}"/>
    <cellStyle name="Output 2 3" xfId="1008" xr:uid="{00000000-0005-0000-0000-0000F0030000}"/>
    <cellStyle name="Output 2 4" xfId="1009" xr:uid="{00000000-0005-0000-0000-0000F1030000}"/>
    <cellStyle name="Output 2 5" xfId="1010" xr:uid="{00000000-0005-0000-0000-0000F2030000}"/>
    <cellStyle name="Percent" xfId="1011" builtinId="5"/>
    <cellStyle name="Percent 10" xfId="1012" xr:uid="{00000000-0005-0000-0000-0000F4030000}"/>
    <cellStyle name="Percent 10 2" xfId="1013" xr:uid="{00000000-0005-0000-0000-0000F5030000}"/>
    <cellStyle name="Percent 10 3" xfId="1014" xr:uid="{00000000-0005-0000-0000-0000F6030000}"/>
    <cellStyle name="Percent 10 4" xfId="1015" xr:uid="{00000000-0005-0000-0000-0000F7030000}"/>
    <cellStyle name="Percent 11" xfId="1016" xr:uid="{00000000-0005-0000-0000-0000F8030000}"/>
    <cellStyle name="Percent 11 2" xfId="1017" xr:uid="{00000000-0005-0000-0000-0000F9030000}"/>
    <cellStyle name="Percent 11 3" xfId="1018" xr:uid="{00000000-0005-0000-0000-0000FA030000}"/>
    <cellStyle name="Percent 11 4" xfId="1019" xr:uid="{00000000-0005-0000-0000-0000FB030000}"/>
    <cellStyle name="Percent 12" xfId="1020" xr:uid="{00000000-0005-0000-0000-0000FC030000}"/>
    <cellStyle name="Percent 12 2" xfId="1021" xr:uid="{00000000-0005-0000-0000-0000FD030000}"/>
    <cellStyle name="Percent 12 3" xfId="1022" xr:uid="{00000000-0005-0000-0000-0000FE030000}"/>
    <cellStyle name="Percent 13" xfId="1023" xr:uid="{00000000-0005-0000-0000-0000FF030000}"/>
    <cellStyle name="Percent 13 2" xfId="1024" xr:uid="{00000000-0005-0000-0000-000000040000}"/>
    <cellStyle name="Percent 14" xfId="1025" xr:uid="{00000000-0005-0000-0000-000001040000}"/>
    <cellStyle name="Percent 14 2" xfId="1026" xr:uid="{00000000-0005-0000-0000-000002040000}"/>
    <cellStyle name="Percent 15" xfId="1027" xr:uid="{00000000-0005-0000-0000-000003040000}"/>
    <cellStyle name="Percent 15 2" xfId="1028" xr:uid="{00000000-0005-0000-0000-000004040000}"/>
    <cellStyle name="Percent 16" xfId="1029" xr:uid="{00000000-0005-0000-0000-000005040000}"/>
    <cellStyle name="Percent 17" xfId="1030" xr:uid="{00000000-0005-0000-0000-000006040000}"/>
    <cellStyle name="Percent 2" xfId="1031" xr:uid="{00000000-0005-0000-0000-000007040000}"/>
    <cellStyle name="Percent 2 2" xfId="1032" xr:uid="{00000000-0005-0000-0000-000008040000}"/>
    <cellStyle name="Percent 2 2 2" xfId="1033" xr:uid="{00000000-0005-0000-0000-000009040000}"/>
    <cellStyle name="Percent 2 3" xfId="1034" xr:uid="{00000000-0005-0000-0000-00000A040000}"/>
    <cellStyle name="Percent 3" xfId="1035" xr:uid="{00000000-0005-0000-0000-00000B040000}"/>
    <cellStyle name="Percent 3 10" xfId="1036" xr:uid="{00000000-0005-0000-0000-00000C040000}"/>
    <cellStyle name="Percent 3 10 2" xfId="1037" xr:uid="{00000000-0005-0000-0000-00000D040000}"/>
    <cellStyle name="Percent 3 10 3" xfId="1038" xr:uid="{00000000-0005-0000-0000-00000E040000}"/>
    <cellStyle name="Percent 3 11" xfId="1039" xr:uid="{00000000-0005-0000-0000-00000F040000}"/>
    <cellStyle name="Percent 3 11 2" xfId="1040" xr:uid="{00000000-0005-0000-0000-000010040000}"/>
    <cellStyle name="Percent 3 12" xfId="1041" xr:uid="{00000000-0005-0000-0000-000011040000}"/>
    <cellStyle name="Percent 3 12 2" xfId="1042" xr:uid="{00000000-0005-0000-0000-000012040000}"/>
    <cellStyle name="Percent 3 13" xfId="1043" xr:uid="{00000000-0005-0000-0000-000013040000}"/>
    <cellStyle name="Percent 3 13 2" xfId="1044" xr:uid="{00000000-0005-0000-0000-000014040000}"/>
    <cellStyle name="Percent 3 14" xfId="1045" xr:uid="{00000000-0005-0000-0000-000015040000}"/>
    <cellStyle name="Percent 3 15" xfId="1046" xr:uid="{00000000-0005-0000-0000-000016040000}"/>
    <cellStyle name="Percent 3 2" xfId="1047" xr:uid="{00000000-0005-0000-0000-000017040000}"/>
    <cellStyle name="Percent 3 2 2" xfId="1048" xr:uid="{00000000-0005-0000-0000-000018040000}"/>
    <cellStyle name="Percent 3 3" xfId="1049" xr:uid="{00000000-0005-0000-0000-000019040000}"/>
    <cellStyle name="Percent 3 3 2" xfId="1050" xr:uid="{00000000-0005-0000-0000-00001A040000}"/>
    <cellStyle name="Percent 3 3 2 2" xfId="1051" xr:uid="{00000000-0005-0000-0000-00001B040000}"/>
    <cellStyle name="Percent 3 3 2 3" xfId="1052" xr:uid="{00000000-0005-0000-0000-00001C040000}"/>
    <cellStyle name="Percent 3 3 3" xfId="1053" xr:uid="{00000000-0005-0000-0000-00001D040000}"/>
    <cellStyle name="Percent 3 3 3 2" xfId="1054" xr:uid="{00000000-0005-0000-0000-00001E040000}"/>
    <cellStyle name="Percent 3 3 3 2 2" xfId="1055" xr:uid="{00000000-0005-0000-0000-00001F040000}"/>
    <cellStyle name="Percent 3 3 3 2 3" xfId="1056" xr:uid="{00000000-0005-0000-0000-000020040000}"/>
    <cellStyle name="Percent 3 3 3 2 4" xfId="1057" xr:uid="{00000000-0005-0000-0000-000021040000}"/>
    <cellStyle name="Percent 3 3 3 2 5" xfId="1058" xr:uid="{00000000-0005-0000-0000-000022040000}"/>
    <cellStyle name="Percent 3 3 3 3" xfId="1059" xr:uid="{00000000-0005-0000-0000-000023040000}"/>
    <cellStyle name="Percent 3 3 4" xfId="1060" xr:uid="{00000000-0005-0000-0000-000024040000}"/>
    <cellStyle name="Percent 3 3 5" xfId="1061" xr:uid="{00000000-0005-0000-0000-000025040000}"/>
    <cellStyle name="Percent 3 3 5 2" xfId="1062" xr:uid="{00000000-0005-0000-0000-000026040000}"/>
    <cellStyle name="Percent 3 3 5 3" xfId="1063" xr:uid="{00000000-0005-0000-0000-000027040000}"/>
    <cellStyle name="Percent 3 3 5 4" xfId="1064" xr:uid="{00000000-0005-0000-0000-000028040000}"/>
    <cellStyle name="Percent 3 3 5 5" xfId="1065" xr:uid="{00000000-0005-0000-0000-000029040000}"/>
    <cellStyle name="Percent 3 3 6" xfId="1066" xr:uid="{00000000-0005-0000-0000-00002A040000}"/>
    <cellStyle name="Percent 3 4" xfId="1067" xr:uid="{00000000-0005-0000-0000-00002B040000}"/>
    <cellStyle name="Percent 3 4 2" xfId="1068" xr:uid="{00000000-0005-0000-0000-00002C040000}"/>
    <cellStyle name="Percent 3 4 3" xfId="1069" xr:uid="{00000000-0005-0000-0000-00002D040000}"/>
    <cellStyle name="Percent 3 4 4" xfId="1070" xr:uid="{00000000-0005-0000-0000-00002E040000}"/>
    <cellStyle name="Percent 3 4 4 2" xfId="1071" xr:uid="{00000000-0005-0000-0000-00002F040000}"/>
    <cellStyle name="Percent 3 4 4 3" xfId="1072" xr:uid="{00000000-0005-0000-0000-000030040000}"/>
    <cellStyle name="Percent 3 4 4 4" xfId="1073" xr:uid="{00000000-0005-0000-0000-000031040000}"/>
    <cellStyle name="Percent 3 4 4 5" xfId="1074" xr:uid="{00000000-0005-0000-0000-000032040000}"/>
    <cellStyle name="Percent 3 4 5" xfId="1075" xr:uid="{00000000-0005-0000-0000-000033040000}"/>
    <cellStyle name="Percent 3 5" xfId="1076" xr:uid="{00000000-0005-0000-0000-000034040000}"/>
    <cellStyle name="Percent 3 5 2" xfId="1077" xr:uid="{00000000-0005-0000-0000-000035040000}"/>
    <cellStyle name="Percent 3 6" xfId="1078" xr:uid="{00000000-0005-0000-0000-000036040000}"/>
    <cellStyle name="Percent 3 6 2" xfId="1079" xr:uid="{00000000-0005-0000-0000-000037040000}"/>
    <cellStyle name="Percent 3 6 3" xfId="1080" xr:uid="{00000000-0005-0000-0000-000038040000}"/>
    <cellStyle name="Percent 3 6 4" xfId="1081" xr:uid="{00000000-0005-0000-0000-000039040000}"/>
    <cellStyle name="Percent 3 7" xfId="1082" xr:uid="{00000000-0005-0000-0000-00003A040000}"/>
    <cellStyle name="Percent 3 7 2" xfId="1083" xr:uid="{00000000-0005-0000-0000-00003B040000}"/>
    <cellStyle name="Percent 3 7 3" xfId="1084" xr:uid="{00000000-0005-0000-0000-00003C040000}"/>
    <cellStyle name="Percent 3 7 4" xfId="1085" xr:uid="{00000000-0005-0000-0000-00003D040000}"/>
    <cellStyle name="Percent 3 8" xfId="1086" xr:uid="{00000000-0005-0000-0000-00003E040000}"/>
    <cellStyle name="Percent 3 8 2" xfId="1087" xr:uid="{00000000-0005-0000-0000-00003F040000}"/>
    <cellStyle name="Percent 3 8 3" xfId="1088" xr:uid="{00000000-0005-0000-0000-000040040000}"/>
    <cellStyle name="Percent 3 8 4" xfId="1089" xr:uid="{00000000-0005-0000-0000-000041040000}"/>
    <cellStyle name="Percent 3 9" xfId="1090" xr:uid="{00000000-0005-0000-0000-000042040000}"/>
    <cellStyle name="Percent 3 9 2" xfId="1091" xr:uid="{00000000-0005-0000-0000-000043040000}"/>
    <cellStyle name="Percent 3 9 3" xfId="1092" xr:uid="{00000000-0005-0000-0000-000044040000}"/>
    <cellStyle name="Percent 3 9 4" xfId="1093" xr:uid="{00000000-0005-0000-0000-000045040000}"/>
    <cellStyle name="Percent 4" xfId="1094" xr:uid="{00000000-0005-0000-0000-000046040000}"/>
    <cellStyle name="Percent 4 2" xfId="1095" xr:uid="{00000000-0005-0000-0000-000047040000}"/>
    <cellStyle name="Percent 4 2 2" xfId="1096" xr:uid="{00000000-0005-0000-0000-000048040000}"/>
    <cellStyle name="Percent 4 2 3" xfId="1097" xr:uid="{00000000-0005-0000-0000-000049040000}"/>
    <cellStyle name="Percent 4 3" xfId="1098" xr:uid="{00000000-0005-0000-0000-00004A040000}"/>
    <cellStyle name="Percent 4 3 2" xfId="1099" xr:uid="{00000000-0005-0000-0000-00004B040000}"/>
    <cellStyle name="Percent 4 3 2 2" xfId="1100" xr:uid="{00000000-0005-0000-0000-00004C040000}"/>
    <cellStyle name="Percent 4 3 2 3" xfId="1101" xr:uid="{00000000-0005-0000-0000-00004D040000}"/>
    <cellStyle name="Percent 4 3 2 4" xfId="1102" xr:uid="{00000000-0005-0000-0000-00004E040000}"/>
    <cellStyle name="Percent 4 3 2 5" xfId="1103" xr:uid="{00000000-0005-0000-0000-00004F040000}"/>
    <cellStyle name="Percent 4 3 3" xfId="1104" xr:uid="{00000000-0005-0000-0000-000050040000}"/>
    <cellStyle name="Percent 4 4" xfId="1105" xr:uid="{00000000-0005-0000-0000-000051040000}"/>
    <cellStyle name="Percent 4 5" xfId="1106" xr:uid="{00000000-0005-0000-0000-000052040000}"/>
    <cellStyle name="Percent 4 5 2" xfId="1107" xr:uid="{00000000-0005-0000-0000-000053040000}"/>
    <cellStyle name="Percent 4 5 3" xfId="1108" xr:uid="{00000000-0005-0000-0000-000054040000}"/>
    <cellStyle name="Percent 4 5 4" xfId="1109" xr:uid="{00000000-0005-0000-0000-000055040000}"/>
    <cellStyle name="Percent 4 5 5" xfId="1110" xr:uid="{00000000-0005-0000-0000-000056040000}"/>
    <cellStyle name="Percent 4 6" xfId="1111" xr:uid="{00000000-0005-0000-0000-000057040000}"/>
    <cellStyle name="Percent 4 6 2" xfId="1112" xr:uid="{00000000-0005-0000-0000-000058040000}"/>
    <cellStyle name="Percent 4 6 3" xfId="1113" xr:uid="{00000000-0005-0000-0000-000059040000}"/>
    <cellStyle name="Percent 5" xfId="1114" xr:uid="{00000000-0005-0000-0000-00005A040000}"/>
    <cellStyle name="Percent 5 2" xfId="1115" xr:uid="{00000000-0005-0000-0000-00005B040000}"/>
    <cellStyle name="Percent 5 3" xfId="1116" xr:uid="{00000000-0005-0000-0000-00005C040000}"/>
    <cellStyle name="Percent 5 4" xfId="1117" xr:uid="{00000000-0005-0000-0000-00005D040000}"/>
    <cellStyle name="Percent 5 4 2" xfId="1118" xr:uid="{00000000-0005-0000-0000-00005E040000}"/>
    <cellStyle name="Percent 5 4 3" xfId="1119" xr:uid="{00000000-0005-0000-0000-00005F040000}"/>
    <cellStyle name="Percent 5 4 4" xfId="1120" xr:uid="{00000000-0005-0000-0000-000060040000}"/>
    <cellStyle name="Percent 5 4 5" xfId="1121" xr:uid="{00000000-0005-0000-0000-000061040000}"/>
    <cellStyle name="Percent 5 5" xfId="1122" xr:uid="{00000000-0005-0000-0000-000062040000}"/>
    <cellStyle name="Percent 6" xfId="1123" xr:uid="{00000000-0005-0000-0000-000063040000}"/>
    <cellStyle name="Percent 6 2" xfId="1124" xr:uid="{00000000-0005-0000-0000-000064040000}"/>
    <cellStyle name="Percent 6 3" xfId="1125" xr:uid="{00000000-0005-0000-0000-000065040000}"/>
    <cellStyle name="Percent 6 4" xfId="1126" xr:uid="{00000000-0005-0000-0000-000066040000}"/>
    <cellStyle name="Percent 6 4 2" xfId="1127" xr:uid="{00000000-0005-0000-0000-000067040000}"/>
    <cellStyle name="Percent 6 4 3" xfId="1128" xr:uid="{00000000-0005-0000-0000-000068040000}"/>
    <cellStyle name="Percent 7" xfId="1129" xr:uid="{00000000-0005-0000-0000-000069040000}"/>
    <cellStyle name="Percent 7 2" xfId="1130" xr:uid="{00000000-0005-0000-0000-00006A040000}"/>
    <cellStyle name="Percent 7 2 2" xfId="1131" xr:uid="{00000000-0005-0000-0000-00006B040000}"/>
    <cellStyle name="Percent 7 2 2 2" xfId="1132" xr:uid="{00000000-0005-0000-0000-00006C040000}"/>
    <cellStyle name="Percent 7 2 2 2 2" xfId="1133" xr:uid="{00000000-0005-0000-0000-00006D040000}"/>
    <cellStyle name="Percent 7 2 2 3" xfId="1134" xr:uid="{00000000-0005-0000-0000-00006E040000}"/>
    <cellStyle name="Percent 7 2 2 3 2" xfId="1135" xr:uid="{00000000-0005-0000-0000-00006F040000}"/>
    <cellStyle name="Percent 7 2 2 4" xfId="1136" xr:uid="{00000000-0005-0000-0000-000070040000}"/>
    <cellStyle name="Percent 7 2 2 5" xfId="1137" xr:uid="{00000000-0005-0000-0000-000071040000}"/>
    <cellStyle name="Percent 7 2 2 6" xfId="1138" xr:uid="{00000000-0005-0000-0000-000072040000}"/>
    <cellStyle name="Percent 7 2 3" xfId="1139" xr:uid="{00000000-0005-0000-0000-000073040000}"/>
    <cellStyle name="Percent 7 2 3 2" xfId="1140" xr:uid="{00000000-0005-0000-0000-000074040000}"/>
    <cellStyle name="Percent 7 2 4" xfId="1141" xr:uid="{00000000-0005-0000-0000-000075040000}"/>
    <cellStyle name="Percent 7 2 4 2" xfId="1142" xr:uid="{00000000-0005-0000-0000-000076040000}"/>
    <cellStyle name="Percent 7 2 4 3" xfId="1143" xr:uid="{00000000-0005-0000-0000-000077040000}"/>
    <cellStyle name="Percent 7 2 5" xfId="1144" xr:uid="{00000000-0005-0000-0000-000078040000}"/>
    <cellStyle name="Percent 7 2 5 2" xfId="1145" xr:uid="{00000000-0005-0000-0000-000079040000}"/>
    <cellStyle name="Percent 7 2 6" xfId="1146" xr:uid="{00000000-0005-0000-0000-00007A040000}"/>
    <cellStyle name="Percent 7 3" xfId="1147" xr:uid="{00000000-0005-0000-0000-00007B040000}"/>
    <cellStyle name="Percent 7 4" xfId="1148" xr:uid="{00000000-0005-0000-0000-00007C040000}"/>
    <cellStyle name="Percent 7 5" xfId="1149" xr:uid="{00000000-0005-0000-0000-00007D040000}"/>
    <cellStyle name="Percent 7 6" xfId="1150" xr:uid="{00000000-0005-0000-0000-00007E040000}"/>
    <cellStyle name="Percent 8" xfId="1151" xr:uid="{00000000-0005-0000-0000-00007F040000}"/>
    <cellStyle name="Percent 8 2" xfId="1152" xr:uid="{00000000-0005-0000-0000-000080040000}"/>
    <cellStyle name="Percent 8 3" xfId="1153" xr:uid="{00000000-0005-0000-0000-000081040000}"/>
    <cellStyle name="Percent 8 4" xfId="1154" xr:uid="{00000000-0005-0000-0000-000082040000}"/>
    <cellStyle name="Percent 9" xfId="1155" xr:uid="{00000000-0005-0000-0000-000083040000}"/>
    <cellStyle name="Percent 9 2" xfId="1156" xr:uid="{00000000-0005-0000-0000-000084040000}"/>
    <cellStyle name="Percent 9 3" xfId="1157" xr:uid="{00000000-0005-0000-0000-000085040000}"/>
    <cellStyle name="Percent 9 4" xfId="1158" xr:uid="{00000000-0005-0000-0000-000086040000}"/>
    <cellStyle name="PSChar" xfId="1159" xr:uid="{00000000-0005-0000-0000-000087040000}"/>
    <cellStyle name="PSChar 2" xfId="1160" xr:uid="{00000000-0005-0000-0000-000088040000}"/>
    <cellStyle name="PSChar 2 2" xfId="1161" xr:uid="{00000000-0005-0000-0000-000089040000}"/>
    <cellStyle name="PSChar 3" xfId="1162" xr:uid="{00000000-0005-0000-0000-00008A040000}"/>
    <cellStyle name="PSChar 4" xfId="1163" xr:uid="{00000000-0005-0000-0000-00008B040000}"/>
    <cellStyle name="PSChar 4 2" xfId="1164" xr:uid="{00000000-0005-0000-0000-00008C040000}"/>
    <cellStyle name="PSChar 5" xfId="1165" xr:uid="{00000000-0005-0000-0000-00008D040000}"/>
    <cellStyle name="PSChar 5 2" xfId="1166" xr:uid="{00000000-0005-0000-0000-00008E040000}"/>
    <cellStyle name="PSDate" xfId="1167" xr:uid="{00000000-0005-0000-0000-00008F040000}"/>
    <cellStyle name="PSDate 2" xfId="1168" xr:uid="{00000000-0005-0000-0000-000090040000}"/>
    <cellStyle name="PSDate 3" xfId="1169" xr:uid="{00000000-0005-0000-0000-000091040000}"/>
    <cellStyle name="PSDate 4" xfId="1170" xr:uid="{00000000-0005-0000-0000-000092040000}"/>
    <cellStyle name="PSDate 4 2" xfId="1171" xr:uid="{00000000-0005-0000-0000-000093040000}"/>
    <cellStyle name="PSDate 5" xfId="1172" xr:uid="{00000000-0005-0000-0000-000094040000}"/>
    <cellStyle name="PSDate 5 2" xfId="1173" xr:uid="{00000000-0005-0000-0000-000095040000}"/>
    <cellStyle name="PSDec" xfId="1174" xr:uid="{00000000-0005-0000-0000-000096040000}"/>
    <cellStyle name="PSDec 2" xfId="1175" xr:uid="{00000000-0005-0000-0000-000097040000}"/>
    <cellStyle name="PSDec 3" xfId="1176" xr:uid="{00000000-0005-0000-0000-000098040000}"/>
    <cellStyle name="PSDec 4" xfId="1177" xr:uid="{00000000-0005-0000-0000-000099040000}"/>
    <cellStyle name="PSDec 4 2" xfId="1178" xr:uid="{00000000-0005-0000-0000-00009A040000}"/>
    <cellStyle name="PSDec 5" xfId="1179" xr:uid="{00000000-0005-0000-0000-00009B040000}"/>
    <cellStyle name="PSDec 5 2" xfId="1180" xr:uid="{00000000-0005-0000-0000-00009C040000}"/>
    <cellStyle name="PSdesc" xfId="1181" xr:uid="{00000000-0005-0000-0000-00009D040000}"/>
    <cellStyle name="PSdesc 2" xfId="1182" xr:uid="{00000000-0005-0000-0000-00009E040000}"/>
    <cellStyle name="PSHeading" xfId="1183" xr:uid="{00000000-0005-0000-0000-00009F040000}"/>
    <cellStyle name="PSHeading 2" xfId="1184" xr:uid="{00000000-0005-0000-0000-0000A0040000}"/>
    <cellStyle name="PSHeading 3" xfId="1185" xr:uid="{00000000-0005-0000-0000-0000A1040000}"/>
    <cellStyle name="PSHeading 4" xfId="1186" xr:uid="{00000000-0005-0000-0000-0000A2040000}"/>
    <cellStyle name="PSHeading 5" xfId="1187" xr:uid="{00000000-0005-0000-0000-0000A3040000}"/>
    <cellStyle name="PSHeading 5 2" xfId="1188" xr:uid="{00000000-0005-0000-0000-0000A4040000}"/>
    <cellStyle name="PSHeading 6" xfId="1189" xr:uid="{00000000-0005-0000-0000-0000A5040000}"/>
    <cellStyle name="PSHeading 6 2" xfId="1190" xr:uid="{00000000-0005-0000-0000-0000A6040000}"/>
    <cellStyle name="PSInt" xfId="1191" xr:uid="{00000000-0005-0000-0000-0000A7040000}"/>
    <cellStyle name="PSInt 2" xfId="1192" xr:uid="{00000000-0005-0000-0000-0000A8040000}"/>
    <cellStyle name="PSInt 3" xfId="1193" xr:uid="{00000000-0005-0000-0000-0000A9040000}"/>
    <cellStyle name="PSInt 4" xfId="1194" xr:uid="{00000000-0005-0000-0000-0000AA040000}"/>
    <cellStyle name="PSInt 4 2" xfId="1195" xr:uid="{00000000-0005-0000-0000-0000AB040000}"/>
    <cellStyle name="PSInt 5" xfId="1196" xr:uid="{00000000-0005-0000-0000-0000AC040000}"/>
    <cellStyle name="PSInt 5 2" xfId="1197" xr:uid="{00000000-0005-0000-0000-0000AD040000}"/>
    <cellStyle name="PSSpacer" xfId="1198" xr:uid="{00000000-0005-0000-0000-0000AE040000}"/>
    <cellStyle name="PSSpacer 2" xfId="1199" xr:uid="{00000000-0005-0000-0000-0000AF040000}"/>
    <cellStyle name="PSSpacer 3" xfId="1200" xr:uid="{00000000-0005-0000-0000-0000B0040000}"/>
    <cellStyle name="PSSpacer 3 2" xfId="1201" xr:uid="{00000000-0005-0000-0000-0000B1040000}"/>
    <cellStyle name="PStest" xfId="1202" xr:uid="{00000000-0005-0000-0000-0000B2040000}"/>
    <cellStyle name="PStest 2" xfId="1203" xr:uid="{00000000-0005-0000-0000-0000B3040000}"/>
    <cellStyle name="R00A" xfId="1204" xr:uid="{00000000-0005-0000-0000-0000B4040000}"/>
    <cellStyle name="R00B" xfId="1205" xr:uid="{00000000-0005-0000-0000-0000B5040000}"/>
    <cellStyle name="R00L" xfId="1206" xr:uid="{00000000-0005-0000-0000-0000B6040000}"/>
    <cellStyle name="R01A" xfId="1207" xr:uid="{00000000-0005-0000-0000-0000B7040000}"/>
    <cellStyle name="R01B" xfId="1208" xr:uid="{00000000-0005-0000-0000-0000B8040000}"/>
    <cellStyle name="R01H" xfId="1209" xr:uid="{00000000-0005-0000-0000-0000B9040000}"/>
    <cellStyle name="R01L" xfId="1210" xr:uid="{00000000-0005-0000-0000-0000BA040000}"/>
    <cellStyle name="R02A" xfId="1211" xr:uid="{00000000-0005-0000-0000-0000BB040000}"/>
    <cellStyle name="R02B" xfId="1212" xr:uid="{00000000-0005-0000-0000-0000BC040000}"/>
    <cellStyle name="R02B 2" xfId="1213" xr:uid="{00000000-0005-0000-0000-0000BD040000}"/>
    <cellStyle name="R02H" xfId="1214" xr:uid="{00000000-0005-0000-0000-0000BE040000}"/>
    <cellStyle name="R02L" xfId="1215" xr:uid="{00000000-0005-0000-0000-0000BF040000}"/>
    <cellStyle name="R03A" xfId="1216" xr:uid="{00000000-0005-0000-0000-0000C0040000}"/>
    <cellStyle name="R03B" xfId="1217" xr:uid="{00000000-0005-0000-0000-0000C1040000}"/>
    <cellStyle name="R03B 2" xfId="1218" xr:uid="{00000000-0005-0000-0000-0000C2040000}"/>
    <cellStyle name="R03H" xfId="1219" xr:uid="{00000000-0005-0000-0000-0000C3040000}"/>
    <cellStyle name="R03L" xfId="1220" xr:uid="{00000000-0005-0000-0000-0000C4040000}"/>
    <cellStyle name="R04A" xfId="1221" xr:uid="{00000000-0005-0000-0000-0000C5040000}"/>
    <cellStyle name="R04B" xfId="1222" xr:uid="{00000000-0005-0000-0000-0000C6040000}"/>
    <cellStyle name="R04B 2" xfId="1223" xr:uid="{00000000-0005-0000-0000-0000C7040000}"/>
    <cellStyle name="R04H" xfId="1224" xr:uid="{00000000-0005-0000-0000-0000C8040000}"/>
    <cellStyle name="R04L" xfId="1225" xr:uid="{00000000-0005-0000-0000-0000C9040000}"/>
    <cellStyle name="R05A" xfId="1226" xr:uid="{00000000-0005-0000-0000-0000CA040000}"/>
    <cellStyle name="R05B" xfId="1227" xr:uid="{00000000-0005-0000-0000-0000CB040000}"/>
    <cellStyle name="R05B 2" xfId="1228" xr:uid="{00000000-0005-0000-0000-0000CC040000}"/>
    <cellStyle name="R05H" xfId="1229" xr:uid="{00000000-0005-0000-0000-0000CD040000}"/>
    <cellStyle name="R05L" xfId="1230" xr:uid="{00000000-0005-0000-0000-0000CE040000}"/>
    <cellStyle name="R05L 2" xfId="1231" xr:uid="{00000000-0005-0000-0000-0000CF040000}"/>
    <cellStyle name="R06A" xfId="1232" xr:uid="{00000000-0005-0000-0000-0000D0040000}"/>
    <cellStyle name="R06B" xfId="1233" xr:uid="{00000000-0005-0000-0000-0000D1040000}"/>
    <cellStyle name="R06B 2" xfId="1234" xr:uid="{00000000-0005-0000-0000-0000D2040000}"/>
    <cellStyle name="R06H" xfId="1235" xr:uid="{00000000-0005-0000-0000-0000D3040000}"/>
    <cellStyle name="R06L" xfId="1236" xr:uid="{00000000-0005-0000-0000-0000D4040000}"/>
    <cellStyle name="R07A" xfId="1237" xr:uid="{00000000-0005-0000-0000-0000D5040000}"/>
    <cellStyle name="R07B" xfId="1238" xr:uid="{00000000-0005-0000-0000-0000D6040000}"/>
    <cellStyle name="R07B 2" xfId="1239" xr:uid="{00000000-0005-0000-0000-0000D7040000}"/>
    <cellStyle name="R07H" xfId="1240" xr:uid="{00000000-0005-0000-0000-0000D8040000}"/>
    <cellStyle name="R07L" xfId="1241" xr:uid="{00000000-0005-0000-0000-0000D9040000}"/>
    <cellStyle name="Title" xfId="1242" builtinId="15" customBuiltin="1"/>
    <cellStyle name="Title 2" xfId="1243" xr:uid="{00000000-0005-0000-0000-0000DB040000}"/>
    <cellStyle name="Title 2 2" xfId="1244" xr:uid="{00000000-0005-0000-0000-0000DC040000}"/>
    <cellStyle name="Title 2 3" xfId="1245" xr:uid="{00000000-0005-0000-0000-0000DD040000}"/>
    <cellStyle name="Title 2 4" xfId="1246" xr:uid="{00000000-0005-0000-0000-0000DE040000}"/>
    <cellStyle name="Total" xfId="1247" builtinId="25" customBuiltin="1"/>
    <cellStyle name="Total 2" xfId="1248" xr:uid="{00000000-0005-0000-0000-0000E0040000}"/>
    <cellStyle name="Total 2 2" xfId="1249" xr:uid="{00000000-0005-0000-0000-0000E1040000}"/>
    <cellStyle name="Total 2 3" xfId="1250" xr:uid="{00000000-0005-0000-0000-0000E2040000}"/>
    <cellStyle name="Total 2 4" xfId="1251" xr:uid="{00000000-0005-0000-0000-0000E3040000}"/>
    <cellStyle name="Total 2 5" xfId="1252" xr:uid="{00000000-0005-0000-0000-0000E4040000}"/>
    <cellStyle name="Total 3" xfId="1253" xr:uid="{00000000-0005-0000-0000-0000E5040000}"/>
    <cellStyle name="Total 3 2" xfId="1254" xr:uid="{00000000-0005-0000-0000-0000E6040000}"/>
    <cellStyle name="Warning Text" xfId="1255" builtinId="11" customBuiltin="1"/>
    <cellStyle name="Warning Text 2" xfId="1256" xr:uid="{00000000-0005-0000-0000-0000E8040000}"/>
    <cellStyle name="Warning Text 2 2" xfId="1257" xr:uid="{00000000-0005-0000-0000-0000E9040000}"/>
    <cellStyle name="Warning Text 2 3" xfId="1258" xr:uid="{00000000-0005-0000-0000-0000EA040000}"/>
    <cellStyle name="Warning Text 2 4" xfId="1259" xr:uid="{00000000-0005-0000-0000-0000EB040000}"/>
    <cellStyle name="Warning Text 2 5" xfId="1260" xr:uid="{00000000-0005-0000-0000-0000EC040000}"/>
  </cellStyles>
  <dxfs count="156"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haredStrings" Target="sharedStrings.xml"/><Relationship Id="rId89" Type="http://schemas.openxmlformats.org/officeDocument/2006/relationships/customXml" Target="../customXml/item4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88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ustomXml" Target="../customXml/item2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Relationship Id="rId19" Type="http://schemas.openxmlformats.org/officeDocument/2006/relationships/worksheet" Target="worksheets/sheet1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428625</xdr:colOff>
      <xdr:row>28</xdr:row>
      <xdr:rowOff>114300</xdr:rowOff>
    </xdr:from>
    <xdr:to>
      <xdr:col>4</xdr:col>
      <xdr:colOff>533400</xdr:colOff>
      <xdr:row>30</xdr:row>
      <xdr:rowOff>6350</xdr:rowOff>
    </xdr:to>
    <xdr:sp macro="" textlink="">
      <xdr:nvSpPr>
        <xdr:cNvPr id="1511" name="Text Box 1">
          <a:extLst>
            <a:ext uri="{FF2B5EF4-FFF2-40B4-BE49-F238E27FC236}">
              <a16:creationId xmlns:a16="http://schemas.microsoft.com/office/drawing/2014/main" id="{00000000-0008-0000-0100-0000E7050000}"/>
            </a:ext>
          </a:extLst>
        </xdr:cNvPr>
        <xdr:cNvSpPr txBox="1">
          <a:spLocks noChangeArrowheads="1"/>
        </xdr:cNvSpPr>
      </xdr:nvSpPr>
      <xdr:spPr bwMode="auto">
        <a:xfrm>
          <a:off x="3924300" y="518160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21965" name="Text Box 1">
          <a:extLst>
            <a:ext uri="{FF2B5EF4-FFF2-40B4-BE49-F238E27FC236}">
              <a16:creationId xmlns:a16="http://schemas.microsoft.com/office/drawing/2014/main" id="{00000000-0008-0000-0B00-0000CD5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102493" name="Text Box 1">
          <a:extLst>
            <a:ext uri="{FF2B5EF4-FFF2-40B4-BE49-F238E27FC236}">
              <a16:creationId xmlns:a16="http://schemas.microsoft.com/office/drawing/2014/main" id="{00000000-0008-0000-0C00-00005D90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4651</xdr:colOff>
      <xdr:row>34</xdr:row>
      <xdr:rowOff>112395</xdr:rowOff>
    </xdr:from>
    <xdr:to>
      <xdr:col>15</xdr:col>
      <xdr:colOff>73030</xdr:colOff>
      <xdr:row>52</xdr:row>
      <xdr:rowOff>91</xdr:rowOff>
    </xdr:to>
    <xdr:sp macro="" textlink="">
      <xdr:nvSpPr>
        <xdr:cNvPr id="22532" name="WordArt 4">
          <a:extLst>
            <a:ext uri="{FF2B5EF4-FFF2-40B4-BE49-F238E27FC236}">
              <a16:creationId xmlns:a16="http://schemas.microsoft.com/office/drawing/2014/main" id="{00000000-0008-0000-0C00-00000458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742950" y="6362700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417195</xdr:colOff>
      <xdr:row>116</xdr:row>
      <xdr:rowOff>116205</xdr:rowOff>
    </xdr:from>
    <xdr:to>
      <xdr:col>15</xdr:col>
      <xdr:colOff>4169</xdr:colOff>
      <xdr:row>133</xdr:row>
      <xdr:rowOff>140356</xdr:rowOff>
    </xdr:to>
    <xdr:sp macro="" textlink="">
      <xdr:nvSpPr>
        <xdr:cNvPr id="22533" name="WordArt 5">
          <a:extLst>
            <a:ext uri="{FF2B5EF4-FFF2-40B4-BE49-F238E27FC236}">
              <a16:creationId xmlns:a16="http://schemas.microsoft.com/office/drawing/2014/main" id="{00000000-0008-0000-0C00-00000558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695325" y="20507325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3517" name="Text Box 1">
          <a:extLst>
            <a:ext uri="{FF2B5EF4-FFF2-40B4-BE49-F238E27FC236}">
              <a16:creationId xmlns:a16="http://schemas.microsoft.com/office/drawing/2014/main" id="{00000000-0008-0000-0D00-00005D94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34</xdr:row>
      <xdr:rowOff>113665</xdr:rowOff>
    </xdr:from>
    <xdr:to>
      <xdr:col>15</xdr:col>
      <xdr:colOff>85725</xdr:colOff>
      <xdr:row>52</xdr:row>
      <xdr:rowOff>3269</xdr:rowOff>
    </xdr:to>
    <xdr:sp macro="" textlink="">
      <xdr:nvSpPr>
        <xdr:cNvPr id="23555" name="WordArt 3">
          <a:extLst>
            <a:ext uri="{FF2B5EF4-FFF2-40B4-BE49-F238E27FC236}">
              <a16:creationId xmlns:a16="http://schemas.microsoft.com/office/drawing/2014/main" id="{00000000-0008-0000-0D00-0000035C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762000" y="6362700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417195</xdr:colOff>
      <xdr:row>116</xdr:row>
      <xdr:rowOff>138430</xdr:rowOff>
    </xdr:from>
    <xdr:to>
      <xdr:col>15</xdr:col>
      <xdr:colOff>28574</xdr:colOff>
      <xdr:row>134</xdr:row>
      <xdr:rowOff>1960</xdr:rowOff>
    </xdr:to>
    <xdr:sp macro="" textlink="">
      <xdr:nvSpPr>
        <xdr:cNvPr id="23556" name="WordArt 4">
          <a:extLst>
            <a:ext uri="{FF2B5EF4-FFF2-40B4-BE49-F238E27FC236}">
              <a16:creationId xmlns:a16="http://schemas.microsoft.com/office/drawing/2014/main" id="{00000000-0008-0000-0D00-0000045C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723900" y="20526375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25041" name="Text Box 1">
          <a:extLst>
            <a:ext uri="{FF2B5EF4-FFF2-40B4-BE49-F238E27FC236}">
              <a16:creationId xmlns:a16="http://schemas.microsoft.com/office/drawing/2014/main" id="{00000000-0008-0000-0E00-0000D16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6074" name="Text Box 1">
          <a:extLst>
            <a:ext uri="{FF2B5EF4-FFF2-40B4-BE49-F238E27FC236}">
              <a16:creationId xmlns:a16="http://schemas.microsoft.com/office/drawing/2014/main" id="{00000000-0008-0000-0F00-0000DA6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7086" name="Text Box 1">
          <a:extLst>
            <a:ext uri="{FF2B5EF4-FFF2-40B4-BE49-F238E27FC236}">
              <a16:creationId xmlns:a16="http://schemas.microsoft.com/office/drawing/2014/main" id="{00000000-0008-0000-1000-0000CE6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28111" name="Text Box 1">
          <a:extLst>
            <a:ext uri="{FF2B5EF4-FFF2-40B4-BE49-F238E27FC236}">
              <a16:creationId xmlns:a16="http://schemas.microsoft.com/office/drawing/2014/main" id="{00000000-0008-0000-1100-0000CF6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9135" name="Text Box 1">
          <a:extLst>
            <a:ext uri="{FF2B5EF4-FFF2-40B4-BE49-F238E27FC236}">
              <a16:creationId xmlns:a16="http://schemas.microsoft.com/office/drawing/2014/main" id="{00000000-0008-0000-1200-0000CF7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30158" name="Text Box 1">
          <a:extLst>
            <a:ext uri="{FF2B5EF4-FFF2-40B4-BE49-F238E27FC236}">
              <a16:creationId xmlns:a16="http://schemas.microsoft.com/office/drawing/2014/main" id="{00000000-0008-0000-1300-0000CE7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104541" name="Text Box 1">
          <a:extLst>
            <a:ext uri="{FF2B5EF4-FFF2-40B4-BE49-F238E27FC236}">
              <a16:creationId xmlns:a16="http://schemas.microsoft.com/office/drawing/2014/main" id="{00000000-0008-0000-1400-00005D98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421005</xdr:colOff>
      <xdr:row>34</xdr:row>
      <xdr:rowOff>137160</xdr:rowOff>
    </xdr:from>
    <xdr:to>
      <xdr:col>15</xdr:col>
      <xdr:colOff>80645</xdr:colOff>
      <xdr:row>52</xdr:row>
      <xdr:rowOff>1994</xdr:rowOff>
    </xdr:to>
    <xdr:sp macro="" textlink="">
      <xdr:nvSpPr>
        <xdr:cNvPr id="30723" name="WordArt 3">
          <a:extLst>
            <a:ext uri="{FF2B5EF4-FFF2-40B4-BE49-F238E27FC236}">
              <a16:creationId xmlns:a16="http://schemas.microsoft.com/office/drawing/2014/main" id="{00000000-0008-0000-1400-00000378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742950" y="6372225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405765</xdr:colOff>
      <xdr:row>116</xdr:row>
      <xdr:rowOff>154305</xdr:rowOff>
    </xdr:from>
    <xdr:to>
      <xdr:col>15</xdr:col>
      <xdr:colOff>34303</xdr:colOff>
      <xdr:row>134</xdr:row>
      <xdr:rowOff>34298</xdr:rowOff>
    </xdr:to>
    <xdr:sp macro="" textlink="">
      <xdr:nvSpPr>
        <xdr:cNvPr id="30725" name="WordArt 5">
          <a:extLst>
            <a:ext uri="{FF2B5EF4-FFF2-40B4-BE49-F238E27FC236}">
              <a16:creationId xmlns:a16="http://schemas.microsoft.com/office/drawing/2014/main" id="{00000000-0008-0000-1400-00000578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714375" y="20535900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2511" name="Text Box 1">
          <a:extLst>
            <a:ext uri="{FF2B5EF4-FFF2-40B4-BE49-F238E27FC236}">
              <a16:creationId xmlns:a16="http://schemas.microsoft.com/office/drawing/2014/main" id="{00000000-0008-0000-0300-0000CF0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32205" name="Text Box 1">
          <a:extLst>
            <a:ext uri="{FF2B5EF4-FFF2-40B4-BE49-F238E27FC236}">
              <a16:creationId xmlns:a16="http://schemas.microsoft.com/office/drawing/2014/main" id="{00000000-0008-0000-1500-0000CD7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5565" name="Text Box 1">
          <a:extLst>
            <a:ext uri="{FF2B5EF4-FFF2-40B4-BE49-F238E27FC236}">
              <a16:creationId xmlns:a16="http://schemas.microsoft.com/office/drawing/2014/main" id="{00000000-0008-0000-1600-00005D9C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533400</xdr:colOff>
      <xdr:row>27</xdr:row>
      <xdr:rowOff>47625</xdr:rowOff>
    </xdr:from>
    <xdr:to>
      <xdr:col>14</xdr:col>
      <xdr:colOff>876300</xdr:colOff>
      <xdr:row>67</xdr:row>
      <xdr:rowOff>95250</xdr:rowOff>
    </xdr:to>
    <xdr:pic>
      <xdr:nvPicPr>
        <xdr:cNvPr id="105566" name="Picture 1">
          <a:extLst>
            <a:ext uri="{FF2B5EF4-FFF2-40B4-BE49-F238E27FC236}">
              <a16:creationId xmlns:a16="http://schemas.microsoft.com/office/drawing/2014/main" id="{00000000-0008-0000-1600-00005E9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5133975"/>
          <a:ext cx="13220700" cy="6524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99</xdr:row>
      <xdr:rowOff>19050</xdr:rowOff>
    </xdr:from>
    <xdr:to>
      <xdr:col>14</xdr:col>
      <xdr:colOff>361950</xdr:colOff>
      <xdr:row>139</xdr:row>
      <xdr:rowOff>76200</xdr:rowOff>
    </xdr:to>
    <xdr:pic>
      <xdr:nvPicPr>
        <xdr:cNvPr id="105567" name="Picture 2">
          <a:extLst>
            <a:ext uri="{FF2B5EF4-FFF2-40B4-BE49-F238E27FC236}">
              <a16:creationId xmlns:a16="http://schemas.microsoft.com/office/drawing/2014/main" id="{00000000-0008-0000-1600-00005F9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17649825"/>
          <a:ext cx="13220700" cy="653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37326" name="Text Box 1">
          <a:extLst>
            <a:ext uri="{FF2B5EF4-FFF2-40B4-BE49-F238E27FC236}">
              <a16:creationId xmlns:a16="http://schemas.microsoft.com/office/drawing/2014/main" id="{00000000-0008-0000-1700-0000CE9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39373" name="Text Box 1">
          <a:extLst>
            <a:ext uri="{FF2B5EF4-FFF2-40B4-BE49-F238E27FC236}">
              <a16:creationId xmlns:a16="http://schemas.microsoft.com/office/drawing/2014/main" id="{00000000-0008-0000-1800-0000CD9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0397" name="Text Box 1">
          <a:extLst>
            <a:ext uri="{FF2B5EF4-FFF2-40B4-BE49-F238E27FC236}">
              <a16:creationId xmlns:a16="http://schemas.microsoft.com/office/drawing/2014/main" id="{00000000-0008-0000-1900-0000CD9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41421" name="Text Box 1">
          <a:extLst>
            <a:ext uri="{FF2B5EF4-FFF2-40B4-BE49-F238E27FC236}">
              <a16:creationId xmlns:a16="http://schemas.microsoft.com/office/drawing/2014/main" id="{00000000-0008-0000-1A00-0000CDA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42445" name="Text Box 1">
          <a:extLst>
            <a:ext uri="{FF2B5EF4-FFF2-40B4-BE49-F238E27FC236}">
              <a16:creationId xmlns:a16="http://schemas.microsoft.com/office/drawing/2014/main" id="{00000000-0008-0000-1B00-0000CDA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3469" name="Text Box 1">
          <a:extLst>
            <a:ext uri="{FF2B5EF4-FFF2-40B4-BE49-F238E27FC236}">
              <a16:creationId xmlns:a16="http://schemas.microsoft.com/office/drawing/2014/main" id="{00000000-0008-0000-1C00-0000CDA90000}"/>
            </a:ext>
          </a:extLst>
        </xdr:cNvPr>
        <xdr:cNvSpPr txBox="1">
          <a:spLocks noChangeArrowheads="1"/>
        </xdr:cNvSpPr>
      </xdr:nvSpPr>
      <xdr:spPr bwMode="auto">
        <a:xfrm>
          <a:off x="43338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44493" name="Text Box 1">
          <a:extLst>
            <a:ext uri="{FF2B5EF4-FFF2-40B4-BE49-F238E27FC236}">
              <a16:creationId xmlns:a16="http://schemas.microsoft.com/office/drawing/2014/main" id="{00000000-0008-0000-1D00-0000CDA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1661" name="Text Box 1">
          <a:extLst>
            <a:ext uri="{FF2B5EF4-FFF2-40B4-BE49-F238E27FC236}">
              <a16:creationId xmlns:a16="http://schemas.microsoft.com/office/drawing/2014/main" id="{00000000-0008-0000-1E00-0000CDC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4797" name="Text Box 1">
          <a:extLst>
            <a:ext uri="{FF2B5EF4-FFF2-40B4-BE49-F238E27FC236}">
              <a16:creationId xmlns:a16="http://schemas.microsoft.com/office/drawing/2014/main" id="{00000000-0008-0000-0400-0000CD3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52685" name="Text Box 1">
          <a:extLst>
            <a:ext uri="{FF2B5EF4-FFF2-40B4-BE49-F238E27FC236}">
              <a16:creationId xmlns:a16="http://schemas.microsoft.com/office/drawing/2014/main" id="{00000000-0008-0000-1F00-0000CDC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3709" name="Text Box 1">
          <a:extLst>
            <a:ext uri="{FF2B5EF4-FFF2-40B4-BE49-F238E27FC236}">
              <a16:creationId xmlns:a16="http://schemas.microsoft.com/office/drawing/2014/main" id="{00000000-0008-0000-2000-0000CDD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54733" name="Text Box 1">
          <a:extLst>
            <a:ext uri="{FF2B5EF4-FFF2-40B4-BE49-F238E27FC236}">
              <a16:creationId xmlns:a16="http://schemas.microsoft.com/office/drawing/2014/main" id="{00000000-0008-0000-2100-0000CDD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55757" name="Text Box 1">
          <a:extLst>
            <a:ext uri="{FF2B5EF4-FFF2-40B4-BE49-F238E27FC236}">
              <a16:creationId xmlns:a16="http://schemas.microsoft.com/office/drawing/2014/main" id="{00000000-0008-0000-2200-0000CDD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6781" name="Text Box 1">
          <a:extLst>
            <a:ext uri="{FF2B5EF4-FFF2-40B4-BE49-F238E27FC236}">
              <a16:creationId xmlns:a16="http://schemas.microsoft.com/office/drawing/2014/main" id="{00000000-0008-0000-2300-0000CDD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7803" name="Text Box 1">
          <a:extLst>
            <a:ext uri="{FF2B5EF4-FFF2-40B4-BE49-F238E27FC236}">
              <a16:creationId xmlns:a16="http://schemas.microsoft.com/office/drawing/2014/main" id="{00000000-0008-0000-2400-0000CBE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59851" name="Text Box 1">
          <a:extLst>
            <a:ext uri="{FF2B5EF4-FFF2-40B4-BE49-F238E27FC236}">
              <a16:creationId xmlns:a16="http://schemas.microsoft.com/office/drawing/2014/main" id="{00000000-0008-0000-2500-0000CBE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61899" name="Text Box 1">
          <a:extLst>
            <a:ext uri="{FF2B5EF4-FFF2-40B4-BE49-F238E27FC236}">
              <a16:creationId xmlns:a16="http://schemas.microsoft.com/office/drawing/2014/main" id="{00000000-0008-0000-2600-0000CBF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0875" name="Text Box 1">
          <a:extLst>
            <a:ext uri="{FF2B5EF4-FFF2-40B4-BE49-F238E27FC236}">
              <a16:creationId xmlns:a16="http://schemas.microsoft.com/office/drawing/2014/main" id="{00000000-0008-0000-2700-0000CBE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58827" name="Text Box 1">
          <a:extLst>
            <a:ext uri="{FF2B5EF4-FFF2-40B4-BE49-F238E27FC236}">
              <a16:creationId xmlns:a16="http://schemas.microsoft.com/office/drawing/2014/main" id="{00000000-0008-0000-2800-0000CBE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5822" name="Text Box 1">
          <a:extLst>
            <a:ext uri="{FF2B5EF4-FFF2-40B4-BE49-F238E27FC236}">
              <a16:creationId xmlns:a16="http://schemas.microsoft.com/office/drawing/2014/main" id="{00000000-0008-0000-0500-0000CE3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63906" name="Text Box 1">
          <a:extLst>
            <a:ext uri="{FF2B5EF4-FFF2-40B4-BE49-F238E27FC236}">
              <a16:creationId xmlns:a16="http://schemas.microsoft.com/office/drawing/2014/main" id="{00000000-0008-0000-2900-0000A2F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64928" name="Text Box 1">
          <a:extLst>
            <a:ext uri="{FF2B5EF4-FFF2-40B4-BE49-F238E27FC236}">
              <a16:creationId xmlns:a16="http://schemas.microsoft.com/office/drawing/2014/main" id="{00000000-0008-0000-2A00-0000A0F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5952" name="Text Box 1">
          <a:extLst>
            <a:ext uri="{FF2B5EF4-FFF2-40B4-BE49-F238E27FC236}">
              <a16:creationId xmlns:a16="http://schemas.microsoft.com/office/drawing/2014/main" id="{00000000-0008-0000-2B00-0000A001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6976" name="Text Box 1">
          <a:extLst>
            <a:ext uri="{FF2B5EF4-FFF2-40B4-BE49-F238E27FC236}">
              <a16:creationId xmlns:a16="http://schemas.microsoft.com/office/drawing/2014/main" id="{00000000-0008-0000-2C00-0000A005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8000" name="Text Box 1">
          <a:extLst>
            <a:ext uri="{FF2B5EF4-FFF2-40B4-BE49-F238E27FC236}">
              <a16:creationId xmlns:a16="http://schemas.microsoft.com/office/drawing/2014/main" id="{00000000-0008-0000-2D00-0000A009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8977" name="Text Box 1">
          <a:extLst>
            <a:ext uri="{FF2B5EF4-FFF2-40B4-BE49-F238E27FC236}">
              <a16:creationId xmlns:a16="http://schemas.microsoft.com/office/drawing/2014/main" id="{00000000-0008-0000-2E00-0000710D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70001" name="Text Box 1">
          <a:extLst>
            <a:ext uri="{FF2B5EF4-FFF2-40B4-BE49-F238E27FC236}">
              <a16:creationId xmlns:a16="http://schemas.microsoft.com/office/drawing/2014/main" id="{00000000-0008-0000-2F00-00007111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71025" name="Text Box 1">
          <a:extLst>
            <a:ext uri="{FF2B5EF4-FFF2-40B4-BE49-F238E27FC236}">
              <a16:creationId xmlns:a16="http://schemas.microsoft.com/office/drawing/2014/main" id="{00000000-0008-0000-3000-00007115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2049" name="Text Box 1">
          <a:extLst>
            <a:ext uri="{FF2B5EF4-FFF2-40B4-BE49-F238E27FC236}">
              <a16:creationId xmlns:a16="http://schemas.microsoft.com/office/drawing/2014/main" id="{00000000-0008-0000-3100-00007119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3073" name="Text Box 1">
          <a:extLst>
            <a:ext uri="{FF2B5EF4-FFF2-40B4-BE49-F238E27FC236}">
              <a16:creationId xmlns:a16="http://schemas.microsoft.com/office/drawing/2014/main" id="{00000000-0008-0000-3200-0000711D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6845" name="Text Box 1">
          <a:extLst>
            <a:ext uri="{FF2B5EF4-FFF2-40B4-BE49-F238E27FC236}">
              <a16:creationId xmlns:a16="http://schemas.microsoft.com/office/drawing/2014/main" id="{00000000-0008-0000-0600-0000CD4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74097" name="Text Box 1">
          <a:extLst>
            <a:ext uri="{FF2B5EF4-FFF2-40B4-BE49-F238E27FC236}">
              <a16:creationId xmlns:a16="http://schemas.microsoft.com/office/drawing/2014/main" id="{00000000-0008-0000-3300-00007121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5121" name="Text Box 1">
          <a:extLst>
            <a:ext uri="{FF2B5EF4-FFF2-40B4-BE49-F238E27FC236}">
              <a16:creationId xmlns:a16="http://schemas.microsoft.com/office/drawing/2014/main" id="{00000000-0008-0000-3400-00007125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6145" name="Text Box 1">
          <a:extLst>
            <a:ext uri="{FF2B5EF4-FFF2-40B4-BE49-F238E27FC236}">
              <a16:creationId xmlns:a16="http://schemas.microsoft.com/office/drawing/2014/main" id="{00000000-0008-0000-3500-00007129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77169" name="Text Box 1">
          <a:extLst>
            <a:ext uri="{FF2B5EF4-FFF2-40B4-BE49-F238E27FC236}">
              <a16:creationId xmlns:a16="http://schemas.microsoft.com/office/drawing/2014/main" id="{00000000-0008-0000-3600-0000712D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8193" name="Text Box 1">
          <a:extLst>
            <a:ext uri="{FF2B5EF4-FFF2-40B4-BE49-F238E27FC236}">
              <a16:creationId xmlns:a16="http://schemas.microsoft.com/office/drawing/2014/main" id="{00000000-0008-0000-3700-00007131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9217" name="Text Box 1">
          <a:extLst>
            <a:ext uri="{FF2B5EF4-FFF2-40B4-BE49-F238E27FC236}">
              <a16:creationId xmlns:a16="http://schemas.microsoft.com/office/drawing/2014/main" id="{00000000-0008-0000-3800-00007135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80185" name="Text Box 1">
          <a:extLst>
            <a:ext uri="{FF2B5EF4-FFF2-40B4-BE49-F238E27FC236}">
              <a16:creationId xmlns:a16="http://schemas.microsoft.com/office/drawing/2014/main" id="{00000000-0008-0000-3900-00003939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1209" name="Text Box 1">
          <a:extLst>
            <a:ext uri="{FF2B5EF4-FFF2-40B4-BE49-F238E27FC236}">
              <a16:creationId xmlns:a16="http://schemas.microsoft.com/office/drawing/2014/main" id="{00000000-0008-0000-3A00-0000393D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2233" name="Text Box 1">
          <a:extLst>
            <a:ext uri="{FF2B5EF4-FFF2-40B4-BE49-F238E27FC236}">
              <a16:creationId xmlns:a16="http://schemas.microsoft.com/office/drawing/2014/main" id="{00000000-0008-0000-3B00-00003941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3257" name="Text Box 1">
          <a:extLst>
            <a:ext uri="{FF2B5EF4-FFF2-40B4-BE49-F238E27FC236}">
              <a16:creationId xmlns:a16="http://schemas.microsoft.com/office/drawing/2014/main" id="{00000000-0008-0000-3C00-00003945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7869" name="Text Box 1">
          <a:extLst>
            <a:ext uri="{FF2B5EF4-FFF2-40B4-BE49-F238E27FC236}">
              <a16:creationId xmlns:a16="http://schemas.microsoft.com/office/drawing/2014/main" id="{00000000-0008-0000-0700-0000CD4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4282" name="Text Box 1">
          <a:extLst>
            <a:ext uri="{FF2B5EF4-FFF2-40B4-BE49-F238E27FC236}">
              <a16:creationId xmlns:a16="http://schemas.microsoft.com/office/drawing/2014/main" id="{00000000-0008-0000-3D00-00003A49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5207" name="Text Box 1">
          <a:extLst>
            <a:ext uri="{FF2B5EF4-FFF2-40B4-BE49-F238E27FC236}">
              <a16:creationId xmlns:a16="http://schemas.microsoft.com/office/drawing/2014/main" id="{00000000-0008-0000-3E00-0000D74C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6229" name="Text Box 1">
          <a:extLst>
            <a:ext uri="{FF2B5EF4-FFF2-40B4-BE49-F238E27FC236}">
              <a16:creationId xmlns:a16="http://schemas.microsoft.com/office/drawing/2014/main" id="{00000000-0008-0000-3F00-0000D550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87253" name="Text Box 1">
          <a:extLst>
            <a:ext uri="{FF2B5EF4-FFF2-40B4-BE49-F238E27FC236}">
              <a16:creationId xmlns:a16="http://schemas.microsoft.com/office/drawing/2014/main" id="{00000000-0008-0000-4000-0000D554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8277" name="Text Box 1">
          <a:extLst>
            <a:ext uri="{FF2B5EF4-FFF2-40B4-BE49-F238E27FC236}">
              <a16:creationId xmlns:a16="http://schemas.microsoft.com/office/drawing/2014/main" id="{00000000-0008-0000-4100-0000D558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9301" name="Text Box 1">
          <a:extLst>
            <a:ext uri="{FF2B5EF4-FFF2-40B4-BE49-F238E27FC236}">
              <a16:creationId xmlns:a16="http://schemas.microsoft.com/office/drawing/2014/main" id="{00000000-0008-0000-4200-0000D55C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0325" name="Text Box 1">
          <a:extLst>
            <a:ext uri="{FF2B5EF4-FFF2-40B4-BE49-F238E27FC236}">
              <a16:creationId xmlns:a16="http://schemas.microsoft.com/office/drawing/2014/main" id="{00000000-0008-0000-4300-0000D560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1349" name="Text Box 1">
          <a:extLst>
            <a:ext uri="{FF2B5EF4-FFF2-40B4-BE49-F238E27FC236}">
              <a16:creationId xmlns:a16="http://schemas.microsoft.com/office/drawing/2014/main" id="{00000000-0008-0000-4400-0000D564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2373" name="Text Box 1">
          <a:extLst>
            <a:ext uri="{FF2B5EF4-FFF2-40B4-BE49-F238E27FC236}">
              <a16:creationId xmlns:a16="http://schemas.microsoft.com/office/drawing/2014/main" id="{00000000-0008-0000-4500-0000D568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97463" name="Text Box 1">
          <a:extLst>
            <a:ext uri="{FF2B5EF4-FFF2-40B4-BE49-F238E27FC236}">
              <a16:creationId xmlns:a16="http://schemas.microsoft.com/office/drawing/2014/main" id="{00000000-0008-0000-4600-0000B77C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97464" name="Text Box 1">
          <a:extLst>
            <a:ext uri="{FF2B5EF4-FFF2-40B4-BE49-F238E27FC236}">
              <a16:creationId xmlns:a16="http://schemas.microsoft.com/office/drawing/2014/main" id="{00000000-0008-0000-4600-0000B87C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18895" name="Text Box 1">
          <a:extLst>
            <a:ext uri="{FF2B5EF4-FFF2-40B4-BE49-F238E27FC236}">
              <a16:creationId xmlns:a16="http://schemas.microsoft.com/office/drawing/2014/main" id="{00000000-0008-0000-0800-0000CF4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98487" name="Text Box 1">
          <a:extLst>
            <a:ext uri="{FF2B5EF4-FFF2-40B4-BE49-F238E27FC236}">
              <a16:creationId xmlns:a16="http://schemas.microsoft.com/office/drawing/2014/main" id="{00000000-0008-0000-4700-0000B780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98488" name="Text Box 1">
          <a:extLst>
            <a:ext uri="{FF2B5EF4-FFF2-40B4-BE49-F238E27FC236}">
              <a16:creationId xmlns:a16="http://schemas.microsoft.com/office/drawing/2014/main" id="{00000000-0008-0000-4700-0000B880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9511" name="Text Box 1">
          <a:extLst>
            <a:ext uri="{FF2B5EF4-FFF2-40B4-BE49-F238E27FC236}">
              <a16:creationId xmlns:a16="http://schemas.microsoft.com/office/drawing/2014/main" id="{00000000-0008-0000-4800-0000B784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9512" name="Text Box 1">
          <a:extLst>
            <a:ext uri="{FF2B5EF4-FFF2-40B4-BE49-F238E27FC236}">
              <a16:creationId xmlns:a16="http://schemas.microsoft.com/office/drawing/2014/main" id="{00000000-0008-0000-4800-0000B884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0535" name="Text Box 1">
          <a:extLst>
            <a:ext uri="{FF2B5EF4-FFF2-40B4-BE49-F238E27FC236}">
              <a16:creationId xmlns:a16="http://schemas.microsoft.com/office/drawing/2014/main" id="{00000000-0008-0000-4900-0000B788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0536" name="Text Box 1">
          <a:extLst>
            <a:ext uri="{FF2B5EF4-FFF2-40B4-BE49-F238E27FC236}">
              <a16:creationId xmlns:a16="http://schemas.microsoft.com/office/drawing/2014/main" id="{00000000-0008-0000-4900-0000B888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123825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123825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2</xdr:row>
      <xdr:rowOff>63500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37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2</xdr:row>
      <xdr:rowOff>63500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37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3</xdr:row>
      <xdr:rowOff>63500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3</xdr:row>
      <xdr:rowOff>63500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12749" name="Text Box 1">
          <a:extLst>
            <a:ext uri="{FF2B5EF4-FFF2-40B4-BE49-F238E27FC236}">
              <a16:creationId xmlns:a16="http://schemas.microsoft.com/office/drawing/2014/main" id="{00000000-0008-0000-4D00-0000CD3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B63CE896-AA19-4140-AC52-8EEC59ECD343}"/>
            </a:ext>
          </a:extLst>
        </xdr:cNvPr>
        <xdr:cNvSpPr txBox="1">
          <a:spLocks noChangeArrowheads="1"/>
        </xdr:cNvSpPr>
      </xdr:nvSpPr>
      <xdr:spPr bwMode="auto">
        <a:xfrm>
          <a:off x="4086225" y="0"/>
          <a:ext cx="1143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EE557238-0E0D-4A3A-8FB6-EF578ED87646}"/>
            </a:ext>
          </a:extLst>
        </xdr:cNvPr>
        <xdr:cNvSpPr txBox="1">
          <a:spLocks noChangeArrowheads="1"/>
        </xdr:cNvSpPr>
      </xdr:nvSpPr>
      <xdr:spPr bwMode="auto">
        <a:xfrm>
          <a:off x="408622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547D1B8E-3C73-41DD-8E92-DF829F64CBEC}"/>
            </a:ext>
          </a:extLst>
        </xdr:cNvPr>
        <xdr:cNvSpPr txBox="1">
          <a:spLocks noChangeArrowheads="1"/>
        </xdr:cNvSpPr>
      </xdr:nvSpPr>
      <xdr:spPr bwMode="auto">
        <a:xfrm>
          <a:off x="4086225" y="0"/>
          <a:ext cx="1143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19918" name="Text Box 1">
          <a:extLst>
            <a:ext uri="{FF2B5EF4-FFF2-40B4-BE49-F238E27FC236}">
              <a16:creationId xmlns:a16="http://schemas.microsoft.com/office/drawing/2014/main" id="{00000000-0008-0000-0900-0000CE4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0946" name="Text Box 1">
          <a:extLst>
            <a:ext uri="{FF2B5EF4-FFF2-40B4-BE49-F238E27FC236}">
              <a16:creationId xmlns:a16="http://schemas.microsoft.com/office/drawing/2014/main" id="{00000000-0008-0000-0A00-0000D25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7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8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0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1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3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4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2.bin"/><Relationship Id="rId4" Type="http://schemas.openxmlformats.org/officeDocument/2006/relationships/comments" Target="../comments15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3.bin"/><Relationship Id="rId4" Type="http://schemas.openxmlformats.org/officeDocument/2006/relationships/comments" Target="../comments16.x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W182"/>
  <sheetViews>
    <sheetView tabSelected="1" zoomScale="60" zoomScaleNormal="60" workbookViewId="0">
      <pane ySplit="16" topLeftCell="A17" activePane="bottomLeft" state="frozen"/>
      <selection activeCell="A17" sqref="A17"/>
      <selection pane="bottomLeft" activeCell="G15" sqref="G15"/>
    </sheetView>
  </sheetViews>
  <sheetFormatPr defaultColWidth="8.7265625" defaultRowHeight="12.75" customHeight="1"/>
  <cols>
    <col min="1" max="1" width="7.453125" customWidth="1"/>
    <col min="2" max="2" width="7" bestFit="1" customWidth="1"/>
    <col min="3" max="3" width="45.7265625" customWidth="1"/>
    <col min="4" max="4" width="9.26953125" customWidth="1"/>
    <col min="5" max="7" width="15.453125" bestFit="1" customWidth="1"/>
    <col min="8" max="8" width="3.26953125" customWidth="1"/>
    <col min="9" max="9" width="18.7265625" bestFit="1" customWidth="1"/>
    <col min="10" max="10" width="15.7265625" customWidth="1"/>
    <col min="11" max="11" width="17.1796875" customWidth="1"/>
    <col min="12" max="12" width="16.26953125" customWidth="1"/>
    <col min="13" max="13" width="2.453125" customWidth="1"/>
    <col min="14" max="14" width="6.26953125" customWidth="1"/>
    <col min="15" max="15" width="8" customWidth="1"/>
    <col min="16" max="16" width="10.7265625" customWidth="1"/>
    <col min="17" max="17" width="14.7265625" bestFit="1" customWidth="1"/>
    <col min="18" max="18" width="18.54296875" customWidth="1"/>
    <col min="19" max="19" width="2.453125" customWidth="1"/>
    <col min="20" max="20" width="19.1796875" bestFit="1" customWidth="1"/>
    <col min="21" max="21" width="16.1796875" bestFit="1" customWidth="1"/>
    <col min="22" max="22" width="16.7265625" customWidth="1"/>
  </cols>
  <sheetData>
    <row r="1" spans="1:23" ht="15.5">
      <c r="H1" s="160" t="s">
        <v>166</v>
      </c>
      <c r="U1">
        <v>2024</v>
      </c>
    </row>
    <row r="2" spans="1:23" ht="15.5">
      <c r="H2" s="161" t="s">
        <v>167</v>
      </c>
    </row>
    <row r="3" spans="1:23" ht="15.5">
      <c r="H3" s="160" t="str">
        <f>"For Calendar Year "&amp;U1&amp;" and Projected Year "&amp;U1</f>
        <v>For Calendar Year 2024 and Projected Year 2024</v>
      </c>
    </row>
    <row r="4" spans="1:23" ht="15.5">
      <c r="H4" s="162"/>
    </row>
    <row r="5" spans="1:23" ht="15.5">
      <c r="H5" s="163" t="s">
        <v>168</v>
      </c>
    </row>
    <row r="7" spans="1:23" ht="18">
      <c r="C7" s="164"/>
      <c r="E7" s="164"/>
      <c r="F7" s="164"/>
      <c r="G7" s="164"/>
      <c r="H7" s="165" t="s">
        <v>135</v>
      </c>
      <c r="I7" s="164"/>
      <c r="J7" s="164"/>
      <c r="K7" s="164"/>
      <c r="L7" s="164"/>
    </row>
    <row r="8" spans="1:23" ht="12.5"/>
    <row r="9" spans="1:23" ht="11.5" customHeight="1">
      <c r="A9" t="str">
        <f>"Note: Some project's final trued-up cost may not meet SPP's $100,000 threshold for socialization.  In that case a true-up of the pirior year ARR will be made in columns "&amp;I12&amp;" through "&amp;Q12&amp;", but no projected ARR will be shown in columns "&amp;E12&amp;" through "&amp;LEFT(G12,3)&amp;" for the current year."</f>
        <v>Note: Some project's final trued-up cost may not meet SPP's $100,000 threshold for socialization.  In that case a true-up of the pirior year ARR will be made in columns (H) through (O), but no projected ARR will be shown in columns (E) through (G) for the current year.</v>
      </c>
    </row>
    <row r="12" spans="1:23" ht="24.75" customHeight="1">
      <c r="A12" s="166" t="s">
        <v>169</v>
      </c>
      <c r="B12" s="166" t="s">
        <v>170</v>
      </c>
      <c r="C12" s="167" t="s">
        <v>171</v>
      </c>
      <c r="D12" s="166" t="s">
        <v>172</v>
      </c>
      <c r="E12" s="166" t="s">
        <v>173</v>
      </c>
      <c r="F12" s="166" t="s">
        <v>174</v>
      </c>
      <c r="G12" s="166" t="str">
        <f>"(G) = "&amp;E12&amp;" + "&amp;F12</f>
        <v>(G) = (E) + (F)</v>
      </c>
      <c r="H12" s="166"/>
      <c r="I12" s="166" t="s">
        <v>175</v>
      </c>
      <c r="J12" s="166" t="s">
        <v>176</v>
      </c>
      <c r="K12" s="166" t="s">
        <v>212</v>
      </c>
      <c r="L12" s="166" t="str">
        <f>"(K) = "&amp;J12&amp;" - "&amp;K12</f>
        <v>(K) = (I) - (J)</v>
      </c>
      <c r="M12" s="166"/>
      <c r="N12" s="166" t="s">
        <v>216</v>
      </c>
      <c r="O12" s="166" t="s">
        <v>177</v>
      </c>
      <c r="P12" s="166" t="str">
        <f>"(N) = "&amp;N12&amp;"-"&amp;O12</f>
        <v>(N) = (L)-(M)</v>
      </c>
      <c r="Q12" s="166" t="s">
        <v>217</v>
      </c>
      <c r="R12" s="166" t="str">
        <f>"(P) = "&amp;I12&amp;"+"&amp;LEFT(L12,3)&amp;"+"&amp;LEFT(P12,3)&amp;"+"&amp;Q12</f>
        <v>(P) = (H)+(K)+(N)+(O)</v>
      </c>
      <c r="S12" s="166"/>
      <c r="T12" s="166" t="str">
        <f>"(R) = "&amp;LEFT(G12,3)&amp;" + "&amp;LEFT(R12,3)</f>
        <v>(R) = (G) + (P)</v>
      </c>
      <c r="U12" s="166"/>
      <c r="V12" s="168"/>
      <c r="W12" s="168"/>
    </row>
    <row r="13" spans="1:23" ht="16.5" customHeight="1">
      <c r="A13" s="7"/>
      <c r="B13" s="7"/>
      <c r="C13" s="7"/>
      <c r="D13" s="7"/>
      <c r="E13" s="467" t="str">
        <f>"Projected ARR For "&amp;U1&amp;" From WS-F"</f>
        <v>Projected ARR For 2024 From WS-F</v>
      </c>
      <c r="F13" s="467"/>
      <c r="G13" s="467"/>
      <c r="H13" s="7"/>
      <c r="I13" s="169" t="str">
        <f>"True-Up ARR CY"&amp;U1&amp;" From Worksheet G  (includes adjustment for SPP Collections)"</f>
        <v>True-Up ARR CY2024 From Worksheet G  (includes adjustment for SPP Collections)</v>
      </c>
      <c r="J13" s="169"/>
      <c r="K13" s="169"/>
      <c r="L13" s="169"/>
      <c r="M13" s="169"/>
      <c r="N13" s="169"/>
      <c r="O13" s="169"/>
      <c r="P13" s="169"/>
      <c r="Q13" s="169"/>
      <c r="R13" s="169"/>
      <c r="S13" s="7"/>
      <c r="T13" s="7"/>
      <c r="U13" s="7"/>
    </row>
    <row r="14" spans="1:23" ht="18" customHeight="1">
      <c r="I14" s="170"/>
      <c r="T14" s="468" t="str">
        <f>"Total ADJUSTED Revenue Requirement Effective
1/1/"&amp;U1&amp;""</f>
        <v>Total ADJUSTED Revenue Requirement Effective
1/1/2024</v>
      </c>
    </row>
    <row r="15" spans="1:23" ht="18" customHeight="1" thickBot="1">
      <c r="D15" s="7"/>
      <c r="E15" s="33"/>
      <c r="F15" s="33"/>
      <c r="G15" s="33"/>
      <c r="I15" s="169" t="s">
        <v>181</v>
      </c>
      <c r="J15" s="171"/>
      <c r="K15" s="169"/>
      <c r="L15" s="171"/>
      <c r="M15" s="172"/>
      <c r="N15" s="169" t="s">
        <v>218</v>
      </c>
      <c r="O15" s="173"/>
      <c r="P15" s="173"/>
      <c r="Q15" s="174"/>
      <c r="T15" s="468"/>
    </row>
    <row r="16" spans="1:23" ht="71.25" customHeight="1">
      <c r="A16" s="175" t="s">
        <v>178</v>
      </c>
      <c r="B16" s="176" t="s">
        <v>179</v>
      </c>
      <c r="C16" s="176" t="s">
        <v>117</v>
      </c>
      <c r="D16" s="175" t="s">
        <v>180</v>
      </c>
      <c r="E16" s="176" t="s">
        <v>181</v>
      </c>
      <c r="F16" s="176" t="s">
        <v>182</v>
      </c>
      <c r="G16" s="175" t="s">
        <v>183</v>
      </c>
      <c r="I16" s="177" t="s">
        <v>211</v>
      </c>
      <c r="J16" s="177" t="s">
        <v>264</v>
      </c>
      <c r="K16" s="177" t="s">
        <v>232</v>
      </c>
      <c r="L16" s="177" t="s">
        <v>215</v>
      </c>
      <c r="M16" s="177"/>
      <c r="N16" s="175" t="s">
        <v>184</v>
      </c>
      <c r="O16" s="175" t="s">
        <v>185</v>
      </c>
      <c r="P16" s="176" t="s">
        <v>186</v>
      </c>
      <c r="Q16" s="176" t="s">
        <v>187</v>
      </c>
      <c r="R16" s="177" t="s">
        <v>219</v>
      </c>
      <c r="T16" s="468"/>
      <c r="U16" s="5" t="s">
        <v>513</v>
      </c>
      <c r="V16" s="178" t="s">
        <v>220</v>
      </c>
    </row>
    <row r="17" spans="1:23" ht="13">
      <c r="B17" s="7"/>
      <c r="C17" s="7"/>
      <c r="E17" s="25"/>
      <c r="F17" s="25"/>
      <c r="G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T17" s="25"/>
      <c r="V17" s="179"/>
    </row>
    <row r="18" spans="1:23" ht="13">
      <c r="A18" s="180" t="s">
        <v>190</v>
      </c>
      <c r="B18" s="166" t="s">
        <v>191</v>
      </c>
      <c r="C18" s="181" t="str">
        <f t="shared" ref="C18:F37" ca="1" si="0">INDIRECT("'"&amp; $A18 &amp; "'!" &amp;C$103)</f>
        <v>Arsenal Hill Auto xfmr &amp; AH to Water Works line</v>
      </c>
      <c r="D18" s="182">
        <f t="shared" ca="1" si="0"/>
        <v>2009</v>
      </c>
      <c r="E18" s="183">
        <v>0</v>
      </c>
      <c r="F18" s="184">
        <f t="shared" ca="1" si="0"/>
        <v>0</v>
      </c>
      <c r="G18" s="184">
        <f t="shared" ref="G18:G23" ca="1" si="1">+E18+F18</f>
        <v>0</v>
      </c>
      <c r="H18" s="168"/>
      <c r="I18" s="185">
        <f ca="1">INDIRECT("'"&amp; $A18 &amp; "'!" &amp;I$103)</f>
        <v>69403.562212312827</v>
      </c>
      <c r="J18" s="186">
        <v>1724572.3136340098</v>
      </c>
      <c r="K18" s="186">
        <f t="shared" ref="K18:K49" si="2">J18/J$96*K$96</f>
        <v>1837835.9859255636</v>
      </c>
      <c r="L18" s="183">
        <f t="shared" ref="L18:L42" si="3">+J18-K18</f>
        <v>-113263.67229155381</v>
      </c>
      <c r="M18" s="183"/>
      <c r="N18" s="184">
        <v>0</v>
      </c>
      <c r="O18" s="184">
        <v>0</v>
      </c>
      <c r="P18" s="184">
        <f t="shared" ref="P18:P23" si="4">+N18-O18</f>
        <v>0</v>
      </c>
      <c r="Q18" s="183">
        <f t="shared" ref="Q18:Q49" ca="1" si="5">+V18/$V$96 * $Q$96</f>
        <v>34776.634327758402</v>
      </c>
      <c r="R18" s="187">
        <f ca="1">I18+L18+P18+Q18</f>
        <v>-9083.4757514825833</v>
      </c>
      <c r="S18" s="187"/>
      <c r="T18" s="188">
        <f t="shared" ref="T18:T42" ca="1" si="6">+G18+R18</f>
        <v>-9083.4757514825833</v>
      </c>
      <c r="U18" s="464">
        <v>0</v>
      </c>
      <c r="V18" s="189">
        <f ca="1">+I18+L18+P18</f>
        <v>-43860.110079240985</v>
      </c>
      <c r="W18" t="str">
        <f>A18</f>
        <v>S.001</v>
      </c>
    </row>
    <row r="19" spans="1:23" ht="13">
      <c r="A19" s="180" t="s">
        <v>192</v>
      </c>
      <c r="B19" s="166" t="s">
        <v>191</v>
      </c>
      <c r="C19" s="181" t="str">
        <f t="shared" ca="1" si="0"/>
        <v>SW Shreveport (sub work &amp; tap)</v>
      </c>
      <c r="D19" s="182">
        <f t="shared" ca="1" si="0"/>
        <v>2009</v>
      </c>
      <c r="E19" s="183">
        <v>0</v>
      </c>
      <c r="F19" s="184">
        <f t="shared" ca="1" si="0"/>
        <v>0</v>
      </c>
      <c r="G19" s="184">
        <f t="shared" ca="1" si="1"/>
        <v>0</v>
      </c>
      <c r="H19" s="168"/>
      <c r="I19" s="185">
        <f t="shared" ref="I19:I82" ca="1" si="7">INDIRECT("'"&amp; $A19 &amp; "'!" &amp;I$103)</f>
        <v>43130.401115760673</v>
      </c>
      <c r="J19" s="186">
        <v>797204.76821332367</v>
      </c>
      <c r="K19" s="186">
        <f t="shared" si="2"/>
        <v>849562.29413574236</v>
      </c>
      <c r="L19" s="183">
        <f t="shared" si="3"/>
        <v>-52357.525922418688</v>
      </c>
      <c r="M19" s="183"/>
      <c r="N19" s="184">
        <v>0</v>
      </c>
      <c r="O19" s="184">
        <v>0</v>
      </c>
      <c r="P19" s="184">
        <f t="shared" si="4"/>
        <v>0</v>
      </c>
      <c r="Q19" s="183">
        <f t="shared" ca="1" si="5"/>
        <v>7316.1773811783223</v>
      </c>
      <c r="R19" s="187">
        <f t="shared" ref="R19:R42" ca="1" si="8">I19+L19+P19+Q19</f>
        <v>-1910.9474254796933</v>
      </c>
      <c r="S19" s="187"/>
      <c r="T19" s="190">
        <f t="shared" ca="1" si="6"/>
        <v>-1910.9474254796933</v>
      </c>
      <c r="U19" s="464">
        <v>0</v>
      </c>
      <c r="V19" s="189">
        <f t="shared" ref="V19:V37" ca="1" si="9">+I19+L19+P19</f>
        <v>-9227.1248066580156</v>
      </c>
      <c r="W19" t="str">
        <f t="shared" ref="W19:W37" si="10">A19</f>
        <v>S.002</v>
      </c>
    </row>
    <row r="20" spans="1:23" ht="25">
      <c r="A20" s="180" t="s">
        <v>193</v>
      </c>
      <c r="B20" s="166" t="s">
        <v>191</v>
      </c>
      <c r="C20" s="191" t="str">
        <f t="shared" ca="1" si="0"/>
        <v>[NW Ark Area Improve - 2009]  E. Centerton-Flint Crk, E Rogers-N Rogers, Centerton</v>
      </c>
      <c r="D20" s="182">
        <f t="shared" ca="1" si="0"/>
        <v>2009</v>
      </c>
      <c r="E20" s="183">
        <v>0</v>
      </c>
      <c r="F20" s="184">
        <f t="shared" ca="1" si="0"/>
        <v>0</v>
      </c>
      <c r="G20" s="184">
        <f t="shared" ca="1" si="1"/>
        <v>0</v>
      </c>
      <c r="H20" s="168"/>
      <c r="I20" s="185">
        <f t="shared" ca="1" si="7"/>
        <v>36943.373977809446</v>
      </c>
      <c r="J20" s="186">
        <v>1320873.7436954326</v>
      </c>
      <c r="K20" s="186">
        <f t="shared" si="2"/>
        <v>1407623.9539717336</v>
      </c>
      <c r="L20" s="183">
        <f t="shared" si="3"/>
        <v>-86750.210276301019</v>
      </c>
      <c r="M20" s="183"/>
      <c r="N20" s="184">
        <v>0</v>
      </c>
      <c r="O20" s="184">
        <v>0</v>
      </c>
      <c r="P20" s="184">
        <f t="shared" si="4"/>
        <v>0</v>
      </c>
      <c r="Q20" s="183">
        <f t="shared" ca="1" si="5"/>
        <v>39491.787180784479</v>
      </c>
      <c r="R20" s="187">
        <f t="shared" ca="1" si="8"/>
        <v>-10315.049117707094</v>
      </c>
      <c r="S20" s="187"/>
      <c r="T20" s="190">
        <f t="shared" ca="1" si="6"/>
        <v>-10315.049117707094</v>
      </c>
      <c r="U20" s="464">
        <v>0</v>
      </c>
      <c r="V20" s="189">
        <f t="shared" ca="1" si="9"/>
        <v>-49806.836298491573</v>
      </c>
      <c r="W20" t="str">
        <f t="shared" si="10"/>
        <v>S.003</v>
      </c>
    </row>
    <row r="21" spans="1:23" ht="13">
      <c r="A21" s="180" t="s">
        <v>194</v>
      </c>
      <c r="B21" s="166" t="s">
        <v>191</v>
      </c>
      <c r="C21" s="191" t="str">
        <f t="shared" ca="1" si="0"/>
        <v>Rebuild N. Magazine - Danville 161 kV Line</v>
      </c>
      <c r="D21" s="182">
        <f t="shared" ca="1" si="0"/>
        <v>2009</v>
      </c>
      <c r="E21" s="183">
        <v>0</v>
      </c>
      <c r="F21" s="184">
        <f t="shared" ca="1" si="0"/>
        <v>0</v>
      </c>
      <c r="G21" s="184">
        <f t="shared" ca="1" si="1"/>
        <v>0</v>
      </c>
      <c r="H21" s="168"/>
      <c r="I21" s="185">
        <f t="shared" ca="1" si="7"/>
        <v>34459.312935068738</v>
      </c>
      <c r="J21" s="186">
        <v>1111532.4752028445</v>
      </c>
      <c r="K21" s="186">
        <f t="shared" si="2"/>
        <v>1184533.908089997</v>
      </c>
      <c r="L21" s="183">
        <f t="shared" si="3"/>
        <v>-73001.432887152536</v>
      </c>
      <c r="M21" s="183"/>
      <c r="N21" s="184">
        <v>0</v>
      </c>
      <c r="O21" s="184">
        <v>0</v>
      </c>
      <c r="P21" s="184">
        <f t="shared" si="4"/>
        <v>0</v>
      </c>
      <c r="Q21" s="183">
        <f t="shared" ca="1" si="5"/>
        <v>30560.005649065053</v>
      </c>
      <c r="R21" s="187">
        <f t="shared" ca="1" si="8"/>
        <v>-7982.114303018745</v>
      </c>
      <c r="S21" s="187"/>
      <c r="T21" s="190">
        <f t="shared" ca="1" si="6"/>
        <v>-7982.114303018745</v>
      </c>
      <c r="U21" s="464">
        <v>0</v>
      </c>
      <c r="V21" s="189">
        <f t="shared" ca="1" si="9"/>
        <v>-38542.119952083798</v>
      </c>
      <c r="W21" t="str">
        <f t="shared" si="10"/>
        <v>S.004</v>
      </c>
    </row>
    <row r="22" spans="1:23" ht="25">
      <c r="A22" s="180" t="s">
        <v>195</v>
      </c>
      <c r="B22" s="166" t="s">
        <v>191</v>
      </c>
      <c r="C22" s="191" t="str">
        <f t="shared" ca="1" si="0"/>
        <v>[Greenwood, AR Area Improve]  N Huntington, Greenwood, Reeves, Bonanza</v>
      </c>
      <c r="D22" s="182">
        <f t="shared" ca="1" si="0"/>
        <v>2009</v>
      </c>
      <c r="E22" s="183">
        <v>0</v>
      </c>
      <c r="F22" s="184">
        <f t="shared" ca="1" si="0"/>
        <v>0</v>
      </c>
      <c r="G22" s="184">
        <f t="shared" ca="1" si="1"/>
        <v>0</v>
      </c>
      <c r="H22" s="168"/>
      <c r="I22" s="185">
        <f t="shared" ca="1" si="7"/>
        <v>11672.404634500446</v>
      </c>
      <c r="J22" s="186">
        <v>290997.32936105318</v>
      </c>
      <c r="K22" s="186">
        <f t="shared" si="2"/>
        <v>310108.98150222423</v>
      </c>
      <c r="L22" s="183">
        <f t="shared" si="3"/>
        <v>-19111.652141171042</v>
      </c>
      <c r="M22" s="183"/>
      <c r="N22" s="184">
        <v>0</v>
      </c>
      <c r="O22" s="184">
        <v>0</v>
      </c>
      <c r="P22" s="184">
        <f t="shared" si="4"/>
        <v>0</v>
      </c>
      <c r="Q22" s="183">
        <f t="shared" ca="1" si="5"/>
        <v>5898.5713840152966</v>
      </c>
      <c r="R22" s="187">
        <f t="shared" ca="1" si="8"/>
        <v>-1540.676122655299</v>
      </c>
      <c r="S22" s="187"/>
      <c r="T22" s="190">
        <f t="shared" ca="1" si="6"/>
        <v>-1540.676122655299</v>
      </c>
      <c r="U22" s="464">
        <v>0</v>
      </c>
      <c r="V22" s="189">
        <f t="shared" ca="1" si="9"/>
        <v>-7439.2475066705956</v>
      </c>
      <c r="W22" t="str">
        <f t="shared" si="10"/>
        <v>S.005</v>
      </c>
    </row>
    <row r="23" spans="1:23" ht="13">
      <c r="A23" s="180" t="s">
        <v>196</v>
      </c>
      <c r="B23" s="166" t="s">
        <v>191</v>
      </c>
      <c r="C23" s="191" t="str">
        <f t="shared" ca="1" si="0"/>
        <v>Port Robson-Caplis Line (SW 138 kV Loop -- 2009)</v>
      </c>
      <c r="D23" s="182">
        <f t="shared" ca="1" si="0"/>
        <v>2009</v>
      </c>
      <c r="E23" s="183">
        <v>0</v>
      </c>
      <c r="F23" s="184">
        <f t="shared" ca="1" si="0"/>
        <v>0</v>
      </c>
      <c r="G23" s="184">
        <f t="shared" ca="1" si="1"/>
        <v>0</v>
      </c>
      <c r="H23" s="168"/>
      <c r="I23" s="185">
        <f t="shared" ca="1" si="7"/>
        <v>185172.42471709382</v>
      </c>
      <c r="J23" s="186">
        <v>3762394.7498268569</v>
      </c>
      <c r="K23" s="186">
        <f t="shared" si="2"/>
        <v>4009495.2295265957</v>
      </c>
      <c r="L23" s="183">
        <f t="shared" si="3"/>
        <v>-247100.47969973879</v>
      </c>
      <c r="M23" s="183"/>
      <c r="N23" s="184">
        <v>0</v>
      </c>
      <c r="O23" s="184">
        <v>0</v>
      </c>
      <c r="P23" s="184">
        <f t="shared" si="4"/>
        <v>0</v>
      </c>
      <c r="Q23" s="183">
        <f t="shared" ca="1" si="5"/>
        <v>49102.688499181044</v>
      </c>
      <c r="R23" s="187">
        <f t="shared" ca="1" si="8"/>
        <v>-12825.366483463928</v>
      </c>
      <c r="S23" s="187"/>
      <c r="T23" s="190">
        <f t="shared" ca="1" si="6"/>
        <v>-12825.366483463928</v>
      </c>
      <c r="U23" s="465">
        <v>0</v>
      </c>
      <c r="V23" s="189">
        <f t="shared" ca="1" si="9"/>
        <v>-61928.054982644971</v>
      </c>
      <c r="W23" t="str">
        <f t="shared" si="10"/>
        <v>S.006</v>
      </c>
    </row>
    <row r="24" spans="1:23" ht="13">
      <c r="A24" s="180" t="s">
        <v>197</v>
      </c>
      <c r="B24" s="166" t="s">
        <v>191</v>
      </c>
      <c r="C24" s="191" t="str">
        <f t="shared" ca="1" si="0"/>
        <v>Linwood 138 Station Switch Replacement*</v>
      </c>
      <c r="D24" s="182">
        <f t="shared" ca="1" si="0"/>
        <v>2009</v>
      </c>
      <c r="E24" s="183">
        <v>0</v>
      </c>
      <c r="F24" s="184">
        <f t="shared" ca="1" si="0"/>
        <v>0</v>
      </c>
      <c r="G24" s="184">
        <f t="shared" ref="G24:G36" ca="1" si="11">+E24+F24</f>
        <v>0</v>
      </c>
      <c r="H24" s="168"/>
      <c r="I24" s="185">
        <f t="shared" ca="1" si="7"/>
        <v>318.30637676733386</v>
      </c>
      <c r="J24" s="186">
        <v>7472.9272713136133</v>
      </c>
      <c r="K24" s="186">
        <f t="shared" si="2"/>
        <v>7963.7221071260528</v>
      </c>
      <c r="L24" s="183">
        <f t="shared" si="3"/>
        <v>-490.79483581243949</v>
      </c>
      <c r="M24" s="183"/>
      <c r="N24" s="184">
        <v>0</v>
      </c>
      <c r="O24" s="184">
        <v>0</v>
      </c>
      <c r="P24" s="184">
        <f t="shared" ref="P24:P36" si="12">+N24-O24</f>
        <v>0</v>
      </c>
      <c r="Q24" s="183">
        <f t="shared" ca="1" si="5"/>
        <v>136.76591452079589</v>
      </c>
      <c r="R24" s="187">
        <f t="shared" ca="1" si="8"/>
        <v>-35.72254452430974</v>
      </c>
      <c r="S24" s="192" t="s">
        <v>266</v>
      </c>
      <c r="T24" s="190">
        <f t="shared" ca="1" si="6"/>
        <v>-35.72254452430974</v>
      </c>
      <c r="U24" s="464">
        <v>0</v>
      </c>
      <c r="V24" s="189">
        <f t="shared" ca="1" si="9"/>
        <v>-172.48845904510563</v>
      </c>
      <c r="W24" t="str">
        <f t="shared" si="10"/>
        <v>S.007</v>
      </c>
    </row>
    <row r="25" spans="1:23" ht="25">
      <c r="A25" s="180" t="s">
        <v>198</v>
      </c>
      <c r="B25" s="166" t="s">
        <v>191</v>
      </c>
      <c r="C25" s="191" t="str">
        <f t="shared" ca="1" si="0"/>
        <v>Dyess to S. Fayetteville 69 kV Convert to 161 kV (multi-projects)</v>
      </c>
      <c r="D25" s="182">
        <f t="shared" ca="1" si="0"/>
        <v>2008</v>
      </c>
      <c r="E25" s="183">
        <v>0</v>
      </c>
      <c r="F25" s="184">
        <f t="shared" ca="1" si="0"/>
        <v>0</v>
      </c>
      <c r="G25" s="184">
        <f t="shared" ca="1" si="11"/>
        <v>0</v>
      </c>
      <c r="H25" s="168"/>
      <c r="I25" s="185">
        <f t="shared" ca="1" si="7"/>
        <v>45318.196366184857</v>
      </c>
      <c r="J25" s="186">
        <v>914886.47750643222</v>
      </c>
      <c r="K25" s="186">
        <f t="shared" si="2"/>
        <v>974972.91247529001</v>
      </c>
      <c r="L25" s="183">
        <f t="shared" si="3"/>
        <v>-60086.434968857793</v>
      </c>
      <c r="M25" s="183"/>
      <c r="N25" s="184">
        <v>0</v>
      </c>
      <c r="O25" s="184">
        <v>0</v>
      </c>
      <c r="P25" s="184">
        <f t="shared" si="12"/>
        <v>0</v>
      </c>
      <c r="Q25" s="183">
        <f t="shared" ca="1" si="5"/>
        <v>11709.720578045808</v>
      </c>
      <c r="R25" s="187">
        <f t="shared" ca="1" si="8"/>
        <v>-3058.5180246271284</v>
      </c>
      <c r="S25" s="187"/>
      <c r="T25" s="190">
        <f t="shared" ca="1" si="6"/>
        <v>-3058.5180246271284</v>
      </c>
      <c r="U25" s="464">
        <v>0</v>
      </c>
      <c r="V25" s="189">
        <f t="shared" ca="1" si="9"/>
        <v>-14768.238602672936</v>
      </c>
      <c r="W25" t="str">
        <f t="shared" si="10"/>
        <v>S.008</v>
      </c>
    </row>
    <row r="26" spans="1:23" ht="25">
      <c r="A26" s="180" t="s">
        <v>199</v>
      </c>
      <c r="B26" s="166" t="s">
        <v>191</v>
      </c>
      <c r="C26" s="191" t="str">
        <f t="shared" ca="1" si="0"/>
        <v>Northwest Texarkana-Bann-Alumax Tap 138kV -- reconductor</v>
      </c>
      <c r="D26" s="182">
        <f t="shared" ca="1" si="0"/>
        <v>2008</v>
      </c>
      <c r="E26" s="183">
        <v>0</v>
      </c>
      <c r="F26" s="184">
        <f t="shared" ca="1" si="0"/>
        <v>0</v>
      </c>
      <c r="G26" s="184">
        <f t="shared" ca="1" si="11"/>
        <v>0</v>
      </c>
      <c r="H26" s="168"/>
      <c r="I26" s="185">
        <f t="shared" ca="1" si="7"/>
        <v>7339.7310587001848</v>
      </c>
      <c r="J26" s="186">
        <v>265324.94678750704</v>
      </c>
      <c r="K26" s="186">
        <f t="shared" si="2"/>
        <v>282750.52969066141</v>
      </c>
      <c r="L26" s="183">
        <f t="shared" si="3"/>
        <v>-17425.582903154369</v>
      </c>
      <c r="M26" s="183"/>
      <c r="N26" s="184">
        <v>0</v>
      </c>
      <c r="O26" s="184">
        <v>0</v>
      </c>
      <c r="P26" s="184">
        <f t="shared" si="12"/>
        <v>0</v>
      </c>
      <c r="Q26" s="183">
        <f t="shared" ca="1" si="5"/>
        <v>7997.0611301439003</v>
      </c>
      <c r="R26" s="187">
        <f t="shared" ca="1" si="8"/>
        <v>-2088.7907143102839</v>
      </c>
      <c r="S26" s="187"/>
      <c r="T26" s="190">
        <f t="shared" ca="1" si="6"/>
        <v>-2088.7907143102839</v>
      </c>
      <c r="U26" s="464">
        <v>0</v>
      </c>
      <c r="V26" s="189">
        <f t="shared" ca="1" si="9"/>
        <v>-10085.851844454184</v>
      </c>
      <c r="W26" t="str">
        <f t="shared" si="10"/>
        <v>S.009</v>
      </c>
    </row>
    <row r="27" spans="1:23" ht="13">
      <c r="A27" s="180" t="s">
        <v>200</v>
      </c>
      <c r="B27" s="166" t="s">
        <v>191</v>
      </c>
      <c r="C27" s="193" t="str">
        <f t="shared" ca="1" si="0"/>
        <v>Tontitown - Elm Springs REC 161 kV line***</v>
      </c>
      <c r="D27" s="182">
        <f t="shared" ca="1" si="0"/>
        <v>2008</v>
      </c>
      <c r="E27" s="183">
        <v>0</v>
      </c>
      <c r="F27" s="184">
        <f t="shared" ca="1" si="0"/>
        <v>0</v>
      </c>
      <c r="G27" s="184">
        <f t="shared" ca="1" si="11"/>
        <v>0</v>
      </c>
      <c r="H27" s="168"/>
      <c r="I27" s="185">
        <f t="shared" ca="1" si="7"/>
        <v>0</v>
      </c>
      <c r="J27" s="186">
        <v>0</v>
      </c>
      <c r="K27" s="186">
        <f t="shared" si="2"/>
        <v>0</v>
      </c>
      <c r="L27" s="183">
        <f t="shared" si="3"/>
        <v>0</v>
      </c>
      <c r="M27" s="183"/>
      <c r="N27" s="184">
        <v>0</v>
      </c>
      <c r="O27" s="184">
        <v>0</v>
      </c>
      <c r="P27" s="184">
        <f t="shared" si="12"/>
        <v>0</v>
      </c>
      <c r="Q27" s="183">
        <f t="shared" ca="1" si="5"/>
        <v>0</v>
      </c>
      <c r="R27" s="187">
        <f t="shared" ca="1" si="8"/>
        <v>0</v>
      </c>
      <c r="S27" s="187"/>
      <c r="T27" s="190">
        <f t="shared" ca="1" si="6"/>
        <v>0</v>
      </c>
      <c r="U27" s="464">
        <v>0</v>
      </c>
      <c r="V27" s="189">
        <f t="shared" ca="1" si="9"/>
        <v>0</v>
      </c>
      <c r="W27" t="str">
        <f t="shared" si="10"/>
        <v>S.010</v>
      </c>
    </row>
    <row r="28" spans="1:23" ht="16.5" customHeight="1">
      <c r="A28" s="180" t="s">
        <v>201</v>
      </c>
      <c r="B28" s="166" t="s">
        <v>191</v>
      </c>
      <c r="C28" s="193" t="str">
        <f t="shared" ca="1" si="0"/>
        <v>Siloam Springs - Chamber Springs 161 kV line***</v>
      </c>
      <c r="D28" s="182">
        <f t="shared" ca="1" si="0"/>
        <v>2007</v>
      </c>
      <c r="E28" s="183">
        <v>0</v>
      </c>
      <c r="F28" s="184">
        <f t="shared" ca="1" si="0"/>
        <v>0</v>
      </c>
      <c r="G28" s="184">
        <f t="shared" ca="1" si="11"/>
        <v>0</v>
      </c>
      <c r="H28" s="168"/>
      <c r="I28" s="185">
        <f t="shared" ca="1" si="7"/>
        <v>0</v>
      </c>
      <c r="J28" s="186">
        <v>0</v>
      </c>
      <c r="K28" s="186">
        <f t="shared" si="2"/>
        <v>0</v>
      </c>
      <c r="L28" s="183">
        <f t="shared" si="3"/>
        <v>0</v>
      </c>
      <c r="M28" s="183"/>
      <c r="N28" s="184">
        <v>0</v>
      </c>
      <c r="O28" s="184">
        <v>0</v>
      </c>
      <c r="P28" s="184">
        <f t="shared" si="12"/>
        <v>0</v>
      </c>
      <c r="Q28" s="183">
        <f t="shared" ca="1" si="5"/>
        <v>0</v>
      </c>
      <c r="R28" s="187">
        <f t="shared" ca="1" si="8"/>
        <v>0</v>
      </c>
      <c r="S28" s="187"/>
      <c r="T28" s="190">
        <f t="shared" ca="1" si="6"/>
        <v>0</v>
      </c>
      <c r="U28" s="464">
        <v>0</v>
      </c>
      <c r="V28" s="189">
        <f t="shared" ca="1" si="9"/>
        <v>0</v>
      </c>
      <c r="W28" t="str">
        <f t="shared" si="10"/>
        <v>S.011</v>
      </c>
    </row>
    <row r="29" spans="1:23" ht="25">
      <c r="A29" s="180" t="s">
        <v>202</v>
      </c>
      <c r="B29" s="166" t="s">
        <v>191</v>
      </c>
      <c r="C29" s="191" t="str">
        <f t="shared" ca="1" si="0"/>
        <v>Knox Lee - Oak Hill #2 138 kV line, S. Shreveport  (SWE Minor Proj II)</v>
      </c>
      <c r="D29" s="182">
        <f t="shared" ca="1" si="0"/>
        <v>2007</v>
      </c>
      <c r="E29" s="183">
        <v>0</v>
      </c>
      <c r="F29" s="184">
        <f t="shared" ca="1" si="0"/>
        <v>0</v>
      </c>
      <c r="G29" s="184">
        <f t="shared" ca="1" si="11"/>
        <v>0</v>
      </c>
      <c r="H29" s="168"/>
      <c r="I29" s="185">
        <f t="shared" ca="1" si="7"/>
        <v>345.39986771280383</v>
      </c>
      <c r="J29" s="186">
        <v>17177.126390217603</v>
      </c>
      <c r="K29" s="186">
        <f t="shared" si="2"/>
        <v>18305.257926941958</v>
      </c>
      <c r="L29" s="183">
        <f t="shared" si="3"/>
        <v>-1128.1315367243551</v>
      </c>
      <c r="M29" s="183"/>
      <c r="N29" s="184">
        <v>0</v>
      </c>
      <c r="O29" s="184">
        <v>0</v>
      </c>
      <c r="P29" s="184">
        <f t="shared" si="12"/>
        <v>0</v>
      </c>
      <c r="Q29" s="183">
        <f t="shared" ca="1" si="5"/>
        <v>620.62710241245725</v>
      </c>
      <c r="R29" s="187">
        <f t="shared" ca="1" si="8"/>
        <v>-162.10456659909403</v>
      </c>
      <c r="S29" s="187"/>
      <c r="T29" s="190">
        <f ca="1">+G29+R29</f>
        <v>-162.10456659909403</v>
      </c>
      <c r="U29" s="464">
        <v>0</v>
      </c>
      <c r="V29" s="189">
        <f t="shared" ca="1" si="9"/>
        <v>-782.73166901155128</v>
      </c>
      <c r="W29" t="str">
        <f t="shared" si="10"/>
        <v>S.012</v>
      </c>
    </row>
    <row r="30" spans="1:23" ht="13">
      <c r="A30" s="180" t="s">
        <v>203</v>
      </c>
      <c r="B30" s="166" t="s">
        <v>191</v>
      </c>
      <c r="C30" s="191" t="str">
        <f t="shared" ca="1" si="0"/>
        <v xml:space="preserve">Carthage REC - Carthage T 138 kV </v>
      </c>
      <c r="D30" s="182">
        <f t="shared" ca="1" si="0"/>
        <v>2006</v>
      </c>
      <c r="E30" s="183">
        <v>0</v>
      </c>
      <c r="F30" s="184">
        <f t="shared" ca="1" si="0"/>
        <v>0</v>
      </c>
      <c r="G30" s="184">
        <f t="shared" ca="1" si="11"/>
        <v>0</v>
      </c>
      <c r="H30" s="168"/>
      <c r="I30" s="185">
        <f t="shared" ca="1" si="7"/>
        <v>24552.502759077004</v>
      </c>
      <c r="J30" s="186">
        <v>538411.20651302708</v>
      </c>
      <c r="K30" s="186">
        <f t="shared" si="2"/>
        <v>573772.10728273145</v>
      </c>
      <c r="L30" s="183">
        <f t="shared" si="3"/>
        <v>-35360.900769704371</v>
      </c>
      <c r="M30" s="183"/>
      <c r="N30" s="184">
        <v>0</v>
      </c>
      <c r="O30" s="184">
        <v>0</v>
      </c>
      <c r="P30" s="184">
        <f t="shared" si="12"/>
        <v>0</v>
      </c>
      <c r="Q30" s="183">
        <f t="shared" ca="1" si="5"/>
        <v>8569.9672117868977</v>
      </c>
      <c r="R30" s="187">
        <f t="shared" ca="1" si="8"/>
        <v>-2238.4307988404689</v>
      </c>
      <c r="S30" s="187"/>
      <c r="T30" s="190">
        <f t="shared" ca="1" si="6"/>
        <v>-2238.4307988404689</v>
      </c>
      <c r="U30" s="464">
        <v>0</v>
      </c>
      <c r="V30" s="189">
        <f t="shared" ca="1" si="9"/>
        <v>-10808.398010627367</v>
      </c>
      <c r="W30" t="str">
        <f t="shared" si="10"/>
        <v>S.013</v>
      </c>
    </row>
    <row r="31" spans="1:23" ht="13">
      <c r="A31" s="180" t="s">
        <v>204</v>
      </c>
      <c r="B31" s="166" t="s">
        <v>191</v>
      </c>
      <c r="C31" s="193" t="str">
        <f t="shared" ca="1" si="0"/>
        <v>NW Henderson - Oak Hill 138 kV line*</v>
      </c>
      <c r="D31" s="182">
        <f t="shared" ca="1" si="0"/>
        <v>2007</v>
      </c>
      <c r="E31" s="183">
        <v>0</v>
      </c>
      <c r="F31" s="184">
        <f t="shared" ca="1" si="0"/>
        <v>0</v>
      </c>
      <c r="G31" s="184">
        <f t="shared" ca="1" si="11"/>
        <v>0</v>
      </c>
      <c r="H31" s="168"/>
      <c r="I31" s="185">
        <f t="shared" ca="1" si="7"/>
        <v>299.88106218072244</v>
      </c>
      <c r="J31" s="186">
        <v>7634.2727089542568</v>
      </c>
      <c r="K31" s="186">
        <f t="shared" si="2"/>
        <v>8135.664129572212</v>
      </c>
      <c r="L31" s="183">
        <f t="shared" si="3"/>
        <v>-501.39142061795519</v>
      </c>
      <c r="M31" s="183"/>
      <c r="N31" s="184">
        <v>0</v>
      </c>
      <c r="O31" s="184">
        <v>0</v>
      </c>
      <c r="P31" s="184">
        <f t="shared" si="12"/>
        <v>0</v>
      </c>
      <c r="Q31" s="183">
        <f t="shared" ca="1" si="5"/>
        <v>159.77734747966329</v>
      </c>
      <c r="R31" s="187">
        <f t="shared" ca="1" si="8"/>
        <v>-41.733010957569462</v>
      </c>
      <c r="S31" s="192" t="s">
        <v>266</v>
      </c>
      <c r="T31" s="190">
        <f t="shared" ca="1" si="6"/>
        <v>-41.733010957569462</v>
      </c>
      <c r="U31" s="464">
        <v>0</v>
      </c>
      <c r="V31" s="189">
        <f t="shared" ca="1" si="9"/>
        <v>-201.51035843723275</v>
      </c>
      <c r="W31" t="str">
        <f t="shared" si="10"/>
        <v>S.014</v>
      </c>
    </row>
    <row r="32" spans="1:23" ht="13">
      <c r="A32" s="180" t="s">
        <v>205</v>
      </c>
      <c r="B32" s="166" t="s">
        <v>191</v>
      </c>
      <c r="C32" s="191" t="str">
        <f t="shared" ca="1" si="0"/>
        <v>Arsenal Hill 138kV Device (Cap. Bank)</v>
      </c>
      <c r="D32" s="182">
        <f t="shared" ca="1" si="0"/>
        <v>2007</v>
      </c>
      <c r="E32" s="183">
        <v>0</v>
      </c>
      <c r="F32" s="184">
        <f t="shared" ca="1" si="0"/>
        <v>0</v>
      </c>
      <c r="G32" s="184">
        <f t="shared" ca="1" si="11"/>
        <v>0</v>
      </c>
      <c r="H32" s="168"/>
      <c r="I32" s="185">
        <f t="shared" ca="1" si="7"/>
        <v>965.21362266707001</v>
      </c>
      <c r="J32" s="186">
        <v>33187.736206797235</v>
      </c>
      <c r="K32" s="186">
        <f t="shared" si="2"/>
        <v>35367.38669063479</v>
      </c>
      <c r="L32" s="183">
        <f t="shared" si="3"/>
        <v>-2179.6504838375549</v>
      </c>
      <c r="M32" s="183"/>
      <c r="N32" s="184">
        <v>0</v>
      </c>
      <c r="O32" s="184">
        <v>0</v>
      </c>
      <c r="P32" s="184">
        <f t="shared" si="12"/>
        <v>0</v>
      </c>
      <c r="Q32" s="183">
        <f t="shared" ca="1" si="5"/>
        <v>962.92568711691501</v>
      </c>
      <c r="R32" s="187">
        <f t="shared" ca="1" si="8"/>
        <v>-251.5111740535699</v>
      </c>
      <c r="S32" s="187"/>
      <c r="T32" s="190">
        <f t="shared" ca="1" si="6"/>
        <v>-251.5111740535699</v>
      </c>
      <c r="U32" s="464">
        <v>0</v>
      </c>
      <c r="V32" s="189">
        <f t="shared" ca="1" si="9"/>
        <v>-1214.4368611704849</v>
      </c>
      <c r="W32" t="str">
        <f t="shared" si="10"/>
        <v>S.015</v>
      </c>
    </row>
    <row r="33" spans="1:23" ht="13">
      <c r="A33" s="180" t="s">
        <v>206</v>
      </c>
      <c r="B33" s="166" t="s">
        <v>191</v>
      </c>
      <c r="C33" s="191" t="str">
        <f t="shared" ca="1" si="0"/>
        <v>Daingerfield - Jenkins REC 69 kV CB Repl**</v>
      </c>
      <c r="D33" s="182">
        <f t="shared" ca="1" si="0"/>
        <v>2008</v>
      </c>
      <c r="E33" s="183">
        <v>0</v>
      </c>
      <c r="F33" s="184">
        <f t="shared" ca="1" si="0"/>
        <v>0</v>
      </c>
      <c r="G33" s="184">
        <f t="shared" ca="1" si="11"/>
        <v>0</v>
      </c>
      <c r="H33" s="168"/>
      <c r="I33" s="185">
        <f t="shared" ca="1" si="7"/>
        <v>2160.6537322540244</v>
      </c>
      <c r="J33" s="186">
        <v>37956.294353926591</v>
      </c>
      <c r="K33" s="186">
        <f t="shared" si="2"/>
        <v>40449.126490403331</v>
      </c>
      <c r="L33" s="183">
        <f t="shared" si="3"/>
        <v>-2492.8321364767398</v>
      </c>
      <c r="M33" s="183"/>
      <c r="N33" s="184">
        <v>0</v>
      </c>
      <c r="O33" s="184">
        <v>0</v>
      </c>
      <c r="P33" s="184">
        <f t="shared" si="12"/>
        <v>0</v>
      </c>
      <c r="Q33" s="183">
        <f t="shared" ca="1" si="5"/>
        <v>263.38390109739566</v>
      </c>
      <c r="R33" s="187">
        <f t="shared" ca="1" si="8"/>
        <v>-68.794503125319807</v>
      </c>
      <c r="S33" s="187"/>
      <c r="T33" s="190">
        <f t="shared" ca="1" si="6"/>
        <v>-68.794503125319807</v>
      </c>
      <c r="U33" s="464">
        <v>0</v>
      </c>
      <c r="V33" s="189">
        <f t="shared" ca="1" si="9"/>
        <v>-332.17840422271547</v>
      </c>
      <c r="W33" t="str">
        <f t="shared" si="10"/>
        <v>S.016</v>
      </c>
    </row>
    <row r="34" spans="1:23" ht="13">
      <c r="A34" s="180" t="s">
        <v>207</v>
      </c>
      <c r="B34" s="166" t="s">
        <v>191</v>
      </c>
      <c r="C34" s="191" t="str">
        <f t="shared" ca="1" si="0"/>
        <v>Linwood-McWillie 138 kV Rebuild</v>
      </c>
      <c r="D34" s="182">
        <f t="shared" ca="1" si="0"/>
        <v>2008</v>
      </c>
      <c r="E34" s="183">
        <v>0</v>
      </c>
      <c r="F34" s="184">
        <f t="shared" ca="1" si="0"/>
        <v>0</v>
      </c>
      <c r="G34" s="184">
        <f t="shared" ca="1" si="11"/>
        <v>0</v>
      </c>
      <c r="H34" s="168"/>
      <c r="I34" s="185">
        <f t="shared" ca="1" si="7"/>
        <v>5357.161750061874</v>
      </c>
      <c r="J34" s="186">
        <v>182085.88168060721</v>
      </c>
      <c r="K34" s="186">
        <f t="shared" si="2"/>
        <v>194044.62383861668</v>
      </c>
      <c r="L34" s="183">
        <f t="shared" si="3"/>
        <v>-11958.742158009467</v>
      </c>
      <c r="M34" s="183"/>
      <c r="N34" s="184">
        <v>0</v>
      </c>
      <c r="O34" s="184">
        <v>0</v>
      </c>
      <c r="P34" s="184">
        <f t="shared" si="12"/>
        <v>0</v>
      </c>
      <c r="Q34" s="183">
        <f t="shared" ca="1" si="5"/>
        <v>5234.3860381952918</v>
      </c>
      <c r="R34" s="187">
        <f t="shared" ca="1" si="8"/>
        <v>-1367.1943697523011</v>
      </c>
      <c r="S34" s="187"/>
      <c r="T34" s="190">
        <f t="shared" ca="1" si="6"/>
        <v>-1367.1943697523011</v>
      </c>
      <c r="U34" s="464">
        <v>0</v>
      </c>
      <c r="V34" s="189">
        <f t="shared" ca="1" si="9"/>
        <v>-6601.5804079475929</v>
      </c>
      <c r="W34" t="str">
        <f t="shared" si="10"/>
        <v>S.017</v>
      </c>
    </row>
    <row r="35" spans="1:23" ht="13">
      <c r="A35" s="180" t="s">
        <v>208</v>
      </c>
      <c r="B35" s="166" t="s">
        <v>191</v>
      </c>
      <c r="C35" s="191" t="str">
        <f t="shared" ca="1" si="0"/>
        <v>Port Robson (SW 138 kV Loop -- 2008)</v>
      </c>
      <c r="D35" s="182">
        <f t="shared" ca="1" si="0"/>
        <v>2009</v>
      </c>
      <c r="E35" s="183">
        <v>0</v>
      </c>
      <c r="F35" s="184">
        <f t="shared" ca="1" si="0"/>
        <v>0</v>
      </c>
      <c r="G35" s="184">
        <f t="shared" ca="1" si="11"/>
        <v>0</v>
      </c>
      <c r="H35" s="168"/>
      <c r="I35" s="185">
        <f t="shared" ca="1" si="7"/>
        <v>0</v>
      </c>
      <c r="J35" s="186">
        <v>0</v>
      </c>
      <c r="K35" s="186">
        <f t="shared" si="2"/>
        <v>0</v>
      </c>
      <c r="L35" s="183">
        <f t="shared" si="3"/>
        <v>0</v>
      </c>
      <c r="M35" s="183"/>
      <c r="N35" s="184">
        <v>0</v>
      </c>
      <c r="O35" s="184">
        <v>0</v>
      </c>
      <c r="P35" s="184">
        <f t="shared" si="12"/>
        <v>0</v>
      </c>
      <c r="Q35" s="183">
        <f t="shared" ca="1" si="5"/>
        <v>0</v>
      </c>
      <c r="R35" s="187">
        <f t="shared" ca="1" si="8"/>
        <v>0</v>
      </c>
      <c r="S35" s="187"/>
      <c r="T35" s="190">
        <f t="shared" ca="1" si="6"/>
        <v>0</v>
      </c>
      <c r="U35" s="464">
        <v>0</v>
      </c>
      <c r="V35" s="189">
        <f t="shared" ca="1" si="9"/>
        <v>0</v>
      </c>
      <c r="W35" t="str">
        <f t="shared" si="10"/>
        <v>S.018</v>
      </c>
    </row>
    <row r="36" spans="1:23" ht="13">
      <c r="A36" s="180" t="s">
        <v>209</v>
      </c>
      <c r="B36" s="166" t="s">
        <v>191</v>
      </c>
      <c r="C36" s="191" t="str">
        <f t="shared" ca="1" si="0"/>
        <v>Wallace Lake-Prt Robson-Red Point 138 kV Loop</v>
      </c>
      <c r="D36" s="182">
        <f t="shared" ca="1" si="0"/>
        <v>2008</v>
      </c>
      <c r="E36" s="183">
        <v>0</v>
      </c>
      <c r="F36" s="184">
        <f t="shared" ca="1" si="0"/>
        <v>0</v>
      </c>
      <c r="G36" s="184">
        <f t="shared" ca="1" si="11"/>
        <v>0</v>
      </c>
      <c r="H36" s="168"/>
      <c r="I36" s="185">
        <f t="shared" ca="1" si="7"/>
        <v>12324.714845732902</v>
      </c>
      <c r="J36" s="186">
        <v>417875.17647630465</v>
      </c>
      <c r="K36" s="186">
        <f t="shared" si="2"/>
        <v>445319.706736363</v>
      </c>
      <c r="L36" s="183">
        <f t="shared" si="3"/>
        <v>-27444.530260058353</v>
      </c>
      <c r="M36" s="183"/>
      <c r="N36" s="184">
        <v>0</v>
      </c>
      <c r="O36" s="184">
        <v>0</v>
      </c>
      <c r="P36" s="184">
        <f t="shared" si="12"/>
        <v>0</v>
      </c>
      <c r="Q36" s="183">
        <f t="shared" ca="1" si="5"/>
        <v>11988.485455627488</v>
      </c>
      <c r="R36" s="187">
        <f t="shared" ca="1" si="8"/>
        <v>-3131.3299586979629</v>
      </c>
      <c r="S36" s="187"/>
      <c r="T36" s="190">
        <f t="shared" ca="1" si="6"/>
        <v>-3131.3299586979629</v>
      </c>
      <c r="U36" s="464">
        <v>0</v>
      </c>
      <c r="V36" s="189">
        <f t="shared" ca="1" si="9"/>
        <v>-15119.815414325451</v>
      </c>
      <c r="W36" t="str">
        <f t="shared" si="10"/>
        <v>S.019</v>
      </c>
    </row>
    <row r="37" spans="1:23" ht="25">
      <c r="A37" s="180" t="s">
        <v>210</v>
      </c>
      <c r="B37" s="166" t="s">
        <v>191</v>
      </c>
      <c r="C37" s="191" t="str">
        <f t="shared" ca="1" si="0"/>
        <v>[NW Ark Area Improve - 2008]  Elm Springs, East Rogers, Shipe Road Stations</v>
      </c>
      <c r="D37" s="182">
        <f t="shared" ca="1" si="0"/>
        <v>2008</v>
      </c>
      <c r="E37" s="183">
        <v>0</v>
      </c>
      <c r="F37" s="184">
        <f t="shared" ca="1" si="0"/>
        <v>0</v>
      </c>
      <c r="G37" s="184">
        <f t="shared" ref="G37:G42" ca="1" si="13">+E37+F37</f>
        <v>0</v>
      </c>
      <c r="H37" s="168"/>
      <c r="I37" s="185">
        <f t="shared" ca="1" si="7"/>
        <v>0</v>
      </c>
      <c r="J37" s="186">
        <v>0</v>
      </c>
      <c r="K37" s="186">
        <f t="shared" si="2"/>
        <v>0</v>
      </c>
      <c r="L37" s="183">
        <f t="shared" si="3"/>
        <v>0</v>
      </c>
      <c r="M37" s="183"/>
      <c r="N37" s="184">
        <v>0</v>
      </c>
      <c r="O37" s="184">
        <v>0</v>
      </c>
      <c r="P37" s="184">
        <f t="shared" ref="P37:P42" si="14">+N37-O37</f>
        <v>0</v>
      </c>
      <c r="Q37" s="183">
        <f t="shared" ca="1" si="5"/>
        <v>0</v>
      </c>
      <c r="R37" s="187">
        <f t="shared" ca="1" si="8"/>
        <v>0</v>
      </c>
      <c r="S37" s="187"/>
      <c r="T37" s="190">
        <f t="shared" ca="1" si="6"/>
        <v>0</v>
      </c>
      <c r="U37" s="464">
        <v>0</v>
      </c>
      <c r="V37" s="189">
        <f t="shared" ca="1" si="9"/>
        <v>0</v>
      </c>
      <c r="W37" t="str">
        <f t="shared" si="10"/>
        <v>S.020</v>
      </c>
    </row>
    <row r="38" spans="1:23" ht="13">
      <c r="A38" s="180" t="s">
        <v>255</v>
      </c>
      <c r="B38" s="166" t="s">
        <v>191</v>
      </c>
      <c r="C38" s="191" t="str">
        <f t="shared" ref="C38:F57" ca="1" si="15">INDIRECT("'"&amp; $A38 &amp; "'!" &amp;C$103)</f>
        <v>Reconductor 4 mi. of McNabb-Turk</v>
      </c>
      <c r="D38" s="182">
        <f t="shared" ca="1" si="15"/>
        <v>2010</v>
      </c>
      <c r="E38" s="183">
        <v>0</v>
      </c>
      <c r="F38" s="184">
        <f t="shared" ca="1" si="15"/>
        <v>0</v>
      </c>
      <c r="G38" s="184">
        <f t="shared" ca="1" si="13"/>
        <v>0</v>
      </c>
      <c r="H38" s="168"/>
      <c r="I38" s="185">
        <f t="shared" ca="1" si="7"/>
        <v>7471.6678474140062</v>
      </c>
      <c r="J38" s="186">
        <v>162814.60407651236</v>
      </c>
      <c r="K38" s="186">
        <f t="shared" si="2"/>
        <v>173507.6784199955</v>
      </c>
      <c r="L38" s="183">
        <f t="shared" si="3"/>
        <v>-10693.074343483138</v>
      </c>
      <c r="M38" s="183"/>
      <c r="N38" s="184">
        <v>0</v>
      </c>
      <c r="O38" s="184">
        <v>0</v>
      </c>
      <c r="P38" s="184">
        <f t="shared" si="14"/>
        <v>0</v>
      </c>
      <c r="Q38" s="183">
        <f t="shared" ca="1" si="5"/>
        <v>2554.2497620835979</v>
      </c>
      <c r="R38" s="187">
        <f t="shared" ca="1" si="8"/>
        <v>-667.15673398553417</v>
      </c>
      <c r="S38" s="187"/>
      <c r="T38" s="190">
        <f t="shared" ca="1" si="6"/>
        <v>-667.15673398553417</v>
      </c>
      <c r="U38" s="464">
        <v>0</v>
      </c>
      <c r="V38" s="189">
        <f t="shared" ref="V38:V43" ca="1" si="16">+I38+L38+P38</f>
        <v>-3221.4064960691321</v>
      </c>
      <c r="W38" t="str">
        <f t="shared" ref="W38:W43" si="17">A38</f>
        <v>S.021</v>
      </c>
    </row>
    <row r="39" spans="1:23" ht="13">
      <c r="A39" s="180" t="s">
        <v>256</v>
      </c>
      <c r="B39" s="166" t="s">
        <v>191</v>
      </c>
      <c r="C39" s="191" t="str">
        <f t="shared" ca="1" si="15"/>
        <v>Longwood: r&amp;r switches, upgrade bus</v>
      </c>
      <c r="D39" s="182">
        <f t="shared" ca="1" si="15"/>
        <v>2010</v>
      </c>
      <c r="E39" s="183">
        <v>0</v>
      </c>
      <c r="F39" s="184">
        <f t="shared" ca="1" si="15"/>
        <v>0</v>
      </c>
      <c r="G39" s="184">
        <f t="shared" ca="1" si="13"/>
        <v>0</v>
      </c>
      <c r="H39" s="168"/>
      <c r="I39" s="185">
        <f t="shared" ca="1" si="7"/>
        <v>779.35579154392326</v>
      </c>
      <c r="J39" s="186">
        <v>20369.336718921146</v>
      </c>
      <c r="K39" s="186">
        <f t="shared" si="2"/>
        <v>21707.12108475425</v>
      </c>
      <c r="L39" s="183">
        <f t="shared" si="3"/>
        <v>-1337.7843658331039</v>
      </c>
      <c r="M39" s="183"/>
      <c r="N39" s="184">
        <v>0</v>
      </c>
      <c r="O39" s="184">
        <v>0</v>
      </c>
      <c r="P39" s="184">
        <f t="shared" si="14"/>
        <v>0</v>
      </c>
      <c r="Q39" s="183">
        <f t="shared" ca="1" si="5"/>
        <v>442.77741873288022</v>
      </c>
      <c r="R39" s="187">
        <f t="shared" ca="1" si="8"/>
        <v>-115.65115555630047</v>
      </c>
      <c r="S39" s="187"/>
      <c r="T39" s="190">
        <f t="shared" ca="1" si="6"/>
        <v>-115.65115555630047</v>
      </c>
      <c r="U39" s="464">
        <v>0</v>
      </c>
      <c r="V39" s="189">
        <f t="shared" ca="1" si="16"/>
        <v>-558.42857428918069</v>
      </c>
      <c r="W39" t="str">
        <f t="shared" si="17"/>
        <v>S.022</v>
      </c>
    </row>
    <row r="40" spans="1:23" ht="25">
      <c r="A40" s="180" t="s">
        <v>257</v>
      </c>
      <c r="B40" s="166" t="s">
        <v>191</v>
      </c>
      <c r="C40" s="191" t="str">
        <f t="shared" ca="1" si="15"/>
        <v>Reconductor: Greggton-Lake Lamond &amp; Quitman-Westwood 69 kV lines</v>
      </c>
      <c r="D40" s="182">
        <f t="shared" ca="1" si="15"/>
        <v>2010</v>
      </c>
      <c r="E40" s="183">
        <v>0</v>
      </c>
      <c r="F40" s="184">
        <f t="shared" ca="1" si="15"/>
        <v>0</v>
      </c>
      <c r="G40" s="184">
        <f t="shared" ca="1" si="13"/>
        <v>0</v>
      </c>
      <c r="H40" s="168"/>
      <c r="I40" s="185">
        <f t="shared" ca="1" si="7"/>
        <v>18582.807833940838</v>
      </c>
      <c r="J40" s="186">
        <v>474751.41240136913</v>
      </c>
      <c r="K40" s="186">
        <f t="shared" si="2"/>
        <v>505931.36813246441</v>
      </c>
      <c r="L40" s="183">
        <f t="shared" si="3"/>
        <v>-31179.95573109528</v>
      </c>
      <c r="M40" s="183"/>
      <c r="N40" s="184">
        <v>0</v>
      </c>
      <c r="O40" s="184">
        <v>0</v>
      </c>
      <c r="P40" s="184">
        <f t="shared" si="14"/>
        <v>0</v>
      </c>
      <c r="Q40" s="183">
        <f t="shared" ca="1" si="5"/>
        <v>9988.2650818830771</v>
      </c>
      <c r="R40" s="187">
        <f t="shared" ca="1" si="8"/>
        <v>-2608.882815271365</v>
      </c>
      <c r="S40" s="187"/>
      <c r="T40" s="190">
        <f t="shared" ca="1" si="6"/>
        <v>-2608.882815271365</v>
      </c>
      <c r="U40" s="464">
        <v>0</v>
      </c>
      <c r="V40" s="189">
        <f t="shared" ca="1" si="16"/>
        <v>-12597.147897154442</v>
      </c>
      <c r="W40" t="str">
        <f t="shared" si="17"/>
        <v>S.023</v>
      </c>
    </row>
    <row r="41" spans="1:23" ht="25">
      <c r="A41" s="180" t="s">
        <v>258</v>
      </c>
      <c r="B41" s="166" t="s">
        <v>191</v>
      </c>
      <c r="C41" s="191" t="str">
        <f t="shared" ca="1" si="15"/>
        <v>Rebuild/reconductor Dyess-Elm Springs REC [Dyess Station-Flint Creek]</v>
      </c>
      <c r="D41" s="182">
        <f t="shared" ca="1" si="15"/>
        <v>2010</v>
      </c>
      <c r="E41" s="183">
        <v>0</v>
      </c>
      <c r="F41" s="184">
        <f t="shared" ca="1" si="15"/>
        <v>0</v>
      </c>
      <c r="G41" s="184">
        <f t="shared" ca="1" si="13"/>
        <v>0</v>
      </c>
      <c r="H41" s="168"/>
      <c r="I41" s="185">
        <f t="shared" ca="1" si="7"/>
        <v>20622.434155917959</v>
      </c>
      <c r="J41" s="186">
        <v>519880.15078109095</v>
      </c>
      <c r="K41" s="186">
        <f t="shared" si="2"/>
        <v>554023.99883166887</v>
      </c>
      <c r="L41" s="183">
        <f t="shared" si="3"/>
        <v>-34143.848050577915</v>
      </c>
      <c r="M41" s="183"/>
      <c r="N41" s="184">
        <v>0</v>
      </c>
      <c r="O41" s="184">
        <v>0</v>
      </c>
      <c r="P41" s="184">
        <f t="shared" si="14"/>
        <v>0</v>
      </c>
      <c r="Q41" s="183">
        <f t="shared" ca="1" si="5"/>
        <v>10721.114601840014</v>
      </c>
      <c r="R41" s="187">
        <f t="shared" ca="1" si="8"/>
        <v>-2800.2992928199419</v>
      </c>
      <c r="S41" s="187"/>
      <c r="T41" s="190">
        <f t="shared" ca="1" si="6"/>
        <v>-2800.2992928199419</v>
      </c>
      <c r="U41" s="464">
        <v>0</v>
      </c>
      <c r="V41" s="189">
        <f t="shared" ca="1" si="16"/>
        <v>-13521.413894659956</v>
      </c>
      <c r="W41" t="str">
        <f t="shared" si="17"/>
        <v>S.024</v>
      </c>
    </row>
    <row r="42" spans="1:23" ht="13">
      <c r="A42" s="180" t="s">
        <v>259</v>
      </c>
      <c r="B42" s="166" t="s">
        <v>191</v>
      </c>
      <c r="C42" s="191" t="str">
        <f t="shared" ca="1" si="15"/>
        <v>Replace switch at Diana*</v>
      </c>
      <c r="D42" s="182">
        <f t="shared" ca="1" si="15"/>
        <v>2010</v>
      </c>
      <c r="E42" s="183">
        <v>0</v>
      </c>
      <c r="F42" s="184">
        <f t="shared" ca="1" si="15"/>
        <v>0</v>
      </c>
      <c r="G42" s="184">
        <f t="shared" ca="1" si="13"/>
        <v>0</v>
      </c>
      <c r="H42" s="168"/>
      <c r="I42" s="185">
        <f t="shared" ca="1" si="7"/>
        <v>338.20778575794793</v>
      </c>
      <c r="J42" s="186">
        <v>8921.6598883765382</v>
      </c>
      <c r="K42" s="186">
        <f t="shared" si="2"/>
        <v>9507.6022428403303</v>
      </c>
      <c r="L42" s="183">
        <f t="shared" si="3"/>
        <v>-585.94235446379207</v>
      </c>
      <c r="M42" s="183"/>
      <c r="N42" s="184">
        <v>0</v>
      </c>
      <c r="O42" s="184">
        <v>0</v>
      </c>
      <c r="P42" s="184">
        <f t="shared" si="14"/>
        <v>0</v>
      </c>
      <c r="Q42" s="183">
        <f t="shared" ca="1" si="5"/>
        <v>196.42847431670592</v>
      </c>
      <c r="R42" s="187">
        <f t="shared" ca="1" si="8"/>
        <v>-51.306094389138224</v>
      </c>
      <c r="S42" s="192" t="s">
        <v>266</v>
      </c>
      <c r="T42" s="190">
        <f t="shared" ca="1" si="6"/>
        <v>-51.306094389138224</v>
      </c>
      <c r="U42" s="464">
        <v>0</v>
      </c>
      <c r="V42" s="189">
        <f t="shared" ca="1" si="16"/>
        <v>-247.73456870584414</v>
      </c>
      <c r="W42" t="str">
        <f t="shared" si="17"/>
        <v>S.025</v>
      </c>
    </row>
    <row r="43" spans="1:23" ht="13">
      <c r="A43" s="180" t="s">
        <v>274</v>
      </c>
      <c r="B43" s="166" t="s">
        <v>191</v>
      </c>
      <c r="C43" s="191" t="str">
        <f t="shared" ca="1" si="15"/>
        <v>Whitney repl CB and Switches</v>
      </c>
      <c r="D43" s="182">
        <f t="shared" ca="1" si="15"/>
        <v>2011</v>
      </c>
      <c r="E43" s="183">
        <v>0</v>
      </c>
      <c r="F43" s="184">
        <f t="shared" ca="1" si="15"/>
        <v>0</v>
      </c>
      <c r="G43" s="184">
        <f ca="1">+E43+F43</f>
        <v>0</v>
      </c>
      <c r="H43" s="168"/>
      <c r="I43" s="185">
        <f t="shared" ca="1" si="7"/>
        <v>591.46228721673469</v>
      </c>
      <c r="J43" s="186">
        <v>25336.876316753442</v>
      </c>
      <c r="K43" s="186">
        <f t="shared" si="2"/>
        <v>27000.910717250852</v>
      </c>
      <c r="L43" s="183">
        <f>+J43-K43</f>
        <v>-1664.0344004974104</v>
      </c>
      <c r="M43" s="183"/>
      <c r="N43" s="184">
        <v>0</v>
      </c>
      <c r="O43" s="184">
        <v>0</v>
      </c>
      <c r="P43" s="184">
        <f>+N43-O43</f>
        <v>0</v>
      </c>
      <c r="Q43" s="183">
        <f t="shared" ca="1" si="5"/>
        <v>850.44128038719737</v>
      </c>
      <c r="R43" s="187">
        <f ca="1">I43+L43+P43+Q43</f>
        <v>-222.13083289347833</v>
      </c>
      <c r="S43" s="192" t="s">
        <v>266</v>
      </c>
      <c r="T43" s="190">
        <f ca="1">+G43+R43</f>
        <v>-222.13083289347833</v>
      </c>
      <c r="U43" s="464">
        <v>0</v>
      </c>
      <c r="V43" s="189">
        <f t="shared" ca="1" si="16"/>
        <v>-1072.5721132806757</v>
      </c>
      <c r="W43" t="str">
        <f t="shared" si="17"/>
        <v>S.026</v>
      </c>
    </row>
    <row r="44" spans="1:23" ht="13">
      <c r="A44" s="180" t="s">
        <v>290</v>
      </c>
      <c r="B44" s="166" t="s">
        <v>191</v>
      </c>
      <c r="C44" s="191" t="str">
        <f t="shared" ca="1" si="15"/>
        <v>Linwood - Powell Street 138 kV</v>
      </c>
      <c r="D44" s="182">
        <f t="shared" ca="1" si="15"/>
        <v>2012</v>
      </c>
      <c r="E44" s="183">
        <v>0</v>
      </c>
      <c r="F44" s="184">
        <f t="shared" ca="1" si="15"/>
        <v>0</v>
      </c>
      <c r="G44" s="184">
        <f t="shared" ref="G44:G50" ca="1" si="18">+E44+F44</f>
        <v>0</v>
      </c>
      <c r="H44" s="168"/>
      <c r="I44" s="185">
        <f t="shared" ca="1" si="7"/>
        <v>1702.0425335428517</v>
      </c>
      <c r="J44" s="186">
        <v>44054.714106006155</v>
      </c>
      <c r="K44" s="186">
        <f t="shared" si="2"/>
        <v>46948.06839561915</v>
      </c>
      <c r="L44" s="183">
        <f t="shared" ref="L44:L50" si="19">+J44-K44</f>
        <v>-2893.3542896129948</v>
      </c>
      <c r="M44" s="183"/>
      <c r="N44" s="184">
        <v>0</v>
      </c>
      <c r="O44" s="184">
        <v>0</v>
      </c>
      <c r="P44" s="184">
        <f t="shared" ref="P44:P50" si="20">+N44-O44</f>
        <v>0</v>
      </c>
      <c r="Q44" s="183">
        <f t="shared" ca="1" si="5"/>
        <v>944.58981603924053</v>
      </c>
      <c r="R44" s="187">
        <f t="shared" ref="R44:R50" ca="1" si="21">I44+L44+P44+Q44</f>
        <v>-246.72194003090249</v>
      </c>
      <c r="S44" s="192" t="s">
        <v>266</v>
      </c>
      <c r="T44" s="190">
        <f t="shared" ref="T44:T50" ca="1" si="22">+G44+R44</f>
        <v>-246.72194003090249</v>
      </c>
      <c r="U44" s="464">
        <v>0</v>
      </c>
      <c r="V44" s="189">
        <f t="shared" ref="V44:V50" ca="1" si="23">+I44+L44+P44</f>
        <v>-1191.311756070143</v>
      </c>
      <c r="W44" t="str">
        <f t="shared" ref="W44:W50" si="24">A44</f>
        <v>S.027</v>
      </c>
    </row>
    <row r="45" spans="1:23" ht="13">
      <c r="A45" s="180" t="s">
        <v>291</v>
      </c>
      <c r="B45" s="166" t="s">
        <v>191</v>
      </c>
      <c r="C45" s="191" t="str">
        <f t="shared" ca="1" si="15"/>
        <v xml:space="preserve">Bloomburg-Texarkana Plant </v>
      </c>
      <c r="D45" s="182">
        <f t="shared" ca="1" si="15"/>
        <v>2012</v>
      </c>
      <c r="E45" s="183">
        <v>0</v>
      </c>
      <c r="F45" s="184">
        <f t="shared" ca="1" si="15"/>
        <v>0</v>
      </c>
      <c r="G45" s="184">
        <f t="shared" ca="1" si="18"/>
        <v>0</v>
      </c>
      <c r="H45" s="168"/>
      <c r="I45" s="185">
        <f t="shared" ca="1" si="7"/>
        <v>21413.97744479531</v>
      </c>
      <c r="J45" s="186">
        <v>551087.16430184396</v>
      </c>
      <c r="K45" s="186">
        <f t="shared" si="2"/>
        <v>587280.57613392803</v>
      </c>
      <c r="L45" s="183">
        <f t="shared" si="19"/>
        <v>-36193.411832084064</v>
      </c>
      <c r="M45" s="183"/>
      <c r="N45" s="184">
        <v>0</v>
      </c>
      <c r="O45" s="184">
        <v>0</v>
      </c>
      <c r="P45" s="184">
        <f t="shared" si="20"/>
        <v>0</v>
      </c>
      <c r="Q45" s="183">
        <f t="shared" ca="1" si="5"/>
        <v>11718.597703682135</v>
      </c>
      <c r="R45" s="187">
        <f t="shared" ca="1" si="21"/>
        <v>-3060.8366836066198</v>
      </c>
      <c r="S45" s="192" t="s">
        <v>266</v>
      </c>
      <c r="T45" s="190">
        <f t="shared" ca="1" si="22"/>
        <v>-3060.8366836066198</v>
      </c>
      <c r="U45" s="464">
        <v>0</v>
      </c>
      <c r="V45" s="189">
        <f t="shared" ca="1" si="23"/>
        <v>-14779.434387288755</v>
      </c>
      <c r="W45" t="str">
        <f t="shared" si="24"/>
        <v>S.028</v>
      </c>
    </row>
    <row r="46" spans="1:23" ht="37.5">
      <c r="A46" s="180" t="s">
        <v>292</v>
      </c>
      <c r="B46" s="166" t="s">
        <v>191</v>
      </c>
      <c r="C46" s="191" t="str">
        <f t="shared" ca="1" si="15"/>
        <v xml:space="preserve">Knox Lee - Pirkey 138 kV / Pirkey - Whitney 138 kV - Replace Breaker,  Wavetraps, and reset relays and CT's </v>
      </c>
      <c r="D46" s="182">
        <f t="shared" ca="1" si="15"/>
        <v>2012</v>
      </c>
      <c r="E46" s="183">
        <v>0</v>
      </c>
      <c r="F46" s="184">
        <f t="shared" ca="1" si="15"/>
        <v>0</v>
      </c>
      <c r="G46" s="184">
        <f t="shared" ca="1" si="18"/>
        <v>0</v>
      </c>
      <c r="H46" s="168"/>
      <c r="I46" s="185">
        <f t="shared" ca="1" si="7"/>
        <v>7495.2737117575016</v>
      </c>
      <c r="J46" s="186">
        <v>199443.54255979761</v>
      </c>
      <c r="K46" s="186">
        <f t="shared" si="2"/>
        <v>212542.27310682731</v>
      </c>
      <c r="L46" s="183">
        <f t="shared" si="19"/>
        <v>-13098.7305470297</v>
      </c>
      <c r="M46" s="183"/>
      <c r="N46" s="184">
        <v>0</v>
      </c>
      <c r="O46" s="184">
        <v>0</v>
      </c>
      <c r="P46" s="184">
        <f t="shared" si="20"/>
        <v>0</v>
      </c>
      <c r="Q46" s="183">
        <f t="shared" ca="1" si="5"/>
        <v>4442.9749259537621</v>
      </c>
      <c r="R46" s="187">
        <f t="shared" ca="1" si="21"/>
        <v>-1160.481909318436</v>
      </c>
      <c r="S46" s="192" t="s">
        <v>266</v>
      </c>
      <c r="T46" s="190">
        <f t="shared" ca="1" si="22"/>
        <v>-1160.481909318436</v>
      </c>
      <c r="U46" s="464">
        <v>0</v>
      </c>
      <c r="V46" s="189">
        <f t="shared" ca="1" si="23"/>
        <v>-5603.4568352721981</v>
      </c>
      <c r="W46" t="str">
        <f t="shared" si="24"/>
        <v>S.029</v>
      </c>
    </row>
    <row r="47" spans="1:23" ht="13">
      <c r="A47" s="180" t="s">
        <v>293</v>
      </c>
      <c r="B47" s="166" t="s">
        <v>191</v>
      </c>
      <c r="C47" s="191" t="str">
        <f t="shared" ca="1" si="15"/>
        <v>NW Texarkana - Turk 345</v>
      </c>
      <c r="D47" s="182">
        <f t="shared" ca="1" si="15"/>
        <v>2012</v>
      </c>
      <c r="E47" s="183">
        <v>0</v>
      </c>
      <c r="F47" s="184">
        <f t="shared" ca="1" si="15"/>
        <v>0</v>
      </c>
      <c r="G47" s="184">
        <f t="shared" ca="1" si="18"/>
        <v>0</v>
      </c>
      <c r="H47" s="168"/>
      <c r="I47" s="185">
        <f t="shared" ca="1" si="7"/>
        <v>186491.21472876426</v>
      </c>
      <c r="J47" s="186">
        <v>5007863.6652807714</v>
      </c>
      <c r="K47" s="186">
        <f t="shared" si="2"/>
        <v>5336762.0388548682</v>
      </c>
      <c r="L47" s="183">
        <f t="shared" si="19"/>
        <v>-328898.37357409671</v>
      </c>
      <c r="M47" s="183"/>
      <c r="N47" s="184">
        <v>0</v>
      </c>
      <c r="O47" s="184">
        <v>0</v>
      </c>
      <c r="P47" s="184">
        <f t="shared" si="20"/>
        <v>0</v>
      </c>
      <c r="Q47" s="183">
        <f t="shared" ca="1" si="5"/>
        <v>112914.48379567852</v>
      </c>
      <c r="R47" s="187">
        <f t="shared" ca="1" si="21"/>
        <v>-29492.675049653932</v>
      </c>
      <c r="S47" s="192" t="s">
        <v>266</v>
      </c>
      <c r="T47" s="190">
        <f t="shared" ca="1" si="22"/>
        <v>-29492.675049653932</v>
      </c>
      <c r="U47" s="464">
        <v>0</v>
      </c>
      <c r="V47" s="189">
        <f t="shared" ca="1" si="23"/>
        <v>-142407.15884533245</v>
      </c>
      <c r="W47" t="str">
        <f t="shared" si="24"/>
        <v>S.030</v>
      </c>
    </row>
    <row r="48" spans="1:23" ht="25">
      <c r="A48" s="180" t="s">
        <v>294</v>
      </c>
      <c r="B48" s="166" t="s">
        <v>191</v>
      </c>
      <c r="C48" s="191" t="str">
        <f t="shared" ca="1" si="15"/>
        <v>Lone Star South - Pittsburg 138 kV - Replace Wavetraps, reset CT's and Relays</v>
      </c>
      <c r="D48" s="182">
        <f t="shared" ca="1" si="15"/>
        <v>2012</v>
      </c>
      <c r="E48" s="183">
        <v>0</v>
      </c>
      <c r="F48" s="184">
        <f t="shared" ca="1" si="15"/>
        <v>0</v>
      </c>
      <c r="G48" s="184">
        <f t="shared" ca="1" si="18"/>
        <v>0</v>
      </c>
      <c r="H48" s="168"/>
      <c r="I48" s="185">
        <f t="shared" ca="1" si="7"/>
        <v>979.52566129226034</v>
      </c>
      <c r="J48" s="186">
        <v>24139.818187699871</v>
      </c>
      <c r="K48" s="186">
        <f t="shared" si="2"/>
        <v>25725.234139686199</v>
      </c>
      <c r="L48" s="183">
        <f t="shared" si="19"/>
        <v>-1585.4159519863279</v>
      </c>
      <c r="M48" s="183"/>
      <c r="N48" s="184">
        <v>0</v>
      </c>
      <c r="O48" s="184">
        <v>0</v>
      </c>
      <c r="P48" s="184">
        <f t="shared" si="20"/>
        <v>0</v>
      </c>
      <c r="Q48" s="183">
        <f t="shared" ca="1" si="5"/>
        <v>480.40976286057389</v>
      </c>
      <c r="R48" s="187">
        <f t="shared" ca="1" si="21"/>
        <v>-125.48052783349362</v>
      </c>
      <c r="S48" s="192" t="s">
        <v>266</v>
      </c>
      <c r="T48" s="190">
        <f t="shared" ca="1" si="22"/>
        <v>-125.48052783349362</v>
      </c>
      <c r="U48" s="464">
        <v>0</v>
      </c>
      <c r="V48" s="189">
        <f t="shared" ca="1" si="23"/>
        <v>-605.89029069406752</v>
      </c>
      <c r="W48" t="str">
        <f t="shared" si="24"/>
        <v>S.031</v>
      </c>
    </row>
    <row r="49" spans="1:23" ht="13">
      <c r="A49" s="180" t="s">
        <v>295</v>
      </c>
      <c r="B49" s="166" t="s">
        <v>191</v>
      </c>
      <c r="C49" s="191" t="str">
        <f t="shared" ca="1" si="15"/>
        <v>Howell-Kilgore 69 kV rebuild</v>
      </c>
      <c r="D49" s="182">
        <f t="shared" ca="1" si="15"/>
        <v>2012</v>
      </c>
      <c r="E49" s="183">
        <v>0</v>
      </c>
      <c r="F49" s="184">
        <f t="shared" ca="1" si="15"/>
        <v>0</v>
      </c>
      <c r="G49" s="184">
        <f t="shared" ca="1" si="18"/>
        <v>0</v>
      </c>
      <c r="H49" s="168"/>
      <c r="I49" s="185">
        <f t="shared" ca="1" si="7"/>
        <v>16122.750415777788</v>
      </c>
      <c r="J49" s="186">
        <v>436660.62931238656</v>
      </c>
      <c r="K49" s="186">
        <f t="shared" si="2"/>
        <v>465338.92017329263</v>
      </c>
      <c r="L49" s="183">
        <f t="shared" si="19"/>
        <v>-28678.290860906069</v>
      </c>
      <c r="M49" s="183"/>
      <c r="N49" s="184">
        <v>0</v>
      </c>
      <c r="O49" s="184">
        <v>0</v>
      </c>
      <c r="P49" s="184">
        <f t="shared" si="20"/>
        <v>0</v>
      </c>
      <c r="Q49" s="183">
        <f t="shared" ca="1" si="5"/>
        <v>9955.2745777140426</v>
      </c>
      <c r="R49" s="187">
        <f t="shared" ca="1" si="21"/>
        <v>-2600.2658674142385</v>
      </c>
      <c r="S49" s="192" t="s">
        <v>266</v>
      </c>
      <c r="T49" s="190">
        <f t="shared" ca="1" si="22"/>
        <v>-2600.2658674142385</v>
      </c>
      <c r="U49" s="464">
        <v>0</v>
      </c>
      <c r="V49" s="189">
        <f t="shared" ca="1" si="23"/>
        <v>-12555.540445128281</v>
      </c>
      <c r="W49" t="str">
        <f t="shared" si="24"/>
        <v>S.032</v>
      </c>
    </row>
    <row r="50" spans="1:23" ht="13">
      <c r="A50" s="180" t="s">
        <v>296</v>
      </c>
      <c r="B50" s="166" t="s">
        <v>191</v>
      </c>
      <c r="C50" s="191" t="str">
        <f t="shared" ca="1" si="15"/>
        <v xml:space="preserve"> Flint Creek-Shipe Road 345 kV Line</v>
      </c>
      <c r="D50" s="182">
        <f t="shared" ca="1" si="15"/>
        <v>2012</v>
      </c>
      <c r="E50" s="183">
        <v>0</v>
      </c>
      <c r="F50" s="184">
        <f t="shared" ca="1" si="15"/>
        <v>0</v>
      </c>
      <c r="G50" s="184">
        <f t="shared" ca="1" si="18"/>
        <v>0</v>
      </c>
      <c r="H50" s="168"/>
      <c r="I50" s="185">
        <f t="shared" ca="1" si="7"/>
        <v>238869.81101906579</v>
      </c>
      <c r="J50" s="186">
        <v>6426145.2303701257</v>
      </c>
      <c r="K50" s="186">
        <f t="shared" ref="K50:K81" si="25">J50/J$96*K$96</f>
        <v>6848191.2076343987</v>
      </c>
      <c r="L50" s="183">
        <f t="shared" si="19"/>
        <v>-422045.97726427298</v>
      </c>
      <c r="M50" s="183"/>
      <c r="N50" s="184">
        <v>0</v>
      </c>
      <c r="O50" s="184">
        <v>0</v>
      </c>
      <c r="P50" s="184">
        <f t="shared" si="20"/>
        <v>0</v>
      </c>
      <c r="Q50" s="183">
        <f t="shared" ref="Q50:Q81" ca="1" si="26">+V50/$V$96 * $Q$96</f>
        <v>145240.18611812138</v>
      </c>
      <c r="R50" s="187">
        <f t="shared" ca="1" si="21"/>
        <v>-37935.980127085815</v>
      </c>
      <c r="S50" s="192" t="s">
        <v>266</v>
      </c>
      <c r="T50" s="190">
        <f t="shared" ca="1" si="22"/>
        <v>-37935.980127085815</v>
      </c>
      <c r="U50" s="464">
        <v>0</v>
      </c>
      <c r="V50" s="189">
        <f t="shared" ca="1" si="23"/>
        <v>-183176.16624520719</v>
      </c>
      <c r="W50" t="str">
        <f t="shared" si="24"/>
        <v>S.033</v>
      </c>
    </row>
    <row r="51" spans="1:23" ht="13">
      <c r="A51" s="180" t="s">
        <v>306</v>
      </c>
      <c r="B51" s="166" t="s">
        <v>191</v>
      </c>
      <c r="C51" s="191" t="str">
        <f t="shared" ca="1" si="15"/>
        <v>Bann - LS Ordnance - Hooks 69 kV - Rebuild 7.1 mi</v>
      </c>
      <c r="D51" s="182">
        <f t="shared" ca="1" si="15"/>
        <v>2013</v>
      </c>
      <c r="E51" s="183">
        <v>0</v>
      </c>
      <c r="F51" s="184">
        <f t="shared" ca="1" si="15"/>
        <v>0</v>
      </c>
      <c r="G51" s="184">
        <f t="shared" ref="G51:G60" ca="1" si="27">+E51+F51</f>
        <v>0</v>
      </c>
      <c r="H51" s="168"/>
      <c r="I51" s="185">
        <f t="shared" ca="1" si="7"/>
        <v>34090.299905829597</v>
      </c>
      <c r="J51" s="186">
        <v>923225.17572562839</v>
      </c>
      <c r="K51" s="186">
        <f t="shared" si="25"/>
        <v>983859.26623491815</v>
      </c>
      <c r="L51" s="183">
        <f t="shared" ref="L51:L60" si="28">+J51-K51</f>
        <v>-60634.090509289759</v>
      </c>
      <c r="M51" s="183"/>
      <c r="N51" s="184">
        <v>0</v>
      </c>
      <c r="O51" s="184">
        <v>0</v>
      </c>
      <c r="P51" s="184">
        <f t="shared" ref="P51:P60" si="29">+N51-O51</f>
        <v>0</v>
      </c>
      <c r="Q51" s="183">
        <f t="shared" ca="1" si="26"/>
        <v>21046.543153251892</v>
      </c>
      <c r="R51" s="187">
        <f t="shared" ref="R51:R60" ca="1" si="30">I51+L51+P51+Q51</f>
        <v>-5497.2474502082696</v>
      </c>
      <c r="S51" s="192" t="s">
        <v>266</v>
      </c>
      <c r="T51" s="190">
        <f t="shared" ref="T51:T60" ca="1" si="31">+G51+R51</f>
        <v>-5497.2474502082696</v>
      </c>
      <c r="U51" s="464">
        <v>0</v>
      </c>
      <c r="V51" s="189">
        <f t="shared" ref="V51:V60" ca="1" si="32">+I51+L51+P51</f>
        <v>-26543.790603460162</v>
      </c>
      <c r="W51" t="str">
        <f t="shared" ref="W51:W60" si="33">A51</f>
        <v>S.034</v>
      </c>
    </row>
    <row r="52" spans="1:23" ht="13">
      <c r="A52" s="180" t="s">
        <v>307</v>
      </c>
      <c r="B52" s="166" t="s">
        <v>191</v>
      </c>
      <c r="C52" s="191" t="str">
        <f t="shared" ca="1" si="15"/>
        <v>Diana - Replace North Autotransformer #3</v>
      </c>
      <c r="D52" s="182">
        <f t="shared" ca="1" si="15"/>
        <v>2013</v>
      </c>
      <c r="E52" s="183">
        <v>0</v>
      </c>
      <c r="F52" s="184">
        <f t="shared" ca="1" si="15"/>
        <v>0</v>
      </c>
      <c r="G52" s="184">
        <f t="shared" ca="1" si="27"/>
        <v>0</v>
      </c>
      <c r="H52" s="168"/>
      <c r="I52" s="185">
        <f t="shared" ca="1" si="7"/>
        <v>16749.086235474213</v>
      </c>
      <c r="J52" s="186">
        <v>466452.38173266267</v>
      </c>
      <c r="K52" s="186">
        <f t="shared" si="25"/>
        <v>497087.28714457643</v>
      </c>
      <c r="L52" s="183">
        <f t="shared" si="28"/>
        <v>-30634.905411913758</v>
      </c>
      <c r="M52" s="183"/>
      <c r="N52" s="184">
        <v>0</v>
      </c>
      <c r="O52" s="184">
        <v>0</v>
      </c>
      <c r="P52" s="184">
        <f t="shared" si="29"/>
        <v>0</v>
      </c>
      <c r="Q52" s="183">
        <f t="shared" ca="1" si="26"/>
        <v>11010.051159652043</v>
      </c>
      <c r="R52" s="187">
        <f t="shared" ca="1" si="30"/>
        <v>-2875.7680167875023</v>
      </c>
      <c r="S52" s="192" t="s">
        <v>266</v>
      </c>
      <c r="T52" s="190">
        <f t="shared" ca="1" si="31"/>
        <v>-2875.7680167875023</v>
      </c>
      <c r="U52" s="464">
        <v>0</v>
      </c>
      <c r="V52" s="189">
        <f t="shared" ca="1" si="32"/>
        <v>-13885.819176439545</v>
      </c>
      <c r="W52" t="str">
        <f t="shared" si="33"/>
        <v>S.035</v>
      </c>
    </row>
    <row r="53" spans="1:23" ht="13">
      <c r="A53" s="180" t="s">
        <v>308</v>
      </c>
      <c r="B53" s="166" t="s">
        <v>191</v>
      </c>
      <c r="C53" s="191" t="str">
        <f t="shared" ca="1" si="15"/>
        <v>Osburn 161 kV Line Work</v>
      </c>
      <c r="D53" s="182">
        <f t="shared" ca="1" si="15"/>
        <v>2013</v>
      </c>
      <c r="E53" s="183">
        <v>0</v>
      </c>
      <c r="F53" s="184">
        <f t="shared" ca="1" si="15"/>
        <v>0</v>
      </c>
      <c r="G53" s="184">
        <f t="shared" ca="1" si="27"/>
        <v>0</v>
      </c>
      <c r="H53" s="168"/>
      <c r="I53" s="185">
        <f t="shared" ca="1" si="7"/>
        <v>14946.481427488266</v>
      </c>
      <c r="J53" s="186">
        <v>690587.45785046753</v>
      </c>
      <c r="K53" s="186">
        <f t="shared" si="25"/>
        <v>735942.7444315278</v>
      </c>
      <c r="L53" s="183">
        <f t="shared" si="28"/>
        <v>-45355.286581060267</v>
      </c>
      <c r="M53" s="183"/>
      <c r="N53" s="184">
        <v>0</v>
      </c>
      <c r="O53" s="184">
        <v>0</v>
      </c>
      <c r="P53" s="184">
        <f t="shared" si="29"/>
        <v>0</v>
      </c>
      <c r="Q53" s="183">
        <f t="shared" ca="1" si="26"/>
        <v>24111.109052376763</v>
      </c>
      <c r="R53" s="187">
        <f t="shared" ca="1" si="30"/>
        <v>-6297.6961011952371</v>
      </c>
      <c r="S53" s="192" t="s">
        <v>266</v>
      </c>
      <c r="T53" s="190">
        <f t="shared" ca="1" si="31"/>
        <v>-6297.6961011952371</v>
      </c>
      <c r="U53" s="464">
        <v>0</v>
      </c>
      <c r="V53" s="189">
        <f t="shared" ca="1" si="32"/>
        <v>-30408.805153572001</v>
      </c>
      <c r="W53" t="str">
        <f t="shared" si="33"/>
        <v>S.036</v>
      </c>
    </row>
    <row r="54" spans="1:23" ht="25">
      <c r="A54" s="180" t="s">
        <v>309</v>
      </c>
      <c r="B54" s="166" t="s">
        <v>191</v>
      </c>
      <c r="C54" s="191" t="str">
        <f t="shared" ca="1" si="15"/>
        <v>SW Shreveport to Spring Ridge REC 138 kV Line Rebuild</v>
      </c>
      <c r="D54" s="182">
        <f t="shared" ca="1" si="15"/>
        <v>2013</v>
      </c>
      <c r="E54" s="183">
        <v>0</v>
      </c>
      <c r="F54" s="184">
        <f t="shared" ca="1" si="15"/>
        <v>0</v>
      </c>
      <c r="G54" s="184">
        <f t="shared" ca="1" si="27"/>
        <v>0</v>
      </c>
      <c r="H54" s="168"/>
      <c r="I54" s="185">
        <f t="shared" ca="1" si="7"/>
        <v>19711.080785051337</v>
      </c>
      <c r="J54" s="186">
        <v>542015.21942122886</v>
      </c>
      <c r="K54" s="186">
        <f t="shared" si="25"/>
        <v>577612.81872409536</v>
      </c>
      <c r="L54" s="183">
        <f t="shared" si="28"/>
        <v>-35597.599302866496</v>
      </c>
      <c r="M54" s="183"/>
      <c r="N54" s="184">
        <v>0</v>
      </c>
      <c r="O54" s="184">
        <v>0</v>
      </c>
      <c r="P54" s="184">
        <f t="shared" si="29"/>
        <v>0</v>
      </c>
      <c r="Q54" s="183">
        <f t="shared" ca="1" si="26"/>
        <v>12596.403525596921</v>
      </c>
      <c r="R54" s="187">
        <f t="shared" ca="1" si="30"/>
        <v>-3290.1149922182376</v>
      </c>
      <c r="S54" s="192" t="s">
        <v>266</v>
      </c>
      <c r="T54" s="190">
        <f t="shared" ca="1" si="31"/>
        <v>-3290.1149922182376</v>
      </c>
      <c r="U54" s="464">
        <v>0</v>
      </c>
      <c r="V54" s="189">
        <f t="shared" ca="1" si="32"/>
        <v>-15886.518517815159</v>
      </c>
      <c r="W54" t="str">
        <f t="shared" si="33"/>
        <v>S.037</v>
      </c>
    </row>
    <row r="55" spans="1:23" ht="25">
      <c r="A55" s="180" t="s">
        <v>310</v>
      </c>
      <c r="B55" s="166" t="s">
        <v>191</v>
      </c>
      <c r="C55" s="191" t="str">
        <f t="shared" ca="1" si="15"/>
        <v>Eastex Switching Station - Whitney 138 kV Station - Rebuild 2.5 miles of 138 Kv</v>
      </c>
      <c r="D55" s="182">
        <f t="shared" ca="1" si="15"/>
        <v>2013</v>
      </c>
      <c r="E55" s="183">
        <v>0</v>
      </c>
      <c r="F55" s="184">
        <f t="shared" ca="1" si="15"/>
        <v>0</v>
      </c>
      <c r="G55" s="184">
        <f t="shared" ca="1" si="27"/>
        <v>0</v>
      </c>
      <c r="H55" s="168"/>
      <c r="I55" s="185">
        <f t="shared" ca="1" si="7"/>
        <v>11290.030005345237</v>
      </c>
      <c r="J55" s="186">
        <v>283105.5255808658</v>
      </c>
      <c r="K55" s="186">
        <f t="shared" si="25"/>
        <v>301698.87259207398</v>
      </c>
      <c r="L55" s="183">
        <f t="shared" si="28"/>
        <v>-18593.347011208185</v>
      </c>
      <c r="M55" s="183"/>
      <c r="N55" s="184">
        <v>0</v>
      </c>
      <c r="O55" s="184">
        <v>0</v>
      </c>
      <c r="P55" s="184">
        <f t="shared" si="29"/>
        <v>0</v>
      </c>
      <c r="Q55" s="183">
        <f t="shared" ca="1" si="26"/>
        <v>5790.7922354441662</v>
      </c>
      <c r="R55" s="187">
        <f t="shared" ca="1" si="30"/>
        <v>-1512.5247704187814</v>
      </c>
      <c r="S55" s="192" t="s">
        <v>266</v>
      </c>
      <c r="T55" s="190">
        <f t="shared" ca="1" si="31"/>
        <v>-1512.5247704187814</v>
      </c>
      <c r="U55" s="464">
        <v>0</v>
      </c>
      <c r="V55" s="189">
        <f t="shared" ca="1" si="32"/>
        <v>-7303.3170058629476</v>
      </c>
      <c r="W55" t="str">
        <f t="shared" si="33"/>
        <v>S.038</v>
      </c>
    </row>
    <row r="56" spans="1:23" ht="25">
      <c r="A56" s="194" t="s">
        <v>320</v>
      </c>
      <c r="B56" s="166" t="s">
        <v>191</v>
      </c>
      <c r="C56" s="191" t="str">
        <f t="shared" ca="1" si="15"/>
        <v>Ashdown West - Craig Junction 138KV Rebuild (tie w/PSO)</v>
      </c>
      <c r="D56" s="182">
        <f t="shared" ca="1" si="15"/>
        <v>2013</v>
      </c>
      <c r="E56" s="183">
        <v>0</v>
      </c>
      <c r="F56" s="184">
        <f t="shared" ca="1" si="15"/>
        <v>0</v>
      </c>
      <c r="G56" s="184">
        <f t="shared" ca="1" si="27"/>
        <v>0</v>
      </c>
      <c r="H56" s="168"/>
      <c r="I56" s="185">
        <f t="shared" ca="1" si="7"/>
        <v>17245.025289027952</v>
      </c>
      <c r="J56" s="186">
        <v>459483.23518961505</v>
      </c>
      <c r="K56" s="186">
        <f t="shared" si="25"/>
        <v>489660.43226192298</v>
      </c>
      <c r="L56" s="183">
        <f t="shared" si="28"/>
        <v>-30177.197072307928</v>
      </c>
      <c r="M56" s="183"/>
      <c r="N56" s="184">
        <v>0</v>
      </c>
      <c r="O56" s="184">
        <v>0</v>
      </c>
      <c r="P56" s="184">
        <f t="shared" si="29"/>
        <v>0</v>
      </c>
      <c r="Q56" s="183">
        <f t="shared" ca="1" si="26"/>
        <v>10253.905162535011</v>
      </c>
      <c r="R56" s="187">
        <f t="shared" ca="1" si="30"/>
        <v>-2678.2666207449656</v>
      </c>
      <c r="S56" s="192" t="s">
        <v>266</v>
      </c>
      <c r="T56" s="190">
        <f t="shared" ca="1" si="31"/>
        <v>-2678.2666207449656</v>
      </c>
      <c r="U56" s="464">
        <v>0</v>
      </c>
      <c r="V56" s="189">
        <f t="shared" ca="1" si="32"/>
        <v>-12932.171783279977</v>
      </c>
      <c r="W56" t="str">
        <f t="shared" si="33"/>
        <v>S.039</v>
      </c>
    </row>
    <row r="57" spans="1:23" ht="13">
      <c r="A57" s="194" t="s">
        <v>321</v>
      </c>
      <c r="B57" s="166" t="s">
        <v>191</v>
      </c>
      <c r="C57" s="191" t="str">
        <f t="shared" ca="1" si="15"/>
        <v xml:space="preserve">Rock Hill to Carthage 69 kV Rebuild 11.4 Miles </v>
      </c>
      <c r="D57" s="182">
        <f t="shared" ca="1" si="15"/>
        <v>2014</v>
      </c>
      <c r="E57" s="183">
        <v>0</v>
      </c>
      <c r="F57" s="184">
        <f t="shared" ca="1" si="15"/>
        <v>0</v>
      </c>
      <c r="G57" s="184">
        <f t="shared" ca="1" si="27"/>
        <v>0</v>
      </c>
      <c r="H57" s="168"/>
      <c r="I57" s="185">
        <f t="shared" ca="1" si="7"/>
        <v>39676.652160895057</v>
      </c>
      <c r="J57" s="186">
        <v>1057065.9534677749</v>
      </c>
      <c r="K57" s="186">
        <f t="shared" si="25"/>
        <v>1126490.2221966661</v>
      </c>
      <c r="L57" s="183">
        <f t="shared" si="28"/>
        <v>-69424.268728891155</v>
      </c>
      <c r="M57" s="183"/>
      <c r="N57" s="184">
        <v>0</v>
      </c>
      <c r="O57" s="184">
        <v>0</v>
      </c>
      <c r="P57" s="184">
        <f t="shared" si="29"/>
        <v>0</v>
      </c>
      <c r="Q57" s="183">
        <f t="shared" ca="1" si="26"/>
        <v>23586.853330703507</v>
      </c>
      <c r="R57" s="187">
        <f t="shared" ca="1" si="30"/>
        <v>-6160.7632372925909</v>
      </c>
      <c r="S57" s="192" t="s">
        <v>266</v>
      </c>
      <c r="T57" s="190">
        <f t="shared" ca="1" si="31"/>
        <v>-6160.7632372925909</v>
      </c>
      <c r="U57" s="464">
        <v>0</v>
      </c>
      <c r="V57" s="189">
        <f t="shared" ca="1" si="32"/>
        <v>-29747.616567996098</v>
      </c>
      <c r="W57" t="str">
        <f t="shared" si="33"/>
        <v>S.040</v>
      </c>
    </row>
    <row r="58" spans="1:23" ht="13">
      <c r="A58" s="194" t="s">
        <v>322</v>
      </c>
      <c r="B58" s="166" t="s">
        <v>191</v>
      </c>
      <c r="C58" s="191" t="str">
        <f t="shared" ref="C58:F77" ca="1" si="34">INDIRECT("'"&amp; $A58 &amp; "'!" &amp;C$103)</f>
        <v>Broadmoor to Fern Street 69 kV Rebuild 1 mile</v>
      </c>
      <c r="D58" s="182">
        <f t="shared" ca="1" si="34"/>
        <v>2014</v>
      </c>
      <c r="E58" s="183">
        <v>0</v>
      </c>
      <c r="F58" s="184">
        <f t="shared" ca="1" si="34"/>
        <v>0</v>
      </c>
      <c r="G58" s="184">
        <f t="shared" ca="1" si="27"/>
        <v>0</v>
      </c>
      <c r="H58" s="168"/>
      <c r="I58" s="185">
        <f t="shared" ca="1" si="7"/>
        <v>20663.250155500602</v>
      </c>
      <c r="J58" s="186">
        <v>543314.27111948398</v>
      </c>
      <c r="K58" s="186">
        <f t="shared" si="25"/>
        <v>578997.18743960606</v>
      </c>
      <c r="L58" s="183">
        <f t="shared" si="28"/>
        <v>-35682.91632012208</v>
      </c>
      <c r="M58" s="183"/>
      <c r="N58" s="184">
        <v>0</v>
      </c>
      <c r="O58" s="184">
        <v>0</v>
      </c>
      <c r="P58" s="184">
        <f t="shared" si="29"/>
        <v>0</v>
      </c>
      <c r="Q58" s="183">
        <f t="shared" ca="1" si="26"/>
        <v>11909.077222751146</v>
      </c>
      <c r="R58" s="187">
        <f t="shared" ca="1" si="30"/>
        <v>-3110.5889418703318</v>
      </c>
      <c r="S58" s="192" t="s">
        <v>266</v>
      </c>
      <c r="T58" s="190">
        <f t="shared" ca="1" si="31"/>
        <v>-3110.5889418703318</v>
      </c>
      <c r="U58" s="464">
        <v>0</v>
      </c>
      <c r="V58" s="189">
        <f t="shared" ca="1" si="32"/>
        <v>-15019.666164621478</v>
      </c>
      <c r="W58" t="str">
        <f t="shared" si="33"/>
        <v>S.041</v>
      </c>
    </row>
    <row r="59" spans="1:23" ht="25.5" customHeight="1">
      <c r="A59" s="194" t="s">
        <v>323</v>
      </c>
      <c r="B59" s="166" t="s">
        <v>191</v>
      </c>
      <c r="C59" s="191" t="str">
        <f t="shared" ca="1" si="34"/>
        <v>Northwest Henderson to Poynter 69 kV Rebuild 3.2 miles</v>
      </c>
      <c r="D59" s="182">
        <f t="shared" ca="1" si="34"/>
        <v>2014</v>
      </c>
      <c r="E59" s="183">
        <v>0</v>
      </c>
      <c r="F59" s="184">
        <f t="shared" ca="1" si="34"/>
        <v>0</v>
      </c>
      <c r="G59" s="184">
        <f t="shared" ca="1" si="27"/>
        <v>0</v>
      </c>
      <c r="H59" s="168"/>
      <c r="I59" s="185">
        <f t="shared" ca="1" si="7"/>
        <v>20876.976300543756</v>
      </c>
      <c r="J59" s="186">
        <v>582535.89545892982</v>
      </c>
      <c r="K59" s="186">
        <f t="shared" si="25"/>
        <v>620794.74621265323</v>
      </c>
      <c r="L59" s="183">
        <f t="shared" si="28"/>
        <v>-38258.850753723411</v>
      </c>
      <c r="M59" s="183"/>
      <c r="N59" s="184">
        <v>0</v>
      </c>
      <c r="O59" s="184">
        <v>0</v>
      </c>
      <c r="P59" s="184">
        <f t="shared" si="29"/>
        <v>0</v>
      </c>
      <c r="Q59" s="183">
        <f t="shared" ca="1" si="26"/>
        <v>13782.069645906717</v>
      </c>
      <c r="R59" s="187">
        <f t="shared" ca="1" si="30"/>
        <v>-3599.804807272938</v>
      </c>
      <c r="S59" s="192" t="s">
        <v>266</v>
      </c>
      <c r="T59" s="190">
        <f t="shared" ca="1" si="31"/>
        <v>-3599.804807272938</v>
      </c>
      <c r="U59" s="464">
        <v>0</v>
      </c>
      <c r="V59" s="189">
        <f t="shared" ca="1" si="32"/>
        <v>-17381.874453179655</v>
      </c>
      <c r="W59" t="str">
        <f t="shared" si="33"/>
        <v>S.042</v>
      </c>
    </row>
    <row r="60" spans="1:23" ht="28.5" customHeight="1">
      <c r="A60" s="194" t="s">
        <v>324</v>
      </c>
      <c r="B60" s="166" t="s">
        <v>191</v>
      </c>
      <c r="C60" s="191" t="str">
        <f t="shared" ca="1" si="34"/>
        <v>Diana to Perdue 138 kV Rebuild 21.8 miles; Station Upgrades at Diana and Perdue</v>
      </c>
      <c r="D60" s="182">
        <f t="shared" ca="1" si="34"/>
        <v>2014</v>
      </c>
      <c r="E60" s="183">
        <v>0</v>
      </c>
      <c r="F60" s="184">
        <f t="shared" ca="1" si="34"/>
        <v>0</v>
      </c>
      <c r="G60" s="184">
        <f t="shared" ca="1" si="27"/>
        <v>0</v>
      </c>
      <c r="H60" s="168"/>
      <c r="I60" s="185">
        <f t="shared" ca="1" si="7"/>
        <v>63441.260197494878</v>
      </c>
      <c r="J60" s="186">
        <v>1658275.5464853691</v>
      </c>
      <c r="K60" s="186">
        <f t="shared" si="25"/>
        <v>1767185.0868863964</v>
      </c>
      <c r="L60" s="183">
        <f t="shared" si="28"/>
        <v>-108909.54040102731</v>
      </c>
      <c r="M60" s="183"/>
      <c r="N60" s="184">
        <v>0</v>
      </c>
      <c r="O60" s="184">
        <v>0</v>
      </c>
      <c r="P60" s="184">
        <f t="shared" si="29"/>
        <v>0</v>
      </c>
      <c r="Q60" s="183">
        <f t="shared" ca="1" si="26"/>
        <v>36051.750697696094</v>
      </c>
      <c r="R60" s="187">
        <f t="shared" ca="1" si="30"/>
        <v>-9416.5295058363336</v>
      </c>
      <c r="S60" s="192" t="s">
        <v>266</v>
      </c>
      <c r="T60" s="190">
        <f t="shared" ca="1" si="31"/>
        <v>-9416.5295058363336</v>
      </c>
      <c r="U60" s="464">
        <v>0</v>
      </c>
      <c r="V60" s="189">
        <f t="shared" ca="1" si="32"/>
        <v>-45468.280203532428</v>
      </c>
      <c r="W60" t="str">
        <f t="shared" si="33"/>
        <v>S.043</v>
      </c>
    </row>
    <row r="61" spans="1:23" ht="17.25" customHeight="1">
      <c r="A61" s="194" t="s">
        <v>347</v>
      </c>
      <c r="B61" s="166" t="s">
        <v>191</v>
      </c>
      <c r="C61" s="191" t="str">
        <f t="shared" ca="1" si="34"/>
        <v>Pittsburg-Winnsboro-North Mineola</v>
      </c>
      <c r="D61" s="182">
        <f t="shared" ca="1" si="34"/>
        <v>2007</v>
      </c>
      <c r="E61" s="183">
        <v>0</v>
      </c>
      <c r="F61" s="184">
        <f t="shared" ca="1" si="34"/>
        <v>0</v>
      </c>
      <c r="G61" s="184">
        <f t="shared" ref="G61:G71" ca="1" si="35">+E61+F61</f>
        <v>0</v>
      </c>
      <c r="H61" s="168"/>
      <c r="I61" s="185">
        <f t="shared" ca="1" si="7"/>
        <v>723956.25750753749</v>
      </c>
      <c r="J61" s="186">
        <v>3306948.9603663096</v>
      </c>
      <c r="K61" s="186">
        <f t="shared" si="25"/>
        <v>3524137.4078269792</v>
      </c>
      <c r="L61" s="183">
        <f t="shared" ref="L61:L71" si="36">+J61-K61</f>
        <v>-217188.44746066956</v>
      </c>
      <c r="M61" s="183"/>
      <c r="N61" s="184">
        <v>0</v>
      </c>
      <c r="O61" s="184">
        <v>0</v>
      </c>
      <c r="P61" s="184">
        <f t="shared" ref="P61:P71" si="37">+N61-O61</f>
        <v>0</v>
      </c>
      <c r="Q61" s="183">
        <f t="shared" ca="1" si="26"/>
        <v>-401815.65407014691</v>
      </c>
      <c r="R61" s="187">
        <f t="shared" ref="R61:R71" ca="1" si="38">I61+L61+P61+Q61</f>
        <v>104952.15597672103</v>
      </c>
      <c r="S61" s="192" t="s">
        <v>266</v>
      </c>
      <c r="T61" s="190">
        <f t="shared" ref="T61:T70" ca="1" si="39">+G61+R61</f>
        <v>104952.15597672103</v>
      </c>
      <c r="U61" s="464">
        <v>0</v>
      </c>
      <c r="V61" s="189">
        <f t="shared" ref="V61:V71" ca="1" si="40">+I61+L61+P61</f>
        <v>506767.81004686793</v>
      </c>
      <c r="W61" t="str">
        <f t="shared" ref="W61:W71" si="41">A61</f>
        <v>S.044</v>
      </c>
    </row>
    <row r="62" spans="1:23" ht="17.25" customHeight="1">
      <c r="A62" s="194" t="s">
        <v>348</v>
      </c>
      <c r="B62" s="166" t="s">
        <v>191</v>
      </c>
      <c r="C62" s="191" t="str">
        <f t="shared" ca="1" si="34"/>
        <v>CHAMBER SPRINGS - TONTITOWN 161KV CKT 1</v>
      </c>
      <c r="D62" s="182">
        <f t="shared" ca="1" si="34"/>
        <v>2007</v>
      </c>
      <c r="E62" s="183">
        <v>0</v>
      </c>
      <c r="F62" s="184">
        <f t="shared" ca="1" si="34"/>
        <v>0</v>
      </c>
      <c r="G62" s="184">
        <f t="shared" ca="1" si="35"/>
        <v>0</v>
      </c>
      <c r="H62" s="168"/>
      <c r="I62" s="185">
        <f t="shared" ca="1" si="7"/>
        <v>71289.707208938518</v>
      </c>
      <c r="J62" s="186">
        <v>302549.85798063729</v>
      </c>
      <c r="K62" s="186">
        <f t="shared" si="25"/>
        <v>322420.23841946386</v>
      </c>
      <c r="L62" s="183">
        <f t="shared" si="36"/>
        <v>-19870.380438826571</v>
      </c>
      <c r="M62" s="183"/>
      <c r="N62" s="184">
        <v>0</v>
      </c>
      <c r="O62" s="184">
        <v>0</v>
      </c>
      <c r="P62" s="184">
        <f t="shared" si="37"/>
        <v>0</v>
      </c>
      <c r="Q62" s="183">
        <f t="shared" ca="1" si="26"/>
        <v>-40770.329149494173</v>
      </c>
      <c r="R62" s="187">
        <f t="shared" ca="1" si="38"/>
        <v>10648.997620617774</v>
      </c>
      <c r="S62" s="192" t="s">
        <v>266</v>
      </c>
      <c r="T62" s="190">
        <f t="shared" ca="1" si="39"/>
        <v>10648.997620617774</v>
      </c>
      <c r="U62" s="464">
        <v>0</v>
      </c>
      <c r="V62" s="189">
        <f t="shared" ca="1" si="40"/>
        <v>51419.326770111948</v>
      </c>
      <c r="W62" t="str">
        <f t="shared" si="41"/>
        <v>S.045</v>
      </c>
    </row>
    <row r="63" spans="1:23" ht="17.25" customHeight="1">
      <c r="A63" s="194" t="s">
        <v>349</v>
      </c>
      <c r="B63" s="166" t="s">
        <v>191</v>
      </c>
      <c r="C63" s="191" t="str">
        <f t="shared" ca="1" si="34"/>
        <v>CHAMBER SPRINGS - TONTITOWN 345KV CKT 1</v>
      </c>
      <c r="D63" s="182">
        <f t="shared" ca="1" si="34"/>
        <v>2008</v>
      </c>
      <c r="E63" s="183">
        <v>0</v>
      </c>
      <c r="F63" s="184">
        <f t="shared" ca="1" si="34"/>
        <v>0</v>
      </c>
      <c r="G63" s="184">
        <f t="shared" ca="1" si="35"/>
        <v>0</v>
      </c>
      <c r="H63" s="168"/>
      <c r="I63" s="185">
        <f t="shared" ca="1" si="7"/>
        <v>382084.36864672741</v>
      </c>
      <c r="J63" s="186">
        <v>1851635.8707739497</v>
      </c>
      <c r="K63" s="186">
        <f t="shared" si="25"/>
        <v>1973244.6179471542</v>
      </c>
      <c r="L63" s="183">
        <f t="shared" si="36"/>
        <v>-121608.74717320455</v>
      </c>
      <c r="M63" s="183"/>
      <c r="N63" s="184">
        <v>0</v>
      </c>
      <c r="O63" s="184">
        <v>0</v>
      </c>
      <c r="P63" s="184">
        <f t="shared" si="37"/>
        <v>0</v>
      </c>
      <c r="Q63" s="183">
        <f t="shared" ca="1" si="26"/>
        <v>-206530.84141637155</v>
      </c>
      <c r="R63" s="187">
        <f t="shared" ca="1" si="38"/>
        <v>53944.780057151307</v>
      </c>
      <c r="S63" s="192" t="s">
        <v>266</v>
      </c>
      <c r="T63" s="190">
        <f t="shared" ca="1" si="39"/>
        <v>53944.780057151307</v>
      </c>
      <c r="U63" s="464">
        <v>0</v>
      </c>
      <c r="V63" s="189">
        <f t="shared" ca="1" si="40"/>
        <v>260475.62147352286</v>
      </c>
      <c r="W63" t="str">
        <f t="shared" si="41"/>
        <v>S.046</v>
      </c>
    </row>
    <row r="64" spans="1:23" ht="17.25" customHeight="1">
      <c r="A64" s="194" t="s">
        <v>350</v>
      </c>
      <c r="B64" s="166" t="s">
        <v>191</v>
      </c>
      <c r="C64" s="191" t="str">
        <f t="shared" ca="1" si="34"/>
        <v>FULTON - HOPE 115KV CKT 1</v>
      </c>
      <c r="D64" s="182">
        <f t="shared" ca="1" si="34"/>
        <v>2012</v>
      </c>
      <c r="E64" s="183">
        <v>0</v>
      </c>
      <c r="F64" s="184">
        <f t="shared" ca="1" si="34"/>
        <v>0</v>
      </c>
      <c r="G64" s="184">
        <f t="shared" ca="1" si="35"/>
        <v>0</v>
      </c>
      <c r="H64" s="168"/>
      <c r="I64" s="185">
        <f t="shared" ca="1" si="7"/>
        <v>9830.3008970095834</v>
      </c>
      <c r="J64" s="186">
        <v>88534.970347013354</v>
      </c>
      <c r="K64" s="186">
        <f t="shared" si="25"/>
        <v>94349.626994606209</v>
      </c>
      <c r="L64" s="183">
        <f t="shared" si="36"/>
        <v>-5814.6566475928557</v>
      </c>
      <c r="M64" s="183"/>
      <c r="N64" s="184">
        <v>0</v>
      </c>
      <c r="O64" s="184">
        <v>0</v>
      </c>
      <c r="P64" s="184">
        <f t="shared" si="37"/>
        <v>0</v>
      </c>
      <c r="Q64" s="183">
        <f t="shared" ca="1" si="26"/>
        <v>-3184.0000264483629</v>
      </c>
      <c r="R64" s="187">
        <f t="shared" ca="1" si="38"/>
        <v>831.64422296836483</v>
      </c>
      <c r="S64" s="192" t="s">
        <v>266</v>
      </c>
      <c r="T64" s="190">
        <f t="shared" ca="1" si="39"/>
        <v>831.64422296836483</v>
      </c>
      <c r="U64" s="464">
        <v>0</v>
      </c>
      <c r="V64" s="189">
        <f t="shared" ca="1" si="40"/>
        <v>4015.6442494167277</v>
      </c>
      <c r="W64" t="str">
        <f t="shared" si="41"/>
        <v>S.047</v>
      </c>
    </row>
    <row r="65" spans="1:23" ht="17.25" customHeight="1">
      <c r="A65" s="194" t="s">
        <v>351</v>
      </c>
      <c r="B65" s="166" t="s">
        <v>191</v>
      </c>
      <c r="C65" s="191" t="str">
        <f t="shared" ca="1" si="34"/>
        <v>MINEOLA - NORTH MINEOLA 69KV CKT 1</v>
      </c>
      <c r="D65" s="182">
        <f t="shared" ca="1" si="34"/>
        <v>2010</v>
      </c>
      <c r="E65" s="183">
        <v>0</v>
      </c>
      <c r="F65" s="184">
        <f t="shared" ca="1" si="34"/>
        <v>0</v>
      </c>
      <c r="G65" s="184">
        <f t="shared" ca="1" si="35"/>
        <v>0</v>
      </c>
      <c r="H65" s="168"/>
      <c r="I65" s="185">
        <f t="shared" ca="1" si="7"/>
        <v>2896.042197648314</v>
      </c>
      <c r="J65" s="186">
        <v>18102.352515202041</v>
      </c>
      <c r="K65" s="186">
        <f t="shared" si="25"/>
        <v>19291.249557546162</v>
      </c>
      <c r="L65" s="183">
        <f t="shared" si="36"/>
        <v>-1188.8970423441206</v>
      </c>
      <c r="M65" s="183"/>
      <c r="N65" s="184">
        <v>0</v>
      </c>
      <c r="O65" s="184">
        <v>0</v>
      </c>
      <c r="P65" s="184">
        <f t="shared" si="37"/>
        <v>0</v>
      </c>
      <c r="Q65" s="183">
        <f t="shared" ca="1" si="26"/>
        <v>-1353.5935660708142</v>
      </c>
      <c r="R65" s="187">
        <f t="shared" ca="1" si="38"/>
        <v>353.55158923337922</v>
      </c>
      <c r="S65" s="192" t="s">
        <v>266</v>
      </c>
      <c r="T65" s="190">
        <f t="shared" ca="1" si="39"/>
        <v>353.55158923337922</v>
      </c>
      <c r="U65" s="464">
        <v>0</v>
      </c>
      <c r="V65" s="189">
        <f t="shared" ca="1" si="40"/>
        <v>1707.1451553041934</v>
      </c>
      <c r="W65" t="str">
        <f t="shared" si="41"/>
        <v>S.048</v>
      </c>
    </row>
    <row r="66" spans="1:23" ht="17.25" customHeight="1">
      <c r="A66" s="194" t="s">
        <v>352</v>
      </c>
      <c r="B66" s="166" t="s">
        <v>191</v>
      </c>
      <c r="C66" s="191" t="str">
        <f t="shared" ca="1" si="34"/>
        <v xml:space="preserve">SUGAR HILL 138/69KV TRANSFORMER CKT 1 </v>
      </c>
      <c r="D66" s="182">
        <f t="shared" ca="1" si="34"/>
        <v>2010</v>
      </c>
      <c r="E66" s="183">
        <v>0</v>
      </c>
      <c r="F66" s="184">
        <f t="shared" ca="1" si="34"/>
        <v>0</v>
      </c>
      <c r="G66" s="184">
        <f t="shared" ca="1" si="35"/>
        <v>0</v>
      </c>
      <c r="H66" s="168"/>
      <c r="I66" s="185">
        <f t="shared" ca="1" si="7"/>
        <v>256.00480271735887</v>
      </c>
      <c r="J66" s="186">
        <v>2544.3712318715793</v>
      </c>
      <c r="K66" s="186">
        <f t="shared" si="25"/>
        <v>2711.4763321427868</v>
      </c>
      <c r="L66" s="183">
        <f t="shared" si="36"/>
        <v>-167.10510027120745</v>
      </c>
      <c r="M66" s="183"/>
      <c r="N66" s="184">
        <v>0</v>
      </c>
      <c r="O66" s="184">
        <v>0</v>
      </c>
      <c r="P66" s="184">
        <f t="shared" si="37"/>
        <v>0</v>
      </c>
      <c r="Q66" s="183">
        <f t="shared" ca="1" si="26"/>
        <v>-70.488478898725091</v>
      </c>
      <c r="R66" s="187">
        <f t="shared" ca="1" si="38"/>
        <v>18.411223547426331</v>
      </c>
      <c r="S66" s="192" t="s">
        <v>266</v>
      </c>
      <c r="T66" s="190">
        <f t="shared" ca="1" si="39"/>
        <v>18.411223547426331</v>
      </c>
      <c r="U66" s="464">
        <v>0</v>
      </c>
      <c r="V66" s="189">
        <f t="shared" ca="1" si="40"/>
        <v>88.899702446151423</v>
      </c>
      <c r="W66" t="str">
        <f t="shared" si="41"/>
        <v>S.049</v>
      </c>
    </row>
    <row r="67" spans="1:23" ht="17.25" customHeight="1">
      <c r="A67" s="194" t="s">
        <v>353</v>
      </c>
      <c r="B67" s="166" t="s">
        <v>191</v>
      </c>
      <c r="C67" s="191" t="str">
        <f t="shared" ca="1" si="34"/>
        <v>Dekalb-New Boston 69 kV</v>
      </c>
      <c r="D67" s="182">
        <f t="shared" ca="1" si="34"/>
        <v>2015</v>
      </c>
      <c r="E67" s="183">
        <v>0</v>
      </c>
      <c r="F67" s="184">
        <f t="shared" ca="1" si="34"/>
        <v>0</v>
      </c>
      <c r="G67" s="184">
        <f t="shared" ca="1" si="35"/>
        <v>0</v>
      </c>
      <c r="H67" s="168"/>
      <c r="I67" s="185">
        <f t="shared" ca="1" si="7"/>
        <v>67020.980205015745</v>
      </c>
      <c r="J67" s="186">
        <v>1801093.6302809638</v>
      </c>
      <c r="K67" s="186">
        <f t="shared" si="25"/>
        <v>1919382.9458949226</v>
      </c>
      <c r="L67" s="183">
        <f t="shared" si="36"/>
        <v>-118289.31561395875</v>
      </c>
      <c r="M67" s="183"/>
      <c r="N67" s="184">
        <v>0</v>
      </c>
      <c r="O67" s="184">
        <v>0</v>
      </c>
      <c r="P67" s="184">
        <f t="shared" si="37"/>
        <v>0</v>
      </c>
      <c r="Q67" s="183">
        <f t="shared" ca="1" si="26"/>
        <v>40650.608260865847</v>
      </c>
      <c r="R67" s="187">
        <f t="shared" ca="1" si="38"/>
        <v>-10617.72714807716</v>
      </c>
      <c r="S67" s="192" t="s">
        <v>266</v>
      </c>
      <c r="T67" s="190">
        <f t="shared" ca="1" si="39"/>
        <v>-10617.72714807716</v>
      </c>
      <c r="U67" s="464">
        <v>0</v>
      </c>
      <c r="V67" s="189">
        <f t="shared" ca="1" si="40"/>
        <v>-51268.335408943007</v>
      </c>
      <c r="W67" t="str">
        <f t="shared" si="41"/>
        <v>S.050</v>
      </c>
    </row>
    <row r="68" spans="1:23" ht="17.25" customHeight="1">
      <c r="A68" s="194" t="s">
        <v>354</v>
      </c>
      <c r="B68" s="166" t="s">
        <v>191</v>
      </c>
      <c r="C68" s="191" t="str">
        <f t="shared" ca="1" si="34"/>
        <v>Hardy Street-Waterworks 69 kV</v>
      </c>
      <c r="D68" s="182">
        <f t="shared" ca="1" si="34"/>
        <v>2015</v>
      </c>
      <c r="E68" s="183">
        <v>0</v>
      </c>
      <c r="F68" s="184">
        <f t="shared" ca="1" si="34"/>
        <v>0</v>
      </c>
      <c r="G68" s="184">
        <f t="shared" ca="1" si="35"/>
        <v>0</v>
      </c>
      <c r="H68" s="168"/>
      <c r="I68" s="185">
        <f t="shared" ca="1" si="7"/>
        <v>23033.498882679734</v>
      </c>
      <c r="J68" s="186">
        <v>631770.70774541306</v>
      </c>
      <c r="K68" s="186">
        <f t="shared" si="25"/>
        <v>673263.1229023604</v>
      </c>
      <c r="L68" s="183">
        <f t="shared" si="36"/>
        <v>-41492.415156947332</v>
      </c>
      <c r="M68" s="183"/>
      <c r="N68" s="184">
        <v>0</v>
      </c>
      <c r="O68" s="184">
        <v>0</v>
      </c>
      <c r="P68" s="184">
        <f t="shared" si="37"/>
        <v>0</v>
      </c>
      <c r="Q68" s="183">
        <f t="shared" ca="1" si="26"/>
        <v>14636.05495282929</v>
      </c>
      <c r="R68" s="187">
        <f t="shared" ca="1" si="38"/>
        <v>-3822.8613214383076</v>
      </c>
      <c r="S68" s="192" t="s">
        <v>266</v>
      </c>
      <c r="T68" s="190">
        <f t="shared" ca="1" si="39"/>
        <v>-3822.8613214383076</v>
      </c>
      <c r="U68" s="464">
        <v>0</v>
      </c>
      <c r="V68" s="189">
        <f t="shared" ca="1" si="40"/>
        <v>-18458.916274267598</v>
      </c>
      <c r="W68" t="str">
        <f t="shared" si="41"/>
        <v>S.051</v>
      </c>
    </row>
    <row r="69" spans="1:23" ht="17.25" customHeight="1">
      <c r="A69" s="194" t="s">
        <v>355</v>
      </c>
      <c r="B69" s="166" t="s">
        <v>191</v>
      </c>
      <c r="C69" s="191" t="str">
        <f t="shared" ca="1" si="34"/>
        <v>Red Oak (State Line)-North Huntington 69 kV</v>
      </c>
      <c r="D69" s="182">
        <f t="shared" ca="1" si="34"/>
        <v>2015</v>
      </c>
      <c r="E69" s="183">
        <v>0</v>
      </c>
      <c r="F69" s="184">
        <f t="shared" ca="1" si="34"/>
        <v>0</v>
      </c>
      <c r="G69" s="184">
        <f t="shared" ca="1" si="35"/>
        <v>0</v>
      </c>
      <c r="H69" s="168"/>
      <c r="I69" s="185">
        <f t="shared" ca="1" si="7"/>
        <v>51716.787278023548</v>
      </c>
      <c r="J69" s="186">
        <v>1357257.0239716277</v>
      </c>
      <c r="K69" s="186">
        <f t="shared" si="25"/>
        <v>1446396.7565089068</v>
      </c>
      <c r="L69" s="183">
        <f t="shared" si="36"/>
        <v>-89139.732537279138</v>
      </c>
      <c r="M69" s="183"/>
      <c r="N69" s="184">
        <v>0</v>
      </c>
      <c r="O69" s="184">
        <v>0</v>
      </c>
      <c r="P69" s="184">
        <f t="shared" si="37"/>
        <v>0</v>
      </c>
      <c r="Q69" s="183">
        <f t="shared" ca="1" si="26"/>
        <v>29672.613233244614</v>
      </c>
      <c r="R69" s="187">
        <f t="shared" ca="1" si="38"/>
        <v>-7750.3320260109758</v>
      </c>
      <c r="S69" s="192" t="s">
        <v>266</v>
      </c>
      <c r="T69" s="190">
        <f t="shared" ca="1" si="39"/>
        <v>-7750.3320260109758</v>
      </c>
      <c r="U69" s="464">
        <v>0</v>
      </c>
      <c r="V69" s="189">
        <f t="shared" ca="1" si="40"/>
        <v>-37422.94525925559</v>
      </c>
      <c r="W69" t="str">
        <f t="shared" si="41"/>
        <v>S.052</v>
      </c>
    </row>
    <row r="70" spans="1:23" ht="17.25" customHeight="1">
      <c r="A70" s="194" t="s">
        <v>356</v>
      </c>
      <c r="B70" s="166" t="s">
        <v>191</v>
      </c>
      <c r="C70" s="191" t="str">
        <f t="shared" ca="1" si="34"/>
        <v>Mt. Pleasant - West Mt. Pleasant 69 kV Ckt 1)</v>
      </c>
      <c r="D70" s="182">
        <f t="shared" ca="1" si="34"/>
        <v>2015</v>
      </c>
      <c r="E70" s="183">
        <v>0</v>
      </c>
      <c r="F70" s="184">
        <f t="shared" ca="1" si="34"/>
        <v>0</v>
      </c>
      <c r="G70" s="184">
        <f t="shared" ca="1" si="35"/>
        <v>0</v>
      </c>
      <c r="H70" s="168"/>
      <c r="I70" s="185">
        <f t="shared" ca="1" si="7"/>
        <v>24806.897191736498</v>
      </c>
      <c r="J70" s="186">
        <v>654670.73839982471</v>
      </c>
      <c r="K70" s="186">
        <f t="shared" si="25"/>
        <v>697667.14474751684</v>
      </c>
      <c r="L70" s="183">
        <f t="shared" si="36"/>
        <v>-42996.406347692129</v>
      </c>
      <c r="M70" s="183"/>
      <c r="N70" s="184">
        <v>0</v>
      </c>
      <c r="O70" s="184">
        <v>0</v>
      </c>
      <c r="P70" s="184">
        <f t="shared" si="37"/>
        <v>0</v>
      </c>
      <c r="Q70" s="183">
        <f t="shared" ca="1" si="26"/>
        <v>14422.442337131255</v>
      </c>
      <c r="R70" s="187">
        <f t="shared" ca="1" si="38"/>
        <v>-3767.0668188243762</v>
      </c>
      <c r="S70" s="192" t="s">
        <v>266</v>
      </c>
      <c r="T70" s="190">
        <f t="shared" ca="1" si="39"/>
        <v>-3767.0668188243762</v>
      </c>
      <c r="U70" s="464">
        <v>0</v>
      </c>
      <c r="V70" s="189">
        <f t="shared" ca="1" si="40"/>
        <v>-18189.509155955631</v>
      </c>
      <c r="W70" t="str">
        <f t="shared" si="41"/>
        <v>S.053</v>
      </c>
    </row>
    <row r="71" spans="1:23" ht="17.25" customHeight="1">
      <c r="A71" s="194" t="s">
        <v>357</v>
      </c>
      <c r="B71" s="166" t="s">
        <v>191</v>
      </c>
      <c r="C71" s="191" t="str">
        <f t="shared" ca="1" si="34"/>
        <v>Benteler - Port Robson 138 kV Ckt 1 and 2</v>
      </c>
      <c r="D71" s="182">
        <f t="shared" ca="1" si="34"/>
        <v>2015</v>
      </c>
      <c r="E71" s="183">
        <v>0</v>
      </c>
      <c r="F71" s="184">
        <f t="shared" ca="1" si="34"/>
        <v>0</v>
      </c>
      <c r="G71" s="184">
        <f t="shared" ca="1" si="35"/>
        <v>0</v>
      </c>
      <c r="H71" s="168"/>
      <c r="I71" s="185">
        <f t="shared" ca="1" si="7"/>
        <v>59941.047309208196</v>
      </c>
      <c r="J71" s="186">
        <v>1580407.0624202651</v>
      </c>
      <c r="K71" s="186">
        <f t="shared" si="25"/>
        <v>1684202.4824151695</v>
      </c>
      <c r="L71" s="183">
        <f t="shared" si="36"/>
        <v>-103795.41999490443</v>
      </c>
      <c r="M71" s="183"/>
      <c r="N71" s="184">
        <v>0</v>
      </c>
      <c r="O71" s="184">
        <v>0</v>
      </c>
      <c r="P71" s="184">
        <f t="shared" si="37"/>
        <v>0</v>
      </c>
      <c r="Q71" s="183">
        <f t="shared" ca="1" si="26"/>
        <v>34772.085154558888</v>
      </c>
      <c r="R71" s="187">
        <f t="shared" ca="1" si="38"/>
        <v>-9082.2875311373427</v>
      </c>
      <c r="S71" s="192" t="s">
        <v>266</v>
      </c>
      <c r="T71" s="190">
        <f ca="1">+G71+R71</f>
        <v>-9082.2875311373427</v>
      </c>
      <c r="U71" s="464">
        <v>0</v>
      </c>
      <c r="V71" s="189">
        <f t="shared" ca="1" si="40"/>
        <v>-43854.372685696231</v>
      </c>
      <c r="W71" t="str">
        <f t="shared" si="41"/>
        <v>S.054</v>
      </c>
    </row>
    <row r="72" spans="1:23" ht="17.25" customHeight="1">
      <c r="A72" s="194" t="s">
        <v>367</v>
      </c>
      <c r="B72" s="166" t="s">
        <v>191</v>
      </c>
      <c r="C72" s="191" t="str">
        <f t="shared" ca="1" si="34"/>
        <v>Ellerbe Rd-S Shreveport 69 kv Build</v>
      </c>
      <c r="D72" s="182">
        <f t="shared" ca="1" si="34"/>
        <v>2016</v>
      </c>
      <c r="E72" s="183">
        <v>0</v>
      </c>
      <c r="F72" s="184">
        <f t="shared" ca="1" si="34"/>
        <v>0</v>
      </c>
      <c r="G72" s="184">
        <f t="shared" ref="G72:G77" ca="1" si="42">+E72+F72</f>
        <v>0</v>
      </c>
      <c r="H72" s="168"/>
      <c r="I72" s="185">
        <f t="shared" ca="1" si="7"/>
        <v>35512.945467617828</v>
      </c>
      <c r="J72" s="186">
        <v>1080657.3490353473</v>
      </c>
      <c r="K72" s="186">
        <f t="shared" si="25"/>
        <v>1151631.0153020173</v>
      </c>
      <c r="L72" s="183">
        <f t="shared" ref="L72:L77" si="43">+J72-K72</f>
        <v>-70973.666266669985</v>
      </c>
      <c r="M72" s="183"/>
      <c r="N72" s="184">
        <v>0</v>
      </c>
      <c r="O72" s="184">
        <v>0</v>
      </c>
      <c r="P72" s="184">
        <f t="shared" ref="P72:P77" si="44">+N72-O72</f>
        <v>0</v>
      </c>
      <c r="Q72" s="183">
        <f t="shared" ca="1" si="26"/>
        <v>28116.767559392199</v>
      </c>
      <c r="R72" s="187">
        <f t="shared" ref="R72:R77" ca="1" si="45">I72+L72+P72+Q72</f>
        <v>-7343.953239659957</v>
      </c>
      <c r="S72" s="192" t="s">
        <v>266</v>
      </c>
      <c r="T72" s="190">
        <f t="shared" ref="T72:T77" ca="1" si="46">+G72+R72</f>
        <v>-7343.953239659957</v>
      </c>
      <c r="U72" s="464">
        <v>0</v>
      </c>
      <c r="V72" s="189">
        <f ca="1">+I72+L72+P72</f>
        <v>-35460.720799052157</v>
      </c>
      <c r="W72" t="str">
        <f>A72</f>
        <v>S.055</v>
      </c>
    </row>
    <row r="73" spans="1:23" ht="17.25" customHeight="1">
      <c r="A73" s="194" t="s">
        <v>368</v>
      </c>
      <c r="B73" s="166" t="s">
        <v>191</v>
      </c>
      <c r="C73" s="191" t="str">
        <f t="shared" ca="1" si="34"/>
        <v>Logansport 138 kv</v>
      </c>
      <c r="D73" s="182">
        <f t="shared" ca="1" si="34"/>
        <v>2016</v>
      </c>
      <c r="E73" s="183">
        <v>0</v>
      </c>
      <c r="F73" s="184">
        <f t="shared" ca="1" si="34"/>
        <v>0</v>
      </c>
      <c r="G73" s="184">
        <f t="shared" ca="1" si="42"/>
        <v>0</v>
      </c>
      <c r="H73" s="168"/>
      <c r="I73" s="185">
        <f t="shared" ca="1" si="7"/>
        <v>7265.3277186275227</v>
      </c>
      <c r="J73" s="186">
        <v>181336.90317442667</v>
      </c>
      <c r="K73" s="186">
        <f t="shared" si="25"/>
        <v>193246.45513298392</v>
      </c>
      <c r="L73" s="183">
        <f t="shared" si="43"/>
        <v>-11909.551958557247</v>
      </c>
      <c r="M73" s="183"/>
      <c r="N73" s="184">
        <v>0</v>
      </c>
      <c r="O73" s="184">
        <v>0</v>
      </c>
      <c r="P73" s="184">
        <f t="shared" si="44"/>
        <v>0</v>
      </c>
      <c r="Q73" s="183">
        <f t="shared" ca="1" si="26"/>
        <v>3682.4004280050985</v>
      </c>
      <c r="R73" s="187">
        <f t="shared" ca="1" si="45"/>
        <v>-961.82381192462617</v>
      </c>
      <c r="S73" s="192" t="s">
        <v>266</v>
      </c>
      <c r="T73" s="190">
        <f t="shared" ca="1" si="46"/>
        <v>-961.82381192462617</v>
      </c>
      <c r="U73" s="464">
        <v>0</v>
      </c>
      <c r="V73" s="189">
        <f ca="1">+I73+L73+P73</f>
        <v>-4644.2242399297247</v>
      </c>
      <c r="W73" t="str">
        <f>A73</f>
        <v>S.056</v>
      </c>
    </row>
    <row r="74" spans="1:23" ht="17.25" customHeight="1">
      <c r="A74" s="194" t="s">
        <v>369</v>
      </c>
      <c r="B74" s="166" t="s">
        <v>191</v>
      </c>
      <c r="C74" s="191" t="str">
        <f t="shared" ca="1" si="34"/>
        <v>Winnsboro 138 kw</v>
      </c>
      <c r="D74" s="182">
        <f t="shared" ca="1" si="34"/>
        <v>2016</v>
      </c>
      <c r="E74" s="183">
        <v>0</v>
      </c>
      <c r="F74" s="184">
        <f t="shared" ca="1" si="34"/>
        <v>0</v>
      </c>
      <c r="G74" s="184">
        <f t="shared" ca="1" si="42"/>
        <v>0</v>
      </c>
      <c r="H74" s="168"/>
      <c r="I74" s="185">
        <f t="shared" ca="1" si="7"/>
        <v>4637.3114170120971</v>
      </c>
      <c r="J74" s="186">
        <v>141841.06130336551</v>
      </c>
      <c r="K74" s="186">
        <f t="shared" si="25"/>
        <v>151156.6692126086</v>
      </c>
      <c r="L74" s="183">
        <f t="shared" si="43"/>
        <v>-9315.6079092430882</v>
      </c>
      <c r="M74" s="183"/>
      <c r="N74" s="184">
        <v>0</v>
      </c>
      <c r="O74" s="184">
        <v>0</v>
      </c>
      <c r="P74" s="184">
        <f t="shared" si="44"/>
        <v>0</v>
      </c>
      <c r="Q74" s="183">
        <f t="shared" ca="1" si="26"/>
        <v>3709.41628037901</v>
      </c>
      <c r="R74" s="187">
        <f t="shared" ca="1" si="45"/>
        <v>-968.88021185198113</v>
      </c>
      <c r="S74" s="192" t="s">
        <v>266</v>
      </c>
      <c r="T74" s="190">
        <f t="shared" ca="1" si="46"/>
        <v>-968.88021185198113</v>
      </c>
      <c r="U74" s="464">
        <v>0</v>
      </c>
      <c r="V74" s="189">
        <f ca="1">+I74+L74+P74</f>
        <v>-4678.2964922309911</v>
      </c>
      <c r="W74" t="str">
        <f>A74</f>
        <v>S.057</v>
      </c>
    </row>
    <row r="75" spans="1:23" ht="17.25" customHeight="1">
      <c r="A75" s="194" t="s">
        <v>370</v>
      </c>
      <c r="B75" s="166" t="s">
        <v>191</v>
      </c>
      <c r="C75" s="191" t="str">
        <f t="shared" ca="1" si="34"/>
        <v>Rock Hill-Springridge Pan-Harr REC 138 kv</v>
      </c>
      <c r="D75" s="182">
        <f t="shared" ca="1" si="34"/>
        <v>2016</v>
      </c>
      <c r="E75" s="183">
        <v>0</v>
      </c>
      <c r="F75" s="184">
        <f t="shared" ca="1" si="34"/>
        <v>0</v>
      </c>
      <c r="G75" s="184">
        <f t="shared" ca="1" si="42"/>
        <v>0</v>
      </c>
      <c r="H75" s="168"/>
      <c r="I75" s="185">
        <f t="shared" ca="1" si="7"/>
        <v>124855.91447904194</v>
      </c>
      <c r="J75" s="186">
        <v>2948174.9624175858</v>
      </c>
      <c r="K75" s="186">
        <f t="shared" si="25"/>
        <v>3141800.4312724075</v>
      </c>
      <c r="L75" s="183">
        <f t="shared" si="43"/>
        <v>-193625.46885482175</v>
      </c>
      <c r="M75" s="183"/>
      <c r="N75" s="184">
        <v>0</v>
      </c>
      <c r="O75" s="184">
        <v>0</v>
      </c>
      <c r="P75" s="184">
        <f t="shared" si="44"/>
        <v>0</v>
      </c>
      <c r="Q75" s="183">
        <f t="shared" ca="1" si="26"/>
        <v>54527.306043888057</v>
      </c>
      <c r="R75" s="187">
        <f t="shared" ca="1" si="45"/>
        <v>-14242.248331891758</v>
      </c>
      <c r="S75" s="192" t="s">
        <v>266</v>
      </c>
      <c r="T75" s="190">
        <f t="shared" ca="1" si="46"/>
        <v>-14242.248331891758</v>
      </c>
      <c r="U75" s="464">
        <v>0</v>
      </c>
      <c r="V75" s="189">
        <f ca="1">+I75+L75+P75</f>
        <v>-68769.554375779815</v>
      </c>
      <c r="W75" t="str">
        <f>A75</f>
        <v>S.058</v>
      </c>
    </row>
    <row r="76" spans="1:23" ht="17.25" customHeight="1">
      <c r="A76" s="194" t="s">
        <v>371</v>
      </c>
      <c r="B76" s="166" t="s">
        <v>191</v>
      </c>
      <c r="C76" s="191" t="str">
        <f t="shared" ca="1" si="34"/>
        <v>Brownlee-North Mrket 69 kv Rebuild</v>
      </c>
      <c r="D76" s="182">
        <f t="shared" ca="1" si="34"/>
        <v>2017</v>
      </c>
      <c r="E76" s="183">
        <v>0</v>
      </c>
      <c r="F76" s="184">
        <f t="shared" ca="1" si="34"/>
        <v>0</v>
      </c>
      <c r="G76" s="184">
        <f t="shared" ca="1" si="42"/>
        <v>0</v>
      </c>
      <c r="H76" s="168"/>
      <c r="I76" s="185">
        <f t="shared" ca="1" si="7"/>
        <v>78690.339656556025</v>
      </c>
      <c r="J76" s="186">
        <v>2014995.8651977812</v>
      </c>
      <c r="K76" s="186">
        <f t="shared" si="25"/>
        <v>2147333.5059799654</v>
      </c>
      <c r="L76" s="183">
        <f t="shared" si="43"/>
        <v>-132337.6407821842</v>
      </c>
      <c r="M76" s="183"/>
      <c r="N76" s="184">
        <v>0</v>
      </c>
      <c r="O76" s="184">
        <v>0</v>
      </c>
      <c r="P76" s="184">
        <f t="shared" si="44"/>
        <v>0</v>
      </c>
      <c r="Q76" s="183">
        <f t="shared" ca="1" si="26"/>
        <v>42536.88763084379</v>
      </c>
      <c r="R76" s="187">
        <f t="shared" ca="1" si="45"/>
        <v>-11110.413494784385</v>
      </c>
      <c r="S76" s="192" t="s">
        <v>266</v>
      </c>
      <c r="T76" s="190">
        <f t="shared" ca="1" si="46"/>
        <v>-11110.413494784385</v>
      </c>
      <c r="U76" s="464">
        <v>0</v>
      </c>
      <c r="V76" s="189">
        <f ca="1">+I76+L76+P76</f>
        <v>-53647.301125628175</v>
      </c>
      <c r="W76" t="str">
        <f>A76</f>
        <v>S.059</v>
      </c>
    </row>
    <row r="77" spans="1:23" ht="17.25" customHeight="1">
      <c r="A77" s="194" t="s">
        <v>374</v>
      </c>
      <c r="B77" s="166" t="s">
        <v>191</v>
      </c>
      <c r="C77" s="191" t="str">
        <f t="shared" ca="1" si="34"/>
        <v>Valliant-NW Texarkana 345 kV</v>
      </c>
      <c r="D77" s="182">
        <f t="shared" ca="1" si="34"/>
        <v>2016</v>
      </c>
      <c r="E77" s="183">
        <v>0</v>
      </c>
      <c r="F77" s="184">
        <f t="shared" ca="1" si="34"/>
        <v>0</v>
      </c>
      <c r="G77" s="184">
        <f t="shared" ca="1" si="42"/>
        <v>0</v>
      </c>
      <c r="H77" s="168"/>
      <c r="I77" s="185">
        <f t="shared" ca="1" si="7"/>
        <v>449383.39723550901</v>
      </c>
      <c r="J77" s="186">
        <v>11392168.467567611</v>
      </c>
      <c r="K77" s="186">
        <f t="shared" si="25"/>
        <v>12140364.890413921</v>
      </c>
      <c r="L77" s="183">
        <f t="shared" si="43"/>
        <v>-748196.42284630984</v>
      </c>
      <c r="M77" s="183"/>
      <c r="N77" s="184">
        <v>0</v>
      </c>
      <c r="O77" s="184">
        <v>0</v>
      </c>
      <c r="P77" s="184">
        <f t="shared" si="44"/>
        <v>0</v>
      </c>
      <c r="Q77" s="183">
        <f t="shared" ca="1" si="26"/>
        <v>236928.52811503384</v>
      </c>
      <c r="R77" s="187">
        <f t="shared" ca="1" si="45"/>
        <v>-61884.497495766991</v>
      </c>
      <c r="S77" s="192" t="s">
        <v>266</v>
      </c>
      <c r="T77" s="190">
        <f t="shared" ca="1" si="46"/>
        <v>-61884.497495766991</v>
      </c>
      <c r="U77" s="464">
        <v>0</v>
      </c>
      <c r="V77" s="189">
        <f t="shared" ref="V77:V84" ca="1" si="47">+I77+L77+P77</f>
        <v>-298813.02561080083</v>
      </c>
      <c r="W77" t="str">
        <f t="shared" ref="W77:W84" si="48">A77</f>
        <v>S.060</v>
      </c>
    </row>
    <row r="78" spans="1:23" ht="17.25" customHeight="1">
      <c r="A78" s="194" t="s">
        <v>375</v>
      </c>
      <c r="B78" s="166" t="s">
        <v>191</v>
      </c>
      <c r="C78" s="191" t="str">
        <f t="shared" ref="C78:F94" ca="1" si="49">INDIRECT("'"&amp; $A78 &amp; "'!" &amp;C$103)</f>
        <v>Messick 500/230 kV</v>
      </c>
      <c r="D78" s="182">
        <f t="shared" ca="1" si="49"/>
        <v>2016</v>
      </c>
      <c r="E78" s="183">
        <v>0</v>
      </c>
      <c r="F78" s="184">
        <f t="shared" ca="1" si="49"/>
        <v>0</v>
      </c>
      <c r="G78" s="184">
        <f t="shared" ref="G78:G84" ca="1" si="50">+E78+F78</f>
        <v>0</v>
      </c>
      <c r="H78" s="168"/>
      <c r="I78" s="185">
        <f t="shared" ca="1" si="7"/>
        <v>-4734033.2202558517</v>
      </c>
      <c r="J78" s="186">
        <v>6758261.3831444997</v>
      </c>
      <c r="K78" s="186">
        <f t="shared" si="25"/>
        <v>7202119.5481571099</v>
      </c>
      <c r="L78" s="183">
        <f t="shared" ref="L78:L84" si="51">+J78-K78</f>
        <v>-443858.16501261014</v>
      </c>
      <c r="M78" s="183"/>
      <c r="N78" s="184">
        <v>0</v>
      </c>
      <c r="O78" s="184">
        <v>0</v>
      </c>
      <c r="P78" s="184">
        <f t="shared" ref="P78:P84" si="52">+N78-O78</f>
        <v>0</v>
      </c>
      <c r="Q78" s="183">
        <f t="shared" ca="1" si="26"/>
        <v>4105544.5362313115</v>
      </c>
      <c r="R78" s="187">
        <f t="shared" ref="R78:R84" ca="1" si="53">I78+L78+P78+Q78</f>
        <v>-1072346.8490371504</v>
      </c>
      <c r="S78" s="192" t="s">
        <v>266</v>
      </c>
      <c r="T78" s="190">
        <f t="shared" ref="T78:T84" ca="1" si="54">+G78+R78</f>
        <v>-1072346.8490371504</v>
      </c>
      <c r="U78" s="464">
        <v>0</v>
      </c>
      <c r="V78" s="189">
        <f t="shared" ca="1" si="47"/>
        <v>-5177891.3852684619</v>
      </c>
      <c r="W78" t="str">
        <f t="shared" si="48"/>
        <v>S.061</v>
      </c>
    </row>
    <row r="79" spans="1:23" ht="17.25" customHeight="1">
      <c r="A79" s="194" t="s">
        <v>376</v>
      </c>
      <c r="B79" s="166" t="s">
        <v>191</v>
      </c>
      <c r="C79" s="191" t="str">
        <f t="shared" ca="1" si="49"/>
        <v>Letourneau 69 kV Capacitor Bank Addition</v>
      </c>
      <c r="D79" s="182">
        <f t="shared" ca="1" si="49"/>
        <v>2017</v>
      </c>
      <c r="E79" s="183">
        <v>0</v>
      </c>
      <c r="F79" s="184">
        <f t="shared" ca="1" si="49"/>
        <v>0</v>
      </c>
      <c r="G79" s="184">
        <f t="shared" ca="1" si="50"/>
        <v>0</v>
      </c>
      <c r="H79" s="168"/>
      <c r="I79" s="185">
        <f t="shared" ca="1" si="7"/>
        <v>5136.8271502990392</v>
      </c>
      <c r="J79" s="186">
        <v>147791.0954019294</v>
      </c>
      <c r="K79" s="186">
        <f t="shared" si="25"/>
        <v>157497.48003125284</v>
      </c>
      <c r="L79" s="183">
        <f t="shared" si="51"/>
        <v>-9706.3846293234383</v>
      </c>
      <c r="M79" s="183"/>
      <c r="N79" s="184">
        <v>0</v>
      </c>
      <c r="O79" s="184">
        <v>0</v>
      </c>
      <c r="P79" s="184">
        <f t="shared" si="52"/>
        <v>0</v>
      </c>
      <c r="Q79" s="183">
        <f t="shared" ca="1" si="26"/>
        <v>3623.197233217139</v>
      </c>
      <c r="R79" s="187">
        <f t="shared" ca="1" si="53"/>
        <v>-946.36024580726007</v>
      </c>
      <c r="S79" s="192" t="s">
        <v>266</v>
      </c>
      <c r="T79" s="190">
        <f t="shared" ca="1" si="54"/>
        <v>-946.36024580726007</v>
      </c>
      <c r="U79" s="464">
        <v>0</v>
      </c>
      <c r="V79" s="189">
        <f t="shared" ca="1" si="47"/>
        <v>-4569.5574790243991</v>
      </c>
      <c r="W79" t="str">
        <f t="shared" si="48"/>
        <v>S.062</v>
      </c>
    </row>
    <row r="80" spans="1:23" ht="17.25" customHeight="1">
      <c r="A80" s="194" t="s">
        <v>377</v>
      </c>
      <c r="B80" s="166" t="s">
        <v>191</v>
      </c>
      <c r="C80" s="191" t="str">
        <f t="shared" ca="1" si="49"/>
        <v>Brooks Street - Edwards Street 69 kV Line Rebuild</v>
      </c>
      <c r="D80" s="182">
        <f t="shared" ca="1" si="49"/>
        <v>2017</v>
      </c>
      <c r="E80" s="183">
        <v>0</v>
      </c>
      <c r="F80" s="184">
        <f t="shared" ca="1" si="49"/>
        <v>0</v>
      </c>
      <c r="G80" s="184">
        <f t="shared" ca="1" si="50"/>
        <v>0</v>
      </c>
      <c r="H80" s="168"/>
      <c r="I80" s="185">
        <f t="shared" ca="1" si="7"/>
        <v>26244.745406706003</v>
      </c>
      <c r="J80" s="186">
        <v>556026.00629962969</v>
      </c>
      <c r="K80" s="186">
        <f t="shared" si="25"/>
        <v>592543.78341179772</v>
      </c>
      <c r="L80" s="183">
        <f t="shared" si="51"/>
        <v>-36517.777112168027</v>
      </c>
      <c r="M80" s="183"/>
      <c r="N80" s="184">
        <v>0</v>
      </c>
      <c r="O80" s="184">
        <v>0</v>
      </c>
      <c r="P80" s="184">
        <f t="shared" si="52"/>
        <v>0</v>
      </c>
      <c r="Q80" s="183">
        <f t="shared" ca="1" si="26"/>
        <v>8145.4758415531915</v>
      </c>
      <c r="R80" s="187">
        <f t="shared" ca="1" si="53"/>
        <v>-2127.5558639088331</v>
      </c>
      <c r="S80" s="192" t="s">
        <v>266</v>
      </c>
      <c r="T80" s="190">
        <f t="shared" ca="1" si="54"/>
        <v>-2127.5558639088331</v>
      </c>
      <c r="U80" s="464">
        <v>0</v>
      </c>
      <c r="V80" s="189">
        <f t="shared" ca="1" si="47"/>
        <v>-10273.031705462025</v>
      </c>
      <c r="W80" t="str">
        <f t="shared" si="48"/>
        <v>S.063</v>
      </c>
    </row>
    <row r="81" spans="1:23" ht="17.25" customHeight="1">
      <c r="A81" s="194" t="s">
        <v>378</v>
      </c>
      <c r="B81" s="166" t="s">
        <v>191</v>
      </c>
      <c r="C81" s="191" t="str">
        <f t="shared" ca="1" si="49"/>
        <v>Hallsville - Marshall New 69 kV Circuit</v>
      </c>
      <c r="D81" s="182">
        <f t="shared" ca="1" si="49"/>
        <v>2017</v>
      </c>
      <c r="E81" s="183">
        <v>0</v>
      </c>
      <c r="F81" s="184">
        <f t="shared" ca="1" si="49"/>
        <v>0</v>
      </c>
      <c r="G81" s="184">
        <f t="shared" ca="1" si="50"/>
        <v>0</v>
      </c>
      <c r="H81" s="168"/>
      <c r="I81" s="185">
        <f t="shared" ca="1" si="7"/>
        <v>45522.796833554283</v>
      </c>
      <c r="J81" s="186">
        <v>2033300.4459393581</v>
      </c>
      <c r="K81" s="186">
        <f t="shared" si="25"/>
        <v>2166840.2653823951</v>
      </c>
      <c r="L81" s="183">
        <f t="shared" si="51"/>
        <v>-133539.81944303703</v>
      </c>
      <c r="M81" s="183"/>
      <c r="N81" s="184">
        <v>0</v>
      </c>
      <c r="O81" s="184">
        <v>0</v>
      </c>
      <c r="P81" s="184">
        <f t="shared" si="52"/>
        <v>0</v>
      </c>
      <c r="Q81" s="183">
        <f t="shared" ca="1" si="26"/>
        <v>69788.603001175972</v>
      </c>
      <c r="R81" s="187">
        <f t="shared" ca="1" si="53"/>
        <v>-18228.41960830678</v>
      </c>
      <c r="S81" s="192" t="s">
        <v>266</v>
      </c>
      <c r="T81" s="190">
        <f t="shared" ca="1" si="54"/>
        <v>-18228.41960830678</v>
      </c>
      <c r="U81" s="464">
        <v>0</v>
      </c>
      <c r="V81" s="189">
        <f t="shared" ca="1" si="47"/>
        <v>-88017.022609482752</v>
      </c>
      <c r="W81" t="str">
        <f t="shared" si="48"/>
        <v>S.064</v>
      </c>
    </row>
    <row r="82" spans="1:23" ht="17.25" customHeight="1">
      <c r="A82" s="194" t="s">
        <v>379</v>
      </c>
      <c r="B82" s="166" t="s">
        <v>191</v>
      </c>
      <c r="C82" s="191" t="str">
        <f t="shared" ca="1" si="49"/>
        <v>Daingerfield - Jenkins Rebuild</v>
      </c>
      <c r="D82" s="182">
        <f t="shared" ca="1" si="49"/>
        <v>2017</v>
      </c>
      <c r="E82" s="183">
        <v>0</v>
      </c>
      <c r="F82" s="184">
        <f t="shared" ca="1" si="49"/>
        <v>0</v>
      </c>
      <c r="G82" s="184">
        <f t="shared" ca="1" si="50"/>
        <v>0</v>
      </c>
      <c r="H82" s="168"/>
      <c r="I82" s="185">
        <f t="shared" ca="1" si="7"/>
        <v>7101.9617378574912</v>
      </c>
      <c r="J82" s="186">
        <v>285796.05485241592</v>
      </c>
      <c r="K82" s="186">
        <f t="shared" ref="K82:K88" si="55">J82/J$96*K$96</f>
        <v>304566.10609533102</v>
      </c>
      <c r="L82" s="183">
        <f t="shared" si="51"/>
        <v>-18770.051242915099</v>
      </c>
      <c r="M82" s="183"/>
      <c r="N82" s="184">
        <v>0</v>
      </c>
      <c r="O82" s="184">
        <v>0</v>
      </c>
      <c r="P82" s="184">
        <f t="shared" si="52"/>
        <v>0</v>
      </c>
      <c r="Q82" s="183">
        <f t="shared" ref="Q82:Q88" ca="1" si="56">+V82/$V$96 * $Q$96</f>
        <v>9251.6156773851417</v>
      </c>
      <c r="R82" s="187">
        <f t="shared" ca="1" si="53"/>
        <v>-2416.4738276724656</v>
      </c>
      <c r="S82" s="192" t="s">
        <v>266</v>
      </c>
      <c r="T82" s="190">
        <f t="shared" ca="1" si="54"/>
        <v>-2416.4738276724656</v>
      </c>
      <c r="U82" s="464">
        <v>0</v>
      </c>
      <c r="V82" s="189">
        <f t="shared" ca="1" si="47"/>
        <v>-11668.089505057607</v>
      </c>
      <c r="W82" t="str">
        <f t="shared" si="48"/>
        <v>S.065</v>
      </c>
    </row>
    <row r="83" spans="1:23" ht="17.25" customHeight="1">
      <c r="A83" s="194" t="s">
        <v>380</v>
      </c>
      <c r="B83" s="166" t="s">
        <v>191</v>
      </c>
      <c r="C83" s="191" t="str">
        <f t="shared" ca="1" si="49"/>
        <v>Broadmoor - Fort Humbug Rebuild</v>
      </c>
      <c r="D83" s="182">
        <f t="shared" ca="1" si="49"/>
        <v>2017</v>
      </c>
      <c r="E83" s="183">
        <v>0</v>
      </c>
      <c r="F83" s="184">
        <f t="shared" ca="1" si="49"/>
        <v>0</v>
      </c>
      <c r="G83" s="184">
        <f t="shared" ca="1" si="50"/>
        <v>0</v>
      </c>
      <c r="H83" s="168"/>
      <c r="I83" s="185">
        <f t="shared" ref="I83:I94" ca="1" si="57">INDIRECT("'"&amp; $A83 &amp; "'!" &amp;I$103)</f>
        <v>19627.005630490836</v>
      </c>
      <c r="J83" s="186">
        <v>771409.34369319037</v>
      </c>
      <c r="K83" s="186">
        <f t="shared" si="55"/>
        <v>822072.71942754684</v>
      </c>
      <c r="L83" s="183">
        <f t="shared" si="51"/>
        <v>-50663.375734356465</v>
      </c>
      <c r="M83" s="183"/>
      <c r="N83" s="184">
        <v>0</v>
      </c>
      <c r="O83" s="184">
        <v>0</v>
      </c>
      <c r="P83" s="184">
        <f t="shared" si="52"/>
        <v>0</v>
      </c>
      <c r="Q83" s="183">
        <f t="shared" ca="1" si="56"/>
        <v>24608.704629630207</v>
      </c>
      <c r="R83" s="187">
        <f t="shared" ca="1" si="53"/>
        <v>-6427.6654742354222</v>
      </c>
      <c r="S83" s="192" t="s">
        <v>266</v>
      </c>
      <c r="T83" s="190">
        <f t="shared" ca="1" si="54"/>
        <v>-6427.6654742354222</v>
      </c>
      <c r="U83" s="464">
        <v>0</v>
      </c>
      <c r="V83" s="189">
        <f t="shared" ca="1" si="47"/>
        <v>-31036.370103865629</v>
      </c>
      <c r="W83" t="str">
        <f t="shared" si="48"/>
        <v>S.066</v>
      </c>
    </row>
    <row r="84" spans="1:23" ht="17.25" customHeight="1">
      <c r="A84" s="194" t="s">
        <v>381</v>
      </c>
      <c r="B84" s="166" t="s">
        <v>191</v>
      </c>
      <c r="C84" s="191" t="str">
        <f t="shared" ca="1" si="49"/>
        <v>Chamber Springs - Farmington 161 kV Line</v>
      </c>
      <c r="D84" s="182">
        <f t="shared" ca="1" si="49"/>
        <v>2017</v>
      </c>
      <c r="E84" s="183">
        <v>0</v>
      </c>
      <c r="F84" s="184">
        <f t="shared" ca="1" si="49"/>
        <v>0</v>
      </c>
      <c r="G84" s="184">
        <f t="shared" ca="1" si="50"/>
        <v>0</v>
      </c>
      <c r="H84" s="168"/>
      <c r="I84" s="185">
        <f t="shared" ca="1" si="57"/>
        <v>35908.45852363063</v>
      </c>
      <c r="J84" s="186">
        <v>1257740.5849062784</v>
      </c>
      <c r="K84" s="186">
        <f t="shared" si="55"/>
        <v>1340344.4376472684</v>
      </c>
      <c r="L84" s="183">
        <f t="shared" si="51"/>
        <v>-82603.852740989998</v>
      </c>
      <c r="M84" s="183"/>
      <c r="N84" s="184">
        <v>0</v>
      </c>
      <c r="O84" s="184">
        <v>0</v>
      </c>
      <c r="P84" s="184">
        <f t="shared" si="52"/>
        <v>0</v>
      </c>
      <c r="Q84" s="183">
        <f t="shared" ca="1" si="56"/>
        <v>37024.728085582894</v>
      </c>
      <c r="R84" s="187">
        <f t="shared" ca="1" si="53"/>
        <v>-9670.6661317764738</v>
      </c>
      <c r="S84" s="192" t="s">
        <v>266</v>
      </c>
      <c r="T84" s="190">
        <f t="shared" ca="1" si="54"/>
        <v>-9670.6661317764738</v>
      </c>
      <c r="U84" s="464">
        <v>0</v>
      </c>
      <c r="V84" s="189">
        <f t="shared" ca="1" si="47"/>
        <v>-46695.394217359368</v>
      </c>
      <c r="W84" t="str">
        <f t="shared" si="48"/>
        <v>S.067</v>
      </c>
    </row>
    <row r="85" spans="1:23" ht="17.25" customHeight="1">
      <c r="A85" s="194" t="s">
        <v>431</v>
      </c>
      <c r="B85" s="166" t="s">
        <v>191</v>
      </c>
      <c r="C85" s="191" t="str">
        <f t="shared" ca="1" si="49"/>
        <v>Evenside - Northwest Henderson 69 KV Line Rebuild</v>
      </c>
      <c r="D85" s="182">
        <f t="shared" ca="1" si="49"/>
        <v>2018</v>
      </c>
      <c r="E85" s="183">
        <v>0</v>
      </c>
      <c r="F85" s="184">
        <f t="shared" ca="1" si="49"/>
        <v>0</v>
      </c>
      <c r="G85" s="184">
        <f t="shared" ref="G85:G91" ca="1" si="58">+E85+F85</f>
        <v>0</v>
      </c>
      <c r="H85" s="168"/>
      <c r="I85" s="185">
        <f t="shared" ca="1" si="57"/>
        <v>44607.97979776701</v>
      </c>
      <c r="J85" s="186">
        <v>1352024.5642170983</v>
      </c>
      <c r="K85" s="186">
        <f t="shared" si="55"/>
        <v>1440820.647721959</v>
      </c>
      <c r="L85" s="183">
        <f t="shared" ref="L85:L91" si="59">+J85-K85</f>
        <v>-88796.083504860755</v>
      </c>
      <c r="M85" s="183"/>
      <c r="N85" s="184">
        <v>0</v>
      </c>
      <c r="O85" s="184">
        <v>0</v>
      </c>
      <c r="P85" s="184">
        <f t="shared" ref="P85:P91" si="60">+N85-O85</f>
        <v>0</v>
      </c>
      <c r="Q85" s="183">
        <f t="shared" ca="1" si="56"/>
        <v>35036.700124152041</v>
      </c>
      <c r="R85" s="187">
        <f t="shared" ref="R85:R91" ca="1" si="61">I85+L85+P85+Q85</f>
        <v>-9151.4035829417044</v>
      </c>
      <c r="S85" s="192" t="s">
        <v>266</v>
      </c>
      <c r="T85" s="190">
        <f t="shared" ref="T85:T91" ca="1" si="62">+G85+R85</f>
        <v>-9151.4035829417044</v>
      </c>
      <c r="U85" s="464">
        <v>0</v>
      </c>
      <c r="V85" s="189">
        <f t="shared" ref="V85:V94" ca="1" si="63">+I85+L85+P85</f>
        <v>-44188.103707093745</v>
      </c>
      <c r="W85" t="str">
        <f t="shared" ref="W85:W94" si="64">A85</f>
        <v>S.068</v>
      </c>
    </row>
    <row r="86" spans="1:23" ht="17.25" customHeight="1">
      <c r="A86" s="194" t="s">
        <v>432</v>
      </c>
      <c r="B86" s="166" t="s">
        <v>191</v>
      </c>
      <c r="C86" s="191" t="str">
        <f t="shared" ca="1" si="49"/>
        <v>Hallsville - Longview Heights 69 KV Line Rebuild</v>
      </c>
      <c r="D86" s="182">
        <f t="shared" ca="1" si="49"/>
        <v>2017</v>
      </c>
      <c r="E86" s="183">
        <v>0</v>
      </c>
      <c r="F86" s="184">
        <f t="shared" ca="1" si="49"/>
        <v>0</v>
      </c>
      <c r="G86" s="184">
        <f t="shared" ca="1" si="58"/>
        <v>0</v>
      </c>
      <c r="H86" s="168"/>
      <c r="I86" s="185">
        <f t="shared" ca="1" si="57"/>
        <v>41704.893217679346</v>
      </c>
      <c r="J86" s="186">
        <v>1171975.9343922306</v>
      </c>
      <c r="K86" s="186">
        <f t="shared" si="55"/>
        <v>1248947.0750728296</v>
      </c>
      <c r="L86" s="183">
        <f t="shared" si="59"/>
        <v>-76971.140680599026</v>
      </c>
      <c r="M86" s="183"/>
      <c r="N86" s="184">
        <v>0</v>
      </c>
      <c r="O86" s="184">
        <v>0</v>
      </c>
      <c r="P86" s="184">
        <f t="shared" si="60"/>
        <v>0</v>
      </c>
      <c r="Q86" s="183">
        <f t="shared" ca="1" si="56"/>
        <v>27962.56985936455</v>
      </c>
      <c r="R86" s="187">
        <f t="shared" ca="1" si="61"/>
        <v>-7303.6776035551302</v>
      </c>
      <c r="S86" s="192" t="s">
        <v>266</v>
      </c>
      <c r="T86" s="190">
        <f t="shared" ca="1" si="62"/>
        <v>-7303.6776035551302</v>
      </c>
      <c r="U86" s="464">
        <v>0</v>
      </c>
      <c r="V86" s="189">
        <f t="shared" ca="1" si="63"/>
        <v>-35266.24746291968</v>
      </c>
      <c r="W86" t="str">
        <f t="shared" si="64"/>
        <v>S.069</v>
      </c>
    </row>
    <row r="87" spans="1:23" ht="17.25" customHeight="1">
      <c r="A87" s="194" t="s">
        <v>433</v>
      </c>
      <c r="B87" s="166" t="s">
        <v>191</v>
      </c>
      <c r="C87" s="191" t="str">
        <f t="shared" ca="1" si="49"/>
        <v>Linwood - South Shreveport 138 KV Kine Rebuild</v>
      </c>
      <c r="D87" s="182">
        <f t="shared" ca="1" si="49"/>
        <v>2018</v>
      </c>
      <c r="E87" s="183">
        <v>0</v>
      </c>
      <c r="F87" s="184">
        <f t="shared" ca="1" si="49"/>
        <v>0</v>
      </c>
      <c r="G87" s="184">
        <f t="shared" ca="1" si="58"/>
        <v>0</v>
      </c>
      <c r="H87" s="168"/>
      <c r="I87" s="185">
        <f t="shared" ca="1" si="57"/>
        <v>36060.56846929295</v>
      </c>
      <c r="J87" s="186">
        <v>872264.23556404538</v>
      </c>
      <c r="K87" s="186">
        <f t="shared" si="55"/>
        <v>929551.39583416865</v>
      </c>
      <c r="L87" s="183">
        <f t="shared" si="59"/>
        <v>-57287.160270123277</v>
      </c>
      <c r="M87" s="183"/>
      <c r="N87" s="184">
        <v>0</v>
      </c>
      <c r="O87" s="184">
        <v>0</v>
      </c>
      <c r="P87" s="184">
        <f t="shared" si="60"/>
        <v>0</v>
      </c>
      <c r="Q87" s="183">
        <f t="shared" ca="1" si="56"/>
        <v>16830.54191492913</v>
      </c>
      <c r="R87" s="187">
        <f t="shared" ca="1" si="61"/>
        <v>-4396.0498859011968</v>
      </c>
      <c r="S87" s="192" t="s">
        <v>266</v>
      </c>
      <c r="T87" s="190">
        <f t="shared" ca="1" si="62"/>
        <v>-4396.0498859011968</v>
      </c>
      <c r="U87" s="464">
        <v>0</v>
      </c>
      <c r="V87" s="189">
        <f t="shared" ca="1" si="63"/>
        <v>-21226.591800830327</v>
      </c>
      <c r="W87" t="str">
        <f t="shared" si="64"/>
        <v>S.070</v>
      </c>
    </row>
    <row r="88" spans="1:23" ht="17.25" customHeight="1">
      <c r="A88" s="194" t="s">
        <v>434</v>
      </c>
      <c r="B88" s="166" t="s">
        <v>191</v>
      </c>
      <c r="C88" s="191" t="str">
        <f t="shared" ca="1" si="49"/>
        <v>IPC 138 KV Capacitor Bank Addition</v>
      </c>
      <c r="D88" s="182">
        <f t="shared" ca="1" si="49"/>
        <v>2018</v>
      </c>
      <c r="E88" s="183">
        <v>0</v>
      </c>
      <c r="F88" s="184">
        <f t="shared" ca="1" si="49"/>
        <v>0</v>
      </c>
      <c r="G88" s="184">
        <f t="shared" ca="1" si="58"/>
        <v>0</v>
      </c>
      <c r="H88" s="168"/>
      <c r="I88" s="185">
        <f t="shared" ca="1" si="57"/>
        <v>6467.2415613482881</v>
      </c>
      <c r="J88" s="186">
        <v>213414.21971250951</v>
      </c>
      <c r="K88" s="186">
        <f t="shared" si="55"/>
        <v>227430.49380712264</v>
      </c>
      <c r="L88" s="183">
        <f t="shared" si="59"/>
        <v>-14016.274094613123</v>
      </c>
      <c r="M88" s="183"/>
      <c r="N88" s="184">
        <v>0</v>
      </c>
      <c r="O88" s="184">
        <v>0</v>
      </c>
      <c r="P88" s="184">
        <f t="shared" si="60"/>
        <v>0</v>
      </c>
      <c r="Q88" s="183">
        <f t="shared" ca="1" si="56"/>
        <v>5985.6198140724327</v>
      </c>
      <c r="R88" s="187">
        <f t="shared" ca="1" si="61"/>
        <v>-1563.4127191924026</v>
      </c>
      <c r="S88" s="192" t="s">
        <v>266</v>
      </c>
      <c r="T88" s="190">
        <f t="shared" ca="1" si="62"/>
        <v>-1563.4127191924026</v>
      </c>
      <c r="U88" s="464">
        <v>0</v>
      </c>
      <c r="V88" s="189">
        <f t="shared" ca="1" si="63"/>
        <v>-7549.0325332648354</v>
      </c>
      <c r="W88" t="str">
        <f t="shared" si="64"/>
        <v>S.071</v>
      </c>
    </row>
    <row r="89" spans="1:23" ht="17.25" customHeight="1">
      <c r="A89" s="194" t="s">
        <v>456</v>
      </c>
      <c r="B89" s="166" t="s">
        <v>191</v>
      </c>
      <c r="C89" s="191" t="str">
        <f t="shared" ca="1" si="49"/>
        <v>Ellerbe Road - Lucas 69 kV Rebuild</v>
      </c>
      <c r="D89" s="182">
        <f t="shared" ca="1" si="49"/>
        <v>2019</v>
      </c>
      <c r="E89" s="183">
        <v>0</v>
      </c>
      <c r="F89" s="184">
        <f t="shared" ca="1" si="49"/>
        <v>0</v>
      </c>
      <c r="G89" s="184">
        <f t="shared" ca="1" si="58"/>
        <v>0</v>
      </c>
      <c r="H89" s="168"/>
      <c r="I89" s="185">
        <f t="shared" ca="1" si="57"/>
        <v>18491.776360861259</v>
      </c>
      <c r="J89" s="186">
        <v>1168494.5770259202</v>
      </c>
      <c r="K89" s="186">
        <f t="shared" ref="K89:K91" si="65">J89/J$96*K$96</f>
        <v>1245237.0747457396</v>
      </c>
      <c r="L89" s="183">
        <f t="shared" si="59"/>
        <v>-76742.497719819425</v>
      </c>
      <c r="M89" s="183"/>
      <c r="N89" s="184">
        <v>0</v>
      </c>
      <c r="O89" s="184">
        <v>0</v>
      </c>
      <c r="P89" s="184">
        <f t="shared" si="60"/>
        <v>0</v>
      </c>
      <c r="Q89" s="183">
        <f t="shared" ref="Q89:Q91" ca="1" si="66">+V89/$V$96 * $Q$96</f>
        <v>46186.934605698349</v>
      </c>
      <c r="R89" s="187">
        <f t="shared" ca="1" si="61"/>
        <v>-12063.786753259817</v>
      </c>
      <c r="S89" s="192" t="s">
        <v>266</v>
      </c>
      <c r="T89" s="190">
        <f t="shared" ca="1" si="62"/>
        <v>-12063.786753259817</v>
      </c>
      <c r="U89" s="464">
        <v>0</v>
      </c>
      <c r="V89" s="189">
        <f t="shared" ca="1" si="63"/>
        <v>-58250.721358958166</v>
      </c>
      <c r="W89" t="str">
        <f t="shared" si="64"/>
        <v>S.072</v>
      </c>
    </row>
    <row r="90" spans="1:23" ht="17.25" customHeight="1">
      <c r="A90" s="194" t="s">
        <v>455</v>
      </c>
      <c r="B90" s="166" t="s">
        <v>191</v>
      </c>
      <c r="C90" s="191" t="str">
        <f t="shared" ca="1" si="49"/>
        <v>Siloam Springs - Siloam Springs City 161 kV Rebuild</v>
      </c>
      <c r="D90" s="182">
        <f t="shared" ca="1" si="49"/>
        <v>2019</v>
      </c>
      <c r="E90" s="183">
        <v>0</v>
      </c>
      <c r="F90" s="184">
        <f t="shared" ca="1" si="49"/>
        <v>0</v>
      </c>
      <c r="G90" s="184">
        <f t="shared" ca="1" si="58"/>
        <v>0</v>
      </c>
      <c r="H90" s="168"/>
      <c r="I90" s="185">
        <f t="shared" ca="1" si="57"/>
        <v>17701.324890621356</v>
      </c>
      <c r="J90" s="186">
        <v>480147.95917487302</v>
      </c>
      <c r="K90" s="186">
        <f t="shared" si="65"/>
        <v>511682.34058033867</v>
      </c>
      <c r="L90" s="183">
        <f t="shared" si="59"/>
        <v>-31534.381405465654</v>
      </c>
      <c r="M90" s="183"/>
      <c r="N90" s="184">
        <v>0</v>
      </c>
      <c r="O90" s="184">
        <v>0</v>
      </c>
      <c r="P90" s="184">
        <f t="shared" si="60"/>
        <v>0</v>
      </c>
      <c r="Q90" s="183">
        <f t="shared" ca="1" si="66"/>
        <v>10968.215701757794</v>
      </c>
      <c r="R90" s="187">
        <f t="shared" ca="1" si="61"/>
        <v>-2864.8408130865046</v>
      </c>
      <c r="S90" s="192" t="s">
        <v>266</v>
      </c>
      <c r="T90" s="190">
        <f t="shared" ca="1" si="62"/>
        <v>-2864.8408130865046</v>
      </c>
      <c r="U90" s="464">
        <v>0</v>
      </c>
      <c r="V90" s="189">
        <f t="shared" ca="1" si="63"/>
        <v>-13833.056514844298</v>
      </c>
      <c r="W90" t="str">
        <f t="shared" si="64"/>
        <v>S.073</v>
      </c>
    </row>
    <row r="91" spans="1:23" ht="13">
      <c r="A91" s="194" t="s">
        <v>461</v>
      </c>
      <c r="B91" s="166" t="s">
        <v>191</v>
      </c>
      <c r="C91" s="191" t="str">
        <f t="shared" ca="1" si="49"/>
        <v>Figure Five - VBI North 69 kV Rebuild</v>
      </c>
      <c r="D91" s="182">
        <f t="shared" ca="1" si="49"/>
        <v>2019</v>
      </c>
      <c r="E91" s="183">
        <v>0</v>
      </c>
      <c r="F91" s="184">
        <f t="shared" ca="1" si="49"/>
        <v>0</v>
      </c>
      <c r="G91" s="184">
        <f t="shared" ca="1" si="58"/>
        <v>0</v>
      </c>
      <c r="H91" s="195"/>
      <c r="I91" s="185">
        <f t="shared" ca="1" si="57"/>
        <v>10605.938204814447</v>
      </c>
      <c r="J91" s="186">
        <v>363581.373477204</v>
      </c>
      <c r="K91" s="186">
        <f t="shared" si="65"/>
        <v>387460.08312090673</v>
      </c>
      <c r="L91" s="183">
        <f t="shared" si="59"/>
        <v>-23878.709643702721</v>
      </c>
      <c r="M91" s="195"/>
      <c r="N91" s="184">
        <v>0</v>
      </c>
      <c r="O91" s="184">
        <v>0</v>
      </c>
      <c r="P91" s="184">
        <f t="shared" si="60"/>
        <v>0</v>
      </c>
      <c r="Q91" s="183">
        <f t="shared" ca="1" si="66"/>
        <v>10523.966264840736</v>
      </c>
      <c r="R91" s="187">
        <f t="shared" ca="1" si="61"/>
        <v>-2748.8051740475385</v>
      </c>
      <c r="S91" s="195"/>
      <c r="T91" s="190">
        <f t="shared" ca="1" si="62"/>
        <v>-2748.8051740475385</v>
      </c>
      <c r="U91" s="466">
        <v>0</v>
      </c>
      <c r="V91" s="189">
        <f t="shared" ca="1" si="63"/>
        <v>-13272.771438888274</v>
      </c>
      <c r="W91" t="str">
        <f t="shared" si="64"/>
        <v>S.074</v>
      </c>
    </row>
    <row r="92" spans="1:23" ht="13">
      <c r="A92" s="194" t="s">
        <v>491</v>
      </c>
      <c r="B92" s="166" t="s">
        <v>191</v>
      </c>
      <c r="C92" s="191" t="str">
        <f t="shared" ca="1" si="49"/>
        <v>Siloam Springs 161 kV Rebuild</v>
      </c>
      <c r="D92" s="182">
        <f t="shared" ca="1" si="49"/>
        <v>2024</v>
      </c>
      <c r="E92" s="183"/>
      <c r="F92" s="184">
        <f t="shared" ca="1" si="49"/>
        <v>0</v>
      </c>
      <c r="G92" s="184"/>
      <c r="H92" s="195"/>
      <c r="I92" s="185">
        <f t="shared" ca="1" si="57"/>
        <v>18383.268450253083</v>
      </c>
      <c r="J92" s="186">
        <v>219.09323232184698</v>
      </c>
      <c r="K92" s="186">
        <f t="shared" ref="K92:K94" si="67">J92/J$96*K$96</f>
        <v>233.48248342533265</v>
      </c>
      <c r="L92" s="183">
        <f t="shared" ref="L92:L94" si="68">+J92-K92</f>
        <v>-14.389251103485662</v>
      </c>
      <c r="M92" s="195"/>
      <c r="N92" s="184">
        <v>0</v>
      </c>
      <c r="O92" s="184">
        <v>0</v>
      </c>
      <c r="P92" s="184">
        <f t="shared" ref="P92:P94" si="69">+N92-O92</f>
        <v>0</v>
      </c>
      <c r="Q92" s="183">
        <f t="shared" ref="Q92:Q94" ca="1" si="70">+V92/$V$96 * $Q$96</f>
        <v>-14564.664652356658</v>
      </c>
      <c r="R92" s="187">
        <f t="shared" ref="R92:R94" ca="1" si="71">I92+L92+P92+Q92</f>
        <v>3804.2145467929386</v>
      </c>
      <c r="S92" s="195"/>
      <c r="T92" s="190">
        <f t="shared" ref="T92:T94" ca="1" si="72">+G92+R92</f>
        <v>3804.2145467929386</v>
      </c>
      <c r="U92" s="466">
        <v>0</v>
      </c>
      <c r="V92" s="189">
        <f t="shared" ca="1" si="63"/>
        <v>18368.879199149596</v>
      </c>
      <c r="W92" t="str">
        <f t="shared" si="64"/>
        <v>S.075</v>
      </c>
    </row>
    <row r="93" spans="1:23" ht="13">
      <c r="A93" s="194" t="s">
        <v>492</v>
      </c>
      <c r="B93" s="166" t="s">
        <v>191</v>
      </c>
      <c r="C93" s="191" t="str">
        <f t="shared" ca="1" si="49"/>
        <v>Shreveport - Wallace Lake 138 kV Rebuild</v>
      </c>
      <c r="D93" s="182">
        <f t="shared" ca="1" si="49"/>
        <v>2024</v>
      </c>
      <c r="E93" s="183"/>
      <c r="F93" s="184">
        <f t="shared" ca="1" si="49"/>
        <v>0</v>
      </c>
      <c r="G93" s="184"/>
      <c r="H93" s="195"/>
      <c r="I93" s="185">
        <f t="shared" ca="1" si="57"/>
        <v>780966.92014854506</v>
      </c>
      <c r="J93" s="186"/>
      <c r="K93" s="186">
        <f t="shared" si="67"/>
        <v>0</v>
      </c>
      <c r="L93" s="183">
        <f t="shared" si="68"/>
        <v>0</v>
      </c>
      <c r="M93" s="195"/>
      <c r="N93" s="184">
        <v>0</v>
      </c>
      <c r="O93" s="184">
        <v>0</v>
      </c>
      <c r="P93" s="184">
        <f t="shared" si="69"/>
        <v>0</v>
      </c>
      <c r="Q93" s="183">
        <f t="shared" ca="1" si="70"/>
        <v>-619227.83492821665</v>
      </c>
      <c r="R93" s="187">
        <f t="shared" ca="1" si="71"/>
        <v>161739.08522032842</v>
      </c>
      <c r="S93" s="195"/>
      <c r="T93" s="190">
        <f t="shared" ca="1" si="72"/>
        <v>161739.08522032842</v>
      </c>
      <c r="U93" s="466">
        <v>0</v>
      </c>
      <c r="V93" s="189">
        <f t="shared" ca="1" si="63"/>
        <v>780966.92014854506</v>
      </c>
      <c r="W93" t="str">
        <f t="shared" si="64"/>
        <v>S.076</v>
      </c>
    </row>
    <row r="94" spans="1:23" ht="13">
      <c r="A94" s="194" t="s">
        <v>493</v>
      </c>
      <c r="B94" s="166" t="s">
        <v>191</v>
      </c>
      <c r="C94" s="191" t="str">
        <f t="shared" ca="1" si="49"/>
        <v>Layfield 500 kV Terminal Upgrades</v>
      </c>
      <c r="D94" s="182">
        <f t="shared" ca="1" si="49"/>
        <v>2016</v>
      </c>
      <c r="E94" s="183"/>
      <c r="F94" s="184">
        <f t="shared" ca="1" si="49"/>
        <v>0</v>
      </c>
      <c r="G94" s="184"/>
      <c r="H94" s="195"/>
      <c r="I94" s="185">
        <f t="shared" ca="1" si="57"/>
        <v>4275475.9300917406</v>
      </c>
      <c r="J94" s="186"/>
      <c r="K94" s="186">
        <f t="shared" si="67"/>
        <v>0</v>
      </c>
      <c r="L94" s="183">
        <f t="shared" si="68"/>
        <v>0</v>
      </c>
      <c r="M94" s="195"/>
      <c r="N94" s="184">
        <v>0</v>
      </c>
      <c r="O94" s="184">
        <v>0</v>
      </c>
      <c r="P94" s="184">
        <f t="shared" si="69"/>
        <v>0</v>
      </c>
      <c r="Q94" s="183">
        <f t="shared" ca="1" si="70"/>
        <v>-3390020.2878949614</v>
      </c>
      <c r="R94" s="187">
        <f t="shared" ca="1" si="71"/>
        <v>885455.64219677914</v>
      </c>
      <c r="S94" s="195"/>
      <c r="T94" s="190">
        <f t="shared" ca="1" si="72"/>
        <v>885455.64219677914</v>
      </c>
      <c r="U94" s="466">
        <v>0</v>
      </c>
      <c r="V94" s="189">
        <f t="shared" ca="1" si="63"/>
        <v>4275475.9300917406</v>
      </c>
      <c r="W94" t="str">
        <f t="shared" si="64"/>
        <v>S.077</v>
      </c>
    </row>
    <row r="95" spans="1:23" ht="13">
      <c r="A95" s="168"/>
      <c r="B95" s="168"/>
      <c r="C95" s="168"/>
      <c r="D95" s="166"/>
      <c r="E95" s="195"/>
      <c r="F95" s="195"/>
      <c r="G95" s="195"/>
      <c r="H95" s="187"/>
      <c r="I95" s="195"/>
      <c r="J95" s="195"/>
      <c r="K95" s="195"/>
      <c r="L95" s="195"/>
      <c r="M95" s="195"/>
      <c r="N95" s="195"/>
      <c r="O95" s="195"/>
      <c r="P95" s="195"/>
      <c r="Q95" s="195"/>
      <c r="R95" s="195"/>
      <c r="S95" s="187"/>
      <c r="T95" s="196"/>
      <c r="V95" s="179"/>
    </row>
    <row r="96" spans="1:23" ht="13">
      <c r="A96" s="168"/>
      <c r="B96" s="168"/>
      <c r="C96" s="180" t="s">
        <v>247</v>
      </c>
      <c r="D96" s="166"/>
      <c r="E96" s="187">
        <f>SUM(E18:E91)</f>
        <v>0</v>
      </c>
      <c r="F96" s="187">
        <f ca="1">SUM(F18:F94)</f>
        <v>0</v>
      </c>
      <c r="G96" s="187">
        <f ca="1">SUM(G18:G91)</f>
        <v>0</v>
      </c>
      <c r="H96" s="187"/>
      <c r="I96" s="187">
        <f ca="1">ROUND(SUM(I18:I95),0)</f>
        <v>4033065</v>
      </c>
      <c r="J96" s="187">
        <f>SUM(J18:J95)</f>
        <v>79324253.917924985</v>
      </c>
      <c r="K96" s="190">
        <v>84533984.022892088</v>
      </c>
      <c r="L96" s="187">
        <f>SUM(L18:L95)</f>
        <v>-5209730.1049671033</v>
      </c>
      <c r="M96" s="187"/>
      <c r="N96" s="187">
        <f>SUM(N18:N95)</f>
        <v>0</v>
      </c>
      <c r="O96" s="187">
        <f>SUM(O18:O95)</f>
        <v>0</v>
      </c>
      <c r="P96" s="187">
        <f>SUM(P18:P95)</f>
        <v>0</v>
      </c>
      <c r="Q96" s="457">
        <v>932976.13809149433</v>
      </c>
      <c r="R96" s="187">
        <f ca="1">SUM(R18:R95)</f>
        <v>-243688.50784106972</v>
      </c>
      <c r="S96" s="187"/>
      <c r="T96" s="197">
        <f ca="1">SUM(T18:T95)</f>
        <v>-243688.50784106972</v>
      </c>
      <c r="U96" s="197">
        <f>SUM(U18:U95)</f>
        <v>0</v>
      </c>
      <c r="V96" s="198">
        <f ca="1">SUM(V18:V95)</f>
        <v>-1176664.6459325636</v>
      </c>
      <c r="W96" s="199" t="s">
        <v>372</v>
      </c>
    </row>
    <row r="97" spans="1:23" ht="13.5" thickBot="1">
      <c r="A97" s="168"/>
      <c r="B97" s="168"/>
      <c r="C97" s="200"/>
      <c r="D97" s="168"/>
      <c r="E97" s="201"/>
      <c r="F97" s="187"/>
      <c r="G97" s="187"/>
      <c r="H97" s="168"/>
      <c r="I97" s="202" t="str">
        <f ca="1">IF(I96='SWE.WS.G.BPU.ATRR.True-up'!N19,"","Error")</f>
        <v/>
      </c>
      <c r="J97" s="201"/>
      <c r="K97" s="203" t="str">
        <f>IF(K96=SUM(K18:K95),"","Error -- check allocations above).")</f>
        <v/>
      </c>
      <c r="L97" s="204"/>
      <c r="M97" s="204"/>
      <c r="N97" s="204"/>
      <c r="O97" s="204"/>
      <c r="P97" s="204"/>
      <c r="Q97" s="203" t="str">
        <f ca="1">IF(ROUND(Q96,0)=ROUND(SUM(Q18:Q95),0),"","Error -- check allocations above).")</f>
        <v/>
      </c>
      <c r="R97" s="187"/>
      <c r="S97" s="187"/>
      <c r="T97" s="187"/>
      <c r="V97" s="205"/>
      <c r="W97" s="199"/>
    </row>
    <row r="98" spans="1:23" ht="12.5">
      <c r="A98" s="168"/>
      <c r="B98" s="168"/>
      <c r="C98" s="206" t="s">
        <v>267</v>
      </c>
      <c r="D98" s="168"/>
      <c r="E98" s="187"/>
      <c r="F98" s="187"/>
      <c r="G98" s="187"/>
      <c r="H98" s="168"/>
      <c r="I98" s="207"/>
      <c r="J98" s="207"/>
      <c r="K98" s="204"/>
      <c r="L98" s="168"/>
      <c r="M98" s="168"/>
      <c r="N98" s="204"/>
      <c r="O98" s="204"/>
      <c r="P98" s="204"/>
      <c r="Q98" s="204"/>
      <c r="R98" s="187"/>
      <c r="S98" s="187"/>
      <c r="T98" s="187"/>
    </row>
    <row r="99" spans="1:23" ht="12.5">
      <c r="A99" s="168"/>
      <c r="B99" s="168"/>
      <c r="C99" s="206"/>
      <c r="D99" s="168"/>
      <c r="E99" s="187"/>
      <c r="F99" s="187"/>
      <c r="G99" s="187"/>
      <c r="H99" s="168"/>
      <c r="I99" s="208"/>
      <c r="J99" s="208"/>
      <c r="K99" s="186"/>
      <c r="L99" s="168" t="s">
        <v>475</v>
      </c>
      <c r="M99" s="168"/>
      <c r="N99" s="204"/>
      <c r="O99" s="204"/>
      <c r="P99" s="204"/>
      <c r="Q99" s="209"/>
      <c r="R99" s="204"/>
      <c r="S99" s="168"/>
      <c r="T99" s="168"/>
    </row>
    <row r="100" spans="1:23" ht="12.5">
      <c r="E100" s="210"/>
      <c r="F100" s="210"/>
      <c r="G100" s="210"/>
      <c r="I100" s="210"/>
      <c r="K100" s="210"/>
      <c r="N100" s="211"/>
      <c r="O100" s="211"/>
      <c r="P100" s="211"/>
      <c r="Q100" s="211"/>
      <c r="R100" s="211"/>
    </row>
    <row r="101" spans="1:23" ht="12.5">
      <c r="E101" s="210"/>
      <c r="F101" s="210"/>
      <c r="G101" s="210"/>
      <c r="K101" s="212"/>
      <c r="V101" t="s">
        <v>221</v>
      </c>
    </row>
    <row r="102" spans="1:23" ht="12.5">
      <c r="A102" s="213" t="s">
        <v>188</v>
      </c>
      <c r="B102" s="214"/>
      <c r="C102" s="214"/>
      <c r="D102" s="214"/>
      <c r="E102" s="215"/>
      <c r="F102" s="215"/>
      <c r="G102" s="215"/>
      <c r="H102" s="214"/>
      <c r="I102" s="214"/>
      <c r="J102" s="214"/>
      <c r="K102" s="214"/>
      <c r="L102" s="214"/>
      <c r="M102" s="214"/>
      <c r="N102" s="214"/>
      <c r="O102" s="216"/>
      <c r="V102" t="s">
        <v>222</v>
      </c>
    </row>
    <row r="103" spans="1:23" ht="15.5">
      <c r="A103" s="217" t="s">
        <v>213</v>
      </c>
      <c r="C103" s="7" t="str">
        <f ca="1">RIGHT(CELL("address",S.001!D7),4)</f>
        <v>$D$7</v>
      </c>
      <c r="D103" s="7" t="str">
        <f ca="1">RIGHT(CELL("address",S.001!D11),4)</f>
        <v>D$11</v>
      </c>
      <c r="E103" s="7" t="str">
        <f ca="1">RIGHT(CELL("address",S.001!N5),4)</f>
        <v>$N$5</v>
      </c>
      <c r="F103" s="7" t="str">
        <f ca="1">RIGHT(CELL("address",S.001!N7),4)</f>
        <v>$N$7</v>
      </c>
      <c r="H103" s="163"/>
      <c r="I103" s="7" t="str">
        <f ca="1">RIGHT(CELL("address",S.001!M89),4)</f>
        <v>M$89</v>
      </c>
      <c r="J103" s="7"/>
      <c r="N103" s="7" t="str">
        <f ca="1">RIGHT(CELL("address",S.001!N87),4)</f>
        <v>N$87</v>
      </c>
      <c r="O103" s="218" t="str">
        <f ca="1">RIGHT(CELL("address",S.001!N88),4)</f>
        <v>N$88</v>
      </c>
      <c r="P103" s="25" t="s">
        <v>189</v>
      </c>
      <c r="V103" t="s">
        <v>223</v>
      </c>
    </row>
    <row r="104" spans="1:23" ht="12.5">
      <c r="A104" s="219" t="s">
        <v>214</v>
      </c>
      <c r="B104" s="220"/>
      <c r="C104" s="220"/>
      <c r="D104" s="220"/>
      <c r="E104" s="221"/>
      <c r="F104" s="221"/>
      <c r="G104" s="221"/>
      <c r="H104" s="220"/>
      <c r="I104" s="220"/>
      <c r="J104" s="220"/>
      <c r="K104" s="220"/>
      <c r="L104" s="220"/>
      <c r="M104" s="220"/>
      <c r="N104" s="220"/>
      <c r="O104" s="222"/>
      <c r="V104" t="s">
        <v>224</v>
      </c>
    </row>
    <row r="105" spans="1:23" ht="12.5">
      <c r="E105" s="210"/>
      <c r="F105" s="210"/>
      <c r="G105" s="210"/>
      <c r="V105" s="223" t="s">
        <v>269</v>
      </c>
    </row>
    <row r="108" spans="1:23" ht="12.75" customHeight="1">
      <c r="E108" s="7"/>
      <c r="F108" s="7"/>
      <c r="G108" s="7"/>
      <c r="H108" s="7"/>
      <c r="I108" s="224"/>
      <c r="J108" s="224"/>
    </row>
    <row r="109" spans="1:23" ht="12.75" customHeight="1">
      <c r="K109" t="s">
        <v>475</v>
      </c>
    </row>
    <row r="110" spans="1:23" ht="12.75" customHeight="1">
      <c r="E110" s="225"/>
      <c r="F110" s="225"/>
      <c r="G110" s="212"/>
      <c r="H110" s="212"/>
      <c r="I110" s="226"/>
      <c r="J110" s="227"/>
      <c r="Q110">
        <v>0.21027907354085415</v>
      </c>
    </row>
    <row r="111" spans="1:23" ht="12.75" customHeight="1">
      <c r="E111" s="225"/>
      <c r="F111" s="225"/>
      <c r="G111" s="212"/>
      <c r="H111" s="212"/>
      <c r="I111" s="226"/>
      <c r="J111" s="227"/>
      <c r="Q111">
        <v>0.27457810168699082</v>
      </c>
    </row>
    <row r="112" spans="1:23" ht="12.75" customHeight="1">
      <c r="E112" s="225"/>
      <c r="F112" s="225"/>
      <c r="G112" s="212"/>
      <c r="H112" s="212"/>
      <c r="I112" s="226"/>
      <c r="J112" s="227"/>
      <c r="Q112">
        <v>0.34037945119928553</v>
      </c>
    </row>
    <row r="113" spans="5:17" ht="12.75" customHeight="1">
      <c r="E113" s="225"/>
      <c r="F113" s="225"/>
      <c r="G113" s="212"/>
      <c r="H113" s="212"/>
      <c r="I113" s="226"/>
      <c r="J113" s="227"/>
      <c r="Q113">
        <v>0.22100965230606592</v>
      </c>
    </row>
    <row r="114" spans="5:17" ht="12.75" customHeight="1">
      <c r="E114" s="225"/>
      <c r="F114" s="225"/>
      <c r="G114" s="212"/>
      <c r="H114" s="212"/>
      <c r="I114" s="226"/>
      <c r="J114" s="227"/>
      <c r="Q114">
        <v>0.12091392199188648</v>
      </c>
    </row>
    <row r="115" spans="5:17" ht="12.75" customHeight="1">
      <c r="E115" s="225"/>
      <c r="F115" s="225"/>
      <c r="G115" s="212"/>
      <c r="H115" s="212"/>
      <c r="I115" s="226"/>
      <c r="J115" s="227"/>
      <c r="Q115">
        <v>0.31551609897125821</v>
      </c>
    </row>
    <row r="116" spans="5:17" ht="12.75" customHeight="1">
      <c r="E116" s="225"/>
      <c r="F116" s="225"/>
      <c r="G116" s="212"/>
      <c r="H116" s="212"/>
      <c r="I116" s="226"/>
      <c r="J116" s="227"/>
    </row>
    <row r="117" spans="5:17" ht="12.75" customHeight="1">
      <c r="E117" s="225"/>
      <c r="F117" s="225"/>
      <c r="G117" s="212"/>
      <c r="H117" s="212"/>
      <c r="I117" s="226"/>
      <c r="J117" s="227"/>
    </row>
    <row r="118" spans="5:17" ht="12.75" customHeight="1">
      <c r="E118" s="225"/>
      <c r="F118" s="225"/>
      <c r="G118" s="212"/>
      <c r="H118" s="212"/>
      <c r="I118" s="226"/>
      <c r="J118" s="227"/>
    </row>
    <row r="119" spans="5:17" ht="12.75" customHeight="1">
      <c r="E119" s="225"/>
      <c r="F119" s="225"/>
      <c r="G119" s="212"/>
      <c r="H119" s="212"/>
      <c r="I119" s="226"/>
      <c r="J119" s="227"/>
    </row>
    <row r="120" spans="5:17" ht="12.75" customHeight="1">
      <c r="E120" s="225"/>
      <c r="F120" s="225"/>
      <c r="G120" s="212"/>
      <c r="H120" s="212"/>
      <c r="I120" s="226"/>
      <c r="J120" s="227"/>
    </row>
    <row r="121" spans="5:17" ht="12.75" customHeight="1">
      <c r="E121" s="225"/>
      <c r="F121" s="225"/>
      <c r="G121" s="212"/>
      <c r="H121" s="212"/>
      <c r="I121" s="226"/>
      <c r="J121" s="227"/>
    </row>
    <row r="122" spans="5:17" ht="12.75" customHeight="1">
      <c r="E122" s="225"/>
      <c r="F122" s="225"/>
      <c r="G122" s="212"/>
      <c r="H122" s="212"/>
      <c r="I122" s="226"/>
      <c r="J122" s="227"/>
    </row>
    <row r="123" spans="5:17" ht="12.75" customHeight="1">
      <c r="E123" s="225"/>
      <c r="F123" s="225"/>
      <c r="G123" s="212"/>
      <c r="H123" s="212"/>
      <c r="I123" s="226"/>
      <c r="J123" s="227"/>
    </row>
    <row r="124" spans="5:17" ht="12.75" customHeight="1">
      <c r="E124" s="225"/>
      <c r="F124" s="225"/>
      <c r="G124" s="212"/>
      <c r="H124" s="212"/>
      <c r="I124" s="226"/>
      <c r="J124" s="227"/>
    </row>
    <row r="125" spans="5:17" ht="12.75" customHeight="1">
      <c r="E125" s="225"/>
      <c r="F125" s="225"/>
      <c r="G125" s="212"/>
      <c r="H125" s="212"/>
      <c r="I125" s="226"/>
      <c r="J125" s="227"/>
    </row>
    <row r="126" spans="5:17" ht="12.75" customHeight="1">
      <c r="E126" s="225"/>
      <c r="F126" s="225"/>
      <c r="G126" s="212"/>
      <c r="H126" s="212"/>
      <c r="I126" s="226"/>
      <c r="J126" s="227"/>
    </row>
    <row r="127" spans="5:17" ht="12.75" customHeight="1">
      <c r="E127" s="225"/>
      <c r="F127" s="225"/>
      <c r="G127" s="212"/>
      <c r="H127" s="212"/>
      <c r="I127" s="226"/>
      <c r="J127" s="227"/>
    </row>
    <row r="128" spans="5:17" ht="12.75" customHeight="1">
      <c r="E128" s="225"/>
      <c r="F128" s="225"/>
      <c r="G128" s="212"/>
      <c r="H128" s="212"/>
      <c r="I128" s="226"/>
      <c r="J128" s="227"/>
    </row>
    <row r="129" spans="5:10" ht="12.75" customHeight="1">
      <c r="E129" s="225"/>
      <c r="F129" s="225"/>
      <c r="G129" s="212"/>
      <c r="H129" s="212"/>
      <c r="I129" s="226"/>
      <c r="J129" s="227"/>
    </row>
    <row r="130" spans="5:10" ht="12.75" customHeight="1">
      <c r="E130" s="225"/>
      <c r="F130" s="225"/>
      <c r="G130" s="212"/>
      <c r="H130" s="212"/>
      <c r="I130" s="226"/>
      <c r="J130" s="227"/>
    </row>
    <row r="131" spans="5:10" ht="12.75" customHeight="1">
      <c r="E131" s="225"/>
      <c r="F131" s="225"/>
      <c r="G131" s="212"/>
      <c r="H131" s="212"/>
      <c r="I131" s="226"/>
      <c r="J131" s="227"/>
    </row>
    <row r="132" spans="5:10" ht="12.75" customHeight="1">
      <c r="E132" s="225"/>
      <c r="F132" s="225"/>
      <c r="G132" s="212"/>
      <c r="H132" s="212"/>
      <c r="I132" s="226"/>
      <c r="J132" s="227"/>
    </row>
    <row r="133" spans="5:10" ht="12.75" customHeight="1">
      <c r="E133" s="225"/>
      <c r="F133" s="225"/>
      <c r="G133" s="212"/>
      <c r="H133" s="212"/>
      <c r="I133" s="226"/>
      <c r="J133" s="227"/>
    </row>
    <row r="134" spans="5:10" ht="12.75" customHeight="1">
      <c r="E134" s="225"/>
      <c r="F134" s="225"/>
      <c r="G134" s="212"/>
      <c r="H134" s="212"/>
      <c r="I134" s="226"/>
      <c r="J134" s="227"/>
    </row>
    <row r="135" spans="5:10" ht="12.75" customHeight="1">
      <c r="E135" s="225"/>
      <c r="F135" s="225"/>
      <c r="G135" s="212"/>
      <c r="H135" s="212"/>
      <c r="I135" s="226"/>
      <c r="J135" s="227"/>
    </row>
    <row r="136" spans="5:10" ht="12.75" customHeight="1">
      <c r="E136" s="225"/>
      <c r="F136" s="225"/>
      <c r="G136" s="212"/>
      <c r="H136" s="212"/>
      <c r="I136" s="226"/>
      <c r="J136" s="227"/>
    </row>
    <row r="137" spans="5:10" ht="12.75" customHeight="1">
      <c r="E137" s="225"/>
      <c r="F137" s="225"/>
      <c r="G137" s="212"/>
      <c r="H137" s="212"/>
      <c r="I137" s="226"/>
      <c r="J137" s="227"/>
    </row>
    <row r="138" spans="5:10" ht="12.75" customHeight="1">
      <c r="E138" s="225"/>
      <c r="F138" s="225"/>
      <c r="G138" s="212"/>
      <c r="H138" s="212"/>
      <c r="I138" s="226"/>
      <c r="J138" s="227"/>
    </row>
    <row r="139" spans="5:10" ht="12.75" customHeight="1">
      <c r="E139" s="225"/>
      <c r="F139" s="225"/>
      <c r="G139" s="212"/>
      <c r="H139" s="212"/>
      <c r="I139" s="226"/>
      <c r="J139" s="227"/>
    </row>
    <row r="140" spans="5:10" ht="12.75" customHeight="1">
      <c r="E140" s="225"/>
      <c r="F140" s="225"/>
      <c r="G140" s="212"/>
      <c r="H140" s="212"/>
      <c r="I140" s="226"/>
      <c r="J140" s="227"/>
    </row>
    <row r="141" spans="5:10" ht="12.75" customHeight="1">
      <c r="E141" s="225"/>
      <c r="F141" s="225"/>
      <c r="G141" s="212"/>
      <c r="H141" s="212"/>
      <c r="I141" s="226"/>
      <c r="J141" s="227"/>
    </row>
    <row r="142" spans="5:10" ht="12.75" customHeight="1">
      <c r="E142" s="225"/>
      <c r="F142" s="225"/>
      <c r="G142" s="212"/>
      <c r="H142" s="212"/>
      <c r="I142" s="226"/>
      <c r="J142" s="227"/>
    </row>
    <row r="143" spans="5:10" ht="12.75" customHeight="1">
      <c r="E143" s="225"/>
      <c r="F143" s="225"/>
      <c r="G143" s="212"/>
      <c r="H143" s="212"/>
      <c r="I143" s="226"/>
      <c r="J143" s="227"/>
    </row>
    <row r="144" spans="5:10" ht="12.75" customHeight="1">
      <c r="E144" s="225"/>
      <c r="F144" s="225"/>
      <c r="G144" s="212"/>
      <c r="H144" s="212"/>
      <c r="I144" s="226"/>
      <c r="J144" s="227"/>
    </row>
    <row r="145" spans="5:10" ht="12.75" customHeight="1">
      <c r="E145" s="225"/>
      <c r="F145" s="225"/>
      <c r="G145" s="212"/>
      <c r="H145" s="212"/>
      <c r="I145" s="226"/>
      <c r="J145" s="227"/>
    </row>
    <row r="146" spans="5:10" ht="12.75" customHeight="1">
      <c r="E146" s="225"/>
      <c r="F146" s="225"/>
      <c r="G146" s="212"/>
      <c r="H146" s="212"/>
      <c r="I146" s="226"/>
      <c r="J146" s="227"/>
    </row>
    <row r="147" spans="5:10" ht="12.75" customHeight="1">
      <c r="E147" s="225"/>
      <c r="F147" s="225"/>
      <c r="G147" s="212"/>
      <c r="H147" s="212"/>
      <c r="I147" s="226"/>
      <c r="J147" s="227"/>
    </row>
    <row r="148" spans="5:10" ht="12.75" customHeight="1">
      <c r="E148" s="225"/>
      <c r="F148" s="225"/>
      <c r="G148" s="212"/>
      <c r="H148" s="212"/>
      <c r="I148" s="226"/>
      <c r="J148" s="227"/>
    </row>
    <row r="149" spans="5:10" ht="12.75" customHeight="1">
      <c r="E149" s="225"/>
      <c r="F149" s="225"/>
      <c r="G149" s="212"/>
      <c r="H149" s="212"/>
      <c r="I149" s="226"/>
      <c r="J149" s="227"/>
    </row>
    <row r="150" spans="5:10" ht="12.75" customHeight="1">
      <c r="E150" s="225"/>
      <c r="F150" s="225"/>
      <c r="G150" s="212"/>
      <c r="H150" s="212"/>
      <c r="I150" s="226"/>
      <c r="J150" s="227"/>
    </row>
    <row r="151" spans="5:10" ht="12.75" customHeight="1">
      <c r="E151" s="225"/>
      <c r="F151" s="225"/>
      <c r="G151" s="212"/>
      <c r="H151" s="212"/>
      <c r="I151" s="226"/>
      <c r="J151" s="227"/>
    </row>
    <row r="152" spans="5:10" ht="12.75" customHeight="1">
      <c r="E152" s="225"/>
      <c r="F152" s="225"/>
      <c r="G152" s="212"/>
      <c r="H152" s="212"/>
      <c r="I152" s="226"/>
      <c r="J152" s="227"/>
    </row>
    <row r="153" spans="5:10" ht="12.75" customHeight="1">
      <c r="E153" s="225"/>
      <c r="F153" s="225"/>
      <c r="G153" s="212"/>
      <c r="H153" s="212"/>
      <c r="I153" s="226"/>
      <c r="J153" s="227"/>
    </row>
    <row r="154" spans="5:10" ht="12.75" customHeight="1">
      <c r="E154" s="225"/>
      <c r="F154" s="225"/>
      <c r="G154" s="212"/>
      <c r="H154" s="212"/>
      <c r="I154" s="226"/>
      <c r="J154" s="227"/>
    </row>
    <row r="155" spans="5:10" ht="12.75" customHeight="1">
      <c r="E155" s="225"/>
      <c r="F155" s="225"/>
      <c r="G155" s="212"/>
      <c r="H155" s="212"/>
      <c r="I155" s="226"/>
      <c r="J155" s="227"/>
    </row>
    <row r="156" spans="5:10" ht="12.75" customHeight="1">
      <c r="E156" s="225"/>
      <c r="F156" s="225"/>
      <c r="G156" s="212"/>
      <c r="H156" s="212"/>
      <c r="I156" s="226"/>
      <c r="J156" s="227"/>
    </row>
    <row r="157" spans="5:10" ht="12.75" customHeight="1">
      <c r="E157" s="225"/>
      <c r="F157" s="225"/>
      <c r="G157" s="212"/>
      <c r="H157" s="212"/>
      <c r="I157" s="226"/>
      <c r="J157" s="227"/>
    </row>
    <row r="158" spans="5:10" ht="12.75" customHeight="1">
      <c r="E158" s="225"/>
      <c r="F158" s="225"/>
      <c r="G158" s="212"/>
      <c r="H158" s="212"/>
      <c r="I158" s="226"/>
      <c r="J158" s="227"/>
    </row>
    <row r="159" spans="5:10" ht="12.75" customHeight="1">
      <c r="E159" s="225"/>
      <c r="F159" s="225"/>
      <c r="G159" s="212"/>
      <c r="H159" s="212"/>
      <c r="I159" s="226"/>
      <c r="J159" s="227"/>
    </row>
    <row r="160" spans="5:10" ht="12.75" customHeight="1">
      <c r="E160" s="225"/>
      <c r="F160" s="225"/>
      <c r="G160" s="212"/>
      <c r="H160" s="212"/>
      <c r="I160" s="226"/>
      <c r="J160" s="227"/>
    </row>
    <row r="161" spans="5:10" ht="12.75" customHeight="1">
      <c r="E161" s="225"/>
      <c r="F161" s="225"/>
      <c r="G161" s="212"/>
      <c r="H161" s="212"/>
      <c r="I161" s="226"/>
      <c r="J161" s="227"/>
    </row>
    <row r="162" spans="5:10" ht="12.75" customHeight="1">
      <c r="E162" s="225"/>
      <c r="F162" s="225"/>
      <c r="G162" s="212"/>
      <c r="H162" s="212"/>
      <c r="I162" s="226"/>
      <c r="J162" s="227"/>
    </row>
    <row r="163" spans="5:10" ht="12.75" customHeight="1">
      <c r="E163" s="225"/>
      <c r="F163" s="225"/>
      <c r="G163" s="212"/>
      <c r="H163" s="212"/>
      <c r="I163" s="226"/>
      <c r="J163" s="227"/>
    </row>
    <row r="164" spans="5:10" ht="12.75" customHeight="1">
      <c r="E164" s="225"/>
      <c r="F164" s="225"/>
      <c r="G164" s="212"/>
      <c r="H164" s="212"/>
      <c r="I164" s="226"/>
      <c r="J164" s="227"/>
    </row>
    <row r="165" spans="5:10" ht="12.75" customHeight="1">
      <c r="E165" s="225"/>
      <c r="F165" s="225"/>
      <c r="G165" s="212"/>
      <c r="H165" s="212"/>
      <c r="I165" s="226"/>
      <c r="J165" s="227"/>
    </row>
    <row r="166" spans="5:10" ht="12.75" customHeight="1">
      <c r="E166" s="225"/>
      <c r="F166" s="225"/>
      <c r="G166" s="212"/>
      <c r="H166" s="212"/>
      <c r="I166" s="226"/>
      <c r="J166" s="227"/>
    </row>
    <row r="167" spans="5:10" ht="12.75" customHeight="1">
      <c r="E167" s="225"/>
      <c r="F167" s="225"/>
      <c r="G167" s="212"/>
      <c r="H167" s="212"/>
      <c r="I167" s="226"/>
      <c r="J167" s="227"/>
    </row>
    <row r="168" spans="5:10" ht="12.75" customHeight="1">
      <c r="E168" s="225"/>
      <c r="F168" s="225"/>
      <c r="G168" s="212"/>
      <c r="H168" s="212"/>
      <c r="I168" s="226"/>
      <c r="J168" s="227"/>
    </row>
    <row r="169" spans="5:10" ht="12.75" customHeight="1">
      <c r="E169" s="225"/>
      <c r="F169" s="225"/>
      <c r="G169" s="212"/>
      <c r="H169" s="212"/>
      <c r="I169" s="226"/>
      <c r="J169" s="227"/>
    </row>
    <row r="170" spans="5:10" ht="12.75" customHeight="1">
      <c r="E170" s="225"/>
      <c r="F170" s="225"/>
      <c r="G170" s="212"/>
      <c r="H170" s="212"/>
      <c r="I170" s="226"/>
      <c r="J170" s="227"/>
    </row>
    <row r="171" spans="5:10" ht="12.75" customHeight="1">
      <c r="E171" s="225"/>
      <c r="F171" s="225"/>
      <c r="G171" s="212"/>
      <c r="H171" s="212"/>
      <c r="I171" s="226"/>
      <c r="J171" s="227"/>
    </row>
    <row r="172" spans="5:10" ht="12.75" customHeight="1">
      <c r="E172" s="225"/>
      <c r="F172" s="225"/>
      <c r="G172" s="212"/>
      <c r="H172" s="212"/>
      <c r="I172" s="226"/>
      <c r="J172" s="227"/>
    </row>
    <row r="173" spans="5:10" ht="12.75" customHeight="1">
      <c r="E173" s="225"/>
      <c r="F173" s="225"/>
      <c r="G173" s="212"/>
      <c r="H173" s="212"/>
      <c r="I173" s="226"/>
      <c r="J173" s="227"/>
    </row>
    <row r="174" spans="5:10" ht="12.75" customHeight="1">
      <c r="E174" s="225"/>
      <c r="F174" s="225"/>
      <c r="G174" s="212"/>
      <c r="H174" s="212"/>
      <c r="I174" s="226"/>
      <c r="J174" s="227"/>
    </row>
    <row r="175" spans="5:10" ht="12.75" customHeight="1">
      <c r="E175" s="225"/>
      <c r="F175" s="225"/>
      <c r="G175" s="212"/>
      <c r="H175" s="212"/>
      <c r="I175" s="226"/>
      <c r="J175" s="227"/>
    </row>
    <row r="176" spans="5:10" ht="12.75" customHeight="1">
      <c r="E176" s="225"/>
      <c r="F176" s="225"/>
      <c r="G176" s="212"/>
      <c r="H176" s="212"/>
      <c r="I176" s="226"/>
      <c r="J176" s="227"/>
    </row>
    <row r="177" spans="5:10" ht="12.75" customHeight="1">
      <c r="E177" s="225"/>
      <c r="F177" s="225"/>
      <c r="G177" s="212"/>
      <c r="H177" s="212"/>
      <c r="I177" s="226"/>
      <c r="J177" s="227"/>
    </row>
    <row r="178" spans="5:10" ht="12.75" customHeight="1">
      <c r="E178" s="225"/>
      <c r="F178" s="225"/>
      <c r="G178" s="212"/>
      <c r="H178" s="212"/>
      <c r="I178" s="226"/>
      <c r="J178" s="227"/>
    </row>
    <row r="179" spans="5:10" ht="12.75" customHeight="1">
      <c r="E179" s="225"/>
      <c r="F179" s="225"/>
      <c r="G179" s="212"/>
      <c r="H179" s="212"/>
      <c r="I179" s="226"/>
      <c r="J179" s="227"/>
    </row>
    <row r="180" spans="5:10" ht="12.75" customHeight="1">
      <c r="E180" s="225"/>
      <c r="F180" s="225"/>
      <c r="G180" s="212"/>
      <c r="H180" s="212"/>
      <c r="I180" s="226"/>
      <c r="J180" s="227"/>
    </row>
    <row r="181" spans="5:10" ht="12.75" customHeight="1">
      <c r="E181" s="212"/>
      <c r="F181" s="212"/>
      <c r="H181" s="212"/>
      <c r="I181" s="212"/>
      <c r="J181" s="212"/>
    </row>
    <row r="182" spans="5:10" ht="12.75" customHeight="1">
      <c r="E182" s="212"/>
      <c r="F182" s="212"/>
      <c r="G182" s="212"/>
      <c r="H182" s="212"/>
      <c r="I182" s="212"/>
      <c r="J182" s="212"/>
    </row>
  </sheetData>
  <mergeCells count="2">
    <mergeCell ref="E13:G13"/>
    <mergeCell ref="T14:T16"/>
  </mergeCells>
  <phoneticPr fontId="62" type="noConversion"/>
  <pageMargins left="0.25" right="0.25" top="1" bottom="1" header="0.65" footer="0.5"/>
  <pageSetup scale="52" fitToHeight="0" orientation="landscape" horizontalDpi="1200" verticalDpi="1200" r:id="rId1"/>
  <headerFooter alignWithMargins="0">
    <oddHeader xml:space="preserve">&amp;R&amp;16AEP - SPP Formula Rate
Schedule 11 Revenue Requirements
Southwestern Electric Power Company
Page: &amp;P of &amp;N
</oddHeader>
    <oddFooter>&amp;L&amp;A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5">
    <tabColor indexed="16"/>
  </sheetPr>
  <dimension ref="A1:Q162"/>
  <sheetViews>
    <sheetView topLeftCell="A10" zoomScaleNormal="100" zoomScaleSheetLayoutView="80" workbookViewId="0">
      <selection activeCell="D33" sqref="D33:H33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"&amp;RIGHT(MID(CELL("filename",$A$1),FIND("]",CELL("filename",$A$1))+1,256),1)&amp;" of "&amp;COUNT(S.001:S.077!$P$3)</f>
        <v>SWEPCO Project 7 of 77</v>
      </c>
      <c r="Q1" s="411" t="s">
        <v>165</v>
      </c>
    </row>
    <row r="2" spans="1:17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7679.5085788913384</v>
      </c>
      <c r="P5" s="1"/>
    </row>
    <row r="6" spans="1:17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7679.5085788913384</v>
      </c>
      <c r="O6" s="1"/>
      <c r="P6" s="1"/>
    </row>
    <row r="7" spans="1:17" ht="13.5" thickBot="1">
      <c r="C7" s="25" t="s">
        <v>48</v>
      </c>
      <c r="D7" s="127" t="s">
        <v>234</v>
      </c>
      <c r="E7" s="1"/>
      <c r="F7" s="1"/>
      <c r="G7" s="1"/>
      <c r="H7" s="412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85" t="str">
        <f>IF(D10&lt;100000,"DOES NOT MEET SPP $100,000 MINIMUM INVESTMENT FOR REGIONAL BPU SHARING.","")</f>
        <v>DOES NOT MEET SPP $100,000 MINIMUM INVESTMENT FOR REGIONAL BPU SHARING.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146</v>
      </c>
      <c r="E9" s="31" t="s">
        <v>496</v>
      </c>
      <c r="F9" s="462">
        <v>30151</v>
      </c>
      <c r="G9" s="31"/>
      <c r="H9" s="31"/>
      <c r="I9" s="32"/>
      <c r="J9" s="33"/>
      <c r="P9" s="1"/>
    </row>
    <row r="10" spans="1:17" ht="13">
      <c r="C10" s="34" t="s">
        <v>51</v>
      </c>
      <c r="D10" s="363">
        <v>77750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7" ht="12.5">
      <c r="C11" s="34" t="s">
        <v>54</v>
      </c>
      <c r="D11" s="37">
        <v>2009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3">
        <v>5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1767.0454545454545</v>
      </c>
      <c r="J14" s="293"/>
      <c r="K14" s="293"/>
      <c r="L14" s="293"/>
      <c r="M14" s="293"/>
      <c r="N14" s="293"/>
      <c r="O14" s="1"/>
      <c r="P14" s="1"/>
    </row>
    <row r="15" spans="1:17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2009</v>
      </c>
      <c r="D17" s="133">
        <v>64397</v>
      </c>
      <c r="E17" s="374">
        <v>1015</v>
      </c>
      <c r="F17" s="133">
        <v>63382</v>
      </c>
      <c r="G17" s="374">
        <v>0</v>
      </c>
      <c r="H17" s="375">
        <v>0</v>
      </c>
      <c r="I17" s="153">
        <f t="shared" ref="I17:I48" si="0">H17-G17</f>
        <v>0</v>
      </c>
      <c r="J17" s="52"/>
      <c r="K17" s="112">
        <v>0</v>
      </c>
      <c r="L17" s="53">
        <f t="shared" ref="L17:L48" si="1">IF(K17&lt;&gt;0,+G17-K17,0)</f>
        <v>0</v>
      </c>
      <c r="M17" s="112">
        <v>0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2010</v>
      </c>
      <c r="D18" s="137">
        <v>81941</v>
      </c>
      <c r="E18" s="376">
        <v>2183</v>
      </c>
      <c r="F18" s="137">
        <v>79757</v>
      </c>
      <c r="G18" s="376">
        <v>13649</v>
      </c>
      <c r="H18" s="375">
        <v>13649</v>
      </c>
      <c r="I18" s="141">
        <v>0</v>
      </c>
      <c r="J18" s="52"/>
      <c r="K18" s="113">
        <f t="shared" ref="K18:K23" si="4">G18</f>
        <v>13649</v>
      </c>
      <c r="L18" s="54">
        <f t="shared" si="1"/>
        <v>0</v>
      </c>
      <c r="M18" s="113">
        <f t="shared" ref="M18:M23" si="5">H18</f>
        <v>13649</v>
      </c>
      <c r="N18" s="54">
        <f t="shared" si="2"/>
        <v>0</v>
      </c>
      <c r="O18" s="54">
        <f t="shared" si="3"/>
        <v>0</v>
      </c>
      <c r="P18" s="1"/>
    </row>
    <row r="19" spans="2:16" ht="12.5">
      <c r="B19" s="7" t="str">
        <f>IF(D19=F18,"","IU")</f>
        <v>IU</v>
      </c>
      <c r="C19" s="50">
        <f>IF(D11="","-",+C18+1)</f>
        <v>2011</v>
      </c>
      <c r="D19" s="137">
        <v>74552</v>
      </c>
      <c r="E19" s="376">
        <v>1896.3414634146341</v>
      </c>
      <c r="F19" s="137">
        <v>72655.658536585368</v>
      </c>
      <c r="G19" s="376">
        <v>13244.587478742107</v>
      </c>
      <c r="H19" s="375">
        <v>13244.587478742107</v>
      </c>
      <c r="I19" s="141">
        <v>0</v>
      </c>
      <c r="J19" s="52"/>
      <c r="K19" s="113">
        <f t="shared" si="4"/>
        <v>13244.587478742107</v>
      </c>
      <c r="L19" s="54">
        <f t="shared" si="1"/>
        <v>0</v>
      </c>
      <c r="M19" s="113">
        <f t="shared" si="5"/>
        <v>13244.587478742107</v>
      </c>
      <c r="N19" s="54">
        <f t="shared" si="2"/>
        <v>0</v>
      </c>
      <c r="O19" s="54">
        <f t="shared" si="3"/>
        <v>0</v>
      </c>
      <c r="P19" s="1"/>
    </row>
    <row r="20" spans="2:16" ht="12.5">
      <c r="B20" s="7" t="str">
        <f t="shared" ref="B20:B72" si="6">IF(D20=F19,"","IU")</f>
        <v/>
      </c>
      <c r="C20" s="50">
        <f>IF(D11="","-",+C19+1)</f>
        <v>2012</v>
      </c>
      <c r="D20" s="137">
        <v>72655.658536585368</v>
      </c>
      <c r="E20" s="376">
        <v>1851.1904761904761</v>
      </c>
      <c r="F20" s="137">
        <v>70804.468060394895</v>
      </c>
      <c r="G20" s="376">
        <v>12381.24088352887</v>
      </c>
      <c r="H20" s="375">
        <v>12381.24088352887</v>
      </c>
      <c r="I20" s="141">
        <v>0</v>
      </c>
      <c r="J20" s="52"/>
      <c r="K20" s="113">
        <f t="shared" si="4"/>
        <v>12381.24088352887</v>
      </c>
      <c r="L20" s="54">
        <f t="shared" si="1"/>
        <v>0</v>
      </c>
      <c r="M20" s="113">
        <f t="shared" si="5"/>
        <v>12381.24088352887</v>
      </c>
      <c r="N20" s="54">
        <f t="shared" si="2"/>
        <v>0</v>
      </c>
      <c r="O20" s="54">
        <f t="shared" si="3"/>
        <v>0</v>
      </c>
      <c r="P20" s="1"/>
    </row>
    <row r="21" spans="2:16" ht="12.5">
      <c r="B21" s="7" t="str">
        <f t="shared" si="6"/>
        <v/>
      </c>
      <c r="C21" s="50">
        <f>IF(D12="","-",+C20+1)</f>
        <v>2013</v>
      </c>
      <c r="D21" s="137">
        <v>70804.468060394895</v>
      </c>
      <c r="E21" s="376">
        <v>1851.1904761904761</v>
      </c>
      <c r="F21" s="137">
        <v>68953.277584204421</v>
      </c>
      <c r="G21" s="376">
        <v>11503.75860476607</v>
      </c>
      <c r="H21" s="375">
        <v>11503.75860476607</v>
      </c>
      <c r="I21" s="153">
        <v>0</v>
      </c>
      <c r="J21" s="52"/>
      <c r="K21" s="113">
        <f t="shared" si="4"/>
        <v>11503.75860476607</v>
      </c>
      <c r="L21" s="54">
        <f t="shared" ref="L21:L26" si="7">IF(K21&lt;&gt;0,+G21-K21,0)</f>
        <v>0</v>
      </c>
      <c r="M21" s="113">
        <f t="shared" si="5"/>
        <v>11503.75860476607</v>
      </c>
      <c r="N21" s="54">
        <f t="shared" ref="N21:N26" si="8">IF(M21&lt;&gt;0,+H21-M21,0)</f>
        <v>0</v>
      </c>
      <c r="O21" s="54">
        <f t="shared" ref="O21:O26" si="9">+N21-L21</f>
        <v>0</v>
      </c>
      <c r="P21" s="1"/>
    </row>
    <row r="22" spans="2:16" ht="12.5">
      <c r="B22" s="7" t="str">
        <f t="shared" si="6"/>
        <v/>
      </c>
      <c r="C22" s="50">
        <f>IF(D11="","-",+C21+1)</f>
        <v>2014</v>
      </c>
      <c r="D22" s="137">
        <v>68953.277584204421</v>
      </c>
      <c r="E22" s="376">
        <v>1851.1904761904761</v>
      </c>
      <c r="F22" s="137">
        <v>67102.087108013948</v>
      </c>
      <c r="G22" s="376">
        <v>10903.96715256805</v>
      </c>
      <c r="H22" s="375">
        <v>10903.96715256805</v>
      </c>
      <c r="I22" s="153">
        <v>0</v>
      </c>
      <c r="J22" s="52"/>
      <c r="K22" s="113">
        <f t="shared" si="4"/>
        <v>10903.96715256805</v>
      </c>
      <c r="L22" s="54">
        <f t="shared" si="7"/>
        <v>0</v>
      </c>
      <c r="M22" s="113">
        <f t="shared" si="5"/>
        <v>10903.96715256805</v>
      </c>
      <c r="N22" s="54">
        <f t="shared" si="8"/>
        <v>0</v>
      </c>
      <c r="O22" s="54">
        <f t="shared" si="9"/>
        <v>0</v>
      </c>
      <c r="P22" s="1"/>
    </row>
    <row r="23" spans="2:16" ht="12.5">
      <c r="B23" s="7" t="str">
        <f t="shared" si="6"/>
        <v/>
      </c>
      <c r="C23" s="50">
        <f>IF(D11="","-",+C22+1)</f>
        <v>2015</v>
      </c>
      <c r="D23" s="137">
        <v>67102.087108013948</v>
      </c>
      <c r="E23" s="376">
        <v>1851.1904761904761</v>
      </c>
      <c r="F23" s="137">
        <v>65250.896631823474</v>
      </c>
      <c r="G23" s="376">
        <v>10445.046830532348</v>
      </c>
      <c r="H23" s="375">
        <v>10445.046830532348</v>
      </c>
      <c r="I23" s="52">
        <v>0</v>
      </c>
      <c r="J23" s="52"/>
      <c r="K23" s="113">
        <f t="shared" si="4"/>
        <v>10445.046830532348</v>
      </c>
      <c r="L23" s="54">
        <f t="shared" si="7"/>
        <v>0</v>
      </c>
      <c r="M23" s="113">
        <f t="shared" si="5"/>
        <v>10445.046830532348</v>
      </c>
      <c r="N23" s="54">
        <f t="shared" si="8"/>
        <v>0</v>
      </c>
      <c r="O23" s="54">
        <f t="shared" si="9"/>
        <v>0</v>
      </c>
      <c r="P23" s="1"/>
    </row>
    <row r="24" spans="2:16" ht="12.5">
      <c r="B24" s="7" t="str">
        <f t="shared" si="6"/>
        <v/>
      </c>
      <c r="C24" s="50">
        <f>IF(D11="","-",+C23+1)</f>
        <v>2016</v>
      </c>
      <c r="D24" s="137">
        <v>65250.896631823474</v>
      </c>
      <c r="E24" s="376">
        <v>1851.1904761904761</v>
      </c>
      <c r="F24" s="137">
        <v>63399.706155633001</v>
      </c>
      <c r="G24" s="376">
        <v>10098.222669121984</v>
      </c>
      <c r="H24" s="375">
        <v>10098.222669121984</v>
      </c>
      <c r="I24" s="52">
        <f t="shared" si="0"/>
        <v>0</v>
      </c>
      <c r="J24" s="52"/>
      <c r="K24" s="113">
        <f t="shared" ref="K24:K29" si="10">G24</f>
        <v>10098.222669121984</v>
      </c>
      <c r="L24" s="54">
        <f t="shared" si="7"/>
        <v>0</v>
      </c>
      <c r="M24" s="113">
        <f t="shared" ref="M24:M29" si="11">H24</f>
        <v>10098.222669121984</v>
      </c>
      <c r="N24" s="54">
        <f t="shared" si="8"/>
        <v>0</v>
      </c>
      <c r="O24" s="54">
        <f t="shared" si="9"/>
        <v>0</v>
      </c>
      <c r="P24" s="1"/>
    </row>
    <row r="25" spans="2:16" ht="12.5">
      <c r="B25" s="7" t="str">
        <f t="shared" si="6"/>
        <v/>
      </c>
      <c r="C25" s="50">
        <f>IF(D11="","-",+C24+1)</f>
        <v>2017</v>
      </c>
      <c r="D25" s="137">
        <v>63399.706155633001</v>
      </c>
      <c r="E25" s="376">
        <v>1808.1395348837209</v>
      </c>
      <c r="F25" s="137">
        <v>61591.566620749283</v>
      </c>
      <c r="G25" s="376">
        <v>9550.8822669869332</v>
      </c>
      <c r="H25" s="375">
        <v>9550.8822669869332</v>
      </c>
      <c r="I25" s="52">
        <f t="shared" si="0"/>
        <v>0</v>
      </c>
      <c r="J25" s="52"/>
      <c r="K25" s="113">
        <f t="shared" si="10"/>
        <v>9550.8822669869332</v>
      </c>
      <c r="L25" s="54">
        <f t="shared" si="7"/>
        <v>0</v>
      </c>
      <c r="M25" s="113">
        <f t="shared" si="11"/>
        <v>9550.8822669869332</v>
      </c>
      <c r="N25" s="54">
        <f t="shared" si="8"/>
        <v>0</v>
      </c>
      <c r="O25" s="54">
        <f t="shared" si="9"/>
        <v>0</v>
      </c>
      <c r="P25" s="1"/>
    </row>
    <row r="26" spans="2:16" ht="12.5">
      <c r="B26" s="7" t="str">
        <f t="shared" si="6"/>
        <v/>
      </c>
      <c r="C26" s="50">
        <f>IF(D11="","-",+C25+1)</f>
        <v>2018</v>
      </c>
      <c r="D26" s="137">
        <v>61591.566620749283</v>
      </c>
      <c r="E26" s="376">
        <v>1896.3414634146341</v>
      </c>
      <c r="F26" s="137">
        <v>59695.225157334651</v>
      </c>
      <c r="G26" s="376">
        <v>9603.7592198821312</v>
      </c>
      <c r="H26" s="375">
        <v>9603.7592198821312</v>
      </c>
      <c r="I26" s="52">
        <f t="shared" si="0"/>
        <v>0</v>
      </c>
      <c r="J26" s="52"/>
      <c r="K26" s="113">
        <f t="shared" si="10"/>
        <v>9603.7592198821312</v>
      </c>
      <c r="L26" s="54">
        <f t="shared" si="7"/>
        <v>0</v>
      </c>
      <c r="M26" s="113">
        <f t="shared" si="11"/>
        <v>9603.7592198821312</v>
      </c>
      <c r="N26" s="54">
        <f t="shared" si="8"/>
        <v>0</v>
      </c>
      <c r="O26" s="54">
        <f t="shared" si="9"/>
        <v>0</v>
      </c>
      <c r="P26" s="1"/>
    </row>
    <row r="27" spans="2:16" ht="12.5">
      <c r="B27" s="7" t="str">
        <f t="shared" si="6"/>
        <v/>
      </c>
      <c r="C27" s="50">
        <f>IF(D11="","-",+C26+1)</f>
        <v>2019</v>
      </c>
      <c r="D27" s="137">
        <v>59695.225157334651</v>
      </c>
      <c r="E27" s="376">
        <v>1896.3414634146341</v>
      </c>
      <c r="F27" s="137">
        <v>57798.883693920019</v>
      </c>
      <c r="G27" s="376">
        <v>9362.7454103291529</v>
      </c>
      <c r="H27" s="375">
        <v>9362.7454103291529</v>
      </c>
      <c r="I27" s="52">
        <f t="shared" si="0"/>
        <v>0</v>
      </c>
      <c r="J27" s="52"/>
      <c r="K27" s="113">
        <f t="shared" si="10"/>
        <v>9362.7454103291529</v>
      </c>
      <c r="L27" s="54">
        <f t="shared" ref="L27" si="12">IF(K27&lt;&gt;0,+G27-K27,0)</f>
        <v>0</v>
      </c>
      <c r="M27" s="113">
        <f t="shared" si="11"/>
        <v>9362.7454103291529</v>
      </c>
      <c r="N27" s="54">
        <f t="shared" si="2"/>
        <v>0</v>
      </c>
      <c r="O27" s="54">
        <f t="shared" si="3"/>
        <v>0</v>
      </c>
      <c r="P27" s="1"/>
    </row>
    <row r="28" spans="2:16" ht="12.5">
      <c r="B28" s="7" t="str">
        <f t="shared" si="6"/>
        <v/>
      </c>
      <c r="C28" s="50">
        <f>IF(D11="","-",+C27+1)</f>
        <v>2020</v>
      </c>
      <c r="D28" s="137">
        <v>57798.883693920019</v>
      </c>
      <c r="E28" s="376">
        <v>1896.3414634146341</v>
      </c>
      <c r="F28" s="137">
        <v>55902.542230505387</v>
      </c>
      <c r="G28" s="376">
        <v>7714.1850577819459</v>
      </c>
      <c r="H28" s="375">
        <v>7714.1850577819459</v>
      </c>
      <c r="I28" s="52">
        <f t="shared" si="0"/>
        <v>0</v>
      </c>
      <c r="J28" s="52"/>
      <c r="K28" s="113">
        <f t="shared" si="10"/>
        <v>7714.1850577819459</v>
      </c>
      <c r="L28" s="54">
        <f t="shared" ref="L28" si="13">IF(K28&lt;&gt;0,+G28-K28,0)</f>
        <v>0</v>
      </c>
      <c r="M28" s="113">
        <f t="shared" si="11"/>
        <v>7714.1850577819459</v>
      </c>
      <c r="N28" s="54">
        <f t="shared" si="2"/>
        <v>0</v>
      </c>
      <c r="O28" s="54">
        <f t="shared" si="3"/>
        <v>0</v>
      </c>
      <c r="P28" s="1"/>
    </row>
    <row r="29" spans="2:16" ht="12.5">
      <c r="B29" s="7" t="str">
        <f t="shared" si="6"/>
        <v>IU</v>
      </c>
      <c r="C29" s="50">
        <f>IF(D11="","-",+C28+1)</f>
        <v>2021</v>
      </c>
      <c r="D29" s="137">
        <v>55990.744159036272</v>
      </c>
      <c r="E29" s="376">
        <v>1851.1904761904761</v>
      </c>
      <c r="F29" s="137">
        <v>54139.553682845799</v>
      </c>
      <c r="G29" s="376">
        <v>7688.3465352590638</v>
      </c>
      <c r="H29" s="375">
        <v>7688.3465352590638</v>
      </c>
      <c r="I29" s="52">
        <f t="shared" si="0"/>
        <v>0</v>
      </c>
      <c r="J29" s="52"/>
      <c r="K29" s="113">
        <f t="shared" si="10"/>
        <v>7688.3465352590638</v>
      </c>
      <c r="L29" s="54">
        <f t="shared" ref="L29" si="14">IF(K29&lt;&gt;0,+G29-K29,0)</f>
        <v>0</v>
      </c>
      <c r="M29" s="113">
        <f t="shared" si="11"/>
        <v>7688.3465352590638</v>
      </c>
      <c r="N29" s="54">
        <f t="shared" si="2"/>
        <v>0</v>
      </c>
      <c r="O29" s="54">
        <f t="shared" si="3"/>
        <v>0</v>
      </c>
      <c r="P29" s="1"/>
    </row>
    <row r="30" spans="2:16" ht="12.5">
      <c r="B30" s="7" t="str">
        <f t="shared" si="6"/>
        <v>IU</v>
      </c>
      <c r="C30" s="50">
        <f>IF(D11="","-",+C29+1)</f>
        <v>2022</v>
      </c>
      <c r="D30" s="137">
        <v>54051.351754314877</v>
      </c>
      <c r="E30" s="376">
        <v>1851.1904761904761</v>
      </c>
      <c r="F30" s="137">
        <v>52200.161278124404</v>
      </c>
      <c r="G30" s="376">
        <v>7824.8681888866868</v>
      </c>
      <c r="H30" s="375">
        <v>7824.8681888866868</v>
      </c>
      <c r="I30" s="52">
        <f t="shared" si="0"/>
        <v>0</v>
      </c>
      <c r="J30" s="52"/>
      <c r="K30" s="113">
        <f t="shared" ref="K30" si="15">G30</f>
        <v>7824.8681888866868</v>
      </c>
      <c r="L30" s="54">
        <f t="shared" ref="L30" si="16">IF(K30&lt;&gt;0,+G30-K30,0)</f>
        <v>0</v>
      </c>
      <c r="M30" s="113">
        <f t="shared" ref="M30" si="17">H30</f>
        <v>7824.8681888866868</v>
      </c>
      <c r="N30" s="54">
        <f t="shared" si="2"/>
        <v>0</v>
      </c>
      <c r="O30" s="54">
        <f t="shared" si="3"/>
        <v>0</v>
      </c>
      <c r="P30" s="1"/>
    </row>
    <row r="31" spans="2:16" ht="12.5">
      <c r="B31" s="7" t="str">
        <f t="shared" si="6"/>
        <v/>
      </c>
      <c r="C31" s="50">
        <f>IF(D11="","-",+C30+1)</f>
        <v>2023</v>
      </c>
      <c r="D31" s="137">
        <v>52200.161278124404</v>
      </c>
      <c r="E31" s="376">
        <v>1851.1904761904761</v>
      </c>
      <c r="F31" s="137">
        <v>50348.97080193393</v>
      </c>
      <c r="G31" s="376">
        <v>8328.5417090766241</v>
      </c>
      <c r="H31" s="375">
        <v>8328.5417090766241</v>
      </c>
      <c r="I31" s="52">
        <f t="shared" si="0"/>
        <v>0</v>
      </c>
      <c r="J31" s="52"/>
      <c r="K31" s="113">
        <f t="shared" ref="K31" si="18">G31</f>
        <v>8328.5417090766241</v>
      </c>
      <c r="L31" s="54">
        <f t="shared" ref="L31" si="19">IF(K31&lt;&gt;0,+G31-K31,0)</f>
        <v>0</v>
      </c>
      <c r="M31" s="113">
        <f t="shared" ref="M31" si="20">H31</f>
        <v>8328.5417090766241</v>
      </c>
      <c r="N31" s="54">
        <f t="shared" si="2"/>
        <v>0</v>
      </c>
      <c r="O31" s="54">
        <f t="shared" si="3"/>
        <v>0</v>
      </c>
      <c r="P31" s="1"/>
    </row>
    <row r="32" spans="2:16" ht="12.5">
      <c r="B32" s="7" t="str">
        <f t="shared" si="6"/>
        <v/>
      </c>
      <c r="C32" s="50">
        <f>IF(D11="","-",+C31+1)</f>
        <v>2024</v>
      </c>
      <c r="D32" s="137">
        <v>50348.97080193393</v>
      </c>
      <c r="E32" s="376">
        <v>1767.0454545454545</v>
      </c>
      <c r="F32" s="137">
        <v>48581.925347388475</v>
      </c>
      <c r="G32" s="376">
        <v>7679.5085788913384</v>
      </c>
      <c r="H32" s="375">
        <v>7679.5085788913384</v>
      </c>
      <c r="I32" s="52">
        <f t="shared" si="0"/>
        <v>0</v>
      </c>
      <c r="J32" s="52"/>
      <c r="K32" s="113">
        <f t="shared" ref="K32" si="21">G32</f>
        <v>7679.5085788913384</v>
      </c>
      <c r="L32" s="54">
        <f t="shared" ref="L32" si="22">IF(K32&lt;&gt;0,+G32-K32,0)</f>
        <v>0</v>
      </c>
      <c r="M32" s="113">
        <f t="shared" ref="M32" si="23">H32</f>
        <v>7679.5085788913384</v>
      </c>
      <c r="N32" s="54">
        <f t="shared" ref="N32" si="24">IF(M32&lt;&gt;0,+H32-M32,0)</f>
        <v>0</v>
      </c>
      <c r="O32" s="54">
        <f t="shared" ref="O32" si="25">+N32-L32</f>
        <v>0</v>
      </c>
      <c r="P32" s="1"/>
    </row>
    <row r="33" spans="2:16" ht="12.5">
      <c r="B33" s="7" t="str">
        <f t="shared" si="6"/>
        <v/>
      </c>
      <c r="C33" s="50">
        <f>IF(D11="","-",+C32+1)</f>
        <v>2025</v>
      </c>
      <c r="D33" s="55">
        <f>IF(F32+SUM(E$17:E32)=D$10,F32,D$10-SUM(E$17:E32))</f>
        <v>48581.925347388475</v>
      </c>
      <c r="E33" s="378">
        <f>IF(+I14&lt;F32,I14,D33)</f>
        <v>1767.0454545454545</v>
      </c>
      <c r="F33" s="55">
        <f t="shared" ref="F33:F48" si="26">+D33-E33</f>
        <v>46814.879892843019</v>
      </c>
      <c r="G33" s="379">
        <f t="shared" ref="G33:G72" si="27">+I$12*((D33+F33)/2)+E33</f>
        <v>7468.2987042072182</v>
      </c>
      <c r="H33" s="364">
        <f t="shared" ref="H33:H72" si="28">+I$13*((D33+F33)/2)+E33</f>
        <v>7468.2987042072182</v>
      </c>
      <c r="I33" s="52">
        <f t="shared" si="0"/>
        <v>0</v>
      </c>
      <c r="J33" s="52"/>
      <c r="K33" s="129"/>
      <c r="L33" s="54">
        <f t="shared" si="1"/>
        <v>0</v>
      </c>
      <c r="M33" s="129"/>
      <c r="N33" s="54">
        <f t="shared" si="2"/>
        <v>0</v>
      </c>
      <c r="O33" s="54">
        <f t="shared" si="3"/>
        <v>0</v>
      </c>
      <c r="P33" s="1"/>
    </row>
    <row r="34" spans="2:16" ht="12.5">
      <c r="B34" s="7" t="str">
        <f t="shared" si="6"/>
        <v/>
      </c>
      <c r="C34" s="50">
        <f>IF(D11="","-",+C33+1)</f>
        <v>2026</v>
      </c>
      <c r="D34" s="55">
        <f>IF(F33+SUM(E$17:E33)=D$10,F33,D$10-SUM(E$17:E33))</f>
        <v>46814.879892843019</v>
      </c>
      <c r="E34" s="378">
        <f>IF(+I14&lt;F33,I14,D34)</f>
        <v>1767.0454545454545</v>
      </c>
      <c r="F34" s="55">
        <f t="shared" si="26"/>
        <v>45047.834438297563</v>
      </c>
      <c r="G34" s="379">
        <f t="shared" si="27"/>
        <v>7257.0888295230998</v>
      </c>
      <c r="H34" s="364">
        <f t="shared" si="28"/>
        <v>7257.0888295230998</v>
      </c>
      <c r="I34" s="52">
        <f t="shared" si="0"/>
        <v>0</v>
      </c>
      <c r="J34" s="52"/>
      <c r="K34" s="129"/>
      <c r="L34" s="54">
        <f t="shared" si="1"/>
        <v>0</v>
      </c>
      <c r="M34" s="129"/>
      <c r="N34" s="54">
        <f t="shared" si="2"/>
        <v>0</v>
      </c>
      <c r="O34" s="54">
        <f t="shared" si="3"/>
        <v>0</v>
      </c>
      <c r="P34" s="1"/>
    </row>
    <row r="35" spans="2:16" ht="12.5">
      <c r="B35" s="7" t="str">
        <f t="shared" si="6"/>
        <v/>
      </c>
      <c r="C35" s="50">
        <f>IF(D11="","-",+C34+1)</f>
        <v>2027</v>
      </c>
      <c r="D35" s="55">
        <f>IF(F34+SUM(E$17:E34)=D$10,F34,D$10-SUM(E$17:E34))</f>
        <v>45047.834438297563</v>
      </c>
      <c r="E35" s="378">
        <f>IF(+I14&lt;F34,I14,D35)</f>
        <v>1767.0454545454545</v>
      </c>
      <c r="F35" s="55">
        <f t="shared" si="26"/>
        <v>43280.788983752107</v>
      </c>
      <c r="G35" s="379">
        <f t="shared" si="27"/>
        <v>7045.8789548389796</v>
      </c>
      <c r="H35" s="364">
        <f t="shared" si="28"/>
        <v>7045.8789548389796</v>
      </c>
      <c r="I35" s="52">
        <f t="shared" si="0"/>
        <v>0</v>
      </c>
      <c r="J35" s="52"/>
      <c r="K35" s="129"/>
      <c r="L35" s="54">
        <f t="shared" si="1"/>
        <v>0</v>
      </c>
      <c r="M35" s="129"/>
      <c r="N35" s="54">
        <f t="shared" si="2"/>
        <v>0</v>
      </c>
      <c r="O35" s="54">
        <f t="shared" si="3"/>
        <v>0</v>
      </c>
      <c r="P35" s="1"/>
    </row>
    <row r="36" spans="2:16" ht="12.5">
      <c r="B36" s="7" t="str">
        <f t="shared" si="6"/>
        <v/>
      </c>
      <c r="C36" s="50">
        <f>IF(D11="","-",+C35+1)</f>
        <v>2028</v>
      </c>
      <c r="D36" s="55">
        <f>IF(F35+SUM(E$17:E35)=D$10,F35,D$10-SUM(E$17:E35))</f>
        <v>43280.788983752107</v>
      </c>
      <c r="E36" s="378">
        <f>IF(+I14&lt;F35,I14,D36)</f>
        <v>1767.0454545454545</v>
      </c>
      <c r="F36" s="55">
        <f t="shared" si="26"/>
        <v>41513.743529206651</v>
      </c>
      <c r="G36" s="379">
        <f t="shared" si="27"/>
        <v>6834.6690801548593</v>
      </c>
      <c r="H36" s="364">
        <f t="shared" si="28"/>
        <v>6834.6690801548593</v>
      </c>
      <c r="I36" s="52">
        <f t="shared" si="0"/>
        <v>0</v>
      </c>
      <c r="J36" s="52"/>
      <c r="K36" s="129"/>
      <c r="L36" s="54">
        <f t="shared" si="1"/>
        <v>0</v>
      </c>
      <c r="M36" s="129"/>
      <c r="N36" s="54">
        <f t="shared" si="2"/>
        <v>0</v>
      </c>
      <c r="O36" s="54">
        <f t="shared" si="3"/>
        <v>0</v>
      </c>
      <c r="P36" s="1"/>
    </row>
    <row r="37" spans="2:16" ht="12.5">
      <c r="B37" s="7" t="str">
        <f t="shared" si="6"/>
        <v/>
      </c>
      <c r="C37" s="50">
        <f>IF(D11="","-",+C36+1)</f>
        <v>2029</v>
      </c>
      <c r="D37" s="55">
        <f>IF(F36+SUM(E$17:E36)=D$10,F36,D$10-SUM(E$17:E36))</f>
        <v>41513.743529206651</v>
      </c>
      <c r="E37" s="378">
        <f>IF(+I14&lt;F36,I14,D37)</f>
        <v>1767.0454545454545</v>
      </c>
      <c r="F37" s="55">
        <f t="shared" si="26"/>
        <v>39746.698074661195</v>
      </c>
      <c r="G37" s="379">
        <f t="shared" si="27"/>
        <v>6623.4592054707409</v>
      </c>
      <c r="H37" s="364">
        <f t="shared" si="28"/>
        <v>6623.4592054707409</v>
      </c>
      <c r="I37" s="52">
        <f t="shared" si="0"/>
        <v>0</v>
      </c>
      <c r="J37" s="52"/>
      <c r="K37" s="129"/>
      <c r="L37" s="54">
        <f t="shared" si="1"/>
        <v>0</v>
      </c>
      <c r="M37" s="129"/>
      <c r="N37" s="54">
        <f t="shared" si="2"/>
        <v>0</v>
      </c>
      <c r="O37" s="54">
        <f t="shared" si="3"/>
        <v>0</v>
      </c>
      <c r="P37" s="1"/>
    </row>
    <row r="38" spans="2:16" ht="12.5">
      <c r="B38" s="7" t="str">
        <f t="shared" si="6"/>
        <v/>
      </c>
      <c r="C38" s="50">
        <f>IF(D11="","-",+C37+1)</f>
        <v>2030</v>
      </c>
      <c r="D38" s="55">
        <f>IF(F37+SUM(E$17:E37)=D$10,F37,D$10-SUM(E$17:E37))</f>
        <v>39746.698074661195</v>
      </c>
      <c r="E38" s="378">
        <f>IF(+I14&lt;F37,I14,D38)</f>
        <v>1767.0454545454545</v>
      </c>
      <c r="F38" s="55">
        <f t="shared" si="26"/>
        <v>37979.652620115739</v>
      </c>
      <c r="G38" s="379">
        <f t="shared" si="27"/>
        <v>6412.2493307866207</v>
      </c>
      <c r="H38" s="364">
        <f t="shared" si="28"/>
        <v>6412.2493307866207</v>
      </c>
      <c r="I38" s="52">
        <f t="shared" si="0"/>
        <v>0</v>
      </c>
      <c r="J38" s="52"/>
      <c r="K38" s="129"/>
      <c r="L38" s="54">
        <f t="shared" si="1"/>
        <v>0</v>
      </c>
      <c r="M38" s="129"/>
      <c r="N38" s="54">
        <f t="shared" si="2"/>
        <v>0</v>
      </c>
      <c r="O38" s="54">
        <f t="shared" si="3"/>
        <v>0</v>
      </c>
      <c r="P38" s="1"/>
    </row>
    <row r="39" spans="2:16" ht="12.5">
      <c r="B39" s="7" t="str">
        <f t="shared" si="6"/>
        <v/>
      </c>
      <c r="C39" s="50">
        <f>IF(D11="","-",+C38+1)</f>
        <v>2031</v>
      </c>
      <c r="D39" s="55">
        <f>IF(F38+SUM(E$17:E38)=D$10,F38,D$10-SUM(E$17:E38))</f>
        <v>37979.652620115739</v>
      </c>
      <c r="E39" s="378">
        <f>IF(+I14&lt;F38,I14,D39)</f>
        <v>1767.0454545454545</v>
      </c>
      <c r="F39" s="55">
        <f t="shared" si="26"/>
        <v>36212.607165570284</v>
      </c>
      <c r="G39" s="379">
        <f t="shared" si="27"/>
        <v>6201.0394561025005</v>
      </c>
      <c r="H39" s="364">
        <f t="shared" si="28"/>
        <v>6201.0394561025005</v>
      </c>
      <c r="I39" s="52">
        <f t="shared" si="0"/>
        <v>0</v>
      </c>
      <c r="J39" s="52"/>
      <c r="K39" s="129"/>
      <c r="L39" s="54">
        <f t="shared" si="1"/>
        <v>0</v>
      </c>
      <c r="M39" s="129"/>
      <c r="N39" s="54">
        <f t="shared" si="2"/>
        <v>0</v>
      </c>
      <c r="O39" s="54">
        <f t="shared" si="3"/>
        <v>0</v>
      </c>
      <c r="P39" s="1"/>
    </row>
    <row r="40" spans="2:16" ht="12.5">
      <c r="B40" s="7" t="str">
        <f t="shared" si="6"/>
        <v/>
      </c>
      <c r="C40" s="50">
        <f>IF(D11="","-",+C39+1)</f>
        <v>2032</v>
      </c>
      <c r="D40" s="55">
        <f>IF(F39+SUM(E$17:E39)=D$10,F39,D$10-SUM(E$17:E39))</f>
        <v>36212.607165570284</v>
      </c>
      <c r="E40" s="378">
        <f>IF(+I14&lt;F39,I14,D40)</f>
        <v>1767.0454545454545</v>
      </c>
      <c r="F40" s="55">
        <f t="shared" si="26"/>
        <v>34445.561711024828</v>
      </c>
      <c r="G40" s="379">
        <f t="shared" si="27"/>
        <v>5989.8295814183821</v>
      </c>
      <c r="H40" s="364">
        <f t="shared" si="28"/>
        <v>5989.8295814183821</v>
      </c>
      <c r="I40" s="52">
        <f t="shared" si="0"/>
        <v>0</v>
      </c>
      <c r="J40" s="52"/>
      <c r="K40" s="129"/>
      <c r="L40" s="54">
        <f t="shared" si="1"/>
        <v>0</v>
      </c>
      <c r="M40" s="129"/>
      <c r="N40" s="54">
        <f t="shared" si="2"/>
        <v>0</v>
      </c>
      <c r="O40" s="54">
        <f t="shared" si="3"/>
        <v>0</v>
      </c>
      <c r="P40" s="1"/>
    </row>
    <row r="41" spans="2:16" ht="12.5">
      <c r="B41" s="7" t="str">
        <f t="shared" si="6"/>
        <v/>
      </c>
      <c r="C41" s="50">
        <f>IF(D11="","-",+C40+1)</f>
        <v>2033</v>
      </c>
      <c r="D41" s="55">
        <f>IF(F40+SUM(E$17:E40)=D$10,F40,D$10-SUM(E$17:E40))</f>
        <v>34445.561711024828</v>
      </c>
      <c r="E41" s="378">
        <f>IF(+I14&lt;F40,I14,D41)</f>
        <v>1767.0454545454545</v>
      </c>
      <c r="F41" s="55">
        <f t="shared" si="26"/>
        <v>32678.516256479372</v>
      </c>
      <c r="G41" s="379">
        <f t="shared" si="27"/>
        <v>5778.6197067342619</v>
      </c>
      <c r="H41" s="364">
        <f t="shared" si="28"/>
        <v>5778.6197067342619</v>
      </c>
      <c r="I41" s="52">
        <f t="shared" si="0"/>
        <v>0</v>
      </c>
      <c r="J41" s="52"/>
      <c r="K41" s="129"/>
      <c r="L41" s="54">
        <f t="shared" si="1"/>
        <v>0</v>
      </c>
      <c r="M41" s="129"/>
      <c r="N41" s="54">
        <f t="shared" si="2"/>
        <v>0</v>
      </c>
      <c r="O41" s="54">
        <f t="shared" si="3"/>
        <v>0</v>
      </c>
      <c r="P41" s="1"/>
    </row>
    <row r="42" spans="2:16" ht="12.5">
      <c r="B42" s="7" t="str">
        <f t="shared" si="6"/>
        <v/>
      </c>
      <c r="C42" s="50">
        <f>IF(D11="","-",+C41+1)</f>
        <v>2034</v>
      </c>
      <c r="D42" s="55">
        <f>IF(F41+SUM(E$17:E41)=D$10,F41,D$10-SUM(E$17:E41))</f>
        <v>32678.516256479372</v>
      </c>
      <c r="E42" s="378">
        <f>IF(+I14&lt;F41,I14,D42)</f>
        <v>1767.0454545454545</v>
      </c>
      <c r="F42" s="55">
        <f t="shared" si="26"/>
        <v>30911.470801933916</v>
      </c>
      <c r="G42" s="379">
        <f t="shared" si="27"/>
        <v>5567.4098320501416</v>
      </c>
      <c r="H42" s="364">
        <f t="shared" si="28"/>
        <v>5567.4098320501416</v>
      </c>
      <c r="I42" s="52">
        <f t="shared" si="0"/>
        <v>0</v>
      </c>
      <c r="J42" s="52"/>
      <c r="K42" s="129"/>
      <c r="L42" s="54">
        <f t="shared" si="1"/>
        <v>0</v>
      </c>
      <c r="M42" s="129"/>
      <c r="N42" s="54">
        <f t="shared" si="2"/>
        <v>0</v>
      </c>
      <c r="O42" s="54">
        <f t="shared" si="3"/>
        <v>0</v>
      </c>
      <c r="P42" s="1"/>
    </row>
    <row r="43" spans="2:16" ht="12.5">
      <c r="B43" s="7" t="str">
        <f t="shared" si="6"/>
        <v/>
      </c>
      <c r="C43" s="50">
        <f>IF(D11="","-",+C42+1)</f>
        <v>2035</v>
      </c>
      <c r="D43" s="55">
        <f>IF(F42+SUM(E$17:E42)=D$10,F42,D$10-SUM(E$17:E42))</f>
        <v>30911.470801933916</v>
      </c>
      <c r="E43" s="378">
        <f>IF(+I14&lt;F42,I14,D43)</f>
        <v>1767.0454545454545</v>
      </c>
      <c r="F43" s="55">
        <f t="shared" si="26"/>
        <v>29144.42534738846</v>
      </c>
      <c r="G43" s="379">
        <f t="shared" si="27"/>
        <v>5356.1999573660223</v>
      </c>
      <c r="H43" s="364">
        <f t="shared" si="28"/>
        <v>5356.1999573660223</v>
      </c>
      <c r="I43" s="52">
        <f t="shared" si="0"/>
        <v>0</v>
      </c>
      <c r="J43" s="52"/>
      <c r="K43" s="129"/>
      <c r="L43" s="54">
        <f t="shared" si="1"/>
        <v>0</v>
      </c>
      <c r="M43" s="129"/>
      <c r="N43" s="54">
        <f t="shared" si="2"/>
        <v>0</v>
      </c>
      <c r="O43" s="54">
        <f t="shared" si="3"/>
        <v>0</v>
      </c>
      <c r="P43" s="1"/>
    </row>
    <row r="44" spans="2:16" ht="12.5">
      <c r="B44" s="7" t="str">
        <f t="shared" si="6"/>
        <v/>
      </c>
      <c r="C44" s="50">
        <f>IF(D11="","-",+C43+1)</f>
        <v>2036</v>
      </c>
      <c r="D44" s="55">
        <f>IF(F43+SUM(E$17:E43)=D$10,F43,D$10-SUM(E$17:E43))</f>
        <v>29144.42534738846</v>
      </c>
      <c r="E44" s="378">
        <f>IF(+I14&lt;F43,I14,D44)</f>
        <v>1767.0454545454545</v>
      </c>
      <c r="F44" s="55">
        <f t="shared" si="26"/>
        <v>27377.379892843004</v>
      </c>
      <c r="G44" s="379">
        <f t="shared" si="27"/>
        <v>5144.990082681903</v>
      </c>
      <c r="H44" s="364">
        <f t="shared" si="28"/>
        <v>5144.990082681903</v>
      </c>
      <c r="I44" s="52">
        <f t="shared" si="0"/>
        <v>0</v>
      </c>
      <c r="J44" s="52"/>
      <c r="K44" s="129"/>
      <c r="L44" s="54">
        <f t="shared" si="1"/>
        <v>0</v>
      </c>
      <c r="M44" s="129"/>
      <c r="N44" s="54">
        <f t="shared" si="2"/>
        <v>0</v>
      </c>
      <c r="O44" s="54">
        <f t="shared" si="3"/>
        <v>0</v>
      </c>
      <c r="P44" s="1"/>
    </row>
    <row r="45" spans="2:16" ht="12.5">
      <c r="B45" s="7" t="str">
        <f t="shared" si="6"/>
        <v/>
      </c>
      <c r="C45" s="50">
        <f>IF(D11="","-",+C44+1)</f>
        <v>2037</v>
      </c>
      <c r="D45" s="55">
        <f>IF(F44+SUM(E$17:E44)=D$10,F44,D$10-SUM(E$17:E44))</f>
        <v>27377.379892843004</v>
      </c>
      <c r="E45" s="378">
        <f>IF(+I14&lt;F44,I14,D45)</f>
        <v>1767.0454545454545</v>
      </c>
      <c r="F45" s="55">
        <f t="shared" si="26"/>
        <v>25610.334438297548</v>
      </c>
      <c r="G45" s="379">
        <f t="shared" si="27"/>
        <v>4933.7802079977828</v>
      </c>
      <c r="H45" s="364">
        <f t="shared" si="28"/>
        <v>4933.7802079977828</v>
      </c>
      <c r="I45" s="52">
        <f t="shared" si="0"/>
        <v>0</v>
      </c>
      <c r="J45" s="52"/>
      <c r="K45" s="129"/>
      <c r="L45" s="54">
        <f t="shared" si="1"/>
        <v>0</v>
      </c>
      <c r="M45" s="129"/>
      <c r="N45" s="54">
        <f t="shared" si="2"/>
        <v>0</v>
      </c>
      <c r="O45" s="54">
        <f t="shared" si="3"/>
        <v>0</v>
      </c>
      <c r="P45" s="1"/>
    </row>
    <row r="46" spans="2:16" ht="12.5">
      <c r="B46" s="7" t="str">
        <f t="shared" si="6"/>
        <v/>
      </c>
      <c r="C46" s="50">
        <f>IF(D11="","-",+C45+1)</f>
        <v>2038</v>
      </c>
      <c r="D46" s="55">
        <f>IF(F45+SUM(E$17:E45)=D$10,F45,D$10-SUM(E$17:E45))</f>
        <v>25610.334438297548</v>
      </c>
      <c r="E46" s="378">
        <f>IF(+I14&lt;F45,I14,D46)</f>
        <v>1767.0454545454545</v>
      </c>
      <c r="F46" s="55">
        <f t="shared" si="26"/>
        <v>23843.288983752092</v>
      </c>
      <c r="G46" s="379">
        <f t="shared" si="27"/>
        <v>4722.5703333136635</v>
      </c>
      <c r="H46" s="364">
        <f t="shared" si="28"/>
        <v>4722.5703333136635</v>
      </c>
      <c r="I46" s="52">
        <f t="shared" si="0"/>
        <v>0</v>
      </c>
      <c r="J46" s="52"/>
      <c r="K46" s="129"/>
      <c r="L46" s="54">
        <f t="shared" si="1"/>
        <v>0</v>
      </c>
      <c r="M46" s="129"/>
      <c r="N46" s="54">
        <f t="shared" si="2"/>
        <v>0</v>
      </c>
      <c r="O46" s="54">
        <f t="shared" si="3"/>
        <v>0</v>
      </c>
      <c r="P46" s="1"/>
    </row>
    <row r="47" spans="2:16" ht="12.5">
      <c r="B47" s="7" t="str">
        <f t="shared" si="6"/>
        <v/>
      </c>
      <c r="C47" s="50">
        <f>IF(D11="","-",+C46+1)</f>
        <v>2039</v>
      </c>
      <c r="D47" s="55">
        <f>IF(F46+SUM(E$17:E46)=D$10,F46,D$10-SUM(E$17:E46))</f>
        <v>23843.288983752092</v>
      </c>
      <c r="E47" s="378">
        <f>IF(+I14&lt;F46,I14,D47)</f>
        <v>1767.0454545454545</v>
      </c>
      <c r="F47" s="55">
        <f t="shared" si="26"/>
        <v>22076.243529206637</v>
      </c>
      <c r="G47" s="379">
        <f t="shared" si="27"/>
        <v>4511.3604586295442</v>
      </c>
      <c r="H47" s="364">
        <f t="shared" si="28"/>
        <v>4511.3604586295442</v>
      </c>
      <c r="I47" s="52">
        <f t="shared" si="0"/>
        <v>0</v>
      </c>
      <c r="J47" s="52"/>
      <c r="K47" s="129"/>
      <c r="L47" s="54">
        <f t="shared" si="1"/>
        <v>0</v>
      </c>
      <c r="M47" s="129"/>
      <c r="N47" s="54">
        <f t="shared" si="2"/>
        <v>0</v>
      </c>
      <c r="O47" s="54">
        <f t="shared" si="3"/>
        <v>0</v>
      </c>
      <c r="P47" s="1"/>
    </row>
    <row r="48" spans="2:16" ht="12.5">
      <c r="B48" s="7" t="str">
        <f t="shared" si="6"/>
        <v/>
      </c>
      <c r="C48" s="50">
        <f>IF(D11="","-",+C47+1)</f>
        <v>2040</v>
      </c>
      <c r="D48" s="55">
        <f>IF(F47+SUM(E$17:E47)=D$10,F47,D$10-SUM(E$17:E47))</f>
        <v>22076.243529206637</v>
      </c>
      <c r="E48" s="378">
        <f>IF(+I14&lt;F47,I14,D48)</f>
        <v>1767.0454545454545</v>
      </c>
      <c r="F48" s="55">
        <f t="shared" si="26"/>
        <v>20309.198074661181</v>
      </c>
      <c r="G48" s="379">
        <f t="shared" si="27"/>
        <v>4300.1505839454239</v>
      </c>
      <c r="H48" s="364">
        <f t="shared" si="28"/>
        <v>4300.1505839454239</v>
      </c>
      <c r="I48" s="52">
        <f t="shared" si="0"/>
        <v>0</v>
      </c>
      <c r="J48" s="52"/>
      <c r="K48" s="129"/>
      <c r="L48" s="54">
        <f t="shared" si="1"/>
        <v>0</v>
      </c>
      <c r="M48" s="129"/>
      <c r="N48" s="54">
        <f t="shared" si="2"/>
        <v>0</v>
      </c>
      <c r="O48" s="54">
        <f t="shared" si="3"/>
        <v>0</v>
      </c>
      <c r="P48" s="1"/>
    </row>
    <row r="49" spans="2:17" ht="12.5">
      <c r="B49" s="7" t="str">
        <f t="shared" si="6"/>
        <v/>
      </c>
      <c r="C49" s="50">
        <f>IF(D11="","-",+C48+1)</f>
        <v>2041</v>
      </c>
      <c r="D49" s="55">
        <f>IF(F48+SUM(E$17:E48)=D$10,F48,D$10-SUM(E$17:E48))</f>
        <v>20309.198074661181</v>
      </c>
      <c r="E49" s="378">
        <f>IF(+I14&lt;F48,I14,D49)</f>
        <v>1767.0454545454545</v>
      </c>
      <c r="F49" s="55">
        <f t="shared" ref="F49:F72" si="29">+D49-E49</f>
        <v>18542.152620115725</v>
      </c>
      <c r="G49" s="379">
        <f t="shared" si="27"/>
        <v>4088.9407092613046</v>
      </c>
      <c r="H49" s="364">
        <f t="shared" si="28"/>
        <v>4088.9407092613046</v>
      </c>
      <c r="I49" s="52">
        <f t="shared" ref="I49:I72" si="30">H49-G49</f>
        <v>0</v>
      </c>
      <c r="J49" s="52"/>
      <c r="K49" s="129"/>
      <c r="L49" s="54">
        <f t="shared" ref="L49:L72" si="31">IF(K49&lt;&gt;0,+G49-K49,0)</f>
        <v>0</v>
      </c>
      <c r="M49" s="129"/>
      <c r="N49" s="54">
        <f t="shared" ref="N49:N72" si="32">IF(M49&lt;&gt;0,+H49-M49,0)</f>
        <v>0</v>
      </c>
      <c r="O49" s="54">
        <f t="shared" ref="O49:O72" si="33">+N49-L49</f>
        <v>0</v>
      </c>
      <c r="P49" s="1"/>
    </row>
    <row r="50" spans="2:17" ht="12.5">
      <c r="B50" s="7" t="str">
        <f t="shared" si="6"/>
        <v/>
      </c>
      <c r="C50" s="50">
        <f>IF(D11="","-",+C49+1)</f>
        <v>2042</v>
      </c>
      <c r="D50" s="55">
        <f>IF(F49+SUM(E$17:E49)=D$10,F49,D$10-SUM(E$17:E49))</f>
        <v>18542.152620115725</v>
      </c>
      <c r="E50" s="378">
        <f>IF(+I14&lt;F49,I14,D50)</f>
        <v>1767.0454545454545</v>
      </c>
      <c r="F50" s="55">
        <f t="shared" si="29"/>
        <v>16775.107165570269</v>
      </c>
      <c r="G50" s="379">
        <f t="shared" si="27"/>
        <v>3877.7308345771853</v>
      </c>
      <c r="H50" s="364">
        <f t="shared" si="28"/>
        <v>3877.7308345771853</v>
      </c>
      <c r="I50" s="52">
        <f t="shared" si="30"/>
        <v>0</v>
      </c>
      <c r="J50" s="52"/>
      <c r="K50" s="129"/>
      <c r="L50" s="54">
        <f t="shared" si="31"/>
        <v>0</v>
      </c>
      <c r="M50" s="129"/>
      <c r="N50" s="54">
        <f t="shared" si="32"/>
        <v>0</v>
      </c>
      <c r="O50" s="54">
        <f t="shared" si="33"/>
        <v>0</v>
      </c>
      <c r="P50" s="1"/>
    </row>
    <row r="51" spans="2:17" ht="12.5">
      <c r="B51" s="7" t="str">
        <f t="shared" si="6"/>
        <v/>
      </c>
      <c r="C51" s="50">
        <f>IF(D11="","-",+C50+1)</f>
        <v>2043</v>
      </c>
      <c r="D51" s="55">
        <f>IF(F50+SUM(E$17:E50)=D$10,F50,D$10-SUM(E$17:E50))</f>
        <v>16775.107165570269</v>
      </c>
      <c r="E51" s="378">
        <f>IF(+I14&lt;F50,I14,D51)</f>
        <v>1767.0454545454545</v>
      </c>
      <c r="F51" s="55">
        <f t="shared" si="29"/>
        <v>15008.061711024815</v>
      </c>
      <c r="G51" s="379">
        <f t="shared" si="27"/>
        <v>3666.5209598930655</v>
      </c>
      <c r="H51" s="364">
        <f t="shared" si="28"/>
        <v>3666.5209598930655</v>
      </c>
      <c r="I51" s="52">
        <f t="shared" si="30"/>
        <v>0</v>
      </c>
      <c r="J51" s="52"/>
      <c r="K51" s="129"/>
      <c r="L51" s="54">
        <f t="shared" si="31"/>
        <v>0</v>
      </c>
      <c r="M51" s="129"/>
      <c r="N51" s="54">
        <f t="shared" si="32"/>
        <v>0</v>
      </c>
      <c r="O51" s="54">
        <f t="shared" si="33"/>
        <v>0</v>
      </c>
      <c r="P51" s="1"/>
    </row>
    <row r="52" spans="2:17" ht="12.5">
      <c r="B52" s="7" t="str">
        <f t="shared" si="6"/>
        <v/>
      </c>
      <c r="C52" s="50">
        <f>IF(D11="","-",+C51+1)</f>
        <v>2044</v>
      </c>
      <c r="D52" s="55">
        <f>IF(F51+SUM(E$17:E51)=D$10,F51,D$10-SUM(E$17:E51))</f>
        <v>15008.061711024815</v>
      </c>
      <c r="E52" s="378">
        <f>IF(+I14&lt;F51,I14,D52)</f>
        <v>1767.0454545454545</v>
      </c>
      <c r="F52" s="55">
        <f t="shared" si="29"/>
        <v>13241.016256479361</v>
      </c>
      <c r="G52" s="379">
        <f t="shared" si="27"/>
        <v>3455.3110852089467</v>
      </c>
      <c r="H52" s="364">
        <f t="shared" si="28"/>
        <v>3455.3110852089467</v>
      </c>
      <c r="I52" s="52">
        <f t="shared" si="30"/>
        <v>0</v>
      </c>
      <c r="J52" s="52"/>
      <c r="K52" s="129"/>
      <c r="L52" s="54">
        <f t="shared" si="31"/>
        <v>0</v>
      </c>
      <c r="M52" s="129"/>
      <c r="N52" s="54">
        <f t="shared" si="32"/>
        <v>0</v>
      </c>
      <c r="O52" s="54">
        <f t="shared" si="33"/>
        <v>0</v>
      </c>
      <c r="P52" s="1"/>
    </row>
    <row r="53" spans="2:17" ht="12.5">
      <c r="B53" s="7" t="str">
        <f t="shared" si="6"/>
        <v/>
      </c>
      <c r="C53" s="50">
        <f>IF(D11="","-",+C52+1)</f>
        <v>2045</v>
      </c>
      <c r="D53" s="55">
        <f>IF(F52+SUM(E$17:E52)=D$10,F52,D$10-SUM(E$17:E52))</f>
        <v>13241.016256479361</v>
      </c>
      <c r="E53" s="378">
        <f>IF(+I14&lt;F52,I14,D53)</f>
        <v>1767.0454545454545</v>
      </c>
      <c r="F53" s="55">
        <f t="shared" si="29"/>
        <v>11473.970801933907</v>
      </c>
      <c r="G53" s="379">
        <f t="shared" si="27"/>
        <v>3244.1012105248269</v>
      </c>
      <c r="H53" s="364">
        <f t="shared" si="28"/>
        <v>3244.1012105248269</v>
      </c>
      <c r="I53" s="52">
        <f t="shared" si="30"/>
        <v>0</v>
      </c>
      <c r="J53" s="52"/>
      <c r="K53" s="129"/>
      <c r="L53" s="54">
        <f t="shared" si="31"/>
        <v>0</v>
      </c>
      <c r="M53" s="129"/>
      <c r="N53" s="54">
        <f t="shared" si="32"/>
        <v>0</v>
      </c>
      <c r="O53" s="54">
        <f t="shared" si="33"/>
        <v>0</v>
      </c>
      <c r="P53" s="1"/>
    </row>
    <row r="54" spans="2:17" ht="12.5">
      <c r="B54" s="7" t="str">
        <f t="shared" si="6"/>
        <v/>
      </c>
      <c r="C54" s="50">
        <f>IF(D11="","-",+C53+1)</f>
        <v>2046</v>
      </c>
      <c r="D54" s="55">
        <f>IF(F53+SUM(E$17:E53)=D$10,F53,D$10-SUM(E$17:E53))</f>
        <v>11473.970801933907</v>
      </c>
      <c r="E54" s="378">
        <f>IF(+I14&lt;F53,I14,D54)</f>
        <v>1767.0454545454545</v>
      </c>
      <c r="F54" s="55">
        <f t="shared" si="29"/>
        <v>9706.9253473884528</v>
      </c>
      <c r="G54" s="379">
        <f t="shared" si="27"/>
        <v>3032.8913358407076</v>
      </c>
      <c r="H54" s="364">
        <f t="shared" si="28"/>
        <v>3032.8913358407076</v>
      </c>
      <c r="I54" s="52">
        <f t="shared" si="30"/>
        <v>0</v>
      </c>
      <c r="J54" s="52"/>
      <c r="K54" s="129"/>
      <c r="L54" s="54">
        <f t="shared" si="31"/>
        <v>0</v>
      </c>
      <c r="M54" s="129"/>
      <c r="N54" s="54">
        <f t="shared" si="32"/>
        <v>0</v>
      </c>
      <c r="O54" s="54">
        <f t="shared" si="33"/>
        <v>0</v>
      </c>
      <c r="P54" s="1"/>
    </row>
    <row r="55" spans="2:17" ht="12.5">
      <c r="B55" s="7" t="str">
        <f t="shared" si="6"/>
        <v/>
      </c>
      <c r="C55" s="50">
        <f>IF(D11="","-",+C54+1)</f>
        <v>2047</v>
      </c>
      <c r="D55" s="55">
        <f>IF(F54+SUM(E$17:E54)=D$10,F54,D$10-SUM(E$17:E54))</f>
        <v>9706.9253473884528</v>
      </c>
      <c r="E55" s="378">
        <f>IF(+I14&lt;F54,I14,D55)</f>
        <v>1767.0454545454545</v>
      </c>
      <c r="F55" s="55">
        <f t="shared" si="29"/>
        <v>7939.8798928429987</v>
      </c>
      <c r="G55" s="379">
        <f t="shared" si="27"/>
        <v>2821.6814611565878</v>
      </c>
      <c r="H55" s="364">
        <f t="shared" si="28"/>
        <v>2821.6814611565878</v>
      </c>
      <c r="I55" s="52">
        <f t="shared" si="30"/>
        <v>0</v>
      </c>
      <c r="J55" s="52"/>
      <c r="K55" s="129"/>
      <c r="L55" s="54">
        <f t="shared" si="31"/>
        <v>0</v>
      </c>
      <c r="M55" s="129"/>
      <c r="N55" s="54">
        <f t="shared" si="32"/>
        <v>0</v>
      </c>
      <c r="O55" s="54">
        <f t="shared" si="33"/>
        <v>0</v>
      </c>
      <c r="P55" s="1"/>
    </row>
    <row r="56" spans="2:17" ht="12.5">
      <c r="B56" s="7" t="str">
        <f t="shared" si="6"/>
        <v/>
      </c>
      <c r="C56" s="50">
        <f>IF(D11="","-",+C55+1)</f>
        <v>2048</v>
      </c>
      <c r="D56" s="55">
        <f>IF(F55+SUM(E$17:E55)=D$10,F55,D$10-SUM(E$17:E55))</f>
        <v>7939.8798928429987</v>
      </c>
      <c r="E56" s="378">
        <f>IF(+I14&lt;F55,I14,D56)</f>
        <v>1767.0454545454545</v>
      </c>
      <c r="F56" s="55">
        <f t="shared" si="29"/>
        <v>6172.8344382975447</v>
      </c>
      <c r="G56" s="379">
        <f t="shared" si="27"/>
        <v>2610.4715864724685</v>
      </c>
      <c r="H56" s="364">
        <f t="shared" si="28"/>
        <v>2610.4715864724685</v>
      </c>
      <c r="I56" s="52">
        <f t="shared" si="30"/>
        <v>0</v>
      </c>
      <c r="J56" s="52"/>
      <c r="K56" s="129"/>
      <c r="L56" s="54">
        <f t="shared" si="31"/>
        <v>0</v>
      </c>
      <c r="M56" s="129"/>
      <c r="N56" s="54">
        <f t="shared" si="32"/>
        <v>0</v>
      </c>
      <c r="O56" s="54">
        <f t="shared" si="33"/>
        <v>0</v>
      </c>
      <c r="P56" s="1"/>
    </row>
    <row r="57" spans="2:17" ht="12.5">
      <c r="B57" s="7" t="str">
        <f t="shared" si="6"/>
        <v/>
      </c>
      <c r="C57" s="50">
        <f>IF(D11="","-",+C56+1)</f>
        <v>2049</v>
      </c>
      <c r="D57" s="55">
        <f>IF(F56+SUM(E$17:E56)=D$10,F56,D$10-SUM(E$17:E56))</f>
        <v>6172.8344382975447</v>
      </c>
      <c r="E57" s="378">
        <f>IF(+I14&lt;F56,I14,D57)</f>
        <v>1767.0454545454545</v>
      </c>
      <c r="F57" s="55">
        <f t="shared" si="29"/>
        <v>4405.7889837520906</v>
      </c>
      <c r="G57" s="379">
        <f t="shared" si="27"/>
        <v>2399.2617117883492</v>
      </c>
      <c r="H57" s="364">
        <f t="shared" si="28"/>
        <v>2399.2617117883492</v>
      </c>
      <c r="I57" s="52">
        <f t="shared" si="30"/>
        <v>0</v>
      </c>
      <c r="J57" s="52"/>
      <c r="K57" s="129"/>
      <c r="L57" s="54">
        <f t="shared" si="31"/>
        <v>0</v>
      </c>
      <c r="M57" s="129"/>
      <c r="N57" s="54">
        <f t="shared" si="32"/>
        <v>0</v>
      </c>
      <c r="O57" s="54">
        <f t="shared" si="33"/>
        <v>0</v>
      </c>
      <c r="P57" s="1"/>
    </row>
    <row r="58" spans="2:17" ht="12.5">
      <c r="B58" s="401" t="str">
        <f t="shared" si="6"/>
        <v/>
      </c>
      <c r="C58" s="50">
        <f>IF(D11="","-",+C57+1)</f>
        <v>2050</v>
      </c>
      <c r="D58" s="55">
        <f>IF(F57+SUM(E$17:E57)=D$10,F57,D$10-SUM(E$17:E57))</f>
        <v>4405.7889837520906</v>
      </c>
      <c r="E58" s="378">
        <f>IF(+I14&lt;F57,I14,D58)</f>
        <v>1767.0454545454545</v>
      </c>
      <c r="F58" s="55">
        <f t="shared" si="29"/>
        <v>2638.7435292066361</v>
      </c>
      <c r="G58" s="379">
        <f t="shared" si="27"/>
        <v>2188.0518371042299</v>
      </c>
      <c r="H58" s="364">
        <f t="shared" si="28"/>
        <v>2188.0518371042299</v>
      </c>
      <c r="I58" s="52">
        <f t="shared" si="30"/>
        <v>0</v>
      </c>
      <c r="J58" s="52"/>
      <c r="K58" s="129"/>
      <c r="L58" s="54">
        <f t="shared" si="31"/>
        <v>0</v>
      </c>
      <c r="M58" s="129"/>
      <c r="N58" s="54">
        <f t="shared" si="32"/>
        <v>0</v>
      </c>
      <c r="O58" s="54">
        <f t="shared" si="33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6"/>
        <v/>
      </c>
      <c r="C59" s="50">
        <f>IF(D11="","-",+C58+1)</f>
        <v>2051</v>
      </c>
      <c r="D59" s="55">
        <f>IF(F58+SUM(E$17:E58)=D$10,F58,D$10-SUM(E$17:E58))</f>
        <v>2638.7435292066361</v>
      </c>
      <c r="E59" s="378">
        <f>IF(+I14&lt;F58,I14,D59)</f>
        <v>1767.0454545454545</v>
      </c>
      <c r="F59" s="55">
        <f t="shared" si="29"/>
        <v>871.69807466118164</v>
      </c>
      <c r="G59" s="379">
        <f t="shared" si="27"/>
        <v>1976.8419624201106</v>
      </c>
      <c r="H59" s="364">
        <f t="shared" si="28"/>
        <v>1976.8419624201106</v>
      </c>
      <c r="I59" s="52">
        <f t="shared" si="30"/>
        <v>0</v>
      </c>
      <c r="J59" s="52"/>
      <c r="K59" s="129"/>
      <c r="L59" s="54">
        <f t="shared" si="31"/>
        <v>0</v>
      </c>
      <c r="M59" s="129"/>
      <c r="N59" s="54">
        <f t="shared" si="32"/>
        <v>0</v>
      </c>
      <c r="O59" s="54">
        <f t="shared" si="33"/>
        <v>0</v>
      </c>
      <c r="P59" s="1"/>
    </row>
    <row r="60" spans="2:17" ht="12.5">
      <c r="B60" s="7" t="str">
        <f t="shared" si="6"/>
        <v/>
      </c>
      <c r="C60" s="50">
        <f>IF(D11="","-",+C59+1)</f>
        <v>2052</v>
      </c>
      <c r="D60" s="55">
        <f>IF(F59+SUM(E$17:E59)=D$10,F59,D$10-SUM(E$17:E59))</f>
        <v>871.69807466118164</v>
      </c>
      <c r="E60" s="378">
        <f>IF(+I14&lt;F59,I14,D60)</f>
        <v>871.69807466118164</v>
      </c>
      <c r="F60" s="55">
        <f t="shared" si="29"/>
        <v>0</v>
      </c>
      <c r="G60" s="379">
        <f t="shared" si="27"/>
        <v>923.79385992747973</v>
      </c>
      <c r="H60" s="364">
        <f t="shared" si="28"/>
        <v>923.79385992747973</v>
      </c>
      <c r="I60" s="52">
        <f t="shared" si="30"/>
        <v>0</v>
      </c>
      <c r="J60" s="52"/>
      <c r="K60" s="129"/>
      <c r="L60" s="54">
        <f t="shared" si="31"/>
        <v>0</v>
      </c>
      <c r="M60" s="129"/>
      <c r="N60" s="54">
        <f t="shared" si="32"/>
        <v>0</v>
      </c>
      <c r="O60" s="54">
        <f t="shared" si="33"/>
        <v>0</v>
      </c>
      <c r="P60" s="1"/>
    </row>
    <row r="61" spans="2:17" ht="12.5">
      <c r="B61" s="7" t="str">
        <f t="shared" si="6"/>
        <v/>
      </c>
      <c r="C61" s="50">
        <f>IF(D11="","-",+C60+1)</f>
        <v>2053</v>
      </c>
      <c r="D61" s="55">
        <f>IF(F60+SUM(E$17:E60)=D$10,F60,D$10-SUM(E$17:E60))</f>
        <v>0</v>
      </c>
      <c r="E61" s="378">
        <f>IF(+I14&lt;F60,I14,D61)</f>
        <v>0</v>
      </c>
      <c r="F61" s="55">
        <f t="shared" si="29"/>
        <v>0</v>
      </c>
      <c r="G61" s="380">
        <f t="shared" si="27"/>
        <v>0</v>
      </c>
      <c r="H61" s="364">
        <f t="shared" si="28"/>
        <v>0</v>
      </c>
      <c r="I61" s="52">
        <f t="shared" si="30"/>
        <v>0</v>
      </c>
      <c r="J61" s="52"/>
      <c r="K61" s="129"/>
      <c r="L61" s="54">
        <f t="shared" si="31"/>
        <v>0</v>
      </c>
      <c r="M61" s="129"/>
      <c r="N61" s="54">
        <f t="shared" si="32"/>
        <v>0</v>
      </c>
      <c r="O61" s="54">
        <f t="shared" si="33"/>
        <v>0</v>
      </c>
      <c r="P61" s="1"/>
    </row>
    <row r="62" spans="2:17" ht="12.5">
      <c r="B62" s="7" t="str">
        <f t="shared" si="6"/>
        <v/>
      </c>
      <c r="C62" s="50">
        <f>IF(D11="","-",+C61+1)</f>
        <v>2054</v>
      </c>
      <c r="D62" s="55">
        <f>IF(F61+SUM(E$17:E61)=D$10,F61,D$10-SUM(E$17:E61))</f>
        <v>0</v>
      </c>
      <c r="E62" s="378">
        <f>IF(+I14&lt;F61,I14,D62)</f>
        <v>0</v>
      </c>
      <c r="F62" s="55">
        <f t="shared" si="29"/>
        <v>0</v>
      </c>
      <c r="G62" s="380">
        <f t="shared" si="27"/>
        <v>0</v>
      </c>
      <c r="H62" s="364">
        <f t="shared" si="28"/>
        <v>0</v>
      </c>
      <c r="I62" s="52">
        <f t="shared" si="30"/>
        <v>0</v>
      </c>
      <c r="J62" s="52"/>
      <c r="K62" s="129"/>
      <c r="L62" s="54">
        <f t="shared" si="31"/>
        <v>0</v>
      </c>
      <c r="M62" s="129"/>
      <c r="N62" s="54">
        <f t="shared" si="32"/>
        <v>0</v>
      </c>
      <c r="O62" s="54">
        <f t="shared" si="33"/>
        <v>0</v>
      </c>
      <c r="P62" s="1"/>
    </row>
    <row r="63" spans="2:17" ht="12.5">
      <c r="B63" s="7" t="str">
        <f t="shared" si="6"/>
        <v/>
      </c>
      <c r="C63" s="50">
        <f>IF(D11="","-",+C62+1)</f>
        <v>2055</v>
      </c>
      <c r="D63" s="55">
        <f>IF(F62+SUM(E$17:E62)=D$10,F62,D$10-SUM(E$17:E62))</f>
        <v>0</v>
      </c>
      <c r="E63" s="378">
        <f>IF(+I14&lt;F62,I14,D63)</f>
        <v>0</v>
      </c>
      <c r="F63" s="55">
        <f t="shared" si="29"/>
        <v>0</v>
      </c>
      <c r="G63" s="380">
        <f t="shared" si="27"/>
        <v>0</v>
      </c>
      <c r="H63" s="364">
        <f t="shared" si="28"/>
        <v>0</v>
      </c>
      <c r="I63" s="52">
        <f t="shared" si="30"/>
        <v>0</v>
      </c>
      <c r="J63" s="52"/>
      <c r="K63" s="129"/>
      <c r="L63" s="54">
        <f t="shared" si="31"/>
        <v>0</v>
      </c>
      <c r="M63" s="129"/>
      <c r="N63" s="54">
        <f t="shared" si="32"/>
        <v>0</v>
      </c>
      <c r="O63" s="54">
        <f t="shared" si="33"/>
        <v>0</v>
      </c>
      <c r="P63" s="1"/>
    </row>
    <row r="64" spans="2:17" ht="12.5">
      <c r="B64" s="7" t="str">
        <f t="shared" si="6"/>
        <v/>
      </c>
      <c r="C64" s="50">
        <f>IF(D11="","-",+C63+1)</f>
        <v>2056</v>
      </c>
      <c r="D64" s="55">
        <f>IF(F63+SUM(E$17:E63)=D$10,F63,D$10-SUM(E$17:E63))</f>
        <v>0</v>
      </c>
      <c r="E64" s="378">
        <f>IF(+I14&lt;F63,I14,D64)</f>
        <v>0</v>
      </c>
      <c r="F64" s="55">
        <f t="shared" si="29"/>
        <v>0</v>
      </c>
      <c r="G64" s="380">
        <f t="shared" si="27"/>
        <v>0</v>
      </c>
      <c r="H64" s="364">
        <f t="shared" si="28"/>
        <v>0</v>
      </c>
      <c r="I64" s="52">
        <f t="shared" si="30"/>
        <v>0</v>
      </c>
      <c r="J64" s="52"/>
      <c r="K64" s="129"/>
      <c r="L64" s="54">
        <f t="shared" si="31"/>
        <v>0</v>
      </c>
      <c r="M64" s="129"/>
      <c r="N64" s="54">
        <f t="shared" si="32"/>
        <v>0</v>
      </c>
      <c r="O64" s="54">
        <f t="shared" si="33"/>
        <v>0</v>
      </c>
      <c r="P64" s="1"/>
    </row>
    <row r="65" spans="1:16" ht="12.5">
      <c r="B65" s="7" t="str">
        <f t="shared" si="6"/>
        <v/>
      </c>
      <c r="C65" s="50">
        <f>IF(D11="","-",+C64+1)</f>
        <v>2057</v>
      </c>
      <c r="D65" s="55">
        <f>IF(F64+SUM(E$17:E64)=D$10,F64,D$10-SUM(E$17:E64))</f>
        <v>0</v>
      </c>
      <c r="E65" s="378">
        <f>IF(+I14&lt;F64,I14,D65)</f>
        <v>0</v>
      </c>
      <c r="F65" s="55">
        <f t="shared" si="29"/>
        <v>0</v>
      </c>
      <c r="G65" s="380">
        <f t="shared" si="27"/>
        <v>0</v>
      </c>
      <c r="H65" s="364">
        <f t="shared" si="28"/>
        <v>0</v>
      </c>
      <c r="I65" s="52">
        <f t="shared" si="30"/>
        <v>0</v>
      </c>
      <c r="J65" s="52"/>
      <c r="K65" s="129"/>
      <c r="L65" s="54">
        <f t="shared" si="31"/>
        <v>0</v>
      </c>
      <c r="M65" s="129"/>
      <c r="N65" s="54">
        <f t="shared" si="32"/>
        <v>0</v>
      </c>
      <c r="O65" s="54">
        <f t="shared" si="33"/>
        <v>0</v>
      </c>
      <c r="P65" s="1"/>
    </row>
    <row r="66" spans="1:16" ht="12.5">
      <c r="B66" s="7" t="str">
        <f t="shared" si="6"/>
        <v/>
      </c>
      <c r="C66" s="50">
        <f>IF(D11="","-",+C65+1)</f>
        <v>2058</v>
      </c>
      <c r="D66" s="55">
        <f>IF(F65+SUM(E$17:E65)=D$10,F65,D$10-SUM(E$17:E65))</f>
        <v>0</v>
      </c>
      <c r="E66" s="378">
        <f>IF(+I14&lt;F65,I14,D66)</f>
        <v>0</v>
      </c>
      <c r="F66" s="55">
        <f t="shared" si="29"/>
        <v>0</v>
      </c>
      <c r="G66" s="380">
        <f t="shared" si="27"/>
        <v>0</v>
      </c>
      <c r="H66" s="364">
        <f t="shared" si="28"/>
        <v>0</v>
      </c>
      <c r="I66" s="52">
        <f t="shared" si="30"/>
        <v>0</v>
      </c>
      <c r="J66" s="52"/>
      <c r="K66" s="129"/>
      <c r="L66" s="54">
        <f t="shared" si="31"/>
        <v>0</v>
      </c>
      <c r="M66" s="129"/>
      <c r="N66" s="54">
        <f t="shared" si="32"/>
        <v>0</v>
      </c>
      <c r="O66" s="54">
        <f t="shared" si="33"/>
        <v>0</v>
      </c>
      <c r="P66" s="1"/>
    </row>
    <row r="67" spans="1:16" ht="12.5">
      <c r="B67" s="7" t="str">
        <f t="shared" si="6"/>
        <v/>
      </c>
      <c r="C67" s="50">
        <f>IF(D11="","-",+C66+1)</f>
        <v>2059</v>
      </c>
      <c r="D67" s="55">
        <f>IF(F66+SUM(E$17:E66)=D$10,F66,D$10-SUM(E$17:E66))</f>
        <v>0</v>
      </c>
      <c r="E67" s="378">
        <f>IF(+I14&lt;F66,I14,D67)</f>
        <v>0</v>
      </c>
      <c r="F67" s="55">
        <f t="shared" si="29"/>
        <v>0</v>
      </c>
      <c r="G67" s="380">
        <f t="shared" si="27"/>
        <v>0</v>
      </c>
      <c r="H67" s="364">
        <f t="shared" si="28"/>
        <v>0</v>
      </c>
      <c r="I67" s="52">
        <f t="shared" si="30"/>
        <v>0</v>
      </c>
      <c r="J67" s="52"/>
      <c r="K67" s="129"/>
      <c r="L67" s="54">
        <f t="shared" si="31"/>
        <v>0</v>
      </c>
      <c r="M67" s="129"/>
      <c r="N67" s="54">
        <f t="shared" si="32"/>
        <v>0</v>
      </c>
      <c r="O67" s="54">
        <f t="shared" si="33"/>
        <v>0</v>
      </c>
      <c r="P67" s="1"/>
    </row>
    <row r="68" spans="1:16" ht="12.5">
      <c r="B68" s="7" t="str">
        <f t="shared" si="6"/>
        <v/>
      </c>
      <c r="C68" s="50">
        <f>IF(D11="","-",+C67+1)</f>
        <v>2060</v>
      </c>
      <c r="D68" s="55">
        <f>IF(F67+SUM(E$17:E67)=D$10,F67,D$10-SUM(E$17:E67))</f>
        <v>0</v>
      </c>
      <c r="E68" s="378">
        <f>IF(+I14&lt;F67,I14,D68)</f>
        <v>0</v>
      </c>
      <c r="F68" s="55">
        <f t="shared" si="29"/>
        <v>0</v>
      </c>
      <c r="G68" s="380">
        <f t="shared" si="27"/>
        <v>0</v>
      </c>
      <c r="H68" s="364">
        <f t="shared" si="28"/>
        <v>0</v>
      </c>
      <c r="I68" s="52">
        <f t="shared" si="30"/>
        <v>0</v>
      </c>
      <c r="J68" s="52"/>
      <c r="K68" s="129"/>
      <c r="L68" s="54">
        <f t="shared" si="31"/>
        <v>0</v>
      </c>
      <c r="M68" s="129"/>
      <c r="N68" s="54">
        <f t="shared" si="32"/>
        <v>0</v>
      </c>
      <c r="O68" s="54">
        <f t="shared" si="33"/>
        <v>0</v>
      </c>
      <c r="P68" s="1"/>
    </row>
    <row r="69" spans="1:16" ht="12.5">
      <c r="B69" s="7" t="str">
        <f t="shared" si="6"/>
        <v/>
      </c>
      <c r="C69" s="50">
        <f>IF(D11="","-",+C68+1)</f>
        <v>2061</v>
      </c>
      <c r="D69" s="55">
        <f>IF(F68+SUM(E$17:E68)=D$10,F68,D$10-SUM(E$17:E68))</f>
        <v>0</v>
      </c>
      <c r="E69" s="378">
        <f>IF(+I14&lt;F68,I14,D69)</f>
        <v>0</v>
      </c>
      <c r="F69" s="55">
        <f t="shared" si="29"/>
        <v>0</v>
      </c>
      <c r="G69" s="380">
        <f t="shared" si="27"/>
        <v>0</v>
      </c>
      <c r="H69" s="364">
        <f t="shared" si="28"/>
        <v>0</v>
      </c>
      <c r="I69" s="52">
        <f t="shared" si="30"/>
        <v>0</v>
      </c>
      <c r="J69" s="52"/>
      <c r="K69" s="129"/>
      <c r="L69" s="54">
        <f t="shared" si="31"/>
        <v>0</v>
      </c>
      <c r="M69" s="129"/>
      <c r="N69" s="54">
        <f t="shared" si="32"/>
        <v>0</v>
      </c>
      <c r="O69" s="54">
        <f t="shared" si="33"/>
        <v>0</v>
      </c>
      <c r="P69" s="1"/>
    </row>
    <row r="70" spans="1:16" ht="12.5">
      <c r="B70" s="7" t="str">
        <f t="shared" si="6"/>
        <v/>
      </c>
      <c r="C70" s="50">
        <f>IF(D11="","-",+C69+1)</f>
        <v>2062</v>
      </c>
      <c r="D70" s="55">
        <f>IF(F69+SUM(E$17:E69)=D$10,F69,D$10-SUM(E$17:E69))</f>
        <v>0</v>
      </c>
      <c r="E70" s="378">
        <f>IF(+I14&lt;F69,I14,D70)</f>
        <v>0</v>
      </c>
      <c r="F70" s="55">
        <f t="shared" si="29"/>
        <v>0</v>
      </c>
      <c r="G70" s="380">
        <f t="shared" si="27"/>
        <v>0</v>
      </c>
      <c r="H70" s="364">
        <f t="shared" si="28"/>
        <v>0</v>
      </c>
      <c r="I70" s="52">
        <f t="shared" si="30"/>
        <v>0</v>
      </c>
      <c r="J70" s="52"/>
      <c r="K70" s="129"/>
      <c r="L70" s="54">
        <f t="shared" si="31"/>
        <v>0</v>
      </c>
      <c r="M70" s="129"/>
      <c r="N70" s="54">
        <f t="shared" si="32"/>
        <v>0</v>
      </c>
      <c r="O70" s="54">
        <f t="shared" si="33"/>
        <v>0</v>
      </c>
      <c r="P70" s="1"/>
    </row>
    <row r="71" spans="1:16" ht="12.5">
      <c r="B71" s="7" t="str">
        <f t="shared" si="6"/>
        <v/>
      </c>
      <c r="C71" s="50">
        <f>IF(D11="","-",+C70+1)</f>
        <v>2063</v>
      </c>
      <c r="D71" s="55">
        <f>IF(F70+SUM(E$17:E70)=D$10,F70,D$10-SUM(E$17:E70))</f>
        <v>0</v>
      </c>
      <c r="E71" s="378">
        <f>IF(+I14&lt;F70,I14,D71)</f>
        <v>0</v>
      </c>
      <c r="F71" s="55">
        <f t="shared" si="29"/>
        <v>0</v>
      </c>
      <c r="G71" s="380">
        <f t="shared" si="27"/>
        <v>0</v>
      </c>
      <c r="H71" s="364">
        <f t="shared" si="28"/>
        <v>0</v>
      </c>
      <c r="I71" s="52">
        <f t="shared" si="30"/>
        <v>0</v>
      </c>
      <c r="J71" s="52"/>
      <c r="K71" s="129"/>
      <c r="L71" s="54">
        <f t="shared" si="31"/>
        <v>0</v>
      </c>
      <c r="M71" s="129"/>
      <c r="N71" s="54">
        <f t="shared" si="32"/>
        <v>0</v>
      </c>
      <c r="O71" s="54">
        <f t="shared" si="33"/>
        <v>0</v>
      </c>
      <c r="P71" s="1"/>
    </row>
    <row r="72" spans="1:16" ht="13" thickBot="1">
      <c r="B72" s="7" t="str">
        <f t="shared" si="6"/>
        <v/>
      </c>
      <c r="C72" s="59">
        <f>IF(D11="","-",+C71+1)</f>
        <v>2064</v>
      </c>
      <c r="D72" s="60">
        <f>IF(F71+SUM(E$17:E71)=D$10,F71,D$10-SUM(E$17:E71))</f>
        <v>0</v>
      </c>
      <c r="E72" s="381">
        <f>IF(+I14&lt;F71,I14,D72)</f>
        <v>0</v>
      </c>
      <c r="F72" s="60">
        <f t="shared" si="29"/>
        <v>0</v>
      </c>
      <c r="G72" s="382">
        <f t="shared" si="27"/>
        <v>0</v>
      </c>
      <c r="H72" s="362">
        <f t="shared" si="28"/>
        <v>0</v>
      </c>
      <c r="I72" s="63">
        <f t="shared" si="30"/>
        <v>0</v>
      </c>
      <c r="J72" s="52"/>
      <c r="K72" s="130"/>
      <c r="L72" s="64">
        <f t="shared" si="31"/>
        <v>0</v>
      </c>
      <c r="M72" s="130"/>
      <c r="N72" s="64">
        <f t="shared" si="32"/>
        <v>0</v>
      </c>
      <c r="O72" s="64">
        <f t="shared" si="33"/>
        <v>0</v>
      </c>
      <c r="P72" s="1"/>
    </row>
    <row r="73" spans="1:16" ht="12.5">
      <c r="C73" s="12" t="s">
        <v>78</v>
      </c>
      <c r="D73" s="293"/>
      <c r="E73" s="293">
        <f>SUM(E17:E72)</f>
        <v>77750.000000000015</v>
      </c>
      <c r="F73" s="293"/>
      <c r="G73" s="293">
        <f>SUM(G17:G72)</f>
        <v>278411.85344574973</v>
      </c>
      <c r="H73" s="293">
        <f>SUM(H17:H72)</f>
        <v>278411.85344574973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7.5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7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7679.5085788913384</v>
      </c>
      <c r="N87" s="387">
        <f>IF(J92&lt;D11,0,VLOOKUP(J92,C17:O72,11))</f>
        <v>7679.5085788913384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7997.8149556586723</v>
      </c>
      <c r="N88" s="390">
        <f>IF(J92&lt;D11,0,VLOOKUP(J92,C99:P154,7))</f>
        <v>7997.8149556586723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Linwood 138 Station Switch Replacement*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318.30637676733386</v>
      </c>
      <c r="N89" s="392">
        <f>+N88-N87</f>
        <v>318.30637676733386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>DOES NOT MEET SPP $100,000 MINIMUM INVESTMENT FOR REGIONAL BPU SHARING.</v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TP2008080</v>
      </c>
      <c r="E91" s="76" t="s">
        <v>494</v>
      </c>
      <c r="F91" s="463">
        <f>F9</f>
        <v>30151</v>
      </c>
      <c r="G91" s="76"/>
      <c r="H91" s="76"/>
      <c r="I91" s="76"/>
      <c r="J91" s="95"/>
      <c r="Q91" s="1"/>
    </row>
    <row r="92" spans="1:17" ht="13">
      <c r="C92" s="34" t="s">
        <v>51</v>
      </c>
      <c r="D92" s="363">
        <f>D10</f>
        <v>77750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  <c r="Q92" s="1"/>
    </row>
    <row r="93" spans="1:17" ht="12.5">
      <c r="C93" s="34" t="s">
        <v>54</v>
      </c>
      <c r="D93" s="88">
        <f>IF(D11=I10,"",D11)</f>
        <v>2009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4">
        <f>IF(D11=I10,"",D12)</f>
        <v>5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1767.0454545454545</v>
      </c>
      <c r="K96" s="293"/>
      <c r="L96" s="293"/>
      <c r="M96" s="293"/>
      <c r="N96" s="293"/>
      <c r="O96" s="293"/>
      <c r="P96" s="1"/>
      <c r="Q96" s="1"/>
    </row>
    <row r="97" spans="1:17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 ht="12.5">
      <c r="C99" s="50">
        <f>IF(D93= "","-",D93)</f>
        <v>2009</v>
      </c>
      <c r="D99" s="133">
        <v>0</v>
      </c>
      <c r="E99" s="376">
        <v>994</v>
      </c>
      <c r="F99" s="137">
        <v>63775</v>
      </c>
      <c r="G99" s="140">
        <v>318887</v>
      </c>
      <c r="H99" s="397">
        <v>5610</v>
      </c>
      <c r="I99" s="398">
        <v>5610</v>
      </c>
      <c r="J99" s="54">
        <f t="shared" ref="J99:J130" si="34">+I99-H99</f>
        <v>0</v>
      </c>
      <c r="K99" s="54"/>
      <c r="L99" s="112">
        <f t="shared" ref="L99:L104" si="35">H99</f>
        <v>5610</v>
      </c>
      <c r="M99" s="53">
        <f t="shared" ref="M99:M130" si="36">IF(L99&lt;&gt;0,+H99-L99,0)</f>
        <v>0</v>
      </c>
      <c r="N99" s="112">
        <f t="shared" ref="N99:N104" si="37">I99</f>
        <v>5610</v>
      </c>
      <c r="O99" s="53">
        <f t="shared" ref="O99:O130" si="38">IF(N99&lt;&gt;0,+I99-N99,0)</f>
        <v>0</v>
      </c>
      <c r="P99" s="53">
        <f t="shared" ref="P99:P130" si="39">+O99-M99</f>
        <v>0</v>
      </c>
      <c r="Q99" s="1"/>
    </row>
    <row r="100" spans="1:17" ht="12.5">
      <c r="B100" s="7" t="str">
        <f>IF(D100=F99,"","IU")</f>
        <v>IU</v>
      </c>
      <c r="C100" s="50">
        <f>IF(D93="","-",+C99+1)</f>
        <v>2010</v>
      </c>
      <c r="D100" s="133">
        <v>76756</v>
      </c>
      <c r="E100" s="376">
        <v>1896.3414634146341</v>
      </c>
      <c r="F100" s="137">
        <v>74859.658536585368</v>
      </c>
      <c r="G100" s="137">
        <v>75807.829268292684</v>
      </c>
      <c r="H100" s="376">
        <v>14411.158990782849</v>
      </c>
      <c r="I100" s="375">
        <v>14411.158990782849</v>
      </c>
      <c r="J100" s="54">
        <f t="shared" si="34"/>
        <v>0</v>
      </c>
      <c r="K100" s="54"/>
      <c r="L100" s="113">
        <f t="shared" si="35"/>
        <v>14411.158990782849</v>
      </c>
      <c r="M100" s="54">
        <f t="shared" si="36"/>
        <v>0</v>
      </c>
      <c r="N100" s="113">
        <f t="shared" si="37"/>
        <v>14411.158990782849</v>
      </c>
      <c r="O100" s="54">
        <f t="shared" si="38"/>
        <v>0</v>
      </c>
      <c r="P100" s="54">
        <f t="shared" si="39"/>
        <v>0</v>
      </c>
      <c r="Q100" s="1"/>
    </row>
    <row r="101" spans="1:17" ht="12.5">
      <c r="B101" s="7" t="str">
        <f t="shared" ref="B101:B154" si="40">IF(D101=F100,"","IU")</f>
        <v/>
      </c>
      <c r="C101" s="50">
        <f>IF(D93="","-",+C100+1)</f>
        <v>2011</v>
      </c>
      <c r="D101" s="133">
        <v>74859.658536585368</v>
      </c>
      <c r="E101" s="377">
        <v>1851.1904761904761</v>
      </c>
      <c r="F101" s="137">
        <v>73008.468060394895</v>
      </c>
      <c r="G101" s="137">
        <v>73934.063298490131</v>
      </c>
      <c r="H101" s="376">
        <v>12969.387615340562</v>
      </c>
      <c r="I101" s="375">
        <v>12969.387615340562</v>
      </c>
      <c r="J101" s="54">
        <f t="shared" si="34"/>
        <v>0</v>
      </c>
      <c r="K101" s="54"/>
      <c r="L101" s="113">
        <f t="shared" si="35"/>
        <v>12969.387615340562</v>
      </c>
      <c r="M101" s="54">
        <f t="shared" si="36"/>
        <v>0</v>
      </c>
      <c r="N101" s="113">
        <f t="shared" si="37"/>
        <v>12969.387615340562</v>
      </c>
      <c r="O101" s="54">
        <f t="shared" si="38"/>
        <v>0</v>
      </c>
      <c r="P101" s="54">
        <f t="shared" si="39"/>
        <v>0</v>
      </c>
      <c r="Q101" s="1"/>
    </row>
    <row r="102" spans="1:17" ht="12.5">
      <c r="B102" s="7" t="str">
        <f t="shared" si="40"/>
        <v/>
      </c>
      <c r="C102" s="50">
        <f>IF(D93="","-",+C101+1)</f>
        <v>2012</v>
      </c>
      <c r="D102" s="133">
        <v>73008.468060394895</v>
      </c>
      <c r="E102" s="376">
        <v>1851.1904761904761</v>
      </c>
      <c r="F102" s="137">
        <v>71157.277584204421</v>
      </c>
      <c r="G102" s="137">
        <v>72082.872822299658</v>
      </c>
      <c r="H102" s="376">
        <v>12458.468627153823</v>
      </c>
      <c r="I102" s="375">
        <v>12458.468627153823</v>
      </c>
      <c r="J102" s="54">
        <f t="shared" si="34"/>
        <v>0</v>
      </c>
      <c r="K102" s="54"/>
      <c r="L102" s="113">
        <f t="shared" si="35"/>
        <v>12458.468627153823</v>
      </c>
      <c r="M102" s="54">
        <f t="shared" si="36"/>
        <v>0</v>
      </c>
      <c r="N102" s="113">
        <f t="shared" si="37"/>
        <v>12458.468627153823</v>
      </c>
      <c r="O102" s="54">
        <f t="shared" si="38"/>
        <v>0</v>
      </c>
      <c r="P102" s="54">
        <f t="shared" si="39"/>
        <v>0</v>
      </c>
      <c r="Q102" s="1"/>
    </row>
    <row r="103" spans="1:17" ht="12.5">
      <c r="B103" s="7" t="str">
        <f t="shared" si="40"/>
        <v/>
      </c>
      <c r="C103" s="50">
        <f>IF(D93="","-",+C102+1)</f>
        <v>2013</v>
      </c>
      <c r="D103" s="133">
        <v>71157.277584204421</v>
      </c>
      <c r="E103" s="376">
        <v>1851.1904761904761</v>
      </c>
      <c r="F103" s="137">
        <v>69306.087108013948</v>
      </c>
      <c r="G103" s="137">
        <v>70231.682346109184</v>
      </c>
      <c r="H103" s="376">
        <v>11352.954336851966</v>
      </c>
      <c r="I103" s="375">
        <v>11352.954336851966</v>
      </c>
      <c r="J103" s="54">
        <v>0</v>
      </c>
      <c r="K103" s="54"/>
      <c r="L103" s="113">
        <f t="shared" si="35"/>
        <v>11352.954336851966</v>
      </c>
      <c r="M103" s="54">
        <f t="shared" ref="M103:M108" si="41">IF(L103&lt;&gt;0,+H103-L103,0)</f>
        <v>0</v>
      </c>
      <c r="N103" s="113">
        <f t="shared" si="37"/>
        <v>11352.954336851966</v>
      </c>
      <c r="O103" s="54">
        <f t="shared" ref="O103:O108" si="42">IF(N103&lt;&gt;0,+I103-N103,0)</f>
        <v>0</v>
      </c>
      <c r="P103" s="54">
        <f t="shared" ref="P103:P108" si="43">+O103-M103</f>
        <v>0</v>
      </c>
      <c r="Q103" s="1"/>
    </row>
    <row r="104" spans="1:17" ht="12.5">
      <c r="B104" s="7" t="str">
        <f t="shared" si="40"/>
        <v/>
      </c>
      <c r="C104" s="50">
        <f>IF(D93="","-",+C103+1)</f>
        <v>2014</v>
      </c>
      <c r="D104" s="133">
        <v>69306.087108013948</v>
      </c>
      <c r="E104" s="376">
        <v>1851.1904761904761</v>
      </c>
      <c r="F104" s="137">
        <v>67454.896631823474</v>
      </c>
      <c r="G104" s="137">
        <v>68380.491869918711</v>
      </c>
      <c r="H104" s="376">
        <v>11145.703511546504</v>
      </c>
      <c r="I104" s="375">
        <v>11145.703511546504</v>
      </c>
      <c r="J104" s="54">
        <v>0</v>
      </c>
      <c r="K104" s="54"/>
      <c r="L104" s="113">
        <f t="shared" si="35"/>
        <v>11145.703511546504</v>
      </c>
      <c r="M104" s="54">
        <f t="shared" si="41"/>
        <v>0</v>
      </c>
      <c r="N104" s="113">
        <f t="shared" si="37"/>
        <v>11145.703511546504</v>
      </c>
      <c r="O104" s="54">
        <f t="shared" si="42"/>
        <v>0</v>
      </c>
      <c r="P104" s="54">
        <f t="shared" si="43"/>
        <v>0</v>
      </c>
      <c r="Q104" s="1"/>
    </row>
    <row r="105" spans="1:17" ht="12.5">
      <c r="B105" s="7" t="str">
        <f t="shared" si="40"/>
        <v/>
      </c>
      <c r="C105" s="50">
        <f>IF(D93="","-",+C104+1)</f>
        <v>2015</v>
      </c>
      <c r="D105" s="133">
        <v>67454.896631823474</v>
      </c>
      <c r="E105" s="376">
        <v>1851.1904761904761</v>
      </c>
      <c r="F105" s="137">
        <v>65603.706155633001</v>
      </c>
      <c r="G105" s="137">
        <v>66529.301393728238</v>
      </c>
      <c r="H105" s="376">
        <v>10617.681866649142</v>
      </c>
      <c r="I105" s="375">
        <v>10617.681866649142</v>
      </c>
      <c r="J105" s="54">
        <f t="shared" si="34"/>
        <v>0</v>
      </c>
      <c r="K105" s="54"/>
      <c r="L105" s="113">
        <f t="shared" ref="L105:L110" si="44">H105</f>
        <v>10617.681866649142</v>
      </c>
      <c r="M105" s="54">
        <f t="shared" si="41"/>
        <v>0</v>
      </c>
      <c r="N105" s="113">
        <f t="shared" ref="N105:N110" si="45">I105</f>
        <v>10617.681866649142</v>
      </c>
      <c r="O105" s="54">
        <f t="shared" si="42"/>
        <v>0</v>
      </c>
      <c r="P105" s="54">
        <f t="shared" si="43"/>
        <v>0</v>
      </c>
      <c r="Q105" s="1"/>
    </row>
    <row r="106" spans="1:17" ht="12.5">
      <c r="B106" s="7" t="str">
        <f t="shared" si="40"/>
        <v/>
      </c>
      <c r="C106" s="50">
        <f>IF(D93="","-",+C105+1)</f>
        <v>2016</v>
      </c>
      <c r="D106" s="133">
        <v>65603.706155633001</v>
      </c>
      <c r="E106" s="376">
        <v>1808.1395348837209</v>
      </c>
      <c r="F106" s="137">
        <v>63795.566620749283</v>
      </c>
      <c r="G106" s="137">
        <v>64699.636388191138</v>
      </c>
      <c r="H106" s="376">
        <v>10021.757616625862</v>
      </c>
      <c r="I106" s="375">
        <v>10021.757616625862</v>
      </c>
      <c r="J106" s="54">
        <f t="shared" si="34"/>
        <v>0</v>
      </c>
      <c r="K106" s="54"/>
      <c r="L106" s="113">
        <f t="shared" si="44"/>
        <v>10021.757616625862</v>
      </c>
      <c r="M106" s="54">
        <f t="shared" si="41"/>
        <v>0</v>
      </c>
      <c r="N106" s="113">
        <f t="shared" si="45"/>
        <v>10021.757616625862</v>
      </c>
      <c r="O106" s="54">
        <f t="shared" si="42"/>
        <v>0</v>
      </c>
      <c r="P106" s="54">
        <f t="shared" si="43"/>
        <v>0</v>
      </c>
      <c r="Q106" s="1"/>
    </row>
    <row r="107" spans="1:17" ht="12.5">
      <c r="B107" s="7" t="str">
        <f t="shared" si="40"/>
        <v/>
      </c>
      <c r="C107" s="50">
        <f>IF(D93="","-",+C106+1)</f>
        <v>2017</v>
      </c>
      <c r="D107" s="133">
        <v>63795.566620749283</v>
      </c>
      <c r="E107" s="376">
        <v>1851.1904761904761</v>
      </c>
      <c r="F107" s="137">
        <v>61944.37614455881</v>
      </c>
      <c r="G107" s="137">
        <v>62869.971382654046</v>
      </c>
      <c r="H107" s="376">
        <v>9488.0975445916993</v>
      </c>
      <c r="I107" s="375">
        <v>9488.0975445916993</v>
      </c>
      <c r="J107" s="54">
        <f t="shared" si="34"/>
        <v>0</v>
      </c>
      <c r="K107" s="54"/>
      <c r="L107" s="113">
        <f t="shared" si="44"/>
        <v>9488.0975445916993</v>
      </c>
      <c r="M107" s="54">
        <f t="shared" si="41"/>
        <v>0</v>
      </c>
      <c r="N107" s="113">
        <f t="shared" si="45"/>
        <v>9488.0975445916993</v>
      </c>
      <c r="O107" s="54">
        <f t="shared" si="42"/>
        <v>0</v>
      </c>
      <c r="P107" s="54">
        <f t="shared" si="43"/>
        <v>0</v>
      </c>
      <c r="Q107" s="1"/>
    </row>
    <row r="108" spans="1:17" ht="12.5">
      <c r="B108" s="7" t="str">
        <f t="shared" si="40"/>
        <v/>
      </c>
      <c r="C108" s="50">
        <f>IF(D93="","-",+C107+1)</f>
        <v>2018</v>
      </c>
      <c r="D108" s="133">
        <v>61944.37614455881</v>
      </c>
      <c r="E108" s="376">
        <v>1851.1904761904761</v>
      </c>
      <c r="F108" s="137">
        <v>60093.185668368336</v>
      </c>
      <c r="G108" s="137">
        <v>61018.780906463573</v>
      </c>
      <c r="H108" s="376">
        <v>8295.0535610460302</v>
      </c>
      <c r="I108" s="375">
        <v>8295.0535610460302</v>
      </c>
      <c r="J108" s="54">
        <f t="shared" si="34"/>
        <v>0</v>
      </c>
      <c r="K108" s="54"/>
      <c r="L108" s="113">
        <f t="shared" si="44"/>
        <v>8295.0535610460302</v>
      </c>
      <c r="M108" s="54">
        <f t="shared" si="41"/>
        <v>0</v>
      </c>
      <c r="N108" s="113">
        <f t="shared" si="45"/>
        <v>8295.0535610460302</v>
      </c>
      <c r="O108" s="54">
        <f t="shared" si="42"/>
        <v>0</v>
      </c>
      <c r="P108" s="54">
        <f t="shared" si="43"/>
        <v>0</v>
      </c>
      <c r="Q108" s="1"/>
    </row>
    <row r="109" spans="1:17" ht="12.5">
      <c r="B109" s="7" t="str">
        <f t="shared" si="40"/>
        <v/>
      </c>
      <c r="C109" s="50">
        <f>IF(D93="","-",+C108+1)</f>
        <v>2019</v>
      </c>
      <c r="D109" s="133">
        <v>60093.185668368336</v>
      </c>
      <c r="E109" s="376">
        <v>1808.1395348837209</v>
      </c>
      <c r="F109" s="137">
        <v>58285.046133484619</v>
      </c>
      <c r="G109" s="137">
        <v>59189.115900926481</v>
      </c>
      <c r="H109" s="376">
        <v>8143.7748502603245</v>
      </c>
      <c r="I109" s="375">
        <v>8143.7748502603245</v>
      </c>
      <c r="J109" s="54">
        <f t="shared" si="34"/>
        <v>0</v>
      </c>
      <c r="K109" s="54"/>
      <c r="L109" s="113">
        <f t="shared" si="44"/>
        <v>8143.7748502603245</v>
      </c>
      <c r="M109" s="54">
        <f t="shared" ref="M109" si="46">IF(L109&lt;&gt;0,+H109-L109,0)</f>
        <v>0</v>
      </c>
      <c r="N109" s="113">
        <f t="shared" si="45"/>
        <v>8143.7748502603245</v>
      </c>
      <c r="O109" s="54">
        <f t="shared" si="38"/>
        <v>0</v>
      </c>
      <c r="P109" s="54">
        <f t="shared" si="39"/>
        <v>0</v>
      </c>
      <c r="Q109" s="1"/>
    </row>
    <row r="110" spans="1:17" ht="12.5">
      <c r="B110" s="7" t="str">
        <f t="shared" si="40"/>
        <v/>
      </c>
      <c r="C110" s="50">
        <f>IF(D93="","-",+C109+1)</f>
        <v>2020</v>
      </c>
      <c r="D110" s="133">
        <v>58285.046133484619</v>
      </c>
      <c r="E110" s="376">
        <v>1851.1904761904761</v>
      </c>
      <c r="F110" s="137">
        <v>56433.855657294145</v>
      </c>
      <c r="G110" s="137">
        <v>57359.450895389382</v>
      </c>
      <c r="H110" s="376">
        <v>8021.5664391453738</v>
      </c>
      <c r="I110" s="375">
        <v>8021.5664391453738</v>
      </c>
      <c r="J110" s="54">
        <f t="shared" si="34"/>
        <v>0</v>
      </c>
      <c r="K110" s="54"/>
      <c r="L110" s="113">
        <f t="shared" si="44"/>
        <v>8021.5664391453738</v>
      </c>
      <c r="M110" s="54">
        <f t="shared" ref="M110" si="47">IF(L110&lt;&gt;0,+H110-L110,0)</f>
        <v>0</v>
      </c>
      <c r="N110" s="113">
        <f t="shared" si="45"/>
        <v>8021.5664391453738</v>
      </c>
      <c r="O110" s="54">
        <f t="shared" si="38"/>
        <v>0</v>
      </c>
      <c r="P110" s="54">
        <f t="shared" si="39"/>
        <v>0</v>
      </c>
      <c r="Q110" s="1"/>
    </row>
    <row r="111" spans="1:17" ht="12.5">
      <c r="B111" s="7" t="str">
        <f t="shared" si="40"/>
        <v/>
      </c>
      <c r="C111" s="50">
        <f>IF(D93="","-",+C110+1)</f>
        <v>2021</v>
      </c>
      <c r="D111" s="133">
        <v>56433.855657294145</v>
      </c>
      <c r="E111" s="376">
        <v>1896.3414634146341</v>
      </c>
      <c r="F111" s="137">
        <v>54537.514193879513</v>
      </c>
      <c r="G111" s="137">
        <v>55485.684925586829</v>
      </c>
      <c r="H111" s="376">
        <v>8194.7560624520156</v>
      </c>
      <c r="I111" s="375">
        <v>8194.7560624520156</v>
      </c>
      <c r="J111" s="54">
        <f t="shared" si="34"/>
        <v>0</v>
      </c>
      <c r="K111" s="54"/>
      <c r="L111" s="113">
        <f t="shared" ref="L111" si="48">H111</f>
        <v>8194.7560624520156</v>
      </c>
      <c r="M111" s="54">
        <f t="shared" ref="M111" si="49">IF(L111&lt;&gt;0,+H111-L111,0)</f>
        <v>0</v>
      </c>
      <c r="N111" s="113">
        <f t="shared" ref="N111" si="50">I111</f>
        <v>8194.7560624520156</v>
      </c>
      <c r="O111" s="54">
        <f t="shared" si="38"/>
        <v>0</v>
      </c>
      <c r="P111" s="54">
        <f t="shared" si="39"/>
        <v>0</v>
      </c>
      <c r="Q111" s="1"/>
    </row>
    <row r="112" spans="1:17" ht="12.5">
      <c r="B112" s="7" t="str">
        <f t="shared" si="40"/>
        <v/>
      </c>
      <c r="C112" s="50">
        <f>IF(D93="","-",+C111+1)</f>
        <v>2022</v>
      </c>
      <c r="D112" s="133">
        <v>54537.514193879513</v>
      </c>
      <c r="E112" s="376">
        <v>1851.1904761904761</v>
      </c>
      <c r="F112" s="137">
        <v>52686.32371768904</v>
      </c>
      <c r="G112" s="137">
        <v>53611.918955784276</v>
      </c>
      <c r="H112" s="376">
        <v>8148.3308381014476</v>
      </c>
      <c r="I112" s="375">
        <v>8148.3308381014476</v>
      </c>
      <c r="J112" s="54">
        <f t="shared" si="34"/>
        <v>0</v>
      </c>
      <c r="K112" s="54"/>
      <c r="L112" s="113">
        <f t="shared" ref="L112" si="51">H112</f>
        <v>8148.3308381014476</v>
      </c>
      <c r="M112" s="54">
        <f t="shared" ref="M112" si="52">IF(L112&lt;&gt;0,+H112-L112,0)</f>
        <v>0</v>
      </c>
      <c r="N112" s="113">
        <f t="shared" ref="N112" si="53">I112</f>
        <v>8148.3308381014476</v>
      </c>
      <c r="O112" s="54">
        <f t="shared" ref="O112" si="54">IF(N112&lt;&gt;0,+I112-N112,0)</f>
        <v>0</v>
      </c>
      <c r="P112" s="54">
        <f t="shared" ref="P112" si="55">+O112-M112</f>
        <v>0</v>
      </c>
      <c r="Q112" s="1"/>
    </row>
    <row r="113" spans="2:17" ht="12.5">
      <c r="B113" s="7" t="str">
        <f t="shared" si="40"/>
        <v/>
      </c>
      <c r="C113" s="50">
        <f>IF(D93="","-",+C112+1)</f>
        <v>2023</v>
      </c>
      <c r="D113" s="133">
        <v>52686.32371768904</v>
      </c>
      <c r="E113" s="376">
        <v>1767.0454545454545</v>
      </c>
      <c r="F113" s="137">
        <v>50919.278263143584</v>
      </c>
      <c r="G113" s="137">
        <v>51802.800990416312</v>
      </c>
      <c r="H113" s="376">
        <v>8157.7009108270777</v>
      </c>
      <c r="I113" s="375">
        <v>8157.7009108270777</v>
      </c>
      <c r="J113" s="54">
        <f t="shared" si="34"/>
        <v>0</v>
      </c>
      <c r="K113" s="54"/>
      <c r="L113" s="113">
        <f t="shared" ref="L113" si="56">H113</f>
        <v>8157.7009108270777</v>
      </c>
      <c r="M113" s="54">
        <f t="shared" ref="M113" si="57">IF(L113&lt;&gt;0,+H113-L113,0)</f>
        <v>0</v>
      </c>
      <c r="N113" s="113">
        <f t="shared" ref="N113" si="58">I113</f>
        <v>8157.7009108270777</v>
      </c>
      <c r="O113" s="54">
        <f t="shared" ref="O113" si="59">IF(N113&lt;&gt;0,+I113-N113,0)</f>
        <v>0</v>
      </c>
      <c r="P113" s="54">
        <f t="shared" ref="P113" si="60">+O113-M113</f>
        <v>0</v>
      </c>
      <c r="Q113" s="1"/>
    </row>
    <row r="114" spans="2:17" ht="12.5">
      <c r="B114" s="7" t="str">
        <f t="shared" si="40"/>
        <v/>
      </c>
      <c r="C114" s="50">
        <f>IF(D93="","-",+C113+1)</f>
        <v>2024</v>
      </c>
      <c r="D114" s="12">
        <f>IF(F113+SUM(E$99:E113)=D$92,F113,D$92-SUM(E$99:E113))</f>
        <v>50919.278263143584</v>
      </c>
      <c r="E114" s="378">
        <f>IF(+J96&lt;F113,J96,D114)</f>
        <v>1767.0454545454545</v>
      </c>
      <c r="F114" s="55">
        <f t="shared" ref="F114:F130" si="61">+D114-E114</f>
        <v>49152.232808598128</v>
      </c>
      <c r="G114" s="55">
        <f t="shared" ref="G114:G130" si="62">+(F114+D114)/2</f>
        <v>50035.755535870856</v>
      </c>
      <c r="H114" s="380">
        <f t="shared" ref="H114:H154" si="63">+J$94*G114+E114</f>
        <v>7997.8149556586723</v>
      </c>
      <c r="I114" s="399">
        <f t="shared" ref="I114:I154" si="64">+J$95*G114+E114</f>
        <v>7997.8149556586723</v>
      </c>
      <c r="J114" s="54">
        <f t="shared" si="34"/>
        <v>0</v>
      </c>
      <c r="K114" s="54"/>
      <c r="L114" s="129"/>
      <c r="M114" s="54">
        <f t="shared" si="36"/>
        <v>0</v>
      </c>
      <c r="N114" s="129"/>
      <c r="O114" s="54">
        <f t="shared" si="38"/>
        <v>0</v>
      </c>
      <c r="P114" s="54">
        <f t="shared" si="39"/>
        <v>0</v>
      </c>
      <c r="Q114" s="1"/>
    </row>
    <row r="115" spans="2:17" ht="12.5">
      <c r="B115" s="7" t="str">
        <f t="shared" si="40"/>
        <v/>
      </c>
      <c r="C115" s="50">
        <f>IF(D93="","-",+C114+1)</f>
        <v>2025</v>
      </c>
      <c r="D115" s="12">
        <f>IF(F114+SUM(E$99:E114)=D$92,F114,D$92-SUM(E$99:E114))</f>
        <v>49152.232808598128</v>
      </c>
      <c r="E115" s="378">
        <f>IF(+J96&lt;F114,J96,D115)</f>
        <v>1767.0454545454545</v>
      </c>
      <c r="F115" s="55">
        <f t="shared" si="61"/>
        <v>47385.187354052672</v>
      </c>
      <c r="G115" s="55">
        <f t="shared" si="62"/>
        <v>48268.7100813254</v>
      </c>
      <c r="H115" s="380">
        <f t="shared" si="63"/>
        <v>7777.7712527636613</v>
      </c>
      <c r="I115" s="399">
        <f t="shared" si="64"/>
        <v>7777.7712527636613</v>
      </c>
      <c r="J115" s="54">
        <f t="shared" si="34"/>
        <v>0</v>
      </c>
      <c r="K115" s="54"/>
      <c r="L115" s="129"/>
      <c r="M115" s="54">
        <f t="shared" si="36"/>
        <v>0</v>
      </c>
      <c r="N115" s="129"/>
      <c r="O115" s="54">
        <f t="shared" si="38"/>
        <v>0</v>
      </c>
      <c r="P115" s="54">
        <f t="shared" si="39"/>
        <v>0</v>
      </c>
      <c r="Q115" s="1"/>
    </row>
    <row r="116" spans="2:17" ht="12.5">
      <c r="B116" s="7" t="str">
        <f t="shared" si="40"/>
        <v/>
      </c>
      <c r="C116" s="50">
        <f>IF(D93="","-",+C115+1)</f>
        <v>2026</v>
      </c>
      <c r="D116" s="12">
        <f>IF(F115+SUM(E$99:E115)=D$92,F115,D$92-SUM(E$99:E115))</f>
        <v>47385.187354052672</v>
      </c>
      <c r="E116" s="378">
        <f>IF(+J96&lt;F115,J96,D116)</f>
        <v>1767.0454545454545</v>
      </c>
      <c r="F116" s="55">
        <f t="shared" si="61"/>
        <v>45618.141899507216</v>
      </c>
      <c r="G116" s="55">
        <f t="shared" si="62"/>
        <v>46501.664626779944</v>
      </c>
      <c r="H116" s="380">
        <f t="shared" si="63"/>
        <v>7557.7275498686504</v>
      </c>
      <c r="I116" s="399">
        <f t="shared" si="64"/>
        <v>7557.7275498686504</v>
      </c>
      <c r="J116" s="54">
        <f t="shared" si="34"/>
        <v>0</v>
      </c>
      <c r="K116" s="54"/>
      <c r="L116" s="129"/>
      <c r="M116" s="54">
        <f t="shared" si="36"/>
        <v>0</v>
      </c>
      <c r="N116" s="129"/>
      <c r="O116" s="54">
        <f t="shared" si="38"/>
        <v>0</v>
      </c>
      <c r="P116" s="54">
        <f t="shared" si="39"/>
        <v>0</v>
      </c>
      <c r="Q116" s="1"/>
    </row>
    <row r="117" spans="2:17" ht="12.5">
      <c r="B117" s="7" t="str">
        <f t="shared" si="40"/>
        <v/>
      </c>
      <c r="C117" s="50">
        <f>IF(D93="","-",+C116+1)</f>
        <v>2027</v>
      </c>
      <c r="D117" s="12">
        <f>IF(F116+SUM(E$99:E116)=D$92,F116,D$92-SUM(E$99:E116))</f>
        <v>45618.141899507216</v>
      </c>
      <c r="E117" s="378">
        <f>IF(+J96&lt;F116,J96,D117)</f>
        <v>1767.0454545454545</v>
      </c>
      <c r="F117" s="55">
        <f t="shared" si="61"/>
        <v>43851.09644496176</v>
      </c>
      <c r="G117" s="55">
        <f t="shared" si="62"/>
        <v>44734.619172234488</v>
      </c>
      <c r="H117" s="380">
        <f t="shared" si="63"/>
        <v>7337.6838469736394</v>
      </c>
      <c r="I117" s="399">
        <f t="shared" si="64"/>
        <v>7337.6838469736394</v>
      </c>
      <c r="J117" s="54">
        <f t="shared" si="34"/>
        <v>0</v>
      </c>
      <c r="K117" s="54"/>
      <c r="L117" s="129"/>
      <c r="M117" s="54">
        <f t="shared" si="36"/>
        <v>0</v>
      </c>
      <c r="N117" s="129"/>
      <c r="O117" s="54">
        <f t="shared" si="38"/>
        <v>0</v>
      </c>
      <c r="P117" s="54">
        <f t="shared" si="39"/>
        <v>0</v>
      </c>
      <c r="Q117" s="1"/>
    </row>
    <row r="118" spans="2:17" ht="12.5">
      <c r="B118" s="7" t="str">
        <f t="shared" si="40"/>
        <v/>
      </c>
      <c r="C118" s="50">
        <f>IF(D93="","-",+C117+1)</f>
        <v>2028</v>
      </c>
      <c r="D118" s="12">
        <f>IF(F117+SUM(E$99:E117)=D$92,F117,D$92-SUM(E$99:E117))</f>
        <v>43851.09644496176</v>
      </c>
      <c r="E118" s="378">
        <f>IF(+J96&lt;F117,J96,D118)</f>
        <v>1767.0454545454545</v>
      </c>
      <c r="F118" s="55">
        <f t="shared" si="61"/>
        <v>42084.050990416305</v>
      </c>
      <c r="G118" s="55">
        <f t="shared" si="62"/>
        <v>42967.573717689032</v>
      </c>
      <c r="H118" s="380">
        <f t="shared" si="63"/>
        <v>7117.6401440786285</v>
      </c>
      <c r="I118" s="399">
        <f t="shared" si="64"/>
        <v>7117.6401440786285</v>
      </c>
      <c r="J118" s="54">
        <f t="shared" si="34"/>
        <v>0</v>
      </c>
      <c r="K118" s="54"/>
      <c r="L118" s="129"/>
      <c r="M118" s="54">
        <f t="shared" si="36"/>
        <v>0</v>
      </c>
      <c r="N118" s="129"/>
      <c r="O118" s="54">
        <f t="shared" si="38"/>
        <v>0</v>
      </c>
      <c r="P118" s="54">
        <f t="shared" si="39"/>
        <v>0</v>
      </c>
      <c r="Q118" s="1"/>
    </row>
    <row r="119" spans="2:17" ht="12.5">
      <c r="B119" s="7" t="str">
        <f t="shared" si="40"/>
        <v/>
      </c>
      <c r="C119" s="50">
        <f>IF(D93="","-",+C118+1)</f>
        <v>2029</v>
      </c>
      <c r="D119" s="12">
        <f>IF(F118+SUM(E$99:E118)=D$92,F118,D$92-SUM(E$99:E118))</f>
        <v>42084.050990416305</v>
      </c>
      <c r="E119" s="378">
        <f>IF(+J96&lt;F118,J96,D119)</f>
        <v>1767.0454545454545</v>
      </c>
      <c r="F119" s="55">
        <f t="shared" si="61"/>
        <v>40317.005535870849</v>
      </c>
      <c r="G119" s="55">
        <f t="shared" si="62"/>
        <v>41200.528263143577</v>
      </c>
      <c r="H119" s="380">
        <f t="shared" si="63"/>
        <v>6897.5964411836176</v>
      </c>
      <c r="I119" s="399">
        <f t="shared" si="64"/>
        <v>6897.5964411836176</v>
      </c>
      <c r="J119" s="54">
        <f t="shared" si="34"/>
        <v>0</v>
      </c>
      <c r="K119" s="54"/>
      <c r="L119" s="129"/>
      <c r="M119" s="54">
        <f t="shared" si="36"/>
        <v>0</v>
      </c>
      <c r="N119" s="129"/>
      <c r="O119" s="54">
        <f t="shared" si="38"/>
        <v>0</v>
      </c>
      <c r="P119" s="54">
        <f t="shared" si="39"/>
        <v>0</v>
      </c>
      <c r="Q119" s="1"/>
    </row>
    <row r="120" spans="2:17" ht="12.5">
      <c r="B120" s="7" t="str">
        <f t="shared" si="40"/>
        <v/>
      </c>
      <c r="C120" s="50">
        <f>IF(D93="","-",+C119+1)</f>
        <v>2030</v>
      </c>
      <c r="D120" s="12">
        <f>IF(F119+SUM(E$99:E119)=D$92,F119,D$92-SUM(E$99:E119))</f>
        <v>40317.005535870849</v>
      </c>
      <c r="E120" s="378">
        <f>IF(+J96&lt;F119,J96,D120)</f>
        <v>1767.0454545454545</v>
      </c>
      <c r="F120" s="55">
        <f t="shared" si="61"/>
        <v>38549.960081325393</v>
      </c>
      <c r="G120" s="55">
        <f t="shared" si="62"/>
        <v>39433.482808598121</v>
      </c>
      <c r="H120" s="380">
        <f t="shared" si="63"/>
        <v>6677.5527382886066</v>
      </c>
      <c r="I120" s="399">
        <f t="shared" si="64"/>
        <v>6677.5527382886066</v>
      </c>
      <c r="J120" s="54">
        <f t="shared" si="34"/>
        <v>0</v>
      </c>
      <c r="K120" s="54"/>
      <c r="L120" s="129"/>
      <c r="M120" s="54">
        <f t="shared" si="36"/>
        <v>0</v>
      </c>
      <c r="N120" s="129"/>
      <c r="O120" s="54">
        <f t="shared" si="38"/>
        <v>0</v>
      </c>
      <c r="P120" s="54">
        <f t="shared" si="39"/>
        <v>0</v>
      </c>
      <c r="Q120" s="1"/>
    </row>
    <row r="121" spans="2:17" ht="12.5">
      <c r="B121" s="7" t="str">
        <f t="shared" si="40"/>
        <v/>
      </c>
      <c r="C121" s="50">
        <f>IF(D93="","-",+C120+1)</f>
        <v>2031</v>
      </c>
      <c r="D121" s="12">
        <f>IF(F120+SUM(E$99:E120)=D$92,F120,D$92-SUM(E$99:E120))</f>
        <v>38549.960081325393</v>
      </c>
      <c r="E121" s="378">
        <f>IF(+J96&lt;F120,J96,D121)</f>
        <v>1767.0454545454545</v>
      </c>
      <c r="F121" s="55">
        <f t="shared" si="61"/>
        <v>36782.914626779937</v>
      </c>
      <c r="G121" s="55">
        <f t="shared" si="62"/>
        <v>37666.437354052665</v>
      </c>
      <c r="H121" s="380">
        <f t="shared" si="63"/>
        <v>6457.5090353935939</v>
      </c>
      <c r="I121" s="399">
        <f t="shared" si="64"/>
        <v>6457.5090353935939</v>
      </c>
      <c r="J121" s="54">
        <f t="shared" si="34"/>
        <v>0</v>
      </c>
      <c r="K121" s="54"/>
      <c r="L121" s="129"/>
      <c r="M121" s="54">
        <f t="shared" si="36"/>
        <v>0</v>
      </c>
      <c r="N121" s="129"/>
      <c r="O121" s="54">
        <f t="shared" si="38"/>
        <v>0</v>
      </c>
      <c r="P121" s="54">
        <f t="shared" si="39"/>
        <v>0</v>
      </c>
      <c r="Q121" s="1"/>
    </row>
    <row r="122" spans="2:17" ht="12.5">
      <c r="B122" s="7" t="str">
        <f t="shared" si="40"/>
        <v/>
      </c>
      <c r="C122" s="50">
        <f>IF(D93="","-",+C121+1)</f>
        <v>2032</v>
      </c>
      <c r="D122" s="12">
        <f>IF(F121+SUM(E$99:E121)=D$92,F121,D$92-SUM(E$99:E121))</f>
        <v>36782.914626779937</v>
      </c>
      <c r="E122" s="378">
        <f>IF(+J96&lt;F121,J96,D122)</f>
        <v>1767.0454545454545</v>
      </c>
      <c r="F122" s="55">
        <f t="shared" si="61"/>
        <v>35015.869172234481</v>
      </c>
      <c r="G122" s="55">
        <f t="shared" si="62"/>
        <v>35899.391899507209</v>
      </c>
      <c r="H122" s="380">
        <f t="shared" si="63"/>
        <v>6237.4653324985829</v>
      </c>
      <c r="I122" s="399">
        <f t="shared" si="64"/>
        <v>6237.4653324985829</v>
      </c>
      <c r="J122" s="54">
        <f t="shared" si="34"/>
        <v>0</v>
      </c>
      <c r="K122" s="54"/>
      <c r="L122" s="129"/>
      <c r="M122" s="54">
        <f t="shared" si="36"/>
        <v>0</v>
      </c>
      <c r="N122" s="129"/>
      <c r="O122" s="54">
        <f t="shared" si="38"/>
        <v>0</v>
      </c>
      <c r="P122" s="54">
        <f t="shared" si="39"/>
        <v>0</v>
      </c>
      <c r="Q122" s="1"/>
    </row>
    <row r="123" spans="2:17" ht="12.5">
      <c r="B123" s="7" t="str">
        <f t="shared" si="40"/>
        <v/>
      </c>
      <c r="C123" s="50">
        <f>IF(D93="","-",+C122+1)</f>
        <v>2033</v>
      </c>
      <c r="D123" s="12">
        <f>IF(F122+SUM(E$99:E122)=D$92,F122,D$92-SUM(E$99:E122))</f>
        <v>35015.869172234481</v>
      </c>
      <c r="E123" s="378">
        <f>IF(+J96&lt;F122,J96,D123)</f>
        <v>1767.0454545454545</v>
      </c>
      <c r="F123" s="55">
        <f t="shared" si="61"/>
        <v>33248.823717689025</v>
      </c>
      <c r="G123" s="55">
        <f t="shared" si="62"/>
        <v>34132.346444961753</v>
      </c>
      <c r="H123" s="380">
        <f t="shared" si="63"/>
        <v>6017.421629603572</v>
      </c>
      <c r="I123" s="399">
        <f t="shared" si="64"/>
        <v>6017.421629603572</v>
      </c>
      <c r="J123" s="54">
        <f t="shared" si="34"/>
        <v>0</v>
      </c>
      <c r="K123" s="54"/>
      <c r="L123" s="129"/>
      <c r="M123" s="54">
        <f t="shared" si="36"/>
        <v>0</v>
      </c>
      <c r="N123" s="129"/>
      <c r="O123" s="54">
        <f t="shared" si="38"/>
        <v>0</v>
      </c>
      <c r="P123" s="54">
        <f t="shared" si="39"/>
        <v>0</v>
      </c>
      <c r="Q123" s="1"/>
    </row>
    <row r="124" spans="2:17" ht="12.5">
      <c r="B124" s="7" t="str">
        <f t="shared" si="40"/>
        <v/>
      </c>
      <c r="C124" s="50">
        <f>IF(D93="","-",+C123+1)</f>
        <v>2034</v>
      </c>
      <c r="D124" s="12">
        <f>IF(F123+SUM(E$99:E123)=D$92,F123,D$92-SUM(E$99:E123))</f>
        <v>33248.823717689025</v>
      </c>
      <c r="E124" s="378">
        <f>IF(+J96&lt;F123,J96,D124)</f>
        <v>1767.0454545454545</v>
      </c>
      <c r="F124" s="55">
        <f t="shared" si="61"/>
        <v>31481.778263143569</v>
      </c>
      <c r="G124" s="55">
        <f t="shared" si="62"/>
        <v>32365.300990416297</v>
      </c>
      <c r="H124" s="380">
        <f t="shared" si="63"/>
        <v>5797.377926708562</v>
      </c>
      <c r="I124" s="399">
        <f t="shared" si="64"/>
        <v>5797.377926708562</v>
      </c>
      <c r="J124" s="54">
        <f t="shared" si="34"/>
        <v>0</v>
      </c>
      <c r="K124" s="54"/>
      <c r="L124" s="129"/>
      <c r="M124" s="54">
        <f t="shared" si="36"/>
        <v>0</v>
      </c>
      <c r="N124" s="129"/>
      <c r="O124" s="54">
        <f t="shared" si="38"/>
        <v>0</v>
      </c>
      <c r="P124" s="54">
        <f t="shared" si="39"/>
        <v>0</v>
      </c>
      <c r="Q124" s="1"/>
    </row>
    <row r="125" spans="2:17" ht="12.5">
      <c r="B125" s="7" t="str">
        <f t="shared" si="40"/>
        <v/>
      </c>
      <c r="C125" s="50">
        <f>IF(D93="","-",+C124+1)</f>
        <v>2035</v>
      </c>
      <c r="D125" s="12">
        <f>IF(F124+SUM(E$99:E124)=D$92,F124,D$92-SUM(E$99:E124))</f>
        <v>31481.778263143569</v>
      </c>
      <c r="E125" s="378">
        <f>IF(+J96&lt;F124,J96,D125)</f>
        <v>1767.0454545454545</v>
      </c>
      <c r="F125" s="55">
        <f t="shared" si="61"/>
        <v>29714.732808598113</v>
      </c>
      <c r="G125" s="55">
        <f t="shared" si="62"/>
        <v>30598.255535870841</v>
      </c>
      <c r="H125" s="380">
        <f t="shared" si="63"/>
        <v>5577.3342238135501</v>
      </c>
      <c r="I125" s="399">
        <f t="shared" si="64"/>
        <v>5577.3342238135501</v>
      </c>
      <c r="J125" s="54">
        <f t="shared" si="34"/>
        <v>0</v>
      </c>
      <c r="K125" s="54"/>
      <c r="L125" s="129"/>
      <c r="M125" s="54">
        <f t="shared" si="36"/>
        <v>0</v>
      </c>
      <c r="N125" s="129"/>
      <c r="O125" s="54">
        <f t="shared" si="38"/>
        <v>0</v>
      </c>
      <c r="P125" s="54">
        <f t="shared" si="39"/>
        <v>0</v>
      </c>
      <c r="Q125" s="1"/>
    </row>
    <row r="126" spans="2:17" ht="12.5">
      <c r="B126" s="7" t="str">
        <f t="shared" si="40"/>
        <v/>
      </c>
      <c r="C126" s="50">
        <f>IF(D93="","-",+C125+1)</f>
        <v>2036</v>
      </c>
      <c r="D126" s="12">
        <f>IF(F125+SUM(E$99:E125)=D$92,F125,D$92-SUM(E$99:E125))</f>
        <v>29714.732808598113</v>
      </c>
      <c r="E126" s="378">
        <f>IF(+J96&lt;F125,J96,D126)</f>
        <v>1767.0454545454545</v>
      </c>
      <c r="F126" s="55">
        <f t="shared" si="61"/>
        <v>27947.687354052658</v>
      </c>
      <c r="G126" s="55">
        <f t="shared" si="62"/>
        <v>28831.210081325386</v>
      </c>
      <c r="H126" s="380">
        <f t="shared" si="63"/>
        <v>5357.2905209185392</v>
      </c>
      <c r="I126" s="399">
        <f t="shared" si="64"/>
        <v>5357.2905209185392</v>
      </c>
      <c r="J126" s="54">
        <f t="shared" si="34"/>
        <v>0</v>
      </c>
      <c r="K126" s="54"/>
      <c r="L126" s="129"/>
      <c r="M126" s="54">
        <f t="shared" si="36"/>
        <v>0</v>
      </c>
      <c r="N126" s="129"/>
      <c r="O126" s="54">
        <f t="shared" si="38"/>
        <v>0</v>
      </c>
      <c r="P126" s="54">
        <f t="shared" si="39"/>
        <v>0</v>
      </c>
      <c r="Q126" s="1"/>
    </row>
    <row r="127" spans="2:17" ht="12.5">
      <c r="B127" s="7" t="str">
        <f t="shared" si="40"/>
        <v/>
      </c>
      <c r="C127" s="50">
        <f>IF(D93="","-",+C126+1)</f>
        <v>2037</v>
      </c>
      <c r="D127" s="12">
        <f>IF(F126+SUM(E$99:E126)=D$92,F126,D$92-SUM(E$99:E126))</f>
        <v>27947.687354052658</v>
      </c>
      <c r="E127" s="378">
        <f>IF(+J96&lt;F126,J96,D127)</f>
        <v>1767.0454545454545</v>
      </c>
      <c r="F127" s="55">
        <f t="shared" si="61"/>
        <v>26180.641899507202</v>
      </c>
      <c r="G127" s="55">
        <f t="shared" si="62"/>
        <v>27064.16462677993</v>
      </c>
      <c r="H127" s="380">
        <f t="shared" si="63"/>
        <v>5137.2468180235282</v>
      </c>
      <c r="I127" s="399">
        <f t="shared" si="64"/>
        <v>5137.2468180235282</v>
      </c>
      <c r="J127" s="54">
        <f t="shared" si="34"/>
        <v>0</v>
      </c>
      <c r="K127" s="54"/>
      <c r="L127" s="129"/>
      <c r="M127" s="54">
        <f t="shared" si="36"/>
        <v>0</v>
      </c>
      <c r="N127" s="129"/>
      <c r="O127" s="54">
        <f t="shared" si="38"/>
        <v>0</v>
      </c>
      <c r="P127" s="54">
        <f t="shared" si="39"/>
        <v>0</v>
      </c>
      <c r="Q127" s="1"/>
    </row>
    <row r="128" spans="2:17" ht="12.5">
      <c r="B128" s="7" t="str">
        <f t="shared" si="40"/>
        <v/>
      </c>
      <c r="C128" s="50">
        <f>IF(D93="","-",+C127+1)</f>
        <v>2038</v>
      </c>
      <c r="D128" s="12">
        <f>IF(F127+SUM(E$99:E127)=D$92,F127,D$92-SUM(E$99:E127))</f>
        <v>26180.641899507202</v>
      </c>
      <c r="E128" s="378">
        <f>IF(+J96&lt;F127,J96,D128)</f>
        <v>1767.0454545454545</v>
      </c>
      <c r="F128" s="55">
        <f t="shared" si="61"/>
        <v>24413.596444961746</v>
      </c>
      <c r="G128" s="55">
        <f t="shared" si="62"/>
        <v>25297.119172234474</v>
      </c>
      <c r="H128" s="380">
        <f t="shared" si="63"/>
        <v>4917.2031151285173</v>
      </c>
      <c r="I128" s="399">
        <f t="shared" si="64"/>
        <v>4917.2031151285173</v>
      </c>
      <c r="J128" s="54">
        <f t="shared" si="34"/>
        <v>0</v>
      </c>
      <c r="K128" s="54"/>
      <c r="L128" s="129"/>
      <c r="M128" s="54">
        <f t="shared" si="36"/>
        <v>0</v>
      </c>
      <c r="N128" s="129"/>
      <c r="O128" s="54">
        <f t="shared" si="38"/>
        <v>0</v>
      </c>
      <c r="P128" s="54">
        <f t="shared" si="39"/>
        <v>0</v>
      </c>
      <c r="Q128" s="1"/>
    </row>
    <row r="129" spans="2:17" ht="12.5">
      <c r="B129" s="7" t="str">
        <f t="shared" si="40"/>
        <v/>
      </c>
      <c r="C129" s="50">
        <f>IF(D93="","-",+C128+1)</f>
        <v>2039</v>
      </c>
      <c r="D129" s="12">
        <f>IF(F128+SUM(E$99:E128)=D$92,F128,D$92-SUM(E$99:E128))</f>
        <v>24413.596444961746</v>
      </c>
      <c r="E129" s="378">
        <f>IF(+J96&lt;F128,J96,D129)</f>
        <v>1767.0454545454545</v>
      </c>
      <c r="F129" s="55">
        <f t="shared" si="61"/>
        <v>22646.55099041629</v>
      </c>
      <c r="G129" s="55">
        <f t="shared" si="62"/>
        <v>23530.073717689018</v>
      </c>
      <c r="H129" s="380">
        <f t="shared" si="63"/>
        <v>4697.1594122335064</v>
      </c>
      <c r="I129" s="399">
        <f t="shared" si="64"/>
        <v>4697.1594122335064</v>
      </c>
      <c r="J129" s="54">
        <f t="shared" si="34"/>
        <v>0</v>
      </c>
      <c r="K129" s="54"/>
      <c r="L129" s="129"/>
      <c r="M129" s="54">
        <f t="shared" si="36"/>
        <v>0</v>
      </c>
      <c r="N129" s="129"/>
      <c r="O129" s="54">
        <f t="shared" si="38"/>
        <v>0</v>
      </c>
      <c r="P129" s="54">
        <f t="shared" si="39"/>
        <v>0</v>
      </c>
      <c r="Q129" s="1"/>
    </row>
    <row r="130" spans="2:17" ht="12.5">
      <c r="B130" s="7" t="str">
        <f t="shared" si="40"/>
        <v/>
      </c>
      <c r="C130" s="50">
        <f>IF(D93="","-",+C129+1)</f>
        <v>2040</v>
      </c>
      <c r="D130" s="12">
        <f>IF(F129+SUM(E$99:E129)=D$92,F129,D$92-SUM(E$99:E129))</f>
        <v>22646.55099041629</v>
      </c>
      <c r="E130" s="378">
        <f>IF(+J96&lt;F129,J96,D130)</f>
        <v>1767.0454545454545</v>
      </c>
      <c r="F130" s="55">
        <f t="shared" si="61"/>
        <v>20879.505535870834</v>
      </c>
      <c r="G130" s="55">
        <f t="shared" si="62"/>
        <v>21763.028263143562</v>
      </c>
      <c r="H130" s="380">
        <f t="shared" si="63"/>
        <v>4477.1157093384954</v>
      </c>
      <c r="I130" s="399">
        <f t="shared" si="64"/>
        <v>4477.1157093384954</v>
      </c>
      <c r="J130" s="54">
        <f t="shared" si="34"/>
        <v>0</v>
      </c>
      <c r="K130" s="54"/>
      <c r="L130" s="129"/>
      <c r="M130" s="54">
        <f t="shared" si="36"/>
        <v>0</v>
      </c>
      <c r="N130" s="129"/>
      <c r="O130" s="54">
        <f t="shared" si="38"/>
        <v>0</v>
      </c>
      <c r="P130" s="54">
        <f t="shared" si="39"/>
        <v>0</v>
      </c>
      <c r="Q130" s="1"/>
    </row>
    <row r="131" spans="2:17" ht="12.5">
      <c r="B131" s="7" t="str">
        <f t="shared" si="40"/>
        <v/>
      </c>
      <c r="C131" s="50">
        <f>IF(D93="","-",+C130+1)</f>
        <v>2041</v>
      </c>
      <c r="D131" s="12">
        <f>IF(F130+SUM(E$99:E130)=D$92,F130,D$92-SUM(E$99:E130))</f>
        <v>20879.505535870834</v>
      </c>
      <c r="E131" s="378">
        <f>IF(+J96&lt;F130,J96,D131)</f>
        <v>1767.0454545454545</v>
      </c>
      <c r="F131" s="55">
        <f t="shared" ref="F131:F154" si="65">+D131-E131</f>
        <v>19112.460081325378</v>
      </c>
      <c r="G131" s="55">
        <f t="shared" ref="G131:G154" si="66">+(F131+D131)/2</f>
        <v>19995.982808598106</v>
      </c>
      <c r="H131" s="380">
        <f t="shared" si="63"/>
        <v>4257.0720064434845</v>
      </c>
      <c r="I131" s="399">
        <f t="shared" si="64"/>
        <v>4257.0720064434845</v>
      </c>
      <c r="J131" s="54">
        <f t="shared" ref="J131:J154" si="67">+I131-H131</f>
        <v>0</v>
      </c>
      <c r="K131" s="54"/>
      <c r="L131" s="129"/>
      <c r="M131" s="54">
        <f t="shared" ref="M131:M154" si="68">IF(L131&lt;&gt;0,+H131-L131,0)</f>
        <v>0</v>
      </c>
      <c r="N131" s="129"/>
      <c r="O131" s="54">
        <f t="shared" ref="O131:O154" si="69">IF(N131&lt;&gt;0,+I131-N131,0)</f>
        <v>0</v>
      </c>
      <c r="P131" s="54">
        <f t="shared" ref="P131:P154" si="70">+O131-M131</f>
        <v>0</v>
      </c>
      <c r="Q131" s="1"/>
    </row>
    <row r="132" spans="2:17" ht="12.5">
      <c r="B132" s="7" t="str">
        <f t="shared" si="40"/>
        <v/>
      </c>
      <c r="C132" s="50">
        <f>IF(D93="","-",+C131+1)</f>
        <v>2042</v>
      </c>
      <c r="D132" s="12">
        <f>IF(F131+SUM(E$99:E131)=D$92,F131,D$92-SUM(E$99:E131))</f>
        <v>19112.460081325378</v>
      </c>
      <c r="E132" s="378">
        <f>IF(+J96&lt;F131,J96,D132)</f>
        <v>1767.0454545454545</v>
      </c>
      <c r="F132" s="55">
        <f t="shared" si="65"/>
        <v>17345.414626779922</v>
      </c>
      <c r="G132" s="55">
        <f t="shared" si="66"/>
        <v>18228.93735405265</v>
      </c>
      <c r="H132" s="380">
        <f t="shared" si="63"/>
        <v>4037.028303548474</v>
      </c>
      <c r="I132" s="399">
        <f t="shared" si="64"/>
        <v>4037.028303548474</v>
      </c>
      <c r="J132" s="54">
        <f t="shared" si="67"/>
        <v>0</v>
      </c>
      <c r="K132" s="54"/>
      <c r="L132" s="129"/>
      <c r="M132" s="54">
        <f t="shared" si="68"/>
        <v>0</v>
      </c>
      <c r="N132" s="129"/>
      <c r="O132" s="54">
        <f t="shared" si="69"/>
        <v>0</v>
      </c>
      <c r="P132" s="54">
        <f t="shared" si="70"/>
        <v>0</v>
      </c>
      <c r="Q132" s="1"/>
    </row>
    <row r="133" spans="2:17" ht="12.5">
      <c r="B133" s="7" t="str">
        <f t="shared" si="40"/>
        <v/>
      </c>
      <c r="C133" s="50">
        <f>IF(D93="","-",+C132+1)</f>
        <v>2043</v>
      </c>
      <c r="D133" s="12">
        <f>IF(F132+SUM(E$99:E132)=D$92,F132,D$92-SUM(E$99:E132))</f>
        <v>17345.414626779922</v>
      </c>
      <c r="E133" s="378">
        <f>IF(+J96&lt;F132,J96,D133)</f>
        <v>1767.0454545454545</v>
      </c>
      <c r="F133" s="55">
        <f t="shared" si="65"/>
        <v>15578.369172234468</v>
      </c>
      <c r="G133" s="55">
        <f t="shared" si="66"/>
        <v>16461.891899507194</v>
      </c>
      <c r="H133" s="380">
        <f t="shared" si="63"/>
        <v>3816.9846006534626</v>
      </c>
      <c r="I133" s="399">
        <f t="shared" si="64"/>
        <v>3816.9846006534626</v>
      </c>
      <c r="J133" s="54">
        <f t="shared" si="67"/>
        <v>0</v>
      </c>
      <c r="K133" s="54"/>
      <c r="L133" s="129"/>
      <c r="M133" s="54">
        <f t="shared" si="68"/>
        <v>0</v>
      </c>
      <c r="N133" s="129"/>
      <c r="O133" s="54">
        <f t="shared" si="69"/>
        <v>0</v>
      </c>
      <c r="P133" s="54">
        <f t="shared" si="70"/>
        <v>0</v>
      </c>
      <c r="Q133" s="1"/>
    </row>
    <row r="134" spans="2:17" ht="12.5">
      <c r="B134" s="7" t="str">
        <f t="shared" si="40"/>
        <v/>
      </c>
      <c r="C134" s="50">
        <f>IF(D93="","-",+C133+1)</f>
        <v>2044</v>
      </c>
      <c r="D134" s="12">
        <f>IF(F133+SUM(E$99:E133)=D$92,F133,D$92-SUM(E$99:E133))</f>
        <v>15578.369172234468</v>
      </c>
      <c r="E134" s="378">
        <f>IF(+J96&lt;F133,J96,D134)</f>
        <v>1767.0454545454545</v>
      </c>
      <c r="F134" s="55">
        <f t="shared" si="65"/>
        <v>13811.323717689014</v>
      </c>
      <c r="G134" s="55">
        <f t="shared" si="66"/>
        <v>14694.846444961742</v>
      </c>
      <c r="H134" s="380">
        <f t="shared" si="63"/>
        <v>3596.9408977584526</v>
      </c>
      <c r="I134" s="399">
        <f t="shared" si="64"/>
        <v>3596.9408977584526</v>
      </c>
      <c r="J134" s="54">
        <f t="shared" si="67"/>
        <v>0</v>
      </c>
      <c r="K134" s="54"/>
      <c r="L134" s="129"/>
      <c r="M134" s="54">
        <f t="shared" si="68"/>
        <v>0</v>
      </c>
      <c r="N134" s="129"/>
      <c r="O134" s="54">
        <f t="shared" si="69"/>
        <v>0</v>
      </c>
      <c r="P134" s="54">
        <f t="shared" si="70"/>
        <v>0</v>
      </c>
      <c r="Q134" s="1"/>
    </row>
    <row r="135" spans="2:17" ht="12.5">
      <c r="B135" s="7" t="str">
        <f t="shared" si="40"/>
        <v/>
      </c>
      <c r="C135" s="50">
        <f>IF(D93="","-",+C134+1)</f>
        <v>2045</v>
      </c>
      <c r="D135" s="12">
        <f>IF(F134+SUM(E$99:E134)=D$92,F134,D$92-SUM(E$99:E134))</f>
        <v>13811.323717689014</v>
      </c>
      <c r="E135" s="378">
        <f>IF(+J96&lt;F134,J96,D135)</f>
        <v>1767.0454545454545</v>
      </c>
      <c r="F135" s="55">
        <f t="shared" si="65"/>
        <v>12044.27826314356</v>
      </c>
      <c r="G135" s="55">
        <f t="shared" si="66"/>
        <v>12927.800990416286</v>
      </c>
      <c r="H135" s="380">
        <f t="shared" si="63"/>
        <v>3376.8971948634412</v>
      </c>
      <c r="I135" s="399">
        <f t="shared" si="64"/>
        <v>3376.8971948634412</v>
      </c>
      <c r="J135" s="54">
        <f t="shared" si="67"/>
        <v>0</v>
      </c>
      <c r="K135" s="54"/>
      <c r="L135" s="129"/>
      <c r="M135" s="54">
        <f t="shared" si="68"/>
        <v>0</v>
      </c>
      <c r="N135" s="129"/>
      <c r="O135" s="54">
        <f t="shared" si="69"/>
        <v>0</v>
      </c>
      <c r="P135" s="54">
        <f t="shared" si="70"/>
        <v>0</v>
      </c>
      <c r="Q135" s="1"/>
    </row>
    <row r="136" spans="2:17" ht="12.5">
      <c r="B136" s="7" t="str">
        <f t="shared" si="40"/>
        <v/>
      </c>
      <c r="C136" s="50">
        <f>IF(D93="","-",+C135+1)</f>
        <v>2046</v>
      </c>
      <c r="D136" s="12">
        <f>IF(F135+SUM(E$99:E135)=D$92,F135,D$92-SUM(E$99:E135))</f>
        <v>12044.27826314356</v>
      </c>
      <c r="E136" s="378">
        <f>IF(+J96&lt;F135,J96,D136)</f>
        <v>1767.0454545454545</v>
      </c>
      <c r="F136" s="55">
        <f t="shared" si="65"/>
        <v>10277.232808598106</v>
      </c>
      <c r="G136" s="55">
        <f t="shared" si="66"/>
        <v>11160.755535870834</v>
      </c>
      <c r="H136" s="380">
        <f t="shared" si="63"/>
        <v>3156.8534919684307</v>
      </c>
      <c r="I136" s="399">
        <f t="shared" si="64"/>
        <v>3156.8534919684307</v>
      </c>
      <c r="J136" s="54">
        <f t="shared" si="67"/>
        <v>0</v>
      </c>
      <c r="K136" s="54"/>
      <c r="L136" s="129"/>
      <c r="M136" s="54">
        <f t="shared" si="68"/>
        <v>0</v>
      </c>
      <c r="N136" s="129"/>
      <c r="O136" s="54">
        <f t="shared" si="69"/>
        <v>0</v>
      </c>
      <c r="P136" s="54">
        <f t="shared" si="70"/>
        <v>0</v>
      </c>
      <c r="Q136" s="1"/>
    </row>
    <row r="137" spans="2:17" ht="12.5">
      <c r="B137" s="7" t="str">
        <f t="shared" si="40"/>
        <v/>
      </c>
      <c r="C137" s="50">
        <f>IF(D93="","-",+C136+1)</f>
        <v>2047</v>
      </c>
      <c r="D137" s="12">
        <f>IF(F136+SUM(E$99:E136)=D$92,F136,D$92-SUM(E$99:E136))</f>
        <v>10277.232808598055</v>
      </c>
      <c r="E137" s="378">
        <f>IF(+J96&lt;F136,J96,D137)</f>
        <v>1767.0454545454545</v>
      </c>
      <c r="F137" s="55">
        <f t="shared" si="65"/>
        <v>8510.1873540526012</v>
      </c>
      <c r="G137" s="55">
        <f t="shared" si="66"/>
        <v>9393.7100813253273</v>
      </c>
      <c r="H137" s="380">
        <f t="shared" si="63"/>
        <v>2936.8097890734134</v>
      </c>
      <c r="I137" s="399">
        <f t="shared" si="64"/>
        <v>2936.8097890734134</v>
      </c>
      <c r="J137" s="54">
        <f t="shared" si="67"/>
        <v>0</v>
      </c>
      <c r="K137" s="54"/>
      <c r="L137" s="129"/>
      <c r="M137" s="54">
        <f t="shared" si="68"/>
        <v>0</v>
      </c>
      <c r="N137" s="129"/>
      <c r="O137" s="54">
        <f t="shared" si="69"/>
        <v>0</v>
      </c>
      <c r="P137" s="54">
        <f t="shared" si="70"/>
        <v>0</v>
      </c>
      <c r="Q137" s="1"/>
    </row>
    <row r="138" spans="2:17" ht="12.5">
      <c r="B138" s="7" t="str">
        <f t="shared" si="40"/>
        <v/>
      </c>
      <c r="C138" s="50">
        <f>IF(D93="","-",+C137+1)</f>
        <v>2048</v>
      </c>
      <c r="D138" s="12">
        <f>IF(F137+SUM(E$99:E137)=D$92,F137,D$92-SUM(E$99:E137))</f>
        <v>8510.1873540526012</v>
      </c>
      <c r="E138" s="378">
        <f>IF(+J96&lt;F137,J96,D138)</f>
        <v>1767.0454545454545</v>
      </c>
      <c r="F138" s="55">
        <f t="shared" si="65"/>
        <v>6743.1418995071472</v>
      </c>
      <c r="G138" s="55">
        <f t="shared" si="66"/>
        <v>7626.6646267798742</v>
      </c>
      <c r="H138" s="380">
        <f t="shared" si="63"/>
        <v>2716.7660861784029</v>
      </c>
      <c r="I138" s="399">
        <f t="shared" si="64"/>
        <v>2716.7660861784029</v>
      </c>
      <c r="J138" s="54">
        <f t="shared" si="67"/>
        <v>0</v>
      </c>
      <c r="K138" s="54"/>
      <c r="L138" s="129"/>
      <c r="M138" s="54">
        <f t="shared" si="68"/>
        <v>0</v>
      </c>
      <c r="N138" s="129"/>
      <c r="O138" s="54">
        <f t="shared" si="69"/>
        <v>0</v>
      </c>
      <c r="P138" s="54">
        <f t="shared" si="70"/>
        <v>0</v>
      </c>
      <c r="Q138" s="1"/>
    </row>
    <row r="139" spans="2:17" ht="12.5">
      <c r="B139" s="7" t="str">
        <f t="shared" si="40"/>
        <v/>
      </c>
      <c r="C139" s="50">
        <f>IF(D93="","-",+C138+1)</f>
        <v>2049</v>
      </c>
      <c r="D139" s="12">
        <f>IF(F138+SUM(E$99:E138)=D$92,F138,D$92-SUM(E$99:E138))</f>
        <v>6743.1418995071472</v>
      </c>
      <c r="E139" s="378">
        <f>IF(+J96&lt;F138,J96,D139)</f>
        <v>1767.0454545454545</v>
      </c>
      <c r="F139" s="55">
        <f t="shared" si="65"/>
        <v>4976.0964449616931</v>
      </c>
      <c r="G139" s="55">
        <f t="shared" si="66"/>
        <v>5859.6191722344201</v>
      </c>
      <c r="H139" s="380">
        <f t="shared" si="63"/>
        <v>2496.722383283392</v>
      </c>
      <c r="I139" s="399">
        <f t="shared" si="64"/>
        <v>2496.722383283392</v>
      </c>
      <c r="J139" s="54">
        <f t="shared" si="67"/>
        <v>0</v>
      </c>
      <c r="K139" s="54"/>
      <c r="L139" s="129"/>
      <c r="M139" s="54">
        <f t="shared" si="68"/>
        <v>0</v>
      </c>
      <c r="N139" s="129"/>
      <c r="O139" s="54">
        <f t="shared" si="69"/>
        <v>0</v>
      </c>
      <c r="P139" s="54">
        <f t="shared" si="70"/>
        <v>0</v>
      </c>
      <c r="Q139" s="1"/>
    </row>
    <row r="140" spans="2:17" ht="12.5">
      <c r="B140" s="401" t="str">
        <f t="shared" si="40"/>
        <v/>
      </c>
      <c r="C140" s="50">
        <f>IF(D93="","-",+C139+1)</f>
        <v>2050</v>
      </c>
      <c r="D140" s="12">
        <f>IF(F139+SUM(E$99:E139)=D$92,F139,D$92-SUM(E$99:E139))</f>
        <v>4976.0964449616931</v>
      </c>
      <c r="E140" s="378">
        <f>IF(+J96&lt;F139,J96,D140)</f>
        <v>1767.0454545454545</v>
      </c>
      <c r="F140" s="55">
        <f t="shared" si="65"/>
        <v>3209.0509904162386</v>
      </c>
      <c r="G140" s="55">
        <f t="shared" si="66"/>
        <v>4092.5737176889661</v>
      </c>
      <c r="H140" s="380">
        <f t="shared" si="63"/>
        <v>2276.6786803883811</v>
      </c>
      <c r="I140" s="399">
        <f t="shared" si="64"/>
        <v>2276.6786803883811</v>
      </c>
      <c r="J140" s="54">
        <f t="shared" si="67"/>
        <v>0</v>
      </c>
      <c r="K140" s="54"/>
      <c r="L140" s="129"/>
      <c r="M140" s="54">
        <f t="shared" si="68"/>
        <v>0</v>
      </c>
      <c r="N140" s="129"/>
      <c r="O140" s="54">
        <f t="shared" si="69"/>
        <v>0</v>
      </c>
      <c r="P140" s="54">
        <f t="shared" si="70"/>
        <v>0</v>
      </c>
      <c r="Q140" s="1"/>
    </row>
    <row r="141" spans="2:17" ht="12.5">
      <c r="B141" s="7" t="str">
        <f t="shared" si="40"/>
        <v/>
      </c>
      <c r="C141" s="50">
        <f>IF(D93="","-",+C140+1)</f>
        <v>2051</v>
      </c>
      <c r="D141" s="12">
        <f>IF(F140+SUM(E$99:E140)=D$92,F140,D$92-SUM(E$99:E140))</f>
        <v>3209.0509904162386</v>
      </c>
      <c r="E141" s="378">
        <f>IF(+J96&lt;F140,J96,D141)</f>
        <v>1767.0454545454545</v>
      </c>
      <c r="F141" s="55">
        <f t="shared" si="65"/>
        <v>1442.0055358707841</v>
      </c>
      <c r="G141" s="55">
        <f t="shared" si="66"/>
        <v>2325.5282631435111</v>
      </c>
      <c r="H141" s="380">
        <f t="shared" si="63"/>
        <v>2056.6349774933706</v>
      </c>
      <c r="I141" s="399">
        <f t="shared" si="64"/>
        <v>2056.6349774933706</v>
      </c>
      <c r="J141" s="54">
        <f t="shared" si="67"/>
        <v>0</v>
      </c>
      <c r="K141" s="54"/>
      <c r="L141" s="129"/>
      <c r="M141" s="54">
        <f t="shared" si="68"/>
        <v>0</v>
      </c>
      <c r="N141" s="129"/>
      <c r="O141" s="54">
        <f t="shared" si="69"/>
        <v>0</v>
      </c>
      <c r="P141" s="54">
        <f t="shared" si="70"/>
        <v>0</v>
      </c>
      <c r="Q141" s="1"/>
    </row>
    <row r="142" spans="2:17" ht="12.5">
      <c r="B142" s="7" t="str">
        <f t="shared" si="40"/>
        <v/>
      </c>
      <c r="C142" s="50">
        <f>IF(D93="","-",+C141+1)</f>
        <v>2052</v>
      </c>
      <c r="D142" s="12">
        <f>IF(F141+SUM(E$99:E141)=D$92,F141,D$92-SUM(E$99:E141))</f>
        <v>1442.0055358707841</v>
      </c>
      <c r="E142" s="378">
        <f>IF(+J96&lt;F141,J96,D142)</f>
        <v>1442.0055358707841</v>
      </c>
      <c r="F142" s="55">
        <f t="shared" si="65"/>
        <v>0</v>
      </c>
      <c r="G142" s="55">
        <f t="shared" si="66"/>
        <v>721.00276793539206</v>
      </c>
      <c r="H142" s="380">
        <f t="shared" si="63"/>
        <v>1531.7893716209894</v>
      </c>
      <c r="I142" s="399">
        <f t="shared" si="64"/>
        <v>1531.7893716209894</v>
      </c>
      <c r="J142" s="54">
        <f t="shared" si="67"/>
        <v>0</v>
      </c>
      <c r="K142" s="54"/>
      <c r="L142" s="129"/>
      <c r="M142" s="54">
        <f t="shared" si="68"/>
        <v>0</v>
      </c>
      <c r="N142" s="129"/>
      <c r="O142" s="54">
        <f t="shared" si="69"/>
        <v>0</v>
      </c>
      <c r="P142" s="54">
        <f t="shared" si="70"/>
        <v>0</v>
      </c>
      <c r="Q142" s="1"/>
    </row>
    <row r="143" spans="2:17" ht="12.5">
      <c r="B143" s="7" t="str">
        <f t="shared" si="40"/>
        <v/>
      </c>
      <c r="C143" s="50">
        <f>IF(D93="","-",+C142+1)</f>
        <v>2053</v>
      </c>
      <c r="D143" s="12">
        <f>IF(F142+SUM(E$99:E142)=D$92,F142,D$92-SUM(E$99:E142))</f>
        <v>0</v>
      </c>
      <c r="E143" s="378">
        <f>IF(+J96&lt;F142,J96,D143)</f>
        <v>0</v>
      </c>
      <c r="F143" s="55">
        <f t="shared" si="65"/>
        <v>0</v>
      </c>
      <c r="G143" s="55">
        <f t="shared" si="66"/>
        <v>0</v>
      </c>
      <c r="H143" s="380">
        <f t="shared" si="63"/>
        <v>0</v>
      </c>
      <c r="I143" s="399">
        <f t="shared" si="64"/>
        <v>0</v>
      </c>
      <c r="J143" s="54">
        <f t="shared" si="67"/>
        <v>0</v>
      </c>
      <c r="K143" s="54"/>
      <c r="L143" s="129"/>
      <c r="M143" s="54">
        <f t="shared" si="68"/>
        <v>0</v>
      </c>
      <c r="N143" s="129"/>
      <c r="O143" s="54">
        <f t="shared" si="69"/>
        <v>0</v>
      </c>
      <c r="P143" s="54">
        <f t="shared" si="70"/>
        <v>0</v>
      </c>
      <c r="Q143" s="1"/>
    </row>
    <row r="144" spans="2:17" ht="12.5">
      <c r="B144" s="7" t="str">
        <f t="shared" si="40"/>
        <v/>
      </c>
      <c r="C144" s="50">
        <f>IF(D93="","-",+C143+1)</f>
        <v>2054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65"/>
        <v>0</v>
      </c>
      <c r="G144" s="55">
        <f t="shared" si="66"/>
        <v>0</v>
      </c>
      <c r="H144" s="380">
        <f t="shared" si="63"/>
        <v>0</v>
      </c>
      <c r="I144" s="399">
        <f t="shared" si="64"/>
        <v>0</v>
      </c>
      <c r="J144" s="54">
        <f t="shared" si="67"/>
        <v>0</v>
      </c>
      <c r="K144" s="54"/>
      <c r="L144" s="129"/>
      <c r="M144" s="54">
        <f t="shared" si="68"/>
        <v>0</v>
      </c>
      <c r="N144" s="129"/>
      <c r="O144" s="54">
        <f t="shared" si="69"/>
        <v>0</v>
      </c>
      <c r="P144" s="54">
        <f t="shared" si="70"/>
        <v>0</v>
      </c>
      <c r="Q144" s="1"/>
    </row>
    <row r="145" spans="2:17" ht="12.5">
      <c r="B145" s="7" t="str">
        <f t="shared" si="40"/>
        <v/>
      </c>
      <c r="C145" s="50">
        <f>IF(D93="","-",+C144+1)</f>
        <v>2055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65"/>
        <v>0</v>
      </c>
      <c r="G145" s="55">
        <f t="shared" si="66"/>
        <v>0</v>
      </c>
      <c r="H145" s="380">
        <f t="shared" si="63"/>
        <v>0</v>
      </c>
      <c r="I145" s="399">
        <f t="shared" si="64"/>
        <v>0</v>
      </c>
      <c r="J145" s="54">
        <f t="shared" si="67"/>
        <v>0</v>
      </c>
      <c r="K145" s="54"/>
      <c r="L145" s="129"/>
      <c r="M145" s="54">
        <f t="shared" si="68"/>
        <v>0</v>
      </c>
      <c r="N145" s="129"/>
      <c r="O145" s="54">
        <f t="shared" si="69"/>
        <v>0</v>
      </c>
      <c r="P145" s="54">
        <f t="shared" si="70"/>
        <v>0</v>
      </c>
      <c r="Q145" s="1"/>
    </row>
    <row r="146" spans="2:17" ht="12.5">
      <c r="B146" s="7" t="str">
        <f t="shared" si="40"/>
        <v/>
      </c>
      <c r="C146" s="50">
        <f>IF(D93="","-",+C145+1)</f>
        <v>2056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65"/>
        <v>0</v>
      </c>
      <c r="G146" s="55">
        <f t="shared" si="66"/>
        <v>0</v>
      </c>
      <c r="H146" s="380">
        <f t="shared" si="63"/>
        <v>0</v>
      </c>
      <c r="I146" s="399">
        <f t="shared" si="64"/>
        <v>0</v>
      </c>
      <c r="J146" s="54">
        <f t="shared" si="67"/>
        <v>0</v>
      </c>
      <c r="K146" s="54"/>
      <c r="L146" s="129"/>
      <c r="M146" s="54">
        <f t="shared" si="68"/>
        <v>0</v>
      </c>
      <c r="N146" s="129"/>
      <c r="O146" s="54">
        <f t="shared" si="69"/>
        <v>0</v>
      </c>
      <c r="P146" s="54">
        <f t="shared" si="70"/>
        <v>0</v>
      </c>
      <c r="Q146" s="1"/>
    </row>
    <row r="147" spans="2:17" ht="12.5">
      <c r="B147" s="7" t="str">
        <f t="shared" si="40"/>
        <v/>
      </c>
      <c r="C147" s="50">
        <f>IF(D93="","-",+C146+1)</f>
        <v>2057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65"/>
        <v>0</v>
      </c>
      <c r="G147" s="55">
        <f t="shared" si="66"/>
        <v>0</v>
      </c>
      <c r="H147" s="380">
        <f t="shared" si="63"/>
        <v>0</v>
      </c>
      <c r="I147" s="399">
        <f t="shared" si="64"/>
        <v>0</v>
      </c>
      <c r="J147" s="54">
        <f t="shared" si="67"/>
        <v>0</v>
      </c>
      <c r="K147" s="54"/>
      <c r="L147" s="129"/>
      <c r="M147" s="54">
        <f t="shared" si="68"/>
        <v>0</v>
      </c>
      <c r="N147" s="129"/>
      <c r="O147" s="54">
        <f t="shared" si="69"/>
        <v>0</v>
      </c>
      <c r="P147" s="54">
        <f t="shared" si="70"/>
        <v>0</v>
      </c>
      <c r="Q147" s="1"/>
    </row>
    <row r="148" spans="2:17" ht="12.5">
      <c r="B148" s="7" t="str">
        <f t="shared" si="40"/>
        <v/>
      </c>
      <c r="C148" s="50">
        <f>IF(D93="","-",+C147+1)</f>
        <v>2058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65"/>
        <v>0</v>
      </c>
      <c r="G148" s="55">
        <f t="shared" si="66"/>
        <v>0</v>
      </c>
      <c r="H148" s="380">
        <f t="shared" si="63"/>
        <v>0</v>
      </c>
      <c r="I148" s="399">
        <f t="shared" si="64"/>
        <v>0</v>
      </c>
      <c r="J148" s="54">
        <f t="shared" si="67"/>
        <v>0</v>
      </c>
      <c r="K148" s="54"/>
      <c r="L148" s="129"/>
      <c r="M148" s="54">
        <f t="shared" si="68"/>
        <v>0</v>
      </c>
      <c r="N148" s="129"/>
      <c r="O148" s="54">
        <f t="shared" si="69"/>
        <v>0</v>
      </c>
      <c r="P148" s="54">
        <f t="shared" si="70"/>
        <v>0</v>
      </c>
      <c r="Q148" s="1"/>
    </row>
    <row r="149" spans="2:17" ht="12.5">
      <c r="B149" s="7" t="str">
        <f t="shared" si="40"/>
        <v/>
      </c>
      <c r="C149" s="50">
        <f>IF(D93="","-",+C148+1)</f>
        <v>2059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65"/>
        <v>0</v>
      </c>
      <c r="G149" s="55">
        <f t="shared" si="66"/>
        <v>0</v>
      </c>
      <c r="H149" s="380">
        <f t="shared" si="63"/>
        <v>0</v>
      </c>
      <c r="I149" s="399">
        <f t="shared" si="64"/>
        <v>0</v>
      </c>
      <c r="J149" s="54">
        <f t="shared" si="67"/>
        <v>0</v>
      </c>
      <c r="K149" s="54"/>
      <c r="L149" s="129"/>
      <c r="M149" s="54">
        <f t="shared" si="68"/>
        <v>0</v>
      </c>
      <c r="N149" s="129"/>
      <c r="O149" s="54">
        <f t="shared" si="69"/>
        <v>0</v>
      </c>
      <c r="P149" s="54">
        <f t="shared" si="70"/>
        <v>0</v>
      </c>
      <c r="Q149" s="1"/>
    </row>
    <row r="150" spans="2:17" ht="12.5">
      <c r="B150" s="7" t="str">
        <f t="shared" si="40"/>
        <v/>
      </c>
      <c r="C150" s="50">
        <f>IF(D93="","-",+C149+1)</f>
        <v>2060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65"/>
        <v>0</v>
      </c>
      <c r="G150" s="55">
        <f t="shared" si="66"/>
        <v>0</v>
      </c>
      <c r="H150" s="380">
        <f t="shared" si="63"/>
        <v>0</v>
      </c>
      <c r="I150" s="399">
        <f t="shared" si="64"/>
        <v>0</v>
      </c>
      <c r="J150" s="54">
        <f t="shared" si="67"/>
        <v>0</v>
      </c>
      <c r="K150" s="54"/>
      <c r="L150" s="129"/>
      <c r="M150" s="54">
        <f t="shared" si="68"/>
        <v>0</v>
      </c>
      <c r="N150" s="129"/>
      <c r="O150" s="54">
        <f t="shared" si="69"/>
        <v>0</v>
      </c>
      <c r="P150" s="54">
        <f t="shared" si="70"/>
        <v>0</v>
      </c>
      <c r="Q150" s="1"/>
    </row>
    <row r="151" spans="2:17" ht="12.5">
      <c r="B151" s="7" t="str">
        <f t="shared" si="40"/>
        <v/>
      </c>
      <c r="C151" s="50">
        <f>IF(D93="","-",+C150+1)</f>
        <v>2061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65"/>
        <v>0</v>
      </c>
      <c r="G151" s="55">
        <f t="shared" si="66"/>
        <v>0</v>
      </c>
      <c r="H151" s="380">
        <f t="shared" si="63"/>
        <v>0</v>
      </c>
      <c r="I151" s="399">
        <f t="shared" si="64"/>
        <v>0</v>
      </c>
      <c r="J151" s="54">
        <f t="shared" si="67"/>
        <v>0</v>
      </c>
      <c r="K151" s="54"/>
      <c r="L151" s="129"/>
      <c r="M151" s="54">
        <f t="shared" si="68"/>
        <v>0</v>
      </c>
      <c r="N151" s="129"/>
      <c r="O151" s="54">
        <f t="shared" si="69"/>
        <v>0</v>
      </c>
      <c r="P151" s="54">
        <f t="shared" si="70"/>
        <v>0</v>
      </c>
      <c r="Q151" s="1"/>
    </row>
    <row r="152" spans="2:17" ht="12.5">
      <c r="B152" s="7" t="str">
        <f t="shared" si="40"/>
        <v/>
      </c>
      <c r="C152" s="50">
        <f>IF(D93="","-",+C151+1)</f>
        <v>2062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65"/>
        <v>0</v>
      </c>
      <c r="G152" s="55">
        <f t="shared" si="66"/>
        <v>0</v>
      </c>
      <c r="H152" s="380">
        <f t="shared" si="63"/>
        <v>0</v>
      </c>
      <c r="I152" s="399">
        <f t="shared" si="64"/>
        <v>0</v>
      </c>
      <c r="J152" s="54">
        <f t="shared" si="67"/>
        <v>0</v>
      </c>
      <c r="K152" s="54"/>
      <c r="L152" s="129"/>
      <c r="M152" s="54">
        <f t="shared" si="68"/>
        <v>0</v>
      </c>
      <c r="N152" s="129"/>
      <c r="O152" s="54">
        <f t="shared" si="69"/>
        <v>0</v>
      </c>
      <c r="P152" s="54">
        <f t="shared" si="70"/>
        <v>0</v>
      </c>
      <c r="Q152" s="1"/>
    </row>
    <row r="153" spans="2:17" ht="12.5">
      <c r="B153" s="7" t="str">
        <f t="shared" si="40"/>
        <v/>
      </c>
      <c r="C153" s="50">
        <f>IF(D93="","-",+C152+1)</f>
        <v>2063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65"/>
        <v>0</v>
      </c>
      <c r="G153" s="55">
        <f t="shared" si="66"/>
        <v>0</v>
      </c>
      <c r="H153" s="380">
        <f t="shared" si="63"/>
        <v>0</v>
      </c>
      <c r="I153" s="399">
        <f t="shared" si="64"/>
        <v>0</v>
      </c>
      <c r="J153" s="54">
        <f t="shared" si="67"/>
        <v>0</v>
      </c>
      <c r="K153" s="54"/>
      <c r="L153" s="129"/>
      <c r="M153" s="54">
        <f t="shared" si="68"/>
        <v>0</v>
      </c>
      <c r="N153" s="129"/>
      <c r="O153" s="54">
        <f t="shared" si="69"/>
        <v>0</v>
      </c>
      <c r="P153" s="54">
        <f t="shared" si="70"/>
        <v>0</v>
      </c>
      <c r="Q153" s="1"/>
    </row>
    <row r="154" spans="2:17" ht="13" thickBot="1">
      <c r="B154" s="7" t="str">
        <f t="shared" si="40"/>
        <v/>
      </c>
      <c r="C154" s="59">
        <f>IF(D93="","-",+C153+1)</f>
        <v>2064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65"/>
        <v>0</v>
      </c>
      <c r="G154" s="60">
        <f t="shared" si="66"/>
        <v>0</v>
      </c>
      <c r="H154" s="382">
        <f t="shared" si="63"/>
        <v>0</v>
      </c>
      <c r="I154" s="400">
        <f t="shared" si="64"/>
        <v>0</v>
      </c>
      <c r="J154" s="64">
        <f t="shared" si="67"/>
        <v>0</v>
      </c>
      <c r="K154" s="54"/>
      <c r="L154" s="130"/>
      <c r="M154" s="64">
        <f t="shared" si="68"/>
        <v>0</v>
      </c>
      <c r="N154" s="130"/>
      <c r="O154" s="64">
        <f t="shared" si="69"/>
        <v>0</v>
      </c>
      <c r="P154" s="64">
        <f t="shared" si="70"/>
        <v>0</v>
      </c>
      <c r="Q154" s="1"/>
    </row>
    <row r="155" spans="2:17" ht="12.5">
      <c r="C155" s="12" t="s">
        <v>78</v>
      </c>
      <c r="D155" s="293"/>
      <c r="E155" s="293">
        <f>SUM(E99:E154)</f>
        <v>77750.000000000015</v>
      </c>
      <c r="F155" s="293"/>
      <c r="G155" s="293"/>
      <c r="H155" s="293">
        <f>SUM(H99:H154)</f>
        <v>289330.48120712425</v>
      </c>
      <c r="I155" s="293">
        <f>SUM(I99:I154)</f>
        <v>289330.48120712425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 ht="12.5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 ht="12.5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43" priority="1" stopIfTrue="1" operator="equal">
      <formula>$I$10</formula>
    </cfRule>
  </conditionalFormatting>
  <conditionalFormatting sqref="C99:C154">
    <cfRule type="cellIs" dxfId="14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56"/>
  <dimension ref="A1:Q162"/>
  <sheetViews>
    <sheetView topLeftCell="A13" zoomScaleNormal="100" zoomScaleSheetLayoutView="89" workbookViewId="0">
      <selection activeCell="D33" sqref="D33:H33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20.269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"&amp;RIGHT(MID(CELL("filename",$A$1),FIND("]",CELL("filename",$A$1))+1,256),1)&amp;" of "&amp;COUNT(S.001:S.077!$P$3)</f>
        <v>SWEPCO Project 8 of 77</v>
      </c>
      <c r="Q1" s="13"/>
    </row>
    <row r="2" spans="1:17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933360.80237017514</v>
      </c>
      <c r="P5" s="1"/>
    </row>
    <row r="6" spans="1:17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933360.80237017514</v>
      </c>
      <c r="O6" s="1"/>
      <c r="P6" s="1"/>
    </row>
    <row r="7" spans="1:17" ht="13.5" thickBot="1">
      <c r="C7" s="25" t="s">
        <v>48</v>
      </c>
      <c r="D7" s="127" t="s">
        <v>230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85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147</v>
      </c>
      <c r="E9" s="31" t="s">
        <v>494</v>
      </c>
      <c r="F9" s="462">
        <v>109</v>
      </c>
      <c r="G9" s="31"/>
      <c r="H9" s="31"/>
      <c r="I9" s="32"/>
      <c r="J9" s="33"/>
      <c r="P9" s="1"/>
    </row>
    <row r="10" spans="1:17" ht="13">
      <c r="C10" s="34" t="s">
        <v>51</v>
      </c>
      <c r="D10" s="363">
        <v>9655697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7" ht="12.5">
      <c r="C11" s="34" t="s">
        <v>54</v>
      </c>
      <c r="D11" s="37">
        <v>2008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3">
        <v>7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219447.65909090909</v>
      </c>
      <c r="J14" s="293"/>
      <c r="K14" s="293"/>
      <c r="L14" s="293"/>
      <c r="M14" s="293"/>
      <c r="N14" s="293"/>
      <c r="O14" s="1"/>
      <c r="P14" s="1"/>
    </row>
    <row r="15" spans="1:17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>
        <v>1708278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2008</v>
      </c>
      <c r="D17" s="133">
        <v>16763318</v>
      </c>
      <c r="E17" s="374">
        <v>226531</v>
      </c>
      <c r="F17" s="133">
        <v>16536787</v>
      </c>
      <c r="G17" s="374">
        <v>1708278</v>
      </c>
      <c r="H17" s="375">
        <v>1708278</v>
      </c>
      <c r="I17" s="153">
        <f t="shared" ref="I17:I48" si="0">H17-G17</f>
        <v>0</v>
      </c>
      <c r="J17" s="52"/>
      <c r="K17" s="112">
        <v>1708278</v>
      </c>
      <c r="L17" s="53">
        <f t="shared" ref="L17:L48" si="1">IF(K17&lt;&gt;0,+G17-K17,0)</f>
        <v>0</v>
      </c>
      <c r="M17" s="112">
        <f>K17</f>
        <v>1708278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2009</v>
      </c>
      <c r="D18" s="137">
        <v>6302584</v>
      </c>
      <c r="E18" s="376">
        <v>172280</v>
      </c>
      <c r="F18" s="137">
        <v>6130304</v>
      </c>
      <c r="G18" s="376">
        <v>1111825</v>
      </c>
      <c r="H18" s="375">
        <v>1111825</v>
      </c>
      <c r="I18" s="153">
        <f t="shared" si="0"/>
        <v>0</v>
      </c>
      <c r="J18" s="52"/>
      <c r="K18" s="113">
        <v>1111825</v>
      </c>
      <c r="L18" s="54">
        <f t="shared" si="1"/>
        <v>0</v>
      </c>
      <c r="M18" s="113">
        <v>1111825</v>
      </c>
      <c r="N18" s="54">
        <f t="shared" si="2"/>
        <v>0</v>
      </c>
      <c r="O18" s="54">
        <f t="shared" si="3"/>
        <v>0</v>
      </c>
      <c r="P18" s="1"/>
    </row>
    <row r="19" spans="2:16" ht="12.5">
      <c r="B19" s="7" t="str">
        <f>IF(D19=F18,"","IU")</f>
        <v>IU</v>
      </c>
      <c r="C19" s="50">
        <f>IF(D11="","-",+C18+1)</f>
        <v>2010</v>
      </c>
      <c r="D19" s="137">
        <v>6007971</v>
      </c>
      <c r="E19" s="376">
        <v>168599</v>
      </c>
      <c r="F19" s="137">
        <v>5839371</v>
      </c>
      <c r="G19" s="376">
        <v>1008096</v>
      </c>
      <c r="H19" s="375">
        <v>1008096</v>
      </c>
      <c r="I19" s="141">
        <v>0</v>
      </c>
      <c r="J19" s="52"/>
      <c r="K19" s="113">
        <f t="shared" ref="K19:K24" si="4">G19</f>
        <v>1008096</v>
      </c>
      <c r="L19" s="54">
        <f t="shared" si="1"/>
        <v>0</v>
      </c>
      <c r="M19" s="113">
        <f t="shared" ref="M19:M24" si="5">H19</f>
        <v>1008096</v>
      </c>
      <c r="N19" s="54">
        <f t="shared" si="2"/>
        <v>0</v>
      </c>
      <c r="O19" s="54">
        <f t="shared" si="3"/>
        <v>0</v>
      </c>
      <c r="P19" s="1"/>
    </row>
    <row r="20" spans="2:16" ht="12.5">
      <c r="B20" s="7" t="str">
        <f t="shared" ref="B20:B72" si="6">IF(D20=F19,"","IU")</f>
        <v>IU</v>
      </c>
      <c r="C20" s="50">
        <f>IF(D11="","-",+C19+1)</f>
        <v>2011</v>
      </c>
      <c r="D20" s="137">
        <v>9088287</v>
      </c>
      <c r="E20" s="376">
        <v>235504.80487804877</v>
      </c>
      <c r="F20" s="137">
        <v>8852782.1951219514</v>
      </c>
      <c r="G20" s="376">
        <v>1618240.1938879332</v>
      </c>
      <c r="H20" s="375">
        <v>1618240.1938879332</v>
      </c>
      <c r="I20" s="141">
        <v>0</v>
      </c>
      <c r="J20" s="52"/>
      <c r="K20" s="113">
        <f t="shared" si="4"/>
        <v>1618240.1938879332</v>
      </c>
      <c r="L20" s="54">
        <f t="shared" si="1"/>
        <v>0</v>
      </c>
      <c r="M20" s="113">
        <f t="shared" si="5"/>
        <v>1618240.1938879332</v>
      </c>
      <c r="N20" s="54">
        <f t="shared" si="2"/>
        <v>0</v>
      </c>
      <c r="O20" s="54">
        <f t="shared" si="3"/>
        <v>0</v>
      </c>
      <c r="P20" s="1"/>
    </row>
    <row r="21" spans="2:16" ht="12.5">
      <c r="B21" s="7" t="str">
        <f t="shared" si="6"/>
        <v/>
      </c>
      <c r="C21" s="50">
        <f>IF(D12="","-",+C20+1)</f>
        <v>2012</v>
      </c>
      <c r="D21" s="137">
        <v>8852782.1951219514</v>
      </c>
      <c r="E21" s="376">
        <v>229897.54761904763</v>
      </c>
      <c r="F21" s="137">
        <v>8622884.6475029029</v>
      </c>
      <c r="G21" s="376">
        <v>1512294.1601805561</v>
      </c>
      <c r="H21" s="375">
        <v>1512294.1601805561</v>
      </c>
      <c r="I21" s="141">
        <v>0</v>
      </c>
      <c r="J21" s="52"/>
      <c r="K21" s="113">
        <f t="shared" si="4"/>
        <v>1512294.1601805561</v>
      </c>
      <c r="L21" s="54">
        <f t="shared" si="1"/>
        <v>0</v>
      </c>
      <c r="M21" s="113">
        <f t="shared" si="5"/>
        <v>1512294.1601805561</v>
      </c>
      <c r="N21" s="54">
        <f t="shared" si="2"/>
        <v>0</v>
      </c>
      <c r="O21" s="54">
        <f t="shared" si="3"/>
        <v>0</v>
      </c>
      <c r="P21" s="1"/>
    </row>
    <row r="22" spans="2:16" ht="12.5">
      <c r="B22" s="7" t="str">
        <f t="shared" si="6"/>
        <v/>
      </c>
      <c r="C22" s="50">
        <f>IF(D11="","-",+C21+1)</f>
        <v>2013</v>
      </c>
      <c r="D22" s="137">
        <v>8622884.6475029029</v>
      </c>
      <c r="E22" s="376">
        <v>229897.54761904763</v>
      </c>
      <c r="F22" s="137">
        <v>8392987.0998838544</v>
      </c>
      <c r="G22" s="376">
        <v>1404807.3216316376</v>
      </c>
      <c r="H22" s="375">
        <v>1404807.3216316376</v>
      </c>
      <c r="I22" s="153">
        <v>0</v>
      </c>
      <c r="J22" s="52"/>
      <c r="K22" s="113">
        <f t="shared" si="4"/>
        <v>1404807.3216316376</v>
      </c>
      <c r="L22" s="54">
        <f t="shared" ref="L22:L27" si="7">IF(K22&lt;&gt;0,+G22-K22,0)</f>
        <v>0</v>
      </c>
      <c r="M22" s="113">
        <f t="shared" si="5"/>
        <v>1404807.3216316376</v>
      </c>
      <c r="N22" s="54">
        <f t="shared" ref="N22:N27" si="8">IF(M22&lt;&gt;0,+H22-M22,0)</f>
        <v>0</v>
      </c>
      <c r="O22" s="54">
        <f t="shared" ref="O22:O27" si="9">+N22-L22</f>
        <v>0</v>
      </c>
      <c r="P22" s="1"/>
    </row>
    <row r="23" spans="2:16" ht="12.5">
      <c r="B23" s="7" t="str">
        <f t="shared" si="6"/>
        <v/>
      </c>
      <c r="C23" s="50">
        <f>IF(D11="","-",+C22+1)</f>
        <v>2014</v>
      </c>
      <c r="D23" s="137">
        <v>8392987.0998838544</v>
      </c>
      <c r="E23" s="376">
        <v>229897.54761904763</v>
      </c>
      <c r="F23" s="137">
        <v>8163089.5522648068</v>
      </c>
      <c r="G23" s="376">
        <v>1331184.1080053137</v>
      </c>
      <c r="H23" s="375">
        <v>1331184.1080053137</v>
      </c>
      <c r="I23" s="153">
        <v>0</v>
      </c>
      <c r="J23" s="52"/>
      <c r="K23" s="113">
        <f t="shared" si="4"/>
        <v>1331184.1080053137</v>
      </c>
      <c r="L23" s="54">
        <f t="shared" si="7"/>
        <v>0</v>
      </c>
      <c r="M23" s="113">
        <f t="shared" si="5"/>
        <v>1331184.1080053137</v>
      </c>
      <c r="N23" s="54">
        <f t="shared" si="8"/>
        <v>0</v>
      </c>
      <c r="O23" s="54">
        <f t="shared" si="9"/>
        <v>0</v>
      </c>
      <c r="P23" s="1"/>
    </row>
    <row r="24" spans="2:16" ht="12.5">
      <c r="B24" s="7" t="str">
        <f t="shared" si="6"/>
        <v/>
      </c>
      <c r="C24" s="50">
        <f>IF(D11="","-",+C23+1)</f>
        <v>2015</v>
      </c>
      <c r="D24" s="137">
        <v>8163089.5522648068</v>
      </c>
      <c r="E24" s="376">
        <v>229897.54761904763</v>
      </c>
      <c r="F24" s="137">
        <v>7933192.0046457592</v>
      </c>
      <c r="G24" s="376">
        <v>1274737.0216882618</v>
      </c>
      <c r="H24" s="375">
        <v>1274737.0216882618</v>
      </c>
      <c r="I24" s="52">
        <v>0</v>
      </c>
      <c r="J24" s="52"/>
      <c r="K24" s="113">
        <f t="shared" si="4"/>
        <v>1274737.0216882618</v>
      </c>
      <c r="L24" s="54">
        <f t="shared" si="7"/>
        <v>0</v>
      </c>
      <c r="M24" s="113">
        <f t="shared" si="5"/>
        <v>1274737.0216882618</v>
      </c>
      <c r="N24" s="54">
        <f t="shared" si="8"/>
        <v>0</v>
      </c>
      <c r="O24" s="54">
        <f t="shared" si="9"/>
        <v>0</v>
      </c>
      <c r="P24" s="1"/>
    </row>
    <row r="25" spans="2:16" ht="12.5">
      <c r="B25" s="7" t="str">
        <f t="shared" si="6"/>
        <v/>
      </c>
      <c r="C25" s="50">
        <f>IF(D11="","-",+C24+1)</f>
        <v>2016</v>
      </c>
      <c r="D25" s="137">
        <v>7933192.0046457592</v>
      </c>
      <c r="E25" s="376">
        <v>229897.54761904763</v>
      </c>
      <c r="F25" s="137">
        <v>7703294.4570267117</v>
      </c>
      <c r="G25" s="376">
        <v>1231941.898152455</v>
      </c>
      <c r="H25" s="375">
        <v>1231941.898152455</v>
      </c>
      <c r="I25" s="52">
        <f t="shared" si="0"/>
        <v>0</v>
      </c>
      <c r="J25" s="52"/>
      <c r="K25" s="113">
        <f t="shared" ref="K25:K30" si="10">G25</f>
        <v>1231941.898152455</v>
      </c>
      <c r="L25" s="54">
        <f t="shared" si="7"/>
        <v>0</v>
      </c>
      <c r="M25" s="113">
        <f t="shared" ref="M25:M30" si="11">H25</f>
        <v>1231941.898152455</v>
      </c>
      <c r="N25" s="54">
        <f t="shared" si="8"/>
        <v>0</v>
      </c>
      <c r="O25" s="54">
        <f t="shared" si="9"/>
        <v>0</v>
      </c>
      <c r="P25" s="1"/>
    </row>
    <row r="26" spans="2:16" ht="12.5">
      <c r="B26" s="7" t="str">
        <f t="shared" si="6"/>
        <v/>
      </c>
      <c r="C26" s="50">
        <f>IF(D11="","-",+C25+1)</f>
        <v>2017</v>
      </c>
      <c r="D26" s="137">
        <v>7703294.4570267117</v>
      </c>
      <c r="E26" s="376">
        <v>224551.09302325582</v>
      </c>
      <c r="F26" s="137">
        <v>7478743.3640034562</v>
      </c>
      <c r="G26" s="376">
        <v>1165021.6585770869</v>
      </c>
      <c r="H26" s="375">
        <v>1165021.6585770869</v>
      </c>
      <c r="I26" s="52">
        <f t="shared" si="0"/>
        <v>0</v>
      </c>
      <c r="J26" s="52"/>
      <c r="K26" s="113">
        <f t="shared" si="10"/>
        <v>1165021.6585770869</v>
      </c>
      <c r="L26" s="54">
        <f t="shared" si="7"/>
        <v>0</v>
      </c>
      <c r="M26" s="113">
        <f t="shared" si="11"/>
        <v>1165021.6585770869</v>
      </c>
      <c r="N26" s="54">
        <f t="shared" si="8"/>
        <v>0</v>
      </c>
      <c r="O26" s="54">
        <f t="shared" si="9"/>
        <v>0</v>
      </c>
      <c r="P26" s="1"/>
    </row>
    <row r="27" spans="2:16" ht="12.5">
      <c r="B27" s="7" t="str">
        <f t="shared" si="6"/>
        <v/>
      </c>
      <c r="C27" s="50">
        <f>IF(D11="","-",+C26+1)</f>
        <v>2018</v>
      </c>
      <c r="D27" s="137">
        <v>7478743.3640034562</v>
      </c>
      <c r="E27" s="376">
        <v>235504.80487804877</v>
      </c>
      <c r="F27" s="137">
        <v>7243238.5591254076</v>
      </c>
      <c r="G27" s="376">
        <v>1171043.3183571417</v>
      </c>
      <c r="H27" s="375">
        <v>1171043.3183571417</v>
      </c>
      <c r="I27" s="52">
        <f t="shared" si="0"/>
        <v>0</v>
      </c>
      <c r="J27" s="52"/>
      <c r="K27" s="113">
        <f t="shared" si="10"/>
        <v>1171043.3183571417</v>
      </c>
      <c r="L27" s="54">
        <f t="shared" si="7"/>
        <v>0</v>
      </c>
      <c r="M27" s="113">
        <f t="shared" si="11"/>
        <v>1171043.3183571417</v>
      </c>
      <c r="N27" s="54">
        <f t="shared" si="8"/>
        <v>0</v>
      </c>
      <c r="O27" s="54">
        <f t="shared" si="9"/>
        <v>0</v>
      </c>
      <c r="P27" s="1"/>
    </row>
    <row r="28" spans="2:16" ht="12.5">
      <c r="B28" s="7" t="str">
        <f t="shared" si="6"/>
        <v/>
      </c>
      <c r="C28" s="50">
        <f>IF(D11="","-",+C27+1)</f>
        <v>2019</v>
      </c>
      <c r="D28" s="137">
        <v>7243238.5591254076</v>
      </c>
      <c r="E28" s="376">
        <v>235504.80487804877</v>
      </c>
      <c r="F28" s="137">
        <v>7007733.754247359</v>
      </c>
      <c r="G28" s="376">
        <v>1141112.0473878908</v>
      </c>
      <c r="H28" s="375">
        <v>1141112.0473878908</v>
      </c>
      <c r="I28" s="52">
        <f t="shared" si="0"/>
        <v>0</v>
      </c>
      <c r="J28" s="52"/>
      <c r="K28" s="113">
        <f t="shared" si="10"/>
        <v>1141112.0473878908</v>
      </c>
      <c r="L28" s="54">
        <f t="shared" ref="L28" si="12">IF(K28&lt;&gt;0,+G28-K28,0)</f>
        <v>0</v>
      </c>
      <c r="M28" s="113">
        <f t="shared" si="11"/>
        <v>1141112.0473878908</v>
      </c>
      <c r="N28" s="54">
        <f t="shared" si="2"/>
        <v>0</v>
      </c>
      <c r="O28" s="54">
        <f t="shared" si="3"/>
        <v>0</v>
      </c>
      <c r="P28" s="1"/>
    </row>
    <row r="29" spans="2:16" ht="12.5">
      <c r="B29" s="7" t="str">
        <f t="shared" si="6"/>
        <v/>
      </c>
      <c r="C29" s="50">
        <f>IF(D11="","-",+C28+1)</f>
        <v>2020</v>
      </c>
      <c r="D29" s="137">
        <v>7007733.754247359</v>
      </c>
      <c r="E29" s="376">
        <v>235504.80487804877</v>
      </c>
      <c r="F29" s="137">
        <v>6772228.9493693104</v>
      </c>
      <c r="G29" s="376">
        <v>940594.18343292759</v>
      </c>
      <c r="H29" s="375">
        <v>940594.18343292759</v>
      </c>
      <c r="I29" s="52">
        <f t="shared" si="0"/>
        <v>0</v>
      </c>
      <c r="J29" s="52"/>
      <c r="K29" s="113">
        <f t="shared" si="10"/>
        <v>940594.18343292759</v>
      </c>
      <c r="L29" s="54">
        <f t="shared" ref="L29" si="13">IF(K29&lt;&gt;0,+G29-K29,0)</f>
        <v>0</v>
      </c>
      <c r="M29" s="113">
        <f t="shared" si="11"/>
        <v>940594.18343292759</v>
      </c>
      <c r="N29" s="54">
        <f t="shared" si="2"/>
        <v>0</v>
      </c>
      <c r="O29" s="54">
        <f t="shared" si="3"/>
        <v>0</v>
      </c>
      <c r="P29" s="1"/>
    </row>
    <row r="30" spans="2:16" ht="12.5">
      <c r="B30" s="7" t="str">
        <f t="shared" si="6"/>
        <v>IU</v>
      </c>
      <c r="C30" s="50">
        <f>IF(D11="","-",+C29+1)</f>
        <v>2021</v>
      </c>
      <c r="D30" s="137">
        <v>6783182.6612241045</v>
      </c>
      <c r="E30" s="376">
        <v>229897.54761904763</v>
      </c>
      <c r="F30" s="137">
        <v>6553285.1136050569</v>
      </c>
      <c r="G30" s="376">
        <v>936760.6470922255</v>
      </c>
      <c r="H30" s="375">
        <v>936760.6470922255</v>
      </c>
      <c r="I30" s="52">
        <f t="shared" si="0"/>
        <v>0</v>
      </c>
      <c r="J30" s="52"/>
      <c r="K30" s="113">
        <f t="shared" si="10"/>
        <v>936760.6470922255</v>
      </c>
      <c r="L30" s="54">
        <f t="shared" ref="L30" si="14">IF(K30&lt;&gt;0,+G30-K30,0)</f>
        <v>0</v>
      </c>
      <c r="M30" s="113">
        <f t="shared" si="11"/>
        <v>936760.6470922255</v>
      </c>
      <c r="N30" s="54">
        <f t="shared" si="2"/>
        <v>0</v>
      </c>
      <c r="O30" s="54">
        <f t="shared" si="3"/>
        <v>0</v>
      </c>
      <c r="P30" s="1"/>
    </row>
    <row r="31" spans="2:16" ht="12.5">
      <c r="B31" s="7" t="str">
        <f t="shared" si="6"/>
        <v>IU</v>
      </c>
      <c r="C31" s="50">
        <f>IF(D11="","-",+C30+1)</f>
        <v>2022</v>
      </c>
      <c r="D31" s="137">
        <v>6542331.4017502647</v>
      </c>
      <c r="E31" s="376">
        <v>229897.54761904763</v>
      </c>
      <c r="F31" s="137">
        <v>6312433.8541312171</v>
      </c>
      <c r="G31" s="376">
        <v>952618.78253978002</v>
      </c>
      <c r="H31" s="375">
        <v>952618.78253978002</v>
      </c>
      <c r="I31" s="52">
        <f t="shared" si="0"/>
        <v>0</v>
      </c>
      <c r="J31" s="52"/>
      <c r="K31" s="113">
        <f t="shared" ref="K31" si="15">G31</f>
        <v>952618.78253978002</v>
      </c>
      <c r="L31" s="54">
        <f t="shared" ref="L31" si="16">IF(K31&lt;&gt;0,+G31-K31,0)</f>
        <v>0</v>
      </c>
      <c r="M31" s="113">
        <f t="shared" ref="M31" si="17">H31</f>
        <v>952618.78253978002</v>
      </c>
      <c r="N31" s="54">
        <f t="shared" si="2"/>
        <v>0</v>
      </c>
      <c r="O31" s="54">
        <f t="shared" si="3"/>
        <v>0</v>
      </c>
      <c r="P31" s="1"/>
    </row>
    <row r="32" spans="2:16" ht="12.5">
      <c r="B32" s="7" t="str">
        <f t="shared" si="6"/>
        <v/>
      </c>
      <c r="C32" s="50">
        <f>IF(D11="","-",+C31+1)</f>
        <v>2023</v>
      </c>
      <c r="D32" s="137">
        <v>6312433.8541312171</v>
      </c>
      <c r="E32" s="376">
        <v>229897.54761904763</v>
      </c>
      <c r="F32" s="137">
        <v>6082536.3065121695</v>
      </c>
      <c r="G32" s="376">
        <v>1012805.931367748</v>
      </c>
      <c r="H32" s="375">
        <v>1012805.931367748</v>
      </c>
      <c r="I32" s="52">
        <f t="shared" si="0"/>
        <v>0</v>
      </c>
      <c r="J32" s="52"/>
      <c r="K32" s="113">
        <f t="shared" ref="K32" si="18">G32</f>
        <v>1012805.931367748</v>
      </c>
      <c r="L32" s="54">
        <f t="shared" ref="L32" si="19">IF(K32&lt;&gt;0,+G32-K32,0)</f>
        <v>0</v>
      </c>
      <c r="M32" s="113">
        <f t="shared" ref="M32" si="20">H32</f>
        <v>1012805.931367748</v>
      </c>
      <c r="N32" s="54">
        <f t="shared" si="2"/>
        <v>0</v>
      </c>
      <c r="O32" s="54">
        <f t="shared" si="3"/>
        <v>0</v>
      </c>
      <c r="P32" s="1"/>
    </row>
    <row r="33" spans="2:16" ht="12.5">
      <c r="B33" s="7" t="str">
        <f t="shared" si="6"/>
        <v/>
      </c>
      <c r="C33" s="50">
        <f>IF(D11="","-",+C32+1)</f>
        <v>2024</v>
      </c>
      <c r="D33" s="137">
        <v>6082536.3065121695</v>
      </c>
      <c r="E33" s="376">
        <v>219447.65909090909</v>
      </c>
      <c r="F33" s="137">
        <v>5863088.6474212604</v>
      </c>
      <c r="G33" s="376">
        <v>933360.80237017514</v>
      </c>
      <c r="H33" s="375">
        <v>933360.80237017514</v>
      </c>
      <c r="I33" s="52">
        <f t="shared" si="0"/>
        <v>0</v>
      </c>
      <c r="J33" s="52"/>
      <c r="K33" s="113">
        <f t="shared" ref="K33" si="21">G33</f>
        <v>933360.80237017514</v>
      </c>
      <c r="L33" s="54">
        <f t="shared" ref="L33" si="22">IF(K33&lt;&gt;0,+G33-K33,0)</f>
        <v>0</v>
      </c>
      <c r="M33" s="113">
        <f t="shared" ref="M33" si="23">H33</f>
        <v>933360.80237017514</v>
      </c>
      <c r="N33" s="54">
        <f t="shared" ref="N33" si="24">IF(M33&lt;&gt;0,+H33-M33,0)</f>
        <v>0</v>
      </c>
      <c r="O33" s="54">
        <f t="shared" ref="O33" si="25">+N33-L33</f>
        <v>0</v>
      </c>
      <c r="P33" s="1"/>
    </row>
    <row r="34" spans="2:16" ht="12.5">
      <c r="B34" s="7" t="str">
        <f t="shared" si="6"/>
        <v/>
      </c>
      <c r="C34" s="50">
        <f>IF(D11="","-",+C33+1)</f>
        <v>2025</v>
      </c>
      <c r="D34" s="55">
        <f>IF(F33+SUM(E$17:E33)=D$10,F33,D$10-SUM(E$17:E33))</f>
        <v>5863088.6474212604</v>
      </c>
      <c r="E34" s="378">
        <f>IF(+I14&lt;F33,I14,D34)</f>
        <v>219447.65909090909</v>
      </c>
      <c r="F34" s="55">
        <f t="shared" ref="F34:F48" si="26">+D34-E34</f>
        <v>5643640.9883303512</v>
      </c>
      <c r="G34" s="379">
        <f t="shared" ref="G34:G72" si="27">+I$12*((D34+F34)/2)+E34</f>
        <v>907130.85313084617</v>
      </c>
      <c r="H34" s="364">
        <f t="shared" ref="H34:H72" si="28">+I$13*((D34+F34)/2)+E34</f>
        <v>907130.85313084617</v>
      </c>
      <c r="I34" s="52">
        <f t="shared" si="0"/>
        <v>0</v>
      </c>
      <c r="J34" s="52"/>
      <c r="K34" s="129"/>
      <c r="L34" s="54">
        <f t="shared" si="1"/>
        <v>0</v>
      </c>
      <c r="M34" s="129"/>
      <c r="N34" s="54">
        <f t="shared" si="2"/>
        <v>0</v>
      </c>
      <c r="O34" s="54">
        <f t="shared" si="3"/>
        <v>0</v>
      </c>
      <c r="P34" s="1"/>
    </row>
    <row r="35" spans="2:16" ht="12.5">
      <c r="B35" s="7" t="str">
        <f t="shared" si="6"/>
        <v/>
      </c>
      <c r="C35" s="50">
        <f>IF(D11="","-",+C34+1)</f>
        <v>2026</v>
      </c>
      <c r="D35" s="55">
        <f>IF(F34+SUM(E$17:E34)=D$10,F34,D$10-SUM(E$17:E34))</f>
        <v>5643640.9883303512</v>
      </c>
      <c r="E35" s="378">
        <f>IF(+I14&lt;F34,I14,D35)</f>
        <v>219447.65909090909</v>
      </c>
      <c r="F35" s="55">
        <f t="shared" si="26"/>
        <v>5424193.329239442</v>
      </c>
      <c r="G35" s="379">
        <f t="shared" si="27"/>
        <v>880900.90389151708</v>
      </c>
      <c r="H35" s="364">
        <f t="shared" si="28"/>
        <v>880900.90389151708</v>
      </c>
      <c r="I35" s="52">
        <f t="shared" si="0"/>
        <v>0</v>
      </c>
      <c r="J35" s="52"/>
      <c r="K35" s="129"/>
      <c r="L35" s="54">
        <f t="shared" si="1"/>
        <v>0</v>
      </c>
      <c r="M35" s="129"/>
      <c r="N35" s="54">
        <f t="shared" si="2"/>
        <v>0</v>
      </c>
      <c r="O35" s="54">
        <f t="shared" si="3"/>
        <v>0</v>
      </c>
      <c r="P35" s="1"/>
    </row>
    <row r="36" spans="2:16" ht="12.5">
      <c r="B36" s="7" t="str">
        <f t="shared" si="6"/>
        <v/>
      </c>
      <c r="C36" s="50">
        <f>IF(D11="","-",+C35+1)</f>
        <v>2027</v>
      </c>
      <c r="D36" s="55">
        <f>IF(F35+SUM(E$17:E35)=D$10,F35,D$10-SUM(E$17:E35))</f>
        <v>5424193.329239442</v>
      </c>
      <c r="E36" s="378">
        <f>IF(+I14&lt;F35,I14,D36)</f>
        <v>219447.65909090909</v>
      </c>
      <c r="F36" s="55">
        <f t="shared" si="26"/>
        <v>5204745.6701485328</v>
      </c>
      <c r="G36" s="379">
        <f t="shared" si="27"/>
        <v>854670.95465218823</v>
      </c>
      <c r="H36" s="364">
        <f t="shared" si="28"/>
        <v>854670.95465218823</v>
      </c>
      <c r="I36" s="52">
        <f t="shared" si="0"/>
        <v>0</v>
      </c>
      <c r="J36" s="52"/>
      <c r="K36" s="129"/>
      <c r="L36" s="54">
        <f t="shared" si="1"/>
        <v>0</v>
      </c>
      <c r="M36" s="129"/>
      <c r="N36" s="54">
        <f t="shared" si="2"/>
        <v>0</v>
      </c>
      <c r="O36" s="54">
        <f t="shared" si="3"/>
        <v>0</v>
      </c>
      <c r="P36" s="1"/>
    </row>
    <row r="37" spans="2:16" ht="12.5">
      <c r="B37" s="7" t="str">
        <f t="shared" si="6"/>
        <v/>
      </c>
      <c r="C37" s="50">
        <f>IF(D11="","-",+C36+1)</f>
        <v>2028</v>
      </c>
      <c r="D37" s="55">
        <f>IF(F36+SUM(E$17:E36)=D$10,F36,D$10-SUM(E$17:E36))</f>
        <v>5204745.6701485328</v>
      </c>
      <c r="E37" s="378">
        <f>IF(+I14&lt;F36,I14,D37)</f>
        <v>219447.65909090909</v>
      </c>
      <c r="F37" s="55">
        <f t="shared" si="26"/>
        <v>4985298.0110576237</v>
      </c>
      <c r="G37" s="379">
        <f t="shared" si="27"/>
        <v>828441.00541285914</v>
      </c>
      <c r="H37" s="364">
        <f t="shared" si="28"/>
        <v>828441.00541285914</v>
      </c>
      <c r="I37" s="52">
        <f t="shared" si="0"/>
        <v>0</v>
      </c>
      <c r="J37" s="52"/>
      <c r="K37" s="129"/>
      <c r="L37" s="54">
        <f t="shared" si="1"/>
        <v>0</v>
      </c>
      <c r="M37" s="129"/>
      <c r="N37" s="54">
        <f t="shared" si="2"/>
        <v>0</v>
      </c>
      <c r="O37" s="54">
        <f t="shared" si="3"/>
        <v>0</v>
      </c>
      <c r="P37" s="1"/>
    </row>
    <row r="38" spans="2:16" ht="12.5">
      <c r="B38" s="7" t="str">
        <f t="shared" si="6"/>
        <v/>
      </c>
      <c r="C38" s="50">
        <f>IF(D11="","-",+C37+1)</f>
        <v>2029</v>
      </c>
      <c r="D38" s="55">
        <f>IF(F37+SUM(E$17:E37)=D$10,F37,D$10-SUM(E$17:E37))</f>
        <v>4985298.0110576237</v>
      </c>
      <c r="E38" s="378">
        <f>IF(+I14&lt;F37,I14,D38)</f>
        <v>219447.65909090909</v>
      </c>
      <c r="F38" s="55">
        <f t="shared" si="26"/>
        <v>4765850.3519667145</v>
      </c>
      <c r="G38" s="379">
        <f t="shared" si="27"/>
        <v>802211.05617353029</v>
      </c>
      <c r="H38" s="364">
        <f t="shared" si="28"/>
        <v>802211.05617353029</v>
      </c>
      <c r="I38" s="52">
        <f t="shared" si="0"/>
        <v>0</v>
      </c>
      <c r="J38" s="52"/>
      <c r="K38" s="129"/>
      <c r="L38" s="54">
        <f t="shared" si="1"/>
        <v>0</v>
      </c>
      <c r="M38" s="129"/>
      <c r="N38" s="54">
        <f t="shared" si="2"/>
        <v>0</v>
      </c>
      <c r="O38" s="54">
        <f t="shared" si="3"/>
        <v>0</v>
      </c>
      <c r="P38" s="1"/>
    </row>
    <row r="39" spans="2:16" ht="12.5">
      <c r="B39" s="7" t="str">
        <f t="shared" si="6"/>
        <v/>
      </c>
      <c r="C39" s="50">
        <f>IF(D11="","-",+C38+1)</f>
        <v>2030</v>
      </c>
      <c r="D39" s="55">
        <f>IF(F38+SUM(E$17:E38)=D$10,F38,D$10-SUM(E$17:E38))</f>
        <v>4765850.3519667145</v>
      </c>
      <c r="E39" s="378">
        <f>IF(+I14&lt;F38,I14,D39)</f>
        <v>219447.65909090909</v>
      </c>
      <c r="F39" s="55">
        <f t="shared" si="26"/>
        <v>4546402.6928758053</v>
      </c>
      <c r="G39" s="379">
        <f t="shared" si="27"/>
        <v>775981.10693420121</v>
      </c>
      <c r="H39" s="364">
        <f t="shared" si="28"/>
        <v>775981.10693420121</v>
      </c>
      <c r="I39" s="52">
        <f t="shared" si="0"/>
        <v>0</v>
      </c>
      <c r="J39" s="52"/>
      <c r="K39" s="129"/>
      <c r="L39" s="54">
        <f t="shared" si="1"/>
        <v>0</v>
      </c>
      <c r="M39" s="129"/>
      <c r="N39" s="54">
        <f t="shared" si="2"/>
        <v>0</v>
      </c>
      <c r="O39" s="54">
        <f t="shared" si="3"/>
        <v>0</v>
      </c>
      <c r="P39" s="1"/>
    </row>
    <row r="40" spans="2:16" ht="12.5">
      <c r="B40" s="7" t="str">
        <f t="shared" si="6"/>
        <v/>
      </c>
      <c r="C40" s="50">
        <f>IF(D11="","-",+C39+1)</f>
        <v>2031</v>
      </c>
      <c r="D40" s="55">
        <f>IF(F39+SUM(E$17:E39)=D$10,F39,D$10-SUM(E$17:E39))</f>
        <v>4546402.6928758053</v>
      </c>
      <c r="E40" s="378">
        <f>IF(+I14&lt;F39,I14,D40)</f>
        <v>219447.65909090909</v>
      </c>
      <c r="F40" s="55">
        <f t="shared" si="26"/>
        <v>4326955.0337848961</v>
      </c>
      <c r="G40" s="379">
        <f t="shared" si="27"/>
        <v>749751.15769487224</v>
      </c>
      <c r="H40" s="364">
        <f t="shared" si="28"/>
        <v>749751.15769487224</v>
      </c>
      <c r="I40" s="52">
        <f t="shared" si="0"/>
        <v>0</v>
      </c>
      <c r="J40" s="52"/>
      <c r="K40" s="129"/>
      <c r="L40" s="54">
        <f t="shared" si="1"/>
        <v>0</v>
      </c>
      <c r="M40" s="129"/>
      <c r="N40" s="54">
        <f t="shared" si="2"/>
        <v>0</v>
      </c>
      <c r="O40" s="54">
        <f t="shared" si="3"/>
        <v>0</v>
      </c>
      <c r="P40" s="1"/>
    </row>
    <row r="41" spans="2:16" ht="12.5">
      <c r="B41" s="7" t="str">
        <f t="shared" si="6"/>
        <v/>
      </c>
      <c r="C41" s="50">
        <f>IF(D11="","-",+C40+1)</f>
        <v>2032</v>
      </c>
      <c r="D41" s="55">
        <f>IF(F40+SUM(E$17:E40)=D$10,F40,D$10-SUM(E$17:E40))</f>
        <v>4326955.0337848961</v>
      </c>
      <c r="E41" s="378">
        <f>IF(+I14&lt;F40,I14,D41)</f>
        <v>219447.65909090909</v>
      </c>
      <c r="F41" s="55">
        <f t="shared" si="26"/>
        <v>4107507.374693987</v>
      </c>
      <c r="G41" s="379">
        <f t="shared" si="27"/>
        <v>723521.20845554315</v>
      </c>
      <c r="H41" s="364">
        <f t="shared" si="28"/>
        <v>723521.20845554315</v>
      </c>
      <c r="I41" s="52">
        <f t="shared" si="0"/>
        <v>0</v>
      </c>
      <c r="J41" s="52"/>
      <c r="K41" s="129"/>
      <c r="L41" s="54">
        <f t="shared" si="1"/>
        <v>0</v>
      </c>
      <c r="M41" s="129"/>
      <c r="N41" s="54">
        <f t="shared" si="2"/>
        <v>0</v>
      </c>
      <c r="O41" s="54">
        <f t="shared" si="3"/>
        <v>0</v>
      </c>
      <c r="P41" s="1"/>
    </row>
    <row r="42" spans="2:16" ht="12.5">
      <c r="B42" s="7" t="str">
        <f t="shared" si="6"/>
        <v/>
      </c>
      <c r="C42" s="50">
        <f>IF(D11="","-",+C41+1)</f>
        <v>2033</v>
      </c>
      <c r="D42" s="55">
        <f>IF(F41+SUM(E$17:E41)=D$10,F41,D$10-SUM(E$17:E41))</f>
        <v>4107507.374693987</v>
      </c>
      <c r="E42" s="378">
        <f>IF(+I14&lt;F41,I14,D42)</f>
        <v>219447.65909090909</v>
      </c>
      <c r="F42" s="55">
        <f t="shared" si="26"/>
        <v>3888059.7156030778</v>
      </c>
      <c r="G42" s="379">
        <f t="shared" si="27"/>
        <v>697291.2592162143</v>
      </c>
      <c r="H42" s="364">
        <f t="shared" si="28"/>
        <v>697291.2592162143</v>
      </c>
      <c r="I42" s="52">
        <f t="shared" si="0"/>
        <v>0</v>
      </c>
      <c r="J42" s="52"/>
      <c r="K42" s="129"/>
      <c r="L42" s="54">
        <f t="shared" si="1"/>
        <v>0</v>
      </c>
      <c r="M42" s="129"/>
      <c r="N42" s="54">
        <f t="shared" si="2"/>
        <v>0</v>
      </c>
      <c r="O42" s="54">
        <f t="shared" si="3"/>
        <v>0</v>
      </c>
      <c r="P42" s="1"/>
    </row>
    <row r="43" spans="2:16" ht="12.5">
      <c r="B43" s="7" t="str">
        <f t="shared" si="6"/>
        <v/>
      </c>
      <c r="C43" s="50">
        <f>IF(D11="","-",+C42+1)</f>
        <v>2034</v>
      </c>
      <c r="D43" s="55">
        <f>IF(F42+SUM(E$17:E42)=D$10,F42,D$10-SUM(E$17:E42))</f>
        <v>3888059.7156030778</v>
      </c>
      <c r="E43" s="378">
        <f>IF(+I14&lt;F42,I14,D43)</f>
        <v>219447.65909090909</v>
      </c>
      <c r="F43" s="55">
        <f t="shared" si="26"/>
        <v>3668612.0565121686</v>
      </c>
      <c r="G43" s="379">
        <f t="shared" si="27"/>
        <v>671061.30997688533</v>
      </c>
      <c r="H43" s="364">
        <f t="shared" si="28"/>
        <v>671061.30997688533</v>
      </c>
      <c r="I43" s="52">
        <f t="shared" si="0"/>
        <v>0</v>
      </c>
      <c r="J43" s="52"/>
      <c r="K43" s="129"/>
      <c r="L43" s="54">
        <f t="shared" si="1"/>
        <v>0</v>
      </c>
      <c r="M43" s="129"/>
      <c r="N43" s="54">
        <f t="shared" si="2"/>
        <v>0</v>
      </c>
      <c r="O43" s="54">
        <f t="shared" si="3"/>
        <v>0</v>
      </c>
      <c r="P43" s="1"/>
    </row>
    <row r="44" spans="2:16" ht="12.5">
      <c r="B44" s="7" t="str">
        <f t="shared" si="6"/>
        <v/>
      </c>
      <c r="C44" s="50">
        <f>IF(D11="","-",+C43+1)</f>
        <v>2035</v>
      </c>
      <c r="D44" s="55">
        <f>IF(F43+SUM(E$17:E43)=D$10,F43,D$10-SUM(E$17:E43))</f>
        <v>3668612.0565121686</v>
      </c>
      <c r="E44" s="378">
        <f>IF(+I14&lt;F43,I14,D44)</f>
        <v>219447.65909090909</v>
      </c>
      <c r="F44" s="55">
        <f t="shared" si="26"/>
        <v>3449164.3974212594</v>
      </c>
      <c r="G44" s="379">
        <f t="shared" si="27"/>
        <v>644831.36073755624</v>
      </c>
      <c r="H44" s="364">
        <f t="shared" si="28"/>
        <v>644831.36073755624</v>
      </c>
      <c r="I44" s="52">
        <f t="shared" si="0"/>
        <v>0</v>
      </c>
      <c r="J44" s="52"/>
      <c r="K44" s="129"/>
      <c r="L44" s="54">
        <f t="shared" si="1"/>
        <v>0</v>
      </c>
      <c r="M44" s="129"/>
      <c r="N44" s="54">
        <f t="shared" si="2"/>
        <v>0</v>
      </c>
      <c r="O44" s="54">
        <f t="shared" si="3"/>
        <v>0</v>
      </c>
      <c r="P44" s="1"/>
    </row>
    <row r="45" spans="2:16" ht="12.5">
      <c r="B45" s="7" t="str">
        <f t="shared" si="6"/>
        <v/>
      </c>
      <c r="C45" s="50">
        <f>IF(D11="","-",+C44+1)</f>
        <v>2036</v>
      </c>
      <c r="D45" s="55">
        <f>IF(F44+SUM(E$17:E44)=D$10,F44,D$10-SUM(E$17:E44))</f>
        <v>3449164.3974212594</v>
      </c>
      <c r="E45" s="378">
        <f>IF(+I14&lt;F44,I14,D45)</f>
        <v>219447.65909090909</v>
      </c>
      <c r="F45" s="55">
        <f t="shared" si="26"/>
        <v>3229716.7383303503</v>
      </c>
      <c r="G45" s="379">
        <f t="shared" si="27"/>
        <v>618601.41149822727</v>
      </c>
      <c r="H45" s="364">
        <f t="shared" si="28"/>
        <v>618601.41149822727</v>
      </c>
      <c r="I45" s="52">
        <f t="shared" si="0"/>
        <v>0</v>
      </c>
      <c r="J45" s="52"/>
      <c r="K45" s="129"/>
      <c r="L45" s="54">
        <f t="shared" si="1"/>
        <v>0</v>
      </c>
      <c r="M45" s="129"/>
      <c r="N45" s="54">
        <f t="shared" si="2"/>
        <v>0</v>
      </c>
      <c r="O45" s="54">
        <f t="shared" si="3"/>
        <v>0</v>
      </c>
      <c r="P45" s="1"/>
    </row>
    <row r="46" spans="2:16" ht="12.5">
      <c r="B46" s="7" t="str">
        <f t="shared" si="6"/>
        <v/>
      </c>
      <c r="C46" s="50">
        <f>IF(D11="","-",+C45+1)</f>
        <v>2037</v>
      </c>
      <c r="D46" s="55">
        <f>IF(F45+SUM(E$17:E45)=D$10,F45,D$10-SUM(E$17:E45))</f>
        <v>3229716.7383303503</v>
      </c>
      <c r="E46" s="378">
        <f>IF(+I14&lt;F45,I14,D46)</f>
        <v>219447.65909090909</v>
      </c>
      <c r="F46" s="55">
        <f t="shared" si="26"/>
        <v>3010269.0792394411</v>
      </c>
      <c r="G46" s="379">
        <f t="shared" si="27"/>
        <v>592371.4622588983</v>
      </c>
      <c r="H46" s="364">
        <f t="shared" si="28"/>
        <v>592371.4622588983</v>
      </c>
      <c r="I46" s="52">
        <f t="shared" si="0"/>
        <v>0</v>
      </c>
      <c r="J46" s="52"/>
      <c r="K46" s="129"/>
      <c r="L46" s="54">
        <f t="shared" si="1"/>
        <v>0</v>
      </c>
      <c r="M46" s="129"/>
      <c r="N46" s="54">
        <f t="shared" si="2"/>
        <v>0</v>
      </c>
      <c r="O46" s="54">
        <f t="shared" si="3"/>
        <v>0</v>
      </c>
      <c r="P46" s="1"/>
    </row>
    <row r="47" spans="2:16" ht="12.5">
      <c r="B47" s="7" t="str">
        <f t="shared" si="6"/>
        <v/>
      </c>
      <c r="C47" s="50">
        <f>IF(D11="","-",+C46+1)</f>
        <v>2038</v>
      </c>
      <c r="D47" s="55">
        <f>IF(F46+SUM(E$17:E46)=D$10,F46,D$10-SUM(E$17:E46))</f>
        <v>3010269.0792394411</v>
      </c>
      <c r="E47" s="378">
        <f>IF(+I14&lt;F46,I14,D47)</f>
        <v>219447.65909090909</v>
      </c>
      <c r="F47" s="55">
        <f t="shared" si="26"/>
        <v>2790821.4201485319</v>
      </c>
      <c r="G47" s="379">
        <f t="shared" si="27"/>
        <v>566141.51301956933</v>
      </c>
      <c r="H47" s="364">
        <f t="shared" si="28"/>
        <v>566141.51301956933</v>
      </c>
      <c r="I47" s="52">
        <f t="shared" si="0"/>
        <v>0</v>
      </c>
      <c r="J47" s="52"/>
      <c r="K47" s="129"/>
      <c r="L47" s="54">
        <f t="shared" si="1"/>
        <v>0</v>
      </c>
      <c r="M47" s="129"/>
      <c r="N47" s="54">
        <f t="shared" si="2"/>
        <v>0</v>
      </c>
      <c r="O47" s="54">
        <f t="shared" si="3"/>
        <v>0</v>
      </c>
      <c r="P47" s="1"/>
    </row>
    <row r="48" spans="2:16" ht="12.5">
      <c r="B48" s="7" t="str">
        <f t="shared" si="6"/>
        <v/>
      </c>
      <c r="C48" s="50">
        <f>IF(D11="","-",+C47+1)</f>
        <v>2039</v>
      </c>
      <c r="D48" s="55">
        <f>IF(F47+SUM(E$17:E47)=D$10,F47,D$10-SUM(E$17:E47))</f>
        <v>2790821.4201485319</v>
      </c>
      <c r="E48" s="378">
        <f>IF(+I14&lt;F47,I14,D48)</f>
        <v>219447.65909090909</v>
      </c>
      <c r="F48" s="55">
        <f t="shared" si="26"/>
        <v>2571373.7610576227</v>
      </c>
      <c r="G48" s="379">
        <f t="shared" si="27"/>
        <v>539911.56378024037</v>
      </c>
      <c r="H48" s="364">
        <f t="shared" si="28"/>
        <v>539911.56378024037</v>
      </c>
      <c r="I48" s="52">
        <f t="shared" si="0"/>
        <v>0</v>
      </c>
      <c r="J48" s="52"/>
      <c r="K48" s="129"/>
      <c r="L48" s="54">
        <f t="shared" si="1"/>
        <v>0</v>
      </c>
      <c r="M48" s="129"/>
      <c r="N48" s="54">
        <f t="shared" si="2"/>
        <v>0</v>
      </c>
      <c r="O48" s="54">
        <f t="shared" si="3"/>
        <v>0</v>
      </c>
      <c r="P48" s="1"/>
    </row>
    <row r="49" spans="2:17" ht="12.5">
      <c r="B49" s="7" t="str">
        <f t="shared" si="6"/>
        <v/>
      </c>
      <c r="C49" s="50">
        <f>IF(D11="","-",+C48+1)</f>
        <v>2040</v>
      </c>
      <c r="D49" s="55">
        <f>IF(F48+SUM(E$17:E48)=D$10,F48,D$10-SUM(E$17:E48))</f>
        <v>2571373.7610576227</v>
      </c>
      <c r="E49" s="378">
        <f>IF(+I14&lt;F48,I14,D49)</f>
        <v>219447.65909090909</v>
      </c>
      <c r="F49" s="55">
        <f t="shared" ref="F49:F72" si="29">+D49-E49</f>
        <v>2351926.1019667136</v>
      </c>
      <c r="G49" s="379">
        <f t="shared" si="27"/>
        <v>513681.6145409114</v>
      </c>
      <c r="H49" s="364">
        <f t="shared" si="28"/>
        <v>513681.6145409114</v>
      </c>
      <c r="I49" s="52">
        <f t="shared" ref="I49:I72" si="30">H49-G49</f>
        <v>0</v>
      </c>
      <c r="J49" s="52"/>
      <c r="K49" s="129"/>
      <c r="L49" s="54">
        <f t="shared" ref="L49:L72" si="31">IF(K49&lt;&gt;0,+G49-K49,0)</f>
        <v>0</v>
      </c>
      <c r="M49" s="129"/>
      <c r="N49" s="54">
        <f t="shared" ref="N49:N72" si="32">IF(M49&lt;&gt;0,+H49-M49,0)</f>
        <v>0</v>
      </c>
      <c r="O49" s="54">
        <f t="shared" ref="O49:O72" si="33">+N49-L49</f>
        <v>0</v>
      </c>
      <c r="P49" s="1"/>
    </row>
    <row r="50" spans="2:17" ht="12.5">
      <c r="B50" s="7" t="str">
        <f t="shared" si="6"/>
        <v/>
      </c>
      <c r="C50" s="50">
        <f>IF(D11="","-",+C49+1)</f>
        <v>2041</v>
      </c>
      <c r="D50" s="55">
        <f>IF(F49+SUM(E$17:E49)=D$10,F49,D$10-SUM(E$17:E49))</f>
        <v>2351926.1019667136</v>
      </c>
      <c r="E50" s="378">
        <f>IF(+I14&lt;F49,I14,D50)</f>
        <v>219447.65909090909</v>
      </c>
      <c r="F50" s="55">
        <f t="shared" si="29"/>
        <v>2132478.4428758044</v>
      </c>
      <c r="G50" s="379">
        <f t="shared" si="27"/>
        <v>487451.66530158231</v>
      </c>
      <c r="H50" s="364">
        <f t="shared" si="28"/>
        <v>487451.66530158231</v>
      </c>
      <c r="I50" s="52">
        <f t="shared" si="30"/>
        <v>0</v>
      </c>
      <c r="J50" s="52"/>
      <c r="K50" s="129"/>
      <c r="L50" s="54">
        <f t="shared" si="31"/>
        <v>0</v>
      </c>
      <c r="M50" s="129"/>
      <c r="N50" s="54">
        <f t="shared" si="32"/>
        <v>0</v>
      </c>
      <c r="O50" s="54">
        <f t="shared" si="33"/>
        <v>0</v>
      </c>
      <c r="P50" s="1"/>
    </row>
    <row r="51" spans="2:17" ht="12.5">
      <c r="B51" s="7" t="str">
        <f t="shared" si="6"/>
        <v/>
      </c>
      <c r="C51" s="50">
        <f>IF(D11="","-",+C50+1)</f>
        <v>2042</v>
      </c>
      <c r="D51" s="55">
        <f>IF(F50+SUM(E$17:E50)=D$10,F50,D$10-SUM(E$17:E50))</f>
        <v>2132478.4428758044</v>
      </c>
      <c r="E51" s="378">
        <f>IF(+I14&lt;F50,I14,D51)</f>
        <v>219447.65909090909</v>
      </c>
      <c r="F51" s="55">
        <f t="shared" si="29"/>
        <v>1913030.7837848952</v>
      </c>
      <c r="G51" s="379">
        <f t="shared" si="27"/>
        <v>461221.71606225334</v>
      </c>
      <c r="H51" s="364">
        <f t="shared" si="28"/>
        <v>461221.71606225334</v>
      </c>
      <c r="I51" s="52">
        <f t="shared" si="30"/>
        <v>0</v>
      </c>
      <c r="J51" s="52"/>
      <c r="K51" s="129"/>
      <c r="L51" s="54">
        <f t="shared" si="31"/>
        <v>0</v>
      </c>
      <c r="M51" s="129"/>
      <c r="N51" s="54">
        <f t="shared" si="32"/>
        <v>0</v>
      </c>
      <c r="O51" s="54">
        <f t="shared" si="33"/>
        <v>0</v>
      </c>
      <c r="P51" s="1"/>
    </row>
    <row r="52" spans="2:17" ht="12.5">
      <c r="B52" s="7" t="str">
        <f t="shared" si="6"/>
        <v/>
      </c>
      <c r="C52" s="50">
        <f>IF(D11="","-",+C51+1)</f>
        <v>2043</v>
      </c>
      <c r="D52" s="55">
        <f>IF(F51+SUM(E$17:E51)=D$10,F51,D$10-SUM(E$17:E51))</f>
        <v>1913030.7837848952</v>
      </c>
      <c r="E52" s="378">
        <f>IF(+I14&lt;F51,I14,D52)</f>
        <v>219447.65909090909</v>
      </c>
      <c r="F52" s="55">
        <f t="shared" si="29"/>
        <v>1693583.124693986</v>
      </c>
      <c r="G52" s="379">
        <f t="shared" si="27"/>
        <v>434991.76682292437</v>
      </c>
      <c r="H52" s="364">
        <f t="shared" si="28"/>
        <v>434991.76682292437</v>
      </c>
      <c r="I52" s="52">
        <f t="shared" si="30"/>
        <v>0</v>
      </c>
      <c r="J52" s="52"/>
      <c r="K52" s="129"/>
      <c r="L52" s="54">
        <f t="shared" si="31"/>
        <v>0</v>
      </c>
      <c r="M52" s="129"/>
      <c r="N52" s="54">
        <f t="shared" si="32"/>
        <v>0</v>
      </c>
      <c r="O52" s="54">
        <f t="shared" si="33"/>
        <v>0</v>
      </c>
      <c r="P52" s="1"/>
    </row>
    <row r="53" spans="2:17" ht="12.5">
      <c r="B53" s="7" t="str">
        <f t="shared" si="6"/>
        <v/>
      </c>
      <c r="C53" s="50">
        <f>IF(D11="","-",+C52+1)</f>
        <v>2044</v>
      </c>
      <c r="D53" s="55">
        <f>IF(F52+SUM(E$17:E52)=D$10,F52,D$10-SUM(E$17:E52))</f>
        <v>1693583.124693986</v>
      </c>
      <c r="E53" s="378">
        <f>IF(+I14&lt;F52,I14,D53)</f>
        <v>219447.65909090909</v>
      </c>
      <c r="F53" s="55">
        <f t="shared" si="29"/>
        <v>1474135.4656030769</v>
      </c>
      <c r="G53" s="379">
        <f t="shared" si="27"/>
        <v>408761.8175835954</v>
      </c>
      <c r="H53" s="364">
        <f t="shared" si="28"/>
        <v>408761.8175835954</v>
      </c>
      <c r="I53" s="52">
        <f t="shared" si="30"/>
        <v>0</v>
      </c>
      <c r="J53" s="52"/>
      <c r="K53" s="129"/>
      <c r="L53" s="54">
        <f t="shared" si="31"/>
        <v>0</v>
      </c>
      <c r="M53" s="129"/>
      <c r="N53" s="54">
        <f t="shared" si="32"/>
        <v>0</v>
      </c>
      <c r="O53" s="54">
        <f t="shared" si="33"/>
        <v>0</v>
      </c>
      <c r="P53" s="1"/>
    </row>
    <row r="54" spans="2:17" ht="12.5">
      <c r="B54" s="7" t="str">
        <f t="shared" si="6"/>
        <v/>
      </c>
      <c r="C54" s="50">
        <f>IF(D11="","-",+C53+1)</f>
        <v>2045</v>
      </c>
      <c r="D54" s="55">
        <f>IF(F53+SUM(E$17:E53)=D$10,F53,D$10-SUM(E$17:E53))</f>
        <v>1474135.4656030769</v>
      </c>
      <c r="E54" s="378">
        <f>IF(+I14&lt;F53,I14,D54)</f>
        <v>219447.65909090909</v>
      </c>
      <c r="F54" s="55">
        <f t="shared" si="29"/>
        <v>1254687.8065121677</v>
      </c>
      <c r="G54" s="379">
        <f t="shared" si="27"/>
        <v>382531.86834426643</v>
      </c>
      <c r="H54" s="364">
        <f t="shared" si="28"/>
        <v>382531.86834426643</v>
      </c>
      <c r="I54" s="52">
        <f t="shared" si="30"/>
        <v>0</v>
      </c>
      <c r="J54" s="52"/>
      <c r="K54" s="129"/>
      <c r="L54" s="54">
        <f t="shared" si="31"/>
        <v>0</v>
      </c>
      <c r="M54" s="129"/>
      <c r="N54" s="54">
        <f t="shared" si="32"/>
        <v>0</v>
      </c>
      <c r="O54" s="54">
        <f t="shared" si="33"/>
        <v>0</v>
      </c>
      <c r="P54" s="1"/>
    </row>
    <row r="55" spans="2:17" ht="12.5">
      <c r="B55" s="7" t="str">
        <f t="shared" si="6"/>
        <v/>
      </c>
      <c r="C55" s="50">
        <f>IF(D11="","-",+C54+1)</f>
        <v>2046</v>
      </c>
      <c r="D55" s="55">
        <f>IF(F54+SUM(E$17:E54)=D$10,F54,D$10-SUM(E$17:E54))</f>
        <v>1254687.8065121677</v>
      </c>
      <c r="E55" s="378">
        <f>IF(+I14&lt;F54,I14,D55)</f>
        <v>219447.65909090909</v>
      </c>
      <c r="F55" s="55">
        <f t="shared" si="29"/>
        <v>1035240.1474212586</v>
      </c>
      <c r="G55" s="379">
        <f t="shared" si="27"/>
        <v>356301.91910493741</v>
      </c>
      <c r="H55" s="364">
        <f t="shared" si="28"/>
        <v>356301.91910493741</v>
      </c>
      <c r="I55" s="52">
        <f t="shared" si="30"/>
        <v>0</v>
      </c>
      <c r="J55" s="52"/>
      <c r="K55" s="129"/>
      <c r="L55" s="54">
        <f t="shared" si="31"/>
        <v>0</v>
      </c>
      <c r="M55" s="129"/>
      <c r="N55" s="54">
        <f t="shared" si="32"/>
        <v>0</v>
      </c>
      <c r="O55" s="54">
        <f t="shared" si="33"/>
        <v>0</v>
      </c>
      <c r="P55" s="1"/>
    </row>
    <row r="56" spans="2:17" ht="12.5">
      <c r="B56" s="7" t="str">
        <f t="shared" si="6"/>
        <v/>
      </c>
      <c r="C56" s="50">
        <f>IF(D11="","-",+C55+1)</f>
        <v>2047</v>
      </c>
      <c r="D56" s="55">
        <f>IF(F55+SUM(E$17:E55)=D$10,F55,D$10-SUM(E$17:E55))</f>
        <v>1035240.1474212586</v>
      </c>
      <c r="E56" s="378">
        <f>IF(+I14&lt;F55,I14,D56)</f>
        <v>219447.65909090909</v>
      </c>
      <c r="F56" s="55">
        <f t="shared" si="29"/>
        <v>815792.48833034956</v>
      </c>
      <c r="G56" s="379">
        <f t="shared" si="27"/>
        <v>330071.96986560844</v>
      </c>
      <c r="H56" s="364">
        <f t="shared" si="28"/>
        <v>330071.96986560844</v>
      </c>
      <c r="I56" s="52">
        <f t="shared" si="30"/>
        <v>0</v>
      </c>
      <c r="J56" s="52"/>
      <c r="K56" s="129"/>
      <c r="L56" s="54">
        <f t="shared" si="31"/>
        <v>0</v>
      </c>
      <c r="M56" s="129"/>
      <c r="N56" s="54">
        <f t="shared" si="32"/>
        <v>0</v>
      </c>
      <c r="O56" s="54">
        <f t="shared" si="33"/>
        <v>0</v>
      </c>
      <c r="P56" s="1"/>
    </row>
    <row r="57" spans="2:17" ht="12.5">
      <c r="B57" s="7" t="str">
        <f t="shared" si="6"/>
        <v/>
      </c>
      <c r="C57" s="50">
        <f>IF(D11="","-",+C56+1)</f>
        <v>2048</v>
      </c>
      <c r="D57" s="55">
        <f>IF(F56+SUM(E$17:E56)=D$10,F56,D$10-SUM(E$17:E56))</f>
        <v>815792.48833034956</v>
      </c>
      <c r="E57" s="378">
        <f>IF(+I14&lt;F56,I14,D57)</f>
        <v>219447.65909090909</v>
      </c>
      <c r="F57" s="55">
        <f t="shared" si="29"/>
        <v>596344.8292394405</v>
      </c>
      <c r="G57" s="379">
        <f t="shared" si="27"/>
        <v>303842.02062627947</v>
      </c>
      <c r="H57" s="364">
        <f t="shared" si="28"/>
        <v>303842.02062627947</v>
      </c>
      <c r="I57" s="52">
        <f t="shared" si="30"/>
        <v>0</v>
      </c>
      <c r="J57" s="52"/>
      <c r="K57" s="129"/>
      <c r="L57" s="54">
        <f t="shared" si="31"/>
        <v>0</v>
      </c>
      <c r="M57" s="129"/>
      <c r="N57" s="54">
        <f t="shared" si="32"/>
        <v>0</v>
      </c>
      <c r="O57" s="54">
        <f t="shared" si="33"/>
        <v>0</v>
      </c>
      <c r="P57" s="1"/>
    </row>
    <row r="58" spans="2:17" ht="12.5">
      <c r="B58" s="7" t="str">
        <f t="shared" si="6"/>
        <v/>
      </c>
      <c r="C58" s="50">
        <f>IF(D11="","-",+C57+1)</f>
        <v>2049</v>
      </c>
      <c r="D58" s="55">
        <f>IF(F57+SUM(E$17:E57)=D$10,F57,D$10-SUM(E$17:E57))</f>
        <v>596344.8292394405</v>
      </c>
      <c r="E58" s="378">
        <f>IF(+I14&lt;F57,I14,D58)</f>
        <v>219447.65909090909</v>
      </c>
      <c r="F58" s="55">
        <f t="shared" si="29"/>
        <v>376897.17014853144</v>
      </c>
      <c r="G58" s="379">
        <f t="shared" si="27"/>
        <v>277612.0713869505</v>
      </c>
      <c r="H58" s="364">
        <f t="shared" si="28"/>
        <v>277612.0713869505</v>
      </c>
      <c r="I58" s="52">
        <f t="shared" si="30"/>
        <v>0</v>
      </c>
      <c r="J58" s="52"/>
      <c r="K58" s="129"/>
      <c r="L58" s="54">
        <f t="shared" si="31"/>
        <v>0</v>
      </c>
      <c r="M58" s="129"/>
      <c r="N58" s="54">
        <f t="shared" si="32"/>
        <v>0</v>
      </c>
      <c r="O58" s="54">
        <f t="shared" si="33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6"/>
        <v/>
      </c>
      <c r="C59" s="50">
        <f>IF(D11="","-",+C58+1)</f>
        <v>2050</v>
      </c>
      <c r="D59" s="55">
        <f>IF(F58+SUM(E$17:E58)=D$10,F58,D$10-SUM(E$17:E58))</f>
        <v>376897.17014853144</v>
      </c>
      <c r="E59" s="378">
        <f>IF(+I14&lt;F58,I14,D59)</f>
        <v>219447.65909090909</v>
      </c>
      <c r="F59" s="55">
        <f t="shared" si="29"/>
        <v>157449.51105762235</v>
      </c>
      <c r="G59" s="379">
        <f t="shared" si="27"/>
        <v>251382.12214762153</v>
      </c>
      <c r="H59" s="364">
        <f t="shared" si="28"/>
        <v>251382.12214762153</v>
      </c>
      <c r="I59" s="52">
        <f t="shared" si="30"/>
        <v>0</v>
      </c>
      <c r="J59" s="52"/>
      <c r="K59" s="129"/>
      <c r="L59" s="54">
        <f t="shared" si="31"/>
        <v>0</v>
      </c>
      <c r="M59" s="129"/>
      <c r="N59" s="54">
        <f t="shared" si="32"/>
        <v>0</v>
      </c>
      <c r="O59" s="54">
        <f t="shared" si="33"/>
        <v>0</v>
      </c>
      <c r="P59" s="1"/>
    </row>
    <row r="60" spans="2:17" ht="12.5">
      <c r="B60" s="7" t="str">
        <f t="shared" si="6"/>
        <v/>
      </c>
      <c r="C60" s="50">
        <f>IF(D11="","-",+C59+1)</f>
        <v>2051</v>
      </c>
      <c r="D60" s="55">
        <f>IF(F59+SUM(E$17:E59)=D$10,F59,D$10-SUM(E$17:E59))</f>
        <v>157449.51105762235</v>
      </c>
      <c r="E60" s="378">
        <f>IF(+I14&lt;F59,I14,D60)</f>
        <v>157449.51105762235</v>
      </c>
      <c r="F60" s="55">
        <f t="shared" si="29"/>
        <v>0</v>
      </c>
      <c r="G60" s="379">
        <f t="shared" si="27"/>
        <v>166859.25527614632</v>
      </c>
      <c r="H60" s="364">
        <f t="shared" si="28"/>
        <v>166859.25527614632</v>
      </c>
      <c r="I60" s="52">
        <f t="shared" si="30"/>
        <v>0</v>
      </c>
      <c r="J60" s="52"/>
      <c r="K60" s="129"/>
      <c r="L60" s="54">
        <f t="shared" si="31"/>
        <v>0</v>
      </c>
      <c r="M60" s="129"/>
      <c r="N60" s="54">
        <f t="shared" si="32"/>
        <v>0</v>
      </c>
      <c r="O60" s="54">
        <f t="shared" si="33"/>
        <v>0</v>
      </c>
      <c r="P60" s="1"/>
    </row>
    <row r="61" spans="2:17" ht="12.5">
      <c r="B61" s="7" t="str">
        <f t="shared" si="6"/>
        <v/>
      </c>
      <c r="C61" s="50">
        <f>IF(D11="","-",+C60+1)</f>
        <v>2052</v>
      </c>
      <c r="D61" s="55">
        <f>IF(F60+SUM(E$17:E60)=D$10,F60,D$10-SUM(E$17:E60))</f>
        <v>0</v>
      </c>
      <c r="E61" s="378">
        <f>IF(+I14&lt;F60,I14,D61)</f>
        <v>0</v>
      </c>
      <c r="F61" s="55">
        <f t="shared" si="29"/>
        <v>0</v>
      </c>
      <c r="G61" s="380">
        <f t="shared" si="27"/>
        <v>0</v>
      </c>
      <c r="H61" s="364">
        <f t="shared" si="28"/>
        <v>0</v>
      </c>
      <c r="I61" s="52">
        <f t="shared" si="30"/>
        <v>0</v>
      </c>
      <c r="J61" s="52"/>
      <c r="K61" s="129"/>
      <c r="L61" s="54">
        <f t="shared" si="31"/>
        <v>0</v>
      </c>
      <c r="M61" s="129"/>
      <c r="N61" s="54">
        <f t="shared" si="32"/>
        <v>0</v>
      </c>
      <c r="O61" s="54">
        <f t="shared" si="33"/>
        <v>0</v>
      </c>
      <c r="P61" s="1"/>
    </row>
    <row r="62" spans="2:17" ht="12.5">
      <c r="B62" s="7" t="str">
        <f t="shared" si="6"/>
        <v/>
      </c>
      <c r="C62" s="50">
        <f>IF(D11="","-",+C61+1)</f>
        <v>2053</v>
      </c>
      <c r="D62" s="55">
        <f>IF(F61+SUM(E$17:E61)=D$10,F61,D$10-SUM(E$17:E61))</f>
        <v>0</v>
      </c>
      <c r="E62" s="378">
        <f>IF(+I14&lt;F61,I14,D62)</f>
        <v>0</v>
      </c>
      <c r="F62" s="55">
        <f t="shared" si="29"/>
        <v>0</v>
      </c>
      <c r="G62" s="380">
        <f t="shared" si="27"/>
        <v>0</v>
      </c>
      <c r="H62" s="364">
        <f t="shared" si="28"/>
        <v>0</v>
      </c>
      <c r="I62" s="52">
        <f t="shared" si="30"/>
        <v>0</v>
      </c>
      <c r="J62" s="52"/>
      <c r="K62" s="129"/>
      <c r="L62" s="54">
        <f t="shared" si="31"/>
        <v>0</v>
      </c>
      <c r="M62" s="129"/>
      <c r="N62" s="54">
        <f t="shared" si="32"/>
        <v>0</v>
      </c>
      <c r="O62" s="54">
        <f t="shared" si="33"/>
        <v>0</v>
      </c>
      <c r="P62" s="1"/>
    </row>
    <row r="63" spans="2:17" ht="12.5">
      <c r="B63" s="7" t="str">
        <f t="shared" si="6"/>
        <v/>
      </c>
      <c r="C63" s="50">
        <f>IF(D11="","-",+C62+1)</f>
        <v>2054</v>
      </c>
      <c r="D63" s="55">
        <f>IF(F62+SUM(E$17:E62)=D$10,F62,D$10-SUM(E$17:E62))</f>
        <v>0</v>
      </c>
      <c r="E63" s="378">
        <f>IF(+I14&lt;F62,I14,D63)</f>
        <v>0</v>
      </c>
      <c r="F63" s="55">
        <f t="shared" si="29"/>
        <v>0</v>
      </c>
      <c r="G63" s="380">
        <f t="shared" si="27"/>
        <v>0</v>
      </c>
      <c r="H63" s="364">
        <f t="shared" si="28"/>
        <v>0</v>
      </c>
      <c r="I63" s="52">
        <f t="shared" si="30"/>
        <v>0</v>
      </c>
      <c r="J63" s="52"/>
      <c r="K63" s="129"/>
      <c r="L63" s="54">
        <f t="shared" si="31"/>
        <v>0</v>
      </c>
      <c r="M63" s="129"/>
      <c r="N63" s="54">
        <f t="shared" si="32"/>
        <v>0</v>
      </c>
      <c r="O63" s="54">
        <f t="shared" si="33"/>
        <v>0</v>
      </c>
      <c r="P63" s="1"/>
    </row>
    <row r="64" spans="2:17" ht="12.5">
      <c r="B64" s="7" t="str">
        <f t="shared" si="6"/>
        <v/>
      </c>
      <c r="C64" s="50">
        <f>IF(D11="","-",+C63+1)</f>
        <v>2055</v>
      </c>
      <c r="D64" s="55">
        <f>IF(F63+SUM(E$17:E63)=D$10,F63,D$10-SUM(E$17:E63))</f>
        <v>0</v>
      </c>
      <c r="E64" s="378">
        <f>IF(+I14&lt;F63,I14,D64)</f>
        <v>0</v>
      </c>
      <c r="F64" s="55">
        <f t="shared" si="29"/>
        <v>0</v>
      </c>
      <c r="G64" s="380">
        <f t="shared" si="27"/>
        <v>0</v>
      </c>
      <c r="H64" s="364">
        <f t="shared" si="28"/>
        <v>0</v>
      </c>
      <c r="I64" s="52">
        <f t="shared" si="30"/>
        <v>0</v>
      </c>
      <c r="J64" s="52"/>
      <c r="K64" s="129"/>
      <c r="L64" s="54">
        <f t="shared" si="31"/>
        <v>0</v>
      </c>
      <c r="M64" s="129"/>
      <c r="N64" s="54">
        <f t="shared" si="32"/>
        <v>0</v>
      </c>
      <c r="O64" s="54">
        <f t="shared" si="33"/>
        <v>0</v>
      </c>
      <c r="P64" s="1"/>
    </row>
    <row r="65" spans="1:16" ht="12.5">
      <c r="B65" s="7" t="str">
        <f t="shared" si="6"/>
        <v/>
      </c>
      <c r="C65" s="50">
        <f>IF(D11="","-",+C64+1)</f>
        <v>2056</v>
      </c>
      <c r="D65" s="55">
        <f>IF(F64+SUM(E$17:E64)=D$10,F64,D$10-SUM(E$17:E64))</f>
        <v>0</v>
      </c>
      <c r="E65" s="378">
        <f>IF(+I14&lt;F64,I14,D65)</f>
        <v>0</v>
      </c>
      <c r="F65" s="55">
        <f t="shared" si="29"/>
        <v>0</v>
      </c>
      <c r="G65" s="380">
        <f t="shared" si="27"/>
        <v>0</v>
      </c>
      <c r="H65" s="364">
        <f t="shared" si="28"/>
        <v>0</v>
      </c>
      <c r="I65" s="52">
        <f t="shared" si="30"/>
        <v>0</v>
      </c>
      <c r="J65" s="52"/>
      <c r="K65" s="129"/>
      <c r="L65" s="54">
        <f t="shared" si="31"/>
        <v>0</v>
      </c>
      <c r="M65" s="129"/>
      <c r="N65" s="54">
        <f t="shared" si="32"/>
        <v>0</v>
      </c>
      <c r="O65" s="54">
        <f t="shared" si="33"/>
        <v>0</v>
      </c>
      <c r="P65" s="1"/>
    </row>
    <row r="66" spans="1:16" ht="12.5">
      <c r="B66" s="7" t="str">
        <f t="shared" si="6"/>
        <v/>
      </c>
      <c r="C66" s="50">
        <f>IF(D11="","-",+C65+1)</f>
        <v>2057</v>
      </c>
      <c r="D66" s="55">
        <f>IF(F65+SUM(E$17:E65)=D$10,F65,D$10-SUM(E$17:E65))</f>
        <v>0</v>
      </c>
      <c r="E66" s="378">
        <f>IF(+I14&lt;F65,I14,D66)</f>
        <v>0</v>
      </c>
      <c r="F66" s="55">
        <f t="shared" si="29"/>
        <v>0</v>
      </c>
      <c r="G66" s="380">
        <f t="shared" si="27"/>
        <v>0</v>
      </c>
      <c r="H66" s="364">
        <f t="shared" si="28"/>
        <v>0</v>
      </c>
      <c r="I66" s="52">
        <f t="shared" si="30"/>
        <v>0</v>
      </c>
      <c r="J66" s="52"/>
      <c r="K66" s="129"/>
      <c r="L66" s="54">
        <f t="shared" si="31"/>
        <v>0</v>
      </c>
      <c r="M66" s="129"/>
      <c r="N66" s="54">
        <f t="shared" si="32"/>
        <v>0</v>
      </c>
      <c r="O66" s="54">
        <f t="shared" si="33"/>
        <v>0</v>
      </c>
      <c r="P66" s="1"/>
    </row>
    <row r="67" spans="1:16" ht="12.5">
      <c r="B67" s="7" t="str">
        <f t="shared" si="6"/>
        <v/>
      </c>
      <c r="C67" s="50">
        <f>IF(D11="","-",+C66+1)</f>
        <v>2058</v>
      </c>
      <c r="D67" s="55">
        <f>IF(F66+SUM(E$17:E66)=D$10,F66,D$10-SUM(E$17:E66))</f>
        <v>0</v>
      </c>
      <c r="E67" s="378">
        <f>IF(+I14&lt;F66,I14,D67)</f>
        <v>0</v>
      </c>
      <c r="F67" s="55">
        <f t="shared" si="29"/>
        <v>0</v>
      </c>
      <c r="G67" s="380">
        <f t="shared" si="27"/>
        <v>0</v>
      </c>
      <c r="H67" s="364">
        <f t="shared" si="28"/>
        <v>0</v>
      </c>
      <c r="I67" s="52">
        <f t="shared" si="30"/>
        <v>0</v>
      </c>
      <c r="J67" s="52"/>
      <c r="K67" s="129"/>
      <c r="L67" s="54">
        <f t="shared" si="31"/>
        <v>0</v>
      </c>
      <c r="M67" s="129"/>
      <c r="N67" s="54">
        <f t="shared" si="32"/>
        <v>0</v>
      </c>
      <c r="O67" s="54">
        <f t="shared" si="33"/>
        <v>0</v>
      </c>
      <c r="P67" s="1"/>
    </row>
    <row r="68" spans="1:16" ht="12.5">
      <c r="B68" s="7" t="str">
        <f t="shared" si="6"/>
        <v/>
      </c>
      <c r="C68" s="50">
        <f>IF(D11="","-",+C67+1)</f>
        <v>2059</v>
      </c>
      <c r="D68" s="55">
        <f>IF(F67+SUM(E$17:E67)=D$10,F67,D$10-SUM(E$17:E67))</f>
        <v>0</v>
      </c>
      <c r="E68" s="378">
        <f>IF(+I14&lt;F67,I14,D68)</f>
        <v>0</v>
      </c>
      <c r="F68" s="55">
        <f t="shared" si="29"/>
        <v>0</v>
      </c>
      <c r="G68" s="380">
        <f t="shared" si="27"/>
        <v>0</v>
      </c>
      <c r="H68" s="364">
        <f t="shared" si="28"/>
        <v>0</v>
      </c>
      <c r="I68" s="52">
        <f t="shared" si="30"/>
        <v>0</v>
      </c>
      <c r="J68" s="52"/>
      <c r="K68" s="129"/>
      <c r="L68" s="54">
        <f t="shared" si="31"/>
        <v>0</v>
      </c>
      <c r="M68" s="129"/>
      <c r="N68" s="54">
        <f t="shared" si="32"/>
        <v>0</v>
      </c>
      <c r="O68" s="54">
        <f t="shared" si="33"/>
        <v>0</v>
      </c>
      <c r="P68" s="1"/>
    </row>
    <row r="69" spans="1:16" ht="12.5">
      <c r="B69" s="7" t="str">
        <f t="shared" si="6"/>
        <v/>
      </c>
      <c r="C69" s="50">
        <f>IF(D11="","-",+C68+1)</f>
        <v>2060</v>
      </c>
      <c r="D69" s="55">
        <f>IF(F68+SUM(E$17:E68)=D$10,F68,D$10-SUM(E$17:E68))</f>
        <v>0</v>
      </c>
      <c r="E69" s="378">
        <f>IF(+I14&lt;F68,I14,D69)</f>
        <v>0</v>
      </c>
      <c r="F69" s="55">
        <f t="shared" si="29"/>
        <v>0</v>
      </c>
      <c r="G69" s="380">
        <f t="shared" si="27"/>
        <v>0</v>
      </c>
      <c r="H69" s="364">
        <f t="shared" si="28"/>
        <v>0</v>
      </c>
      <c r="I69" s="52">
        <f t="shared" si="30"/>
        <v>0</v>
      </c>
      <c r="J69" s="52"/>
      <c r="K69" s="129"/>
      <c r="L69" s="54">
        <f t="shared" si="31"/>
        <v>0</v>
      </c>
      <c r="M69" s="129"/>
      <c r="N69" s="54">
        <f t="shared" si="32"/>
        <v>0</v>
      </c>
      <c r="O69" s="54">
        <f t="shared" si="33"/>
        <v>0</v>
      </c>
      <c r="P69" s="1"/>
    </row>
    <row r="70" spans="1:16" ht="12.5">
      <c r="B70" s="7" t="str">
        <f t="shared" si="6"/>
        <v/>
      </c>
      <c r="C70" s="50">
        <f>IF(D11="","-",+C69+1)</f>
        <v>2061</v>
      </c>
      <c r="D70" s="55">
        <f>IF(F69+SUM(E$17:E69)=D$10,F69,D$10-SUM(E$17:E69))</f>
        <v>0</v>
      </c>
      <c r="E70" s="378">
        <f>IF(+I14&lt;F69,I14,D70)</f>
        <v>0</v>
      </c>
      <c r="F70" s="55">
        <f t="shared" si="29"/>
        <v>0</v>
      </c>
      <c r="G70" s="380">
        <f t="shared" si="27"/>
        <v>0</v>
      </c>
      <c r="H70" s="364">
        <f t="shared" si="28"/>
        <v>0</v>
      </c>
      <c r="I70" s="52">
        <f t="shared" si="30"/>
        <v>0</v>
      </c>
      <c r="J70" s="52"/>
      <c r="K70" s="129"/>
      <c r="L70" s="54">
        <f t="shared" si="31"/>
        <v>0</v>
      </c>
      <c r="M70" s="129"/>
      <c r="N70" s="54">
        <f t="shared" si="32"/>
        <v>0</v>
      </c>
      <c r="O70" s="54">
        <f t="shared" si="33"/>
        <v>0</v>
      </c>
      <c r="P70" s="1"/>
    </row>
    <row r="71" spans="1:16" ht="12.5">
      <c r="B71" s="7" t="str">
        <f t="shared" si="6"/>
        <v/>
      </c>
      <c r="C71" s="50">
        <f>IF(D11="","-",+C70+1)</f>
        <v>2062</v>
      </c>
      <c r="D71" s="55">
        <f>IF(F70+SUM(E$17:E70)=D$10,F70,D$10-SUM(E$17:E70))</f>
        <v>0</v>
      </c>
      <c r="E71" s="378">
        <f>IF(+I14&lt;F70,I14,D71)</f>
        <v>0</v>
      </c>
      <c r="F71" s="55">
        <f t="shared" si="29"/>
        <v>0</v>
      </c>
      <c r="G71" s="380">
        <f t="shared" si="27"/>
        <v>0</v>
      </c>
      <c r="H71" s="364">
        <f t="shared" si="28"/>
        <v>0</v>
      </c>
      <c r="I71" s="52">
        <f t="shared" si="30"/>
        <v>0</v>
      </c>
      <c r="J71" s="52"/>
      <c r="K71" s="129"/>
      <c r="L71" s="54">
        <f t="shared" si="31"/>
        <v>0</v>
      </c>
      <c r="M71" s="129"/>
      <c r="N71" s="54">
        <f t="shared" si="32"/>
        <v>0</v>
      </c>
      <c r="O71" s="54">
        <f t="shared" si="33"/>
        <v>0</v>
      </c>
      <c r="P71" s="1"/>
    </row>
    <row r="72" spans="1:16" ht="13" thickBot="1">
      <c r="B72" s="7" t="str">
        <f t="shared" si="6"/>
        <v/>
      </c>
      <c r="C72" s="59">
        <f>IF(D11="","-",+C71+1)</f>
        <v>2063</v>
      </c>
      <c r="D72" s="60">
        <f>IF(F71+SUM(E$17:E71)=D$10,F71,D$10-SUM(E$17:E71))</f>
        <v>0</v>
      </c>
      <c r="E72" s="381">
        <f>IF(+I14&lt;F71,I14,D72)</f>
        <v>0</v>
      </c>
      <c r="F72" s="60">
        <f t="shared" si="29"/>
        <v>0</v>
      </c>
      <c r="G72" s="382">
        <f t="shared" si="27"/>
        <v>0</v>
      </c>
      <c r="H72" s="362">
        <f t="shared" si="28"/>
        <v>0</v>
      </c>
      <c r="I72" s="63">
        <f t="shared" si="30"/>
        <v>0</v>
      </c>
      <c r="J72" s="52"/>
      <c r="K72" s="130"/>
      <c r="L72" s="64">
        <f t="shared" si="31"/>
        <v>0</v>
      </c>
      <c r="M72" s="130"/>
      <c r="N72" s="64">
        <f t="shared" si="32"/>
        <v>0</v>
      </c>
      <c r="O72" s="64">
        <f t="shared" si="33"/>
        <v>0</v>
      </c>
      <c r="P72" s="1"/>
    </row>
    <row r="73" spans="1:16" ht="12.5">
      <c r="C73" s="12" t="s">
        <v>78</v>
      </c>
      <c r="D73" s="293"/>
      <c r="E73" s="293">
        <f>SUM(E17:E72)</f>
        <v>9655696.9999999963</v>
      </c>
      <c r="F73" s="293"/>
      <c r="G73" s="293">
        <f>SUM(G17:G72)</f>
        <v>35682249.008567348</v>
      </c>
      <c r="H73" s="293">
        <f>SUM(H17:H72)</f>
        <v>35682249.008567348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7.5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8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933360.80237017514</v>
      </c>
      <c r="N87" s="387">
        <f>IF(J92&lt;D11,0,VLOOKUP(J92,C17:O72,11))</f>
        <v>933360.80237017514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978678.99873635999</v>
      </c>
      <c r="N88" s="390">
        <f>IF(J92&lt;D11,0,VLOOKUP(J92,C99:P154,7))</f>
        <v>978678.99873635999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Dyess to S. Fayetteville 69 kV Convert to 161 kV (multi-projects)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45318.196366184857</v>
      </c>
      <c r="N89" s="392">
        <f>+N88-N87</f>
        <v>45318.196366184857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TP2002085</v>
      </c>
      <c r="E91" s="76" t="str">
        <f>E9</f>
        <v xml:space="preserve">SPP Project ID = </v>
      </c>
      <c r="F91" s="463">
        <f>F9</f>
        <v>109</v>
      </c>
      <c r="G91" s="76"/>
      <c r="H91" s="76"/>
      <c r="I91" s="76"/>
      <c r="J91" s="95"/>
      <c r="Q91" s="1"/>
    </row>
    <row r="92" spans="1:17" ht="13">
      <c r="C92" s="34" t="s">
        <v>51</v>
      </c>
      <c r="D92" s="363">
        <f>D10</f>
        <v>9655697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  <c r="Q92" s="1"/>
    </row>
    <row r="93" spans="1:17" ht="12.5">
      <c r="C93" s="34" t="s">
        <v>54</v>
      </c>
      <c r="D93" s="88">
        <f>IF(D11=I10,"",D11)</f>
        <v>2008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4">
        <f>IF(D11=I10,"",D12)</f>
        <v>7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219447.65909090909</v>
      </c>
      <c r="K96" s="293"/>
      <c r="L96" s="293"/>
      <c r="M96" s="293"/>
      <c r="N96" s="293"/>
      <c r="O96" s="293"/>
      <c r="P96" s="1"/>
      <c r="Q96" s="1"/>
    </row>
    <row r="97" spans="1:17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0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 ht="12.5">
      <c r="C99" s="50">
        <f>IF(D93= "","-",D93)</f>
        <v>2008</v>
      </c>
      <c r="D99" s="133">
        <v>0</v>
      </c>
      <c r="E99" s="376">
        <v>71783</v>
      </c>
      <c r="F99" s="137">
        <v>6302584</v>
      </c>
      <c r="G99" s="140">
        <v>3151292</v>
      </c>
      <c r="H99" s="397">
        <v>574103</v>
      </c>
      <c r="I99" s="398">
        <v>574103</v>
      </c>
      <c r="J99" s="54">
        <f t="shared" ref="J99:J130" si="34">+I99-H99</f>
        <v>0</v>
      </c>
      <c r="K99" s="54"/>
      <c r="L99" s="112">
        <v>574103</v>
      </c>
      <c r="M99" s="53">
        <f t="shared" ref="M99:M130" si="35">IF(L99&lt;&gt;0,+H99-L99,0)</f>
        <v>0</v>
      </c>
      <c r="N99" s="112">
        <v>574103</v>
      </c>
      <c r="O99" s="53">
        <f t="shared" ref="O99:O130" si="36">IF(N99&lt;&gt;0,+I99-N99,0)</f>
        <v>0</v>
      </c>
      <c r="P99" s="53">
        <f t="shared" ref="P99:P130" si="37">+O99-M99</f>
        <v>0</v>
      </c>
      <c r="Q99" s="1"/>
    </row>
    <row r="100" spans="1:17" ht="12.5">
      <c r="B100" s="7" t="str">
        <f>IF(D100=F99,"","IU")</f>
        <v>IU</v>
      </c>
      <c r="C100" s="50">
        <f>IF(D93="","-",+C99+1)</f>
        <v>2009</v>
      </c>
      <c r="D100" s="133">
        <v>6334999</v>
      </c>
      <c r="E100" s="376">
        <v>168599</v>
      </c>
      <c r="F100" s="137">
        <v>6166399</v>
      </c>
      <c r="G100" s="137">
        <v>6250699</v>
      </c>
      <c r="H100" s="376">
        <v>1073311</v>
      </c>
      <c r="I100" s="375">
        <v>1073311</v>
      </c>
      <c r="J100" s="54">
        <f t="shared" si="34"/>
        <v>0</v>
      </c>
      <c r="K100" s="54"/>
      <c r="L100" s="113">
        <f t="shared" ref="L100:L105" si="38">H100</f>
        <v>1073311</v>
      </c>
      <c r="M100" s="54">
        <f t="shared" si="35"/>
        <v>0</v>
      </c>
      <c r="N100" s="113">
        <f t="shared" ref="N100:N105" si="39">I100</f>
        <v>1073311</v>
      </c>
      <c r="O100" s="54">
        <f t="shared" si="36"/>
        <v>0</v>
      </c>
      <c r="P100" s="54">
        <f t="shared" si="37"/>
        <v>0</v>
      </c>
      <c r="Q100" s="1"/>
    </row>
    <row r="101" spans="1:17" ht="12.5">
      <c r="B101" s="7" t="str">
        <f t="shared" ref="B101:B154" si="40">IF(D101=F100,"","IU")</f>
        <v>IU</v>
      </c>
      <c r="C101" s="50">
        <f>IF(D93="","-",+C100+1)</f>
        <v>2010</v>
      </c>
      <c r="D101" s="133">
        <v>9415315</v>
      </c>
      <c r="E101" s="376">
        <v>235504.80487804877</v>
      </c>
      <c r="F101" s="137">
        <v>9179810.1951219514</v>
      </c>
      <c r="G101" s="137">
        <v>9297562.5975609757</v>
      </c>
      <c r="H101" s="376">
        <v>1770402.9873066382</v>
      </c>
      <c r="I101" s="375">
        <v>1770402.9873066382</v>
      </c>
      <c r="J101" s="54">
        <f t="shared" si="34"/>
        <v>0</v>
      </c>
      <c r="K101" s="54"/>
      <c r="L101" s="113">
        <f t="shared" si="38"/>
        <v>1770402.9873066382</v>
      </c>
      <c r="M101" s="54">
        <f t="shared" si="35"/>
        <v>0</v>
      </c>
      <c r="N101" s="113">
        <f t="shared" si="39"/>
        <v>1770402.9873066382</v>
      </c>
      <c r="O101" s="54">
        <f t="shared" si="36"/>
        <v>0</v>
      </c>
      <c r="P101" s="54">
        <f t="shared" si="37"/>
        <v>0</v>
      </c>
      <c r="Q101" s="1"/>
    </row>
    <row r="102" spans="1:17" ht="12.5">
      <c r="B102" s="7" t="str">
        <f t="shared" si="40"/>
        <v/>
      </c>
      <c r="C102" s="50">
        <f>IF(D93="","-",+C101+1)</f>
        <v>2011</v>
      </c>
      <c r="D102" s="133">
        <v>9179810.1951219514</v>
      </c>
      <c r="E102" s="377">
        <v>229897.54761904763</v>
      </c>
      <c r="F102" s="137">
        <v>8949912.6475029029</v>
      </c>
      <c r="G102" s="137">
        <v>9064861.4213124271</v>
      </c>
      <c r="H102" s="376">
        <v>1593070.5131617924</v>
      </c>
      <c r="I102" s="375">
        <v>1593070.5131617924</v>
      </c>
      <c r="J102" s="54">
        <f t="shared" si="34"/>
        <v>0</v>
      </c>
      <c r="K102" s="54"/>
      <c r="L102" s="113">
        <f t="shared" si="38"/>
        <v>1593070.5131617924</v>
      </c>
      <c r="M102" s="54">
        <f t="shared" si="35"/>
        <v>0</v>
      </c>
      <c r="N102" s="113">
        <f t="shared" si="39"/>
        <v>1593070.5131617924</v>
      </c>
      <c r="O102" s="54">
        <f t="shared" si="36"/>
        <v>0</v>
      </c>
      <c r="P102" s="54">
        <f t="shared" si="37"/>
        <v>0</v>
      </c>
      <c r="Q102" s="1"/>
    </row>
    <row r="103" spans="1:17" ht="12.5">
      <c r="B103" s="7" t="str">
        <f t="shared" si="40"/>
        <v/>
      </c>
      <c r="C103" s="50">
        <f>IF(D93="","-",+C102+1)</f>
        <v>2012</v>
      </c>
      <c r="D103" s="133">
        <v>8949912.6475029029</v>
      </c>
      <c r="E103" s="376">
        <v>229897.54761904763</v>
      </c>
      <c r="F103" s="137">
        <v>8720015.0998838544</v>
      </c>
      <c r="G103" s="137">
        <v>8834963.8736933786</v>
      </c>
      <c r="H103" s="376">
        <v>1529997.2189099854</v>
      </c>
      <c r="I103" s="375">
        <v>1529997.2189099854</v>
      </c>
      <c r="J103" s="54">
        <f t="shared" si="34"/>
        <v>0</v>
      </c>
      <c r="K103" s="54"/>
      <c r="L103" s="113">
        <f t="shared" si="38"/>
        <v>1529997.2189099854</v>
      </c>
      <c r="M103" s="54">
        <f t="shared" si="35"/>
        <v>0</v>
      </c>
      <c r="N103" s="113">
        <f t="shared" si="39"/>
        <v>1529997.2189099854</v>
      </c>
      <c r="O103" s="54">
        <f t="shared" si="36"/>
        <v>0</v>
      </c>
      <c r="P103" s="54">
        <f t="shared" si="37"/>
        <v>0</v>
      </c>
      <c r="Q103" s="1"/>
    </row>
    <row r="104" spans="1:17" ht="12.5">
      <c r="B104" s="7" t="str">
        <f t="shared" si="40"/>
        <v/>
      </c>
      <c r="C104" s="50">
        <f>IF(D93="","-",+C103+1)</f>
        <v>2013</v>
      </c>
      <c r="D104" s="133">
        <v>8720015.0998838544</v>
      </c>
      <c r="E104" s="376">
        <v>229897.54761904763</v>
      </c>
      <c r="F104" s="137">
        <v>8490117.5522648059</v>
      </c>
      <c r="G104" s="137">
        <v>8605066.3260743301</v>
      </c>
      <c r="H104" s="376">
        <v>1394091.6193593477</v>
      </c>
      <c r="I104" s="375">
        <v>1394091.6193593477</v>
      </c>
      <c r="J104" s="54">
        <v>0</v>
      </c>
      <c r="K104" s="54"/>
      <c r="L104" s="113">
        <f t="shared" si="38"/>
        <v>1394091.6193593477</v>
      </c>
      <c r="M104" s="54">
        <f t="shared" ref="M104:M109" si="41">IF(L104&lt;&gt;0,+H104-L104,0)</f>
        <v>0</v>
      </c>
      <c r="N104" s="113">
        <f t="shared" si="39"/>
        <v>1394091.6193593477</v>
      </c>
      <c r="O104" s="54">
        <f t="shared" ref="O104:O109" si="42">IF(N104&lt;&gt;0,+I104-N104,0)</f>
        <v>0</v>
      </c>
      <c r="P104" s="54">
        <f t="shared" ref="P104:P109" si="43">+O104-M104</f>
        <v>0</v>
      </c>
      <c r="Q104" s="1"/>
    </row>
    <row r="105" spans="1:17" ht="12.5">
      <c r="B105" s="7" t="str">
        <f t="shared" si="40"/>
        <v/>
      </c>
      <c r="C105" s="50">
        <f>IF(D93="","-",+C104+1)</f>
        <v>2014</v>
      </c>
      <c r="D105" s="133">
        <v>8490117.5522648059</v>
      </c>
      <c r="E105" s="376">
        <v>229897.54761904763</v>
      </c>
      <c r="F105" s="137">
        <v>8260220.0046457583</v>
      </c>
      <c r="G105" s="137">
        <v>8375168.7784552816</v>
      </c>
      <c r="H105" s="376">
        <v>1368279.4640981164</v>
      </c>
      <c r="I105" s="375">
        <v>1368279.4640981164</v>
      </c>
      <c r="J105" s="54">
        <v>0</v>
      </c>
      <c r="K105" s="54"/>
      <c r="L105" s="113">
        <f t="shared" si="38"/>
        <v>1368279.4640981164</v>
      </c>
      <c r="M105" s="54">
        <f t="shared" si="41"/>
        <v>0</v>
      </c>
      <c r="N105" s="113">
        <f t="shared" si="39"/>
        <v>1368279.4640981164</v>
      </c>
      <c r="O105" s="54">
        <f t="shared" si="42"/>
        <v>0</v>
      </c>
      <c r="P105" s="54">
        <f t="shared" si="43"/>
        <v>0</v>
      </c>
      <c r="Q105" s="1"/>
    </row>
    <row r="106" spans="1:17" ht="12.5">
      <c r="B106" s="7" t="str">
        <f t="shared" si="40"/>
        <v/>
      </c>
      <c r="C106" s="50">
        <f>IF(D93="","-",+C105+1)</f>
        <v>2015</v>
      </c>
      <c r="D106" s="133">
        <v>8260220.0046457583</v>
      </c>
      <c r="E106" s="376">
        <v>229897.54761904763</v>
      </c>
      <c r="F106" s="137">
        <v>8030322.4570267107</v>
      </c>
      <c r="G106" s="137">
        <v>8145271.230836235</v>
      </c>
      <c r="H106" s="376">
        <v>1303190.7976937878</v>
      </c>
      <c r="I106" s="375">
        <v>1303190.7976937878</v>
      </c>
      <c r="J106" s="54">
        <f t="shared" si="34"/>
        <v>0</v>
      </c>
      <c r="K106" s="54"/>
      <c r="L106" s="113">
        <f t="shared" ref="L106:L111" si="44">H106</f>
        <v>1303190.7976937878</v>
      </c>
      <c r="M106" s="54">
        <f t="shared" si="41"/>
        <v>0</v>
      </c>
      <c r="N106" s="113">
        <f t="shared" ref="N106:N111" si="45">I106</f>
        <v>1303190.7976937878</v>
      </c>
      <c r="O106" s="54">
        <f t="shared" si="42"/>
        <v>0</v>
      </c>
      <c r="P106" s="54">
        <f t="shared" si="43"/>
        <v>0</v>
      </c>
      <c r="Q106" s="1"/>
    </row>
    <row r="107" spans="1:17" ht="12.5">
      <c r="B107" s="7" t="str">
        <f t="shared" si="40"/>
        <v/>
      </c>
      <c r="C107" s="50">
        <f>IF(D93="","-",+C106+1)</f>
        <v>2016</v>
      </c>
      <c r="D107" s="133">
        <v>8030322.4570267107</v>
      </c>
      <c r="E107" s="376">
        <v>224551.09302325582</v>
      </c>
      <c r="F107" s="137">
        <v>7805771.3640034553</v>
      </c>
      <c r="G107" s="137">
        <v>7918046.910515083</v>
      </c>
      <c r="H107" s="376">
        <v>1229747.055579846</v>
      </c>
      <c r="I107" s="375">
        <v>1229747.055579846</v>
      </c>
      <c r="J107" s="54">
        <f t="shared" si="34"/>
        <v>0</v>
      </c>
      <c r="K107" s="54"/>
      <c r="L107" s="113">
        <f t="shared" si="44"/>
        <v>1229747.055579846</v>
      </c>
      <c r="M107" s="54">
        <f t="shared" si="41"/>
        <v>0</v>
      </c>
      <c r="N107" s="113">
        <f t="shared" si="45"/>
        <v>1229747.055579846</v>
      </c>
      <c r="O107" s="54">
        <f t="shared" si="42"/>
        <v>0</v>
      </c>
      <c r="P107" s="54">
        <f t="shared" si="43"/>
        <v>0</v>
      </c>
      <c r="Q107" s="1"/>
    </row>
    <row r="108" spans="1:17" ht="12.5">
      <c r="B108" s="7" t="str">
        <f t="shared" si="40"/>
        <v/>
      </c>
      <c r="C108" s="50">
        <f>IF(D93="","-",+C107+1)</f>
        <v>2017</v>
      </c>
      <c r="D108" s="133">
        <v>7805771.3640034553</v>
      </c>
      <c r="E108" s="376">
        <v>229897.54761904763</v>
      </c>
      <c r="F108" s="137">
        <v>7575873.8163844077</v>
      </c>
      <c r="G108" s="137">
        <v>7690822.590193931</v>
      </c>
      <c r="H108" s="376">
        <v>1164112.978438803</v>
      </c>
      <c r="I108" s="375">
        <v>1164112.978438803</v>
      </c>
      <c r="J108" s="54">
        <f t="shared" si="34"/>
        <v>0</v>
      </c>
      <c r="K108" s="54"/>
      <c r="L108" s="113">
        <f t="shared" si="44"/>
        <v>1164112.978438803</v>
      </c>
      <c r="M108" s="54">
        <f t="shared" si="41"/>
        <v>0</v>
      </c>
      <c r="N108" s="113">
        <f t="shared" si="45"/>
        <v>1164112.978438803</v>
      </c>
      <c r="O108" s="54">
        <f t="shared" si="42"/>
        <v>0</v>
      </c>
      <c r="P108" s="54">
        <f t="shared" si="43"/>
        <v>0</v>
      </c>
      <c r="Q108" s="1"/>
    </row>
    <row r="109" spans="1:17" ht="12.5">
      <c r="B109" s="7" t="str">
        <f t="shared" si="40"/>
        <v/>
      </c>
      <c r="C109" s="50">
        <f>IF(D93="","-",+C108+1)</f>
        <v>2018</v>
      </c>
      <c r="D109" s="133">
        <v>7575873.8163844077</v>
      </c>
      <c r="E109" s="376">
        <v>229897.54761904763</v>
      </c>
      <c r="F109" s="137">
        <v>7345976.2687653601</v>
      </c>
      <c r="G109" s="137">
        <v>7460925.0425748844</v>
      </c>
      <c r="H109" s="376">
        <v>1017805.4465726623</v>
      </c>
      <c r="I109" s="375">
        <v>1017805.4465726623</v>
      </c>
      <c r="J109" s="54">
        <f t="shared" si="34"/>
        <v>0</v>
      </c>
      <c r="K109" s="54"/>
      <c r="L109" s="113">
        <f t="shared" si="44"/>
        <v>1017805.4465726623</v>
      </c>
      <c r="M109" s="54">
        <f t="shared" si="41"/>
        <v>0</v>
      </c>
      <c r="N109" s="113">
        <f t="shared" si="45"/>
        <v>1017805.4465726623</v>
      </c>
      <c r="O109" s="54">
        <f t="shared" si="42"/>
        <v>0</v>
      </c>
      <c r="P109" s="54">
        <f t="shared" si="43"/>
        <v>0</v>
      </c>
      <c r="Q109" s="1"/>
    </row>
    <row r="110" spans="1:17" ht="12.5">
      <c r="B110" s="7" t="str">
        <f t="shared" si="40"/>
        <v/>
      </c>
      <c r="C110" s="50">
        <f>IF(D93="","-",+C109+1)</f>
        <v>2019</v>
      </c>
      <c r="D110" s="133">
        <v>7345976.2687653601</v>
      </c>
      <c r="E110" s="376">
        <v>224551.09302325582</v>
      </c>
      <c r="F110" s="137">
        <v>7121425.1757421046</v>
      </c>
      <c r="G110" s="137">
        <v>7233700.7222537324</v>
      </c>
      <c r="H110" s="376">
        <v>998850.37185500155</v>
      </c>
      <c r="I110" s="375">
        <v>998850.37185500155</v>
      </c>
      <c r="J110" s="54">
        <f t="shared" si="34"/>
        <v>0</v>
      </c>
      <c r="K110" s="54"/>
      <c r="L110" s="113">
        <f t="shared" si="44"/>
        <v>998850.37185500155</v>
      </c>
      <c r="M110" s="54">
        <f t="shared" ref="M110" si="46">IF(L110&lt;&gt;0,+H110-L110,0)</f>
        <v>0</v>
      </c>
      <c r="N110" s="113">
        <f t="shared" si="45"/>
        <v>998850.37185500155</v>
      </c>
      <c r="O110" s="54">
        <f t="shared" si="36"/>
        <v>0</v>
      </c>
      <c r="P110" s="54">
        <f t="shared" si="37"/>
        <v>0</v>
      </c>
      <c r="Q110" s="1"/>
    </row>
    <row r="111" spans="1:17" ht="12.5">
      <c r="B111" s="7" t="str">
        <f t="shared" si="40"/>
        <v/>
      </c>
      <c r="C111" s="50">
        <f>IF(D93="","-",+C110+1)</f>
        <v>2020</v>
      </c>
      <c r="D111" s="133">
        <v>7121425.1757421046</v>
      </c>
      <c r="E111" s="376">
        <v>229897.54761904763</v>
      </c>
      <c r="F111" s="137">
        <v>6891527.6281230571</v>
      </c>
      <c r="G111" s="137">
        <v>7006476.4019325804</v>
      </c>
      <c r="H111" s="376">
        <v>983611.06650091335</v>
      </c>
      <c r="I111" s="375">
        <v>983611.06650091335</v>
      </c>
      <c r="J111" s="54">
        <f t="shared" si="34"/>
        <v>0</v>
      </c>
      <c r="K111" s="54"/>
      <c r="L111" s="113">
        <f t="shared" si="44"/>
        <v>983611.06650091335</v>
      </c>
      <c r="M111" s="54">
        <f t="shared" ref="M111" si="47">IF(L111&lt;&gt;0,+H111-L111,0)</f>
        <v>0</v>
      </c>
      <c r="N111" s="113">
        <f t="shared" si="45"/>
        <v>983611.06650091335</v>
      </c>
      <c r="O111" s="54">
        <f t="shared" si="36"/>
        <v>0</v>
      </c>
      <c r="P111" s="54">
        <f t="shared" si="37"/>
        <v>0</v>
      </c>
      <c r="Q111" s="1"/>
    </row>
    <row r="112" spans="1:17" ht="12.5">
      <c r="B112" s="7" t="str">
        <f t="shared" si="40"/>
        <v/>
      </c>
      <c r="C112" s="50">
        <f>IF(D93="","-",+C111+1)</f>
        <v>2021</v>
      </c>
      <c r="D112" s="133">
        <v>6891527.6281230571</v>
      </c>
      <c r="E112" s="376">
        <v>235504.80487804877</v>
      </c>
      <c r="F112" s="137">
        <v>6656022.8232450085</v>
      </c>
      <c r="G112" s="137">
        <v>6773775.2256840328</v>
      </c>
      <c r="H112" s="376">
        <v>1004424.6592380304</v>
      </c>
      <c r="I112" s="375">
        <v>1004424.6592380304</v>
      </c>
      <c r="J112" s="54">
        <f t="shared" si="34"/>
        <v>0</v>
      </c>
      <c r="K112" s="54"/>
      <c r="L112" s="113">
        <f t="shared" ref="L112" si="48">H112</f>
        <v>1004424.6592380304</v>
      </c>
      <c r="M112" s="54">
        <f t="shared" ref="M112" si="49">IF(L112&lt;&gt;0,+H112-L112,0)</f>
        <v>0</v>
      </c>
      <c r="N112" s="113">
        <f t="shared" ref="N112" si="50">I112</f>
        <v>1004424.6592380304</v>
      </c>
      <c r="O112" s="54">
        <f t="shared" si="36"/>
        <v>0</v>
      </c>
      <c r="P112" s="54">
        <f t="shared" si="37"/>
        <v>0</v>
      </c>
      <c r="Q112" s="1"/>
    </row>
    <row r="113" spans="2:17" ht="12.5">
      <c r="B113" s="7" t="str">
        <f t="shared" si="40"/>
        <v/>
      </c>
      <c r="C113" s="50">
        <f>IF(D93="","-",+C112+1)</f>
        <v>2022</v>
      </c>
      <c r="D113" s="133">
        <v>6656022.8232450085</v>
      </c>
      <c r="E113" s="376">
        <v>229897.54761904763</v>
      </c>
      <c r="F113" s="137">
        <v>6426125.2756259609</v>
      </c>
      <c r="G113" s="137">
        <v>6541074.0494354852</v>
      </c>
      <c r="H113" s="376">
        <v>998197.99664642895</v>
      </c>
      <c r="I113" s="375">
        <v>998197.99664642895</v>
      </c>
      <c r="J113" s="54">
        <f t="shared" si="34"/>
        <v>0</v>
      </c>
      <c r="K113" s="54"/>
      <c r="L113" s="113">
        <f t="shared" ref="L113" si="51">H113</f>
        <v>998197.99664642895</v>
      </c>
      <c r="M113" s="54">
        <f t="shared" ref="M113" si="52">IF(L113&lt;&gt;0,+H113-L113,0)</f>
        <v>0</v>
      </c>
      <c r="N113" s="113">
        <f t="shared" ref="N113" si="53">I113</f>
        <v>998197.99664642895</v>
      </c>
      <c r="O113" s="54">
        <f t="shared" ref="O113" si="54">IF(N113&lt;&gt;0,+I113-N113,0)</f>
        <v>0</v>
      </c>
      <c r="P113" s="54">
        <f t="shared" ref="P113" si="55">+O113-M113</f>
        <v>0</v>
      </c>
      <c r="Q113" s="1"/>
    </row>
    <row r="114" spans="2:17" ht="12.5">
      <c r="B114" s="7" t="str">
        <f t="shared" si="40"/>
        <v/>
      </c>
      <c r="C114" s="50">
        <f>IF(D93="","-",+C113+1)</f>
        <v>2023</v>
      </c>
      <c r="D114" s="133">
        <v>6426125.2756259609</v>
      </c>
      <c r="E114" s="376">
        <v>219447.65909090909</v>
      </c>
      <c r="F114" s="137">
        <v>6206677.6165350517</v>
      </c>
      <c r="G114" s="137">
        <v>6316401.4460805058</v>
      </c>
      <c r="H114" s="376">
        <v>998670.8785636815</v>
      </c>
      <c r="I114" s="375">
        <v>998670.8785636815</v>
      </c>
      <c r="J114" s="54">
        <f t="shared" si="34"/>
        <v>0</v>
      </c>
      <c r="K114" s="54"/>
      <c r="L114" s="113">
        <f t="shared" ref="L114" si="56">H114</f>
        <v>998670.8785636815</v>
      </c>
      <c r="M114" s="54">
        <f t="shared" ref="M114" si="57">IF(L114&lt;&gt;0,+H114-L114,0)</f>
        <v>0</v>
      </c>
      <c r="N114" s="113">
        <f t="shared" ref="N114" si="58">I114</f>
        <v>998670.8785636815</v>
      </c>
      <c r="O114" s="54">
        <f t="shared" ref="O114" si="59">IF(N114&lt;&gt;0,+I114-N114,0)</f>
        <v>0</v>
      </c>
      <c r="P114" s="54">
        <f t="shared" ref="P114" si="60">+O114-M114</f>
        <v>0</v>
      </c>
      <c r="Q114" s="1"/>
    </row>
    <row r="115" spans="2:17" ht="12.5">
      <c r="B115" s="7" t="str">
        <f t="shared" si="40"/>
        <v/>
      </c>
      <c r="C115" s="50">
        <f>IF(D93="","-",+C114+1)</f>
        <v>2024</v>
      </c>
      <c r="D115" s="12">
        <f>IF(F114+SUM(E$99:E114)=D$92,F114,D$92-SUM(E$99:E114))</f>
        <v>6206677.6165350517</v>
      </c>
      <c r="E115" s="378">
        <f>IF(+J96&lt;F114,J96,D115)</f>
        <v>219447.65909090909</v>
      </c>
      <c r="F115" s="55">
        <f t="shared" ref="F115:F130" si="61">+D115-E115</f>
        <v>5987229.9574441426</v>
      </c>
      <c r="G115" s="55">
        <f t="shared" ref="G115:G130" si="62">+(F115+D115)/2</f>
        <v>6096953.7869895976</v>
      </c>
      <c r="H115" s="380">
        <f t="shared" ref="H115:H154" si="63">+J$94*G115+E115</f>
        <v>978678.99873635999</v>
      </c>
      <c r="I115" s="399">
        <f t="shared" ref="I115:I154" si="64">+J$95*G115+E115</f>
        <v>978678.99873635999</v>
      </c>
      <c r="J115" s="54">
        <f t="shared" si="34"/>
        <v>0</v>
      </c>
      <c r="K115" s="54"/>
      <c r="L115" s="129"/>
      <c r="M115" s="54">
        <f t="shared" si="35"/>
        <v>0</v>
      </c>
      <c r="N115" s="129"/>
      <c r="O115" s="54">
        <f t="shared" si="36"/>
        <v>0</v>
      </c>
      <c r="P115" s="54">
        <f t="shared" si="37"/>
        <v>0</v>
      </c>
      <c r="Q115" s="1"/>
    </row>
    <row r="116" spans="2:17" ht="12.5">
      <c r="B116" s="7" t="str">
        <f t="shared" si="40"/>
        <v/>
      </c>
      <c r="C116" s="50">
        <f>IF(D93="","-",+C115+1)</f>
        <v>2025</v>
      </c>
      <c r="D116" s="12">
        <f>IF(F115+SUM(E$99:E115)=D$92,F115,D$92-SUM(E$99:E115))</f>
        <v>5987229.9574441426</v>
      </c>
      <c r="E116" s="378">
        <f>IF(+J96&lt;F115,J96,D116)</f>
        <v>219447.65909090909</v>
      </c>
      <c r="F116" s="55">
        <f t="shared" si="61"/>
        <v>5767782.2983532334</v>
      </c>
      <c r="G116" s="55">
        <f t="shared" si="62"/>
        <v>5877506.1278986875</v>
      </c>
      <c r="H116" s="380">
        <f t="shared" si="63"/>
        <v>951351.98494970717</v>
      </c>
      <c r="I116" s="399">
        <f t="shared" si="64"/>
        <v>951351.98494970717</v>
      </c>
      <c r="J116" s="54">
        <f t="shared" si="34"/>
        <v>0</v>
      </c>
      <c r="K116" s="54"/>
      <c r="L116" s="129"/>
      <c r="M116" s="54">
        <f t="shared" si="35"/>
        <v>0</v>
      </c>
      <c r="N116" s="129"/>
      <c r="O116" s="54">
        <f t="shared" si="36"/>
        <v>0</v>
      </c>
      <c r="P116" s="54">
        <f t="shared" si="37"/>
        <v>0</v>
      </c>
      <c r="Q116" s="1"/>
    </row>
    <row r="117" spans="2:17" ht="12.5">
      <c r="B117" s="7" t="str">
        <f t="shared" si="40"/>
        <v/>
      </c>
      <c r="C117" s="50">
        <f>IF(D93="","-",+C116+1)</f>
        <v>2026</v>
      </c>
      <c r="D117" s="12">
        <f>IF(F116+SUM(E$99:E116)=D$92,F116,D$92-SUM(E$99:E116))</f>
        <v>5767782.2983532334</v>
      </c>
      <c r="E117" s="378">
        <f>IF(+J96&lt;F116,J96,D117)</f>
        <v>219447.65909090909</v>
      </c>
      <c r="F117" s="55">
        <f t="shared" si="61"/>
        <v>5548334.6392623242</v>
      </c>
      <c r="G117" s="55">
        <f t="shared" si="62"/>
        <v>5658058.4688077793</v>
      </c>
      <c r="H117" s="380">
        <f t="shared" si="63"/>
        <v>924024.97116305458</v>
      </c>
      <c r="I117" s="399">
        <f t="shared" si="64"/>
        <v>924024.97116305458</v>
      </c>
      <c r="J117" s="54">
        <f t="shared" si="34"/>
        <v>0</v>
      </c>
      <c r="K117" s="54"/>
      <c r="L117" s="129"/>
      <c r="M117" s="54">
        <f t="shared" si="35"/>
        <v>0</v>
      </c>
      <c r="N117" s="129"/>
      <c r="O117" s="54">
        <f t="shared" si="36"/>
        <v>0</v>
      </c>
      <c r="P117" s="54">
        <f t="shared" si="37"/>
        <v>0</v>
      </c>
      <c r="Q117" s="1"/>
    </row>
    <row r="118" spans="2:17" ht="12.5">
      <c r="B118" s="7" t="str">
        <f t="shared" si="40"/>
        <v/>
      </c>
      <c r="C118" s="50">
        <f>IF(D93="","-",+C117+1)</f>
        <v>2027</v>
      </c>
      <c r="D118" s="12">
        <f>IF(F117+SUM(E$99:E117)=D$92,F117,D$92-SUM(E$99:E117))</f>
        <v>5548334.6392623242</v>
      </c>
      <c r="E118" s="378">
        <f>IF(+J96&lt;F117,J96,D118)</f>
        <v>219447.65909090909</v>
      </c>
      <c r="F118" s="55">
        <f t="shared" si="61"/>
        <v>5328886.980171415</v>
      </c>
      <c r="G118" s="55">
        <f t="shared" si="62"/>
        <v>5438610.8097168691</v>
      </c>
      <c r="H118" s="380">
        <f t="shared" si="63"/>
        <v>896697.95737640176</v>
      </c>
      <c r="I118" s="399">
        <f t="shared" si="64"/>
        <v>896697.95737640176</v>
      </c>
      <c r="J118" s="54">
        <f t="shared" si="34"/>
        <v>0</v>
      </c>
      <c r="K118" s="54"/>
      <c r="L118" s="129"/>
      <c r="M118" s="54">
        <f t="shared" si="35"/>
        <v>0</v>
      </c>
      <c r="N118" s="129"/>
      <c r="O118" s="54">
        <f t="shared" si="36"/>
        <v>0</v>
      </c>
      <c r="P118" s="54">
        <f t="shared" si="37"/>
        <v>0</v>
      </c>
      <c r="Q118" s="1"/>
    </row>
    <row r="119" spans="2:17" ht="12.5">
      <c r="B119" s="7" t="str">
        <f t="shared" si="40"/>
        <v/>
      </c>
      <c r="C119" s="50">
        <f>IF(D93="","-",+C118+1)</f>
        <v>2028</v>
      </c>
      <c r="D119" s="12">
        <f>IF(F118+SUM(E$99:E118)=D$92,F118,D$92-SUM(E$99:E118))</f>
        <v>5328886.980171415</v>
      </c>
      <c r="E119" s="378">
        <f>IF(+J96&lt;F118,J96,D119)</f>
        <v>219447.65909090909</v>
      </c>
      <c r="F119" s="55">
        <f t="shared" si="61"/>
        <v>5109439.3210805058</v>
      </c>
      <c r="G119" s="55">
        <f t="shared" si="62"/>
        <v>5219163.1506259609</v>
      </c>
      <c r="H119" s="380">
        <f t="shared" si="63"/>
        <v>869370.94358974916</v>
      </c>
      <c r="I119" s="399">
        <f t="shared" si="64"/>
        <v>869370.94358974916</v>
      </c>
      <c r="J119" s="54">
        <f t="shared" si="34"/>
        <v>0</v>
      </c>
      <c r="K119" s="54"/>
      <c r="L119" s="129"/>
      <c r="M119" s="54">
        <f t="shared" si="35"/>
        <v>0</v>
      </c>
      <c r="N119" s="129"/>
      <c r="O119" s="54">
        <f t="shared" si="36"/>
        <v>0</v>
      </c>
      <c r="P119" s="54">
        <f t="shared" si="37"/>
        <v>0</v>
      </c>
      <c r="Q119" s="1"/>
    </row>
    <row r="120" spans="2:17" ht="12.5">
      <c r="B120" s="7" t="str">
        <f t="shared" si="40"/>
        <v/>
      </c>
      <c r="C120" s="50">
        <f>IF(D93="","-",+C119+1)</f>
        <v>2029</v>
      </c>
      <c r="D120" s="12">
        <f>IF(F119+SUM(E$99:E119)=D$92,F119,D$92-SUM(E$99:E119))</f>
        <v>5109439.3210805058</v>
      </c>
      <c r="E120" s="378">
        <f>IF(+J96&lt;F119,J96,D120)</f>
        <v>219447.65909090909</v>
      </c>
      <c r="F120" s="55">
        <f t="shared" si="61"/>
        <v>4889991.6619895967</v>
      </c>
      <c r="G120" s="55">
        <f t="shared" si="62"/>
        <v>4999715.4915350508</v>
      </c>
      <c r="H120" s="380">
        <f t="shared" si="63"/>
        <v>842043.92980309634</v>
      </c>
      <c r="I120" s="399">
        <f t="shared" si="64"/>
        <v>842043.92980309634</v>
      </c>
      <c r="J120" s="54">
        <f t="shared" si="34"/>
        <v>0</v>
      </c>
      <c r="K120" s="54"/>
      <c r="L120" s="129"/>
      <c r="M120" s="54">
        <f t="shared" si="35"/>
        <v>0</v>
      </c>
      <c r="N120" s="129"/>
      <c r="O120" s="54">
        <f t="shared" si="36"/>
        <v>0</v>
      </c>
      <c r="P120" s="54">
        <f t="shared" si="37"/>
        <v>0</v>
      </c>
      <c r="Q120" s="1"/>
    </row>
    <row r="121" spans="2:17" ht="12.5">
      <c r="B121" s="7" t="str">
        <f t="shared" si="40"/>
        <v/>
      </c>
      <c r="C121" s="50">
        <f>IF(D93="","-",+C120+1)</f>
        <v>2030</v>
      </c>
      <c r="D121" s="12">
        <f>IF(F120+SUM(E$99:E120)=D$92,F120,D$92-SUM(E$99:E120))</f>
        <v>4889991.6619895967</v>
      </c>
      <c r="E121" s="378">
        <f>IF(+J96&lt;F120,J96,D121)</f>
        <v>219447.65909090909</v>
      </c>
      <c r="F121" s="55">
        <f t="shared" si="61"/>
        <v>4670544.0028986875</v>
      </c>
      <c r="G121" s="55">
        <f t="shared" si="62"/>
        <v>4780267.8324441426</v>
      </c>
      <c r="H121" s="380">
        <f t="shared" si="63"/>
        <v>814716.91601644363</v>
      </c>
      <c r="I121" s="399">
        <f t="shared" si="64"/>
        <v>814716.91601644363</v>
      </c>
      <c r="J121" s="54">
        <f t="shared" si="34"/>
        <v>0</v>
      </c>
      <c r="K121" s="54"/>
      <c r="L121" s="129"/>
      <c r="M121" s="54">
        <f t="shared" si="35"/>
        <v>0</v>
      </c>
      <c r="N121" s="129"/>
      <c r="O121" s="54">
        <f t="shared" si="36"/>
        <v>0</v>
      </c>
      <c r="P121" s="54">
        <f t="shared" si="37"/>
        <v>0</v>
      </c>
      <c r="Q121" s="1"/>
    </row>
    <row r="122" spans="2:17" ht="12.5">
      <c r="B122" s="7" t="str">
        <f t="shared" si="40"/>
        <v/>
      </c>
      <c r="C122" s="50">
        <f>IF(D93="","-",+C121+1)</f>
        <v>2031</v>
      </c>
      <c r="D122" s="12">
        <f>IF(F121+SUM(E$99:E121)=D$92,F121,D$92-SUM(E$99:E121))</f>
        <v>4670544.0028986875</v>
      </c>
      <c r="E122" s="378">
        <f>IF(+J96&lt;F121,J96,D122)</f>
        <v>219447.65909090909</v>
      </c>
      <c r="F122" s="55">
        <f t="shared" si="61"/>
        <v>4451096.3438077783</v>
      </c>
      <c r="G122" s="55">
        <f t="shared" si="62"/>
        <v>4560820.1733532324</v>
      </c>
      <c r="H122" s="380">
        <f t="shared" si="63"/>
        <v>787389.90222979081</v>
      </c>
      <c r="I122" s="399">
        <f t="shared" si="64"/>
        <v>787389.90222979081</v>
      </c>
      <c r="J122" s="54">
        <f t="shared" si="34"/>
        <v>0</v>
      </c>
      <c r="K122" s="54"/>
      <c r="L122" s="129"/>
      <c r="M122" s="54">
        <f t="shared" si="35"/>
        <v>0</v>
      </c>
      <c r="N122" s="129"/>
      <c r="O122" s="54">
        <f t="shared" si="36"/>
        <v>0</v>
      </c>
      <c r="P122" s="54">
        <f t="shared" si="37"/>
        <v>0</v>
      </c>
      <c r="Q122" s="1"/>
    </row>
    <row r="123" spans="2:17" ht="12.5">
      <c r="B123" s="7" t="str">
        <f t="shared" si="40"/>
        <v/>
      </c>
      <c r="C123" s="50">
        <f>IF(D93="","-",+C122+1)</f>
        <v>2032</v>
      </c>
      <c r="D123" s="12">
        <f>IF(F122+SUM(E$99:E122)=D$92,F122,D$92-SUM(E$99:E122))</f>
        <v>4451096.3438077783</v>
      </c>
      <c r="E123" s="378">
        <f>IF(+J96&lt;F122,J96,D123)</f>
        <v>219447.65909090909</v>
      </c>
      <c r="F123" s="55">
        <f t="shared" si="61"/>
        <v>4231648.6847168691</v>
      </c>
      <c r="G123" s="55">
        <f t="shared" si="62"/>
        <v>4341372.5142623242</v>
      </c>
      <c r="H123" s="380">
        <f t="shared" si="63"/>
        <v>760062.88844313822</v>
      </c>
      <c r="I123" s="399">
        <f t="shared" si="64"/>
        <v>760062.88844313822</v>
      </c>
      <c r="J123" s="54">
        <f t="shared" si="34"/>
        <v>0</v>
      </c>
      <c r="K123" s="54"/>
      <c r="L123" s="129"/>
      <c r="M123" s="54">
        <f t="shared" si="35"/>
        <v>0</v>
      </c>
      <c r="N123" s="129"/>
      <c r="O123" s="54">
        <f t="shared" si="36"/>
        <v>0</v>
      </c>
      <c r="P123" s="54">
        <f t="shared" si="37"/>
        <v>0</v>
      </c>
      <c r="Q123" s="1"/>
    </row>
    <row r="124" spans="2:17" ht="12.5">
      <c r="B124" s="7" t="str">
        <f t="shared" si="40"/>
        <v/>
      </c>
      <c r="C124" s="50">
        <f>IF(D93="","-",+C123+1)</f>
        <v>2033</v>
      </c>
      <c r="D124" s="12">
        <f>IF(F123+SUM(E$99:E123)=D$92,F123,D$92-SUM(E$99:E123))</f>
        <v>4231648.6847168691</v>
      </c>
      <c r="E124" s="378">
        <f>IF(+J96&lt;F123,J96,D124)</f>
        <v>219447.65909090909</v>
      </c>
      <c r="F124" s="55">
        <f t="shared" si="61"/>
        <v>4012201.02562596</v>
      </c>
      <c r="G124" s="55">
        <f t="shared" si="62"/>
        <v>4121924.8551714146</v>
      </c>
      <c r="H124" s="380">
        <f t="shared" si="63"/>
        <v>732735.87465648551</v>
      </c>
      <c r="I124" s="399">
        <f t="shared" si="64"/>
        <v>732735.87465648551</v>
      </c>
      <c r="J124" s="54">
        <f t="shared" si="34"/>
        <v>0</v>
      </c>
      <c r="K124" s="54"/>
      <c r="L124" s="129"/>
      <c r="M124" s="54">
        <f t="shared" si="35"/>
        <v>0</v>
      </c>
      <c r="N124" s="129"/>
      <c r="O124" s="54">
        <f t="shared" si="36"/>
        <v>0</v>
      </c>
      <c r="P124" s="54">
        <f t="shared" si="37"/>
        <v>0</v>
      </c>
      <c r="Q124" s="1"/>
    </row>
    <row r="125" spans="2:17" ht="12.5">
      <c r="B125" s="7" t="str">
        <f t="shared" si="40"/>
        <v/>
      </c>
      <c r="C125" s="50">
        <f>IF(D93="","-",+C124+1)</f>
        <v>2034</v>
      </c>
      <c r="D125" s="12">
        <f>IF(F124+SUM(E$99:E124)=D$92,F124,D$92-SUM(E$99:E124))</f>
        <v>4012201.02562596</v>
      </c>
      <c r="E125" s="378">
        <f>IF(+J96&lt;F124,J96,D125)</f>
        <v>219447.65909090909</v>
      </c>
      <c r="F125" s="55">
        <f t="shared" si="61"/>
        <v>3792753.3665350508</v>
      </c>
      <c r="G125" s="55">
        <f t="shared" si="62"/>
        <v>3902477.1960805054</v>
      </c>
      <c r="H125" s="380">
        <f t="shared" si="63"/>
        <v>705408.8608698328</v>
      </c>
      <c r="I125" s="399">
        <f t="shared" si="64"/>
        <v>705408.8608698328</v>
      </c>
      <c r="J125" s="54">
        <f t="shared" si="34"/>
        <v>0</v>
      </c>
      <c r="K125" s="54"/>
      <c r="L125" s="129"/>
      <c r="M125" s="54">
        <f t="shared" si="35"/>
        <v>0</v>
      </c>
      <c r="N125" s="129"/>
      <c r="O125" s="54">
        <f t="shared" si="36"/>
        <v>0</v>
      </c>
      <c r="P125" s="54">
        <f t="shared" si="37"/>
        <v>0</v>
      </c>
      <c r="Q125" s="1"/>
    </row>
    <row r="126" spans="2:17" ht="12.5">
      <c r="B126" s="7" t="str">
        <f t="shared" si="40"/>
        <v/>
      </c>
      <c r="C126" s="50">
        <f>IF(D93="","-",+C125+1)</f>
        <v>2035</v>
      </c>
      <c r="D126" s="12">
        <f>IF(F125+SUM(E$99:E125)=D$92,F125,D$92-SUM(E$99:E125))</f>
        <v>3792753.3665350508</v>
      </c>
      <c r="E126" s="378">
        <f>IF(+J96&lt;F125,J96,D126)</f>
        <v>219447.65909090909</v>
      </c>
      <c r="F126" s="55">
        <f t="shared" si="61"/>
        <v>3573305.7074441416</v>
      </c>
      <c r="G126" s="55">
        <f t="shared" si="62"/>
        <v>3683029.5369895962</v>
      </c>
      <c r="H126" s="380">
        <f t="shared" si="63"/>
        <v>678081.8470831801</v>
      </c>
      <c r="I126" s="399">
        <f t="shared" si="64"/>
        <v>678081.8470831801</v>
      </c>
      <c r="J126" s="54">
        <f t="shared" si="34"/>
        <v>0</v>
      </c>
      <c r="K126" s="54"/>
      <c r="L126" s="129"/>
      <c r="M126" s="54">
        <f t="shared" si="35"/>
        <v>0</v>
      </c>
      <c r="N126" s="129"/>
      <c r="O126" s="54">
        <f t="shared" si="36"/>
        <v>0</v>
      </c>
      <c r="P126" s="54">
        <f t="shared" si="37"/>
        <v>0</v>
      </c>
      <c r="Q126" s="1"/>
    </row>
    <row r="127" spans="2:17" ht="12.5">
      <c r="B127" s="7" t="str">
        <f t="shared" si="40"/>
        <v/>
      </c>
      <c r="C127" s="50">
        <f>IF(D93="","-",+C126+1)</f>
        <v>2036</v>
      </c>
      <c r="D127" s="12">
        <f>IF(F126+SUM(E$99:E126)=D$92,F126,D$92-SUM(E$99:E126))</f>
        <v>3573305.7074441416</v>
      </c>
      <c r="E127" s="378">
        <f>IF(+J96&lt;F126,J96,D127)</f>
        <v>219447.65909090909</v>
      </c>
      <c r="F127" s="55">
        <f t="shared" si="61"/>
        <v>3353858.0483532324</v>
      </c>
      <c r="G127" s="55">
        <f t="shared" si="62"/>
        <v>3463581.877898687</v>
      </c>
      <c r="H127" s="380">
        <f t="shared" si="63"/>
        <v>650754.83329652739</v>
      </c>
      <c r="I127" s="399">
        <f t="shared" si="64"/>
        <v>650754.83329652739</v>
      </c>
      <c r="J127" s="54">
        <f t="shared" si="34"/>
        <v>0</v>
      </c>
      <c r="K127" s="54"/>
      <c r="L127" s="129"/>
      <c r="M127" s="54">
        <f t="shared" si="35"/>
        <v>0</v>
      </c>
      <c r="N127" s="129"/>
      <c r="O127" s="54">
        <f t="shared" si="36"/>
        <v>0</v>
      </c>
      <c r="P127" s="54">
        <f t="shared" si="37"/>
        <v>0</v>
      </c>
      <c r="Q127" s="1"/>
    </row>
    <row r="128" spans="2:17" ht="12.5">
      <c r="B128" s="7" t="str">
        <f t="shared" si="40"/>
        <v/>
      </c>
      <c r="C128" s="50">
        <f>IF(D93="","-",+C127+1)</f>
        <v>2037</v>
      </c>
      <c r="D128" s="12">
        <f>IF(F127+SUM(E$99:E127)=D$92,F127,D$92-SUM(E$99:E127))</f>
        <v>3353858.0483532324</v>
      </c>
      <c r="E128" s="378">
        <f>IF(+J96&lt;F127,J96,D128)</f>
        <v>219447.65909090909</v>
      </c>
      <c r="F128" s="55">
        <f t="shared" si="61"/>
        <v>3134410.3892623233</v>
      </c>
      <c r="G128" s="55">
        <f t="shared" si="62"/>
        <v>3244134.2188077779</v>
      </c>
      <c r="H128" s="380">
        <f t="shared" si="63"/>
        <v>623427.81950987468</v>
      </c>
      <c r="I128" s="399">
        <f t="shared" si="64"/>
        <v>623427.81950987468</v>
      </c>
      <c r="J128" s="54">
        <f t="shared" si="34"/>
        <v>0</v>
      </c>
      <c r="K128" s="54"/>
      <c r="L128" s="129"/>
      <c r="M128" s="54">
        <f t="shared" si="35"/>
        <v>0</v>
      </c>
      <c r="N128" s="129"/>
      <c r="O128" s="54">
        <f t="shared" si="36"/>
        <v>0</v>
      </c>
      <c r="P128" s="54">
        <f t="shared" si="37"/>
        <v>0</v>
      </c>
      <c r="Q128" s="1"/>
    </row>
    <row r="129" spans="2:17" ht="12.5">
      <c r="B129" s="7" t="str">
        <f t="shared" si="40"/>
        <v/>
      </c>
      <c r="C129" s="50">
        <f>IF(D93="","-",+C128+1)</f>
        <v>2038</v>
      </c>
      <c r="D129" s="12">
        <f>IF(F128+SUM(E$99:E128)=D$92,F128,D$92-SUM(E$99:E128))</f>
        <v>3134410.3892623233</v>
      </c>
      <c r="E129" s="378">
        <f>IF(+J96&lt;F128,J96,D129)</f>
        <v>219447.65909090909</v>
      </c>
      <c r="F129" s="55">
        <f t="shared" si="61"/>
        <v>2914962.7301714141</v>
      </c>
      <c r="G129" s="55">
        <f t="shared" si="62"/>
        <v>3024686.5597168687</v>
      </c>
      <c r="H129" s="380">
        <f t="shared" si="63"/>
        <v>596100.80572322197</v>
      </c>
      <c r="I129" s="399">
        <f t="shared" si="64"/>
        <v>596100.80572322197</v>
      </c>
      <c r="J129" s="54">
        <f t="shared" si="34"/>
        <v>0</v>
      </c>
      <c r="K129" s="54"/>
      <c r="L129" s="129"/>
      <c r="M129" s="54">
        <f t="shared" si="35"/>
        <v>0</v>
      </c>
      <c r="N129" s="129"/>
      <c r="O129" s="54">
        <f t="shared" si="36"/>
        <v>0</v>
      </c>
      <c r="P129" s="54">
        <f t="shared" si="37"/>
        <v>0</v>
      </c>
      <c r="Q129" s="1"/>
    </row>
    <row r="130" spans="2:17" ht="12.5">
      <c r="B130" s="7" t="str">
        <f t="shared" si="40"/>
        <v/>
      </c>
      <c r="C130" s="50">
        <f>IF(D93="","-",+C129+1)</f>
        <v>2039</v>
      </c>
      <c r="D130" s="12">
        <f>IF(F129+SUM(E$99:E129)=D$92,F129,D$92-SUM(E$99:E129))</f>
        <v>2914962.7301714141</v>
      </c>
      <c r="E130" s="378">
        <f>IF(+J96&lt;F129,J96,D130)</f>
        <v>219447.65909090909</v>
      </c>
      <c r="F130" s="55">
        <f t="shared" si="61"/>
        <v>2695515.0710805049</v>
      </c>
      <c r="G130" s="55">
        <f t="shared" si="62"/>
        <v>2805238.9006259595</v>
      </c>
      <c r="H130" s="380">
        <f t="shared" si="63"/>
        <v>568773.79193656927</v>
      </c>
      <c r="I130" s="399">
        <f t="shared" si="64"/>
        <v>568773.79193656927</v>
      </c>
      <c r="J130" s="54">
        <f t="shared" si="34"/>
        <v>0</v>
      </c>
      <c r="K130" s="54"/>
      <c r="L130" s="129"/>
      <c r="M130" s="54">
        <f t="shared" si="35"/>
        <v>0</v>
      </c>
      <c r="N130" s="129"/>
      <c r="O130" s="54">
        <f t="shared" si="36"/>
        <v>0</v>
      </c>
      <c r="P130" s="54">
        <f t="shared" si="37"/>
        <v>0</v>
      </c>
      <c r="Q130" s="1"/>
    </row>
    <row r="131" spans="2:17" ht="12.5">
      <c r="B131" s="7" t="str">
        <f t="shared" si="40"/>
        <v/>
      </c>
      <c r="C131" s="50">
        <f>IF(D93="","-",+C130+1)</f>
        <v>2040</v>
      </c>
      <c r="D131" s="12">
        <f>IF(F130+SUM(E$99:E130)=D$92,F130,D$92-SUM(E$99:E130))</f>
        <v>2695515.0710805049</v>
      </c>
      <c r="E131" s="378">
        <f>IF(+J96&lt;F130,J96,D131)</f>
        <v>219447.65909090909</v>
      </c>
      <c r="F131" s="55">
        <f t="shared" ref="F131:F154" si="65">+D131-E131</f>
        <v>2476067.4119895957</v>
      </c>
      <c r="G131" s="55">
        <f t="shared" ref="G131:G154" si="66">+(F131+D131)/2</f>
        <v>2585791.2415350503</v>
      </c>
      <c r="H131" s="380">
        <f t="shared" si="63"/>
        <v>541446.77814991656</v>
      </c>
      <c r="I131" s="399">
        <f t="shared" si="64"/>
        <v>541446.77814991656</v>
      </c>
      <c r="J131" s="54">
        <f t="shared" ref="J131:J154" si="67">+I131-H131</f>
        <v>0</v>
      </c>
      <c r="K131" s="54"/>
      <c r="L131" s="129"/>
      <c r="M131" s="54">
        <f t="shared" ref="M131:M154" si="68">IF(L131&lt;&gt;0,+H131-L131,0)</f>
        <v>0</v>
      </c>
      <c r="N131" s="129"/>
      <c r="O131" s="54">
        <f t="shared" ref="O131:O154" si="69">IF(N131&lt;&gt;0,+I131-N131,0)</f>
        <v>0</v>
      </c>
      <c r="P131" s="54">
        <f t="shared" ref="P131:P154" si="70">+O131-M131</f>
        <v>0</v>
      </c>
      <c r="Q131" s="1"/>
    </row>
    <row r="132" spans="2:17" ht="12.5">
      <c r="B132" s="7" t="str">
        <f t="shared" si="40"/>
        <v/>
      </c>
      <c r="C132" s="50">
        <f>IF(D93="","-",+C131+1)</f>
        <v>2041</v>
      </c>
      <c r="D132" s="12">
        <f>IF(F131+SUM(E$99:E131)=D$92,F131,D$92-SUM(E$99:E131))</f>
        <v>2476067.4119895957</v>
      </c>
      <c r="E132" s="378">
        <f>IF(+J96&lt;F131,J96,D132)</f>
        <v>219447.65909090909</v>
      </c>
      <c r="F132" s="55">
        <f t="shared" si="65"/>
        <v>2256619.7528986866</v>
      </c>
      <c r="G132" s="55">
        <f t="shared" si="66"/>
        <v>2366343.5824441412</v>
      </c>
      <c r="H132" s="380">
        <f t="shared" si="63"/>
        <v>514119.76436326385</v>
      </c>
      <c r="I132" s="399">
        <f t="shared" si="64"/>
        <v>514119.76436326385</v>
      </c>
      <c r="J132" s="54">
        <f t="shared" si="67"/>
        <v>0</v>
      </c>
      <c r="K132" s="54"/>
      <c r="L132" s="129"/>
      <c r="M132" s="54">
        <f t="shared" si="68"/>
        <v>0</v>
      </c>
      <c r="N132" s="129"/>
      <c r="O132" s="54">
        <f t="shared" si="69"/>
        <v>0</v>
      </c>
      <c r="P132" s="54">
        <f t="shared" si="70"/>
        <v>0</v>
      </c>
      <c r="Q132" s="1"/>
    </row>
    <row r="133" spans="2:17" ht="12.5">
      <c r="B133" s="7" t="str">
        <f t="shared" si="40"/>
        <v/>
      </c>
      <c r="C133" s="50">
        <f>IF(D93="","-",+C132+1)</f>
        <v>2042</v>
      </c>
      <c r="D133" s="12">
        <f>IF(F132+SUM(E$99:E132)=D$92,F132,D$92-SUM(E$99:E132))</f>
        <v>2256619.7528986866</v>
      </c>
      <c r="E133" s="378">
        <f>IF(+J96&lt;F132,J96,D133)</f>
        <v>219447.65909090909</v>
      </c>
      <c r="F133" s="55">
        <f t="shared" si="65"/>
        <v>2037172.0938077774</v>
      </c>
      <c r="G133" s="55">
        <f t="shared" si="66"/>
        <v>2146895.923353232</v>
      </c>
      <c r="H133" s="380">
        <f t="shared" si="63"/>
        <v>486792.75057661114</v>
      </c>
      <c r="I133" s="399">
        <f t="shared" si="64"/>
        <v>486792.75057661114</v>
      </c>
      <c r="J133" s="54">
        <f t="shared" si="67"/>
        <v>0</v>
      </c>
      <c r="K133" s="54"/>
      <c r="L133" s="129"/>
      <c r="M133" s="54">
        <f t="shared" si="68"/>
        <v>0</v>
      </c>
      <c r="N133" s="129"/>
      <c r="O133" s="54">
        <f t="shared" si="69"/>
        <v>0</v>
      </c>
      <c r="P133" s="54">
        <f t="shared" si="70"/>
        <v>0</v>
      </c>
      <c r="Q133" s="1"/>
    </row>
    <row r="134" spans="2:17" ht="12.5">
      <c r="B134" s="7" t="str">
        <f t="shared" si="40"/>
        <v/>
      </c>
      <c r="C134" s="50">
        <f>IF(D93="","-",+C133+1)</f>
        <v>2043</v>
      </c>
      <c r="D134" s="12">
        <f>IF(F133+SUM(E$99:E133)=D$92,F133,D$92-SUM(E$99:E133))</f>
        <v>2037172.0938077774</v>
      </c>
      <c r="E134" s="378">
        <f>IF(+J96&lt;F133,J96,D134)</f>
        <v>219447.65909090909</v>
      </c>
      <c r="F134" s="55">
        <f t="shared" si="65"/>
        <v>1817724.4347168682</v>
      </c>
      <c r="G134" s="55">
        <f t="shared" si="66"/>
        <v>1927448.2642623228</v>
      </c>
      <c r="H134" s="380">
        <f t="shared" si="63"/>
        <v>459465.73678995844</v>
      </c>
      <c r="I134" s="399">
        <f t="shared" si="64"/>
        <v>459465.73678995844</v>
      </c>
      <c r="J134" s="54">
        <f t="shared" si="67"/>
        <v>0</v>
      </c>
      <c r="K134" s="54"/>
      <c r="L134" s="129"/>
      <c r="M134" s="54">
        <f t="shared" si="68"/>
        <v>0</v>
      </c>
      <c r="N134" s="129"/>
      <c r="O134" s="54">
        <f t="shared" si="69"/>
        <v>0</v>
      </c>
      <c r="P134" s="54">
        <f t="shared" si="70"/>
        <v>0</v>
      </c>
      <c r="Q134" s="1"/>
    </row>
    <row r="135" spans="2:17" ht="12.5">
      <c r="B135" s="7" t="str">
        <f t="shared" si="40"/>
        <v/>
      </c>
      <c r="C135" s="50">
        <f>IF(D93="","-",+C134+1)</f>
        <v>2044</v>
      </c>
      <c r="D135" s="12">
        <f>IF(F134+SUM(E$99:E134)=D$92,F134,D$92-SUM(E$99:E134))</f>
        <v>1817724.4347168682</v>
      </c>
      <c r="E135" s="378">
        <f>IF(+J96&lt;F134,J96,D135)</f>
        <v>219447.65909090909</v>
      </c>
      <c r="F135" s="55">
        <f t="shared" si="65"/>
        <v>1598276.775625959</v>
      </c>
      <c r="G135" s="55">
        <f t="shared" si="66"/>
        <v>1708000.6051714136</v>
      </c>
      <c r="H135" s="380">
        <f t="shared" si="63"/>
        <v>432138.72300330573</v>
      </c>
      <c r="I135" s="399">
        <f t="shared" si="64"/>
        <v>432138.72300330573</v>
      </c>
      <c r="J135" s="54">
        <f t="shared" si="67"/>
        <v>0</v>
      </c>
      <c r="K135" s="54"/>
      <c r="L135" s="129"/>
      <c r="M135" s="54">
        <f t="shared" si="68"/>
        <v>0</v>
      </c>
      <c r="N135" s="129"/>
      <c r="O135" s="54">
        <f t="shared" si="69"/>
        <v>0</v>
      </c>
      <c r="P135" s="54">
        <f t="shared" si="70"/>
        <v>0</v>
      </c>
      <c r="Q135" s="1"/>
    </row>
    <row r="136" spans="2:17" ht="12.5">
      <c r="B136" s="7" t="str">
        <f t="shared" si="40"/>
        <v/>
      </c>
      <c r="C136" s="50">
        <f>IF(D93="","-",+C135+1)</f>
        <v>2045</v>
      </c>
      <c r="D136" s="12">
        <f>IF(F135+SUM(E$99:E135)=D$92,F135,D$92-SUM(E$99:E135))</f>
        <v>1598276.775625959</v>
      </c>
      <c r="E136" s="378">
        <f>IF(+J96&lt;F135,J96,D136)</f>
        <v>219447.65909090909</v>
      </c>
      <c r="F136" s="55">
        <f t="shared" si="65"/>
        <v>1378829.1165350499</v>
      </c>
      <c r="G136" s="55">
        <f t="shared" si="66"/>
        <v>1488552.9460805045</v>
      </c>
      <c r="H136" s="380">
        <f t="shared" si="63"/>
        <v>404811.70921665302</v>
      </c>
      <c r="I136" s="399">
        <f t="shared" si="64"/>
        <v>404811.70921665302</v>
      </c>
      <c r="J136" s="54">
        <f t="shared" si="67"/>
        <v>0</v>
      </c>
      <c r="K136" s="54"/>
      <c r="L136" s="129"/>
      <c r="M136" s="54">
        <f t="shared" si="68"/>
        <v>0</v>
      </c>
      <c r="N136" s="129"/>
      <c r="O136" s="54">
        <f t="shared" si="69"/>
        <v>0</v>
      </c>
      <c r="P136" s="54">
        <f t="shared" si="70"/>
        <v>0</v>
      </c>
      <c r="Q136" s="1"/>
    </row>
    <row r="137" spans="2:17" ht="12.5">
      <c r="B137" s="7" t="str">
        <f t="shared" si="40"/>
        <v/>
      </c>
      <c r="C137" s="50">
        <f>IF(D93="","-",+C136+1)</f>
        <v>2046</v>
      </c>
      <c r="D137" s="12">
        <f>IF(F136+SUM(E$99:E136)=D$92,F136,D$92-SUM(E$99:E136))</f>
        <v>1378829.1165350499</v>
      </c>
      <c r="E137" s="378">
        <f>IF(+J96&lt;F136,J96,D137)</f>
        <v>219447.65909090909</v>
      </c>
      <c r="F137" s="55">
        <f t="shared" si="65"/>
        <v>1159381.4574441407</v>
      </c>
      <c r="G137" s="55">
        <f t="shared" si="66"/>
        <v>1269105.2869895953</v>
      </c>
      <c r="H137" s="380">
        <f t="shared" si="63"/>
        <v>377484.69543000031</v>
      </c>
      <c r="I137" s="399">
        <f t="shared" si="64"/>
        <v>377484.69543000031</v>
      </c>
      <c r="J137" s="54">
        <f t="shared" si="67"/>
        <v>0</v>
      </c>
      <c r="K137" s="54"/>
      <c r="L137" s="129"/>
      <c r="M137" s="54">
        <f t="shared" si="68"/>
        <v>0</v>
      </c>
      <c r="N137" s="129"/>
      <c r="O137" s="54">
        <f t="shared" si="69"/>
        <v>0</v>
      </c>
      <c r="P137" s="54">
        <f t="shared" si="70"/>
        <v>0</v>
      </c>
      <c r="Q137" s="1"/>
    </row>
    <row r="138" spans="2:17" ht="12.5">
      <c r="B138" s="7" t="str">
        <f t="shared" si="40"/>
        <v/>
      </c>
      <c r="C138" s="50">
        <f>IF(D93="","-",+C137+1)</f>
        <v>2047</v>
      </c>
      <c r="D138" s="12">
        <f>IF(F137+SUM(E$99:E137)=D$92,F137,D$92-SUM(E$99:E137))</f>
        <v>1159381.4574441407</v>
      </c>
      <c r="E138" s="378">
        <f>IF(+J96&lt;F137,J96,D138)</f>
        <v>219447.65909090909</v>
      </c>
      <c r="F138" s="55">
        <f t="shared" si="65"/>
        <v>939933.79835323163</v>
      </c>
      <c r="G138" s="55">
        <f t="shared" si="66"/>
        <v>1049657.6278986861</v>
      </c>
      <c r="H138" s="380">
        <f t="shared" si="63"/>
        <v>350157.68164334761</v>
      </c>
      <c r="I138" s="399">
        <f t="shared" si="64"/>
        <v>350157.68164334761</v>
      </c>
      <c r="J138" s="54">
        <f t="shared" si="67"/>
        <v>0</v>
      </c>
      <c r="K138" s="54"/>
      <c r="L138" s="129"/>
      <c r="M138" s="54">
        <f t="shared" si="68"/>
        <v>0</v>
      </c>
      <c r="N138" s="129"/>
      <c r="O138" s="54">
        <f t="shared" si="69"/>
        <v>0</v>
      </c>
      <c r="P138" s="54">
        <f t="shared" si="70"/>
        <v>0</v>
      </c>
      <c r="Q138" s="1"/>
    </row>
    <row r="139" spans="2:17" ht="12.5">
      <c r="B139" s="7" t="str">
        <f t="shared" si="40"/>
        <v/>
      </c>
      <c r="C139" s="50">
        <f>IF(D93="","-",+C138+1)</f>
        <v>2048</v>
      </c>
      <c r="D139" s="12">
        <f>IF(F138+SUM(E$99:E138)=D$92,F138,D$92-SUM(E$99:E138))</f>
        <v>939933.79835323163</v>
      </c>
      <c r="E139" s="378">
        <f>IF(+J96&lt;F138,J96,D139)</f>
        <v>219447.65909090909</v>
      </c>
      <c r="F139" s="55">
        <f t="shared" si="65"/>
        <v>720486.13926232257</v>
      </c>
      <c r="G139" s="55">
        <f t="shared" si="66"/>
        <v>830209.96880777716</v>
      </c>
      <c r="H139" s="380">
        <f t="shared" si="63"/>
        <v>322830.6678566949</v>
      </c>
      <c r="I139" s="399">
        <f t="shared" si="64"/>
        <v>322830.6678566949</v>
      </c>
      <c r="J139" s="54">
        <f t="shared" si="67"/>
        <v>0</v>
      </c>
      <c r="K139" s="54"/>
      <c r="L139" s="129"/>
      <c r="M139" s="54">
        <f t="shared" si="68"/>
        <v>0</v>
      </c>
      <c r="N139" s="129"/>
      <c r="O139" s="54">
        <f t="shared" si="69"/>
        <v>0</v>
      </c>
      <c r="P139" s="54">
        <f t="shared" si="70"/>
        <v>0</v>
      </c>
      <c r="Q139" s="1"/>
    </row>
    <row r="140" spans="2:17" ht="12.5">
      <c r="B140" s="7" t="str">
        <f t="shared" si="40"/>
        <v/>
      </c>
      <c r="C140" s="50">
        <f>IF(D93="","-",+C139+1)</f>
        <v>2049</v>
      </c>
      <c r="D140" s="12">
        <f>IF(F139+SUM(E$99:E139)=D$92,F139,D$92-SUM(E$99:E139))</f>
        <v>720486.13926232257</v>
      </c>
      <c r="E140" s="378">
        <f>IF(+J96&lt;F139,J96,D140)</f>
        <v>219447.65909090909</v>
      </c>
      <c r="F140" s="55">
        <f t="shared" si="65"/>
        <v>501038.48017141351</v>
      </c>
      <c r="G140" s="55">
        <f t="shared" si="66"/>
        <v>610762.30971686798</v>
      </c>
      <c r="H140" s="380">
        <f t="shared" si="63"/>
        <v>295503.65407004219</v>
      </c>
      <c r="I140" s="399">
        <f t="shared" si="64"/>
        <v>295503.65407004219</v>
      </c>
      <c r="J140" s="54">
        <f t="shared" si="67"/>
        <v>0</v>
      </c>
      <c r="K140" s="54"/>
      <c r="L140" s="129"/>
      <c r="M140" s="54">
        <f t="shared" si="68"/>
        <v>0</v>
      </c>
      <c r="N140" s="129"/>
      <c r="O140" s="54">
        <f t="shared" si="69"/>
        <v>0</v>
      </c>
      <c r="P140" s="54">
        <f t="shared" si="70"/>
        <v>0</v>
      </c>
      <c r="Q140" s="1"/>
    </row>
    <row r="141" spans="2:17" ht="12.5">
      <c r="B141" s="7" t="str">
        <f t="shared" si="40"/>
        <v/>
      </c>
      <c r="C141" s="50">
        <f>IF(D93="","-",+C140+1)</f>
        <v>2050</v>
      </c>
      <c r="D141" s="12">
        <f>IF(F140+SUM(E$99:E140)=D$92,F140,D$92-SUM(E$99:E140))</f>
        <v>501038.48017141351</v>
      </c>
      <c r="E141" s="378">
        <f>IF(+J96&lt;F140,J96,D141)</f>
        <v>219447.65909090909</v>
      </c>
      <c r="F141" s="55">
        <f t="shared" si="65"/>
        <v>281590.82108050445</v>
      </c>
      <c r="G141" s="55">
        <f t="shared" si="66"/>
        <v>391314.65062595898</v>
      </c>
      <c r="H141" s="380">
        <f t="shared" si="63"/>
        <v>268176.64028338948</v>
      </c>
      <c r="I141" s="399">
        <f t="shared" si="64"/>
        <v>268176.64028338948</v>
      </c>
      <c r="J141" s="54">
        <f t="shared" si="67"/>
        <v>0</v>
      </c>
      <c r="K141" s="54"/>
      <c r="L141" s="129"/>
      <c r="M141" s="54">
        <f t="shared" si="68"/>
        <v>0</v>
      </c>
      <c r="N141" s="129"/>
      <c r="O141" s="54">
        <f t="shared" si="69"/>
        <v>0</v>
      </c>
      <c r="P141" s="54">
        <f t="shared" si="70"/>
        <v>0</v>
      </c>
      <c r="Q141" s="1"/>
    </row>
    <row r="142" spans="2:17" ht="12.5">
      <c r="B142" s="7" t="str">
        <f t="shared" si="40"/>
        <v>IU</v>
      </c>
      <c r="C142" s="50">
        <f>IF(D93="","-",+C141+1)</f>
        <v>2051</v>
      </c>
      <c r="D142" s="12">
        <f>IF(F141+SUM(E$99:E141)=D$92,F141,D$92-SUM(E$99:E141))</f>
        <v>281590.82108050957</v>
      </c>
      <c r="E142" s="378">
        <f>IF(+J96&lt;F141,J96,D142)</f>
        <v>219447.65909090909</v>
      </c>
      <c r="F142" s="55">
        <f t="shared" si="65"/>
        <v>62143.161989600485</v>
      </c>
      <c r="G142" s="55">
        <f t="shared" si="66"/>
        <v>171866.99153505504</v>
      </c>
      <c r="H142" s="380">
        <f t="shared" si="63"/>
        <v>240849.62649673747</v>
      </c>
      <c r="I142" s="399">
        <f t="shared" si="64"/>
        <v>240849.62649673747</v>
      </c>
      <c r="J142" s="54">
        <f t="shared" si="67"/>
        <v>0</v>
      </c>
      <c r="K142" s="54"/>
      <c r="L142" s="129"/>
      <c r="M142" s="54">
        <f t="shared" si="68"/>
        <v>0</v>
      </c>
      <c r="N142" s="129"/>
      <c r="O142" s="54">
        <f t="shared" si="69"/>
        <v>0</v>
      </c>
      <c r="P142" s="54">
        <f t="shared" si="70"/>
        <v>0</v>
      </c>
      <c r="Q142" s="1"/>
    </row>
    <row r="143" spans="2:17" ht="12.5">
      <c r="B143" s="7" t="str">
        <f t="shared" si="40"/>
        <v/>
      </c>
      <c r="C143" s="50">
        <f>IF(D93="","-",+C142+1)</f>
        <v>2052</v>
      </c>
      <c r="D143" s="12">
        <f>IF(F142+SUM(E$99:E142)=D$92,F142,D$92-SUM(E$99:E142))</f>
        <v>62143.161989600485</v>
      </c>
      <c r="E143" s="378">
        <f>IF(+J96&lt;F142,J96,D143)</f>
        <v>62143.161989600485</v>
      </c>
      <c r="F143" s="55">
        <f t="shared" si="65"/>
        <v>0</v>
      </c>
      <c r="G143" s="55">
        <f t="shared" si="66"/>
        <v>31071.580994800242</v>
      </c>
      <c r="H143" s="380">
        <f t="shared" si="63"/>
        <v>66012.392245851501</v>
      </c>
      <c r="I143" s="399">
        <f t="shared" si="64"/>
        <v>66012.392245851501</v>
      </c>
      <c r="J143" s="54">
        <f t="shared" si="67"/>
        <v>0</v>
      </c>
      <c r="K143" s="54"/>
      <c r="L143" s="129"/>
      <c r="M143" s="54">
        <f t="shared" si="68"/>
        <v>0</v>
      </c>
      <c r="N143" s="129"/>
      <c r="O143" s="54">
        <f t="shared" si="69"/>
        <v>0</v>
      </c>
      <c r="P143" s="54">
        <f t="shared" si="70"/>
        <v>0</v>
      </c>
      <c r="Q143" s="1"/>
    </row>
    <row r="144" spans="2:17" ht="12.5">
      <c r="B144" s="7" t="str">
        <f t="shared" si="40"/>
        <v/>
      </c>
      <c r="C144" s="50">
        <f>IF(D93="","-",+C143+1)</f>
        <v>2053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65"/>
        <v>0</v>
      </c>
      <c r="G144" s="55">
        <f t="shared" si="66"/>
        <v>0</v>
      </c>
      <c r="H144" s="380">
        <f t="shared" si="63"/>
        <v>0</v>
      </c>
      <c r="I144" s="399">
        <f t="shared" si="64"/>
        <v>0</v>
      </c>
      <c r="J144" s="54">
        <f t="shared" si="67"/>
        <v>0</v>
      </c>
      <c r="K144" s="54"/>
      <c r="L144" s="129"/>
      <c r="M144" s="54">
        <f t="shared" si="68"/>
        <v>0</v>
      </c>
      <c r="N144" s="129"/>
      <c r="O144" s="54">
        <f t="shared" si="69"/>
        <v>0</v>
      </c>
      <c r="P144" s="54">
        <f t="shared" si="70"/>
        <v>0</v>
      </c>
      <c r="Q144" s="1"/>
    </row>
    <row r="145" spans="2:17" ht="12.5">
      <c r="B145" s="7" t="str">
        <f t="shared" si="40"/>
        <v/>
      </c>
      <c r="C145" s="50">
        <f>IF(D93="","-",+C144+1)</f>
        <v>2054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65"/>
        <v>0</v>
      </c>
      <c r="G145" s="55">
        <f t="shared" si="66"/>
        <v>0</v>
      </c>
      <c r="H145" s="380">
        <f t="shared" si="63"/>
        <v>0</v>
      </c>
      <c r="I145" s="399">
        <f t="shared" si="64"/>
        <v>0</v>
      </c>
      <c r="J145" s="54">
        <f t="shared" si="67"/>
        <v>0</v>
      </c>
      <c r="K145" s="54"/>
      <c r="L145" s="129"/>
      <c r="M145" s="54">
        <f t="shared" si="68"/>
        <v>0</v>
      </c>
      <c r="N145" s="129"/>
      <c r="O145" s="54">
        <f t="shared" si="69"/>
        <v>0</v>
      </c>
      <c r="P145" s="54">
        <f t="shared" si="70"/>
        <v>0</v>
      </c>
      <c r="Q145" s="1"/>
    </row>
    <row r="146" spans="2:17" ht="12.5">
      <c r="B146" s="7" t="str">
        <f t="shared" si="40"/>
        <v/>
      </c>
      <c r="C146" s="50">
        <f>IF(D93="","-",+C145+1)</f>
        <v>2055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65"/>
        <v>0</v>
      </c>
      <c r="G146" s="55">
        <f t="shared" si="66"/>
        <v>0</v>
      </c>
      <c r="H146" s="380">
        <f t="shared" si="63"/>
        <v>0</v>
      </c>
      <c r="I146" s="399">
        <f t="shared" si="64"/>
        <v>0</v>
      </c>
      <c r="J146" s="54">
        <f t="shared" si="67"/>
        <v>0</v>
      </c>
      <c r="K146" s="54"/>
      <c r="L146" s="129"/>
      <c r="M146" s="54">
        <f t="shared" si="68"/>
        <v>0</v>
      </c>
      <c r="N146" s="129"/>
      <c r="O146" s="54">
        <f t="shared" si="69"/>
        <v>0</v>
      </c>
      <c r="P146" s="54">
        <f t="shared" si="70"/>
        <v>0</v>
      </c>
      <c r="Q146" s="1"/>
    </row>
    <row r="147" spans="2:17" ht="12.5">
      <c r="B147" s="7" t="str">
        <f t="shared" si="40"/>
        <v/>
      </c>
      <c r="C147" s="50">
        <f>IF(D93="","-",+C146+1)</f>
        <v>2056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65"/>
        <v>0</v>
      </c>
      <c r="G147" s="55">
        <f t="shared" si="66"/>
        <v>0</v>
      </c>
      <c r="H147" s="380">
        <f t="shared" si="63"/>
        <v>0</v>
      </c>
      <c r="I147" s="399">
        <f t="shared" si="64"/>
        <v>0</v>
      </c>
      <c r="J147" s="54">
        <f t="shared" si="67"/>
        <v>0</v>
      </c>
      <c r="K147" s="54"/>
      <c r="L147" s="129"/>
      <c r="M147" s="54">
        <f t="shared" si="68"/>
        <v>0</v>
      </c>
      <c r="N147" s="129"/>
      <c r="O147" s="54">
        <f t="shared" si="69"/>
        <v>0</v>
      </c>
      <c r="P147" s="54">
        <f t="shared" si="70"/>
        <v>0</v>
      </c>
      <c r="Q147" s="1"/>
    </row>
    <row r="148" spans="2:17" ht="12.5">
      <c r="B148" s="7" t="str">
        <f t="shared" si="40"/>
        <v/>
      </c>
      <c r="C148" s="50">
        <f>IF(D93="","-",+C147+1)</f>
        <v>2057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65"/>
        <v>0</v>
      </c>
      <c r="G148" s="55">
        <f t="shared" si="66"/>
        <v>0</v>
      </c>
      <c r="H148" s="380">
        <f t="shared" si="63"/>
        <v>0</v>
      </c>
      <c r="I148" s="399">
        <f t="shared" si="64"/>
        <v>0</v>
      </c>
      <c r="J148" s="54">
        <f t="shared" si="67"/>
        <v>0</v>
      </c>
      <c r="K148" s="54"/>
      <c r="L148" s="129"/>
      <c r="M148" s="54">
        <f t="shared" si="68"/>
        <v>0</v>
      </c>
      <c r="N148" s="129"/>
      <c r="O148" s="54">
        <f t="shared" si="69"/>
        <v>0</v>
      </c>
      <c r="P148" s="54">
        <f t="shared" si="70"/>
        <v>0</v>
      </c>
      <c r="Q148" s="1"/>
    </row>
    <row r="149" spans="2:17" ht="12.5">
      <c r="B149" s="7" t="str">
        <f t="shared" si="40"/>
        <v/>
      </c>
      <c r="C149" s="50">
        <f>IF(D93="","-",+C148+1)</f>
        <v>2058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65"/>
        <v>0</v>
      </c>
      <c r="G149" s="55">
        <f t="shared" si="66"/>
        <v>0</v>
      </c>
      <c r="H149" s="380">
        <f t="shared" si="63"/>
        <v>0</v>
      </c>
      <c r="I149" s="399">
        <f t="shared" si="64"/>
        <v>0</v>
      </c>
      <c r="J149" s="54">
        <f t="shared" si="67"/>
        <v>0</v>
      </c>
      <c r="K149" s="54"/>
      <c r="L149" s="129"/>
      <c r="M149" s="54">
        <f t="shared" si="68"/>
        <v>0</v>
      </c>
      <c r="N149" s="129"/>
      <c r="O149" s="54">
        <f t="shared" si="69"/>
        <v>0</v>
      </c>
      <c r="P149" s="54">
        <f t="shared" si="70"/>
        <v>0</v>
      </c>
      <c r="Q149" s="1"/>
    </row>
    <row r="150" spans="2:17" ht="12.5">
      <c r="B150" s="7" t="str">
        <f t="shared" si="40"/>
        <v/>
      </c>
      <c r="C150" s="50">
        <f>IF(D93="","-",+C149+1)</f>
        <v>2059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65"/>
        <v>0</v>
      </c>
      <c r="G150" s="55">
        <f t="shared" si="66"/>
        <v>0</v>
      </c>
      <c r="H150" s="380">
        <f t="shared" si="63"/>
        <v>0</v>
      </c>
      <c r="I150" s="399">
        <f t="shared" si="64"/>
        <v>0</v>
      </c>
      <c r="J150" s="54">
        <f t="shared" si="67"/>
        <v>0</v>
      </c>
      <c r="K150" s="54"/>
      <c r="L150" s="129"/>
      <c r="M150" s="54">
        <f t="shared" si="68"/>
        <v>0</v>
      </c>
      <c r="N150" s="129"/>
      <c r="O150" s="54">
        <f t="shared" si="69"/>
        <v>0</v>
      </c>
      <c r="P150" s="54">
        <f t="shared" si="70"/>
        <v>0</v>
      </c>
      <c r="Q150" s="1"/>
    </row>
    <row r="151" spans="2:17" ht="12.5">
      <c r="B151" s="7" t="str">
        <f t="shared" si="40"/>
        <v/>
      </c>
      <c r="C151" s="50">
        <f>IF(D93="","-",+C150+1)</f>
        <v>2060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65"/>
        <v>0</v>
      </c>
      <c r="G151" s="55">
        <f t="shared" si="66"/>
        <v>0</v>
      </c>
      <c r="H151" s="380">
        <f t="shared" si="63"/>
        <v>0</v>
      </c>
      <c r="I151" s="399">
        <f t="shared" si="64"/>
        <v>0</v>
      </c>
      <c r="J151" s="54">
        <f t="shared" si="67"/>
        <v>0</v>
      </c>
      <c r="K151" s="54"/>
      <c r="L151" s="129"/>
      <c r="M151" s="54">
        <f t="shared" si="68"/>
        <v>0</v>
      </c>
      <c r="N151" s="129"/>
      <c r="O151" s="54">
        <f t="shared" si="69"/>
        <v>0</v>
      </c>
      <c r="P151" s="54">
        <f t="shared" si="70"/>
        <v>0</v>
      </c>
      <c r="Q151" s="1"/>
    </row>
    <row r="152" spans="2:17" ht="12.5">
      <c r="B152" s="7" t="str">
        <f t="shared" si="40"/>
        <v/>
      </c>
      <c r="C152" s="50">
        <f>IF(D93="","-",+C151+1)</f>
        <v>2061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65"/>
        <v>0</v>
      </c>
      <c r="G152" s="55">
        <f t="shared" si="66"/>
        <v>0</v>
      </c>
      <c r="H152" s="380">
        <f t="shared" si="63"/>
        <v>0</v>
      </c>
      <c r="I152" s="399">
        <f t="shared" si="64"/>
        <v>0</v>
      </c>
      <c r="J152" s="54">
        <f t="shared" si="67"/>
        <v>0</v>
      </c>
      <c r="K152" s="54"/>
      <c r="L152" s="129"/>
      <c r="M152" s="54">
        <f t="shared" si="68"/>
        <v>0</v>
      </c>
      <c r="N152" s="129"/>
      <c r="O152" s="54">
        <f t="shared" si="69"/>
        <v>0</v>
      </c>
      <c r="P152" s="54">
        <f t="shared" si="70"/>
        <v>0</v>
      </c>
      <c r="Q152" s="1"/>
    </row>
    <row r="153" spans="2:17" ht="12.5">
      <c r="B153" s="7" t="str">
        <f t="shared" si="40"/>
        <v/>
      </c>
      <c r="C153" s="50">
        <f>IF(D93="","-",+C152+1)</f>
        <v>2062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65"/>
        <v>0</v>
      </c>
      <c r="G153" s="55">
        <f t="shared" si="66"/>
        <v>0</v>
      </c>
      <c r="H153" s="380">
        <f t="shared" si="63"/>
        <v>0</v>
      </c>
      <c r="I153" s="399">
        <f t="shared" si="64"/>
        <v>0</v>
      </c>
      <c r="J153" s="54">
        <f t="shared" si="67"/>
        <v>0</v>
      </c>
      <c r="K153" s="54"/>
      <c r="L153" s="129"/>
      <c r="M153" s="54">
        <f t="shared" si="68"/>
        <v>0</v>
      </c>
      <c r="N153" s="129"/>
      <c r="O153" s="54">
        <f t="shared" si="69"/>
        <v>0</v>
      </c>
      <c r="P153" s="54">
        <f t="shared" si="70"/>
        <v>0</v>
      </c>
      <c r="Q153" s="1"/>
    </row>
    <row r="154" spans="2:17" ht="13" thickBot="1">
      <c r="B154" s="7" t="str">
        <f t="shared" si="40"/>
        <v/>
      </c>
      <c r="C154" s="59">
        <f>IF(D93="","-",+C153+1)</f>
        <v>2063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65"/>
        <v>0</v>
      </c>
      <c r="G154" s="60">
        <f t="shared" si="66"/>
        <v>0</v>
      </c>
      <c r="H154" s="382">
        <f t="shared" si="63"/>
        <v>0</v>
      </c>
      <c r="I154" s="400">
        <f t="shared" si="64"/>
        <v>0</v>
      </c>
      <c r="J154" s="64">
        <f t="shared" si="67"/>
        <v>0</v>
      </c>
      <c r="K154" s="54"/>
      <c r="L154" s="130"/>
      <c r="M154" s="64">
        <f t="shared" si="68"/>
        <v>0</v>
      </c>
      <c r="N154" s="130"/>
      <c r="O154" s="64">
        <f t="shared" si="69"/>
        <v>0</v>
      </c>
      <c r="P154" s="64">
        <f t="shared" si="70"/>
        <v>0</v>
      </c>
      <c r="Q154" s="1"/>
    </row>
    <row r="155" spans="2:17" ht="12.5">
      <c r="C155" s="12" t="s">
        <v>78</v>
      </c>
      <c r="D155" s="293"/>
      <c r="E155" s="293">
        <f>SUM(E99:E154)</f>
        <v>9655697</v>
      </c>
      <c r="F155" s="293"/>
      <c r="G155" s="293"/>
      <c r="H155" s="293">
        <f>SUM(H99:H154)</f>
        <v>36141280.199434243</v>
      </c>
      <c r="I155" s="293">
        <f>SUM(I99:I154)</f>
        <v>36141280.199434243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 ht="12.5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 ht="12.5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41" priority="1" stopIfTrue="1" operator="equal">
      <formula>$I$10</formula>
    </cfRule>
  </conditionalFormatting>
  <conditionalFormatting sqref="C99:C154">
    <cfRule type="cellIs" dxfId="14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57"/>
  <dimension ref="A1:Q162"/>
  <sheetViews>
    <sheetView topLeftCell="C84" zoomScaleNormal="100" zoomScaleSheetLayoutView="84" workbookViewId="0">
      <selection activeCell="D33" sqref="D33:H33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"&amp;RIGHT(MID(CELL("filename",$A$1),FIND("]",CELL("filename",$A$1))+1,256),1)&amp;" of "&amp;COUNT(S.001:S.077!$P$3)</f>
        <v>SWEPCO Project 9 of 77</v>
      </c>
      <c r="Q1" s="13"/>
    </row>
    <row r="2" spans="1:17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276975.05306550174</v>
      </c>
      <c r="P5" s="1"/>
    </row>
    <row r="6" spans="1:17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276975.05306550174</v>
      </c>
      <c r="O6" s="1"/>
      <c r="P6" s="1"/>
    </row>
    <row r="7" spans="1:17" ht="13.5" thickBot="1">
      <c r="C7" s="25" t="s">
        <v>48</v>
      </c>
      <c r="D7" s="127" t="s">
        <v>231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85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148</v>
      </c>
      <c r="E9" s="31" t="s">
        <v>494</v>
      </c>
      <c r="F9" s="462" t="s">
        <v>500</v>
      </c>
      <c r="G9" s="31"/>
      <c r="H9" s="31"/>
      <c r="I9" s="32"/>
      <c r="J9" s="33"/>
      <c r="P9" s="1"/>
    </row>
    <row r="10" spans="1:17" ht="13">
      <c r="C10" s="34" t="s">
        <v>51</v>
      </c>
      <c r="D10" s="363">
        <v>2820328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7" ht="12.5">
      <c r="C11" s="34" t="s">
        <v>54</v>
      </c>
      <c r="D11" s="37">
        <v>2008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3">
        <v>4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64098.36363636364</v>
      </c>
      <c r="J14" s="293"/>
      <c r="K14" s="293"/>
      <c r="L14" s="293"/>
      <c r="M14" s="293"/>
      <c r="N14" s="293"/>
      <c r="O14" s="1"/>
      <c r="P14" s="1"/>
    </row>
    <row r="15" spans="1:17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2008</v>
      </c>
      <c r="D17" s="133">
        <v>1475169</v>
      </c>
      <c r="E17" s="374">
        <v>29902</v>
      </c>
      <c r="F17" s="133">
        <v>1445267</v>
      </c>
      <c r="G17" s="374">
        <v>214903</v>
      </c>
      <c r="H17" s="375">
        <v>214903</v>
      </c>
      <c r="I17" s="153">
        <f t="shared" ref="I17:I48" si="0">H17-G17</f>
        <v>0</v>
      </c>
      <c r="J17" s="52"/>
      <c r="K17" s="112">
        <v>214903</v>
      </c>
      <c r="L17" s="53">
        <f t="shared" ref="L17:L48" si="1">IF(K17&lt;&gt;0,+G17-K17,0)</f>
        <v>0</v>
      </c>
      <c r="M17" s="112">
        <f>K17</f>
        <v>214903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2009</v>
      </c>
      <c r="D18" s="137">
        <v>1831326</v>
      </c>
      <c r="E18" s="376">
        <v>50403</v>
      </c>
      <c r="F18" s="137">
        <v>1780923</v>
      </c>
      <c r="G18" s="376">
        <v>323352</v>
      </c>
      <c r="H18" s="375">
        <v>323352</v>
      </c>
      <c r="I18" s="153">
        <f t="shared" si="0"/>
        <v>0</v>
      </c>
      <c r="J18" s="52"/>
      <c r="K18" s="113">
        <v>323352</v>
      </c>
      <c r="L18" s="54">
        <f t="shared" si="1"/>
        <v>0</v>
      </c>
      <c r="M18" s="113">
        <v>323352</v>
      </c>
      <c r="N18" s="54">
        <f t="shared" si="2"/>
        <v>0</v>
      </c>
      <c r="O18" s="54">
        <f t="shared" si="3"/>
        <v>0</v>
      </c>
      <c r="P18" s="1"/>
    </row>
    <row r="19" spans="2:16" ht="12.5">
      <c r="B19" s="7" t="str">
        <f>IF(D19=F18,"","IU")</f>
        <v>IU</v>
      </c>
      <c r="C19" s="50">
        <f>IF(D11="","-",+C18+1)</f>
        <v>2010</v>
      </c>
      <c r="D19" s="137">
        <v>1782801</v>
      </c>
      <c r="E19" s="376">
        <v>49029</v>
      </c>
      <c r="F19" s="137">
        <v>1733771</v>
      </c>
      <c r="G19" s="376">
        <v>298284</v>
      </c>
      <c r="H19" s="375">
        <v>298285</v>
      </c>
      <c r="I19" s="153">
        <v>0</v>
      </c>
      <c r="J19" s="52"/>
      <c r="K19" s="113">
        <f t="shared" ref="K19:K24" si="4">G19</f>
        <v>298284</v>
      </c>
      <c r="L19" s="54">
        <f t="shared" si="1"/>
        <v>0</v>
      </c>
      <c r="M19" s="113">
        <f t="shared" ref="M19:M24" si="5">H19</f>
        <v>298285</v>
      </c>
      <c r="N19" s="54">
        <f t="shared" si="2"/>
        <v>0</v>
      </c>
      <c r="O19" s="54">
        <f t="shared" si="3"/>
        <v>0</v>
      </c>
      <c r="P19" s="1"/>
    </row>
    <row r="20" spans="2:16" ht="12.5">
      <c r="B20" s="7" t="str">
        <f t="shared" ref="B20:B72" si="6">IF(D20=F19,"","IU")</f>
        <v>IU</v>
      </c>
      <c r="C20" s="50">
        <f>IF(D11="","-",+C19+1)</f>
        <v>2011</v>
      </c>
      <c r="D20" s="137">
        <v>2691044</v>
      </c>
      <c r="E20" s="376">
        <v>68789.707317073175</v>
      </c>
      <c r="F20" s="137">
        <v>2622254.2926829266</v>
      </c>
      <c r="G20" s="376">
        <v>478365.33332464576</v>
      </c>
      <c r="H20" s="375">
        <v>478365.33332464576</v>
      </c>
      <c r="I20" s="153">
        <v>0</v>
      </c>
      <c r="J20" s="52"/>
      <c r="K20" s="113">
        <f t="shared" si="4"/>
        <v>478365.33332464576</v>
      </c>
      <c r="L20" s="54">
        <f t="shared" si="1"/>
        <v>0</v>
      </c>
      <c r="M20" s="113">
        <f t="shared" si="5"/>
        <v>478365.33332464576</v>
      </c>
      <c r="N20" s="54">
        <f t="shared" si="2"/>
        <v>0</v>
      </c>
      <c r="O20" s="54">
        <f t="shared" si="3"/>
        <v>0</v>
      </c>
      <c r="P20" s="1"/>
    </row>
    <row r="21" spans="2:16" ht="12.5">
      <c r="B21" s="7" t="str">
        <f t="shared" si="6"/>
        <v/>
      </c>
      <c r="C21" s="50">
        <f>IF(D12="","-",+C20+1)</f>
        <v>2012</v>
      </c>
      <c r="D21" s="137">
        <v>2622254.2926829266</v>
      </c>
      <c r="E21" s="376">
        <v>67151.857142857145</v>
      </c>
      <c r="F21" s="137">
        <v>2555102.4355400694</v>
      </c>
      <c r="G21" s="376">
        <v>447147.04924288485</v>
      </c>
      <c r="H21" s="375">
        <v>447147.04924288485</v>
      </c>
      <c r="I21" s="141">
        <v>0</v>
      </c>
      <c r="J21" s="52"/>
      <c r="K21" s="113">
        <f t="shared" si="4"/>
        <v>447147.04924288485</v>
      </c>
      <c r="L21" s="54">
        <f t="shared" si="1"/>
        <v>0</v>
      </c>
      <c r="M21" s="113">
        <f t="shared" si="5"/>
        <v>447147.04924288485</v>
      </c>
      <c r="N21" s="54">
        <f t="shared" si="2"/>
        <v>0</v>
      </c>
      <c r="O21" s="54">
        <f t="shared" si="3"/>
        <v>0</v>
      </c>
      <c r="P21" s="1"/>
    </row>
    <row r="22" spans="2:16" ht="12.5">
      <c r="B22" s="7" t="str">
        <f t="shared" si="6"/>
        <v/>
      </c>
      <c r="C22" s="50">
        <f>IF(D11="","-",+C21+1)</f>
        <v>2013</v>
      </c>
      <c r="D22" s="137">
        <v>2555102.4355400694</v>
      </c>
      <c r="E22" s="376">
        <v>67151.857142857145</v>
      </c>
      <c r="F22" s="137">
        <v>2487950.5783972121</v>
      </c>
      <c r="G22" s="376">
        <v>415432.79896148719</v>
      </c>
      <c r="H22" s="375">
        <v>415432.79896148719</v>
      </c>
      <c r="I22" s="153">
        <v>0</v>
      </c>
      <c r="J22" s="52"/>
      <c r="K22" s="113">
        <f t="shared" si="4"/>
        <v>415432.79896148719</v>
      </c>
      <c r="L22" s="54">
        <f t="shared" ref="L22:L27" si="7">IF(K22&lt;&gt;0,+G22-K22,0)</f>
        <v>0</v>
      </c>
      <c r="M22" s="113">
        <f t="shared" si="5"/>
        <v>415432.79896148719</v>
      </c>
      <c r="N22" s="54">
        <f t="shared" ref="N22:N27" si="8">IF(M22&lt;&gt;0,+H22-M22,0)</f>
        <v>0</v>
      </c>
      <c r="O22" s="54">
        <f t="shared" ref="O22:O27" si="9">+N22-L22</f>
        <v>0</v>
      </c>
      <c r="P22" s="1"/>
    </row>
    <row r="23" spans="2:16" ht="12.5">
      <c r="B23" s="7" t="str">
        <f t="shared" si="6"/>
        <v/>
      </c>
      <c r="C23" s="50">
        <f>IF(D11="","-",+C22+1)</f>
        <v>2014</v>
      </c>
      <c r="D23" s="137">
        <v>2487950.5783972121</v>
      </c>
      <c r="E23" s="376">
        <v>67151.857142857145</v>
      </c>
      <c r="F23" s="137">
        <v>2420798.7212543548</v>
      </c>
      <c r="G23" s="376">
        <v>393743.0429982192</v>
      </c>
      <c r="H23" s="375">
        <v>393743.0429982192</v>
      </c>
      <c r="I23" s="153">
        <v>0</v>
      </c>
      <c r="J23" s="52"/>
      <c r="K23" s="113">
        <f t="shared" si="4"/>
        <v>393743.0429982192</v>
      </c>
      <c r="L23" s="54">
        <f t="shared" si="7"/>
        <v>0</v>
      </c>
      <c r="M23" s="113">
        <f t="shared" si="5"/>
        <v>393743.0429982192</v>
      </c>
      <c r="N23" s="54">
        <f t="shared" si="8"/>
        <v>0</v>
      </c>
      <c r="O23" s="54">
        <f t="shared" si="9"/>
        <v>0</v>
      </c>
      <c r="P23" s="1"/>
    </row>
    <row r="24" spans="2:16" ht="12.5">
      <c r="B24" s="7" t="str">
        <f t="shared" si="6"/>
        <v/>
      </c>
      <c r="C24" s="50">
        <f>IF(D11="","-",+C23+1)</f>
        <v>2015</v>
      </c>
      <c r="D24" s="137">
        <v>2420798.7212543548</v>
      </c>
      <c r="E24" s="376">
        <v>67151.857142857145</v>
      </c>
      <c r="F24" s="137">
        <v>2353646.8641114975</v>
      </c>
      <c r="G24" s="376">
        <v>377138.44894635677</v>
      </c>
      <c r="H24" s="375">
        <v>377138.44894635677</v>
      </c>
      <c r="I24" s="52">
        <v>0</v>
      </c>
      <c r="J24" s="52"/>
      <c r="K24" s="113">
        <f t="shared" si="4"/>
        <v>377138.44894635677</v>
      </c>
      <c r="L24" s="54">
        <f t="shared" si="7"/>
        <v>0</v>
      </c>
      <c r="M24" s="113">
        <f t="shared" si="5"/>
        <v>377138.44894635677</v>
      </c>
      <c r="N24" s="54">
        <f t="shared" si="8"/>
        <v>0</v>
      </c>
      <c r="O24" s="54">
        <f t="shared" si="9"/>
        <v>0</v>
      </c>
      <c r="P24" s="1"/>
    </row>
    <row r="25" spans="2:16" ht="12.5">
      <c r="B25" s="7" t="str">
        <f t="shared" si="6"/>
        <v>IU</v>
      </c>
      <c r="C25" s="50">
        <f>IF(D11="","-",+C24+1)</f>
        <v>2016</v>
      </c>
      <c r="D25" s="137">
        <v>2353596.864111498</v>
      </c>
      <c r="E25" s="376">
        <v>67150.666666666672</v>
      </c>
      <c r="F25" s="137">
        <v>2286446.1974448315</v>
      </c>
      <c r="G25" s="376">
        <v>364571.53091239138</v>
      </c>
      <c r="H25" s="375">
        <v>364571.53091239138</v>
      </c>
      <c r="I25" s="52">
        <f t="shared" si="0"/>
        <v>0</v>
      </c>
      <c r="J25" s="52"/>
      <c r="K25" s="113">
        <f t="shared" ref="K25:K30" si="10">G25</f>
        <v>364571.53091239138</v>
      </c>
      <c r="L25" s="54">
        <f t="shared" si="7"/>
        <v>0</v>
      </c>
      <c r="M25" s="113">
        <f t="shared" ref="M25:M30" si="11">H25</f>
        <v>364571.53091239138</v>
      </c>
      <c r="N25" s="54">
        <f t="shared" si="8"/>
        <v>0</v>
      </c>
      <c r="O25" s="54">
        <f t="shared" si="9"/>
        <v>0</v>
      </c>
      <c r="P25" s="1"/>
    </row>
    <row r="26" spans="2:16" ht="12.5">
      <c r="B26" s="7" t="str">
        <f t="shared" si="6"/>
        <v/>
      </c>
      <c r="C26" s="50">
        <f>IF(D11="","-",+C25+1)</f>
        <v>2017</v>
      </c>
      <c r="D26" s="137">
        <v>2286446.1974448315</v>
      </c>
      <c r="E26" s="376">
        <v>65589.023255813954</v>
      </c>
      <c r="F26" s="137">
        <v>2220857.1741890176</v>
      </c>
      <c r="G26" s="376">
        <v>344799.6405005774</v>
      </c>
      <c r="H26" s="375">
        <v>344799.6405005774</v>
      </c>
      <c r="I26" s="52">
        <f t="shared" si="0"/>
        <v>0</v>
      </c>
      <c r="J26" s="52"/>
      <c r="K26" s="113">
        <f t="shared" si="10"/>
        <v>344799.6405005774</v>
      </c>
      <c r="L26" s="54">
        <f t="shared" si="7"/>
        <v>0</v>
      </c>
      <c r="M26" s="113">
        <f t="shared" si="11"/>
        <v>344799.6405005774</v>
      </c>
      <c r="N26" s="54">
        <f t="shared" si="8"/>
        <v>0</v>
      </c>
      <c r="O26" s="54">
        <f t="shared" si="9"/>
        <v>0</v>
      </c>
      <c r="P26" s="1"/>
    </row>
    <row r="27" spans="2:16" ht="12.5">
      <c r="B27" s="7" t="str">
        <f t="shared" si="6"/>
        <v/>
      </c>
      <c r="C27" s="50">
        <f>IF(D11="","-",+C26+1)</f>
        <v>2018</v>
      </c>
      <c r="D27" s="137">
        <v>2220857.1741890176</v>
      </c>
      <c r="E27" s="376">
        <v>68788.487804878052</v>
      </c>
      <c r="F27" s="137">
        <v>2152068.6863841396</v>
      </c>
      <c r="G27" s="376">
        <v>346675.02376969234</v>
      </c>
      <c r="H27" s="375">
        <v>346675.02376969234</v>
      </c>
      <c r="I27" s="52">
        <f t="shared" si="0"/>
        <v>0</v>
      </c>
      <c r="J27" s="52"/>
      <c r="K27" s="113">
        <f t="shared" si="10"/>
        <v>346675.02376969234</v>
      </c>
      <c r="L27" s="54">
        <f t="shared" si="7"/>
        <v>0</v>
      </c>
      <c r="M27" s="113">
        <f t="shared" si="11"/>
        <v>346675.02376969234</v>
      </c>
      <c r="N27" s="54">
        <f t="shared" si="8"/>
        <v>0</v>
      </c>
      <c r="O27" s="54">
        <f t="shared" si="9"/>
        <v>0</v>
      </c>
      <c r="P27" s="1"/>
    </row>
    <row r="28" spans="2:16" ht="12.5">
      <c r="B28" s="7" t="str">
        <f t="shared" si="6"/>
        <v/>
      </c>
      <c r="C28" s="50">
        <f>IF(D11="","-",+C27+1)</f>
        <v>2019</v>
      </c>
      <c r="D28" s="137">
        <v>2152068.6863841396</v>
      </c>
      <c r="E28" s="376">
        <v>68788.487804878052</v>
      </c>
      <c r="F28" s="137">
        <v>2083280.1985792615</v>
      </c>
      <c r="G28" s="376">
        <v>337932.41289549379</v>
      </c>
      <c r="H28" s="375">
        <v>337932.41289549379</v>
      </c>
      <c r="I28" s="52">
        <f t="shared" si="0"/>
        <v>0</v>
      </c>
      <c r="J28" s="52"/>
      <c r="K28" s="113">
        <f t="shared" si="10"/>
        <v>337932.41289549379</v>
      </c>
      <c r="L28" s="54">
        <f t="shared" ref="L28" si="12">IF(K28&lt;&gt;0,+G28-K28,0)</f>
        <v>0</v>
      </c>
      <c r="M28" s="113">
        <f t="shared" si="11"/>
        <v>337932.41289549379</v>
      </c>
      <c r="N28" s="54">
        <f t="shared" si="2"/>
        <v>0</v>
      </c>
      <c r="O28" s="54">
        <f t="shared" si="3"/>
        <v>0</v>
      </c>
      <c r="P28" s="1"/>
    </row>
    <row r="29" spans="2:16" ht="12.5">
      <c r="B29" s="7" t="str">
        <f t="shared" si="6"/>
        <v/>
      </c>
      <c r="C29" s="50">
        <f>IF(D11="","-",+C28+1)</f>
        <v>2020</v>
      </c>
      <c r="D29" s="137">
        <v>2083280.1985792615</v>
      </c>
      <c r="E29" s="376">
        <v>68788.487804878052</v>
      </c>
      <c r="F29" s="137">
        <v>2014491.7107743835</v>
      </c>
      <c r="G29" s="376">
        <v>278462.16480746388</v>
      </c>
      <c r="H29" s="375">
        <v>278462.16480746388</v>
      </c>
      <c r="I29" s="52">
        <f t="shared" si="0"/>
        <v>0</v>
      </c>
      <c r="J29" s="52"/>
      <c r="K29" s="113">
        <f t="shared" si="10"/>
        <v>278462.16480746388</v>
      </c>
      <c r="L29" s="54">
        <f t="shared" ref="L29" si="13">IF(K29&lt;&gt;0,+G29-K29,0)</f>
        <v>0</v>
      </c>
      <c r="M29" s="113">
        <f t="shared" si="11"/>
        <v>278462.16480746388</v>
      </c>
      <c r="N29" s="54">
        <f t="shared" si="2"/>
        <v>0</v>
      </c>
      <c r="O29" s="54">
        <f t="shared" si="3"/>
        <v>0</v>
      </c>
      <c r="P29" s="1"/>
    </row>
    <row r="30" spans="2:16" ht="12.5">
      <c r="B30" s="7" t="str">
        <f t="shared" si="6"/>
        <v>IU</v>
      </c>
      <c r="C30" s="50">
        <f>IF(D11="","-",+C29+1)</f>
        <v>2021</v>
      </c>
      <c r="D30" s="137">
        <v>2017691.1753234474</v>
      </c>
      <c r="E30" s="376">
        <v>67150.666666666672</v>
      </c>
      <c r="F30" s="137">
        <v>1950540.5086567807</v>
      </c>
      <c r="G30" s="376">
        <v>277475.96380868781</v>
      </c>
      <c r="H30" s="375">
        <v>277475.96380868781</v>
      </c>
      <c r="I30" s="52">
        <f t="shared" si="0"/>
        <v>0</v>
      </c>
      <c r="J30" s="52"/>
      <c r="K30" s="113">
        <f t="shared" si="10"/>
        <v>277475.96380868781</v>
      </c>
      <c r="L30" s="54">
        <f t="shared" ref="L30" si="14">IF(K30&lt;&gt;0,+G30-K30,0)</f>
        <v>0</v>
      </c>
      <c r="M30" s="113">
        <f t="shared" si="11"/>
        <v>277475.96380868781</v>
      </c>
      <c r="N30" s="54">
        <f t="shared" si="2"/>
        <v>0</v>
      </c>
      <c r="O30" s="54">
        <f t="shared" si="3"/>
        <v>0</v>
      </c>
      <c r="P30" s="1"/>
    </row>
    <row r="31" spans="2:16" ht="12.5">
      <c r="B31" s="7" t="str">
        <f t="shared" si="6"/>
        <v>IU</v>
      </c>
      <c r="C31" s="50">
        <f>IF(D11="","-",+C30+1)</f>
        <v>2022</v>
      </c>
      <c r="D31" s="137">
        <v>1947341.0441077168</v>
      </c>
      <c r="E31" s="376">
        <v>67150.666666666672</v>
      </c>
      <c r="F31" s="137">
        <v>1880190.37744105</v>
      </c>
      <c r="G31" s="376">
        <v>282342.32366047957</v>
      </c>
      <c r="H31" s="375">
        <v>282342.32366047957</v>
      </c>
      <c r="I31" s="52">
        <f t="shared" si="0"/>
        <v>0</v>
      </c>
      <c r="J31" s="52"/>
      <c r="K31" s="113">
        <f t="shared" ref="K31" si="15">G31</f>
        <v>282342.32366047957</v>
      </c>
      <c r="L31" s="54">
        <f t="shared" ref="L31" si="16">IF(K31&lt;&gt;0,+G31-K31,0)</f>
        <v>0</v>
      </c>
      <c r="M31" s="113">
        <f t="shared" ref="M31" si="17">H31</f>
        <v>282342.32366047957</v>
      </c>
      <c r="N31" s="54">
        <f t="shared" si="2"/>
        <v>0</v>
      </c>
      <c r="O31" s="54">
        <f t="shared" si="3"/>
        <v>0</v>
      </c>
      <c r="P31" s="1"/>
    </row>
    <row r="32" spans="2:16" ht="12.5">
      <c r="B32" s="7" t="str">
        <f t="shared" si="6"/>
        <v/>
      </c>
      <c r="C32" s="50">
        <f>IF(D11="","-",+C31+1)</f>
        <v>2023</v>
      </c>
      <c r="D32" s="137">
        <v>1880190.37744105</v>
      </c>
      <c r="E32" s="376">
        <v>67150.666666666672</v>
      </c>
      <c r="F32" s="137">
        <v>1813039.7107743833</v>
      </c>
      <c r="G32" s="376">
        <v>300427.61382365174</v>
      </c>
      <c r="H32" s="375">
        <v>300427.61382365174</v>
      </c>
      <c r="I32" s="52">
        <f t="shared" si="0"/>
        <v>0</v>
      </c>
      <c r="J32" s="52"/>
      <c r="K32" s="113">
        <f t="shared" ref="K32" si="18">G32</f>
        <v>300427.61382365174</v>
      </c>
      <c r="L32" s="54">
        <f t="shared" ref="L32" si="19">IF(K32&lt;&gt;0,+G32-K32,0)</f>
        <v>0</v>
      </c>
      <c r="M32" s="113">
        <f t="shared" ref="M32" si="20">H32</f>
        <v>300427.61382365174</v>
      </c>
      <c r="N32" s="54">
        <f t="shared" si="2"/>
        <v>0</v>
      </c>
      <c r="O32" s="54">
        <f t="shared" si="3"/>
        <v>0</v>
      </c>
      <c r="P32" s="1"/>
    </row>
    <row r="33" spans="2:16" ht="12.5">
      <c r="B33" s="7" t="str">
        <f t="shared" si="6"/>
        <v/>
      </c>
      <c r="C33" s="50">
        <f>IF(D11="","-",+C32+1)</f>
        <v>2024</v>
      </c>
      <c r="D33" s="137">
        <v>1813039.7107743833</v>
      </c>
      <c r="E33" s="376">
        <v>64098.36363636364</v>
      </c>
      <c r="F33" s="137">
        <v>1748941.3471380197</v>
      </c>
      <c r="G33" s="376">
        <v>276975.05306550174</v>
      </c>
      <c r="H33" s="375">
        <v>276975.05306550174</v>
      </c>
      <c r="I33" s="52">
        <f t="shared" si="0"/>
        <v>0</v>
      </c>
      <c r="J33" s="52"/>
      <c r="K33" s="113">
        <f t="shared" ref="K33" si="21">G33</f>
        <v>276975.05306550174</v>
      </c>
      <c r="L33" s="54">
        <f t="shared" ref="L33" si="22">IF(K33&lt;&gt;0,+G33-K33,0)</f>
        <v>0</v>
      </c>
      <c r="M33" s="113">
        <f t="shared" ref="M33" si="23">H33</f>
        <v>276975.05306550174</v>
      </c>
      <c r="N33" s="54">
        <f t="shared" ref="N33" si="24">IF(M33&lt;&gt;0,+H33-M33,0)</f>
        <v>0</v>
      </c>
      <c r="O33" s="54">
        <f t="shared" ref="O33" si="25">+N33-L33</f>
        <v>0</v>
      </c>
      <c r="P33" s="1"/>
    </row>
    <row r="34" spans="2:16" ht="12.5">
      <c r="B34" s="7" t="str">
        <f t="shared" si="6"/>
        <v/>
      </c>
      <c r="C34" s="50">
        <f>IF(D11="","-",+C33+1)</f>
        <v>2025</v>
      </c>
      <c r="D34" s="55">
        <f>IF(F33+SUM(E$17:E33)=D$10,F33,D$10-SUM(E$17:E33))</f>
        <v>1748941.3471380197</v>
      </c>
      <c r="E34" s="378">
        <f>IF(+I14&lt;F33,I14,D34)</f>
        <v>64098.36363636364</v>
      </c>
      <c r="F34" s="55">
        <f t="shared" ref="F34:F48" si="26">+D34-E34</f>
        <v>1684842.9835016562</v>
      </c>
      <c r="G34" s="379">
        <f t="shared" ref="G34:G72" si="27">+I$12*((D34+F34)/2)+E34</f>
        <v>269313.5595163299</v>
      </c>
      <c r="H34" s="364">
        <f t="shared" ref="H34:H72" si="28">+I$13*((D34+F34)/2)+E34</f>
        <v>269313.5595163299</v>
      </c>
      <c r="I34" s="52">
        <f t="shared" si="0"/>
        <v>0</v>
      </c>
      <c r="J34" s="52"/>
      <c r="K34" s="129"/>
      <c r="L34" s="54">
        <f t="shared" si="1"/>
        <v>0</v>
      </c>
      <c r="M34" s="129"/>
      <c r="N34" s="54">
        <f t="shared" si="2"/>
        <v>0</v>
      </c>
      <c r="O34" s="54">
        <f t="shared" si="3"/>
        <v>0</v>
      </c>
      <c r="P34" s="1"/>
    </row>
    <row r="35" spans="2:16" ht="12.5">
      <c r="B35" s="7" t="str">
        <f t="shared" si="6"/>
        <v/>
      </c>
      <c r="C35" s="50">
        <f>IF(D11="","-",+C34+1)</f>
        <v>2026</v>
      </c>
      <c r="D35" s="55">
        <f>IF(F34+SUM(E$17:E34)=D$10,F34,D$10-SUM(E$17:E34))</f>
        <v>1684842.9835016562</v>
      </c>
      <c r="E35" s="378">
        <f>IF(+I14&lt;F34,I14,D35)</f>
        <v>64098.36363636364</v>
      </c>
      <c r="F35" s="55">
        <f t="shared" si="26"/>
        <v>1620744.6198652927</v>
      </c>
      <c r="G35" s="379">
        <f t="shared" si="27"/>
        <v>261652.06596715804</v>
      </c>
      <c r="H35" s="364">
        <f t="shared" si="28"/>
        <v>261652.06596715804</v>
      </c>
      <c r="I35" s="52">
        <f t="shared" si="0"/>
        <v>0</v>
      </c>
      <c r="J35" s="52"/>
      <c r="K35" s="129"/>
      <c r="L35" s="54">
        <f t="shared" si="1"/>
        <v>0</v>
      </c>
      <c r="M35" s="129"/>
      <c r="N35" s="54">
        <f t="shared" si="2"/>
        <v>0</v>
      </c>
      <c r="O35" s="54">
        <f t="shared" si="3"/>
        <v>0</v>
      </c>
      <c r="P35" s="1"/>
    </row>
    <row r="36" spans="2:16" ht="12.5">
      <c r="B36" s="7" t="str">
        <f t="shared" si="6"/>
        <v/>
      </c>
      <c r="C36" s="50">
        <f>IF(D11="","-",+C35+1)</f>
        <v>2027</v>
      </c>
      <c r="D36" s="55">
        <f>IF(F35+SUM(E$17:E35)=D$10,F35,D$10-SUM(E$17:E35))</f>
        <v>1620744.6198652927</v>
      </c>
      <c r="E36" s="378">
        <f>IF(+I14&lt;F35,I14,D36)</f>
        <v>64098.36363636364</v>
      </c>
      <c r="F36" s="55">
        <f t="shared" si="26"/>
        <v>1556646.2562289292</v>
      </c>
      <c r="G36" s="379">
        <f t="shared" si="27"/>
        <v>253990.5724179862</v>
      </c>
      <c r="H36" s="364">
        <f t="shared" si="28"/>
        <v>253990.5724179862</v>
      </c>
      <c r="I36" s="52">
        <f t="shared" si="0"/>
        <v>0</v>
      </c>
      <c r="J36" s="52"/>
      <c r="K36" s="129"/>
      <c r="L36" s="54">
        <f t="shared" si="1"/>
        <v>0</v>
      </c>
      <c r="M36" s="129"/>
      <c r="N36" s="54">
        <f t="shared" si="2"/>
        <v>0</v>
      </c>
      <c r="O36" s="54">
        <f t="shared" si="3"/>
        <v>0</v>
      </c>
      <c r="P36" s="1"/>
    </row>
    <row r="37" spans="2:16" ht="12.5">
      <c r="B37" s="7" t="str">
        <f t="shared" si="6"/>
        <v/>
      </c>
      <c r="C37" s="50">
        <f>IF(D11="","-",+C36+1)</f>
        <v>2028</v>
      </c>
      <c r="D37" s="55">
        <f>IF(F36+SUM(E$17:E36)=D$10,F36,D$10-SUM(E$17:E36))</f>
        <v>1556646.2562289292</v>
      </c>
      <c r="E37" s="378">
        <f>IF(+I14&lt;F36,I14,D37)</f>
        <v>64098.36363636364</v>
      </c>
      <c r="F37" s="55">
        <f t="shared" si="26"/>
        <v>1492547.8925925656</v>
      </c>
      <c r="G37" s="379">
        <f t="shared" si="27"/>
        <v>246329.07886881431</v>
      </c>
      <c r="H37" s="364">
        <f t="shared" si="28"/>
        <v>246329.07886881431</v>
      </c>
      <c r="I37" s="52">
        <f t="shared" si="0"/>
        <v>0</v>
      </c>
      <c r="J37" s="52"/>
      <c r="K37" s="129"/>
      <c r="L37" s="54">
        <f t="shared" si="1"/>
        <v>0</v>
      </c>
      <c r="M37" s="129"/>
      <c r="N37" s="54">
        <f t="shared" si="2"/>
        <v>0</v>
      </c>
      <c r="O37" s="54">
        <f t="shared" si="3"/>
        <v>0</v>
      </c>
      <c r="P37" s="1"/>
    </row>
    <row r="38" spans="2:16" ht="12.5">
      <c r="B38" s="7" t="str">
        <f t="shared" si="6"/>
        <v/>
      </c>
      <c r="C38" s="50">
        <f>IF(D11="","-",+C37+1)</f>
        <v>2029</v>
      </c>
      <c r="D38" s="55">
        <f>IF(F37+SUM(E$17:E37)=D$10,F37,D$10-SUM(E$17:E37))</f>
        <v>1492547.8925925656</v>
      </c>
      <c r="E38" s="378">
        <f>IF(+I14&lt;F37,I14,D38)</f>
        <v>64098.36363636364</v>
      </c>
      <c r="F38" s="55">
        <f t="shared" si="26"/>
        <v>1428449.5289562021</v>
      </c>
      <c r="G38" s="379">
        <f t="shared" si="27"/>
        <v>238667.58531964247</v>
      </c>
      <c r="H38" s="364">
        <f t="shared" si="28"/>
        <v>238667.58531964247</v>
      </c>
      <c r="I38" s="52">
        <f t="shared" si="0"/>
        <v>0</v>
      </c>
      <c r="J38" s="52"/>
      <c r="K38" s="129"/>
      <c r="L38" s="54">
        <f t="shared" si="1"/>
        <v>0</v>
      </c>
      <c r="M38" s="129"/>
      <c r="N38" s="54">
        <f t="shared" si="2"/>
        <v>0</v>
      </c>
      <c r="O38" s="54">
        <f t="shared" si="3"/>
        <v>0</v>
      </c>
      <c r="P38" s="1"/>
    </row>
    <row r="39" spans="2:16" ht="12.5">
      <c r="B39" s="7" t="str">
        <f t="shared" si="6"/>
        <v/>
      </c>
      <c r="C39" s="50">
        <f>IF(D11="","-",+C38+1)</f>
        <v>2030</v>
      </c>
      <c r="D39" s="55">
        <f>IF(F38+SUM(E$17:E38)=D$10,F38,D$10-SUM(E$17:E38))</f>
        <v>1428449.5289562021</v>
      </c>
      <c r="E39" s="378">
        <f>IF(+I14&lt;F38,I14,D39)</f>
        <v>64098.36363636364</v>
      </c>
      <c r="F39" s="55">
        <f t="shared" si="26"/>
        <v>1364351.1653198386</v>
      </c>
      <c r="G39" s="379">
        <f t="shared" si="27"/>
        <v>231006.09177047058</v>
      </c>
      <c r="H39" s="364">
        <f t="shared" si="28"/>
        <v>231006.09177047058</v>
      </c>
      <c r="I39" s="52">
        <f t="shared" si="0"/>
        <v>0</v>
      </c>
      <c r="J39" s="52"/>
      <c r="K39" s="129"/>
      <c r="L39" s="54">
        <f t="shared" si="1"/>
        <v>0</v>
      </c>
      <c r="M39" s="129"/>
      <c r="N39" s="54">
        <f t="shared" si="2"/>
        <v>0</v>
      </c>
      <c r="O39" s="54">
        <f t="shared" si="3"/>
        <v>0</v>
      </c>
      <c r="P39" s="1"/>
    </row>
    <row r="40" spans="2:16" ht="12.5">
      <c r="B40" s="7" t="str">
        <f t="shared" si="6"/>
        <v/>
      </c>
      <c r="C40" s="50">
        <f>IF(D11="","-",+C39+1)</f>
        <v>2031</v>
      </c>
      <c r="D40" s="55">
        <f>IF(F39+SUM(E$17:E39)=D$10,F39,D$10-SUM(E$17:E39))</f>
        <v>1364351.1653198386</v>
      </c>
      <c r="E40" s="378">
        <f>IF(+I14&lt;F39,I14,D40)</f>
        <v>64098.36363636364</v>
      </c>
      <c r="F40" s="55">
        <f t="shared" si="26"/>
        <v>1300252.801683475</v>
      </c>
      <c r="G40" s="379">
        <f t="shared" si="27"/>
        <v>223344.59822129874</v>
      </c>
      <c r="H40" s="364">
        <f t="shared" si="28"/>
        <v>223344.59822129874</v>
      </c>
      <c r="I40" s="52">
        <f t="shared" si="0"/>
        <v>0</v>
      </c>
      <c r="J40" s="52"/>
      <c r="K40" s="129"/>
      <c r="L40" s="54">
        <f t="shared" si="1"/>
        <v>0</v>
      </c>
      <c r="M40" s="129"/>
      <c r="N40" s="54">
        <f t="shared" si="2"/>
        <v>0</v>
      </c>
      <c r="O40" s="54">
        <f t="shared" si="3"/>
        <v>0</v>
      </c>
      <c r="P40" s="1"/>
    </row>
    <row r="41" spans="2:16" ht="12.5">
      <c r="B41" s="7" t="str">
        <f t="shared" si="6"/>
        <v/>
      </c>
      <c r="C41" s="50">
        <f>IF(D11="","-",+C40+1)</f>
        <v>2032</v>
      </c>
      <c r="D41" s="55">
        <f>IF(F40+SUM(E$17:E40)=D$10,F40,D$10-SUM(E$17:E40))</f>
        <v>1300252.801683475</v>
      </c>
      <c r="E41" s="378">
        <f>IF(+I14&lt;F40,I14,D41)</f>
        <v>64098.36363636364</v>
      </c>
      <c r="F41" s="55">
        <f t="shared" si="26"/>
        <v>1236154.4380471115</v>
      </c>
      <c r="G41" s="379">
        <f t="shared" si="27"/>
        <v>215683.10467212685</v>
      </c>
      <c r="H41" s="364">
        <f t="shared" si="28"/>
        <v>215683.10467212685</v>
      </c>
      <c r="I41" s="52">
        <f t="shared" si="0"/>
        <v>0</v>
      </c>
      <c r="J41" s="52"/>
      <c r="K41" s="129"/>
      <c r="L41" s="54">
        <f t="shared" si="1"/>
        <v>0</v>
      </c>
      <c r="M41" s="129"/>
      <c r="N41" s="54">
        <f t="shared" si="2"/>
        <v>0</v>
      </c>
      <c r="O41" s="54">
        <f t="shared" si="3"/>
        <v>0</v>
      </c>
      <c r="P41" s="1"/>
    </row>
    <row r="42" spans="2:16" ht="12.5">
      <c r="B42" s="7" t="str">
        <f t="shared" si="6"/>
        <v/>
      </c>
      <c r="C42" s="50">
        <f>IF(D11="","-",+C41+1)</f>
        <v>2033</v>
      </c>
      <c r="D42" s="55">
        <f>IF(F41+SUM(E$17:E41)=D$10,F41,D$10-SUM(E$17:E41))</f>
        <v>1236154.4380471115</v>
      </c>
      <c r="E42" s="378">
        <f>IF(+I14&lt;F41,I14,D42)</f>
        <v>64098.36363636364</v>
      </c>
      <c r="F42" s="55">
        <f t="shared" si="26"/>
        <v>1172056.074410748</v>
      </c>
      <c r="G42" s="379">
        <f t="shared" si="27"/>
        <v>208021.61112295502</v>
      </c>
      <c r="H42" s="364">
        <f t="shared" si="28"/>
        <v>208021.61112295502</v>
      </c>
      <c r="I42" s="52">
        <f t="shared" si="0"/>
        <v>0</v>
      </c>
      <c r="J42" s="52"/>
      <c r="K42" s="129"/>
      <c r="L42" s="54">
        <f t="shared" si="1"/>
        <v>0</v>
      </c>
      <c r="M42" s="129"/>
      <c r="N42" s="54">
        <f t="shared" si="2"/>
        <v>0</v>
      </c>
      <c r="O42" s="54">
        <f t="shared" si="3"/>
        <v>0</v>
      </c>
      <c r="P42" s="1"/>
    </row>
    <row r="43" spans="2:16" ht="12.5">
      <c r="B43" s="7" t="str">
        <f t="shared" si="6"/>
        <v/>
      </c>
      <c r="C43" s="50">
        <f>IF(D11="","-",+C42+1)</f>
        <v>2034</v>
      </c>
      <c r="D43" s="55">
        <f>IF(F42+SUM(E$17:E42)=D$10,F42,D$10-SUM(E$17:E42))</f>
        <v>1172056.074410748</v>
      </c>
      <c r="E43" s="378">
        <f>IF(+I14&lt;F42,I14,D43)</f>
        <v>64098.36363636364</v>
      </c>
      <c r="F43" s="55">
        <f t="shared" si="26"/>
        <v>1107957.7107743844</v>
      </c>
      <c r="G43" s="379">
        <f t="shared" si="27"/>
        <v>200360.11757378315</v>
      </c>
      <c r="H43" s="364">
        <f t="shared" si="28"/>
        <v>200360.11757378315</v>
      </c>
      <c r="I43" s="52">
        <f t="shared" si="0"/>
        <v>0</v>
      </c>
      <c r="J43" s="52"/>
      <c r="K43" s="129"/>
      <c r="L43" s="54">
        <f t="shared" si="1"/>
        <v>0</v>
      </c>
      <c r="M43" s="129"/>
      <c r="N43" s="54">
        <f t="shared" si="2"/>
        <v>0</v>
      </c>
      <c r="O43" s="54">
        <f t="shared" si="3"/>
        <v>0</v>
      </c>
      <c r="P43" s="1"/>
    </row>
    <row r="44" spans="2:16" ht="12.5">
      <c r="B44" s="7" t="str">
        <f t="shared" si="6"/>
        <v/>
      </c>
      <c r="C44" s="50">
        <f>IF(D11="","-",+C43+1)</f>
        <v>2035</v>
      </c>
      <c r="D44" s="55">
        <f>IF(F43+SUM(E$17:E43)=D$10,F43,D$10-SUM(E$17:E43))</f>
        <v>1107957.7107743844</v>
      </c>
      <c r="E44" s="378">
        <f>IF(+I14&lt;F43,I14,D44)</f>
        <v>64098.36363636364</v>
      </c>
      <c r="F44" s="55">
        <f t="shared" si="26"/>
        <v>1043859.3471380208</v>
      </c>
      <c r="G44" s="379">
        <f t="shared" si="27"/>
        <v>192698.62402461126</v>
      </c>
      <c r="H44" s="364">
        <f t="shared" si="28"/>
        <v>192698.62402461126</v>
      </c>
      <c r="I44" s="52">
        <f t="shared" si="0"/>
        <v>0</v>
      </c>
      <c r="J44" s="52"/>
      <c r="K44" s="129"/>
      <c r="L44" s="54">
        <f t="shared" si="1"/>
        <v>0</v>
      </c>
      <c r="M44" s="129"/>
      <c r="N44" s="54">
        <f t="shared" si="2"/>
        <v>0</v>
      </c>
      <c r="O44" s="54">
        <f t="shared" si="3"/>
        <v>0</v>
      </c>
      <c r="P44" s="1"/>
    </row>
    <row r="45" spans="2:16" ht="12.5">
      <c r="B45" s="7" t="str">
        <f t="shared" si="6"/>
        <v/>
      </c>
      <c r="C45" s="50">
        <f>IF(D11="","-",+C44+1)</f>
        <v>2036</v>
      </c>
      <c r="D45" s="55">
        <f>IF(F44+SUM(E$17:E44)=D$10,F44,D$10-SUM(E$17:E44))</f>
        <v>1043859.3471380208</v>
      </c>
      <c r="E45" s="378">
        <f>IF(+I14&lt;F44,I14,D45)</f>
        <v>64098.36363636364</v>
      </c>
      <c r="F45" s="55">
        <f t="shared" si="26"/>
        <v>979760.98350165715</v>
      </c>
      <c r="G45" s="379">
        <f t="shared" si="27"/>
        <v>185037.13047543942</v>
      </c>
      <c r="H45" s="364">
        <f t="shared" si="28"/>
        <v>185037.13047543942</v>
      </c>
      <c r="I45" s="52">
        <f t="shared" si="0"/>
        <v>0</v>
      </c>
      <c r="J45" s="52"/>
      <c r="K45" s="129"/>
      <c r="L45" s="54">
        <f t="shared" si="1"/>
        <v>0</v>
      </c>
      <c r="M45" s="129"/>
      <c r="N45" s="54">
        <f t="shared" si="2"/>
        <v>0</v>
      </c>
      <c r="O45" s="54">
        <f t="shared" si="3"/>
        <v>0</v>
      </c>
      <c r="P45" s="1"/>
    </row>
    <row r="46" spans="2:16" ht="12.5">
      <c r="B46" s="7" t="str">
        <f t="shared" si="6"/>
        <v/>
      </c>
      <c r="C46" s="50">
        <f>IF(D11="","-",+C45+1)</f>
        <v>2037</v>
      </c>
      <c r="D46" s="55">
        <f>IF(F45+SUM(E$17:E45)=D$10,F45,D$10-SUM(E$17:E45))</f>
        <v>979760.98350165715</v>
      </c>
      <c r="E46" s="378">
        <f>IF(+I14&lt;F45,I14,D46)</f>
        <v>64098.36363636364</v>
      </c>
      <c r="F46" s="55">
        <f t="shared" si="26"/>
        <v>915662.6198652935</v>
      </c>
      <c r="G46" s="379">
        <f t="shared" si="27"/>
        <v>177375.63692626753</v>
      </c>
      <c r="H46" s="364">
        <f t="shared" si="28"/>
        <v>177375.63692626753</v>
      </c>
      <c r="I46" s="52">
        <f t="shared" si="0"/>
        <v>0</v>
      </c>
      <c r="J46" s="52"/>
      <c r="K46" s="129"/>
      <c r="L46" s="54">
        <f t="shared" si="1"/>
        <v>0</v>
      </c>
      <c r="M46" s="129"/>
      <c r="N46" s="54">
        <f t="shared" si="2"/>
        <v>0</v>
      </c>
      <c r="O46" s="54">
        <f t="shared" si="3"/>
        <v>0</v>
      </c>
      <c r="P46" s="1"/>
    </row>
    <row r="47" spans="2:16" ht="12.5">
      <c r="B47" s="7" t="str">
        <f t="shared" si="6"/>
        <v/>
      </c>
      <c r="C47" s="50">
        <f>IF(D11="","-",+C46+1)</f>
        <v>2038</v>
      </c>
      <c r="D47" s="55">
        <f>IF(F46+SUM(E$17:E46)=D$10,F46,D$10-SUM(E$17:E46))</f>
        <v>915662.6198652935</v>
      </c>
      <c r="E47" s="378">
        <f>IF(+I14&lt;F46,I14,D47)</f>
        <v>64098.36363636364</v>
      </c>
      <c r="F47" s="55">
        <f t="shared" si="26"/>
        <v>851564.25622892985</v>
      </c>
      <c r="G47" s="379">
        <f t="shared" si="27"/>
        <v>169714.14337709566</v>
      </c>
      <c r="H47" s="364">
        <f t="shared" si="28"/>
        <v>169714.14337709566</v>
      </c>
      <c r="I47" s="52">
        <f t="shared" si="0"/>
        <v>0</v>
      </c>
      <c r="J47" s="52"/>
      <c r="K47" s="129"/>
      <c r="L47" s="54">
        <f t="shared" si="1"/>
        <v>0</v>
      </c>
      <c r="M47" s="129"/>
      <c r="N47" s="54">
        <f t="shared" si="2"/>
        <v>0</v>
      </c>
      <c r="O47" s="54">
        <f t="shared" si="3"/>
        <v>0</v>
      </c>
      <c r="P47" s="1"/>
    </row>
    <row r="48" spans="2:16" ht="12.5">
      <c r="B48" s="7" t="str">
        <f t="shared" si="6"/>
        <v/>
      </c>
      <c r="C48" s="50">
        <f>IF(D11="","-",+C47+1)</f>
        <v>2039</v>
      </c>
      <c r="D48" s="55">
        <f>IF(F47+SUM(E$17:E47)=D$10,F47,D$10-SUM(E$17:E47))</f>
        <v>851564.25622892985</v>
      </c>
      <c r="E48" s="378">
        <f>IF(+I14&lt;F47,I14,D48)</f>
        <v>64098.36363636364</v>
      </c>
      <c r="F48" s="55">
        <f t="shared" si="26"/>
        <v>787465.8925925662</v>
      </c>
      <c r="G48" s="379">
        <f t="shared" si="27"/>
        <v>162052.64982792377</v>
      </c>
      <c r="H48" s="364">
        <f t="shared" si="28"/>
        <v>162052.64982792377</v>
      </c>
      <c r="I48" s="52">
        <f t="shared" si="0"/>
        <v>0</v>
      </c>
      <c r="J48" s="52"/>
      <c r="K48" s="129"/>
      <c r="L48" s="54">
        <f t="shared" si="1"/>
        <v>0</v>
      </c>
      <c r="M48" s="129"/>
      <c r="N48" s="54">
        <f t="shared" si="2"/>
        <v>0</v>
      </c>
      <c r="O48" s="54">
        <f t="shared" si="3"/>
        <v>0</v>
      </c>
      <c r="P48" s="1"/>
    </row>
    <row r="49" spans="2:17" ht="12.5">
      <c r="B49" s="7" t="str">
        <f t="shared" si="6"/>
        <v/>
      </c>
      <c r="C49" s="50">
        <f>IF(D11="","-",+C48+1)</f>
        <v>2040</v>
      </c>
      <c r="D49" s="55">
        <f>IF(F48+SUM(E$17:E48)=D$10,F48,D$10-SUM(E$17:E48))</f>
        <v>787465.8925925662</v>
      </c>
      <c r="E49" s="378">
        <f>IF(+I14&lt;F48,I14,D49)</f>
        <v>64098.36363636364</v>
      </c>
      <c r="F49" s="55">
        <f t="shared" ref="F49:F72" si="29">+D49-E49</f>
        <v>723367.52895620256</v>
      </c>
      <c r="G49" s="379">
        <f t="shared" si="27"/>
        <v>154391.15627875191</v>
      </c>
      <c r="H49" s="364">
        <f t="shared" si="28"/>
        <v>154391.15627875191</v>
      </c>
      <c r="I49" s="52">
        <f t="shared" ref="I49:I72" si="30">H49-G49</f>
        <v>0</v>
      </c>
      <c r="J49" s="52"/>
      <c r="K49" s="129"/>
      <c r="L49" s="54">
        <f t="shared" ref="L49:L72" si="31">IF(K49&lt;&gt;0,+G49-K49,0)</f>
        <v>0</v>
      </c>
      <c r="M49" s="129"/>
      <c r="N49" s="54">
        <f t="shared" ref="N49:N72" si="32">IF(M49&lt;&gt;0,+H49-M49,0)</f>
        <v>0</v>
      </c>
      <c r="O49" s="54">
        <f t="shared" ref="O49:O72" si="33">+N49-L49</f>
        <v>0</v>
      </c>
      <c r="P49" s="1"/>
    </row>
    <row r="50" spans="2:17" ht="12.5">
      <c r="B50" s="7" t="str">
        <f t="shared" si="6"/>
        <v/>
      </c>
      <c r="C50" s="50">
        <f>IF(D11="","-",+C49+1)</f>
        <v>2041</v>
      </c>
      <c r="D50" s="55">
        <f>IF(F49+SUM(E$17:E49)=D$10,F49,D$10-SUM(E$17:E49))</f>
        <v>723367.52895620256</v>
      </c>
      <c r="E50" s="378">
        <f>IF(+I14&lt;F49,I14,D50)</f>
        <v>64098.36363636364</v>
      </c>
      <c r="F50" s="55">
        <f t="shared" si="29"/>
        <v>659269.16531983891</v>
      </c>
      <c r="G50" s="379">
        <f t="shared" si="27"/>
        <v>146729.66272958001</v>
      </c>
      <c r="H50" s="364">
        <f t="shared" si="28"/>
        <v>146729.66272958001</v>
      </c>
      <c r="I50" s="52">
        <f t="shared" si="30"/>
        <v>0</v>
      </c>
      <c r="J50" s="52"/>
      <c r="K50" s="129"/>
      <c r="L50" s="54">
        <f t="shared" si="31"/>
        <v>0</v>
      </c>
      <c r="M50" s="129"/>
      <c r="N50" s="54">
        <f t="shared" si="32"/>
        <v>0</v>
      </c>
      <c r="O50" s="54">
        <f t="shared" si="33"/>
        <v>0</v>
      </c>
      <c r="P50" s="1"/>
    </row>
    <row r="51" spans="2:17" ht="12.5">
      <c r="B51" s="7" t="str">
        <f t="shared" si="6"/>
        <v/>
      </c>
      <c r="C51" s="50">
        <f>IF(D11="","-",+C50+1)</f>
        <v>2042</v>
      </c>
      <c r="D51" s="55">
        <f>IF(F50+SUM(E$17:E50)=D$10,F50,D$10-SUM(E$17:E50))</f>
        <v>659269.16531983891</v>
      </c>
      <c r="E51" s="378">
        <f>IF(+I14&lt;F50,I14,D51)</f>
        <v>64098.36363636364</v>
      </c>
      <c r="F51" s="55">
        <f t="shared" si="29"/>
        <v>595170.80168347526</v>
      </c>
      <c r="G51" s="379">
        <f t="shared" si="27"/>
        <v>139068.16918040815</v>
      </c>
      <c r="H51" s="364">
        <f t="shared" si="28"/>
        <v>139068.16918040815</v>
      </c>
      <c r="I51" s="52">
        <f t="shared" si="30"/>
        <v>0</v>
      </c>
      <c r="J51" s="52"/>
      <c r="K51" s="129"/>
      <c r="L51" s="54">
        <f t="shared" si="31"/>
        <v>0</v>
      </c>
      <c r="M51" s="129"/>
      <c r="N51" s="54">
        <f t="shared" si="32"/>
        <v>0</v>
      </c>
      <c r="O51" s="54">
        <f t="shared" si="33"/>
        <v>0</v>
      </c>
      <c r="P51" s="1"/>
    </row>
    <row r="52" spans="2:17" ht="12.5">
      <c r="B52" s="7" t="str">
        <f t="shared" si="6"/>
        <v/>
      </c>
      <c r="C52" s="50">
        <f>IF(D11="","-",+C51+1)</f>
        <v>2043</v>
      </c>
      <c r="D52" s="55">
        <f>IF(F51+SUM(E$17:E51)=D$10,F51,D$10-SUM(E$17:E51))</f>
        <v>595170.80168347526</v>
      </c>
      <c r="E52" s="378">
        <f>IF(+I14&lt;F51,I14,D52)</f>
        <v>64098.36363636364</v>
      </c>
      <c r="F52" s="55">
        <f t="shared" si="29"/>
        <v>531072.43804711162</v>
      </c>
      <c r="G52" s="379">
        <f t="shared" si="27"/>
        <v>131406.67563123626</v>
      </c>
      <c r="H52" s="364">
        <f t="shared" si="28"/>
        <v>131406.67563123626</v>
      </c>
      <c r="I52" s="52">
        <f t="shared" si="30"/>
        <v>0</v>
      </c>
      <c r="J52" s="52"/>
      <c r="K52" s="129"/>
      <c r="L52" s="54">
        <f t="shared" si="31"/>
        <v>0</v>
      </c>
      <c r="M52" s="129"/>
      <c r="N52" s="54">
        <f t="shared" si="32"/>
        <v>0</v>
      </c>
      <c r="O52" s="54">
        <f t="shared" si="33"/>
        <v>0</v>
      </c>
      <c r="P52" s="1"/>
    </row>
    <row r="53" spans="2:17" ht="12.5">
      <c r="B53" s="7" t="str">
        <f t="shared" si="6"/>
        <v/>
      </c>
      <c r="C53" s="50">
        <f>IF(D11="","-",+C52+1)</f>
        <v>2044</v>
      </c>
      <c r="D53" s="55">
        <f>IF(F52+SUM(E$17:E52)=D$10,F52,D$10-SUM(E$17:E52))</f>
        <v>531072.43804711162</v>
      </c>
      <c r="E53" s="378">
        <f>IF(+I14&lt;F52,I14,D53)</f>
        <v>64098.36363636364</v>
      </c>
      <c r="F53" s="55">
        <f t="shared" si="29"/>
        <v>466974.07441074797</v>
      </c>
      <c r="G53" s="379">
        <f t="shared" si="27"/>
        <v>123745.18208206439</v>
      </c>
      <c r="H53" s="364">
        <f t="shared" si="28"/>
        <v>123745.18208206439</v>
      </c>
      <c r="I53" s="52">
        <f t="shared" si="30"/>
        <v>0</v>
      </c>
      <c r="J53" s="52"/>
      <c r="K53" s="129"/>
      <c r="L53" s="54">
        <f t="shared" si="31"/>
        <v>0</v>
      </c>
      <c r="M53" s="129"/>
      <c r="N53" s="54">
        <f t="shared" si="32"/>
        <v>0</v>
      </c>
      <c r="O53" s="54">
        <f t="shared" si="33"/>
        <v>0</v>
      </c>
      <c r="P53" s="1"/>
    </row>
    <row r="54" spans="2:17" ht="12.5">
      <c r="B54" s="7" t="str">
        <f t="shared" si="6"/>
        <v/>
      </c>
      <c r="C54" s="50">
        <f>IF(D11="","-",+C53+1)</f>
        <v>2045</v>
      </c>
      <c r="D54" s="55">
        <f>IF(F53+SUM(E$17:E53)=D$10,F53,D$10-SUM(E$17:E53))</f>
        <v>466974.07441074797</v>
      </c>
      <c r="E54" s="378">
        <f>IF(+I14&lt;F53,I14,D54)</f>
        <v>64098.36363636364</v>
      </c>
      <c r="F54" s="55">
        <f t="shared" si="29"/>
        <v>402875.71077438432</v>
      </c>
      <c r="G54" s="379">
        <f t="shared" si="27"/>
        <v>116083.68853289253</v>
      </c>
      <c r="H54" s="364">
        <f t="shared" si="28"/>
        <v>116083.68853289253</v>
      </c>
      <c r="I54" s="52">
        <f t="shared" si="30"/>
        <v>0</v>
      </c>
      <c r="J54" s="52"/>
      <c r="K54" s="129"/>
      <c r="L54" s="54">
        <f t="shared" si="31"/>
        <v>0</v>
      </c>
      <c r="M54" s="129"/>
      <c r="N54" s="54">
        <f t="shared" si="32"/>
        <v>0</v>
      </c>
      <c r="O54" s="54">
        <f t="shared" si="33"/>
        <v>0</v>
      </c>
      <c r="P54" s="1"/>
    </row>
    <row r="55" spans="2:17" ht="12.5">
      <c r="B55" s="7" t="str">
        <f t="shared" si="6"/>
        <v/>
      </c>
      <c r="C55" s="50">
        <f>IF(D11="","-",+C54+1)</f>
        <v>2046</v>
      </c>
      <c r="D55" s="55">
        <f>IF(F54+SUM(E$17:E54)=D$10,F54,D$10-SUM(E$17:E54))</f>
        <v>402875.71077438432</v>
      </c>
      <c r="E55" s="378">
        <f>IF(+I14&lt;F54,I14,D55)</f>
        <v>64098.36363636364</v>
      </c>
      <c r="F55" s="55">
        <f t="shared" si="29"/>
        <v>338777.34713802068</v>
      </c>
      <c r="G55" s="379">
        <f t="shared" si="27"/>
        <v>108422.19498372063</v>
      </c>
      <c r="H55" s="364">
        <f t="shared" si="28"/>
        <v>108422.19498372063</v>
      </c>
      <c r="I55" s="52">
        <f t="shared" si="30"/>
        <v>0</v>
      </c>
      <c r="J55" s="52"/>
      <c r="K55" s="129"/>
      <c r="L55" s="54">
        <f t="shared" si="31"/>
        <v>0</v>
      </c>
      <c r="M55" s="129"/>
      <c r="N55" s="54">
        <f t="shared" si="32"/>
        <v>0</v>
      </c>
      <c r="O55" s="54">
        <f t="shared" si="33"/>
        <v>0</v>
      </c>
      <c r="P55" s="1"/>
    </row>
    <row r="56" spans="2:17" ht="12.5">
      <c r="B56" s="7" t="str">
        <f t="shared" si="6"/>
        <v/>
      </c>
      <c r="C56" s="50">
        <f>IF(D11="","-",+C55+1)</f>
        <v>2047</v>
      </c>
      <c r="D56" s="55">
        <f>IF(F55+SUM(E$17:E55)=D$10,F55,D$10-SUM(E$17:E55))</f>
        <v>338777.34713802068</v>
      </c>
      <c r="E56" s="378">
        <f>IF(+I14&lt;F55,I14,D56)</f>
        <v>64098.36363636364</v>
      </c>
      <c r="F56" s="55">
        <f t="shared" si="29"/>
        <v>274678.98350165703</v>
      </c>
      <c r="G56" s="379">
        <f t="shared" si="27"/>
        <v>100760.70143454877</v>
      </c>
      <c r="H56" s="364">
        <f t="shared" si="28"/>
        <v>100760.70143454877</v>
      </c>
      <c r="I56" s="52">
        <f t="shared" si="30"/>
        <v>0</v>
      </c>
      <c r="J56" s="52"/>
      <c r="K56" s="129"/>
      <c r="L56" s="54">
        <f t="shared" si="31"/>
        <v>0</v>
      </c>
      <c r="M56" s="129"/>
      <c r="N56" s="54">
        <f t="shared" si="32"/>
        <v>0</v>
      </c>
      <c r="O56" s="54">
        <f t="shared" si="33"/>
        <v>0</v>
      </c>
      <c r="P56" s="1"/>
    </row>
    <row r="57" spans="2:17" ht="12.5">
      <c r="B57" s="7" t="str">
        <f t="shared" si="6"/>
        <v/>
      </c>
      <c r="C57" s="50">
        <f>IF(D11="","-",+C56+1)</f>
        <v>2048</v>
      </c>
      <c r="D57" s="55">
        <f>IF(F56+SUM(E$17:E56)=D$10,F56,D$10-SUM(E$17:E56))</f>
        <v>274678.98350165703</v>
      </c>
      <c r="E57" s="378">
        <f>IF(+I14&lt;F56,I14,D57)</f>
        <v>64098.36363636364</v>
      </c>
      <c r="F57" s="55">
        <f t="shared" si="29"/>
        <v>210580.61986529338</v>
      </c>
      <c r="G57" s="379">
        <f t="shared" si="27"/>
        <v>93099.207885376891</v>
      </c>
      <c r="H57" s="364">
        <f t="shared" si="28"/>
        <v>93099.207885376891</v>
      </c>
      <c r="I57" s="52">
        <f t="shared" si="30"/>
        <v>0</v>
      </c>
      <c r="J57" s="52"/>
      <c r="K57" s="129"/>
      <c r="L57" s="54">
        <f t="shared" si="31"/>
        <v>0</v>
      </c>
      <c r="M57" s="129"/>
      <c r="N57" s="54">
        <f t="shared" si="32"/>
        <v>0</v>
      </c>
      <c r="O57" s="54">
        <f t="shared" si="33"/>
        <v>0</v>
      </c>
      <c r="P57" s="1"/>
    </row>
    <row r="58" spans="2:17" ht="12.5">
      <c r="B58" s="7" t="str">
        <f t="shared" si="6"/>
        <v/>
      </c>
      <c r="C58" s="50">
        <f>IF(D11="","-",+C57+1)</f>
        <v>2049</v>
      </c>
      <c r="D58" s="55">
        <f>IF(F57+SUM(E$17:E57)=D$10,F57,D$10-SUM(E$17:E57))</f>
        <v>210580.61986529338</v>
      </c>
      <c r="E58" s="378">
        <f>IF(+I14&lt;F57,I14,D58)</f>
        <v>64098.36363636364</v>
      </c>
      <c r="F58" s="55">
        <f t="shared" si="29"/>
        <v>146482.25622892973</v>
      </c>
      <c r="G58" s="379">
        <f t="shared" si="27"/>
        <v>85437.714336205012</v>
      </c>
      <c r="H58" s="364">
        <f t="shared" si="28"/>
        <v>85437.714336205012</v>
      </c>
      <c r="I58" s="52">
        <f t="shared" si="30"/>
        <v>0</v>
      </c>
      <c r="J58" s="52"/>
      <c r="K58" s="129"/>
      <c r="L58" s="54">
        <f t="shared" si="31"/>
        <v>0</v>
      </c>
      <c r="M58" s="129"/>
      <c r="N58" s="54">
        <f t="shared" si="32"/>
        <v>0</v>
      </c>
      <c r="O58" s="54">
        <f t="shared" si="33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6"/>
        <v/>
      </c>
      <c r="C59" s="50">
        <f>IF(D11="","-",+C58+1)</f>
        <v>2050</v>
      </c>
      <c r="D59" s="55">
        <f>IF(F58+SUM(E$17:E58)=D$10,F58,D$10-SUM(E$17:E58))</f>
        <v>146482.25622892973</v>
      </c>
      <c r="E59" s="378">
        <f>IF(+I14&lt;F58,I14,D59)</f>
        <v>64098.36363636364</v>
      </c>
      <c r="F59" s="55">
        <f t="shared" si="29"/>
        <v>82383.892592566088</v>
      </c>
      <c r="G59" s="379">
        <f t="shared" si="27"/>
        <v>77776.220787033148</v>
      </c>
      <c r="H59" s="364">
        <f t="shared" si="28"/>
        <v>77776.220787033148</v>
      </c>
      <c r="I59" s="52">
        <f t="shared" si="30"/>
        <v>0</v>
      </c>
      <c r="J59" s="52"/>
      <c r="K59" s="129"/>
      <c r="L59" s="54">
        <f t="shared" si="31"/>
        <v>0</v>
      </c>
      <c r="M59" s="129"/>
      <c r="N59" s="54">
        <f t="shared" si="32"/>
        <v>0</v>
      </c>
      <c r="O59" s="54">
        <f t="shared" si="33"/>
        <v>0</v>
      </c>
      <c r="P59" s="1"/>
    </row>
    <row r="60" spans="2:17" ht="12.5">
      <c r="B60" s="7" t="str">
        <f t="shared" si="6"/>
        <v/>
      </c>
      <c r="C60" s="50">
        <f>IF(D11="","-",+C59+1)</f>
        <v>2051</v>
      </c>
      <c r="D60" s="55">
        <f>IF(F59+SUM(E$17:E59)=D$10,F59,D$10-SUM(E$17:E59))</f>
        <v>82383.892592566088</v>
      </c>
      <c r="E60" s="378">
        <f>IF(+I14&lt;F59,I14,D60)</f>
        <v>64098.36363636364</v>
      </c>
      <c r="F60" s="55">
        <f t="shared" si="29"/>
        <v>18285.528956202448</v>
      </c>
      <c r="G60" s="379">
        <f t="shared" si="27"/>
        <v>70114.727237861269</v>
      </c>
      <c r="H60" s="364">
        <f t="shared" si="28"/>
        <v>70114.727237861269</v>
      </c>
      <c r="I60" s="52">
        <f t="shared" si="30"/>
        <v>0</v>
      </c>
      <c r="J60" s="52"/>
      <c r="K60" s="129"/>
      <c r="L60" s="54">
        <f t="shared" si="31"/>
        <v>0</v>
      </c>
      <c r="M60" s="129"/>
      <c r="N60" s="54">
        <f t="shared" si="32"/>
        <v>0</v>
      </c>
      <c r="O60" s="54">
        <f t="shared" si="33"/>
        <v>0</v>
      </c>
      <c r="P60" s="1"/>
    </row>
    <row r="61" spans="2:17" ht="12.5">
      <c r="B61" s="7" t="str">
        <f t="shared" si="6"/>
        <v/>
      </c>
      <c r="C61" s="50">
        <f>IF(D11="","-",+C60+1)</f>
        <v>2052</v>
      </c>
      <c r="D61" s="55">
        <f>IF(F60+SUM(E$17:E60)=D$10,F60,D$10-SUM(E$17:E60))</f>
        <v>18285.528956202448</v>
      </c>
      <c r="E61" s="378">
        <f>IF(+I14&lt;F60,I14,D61)</f>
        <v>18285.528956202448</v>
      </c>
      <c r="F61" s="55">
        <f t="shared" si="29"/>
        <v>0</v>
      </c>
      <c r="G61" s="380">
        <f t="shared" si="27"/>
        <v>19378.337369658293</v>
      </c>
      <c r="H61" s="364">
        <f t="shared" si="28"/>
        <v>19378.337369658293</v>
      </c>
      <c r="I61" s="52">
        <f t="shared" si="30"/>
        <v>0</v>
      </c>
      <c r="J61" s="52"/>
      <c r="K61" s="129"/>
      <c r="L61" s="54">
        <f t="shared" si="31"/>
        <v>0</v>
      </c>
      <c r="M61" s="129"/>
      <c r="N61" s="54">
        <f t="shared" si="32"/>
        <v>0</v>
      </c>
      <c r="O61" s="54">
        <f t="shared" si="33"/>
        <v>0</v>
      </c>
      <c r="P61" s="1"/>
    </row>
    <row r="62" spans="2:17" ht="12.5">
      <c r="B62" s="7" t="str">
        <f t="shared" si="6"/>
        <v/>
      </c>
      <c r="C62" s="50">
        <f>IF(D11="","-",+C61+1)</f>
        <v>2053</v>
      </c>
      <c r="D62" s="55">
        <f>IF(F61+SUM(E$17:E61)=D$10,F61,D$10-SUM(E$17:E61))</f>
        <v>0</v>
      </c>
      <c r="E62" s="378">
        <f>IF(+I14&lt;F61,I14,D62)</f>
        <v>0</v>
      </c>
      <c r="F62" s="55">
        <f t="shared" si="29"/>
        <v>0</v>
      </c>
      <c r="G62" s="380">
        <f t="shared" si="27"/>
        <v>0</v>
      </c>
      <c r="H62" s="364">
        <f t="shared" si="28"/>
        <v>0</v>
      </c>
      <c r="I62" s="52">
        <f t="shared" si="30"/>
        <v>0</v>
      </c>
      <c r="J62" s="52"/>
      <c r="K62" s="129"/>
      <c r="L62" s="54">
        <f t="shared" si="31"/>
        <v>0</v>
      </c>
      <c r="M62" s="129"/>
      <c r="N62" s="54">
        <f t="shared" si="32"/>
        <v>0</v>
      </c>
      <c r="O62" s="54">
        <f t="shared" si="33"/>
        <v>0</v>
      </c>
      <c r="P62" s="1"/>
    </row>
    <row r="63" spans="2:17" ht="12.5">
      <c r="B63" s="7" t="str">
        <f t="shared" si="6"/>
        <v/>
      </c>
      <c r="C63" s="50">
        <f>IF(D11="","-",+C62+1)</f>
        <v>2054</v>
      </c>
      <c r="D63" s="55">
        <f>IF(F62+SUM(E$17:E62)=D$10,F62,D$10-SUM(E$17:E62))</f>
        <v>0</v>
      </c>
      <c r="E63" s="378">
        <f>IF(+I14&lt;F62,I14,D63)</f>
        <v>0</v>
      </c>
      <c r="F63" s="55">
        <f t="shared" si="29"/>
        <v>0</v>
      </c>
      <c r="G63" s="380">
        <f t="shared" si="27"/>
        <v>0</v>
      </c>
      <c r="H63" s="364">
        <f t="shared" si="28"/>
        <v>0</v>
      </c>
      <c r="I63" s="52">
        <f t="shared" si="30"/>
        <v>0</v>
      </c>
      <c r="J63" s="52"/>
      <c r="K63" s="129"/>
      <c r="L63" s="54">
        <f t="shared" si="31"/>
        <v>0</v>
      </c>
      <c r="M63" s="129"/>
      <c r="N63" s="54">
        <f t="shared" si="32"/>
        <v>0</v>
      </c>
      <c r="O63" s="54">
        <f t="shared" si="33"/>
        <v>0</v>
      </c>
      <c r="P63" s="1"/>
    </row>
    <row r="64" spans="2:17" ht="12.5">
      <c r="B64" s="7" t="str">
        <f t="shared" si="6"/>
        <v/>
      </c>
      <c r="C64" s="50">
        <f>IF(D11="","-",+C63+1)</f>
        <v>2055</v>
      </c>
      <c r="D64" s="55">
        <f>IF(F63+SUM(E$17:E63)=D$10,F63,D$10-SUM(E$17:E63))</f>
        <v>0</v>
      </c>
      <c r="E64" s="378">
        <f>IF(+I14&lt;F63,I14,D64)</f>
        <v>0</v>
      </c>
      <c r="F64" s="55">
        <f t="shared" si="29"/>
        <v>0</v>
      </c>
      <c r="G64" s="380">
        <f t="shared" si="27"/>
        <v>0</v>
      </c>
      <c r="H64" s="364">
        <f t="shared" si="28"/>
        <v>0</v>
      </c>
      <c r="I64" s="52">
        <f t="shared" si="30"/>
        <v>0</v>
      </c>
      <c r="J64" s="52"/>
      <c r="K64" s="129"/>
      <c r="L64" s="54">
        <f t="shared" si="31"/>
        <v>0</v>
      </c>
      <c r="M64" s="129"/>
      <c r="N64" s="54">
        <f t="shared" si="32"/>
        <v>0</v>
      </c>
      <c r="O64" s="54">
        <f t="shared" si="33"/>
        <v>0</v>
      </c>
      <c r="P64" s="1"/>
    </row>
    <row r="65" spans="1:16" ht="12.5">
      <c r="B65" s="7" t="str">
        <f t="shared" si="6"/>
        <v/>
      </c>
      <c r="C65" s="50">
        <f>IF(D11="","-",+C64+1)</f>
        <v>2056</v>
      </c>
      <c r="D65" s="55">
        <f>IF(F64+SUM(E$17:E64)=D$10,F64,D$10-SUM(E$17:E64))</f>
        <v>0</v>
      </c>
      <c r="E65" s="378">
        <f>IF(+I14&lt;F64,I14,D65)</f>
        <v>0</v>
      </c>
      <c r="F65" s="55">
        <f t="shared" si="29"/>
        <v>0</v>
      </c>
      <c r="G65" s="380">
        <f t="shared" si="27"/>
        <v>0</v>
      </c>
      <c r="H65" s="364">
        <f t="shared" si="28"/>
        <v>0</v>
      </c>
      <c r="I65" s="52">
        <f t="shared" si="30"/>
        <v>0</v>
      </c>
      <c r="J65" s="52"/>
      <c r="K65" s="129"/>
      <c r="L65" s="54">
        <f t="shared" si="31"/>
        <v>0</v>
      </c>
      <c r="M65" s="129"/>
      <c r="N65" s="54">
        <f t="shared" si="32"/>
        <v>0</v>
      </c>
      <c r="O65" s="54">
        <f t="shared" si="33"/>
        <v>0</v>
      </c>
      <c r="P65" s="1"/>
    </row>
    <row r="66" spans="1:16" ht="12.5">
      <c r="B66" s="7" t="str">
        <f t="shared" si="6"/>
        <v/>
      </c>
      <c r="C66" s="50">
        <f>IF(D11="","-",+C65+1)</f>
        <v>2057</v>
      </c>
      <c r="D66" s="55">
        <f>IF(F65+SUM(E$17:E65)=D$10,F65,D$10-SUM(E$17:E65))</f>
        <v>0</v>
      </c>
      <c r="E66" s="378">
        <f>IF(+I14&lt;F65,I14,D66)</f>
        <v>0</v>
      </c>
      <c r="F66" s="55">
        <f t="shared" si="29"/>
        <v>0</v>
      </c>
      <c r="G66" s="380">
        <f t="shared" si="27"/>
        <v>0</v>
      </c>
      <c r="H66" s="364">
        <f t="shared" si="28"/>
        <v>0</v>
      </c>
      <c r="I66" s="52">
        <f t="shared" si="30"/>
        <v>0</v>
      </c>
      <c r="J66" s="52"/>
      <c r="K66" s="129"/>
      <c r="L66" s="54">
        <f t="shared" si="31"/>
        <v>0</v>
      </c>
      <c r="M66" s="129"/>
      <c r="N66" s="54">
        <f t="shared" si="32"/>
        <v>0</v>
      </c>
      <c r="O66" s="54">
        <f t="shared" si="33"/>
        <v>0</v>
      </c>
      <c r="P66" s="1"/>
    </row>
    <row r="67" spans="1:16" ht="12.5">
      <c r="B67" s="7" t="str">
        <f t="shared" si="6"/>
        <v/>
      </c>
      <c r="C67" s="50">
        <f>IF(D11="","-",+C66+1)</f>
        <v>2058</v>
      </c>
      <c r="D67" s="55">
        <f>IF(F66+SUM(E$17:E66)=D$10,F66,D$10-SUM(E$17:E66))</f>
        <v>0</v>
      </c>
      <c r="E67" s="378">
        <f>IF(+I14&lt;F66,I14,D67)</f>
        <v>0</v>
      </c>
      <c r="F67" s="55">
        <f t="shared" si="29"/>
        <v>0</v>
      </c>
      <c r="G67" s="380">
        <f t="shared" si="27"/>
        <v>0</v>
      </c>
      <c r="H67" s="364">
        <f t="shared" si="28"/>
        <v>0</v>
      </c>
      <c r="I67" s="52">
        <f t="shared" si="30"/>
        <v>0</v>
      </c>
      <c r="J67" s="52"/>
      <c r="K67" s="129"/>
      <c r="L67" s="54">
        <f t="shared" si="31"/>
        <v>0</v>
      </c>
      <c r="M67" s="129"/>
      <c r="N67" s="54">
        <f t="shared" si="32"/>
        <v>0</v>
      </c>
      <c r="O67" s="54">
        <f t="shared" si="33"/>
        <v>0</v>
      </c>
      <c r="P67" s="1"/>
    </row>
    <row r="68" spans="1:16" ht="12.5">
      <c r="B68" s="7" t="str">
        <f t="shared" si="6"/>
        <v/>
      </c>
      <c r="C68" s="50">
        <f>IF(D11="","-",+C67+1)</f>
        <v>2059</v>
      </c>
      <c r="D68" s="55">
        <f>IF(F67+SUM(E$17:E67)=D$10,F67,D$10-SUM(E$17:E67))</f>
        <v>0</v>
      </c>
      <c r="E68" s="378">
        <f>IF(+I14&lt;F67,I14,D68)</f>
        <v>0</v>
      </c>
      <c r="F68" s="55">
        <f t="shared" si="29"/>
        <v>0</v>
      </c>
      <c r="G68" s="380">
        <f t="shared" si="27"/>
        <v>0</v>
      </c>
      <c r="H68" s="364">
        <f t="shared" si="28"/>
        <v>0</v>
      </c>
      <c r="I68" s="52">
        <f t="shared" si="30"/>
        <v>0</v>
      </c>
      <c r="J68" s="52"/>
      <c r="K68" s="129"/>
      <c r="L68" s="54">
        <f t="shared" si="31"/>
        <v>0</v>
      </c>
      <c r="M68" s="129"/>
      <c r="N68" s="54">
        <f t="shared" si="32"/>
        <v>0</v>
      </c>
      <c r="O68" s="54">
        <f t="shared" si="33"/>
        <v>0</v>
      </c>
      <c r="P68" s="1"/>
    </row>
    <row r="69" spans="1:16" ht="12.5">
      <c r="B69" s="7" t="str">
        <f t="shared" si="6"/>
        <v/>
      </c>
      <c r="C69" s="50">
        <f>IF(D11="","-",+C68+1)</f>
        <v>2060</v>
      </c>
      <c r="D69" s="55">
        <f>IF(F68+SUM(E$17:E68)=D$10,F68,D$10-SUM(E$17:E68))</f>
        <v>0</v>
      </c>
      <c r="E69" s="378">
        <f>IF(+I14&lt;F68,I14,D69)</f>
        <v>0</v>
      </c>
      <c r="F69" s="55">
        <f t="shared" si="29"/>
        <v>0</v>
      </c>
      <c r="G69" s="380">
        <f t="shared" si="27"/>
        <v>0</v>
      </c>
      <c r="H69" s="364">
        <f t="shared" si="28"/>
        <v>0</v>
      </c>
      <c r="I69" s="52">
        <f t="shared" si="30"/>
        <v>0</v>
      </c>
      <c r="J69" s="52"/>
      <c r="K69" s="129"/>
      <c r="L69" s="54">
        <f t="shared" si="31"/>
        <v>0</v>
      </c>
      <c r="M69" s="129"/>
      <c r="N69" s="54">
        <f t="shared" si="32"/>
        <v>0</v>
      </c>
      <c r="O69" s="54">
        <f t="shared" si="33"/>
        <v>0</v>
      </c>
      <c r="P69" s="1"/>
    </row>
    <row r="70" spans="1:16" ht="12.5">
      <c r="B70" s="7" t="str">
        <f t="shared" si="6"/>
        <v/>
      </c>
      <c r="C70" s="50">
        <f>IF(D11="","-",+C69+1)</f>
        <v>2061</v>
      </c>
      <c r="D70" s="55">
        <f>IF(F69+SUM(E$17:E69)=D$10,F69,D$10-SUM(E$17:E69))</f>
        <v>0</v>
      </c>
      <c r="E70" s="378">
        <f>IF(+I14&lt;F69,I14,D70)</f>
        <v>0</v>
      </c>
      <c r="F70" s="55">
        <f t="shared" si="29"/>
        <v>0</v>
      </c>
      <c r="G70" s="380">
        <f t="shared" si="27"/>
        <v>0</v>
      </c>
      <c r="H70" s="364">
        <f t="shared" si="28"/>
        <v>0</v>
      </c>
      <c r="I70" s="52">
        <f t="shared" si="30"/>
        <v>0</v>
      </c>
      <c r="J70" s="52"/>
      <c r="K70" s="129"/>
      <c r="L70" s="54">
        <f t="shared" si="31"/>
        <v>0</v>
      </c>
      <c r="M70" s="129"/>
      <c r="N70" s="54">
        <f t="shared" si="32"/>
        <v>0</v>
      </c>
      <c r="O70" s="54">
        <f t="shared" si="33"/>
        <v>0</v>
      </c>
      <c r="P70" s="1"/>
    </row>
    <row r="71" spans="1:16" ht="12.5">
      <c r="B71" s="7" t="str">
        <f t="shared" si="6"/>
        <v/>
      </c>
      <c r="C71" s="50">
        <f>IF(D11="","-",+C70+1)</f>
        <v>2062</v>
      </c>
      <c r="D71" s="55">
        <f>IF(F70+SUM(E$17:E70)=D$10,F70,D$10-SUM(E$17:E70))</f>
        <v>0</v>
      </c>
      <c r="E71" s="378">
        <f>IF(+I14&lt;F70,I14,D71)</f>
        <v>0</v>
      </c>
      <c r="F71" s="55">
        <f t="shared" si="29"/>
        <v>0</v>
      </c>
      <c r="G71" s="380">
        <f t="shared" si="27"/>
        <v>0</v>
      </c>
      <c r="H71" s="364">
        <f t="shared" si="28"/>
        <v>0</v>
      </c>
      <c r="I71" s="52">
        <f t="shared" si="30"/>
        <v>0</v>
      </c>
      <c r="J71" s="52"/>
      <c r="K71" s="129"/>
      <c r="L71" s="54">
        <f t="shared" si="31"/>
        <v>0</v>
      </c>
      <c r="M71" s="129"/>
      <c r="N71" s="54">
        <f t="shared" si="32"/>
        <v>0</v>
      </c>
      <c r="O71" s="54">
        <f t="shared" si="33"/>
        <v>0</v>
      </c>
      <c r="P71" s="1"/>
    </row>
    <row r="72" spans="1:16" ht="13" thickBot="1">
      <c r="B72" s="7" t="str">
        <f t="shared" si="6"/>
        <v/>
      </c>
      <c r="C72" s="59">
        <f>IF(D11="","-",+C71+1)</f>
        <v>2063</v>
      </c>
      <c r="D72" s="60">
        <f>IF(F71+SUM(E$17:E71)=D$10,F71,D$10-SUM(E$17:E71))</f>
        <v>0</v>
      </c>
      <c r="E72" s="381">
        <f>IF(+I14&lt;F71,I14,D72)</f>
        <v>0</v>
      </c>
      <c r="F72" s="60">
        <f t="shared" si="29"/>
        <v>0</v>
      </c>
      <c r="G72" s="382">
        <f t="shared" si="27"/>
        <v>0</v>
      </c>
      <c r="H72" s="362">
        <f t="shared" si="28"/>
        <v>0</v>
      </c>
      <c r="I72" s="63">
        <f t="shared" si="30"/>
        <v>0</v>
      </c>
      <c r="J72" s="52"/>
      <c r="K72" s="130"/>
      <c r="L72" s="64">
        <f t="shared" si="31"/>
        <v>0</v>
      </c>
      <c r="M72" s="130"/>
      <c r="N72" s="64">
        <f t="shared" si="32"/>
        <v>0</v>
      </c>
      <c r="O72" s="64">
        <f t="shared" si="33"/>
        <v>0</v>
      </c>
      <c r="P72" s="1"/>
    </row>
    <row r="73" spans="1:16" ht="12.5">
      <c r="C73" s="12" t="s">
        <v>78</v>
      </c>
      <c r="D73" s="293"/>
      <c r="E73" s="293">
        <f>SUM(E17:E72)</f>
        <v>2820328</v>
      </c>
      <c r="F73" s="293"/>
      <c r="G73" s="293">
        <f>SUM(G17:G72)</f>
        <v>10359687.609268775</v>
      </c>
      <c r="H73" s="293">
        <f>SUM(H17:H72)</f>
        <v>10359688.609268775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7.5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9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276975.05306550174</v>
      </c>
      <c r="N87" s="387">
        <f>IF(J92&lt;D11,0,VLOOKUP(J92,C17:O72,11))</f>
        <v>276975.05306550174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284314.78412420192</v>
      </c>
      <c r="N88" s="390">
        <f>IF(J92&lt;D11,0,VLOOKUP(J92,C99:P154,7))</f>
        <v>284314.78412420192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Northwest Texarkana-Bann-Alumax Tap 138kV -- reconductor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7339.7310587001848</v>
      </c>
      <c r="N89" s="392">
        <f>+N88-N87</f>
        <v>7339.7310587001848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TP2006130</v>
      </c>
      <c r="E91" s="76" t="s">
        <v>494</v>
      </c>
      <c r="F91" s="76" t="str">
        <f>F9</f>
        <v>115 &amp; 116</v>
      </c>
      <c r="G91" s="76"/>
      <c r="H91" s="76"/>
      <c r="I91" s="76"/>
      <c r="J91" s="95"/>
      <c r="Q91" s="1"/>
    </row>
    <row r="92" spans="1:17" ht="13">
      <c r="C92" s="34" t="s">
        <v>51</v>
      </c>
      <c r="D92" s="363">
        <f>D10</f>
        <v>2820328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  <c r="Q92" s="1"/>
    </row>
    <row r="93" spans="1:17" ht="12.5">
      <c r="C93" s="34" t="s">
        <v>54</v>
      </c>
      <c r="D93" s="88">
        <f>IF(D11=I10,"",D11)</f>
        <v>2008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4">
        <f>IF(D11=I10,"",D12)</f>
        <v>4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64098.36363636364</v>
      </c>
      <c r="K96" s="293"/>
      <c r="L96" s="293"/>
      <c r="M96" s="293"/>
      <c r="N96" s="293"/>
      <c r="O96" s="293"/>
      <c r="P96" s="1"/>
      <c r="Q96" s="1"/>
    </row>
    <row r="97" spans="1:17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 ht="12.5">
      <c r="C99" s="50">
        <f>IF(D93= "","-",D93)</f>
        <v>2008</v>
      </c>
      <c r="D99" s="133">
        <v>0</v>
      </c>
      <c r="E99" s="376">
        <v>33602</v>
      </c>
      <c r="F99" s="137">
        <v>1831326</v>
      </c>
      <c r="G99" s="140">
        <v>915663</v>
      </c>
      <c r="H99" s="397">
        <v>179560</v>
      </c>
      <c r="I99" s="398">
        <v>179560</v>
      </c>
      <c r="J99" s="54">
        <f t="shared" ref="J99:J130" si="34">+I99-H99</f>
        <v>0</v>
      </c>
      <c r="K99" s="54"/>
      <c r="L99" s="112">
        <v>179560</v>
      </c>
      <c r="M99" s="53">
        <f t="shared" ref="M99:M130" si="35">IF(L99&lt;&gt;0,+H99-L99,0)</f>
        <v>0</v>
      </c>
      <c r="N99" s="112">
        <v>179560</v>
      </c>
      <c r="O99" s="53">
        <f t="shared" ref="O99:O130" si="36">IF(N99&lt;&gt;0,+I99-N99,0)</f>
        <v>0</v>
      </c>
      <c r="P99" s="53">
        <f t="shared" ref="P99:P130" si="37">+O99-M99</f>
        <v>0</v>
      </c>
      <c r="Q99" s="1"/>
    </row>
    <row r="100" spans="1:17" ht="12.5">
      <c r="B100" s="7" t="str">
        <f>IF(D100=F99,"","IU")</f>
        <v>IU</v>
      </c>
      <c r="C100" s="50">
        <f>IF(D93="","-",+C99+1)</f>
        <v>2009</v>
      </c>
      <c r="D100" s="133">
        <v>1829504</v>
      </c>
      <c r="E100" s="376">
        <v>49029</v>
      </c>
      <c r="F100" s="137">
        <v>1780474</v>
      </c>
      <c r="G100" s="137">
        <v>1804989</v>
      </c>
      <c r="H100" s="376">
        <v>310279</v>
      </c>
      <c r="I100" s="375">
        <v>310279</v>
      </c>
      <c r="J100" s="54">
        <f t="shared" si="34"/>
        <v>0</v>
      </c>
      <c r="K100" s="54"/>
      <c r="L100" s="113">
        <f t="shared" ref="L100:L105" si="38">H100</f>
        <v>310279</v>
      </c>
      <c r="M100" s="54">
        <f t="shared" si="35"/>
        <v>0</v>
      </c>
      <c r="N100" s="113">
        <f t="shared" ref="N100:N105" si="39">I100</f>
        <v>310279</v>
      </c>
      <c r="O100" s="54">
        <f t="shared" si="36"/>
        <v>0</v>
      </c>
      <c r="P100" s="54">
        <f t="shared" si="37"/>
        <v>0</v>
      </c>
      <c r="Q100" s="1"/>
    </row>
    <row r="101" spans="1:17" ht="12.5">
      <c r="B101" s="7" t="str">
        <f t="shared" ref="B101:B154" si="40">IF(D101=F100,"","IU")</f>
        <v>IU</v>
      </c>
      <c r="C101" s="50">
        <f>IF(D93="","-",+C100+1)</f>
        <v>2010</v>
      </c>
      <c r="D101" s="133">
        <v>2737747</v>
      </c>
      <c r="E101" s="376">
        <v>68789.707317073175</v>
      </c>
      <c r="F101" s="137">
        <v>2668957.2926829266</v>
      </c>
      <c r="G101" s="137">
        <v>2703352.1463414636</v>
      </c>
      <c r="H101" s="376">
        <v>515075.52172744781</v>
      </c>
      <c r="I101" s="375">
        <v>515075.52172744781</v>
      </c>
      <c r="J101" s="54">
        <f t="shared" si="34"/>
        <v>0</v>
      </c>
      <c r="K101" s="54"/>
      <c r="L101" s="113">
        <f t="shared" si="38"/>
        <v>515075.52172744781</v>
      </c>
      <c r="M101" s="54">
        <f t="shared" si="35"/>
        <v>0</v>
      </c>
      <c r="N101" s="113">
        <f t="shared" si="39"/>
        <v>515075.52172744781</v>
      </c>
      <c r="O101" s="54">
        <f t="shared" si="36"/>
        <v>0</v>
      </c>
      <c r="P101" s="54">
        <f t="shared" si="37"/>
        <v>0</v>
      </c>
      <c r="Q101" s="1"/>
    </row>
    <row r="102" spans="1:17" ht="12.5">
      <c r="B102" s="7" t="str">
        <f t="shared" si="40"/>
        <v/>
      </c>
      <c r="C102" s="50">
        <f>IF(D93="","-",+C101+1)</f>
        <v>2011</v>
      </c>
      <c r="D102" s="133">
        <v>2668957.2926829266</v>
      </c>
      <c r="E102" s="377">
        <v>67151.857142857145</v>
      </c>
      <c r="F102" s="137">
        <v>2601805.4355400694</v>
      </c>
      <c r="G102" s="137">
        <v>2635381.364111498</v>
      </c>
      <c r="H102" s="376">
        <v>463460.24648079689</v>
      </c>
      <c r="I102" s="375">
        <v>463460.24648079689</v>
      </c>
      <c r="J102" s="54">
        <f t="shared" si="34"/>
        <v>0</v>
      </c>
      <c r="K102" s="54"/>
      <c r="L102" s="113">
        <f t="shared" si="38"/>
        <v>463460.24648079689</v>
      </c>
      <c r="M102" s="54">
        <f t="shared" si="35"/>
        <v>0</v>
      </c>
      <c r="N102" s="113">
        <f t="shared" si="39"/>
        <v>463460.24648079689</v>
      </c>
      <c r="O102" s="54">
        <f t="shared" si="36"/>
        <v>0</v>
      </c>
      <c r="P102" s="54">
        <f t="shared" si="37"/>
        <v>0</v>
      </c>
      <c r="Q102" s="1"/>
    </row>
    <row r="103" spans="1:17" ht="12.5">
      <c r="B103" s="7" t="str">
        <f t="shared" si="40"/>
        <v/>
      </c>
      <c r="C103" s="50">
        <f>IF(D93="","-",+C102+1)</f>
        <v>2012</v>
      </c>
      <c r="D103" s="133">
        <v>2601805.4355400694</v>
      </c>
      <c r="E103" s="376">
        <v>67151.857142857145</v>
      </c>
      <c r="F103" s="137">
        <v>2534653.5783972121</v>
      </c>
      <c r="G103" s="137">
        <v>2568229.5069686407</v>
      </c>
      <c r="H103" s="376">
        <v>445076.92684818432</v>
      </c>
      <c r="I103" s="375">
        <v>445076.92684818432</v>
      </c>
      <c r="J103" s="54">
        <f t="shared" si="34"/>
        <v>0</v>
      </c>
      <c r="K103" s="54"/>
      <c r="L103" s="113">
        <f t="shared" si="38"/>
        <v>445076.92684818432</v>
      </c>
      <c r="M103" s="54">
        <f t="shared" si="35"/>
        <v>0</v>
      </c>
      <c r="N103" s="113">
        <f t="shared" si="39"/>
        <v>445076.92684818432</v>
      </c>
      <c r="O103" s="54">
        <f t="shared" si="36"/>
        <v>0</v>
      </c>
      <c r="P103" s="54">
        <f t="shared" si="37"/>
        <v>0</v>
      </c>
      <c r="Q103" s="1"/>
    </row>
    <row r="104" spans="1:17" ht="12.5">
      <c r="B104" s="7" t="str">
        <f t="shared" si="40"/>
        <v/>
      </c>
      <c r="C104" s="50">
        <f>IF(D93="","-",+C103+1)</f>
        <v>2013</v>
      </c>
      <c r="D104" s="133">
        <v>2534653.5783972121</v>
      </c>
      <c r="E104" s="376">
        <v>67151.857142857145</v>
      </c>
      <c r="F104" s="137">
        <v>2467501.7212543548</v>
      </c>
      <c r="G104" s="137">
        <v>2501077.6498257834</v>
      </c>
      <c r="H104" s="376">
        <v>405526.90999589988</v>
      </c>
      <c r="I104" s="375">
        <v>405526.90999589988</v>
      </c>
      <c r="J104" s="54">
        <v>0</v>
      </c>
      <c r="K104" s="54"/>
      <c r="L104" s="113">
        <f t="shared" si="38"/>
        <v>405526.90999589988</v>
      </c>
      <c r="M104" s="54">
        <f t="shared" ref="M104:M109" si="41">IF(L104&lt;&gt;0,+H104-L104,0)</f>
        <v>0</v>
      </c>
      <c r="N104" s="113">
        <f t="shared" si="39"/>
        <v>405526.90999589988</v>
      </c>
      <c r="O104" s="54">
        <f t="shared" ref="O104:O109" si="42">IF(N104&lt;&gt;0,+I104-N104,0)</f>
        <v>0</v>
      </c>
      <c r="P104" s="54">
        <f t="shared" ref="P104:P109" si="43">+O104-M104</f>
        <v>0</v>
      </c>
      <c r="Q104" s="1"/>
    </row>
    <row r="105" spans="1:17" ht="12.5">
      <c r="B105" s="7" t="str">
        <f t="shared" si="40"/>
        <v/>
      </c>
      <c r="C105" s="50">
        <f>IF(D93="","-",+C104+1)</f>
        <v>2014</v>
      </c>
      <c r="D105" s="133">
        <v>2467501.7212543548</v>
      </c>
      <c r="E105" s="376">
        <v>67151.857142857145</v>
      </c>
      <c r="F105" s="137">
        <v>2400349.8641114975</v>
      </c>
      <c r="G105" s="137">
        <v>2433925.7926829262</v>
      </c>
      <c r="H105" s="376">
        <v>397979.47169431718</v>
      </c>
      <c r="I105" s="375">
        <v>397979.47169431718</v>
      </c>
      <c r="J105" s="54">
        <v>0</v>
      </c>
      <c r="K105" s="54"/>
      <c r="L105" s="113">
        <f t="shared" si="38"/>
        <v>397979.47169431718</v>
      </c>
      <c r="M105" s="54">
        <f t="shared" si="41"/>
        <v>0</v>
      </c>
      <c r="N105" s="113">
        <f t="shared" si="39"/>
        <v>397979.47169431718</v>
      </c>
      <c r="O105" s="54">
        <f t="shared" si="42"/>
        <v>0</v>
      </c>
      <c r="P105" s="54">
        <f t="shared" si="43"/>
        <v>0</v>
      </c>
      <c r="Q105" s="1"/>
    </row>
    <row r="106" spans="1:17" ht="12.5">
      <c r="B106" s="7" t="str">
        <f t="shared" si="40"/>
        <v>IU</v>
      </c>
      <c r="C106" s="50">
        <f>IF(D93="","-",+C105+1)</f>
        <v>2015</v>
      </c>
      <c r="D106" s="133">
        <v>2400299.864111498</v>
      </c>
      <c r="E106" s="376">
        <v>67150.666666666672</v>
      </c>
      <c r="F106" s="137">
        <v>2333149.1974448315</v>
      </c>
      <c r="G106" s="137">
        <v>2366724.530778165</v>
      </c>
      <c r="H106" s="376">
        <v>379011.3023265209</v>
      </c>
      <c r="I106" s="375">
        <v>379011.3023265209</v>
      </c>
      <c r="J106" s="54">
        <f t="shared" si="34"/>
        <v>0</v>
      </c>
      <c r="K106" s="54"/>
      <c r="L106" s="113">
        <f t="shared" ref="L106:L111" si="44">H106</f>
        <v>379011.3023265209</v>
      </c>
      <c r="M106" s="54">
        <f t="shared" si="41"/>
        <v>0</v>
      </c>
      <c r="N106" s="113">
        <f t="shared" ref="N106:N111" si="45">I106</f>
        <v>379011.3023265209</v>
      </c>
      <c r="O106" s="54">
        <f t="shared" si="42"/>
        <v>0</v>
      </c>
      <c r="P106" s="54">
        <f t="shared" si="43"/>
        <v>0</v>
      </c>
      <c r="Q106" s="1"/>
    </row>
    <row r="107" spans="1:17" ht="12.5">
      <c r="B107" s="7" t="str">
        <f t="shared" si="40"/>
        <v/>
      </c>
      <c r="C107" s="50">
        <f>IF(D93="","-",+C106+1)</f>
        <v>2016</v>
      </c>
      <c r="D107" s="133">
        <v>2333149.1974448315</v>
      </c>
      <c r="E107" s="376">
        <v>65589.023255813954</v>
      </c>
      <c r="F107" s="137">
        <v>2267560.1741890176</v>
      </c>
      <c r="G107" s="137">
        <v>2300354.6858169246</v>
      </c>
      <c r="H107" s="376">
        <v>357619.02367935097</v>
      </c>
      <c r="I107" s="375">
        <v>357619.02367935097</v>
      </c>
      <c r="J107" s="54">
        <f t="shared" si="34"/>
        <v>0</v>
      </c>
      <c r="K107" s="54"/>
      <c r="L107" s="113">
        <f t="shared" si="44"/>
        <v>357619.02367935097</v>
      </c>
      <c r="M107" s="54">
        <f t="shared" si="41"/>
        <v>0</v>
      </c>
      <c r="N107" s="113">
        <f t="shared" si="45"/>
        <v>357619.02367935097</v>
      </c>
      <c r="O107" s="54">
        <f t="shared" si="42"/>
        <v>0</v>
      </c>
      <c r="P107" s="54">
        <f t="shared" si="43"/>
        <v>0</v>
      </c>
      <c r="Q107" s="1"/>
    </row>
    <row r="108" spans="1:17" ht="12.5">
      <c r="B108" s="7" t="str">
        <f t="shared" si="40"/>
        <v/>
      </c>
      <c r="C108" s="50">
        <f>IF(D93="","-",+C107+1)</f>
        <v>2017</v>
      </c>
      <c r="D108" s="133">
        <v>2267560.1741890176</v>
      </c>
      <c r="E108" s="376">
        <v>67150.666666666672</v>
      </c>
      <c r="F108" s="137">
        <v>2200409.5075223511</v>
      </c>
      <c r="G108" s="137">
        <v>2233984.8408556841</v>
      </c>
      <c r="H108" s="376">
        <v>338516.06172932533</v>
      </c>
      <c r="I108" s="375">
        <v>338516.06172932533</v>
      </c>
      <c r="J108" s="54">
        <f t="shared" si="34"/>
        <v>0</v>
      </c>
      <c r="K108" s="54"/>
      <c r="L108" s="113">
        <f t="shared" si="44"/>
        <v>338516.06172932533</v>
      </c>
      <c r="M108" s="54">
        <f t="shared" si="41"/>
        <v>0</v>
      </c>
      <c r="N108" s="113">
        <f t="shared" si="45"/>
        <v>338516.06172932533</v>
      </c>
      <c r="O108" s="54">
        <f t="shared" si="42"/>
        <v>0</v>
      </c>
      <c r="P108" s="54">
        <f t="shared" si="43"/>
        <v>0</v>
      </c>
      <c r="Q108" s="1"/>
    </row>
    <row r="109" spans="1:17" ht="12.5">
      <c r="B109" s="7" t="str">
        <f t="shared" si="40"/>
        <v/>
      </c>
      <c r="C109" s="50">
        <f>IF(D93="","-",+C108+1)</f>
        <v>2018</v>
      </c>
      <c r="D109" s="133">
        <v>2200409.5075223511</v>
      </c>
      <c r="E109" s="376">
        <v>67150.666666666672</v>
      </c>
      <c r="F109" s="137">
        <v>2133258.8408556846</v>
      </c>
      <c r="G109" s="137">
        <v>2166834.1741890181</v>
      </c>
      <c r="H109" s="376">
        <v>295978.29217206314</v>
      </c>
      <c r="I109" s="375">
        <v>295978.29217206314</v>
      </c>
      <c r="J109" s="54">
        <f t="shared" si="34"/>
        <v>0</v>
      </c>
      <c r="K109" s="54"/>
      <c r="L109" s="113">
        <f t="shared" si="44"/>
        <v>295978.29217206314</v>
      </c>
      <c r="M109" s="54">
        <f t="shared" si="41"/>
        <v>0</v>
      </c>
      <c r="N109" s="113">
        <f t="shared" si="45"/>
        <v>295978.29217206314</v>
      </c>
      <c r="O109" s="54">
        <f t="shared" si="42"/>
        <v>0</v>
      </c>
      <c r="P109" s="54">
        <f t="shared" si="43"/>
        <v>0</v>
      </c>
      <c r="Q109" s="1"/>
    </row>
    <row r="110" spans="1:17" ht="12.5">
      <c r="B110" s="7" t="str">
        <f t="shared" si="40"/>
        <v/>
      </c>
      <c r="C110" s="50">
        <f>IF(D93="","-",+C109+1)</f>
        <v>2019</v>
      </c>
      <c r="D110" s="133">
        <v>2133258.8408556846</v>
      </c>
      <c r="E110" s="376">
        <v>65589.023255813954</v>
      </c>
      <c r="F110" s="137">
        <v>2067669.8175998707</v>
      </c>
      <c r="G110" s="137">
        <v>2100464.3292277777</v>
      </c>
      <c r="H110" s="376">
        <v>290423.87304846023</v>
      </c>
      <c r="I110" s="375">
        <v>290423.87304846023</v>
      </c>
      <c r="J110" s="54">
        <f t="shared" si="34"/>
        <v>0</v>
      </c>
      <c r="K110" s="54"/>
      <c r="L110" s="113">
        <f t="shared" si="44"/>
        <v>290423.87304846023</v>
      </c>
      <c r="M110" s="54">
        <f t="shared" ref="M110" si="46">IF(L110&lt;&gt;0,+H110-L110,0)</f>
        <v>0</v>
      </c>
      <c r="N110" s="113">
        <f t="shared" si="45"/>
        <v>290423.87304846023</v>
      </c>
      <c r="O110" s="54">
        <f t="shared" si="36"/>
        <v>0</v>
      </c>
      <c r="P110" s="54">
        <f t="shared" si="37"/>
        <v>0</v>
      </c>
      <c r="Q110" s="1"/>
    </row>
    <row r="111" spans="1:17" ht="12.5">
      <c r="B111" s="7" t="str">
        <f t="shared" si="40"/>
        <v/>
      </c>
      <c r="C111" s="50">
        <f>IF(D93="","-",+C110+1)</f>
        <v>2020</v>
      </c>
      <c r="D111" s="133">
        <v>2067669.8175998707</v>
      </c>
      <c r="E111" s="376">
        <v>67150.666666666672</v>
      </c>
      <c r="F111" s="137">
        <v>2000519.150933204</v>
      </c>
      <c r="G111" s="137">
        <v>2034094.4842665372</v>
      </c>
      <c r="H111" s="376">
        <v>285966.00600782927</v>
      </c>
      <c r="I111" s="375">
        <v>285966.00600782927</v>
      </c>
      <c r="J111" s="54">
        <f t="shared" si="34"/>
        <v>0</v>
      </c>
      <c r="K111" s="54"/>
      <c r="L111" s="113">
        <f t="shared" si="44"/>
        <v>285966.00600782927</v>
      </c>
      <c r="M111" s="54">
        <f t="shared" ref="M111" si="47">IF(L111&lt;&gt;0,+H111-L111,0)</f>
        <v>0</v>
      </c>
      <c r="N111" s="113">
        <f t="shared" si="45"/>
        <v>285966.00600782927</v>
      </c>
      <c r="O111" s="54">
        <f t="shared" si="36"/>
        <v>0</v>
      </c>
      <c r="P111" s="54">
        <f t="shared" si="37"/>
        <v>0</v>
      </c>
      <c r="Q111" s="1"/>
    </row>
    <row r="112" spans="1:17" ht="12.5">
      <c r="B112" s="7" t="str">
        <f t="shared" si="40"/>
        <v/>
      </c>
      <c r="C112" s="50">
        <f>IF(D93="","-",+C111+1)</f>
        <v>2021</v>
      </c>
      <c r="D112" s="133">
        <v>2000519.150933204</v>
      </c>
      <c r="E112" s="376">
        <v>68788.487804878052</v>
      </c>
      <c r="F112" s="137">
        <v>1931730.6631283259</v>
      </c>
      <c r="G112" s="137">
        <v>1966124.907030765</v>
      </c>
      <c r="H112" s="376">
        <v>291971.63557680068</v>
      </c>
      <c r="I112" s="375">
        <v>291971.63557680068</v>
      </c>
      <c r="J112" s="54">
        <f t="shared" si="34"/>
        <v>0</v>
      </c>
      <c r="K112" s="54"/>
      <c r="L112" s="113">
        <f t="shared" ref="L112" si="48">H112</f>
        <v>291971.63557680068</v>
      </c>
      <c r="M112" s="54">
        <f t="shared" ref="M112" si="49">IF(L112&lt;&gt;0,+H112-L112,0)</f>
        <v>0</v>
      </c>
      <c r="N112" s="113">
        <f t="shared" ref="N112" si="50">I112</f>
        <v>291971.63557680068</v>
      </c>
      <c r="O112" s="54">
        <f t="shared" si="36"/>
        <v>0</v>
      </c>
      <c r="P112" s="54">
        <f t="shared" si="37"/>
        <v>0</v>
      </c>
      <c r="Q112" s="1"/>
    </row>
    <row r="113" spans="2:17" ht="12.5">
      <c r="B113" s="7" t="str">
        <f t="shared" si="40"/>
        <v/>
      </c>
      <c r="C113" s="50">
        <f>IF(D93="","-",+C112+1)</f>
        <v>2022</v>
      </c>
      <c r="D113" s="133">
        <v>1931730.6631283259</v>
      </c>
      <c r="E113" s="376">
        <v>67150.666666666672</v>
      </c>
      <c r="F113" s="137">
        <v>1864579.9964616592</v>
      </c>
      <c r="G113" s="137">
        <v>1898155.3297949927</v>
      </c>
      <c r="H113" s="376">
        <v>290103.89746384294</v>
      </c>
      <c r="I113" s="375">
        <v>290103.89746384294</v>
      </c>
      <c r="J113" s="54">
        <f t="shared" si="34"/>
        <v>0</v>
      </c>
      <c r="K113" s="54"/>
      <c r="L113" s="113">
        <f t="shared" ref="L113" si="51">H113</f>
        <v>290103.89746384294</v>
      </c>
      <c r="M113" s="54">
        <f t="shared" ref="M113" si="52">IF(L113&lt;&gt;0,+H113-L113,0)</f>
        <v>0</v>
      </c>
      <c r="N113" s="113">
        <f t="shared" ref="N113" si="53">I113</f>
        <v>290103.89746384294</v>
      </c>
      <c r="O113" s="54">
        <f t="shared" ref="O113" si="54">IF(N113&lt;&gt;0,+I113-N113,0)</f>
        <v>0</v>
      </c>
      <c r="P113" s="54">
        <f t="shared" ref="P113" si="55">+O113-M113</f>
        <v>0</v>
      </c>
      <c r="Q113" s="1"/>
    </row>
    <row r="114" spans="2:17" ht="12.5">
      <c r="B114" s="7" t="str">
        <f t="shared" si="40"/>
        <v/>
      </c>
      <c r="C114" s="50">
        <f>IF(D93="","-",+C113+1)</f>
        <v>2023</v>
      </c>
      <c r="D114" s="133">
        <v>1864579.9964616592</v>
      </c>
      <c r="E114" s="376">
        <v>64098.36363636364</v>
      </c>
      <c r="F114" s="137">
        <v>1800481.6328252957</v>
      </c>
      <c r="G114" s="137">
        <v>1832530.8146434776</v>
      </c>
      <c r="H114" s="376">
        <v>290168.63060073368</v>
      </c>
      <c r="I114" s="375">
        <v>290168.63060073368</v>
      </c>
      <c r="J114" s="54">
        <f t="shared" si="34"/>
        <v>0</v>
      </c>
      <c r="K114" s="54"/>
      <c r="L114" s="113">
        <f t="shared" ref="L114" si="56">H114</f>
        <v>290168.63060073368</v>
      </c>
      <c r="M114" s="54">
        <f t="shared" ref="M114" si="57">IF(L114&lt;&gt;0,+H114-L114,0)</f>
        <v>0</v>
      </c>
      <c r="N114" s="113">
        <f t="shared" ref="N114" si="58">I114</f>
        <v>290168.63060073368</v>
      </c>
      <c r="O114" s="54">
        <f t="shared" ref="O114" si="59">IF(N114&lt;&gt;0,+I114-N114,0)</f>
        <v>0</v>
      </c>
      <c r="P114" s="54">
        <f t="shared" ref="P114" si="60">+O114-M114</f>
        <v>0</v>
      </c>
      <c r="Q114" s="1"/>
    </row>
    <row r="115" spans="2:17" ht="12.5">
      <c r="B115" s="7" t="str">
        <f t="shared" si="40"/>
        <v/>
      </c>
      <c r="C115" s="50">
        <f>IF(D93="","-",+C114+1)</f>
        <v>2024</v>
      </c>
      <c r="D115" s="12">
        <f>IF(F114+SUM(E$99:E114)=D$92,F114,D$92-SUM(E$99:E114))</f>
        <v>1800481.6328252957</v>
      </c>
      <c r="E115" s="378">
        <f>IF(+J96&lt;F114,J96,D115)</f>
        <v>64098.36363636364</v>
      </c>
      <c r="F115" s="55">
        <f t="shared" ref="F115:F130" si="61">+D115-E115</f>
        <v>1736383.2691889321</v>
      </c>
      <c r="G115" s="55">
        <f t="shared" ref="G115:G130" si="62">+(F115+D115)/2</f>
        <v>1768432.4510071138</v>
      </c>
      <c r="H115" s="380">
        <f t="shared" ref="H115:H154" si="63">+J$94*G115+E115</f>
        <v>284314.78412420192</v>
      </c>
      <c r="I115" s="399">
        <f t="shared" ref="I115:I154" si="64">+J$95*G115+E115</f>
        <v>284314.78412420192</v>
      </c>
      <c r="J115" s="54">
        <f t="shared" si="34"/>
        <v>0</v>
      </c>
      <c r="K115" s="54"/>
      <c r="L115" s="129"/>
      <c r="M115" s="54">
        <f t="shared" si="35"/>
        <v>0</v>
      </c>
      <c r="N115" s="129"/>
      <c r="O115" s="54">
        <f t="shared" si="36"/>
        <v>0</v>
      </c>
      <c r="P115" s="54">
        <f t="shared" si="37"/>
        <v>0</v>
      </c>
      <c r="Q115" s="1"/>
    </row>
    <row r="116" spans="2:17" ht="12.5">
      <c r="B116" s="7" t="str">
        <f t="shared" si="40"/>
        <v/>
      </c>
      <c r="C116" s="50">
        <f>IF(D93="","-",+C115+1)</f>
        <v>2025</v>
      </c>
      <c r="D116" s="12">
        <f>IF(F115+SUM(E$99:E115)=D$92,F115,D$92-SUM(E$99:E115))</f>
        <v>1736383.2691889321</v>
      </c>
      <c r="E116" s="378">
        <f>IF(+J96&lt;F115,J96,D116)</f>
        <v>64098.36363636364</v>
      </c>
      <c r="F116" s="55">
        <f t="shared" si="61"/>
        <v>1672284.9055525686</v>
      </c>
      <c r="G116" s="55">
        <f t="shared" si="62"/>
        <v>1704334.0873707505</v>
      </c>
      <c r="H116" s="380">
        <f t="shared" si="63"/>
        <v>276332.84950685815</v>
      </c>
      <c r="I116" s="399">
        <f t="shared" si="64"/>
        <v>276332.84950685815</v>
      </c>
      <c r="J116" s="54">
        <f t="shared" si="34"/>
        <v>0</v>
      </c>
      <c r="K116" s="54"/>
      <c r="L116" s="129"/>
      <c r="M116" s="54">
        <f t="shared" si="35"/>
        <v>0</v>
      </c>
      <c r="N116" s="129"/>
      <c r="O116" s="54">
        <f t="shared" si="36"/>
        <v>0</v>
      </c>
      <c r="P116" s="54">
        <f t="shared" si="37"/>
        <v>0</v>
      </c>
      <c r="Q116" s="1"/>
    </row>
    <row r="117" spans="2:17" ht="12.5">
      <c r="B117" s="7" t="str">
        <f t="shared" si="40"/>
        <v/>
      </c>
      <c r="C117" s="50">
        <f>IF(D93="","-",+C116+1)</f>
        <v>2026</v>
      </c>
      <c r="D117" s="12">
        <f>IF(F116+SUM(E$99:E116)=D$92,F116,D$92-SUM(E$99:E116))</f>
        <v>1672284.9055525686</v>
      </c>
      <c r="E117" s="378">
        <f>IF(+J96&lt;F116,J96,D117)</f>
        <v>64098.36363636364</v>
      </c>
      <c r="F117" s="55">
        <f t="shared" si="61"/>
        <v>1608186.5419162051</v>
      </c>
      <c r="G117" s="55">
        <f t="shared" si="62"/>
        <v>1640235.7237343867</v>
      </c>
      <c r="H117" s="380">
        <f t="shared" si="63"/>
        <v>268350.91488951433</v>
      </c>
      <c r="I117" s="399">
        <f t="shared" si="64"/>
        <v>268350.91488951433</v>
      </c>
      <c r="J117" s="54">
        <f t="shared" si="34"/>
        <v>0</v>
      </c>
      <c r="K117" s="54"/>
      <c r="L117" s="129"/>
      <c r="M117" s="54">
        <f t="shared" si="35"/>
        <v>0</v>
      </c>
      <c r="N117" s="129"/>
      <c r="O117" s="54">
        <f t="shared" si="36"/>
        <v>0</v>
      </c>
      <c r="P117" s="54">
        <f t="shared" si="37"/>
        <v>0</v>
      </c>
      <c r="Q117" s="1"/>
    </row>
    <row r="118" spans="2:17" ht="12.5">
      <c r="B118" s="7" t="str">
        <f t="shared" si="40"/>
        <v/>
      </c>
      <c r="C118" s="50">
        <f>IF(D93="","-",+C117+1)</f>
        <v>2027</v>
      </c>
      <c r="D118" s="12">
        <f>IF(F117+SUM(E$99:E117)=D$92,F117,D$92-SUM(E$99:E117))</f>
        <v>1608186.5419162051</v>
      </c>
      <c r="E118" s="378">
        <f>IF(+J96&lt;F117,J96,D118)</f>
        <v>64098.36363636364</v>
      </c>
      <c r="F118" s="55">
        <f t="shared" si="61"/>
        <v>1544088.1782798416</v>
      </c>
      <c r="G118" s="55">
        <f t="shared" si="62"/>
        <v>1576137.3600980234</v>
      </c>
      <c r="H118" s="380">
        <f t="shared" si="63"/>
        <v>260368.98027217062</v>
      </c>
      <c r="I118" s="399">
        <f t="shared" si="64"/>
        <v>260368.98027217062</v>
      </c>
      <c r="J118" s="54">
        <f t="shared" si="34"/>
        <v>0</v>
      </c>
      <c r="K118" s="54"/>
      <c r="L118" s="129"/>
      <c r="M118" s="54">
        <f t="shared" si="35"/>
        <v>0</v>
      </c>
      <c r="N118" s="129"/>
      <c r="O118" s="54">
        <f t="shared" si="36"/>
        <v>0</v>
      </c>
      <c r="P118" s="54">
        <f t="shared" si="37"/>
        <v>0</v>
      </c>
      <c r="Q118" s="1"/>
    </row>
    <row r="119" spans="2:17" ht="12.5">
      <c r="B119" s="7" t="str">
        <f t="shared" si="40"/>
        <v/>
      </c>
      <c r="C119" s="50">
        <f>IF(D93="","-",+C118+1)</f>
        <v>2028</v>
      </c>
      <c r="D119" s="12">
        <f>IF(F118+SUM(E$99:E118)=D$92,F118,D$92-SUM(E$99:E118))</f>
        <v>1544088.1782798416</v>
      </c>
      <c r="E119" s="378">
        <f>IF(+J96&lt;F118,J96,D119)</f>
        <v>64098.36363636364</v>
      </c>
      <c r="F119" s="55">
        <f t="shared" si="61"/>
        <v>1479989.814643478</v>
      </c>
      <c r="G119" s="55">
        <f t="shared" si="62"/>
        <v>1512038.9964616597</v>
      </c>
      <c r="H119" s="380">
        <f t="shared" si="63"/>
        <v>252387.0456548268</v>
      </c>
      <c r="I119" s="399">
        <f t="shared" si="64"/>
        <v>252387.0456548268</v>
      </c>
      <c r="J119" s="54">
        <f t="shared" si="34"/>
        <v>0</v>
      </c>
      <c r="K119" s="54"/>
      <c r="L119" s="129"/>
      <c r="M119" s="54">
        <f t="shared" si="35"/>
        <v>0</v>
      </c>
      <c r="N119" s="129"/>
      <c r="O119" s="54">
        <f t="shared" si="36"/>
        <v>0</v>
      </c>
      <c r="P119" s="54">
        <f t="shared" si="37"/>
        <v>0</v>
      </c>
      <c r="Q119" s="1"/>
    </row>
    <row r="120" spans="2:17" ht="12.5">
      <c r="B120" s="7" t="str">
        <f t="shared" si="40"/>
        <v/>
      </c>
      <c r="C120" s="50">
        <f>IF(D93="","-",+C119+1)</f>
        <v>2029</v>
      </c>
      <c r="D120" s="12">
        <f>IF(F119+SUM(E$99:E119)=D$92,F119,D$92-SUM(E$99:E119))</f>
        <v>1479989.814643478</v>
      </c>
      <c r="E120" s="378">
        <f>IF(+J96&lt;F119,J96,D120)</f>
        <v>64098.36363636364</v>
      </c>
      <c r="F120" s="55">
        <f t="shared" si="61"/>
        <v>1415891.4510071145</v>
      </c>
      <c r="G120" s="55">
        <f t="shared" si="62"/>
        <v>1447940.6328252964</v>
      </c>
      <c r="H120" s="380">
        <f t="shared" si="63"/>
        <v>244405.11103748303</v>
      </c>
      <c r="I120" s="399">
        <f t="shared" si="64"/>
        <v>244405.11103748303</v>
      </c>
      <c r="J120" s="54">
        <f t="shared" si="34"/>
        <v>0</v>
      </c>
      <c r="K120" s="54"/>
      <c r="L120" s="129"/>
      <c r="M120" s="54">
        <f t="shared" si="35"/>
        <v>0</v>
      </c>
      <c r="N120" s="129"/>
      <c r="O120" s="54">
        <f t="shared" si="36"/>
        <v>0</v>
      </c>
      <c r="P120" s="54">
        <f t="shared" si="37"/>
        <v>0</v>
      </c>
      <c r="Q120" s="1"/>
    </row>
    <row r="121" spans="2:17" ht="12.5">
      <c r="B121" s="7" t="str">
        <f t="shared" si="40"/>
        <v/>
      </c>
      <c r="C121" s="50">
        <f>IF(D93="","-",+C120+1)</f>
        <v>2030</v>
      </c>
      <c r="D121" s="12">
        <f>IF(F120+SUM(E$99:E120)=D$92,F120,D$92-SUM(E$99:E120))</f>
        <v>1415891.4510071145</v>
      </c>
      <c r="E121" s="378">
        <f>IF(+J96&lt;F120,J96,D121)</f>
        <v>64098.36363636364</v>
      </c>
      <c r="F121" s="55">
        <f t="shared" si="61"/>
        <v>1351793.087370751</v>
      </c>
      <c r="G121" s="55">
        <f t="shared" si="62"/>
        <v>1383842.2691889326</v>
      </c>
      <c r="H121" s="380">
        <f t="shared" si="63"/>
        <v>236423.17642013924</v>
      </c>
      <c r="I121" s="399">
        <f t="shared" si="64"/>
        <v>236423.17642013924</v>
      </c>
      <c r="J121" s="54">
        <f t="shared" si="34"/>
        <v>0</v>
      </c>
      <c r="K121" s="54"/>
      <c r="L121" s="129"/>
      <c r="M121" s="54">
        <f t="shared" si="35"/>
        <v>0</v>
      </c>
      <c r="N121" s="129"/>
      <c r="O121" s="54">
        <f t="shared" si="36"/>
        <v>0</v>
      </c>
      <c r="P121" s="54">
        <f t="shared" si="37"/>
        <v>0</v>
      </c>
      <c r="Q121" s="1"/>
    </row>
    <row r="122" spans="2:17" ht="12.5">
      <c r="B122" s="7" t="str">
        <f t="shared" si="40"/>
        <v/>
      </c>
      <c r="C122" s="50">
        <f>IF(D93="","-",+C121+1)</f>
        <v>2031</v>
      </c>
      <c r="D122" s="12">
        <f>IF(F121+SUM(E$99:E121)=D$92,F121,D$92-SUM(E$99:E121))</f>
        <v>1351793.087370751</v>
      </c>
      <c r="E122" s="378">
        <f>IF(+J96&lt;F121,J96,D122)</f>
        <v>64098.36363636364</v>
      </c>
      <c r="F122" s="55">
        <f t="shared" si="61"/>
        <v>1287694.7237343874</v>
      </c>
      <c r="G122" s="55">
        <f t="shared" si="62"/>
        <v>1319743.9055525693</v>
      </c>
      <c r="H122" s="380">
        <f t="shared" si="63"/>
        <v>228441.24180279547</v>
      </c>
      <c r="I122" s="399">
        <f t="shared" si="64"/>
        <v>228441.24180279547</v>
      </c>
      <c r="J122" s="54">
        <f t="shared" si="34"/>
        <v>0</v>
      </c>
      <c r="K122" s="54"/>
      <c r="L122" s="129"/>
      <c r="M122" s="54">
        <f t="shared" si="35"/>
        <v>0</v>
      </c>
      <c r="N122" s="129"/>
      <c r="O122" s="54">
        <f t="shared" si="36"/>
        <v>0</v>
      </c>
      <c r="P122" s="54">
        <f t="shared" si="37"/>
        <v>0</v>
      </c>
      <c r="Q122" s="1"/>
    </row>
    <row r="123" spans="2:17" ht="12.5">
      <c r="B123" s="7" t="str">
        <f t="shared" si="40"/>
        <v/>
      </c>
      <c r="C123" s="50">
        <f>IF(D93="","-",+C122+1)</f>
        <v>2032</v>
      </c>
      <c r="D123" s="12">
        <f>IF(F122+SUM(E$99:E122)=D$92,F122,D$92-SUM(E$99:E122))</f>
        <v>1287694.7237343874</v>
      </c>
      <c r="E123" s="378">
        <f>IF(+J96&lt;F122,J96,D123)</f>
        <v>64098.36363636364</v>
      </c>
      <c r="F123" s="55">
        <f t="shared" si="61"/>
        <v>1223596.3600980239</v>
      </c>
      <c r="G123" s="55">
        <f t="shared" si="62"/>
        <v>1255645.5419162055</v>
      </c>
      <c r="H123" s="380">
        <f t="shared" si="63"/>
        <v>220459.30718545167</v>
      </c>
      <c r="I123" s="399">
        <f t="shared" si="64"/>
        <v>220459.30718545167</v>
      </c>
      <c r="J123" s="54">
        <f t="shared" si="34"/>
        <v>0</v>
      </c>
      <c r="K123" s="54"/>
      <c r="L123" s="129"/>
      <c r="M123" s="54">
        <f t="shared" si="35"/>
        <v>0</v>
      </c>
      <c r="N123" s="129"/>
      <c r="O123" s="54">
        <f t="shared" si="36"/>
        <v>0</v>
      </c>
      <c r="P123" s="54">
        <f t="shared" si="37"/>
        <v>0</v>
      </c>
      <c r="Q123" s="1"/>
    </row>
    <row r="124" spans="2:17" ht="12.5">
      <c r="B124" s="7" t="str">
        <f t="shared" si="40"/>
        <v/>
      </c>
      <c r="C124" s="50">
        <f>IF(D93="","-",+C123+1)</f>
        <v>2033</v>
      </c>
      <c r="D124" s="12">
        <f>IF(F123+SUM(E$99:E123)=D$92,F123,D$92-SUM(E$99:E123))</f>
        <v>1223596.3600980239</v>
      </c>
      <c r="E124" s="378">
        <f>IF(+J96&lt;F123,J96,D124)</f>
        <v>64098.36363636364</v>
      </c>
      <c r="F124" s="55">
        <f t="shared" si="61"/>
        <v>1159497.9964616604</v>
      </c>
      <c r="G124" s="55">
        <f t="shared" si="62"/>
        <v>1191547.1782798423</v>
      </c>
      <c r="H124" s="380">
        <f t="shared" si="63"/>
        <v>212477.37256810791</v>
      </c>
      <c r="I124" s="399">
        <f t="shared" si="64"/>
        <v>212477.37256810791</v>
      </c>
      <c r="J124" s="54">
        <f t="shared" si="34"/>
        <v>0</v>
      </c>
      <c r="K124" s="54"/>
      <c r="L124" s="129"/>
      <c r="M124" s="54">
        <f t="shared" si="35"/>
        <v>0</v>
      </c>
      <c r="N124" s="129"/>
      <c r="O124" s="54">
        <f t="shared" si="36"/>
        <v>0</v>
      </c>
      <c r="P124" s="54">
        <f t="shared" si="37"/>
        <v>0</v>
      </c>
      <c r="Q124" s="1"/>
    </row>
    <row r="125" spans="2:17" ht="12.5">
      <c r="B125" s="7" t="str">
        <f t="shared" si="40"/>
        <v/>
      </c>
      <c r="C125" s="50">
        <f>IF(D93="","-",+C124+1)</f>
        <v>2034</v>
      </c>
      <c r="D125" s="12">
        <f>IF(F124+SUM(E$99:E124)=D$92,F124,D$92-SUM(E$99:E124))</f>
        <v>1159497.9964616604</v>
      </c>
      <c r="E125" s="378">
        <f>IF(+J96&lt;F124,J96,D125)</f>
        <v>64098.36363636364</v>
      </c>
      <c r="F125" s="55">
        <f t="shared" si="61"/>
        <v>1095399.6328252968</v>
      </c>
      <c r="G125" s="55">
        <f t="shared" si="62"/>
        <v>1127448.8146434785</v>
      </c>
      <c r="H125" s="380">
        <f t="shared" si="63"/>
        <v>204495.43795076411</v>
      </c>
      <c r="I125" s="399">
        <f t="shared" si="64"/>
        <v>204495.43795076411</v>
      </c>
      <c r="J125" s="54">
        <f t="shared" si="34"/>
        <v>0</v>
      </c>
      <c r="K125" s="54"/>
      <c r="L125" s="129"/>
      <c r="M125" s="54">
        <f t="shared" si="35"/>
        <v>0</v>
      </c>
      <c r="N125" s="129"/>
      <c r="O125" s="54">
        <f t="shared" si="36"/>
        <v>0</v>
      </c>
      <c r="P125" s="54">
        <f t="shared" si="37"/>
        <v>0</v>
      </c>
      <c r="Q125" s="1"/>
    </row>
    <row r="126" spans="2:17" ht="12.5">
      <c r="B126" s="7" t="str">
        <f t="shared" si="40"/>
        <v/>
      </c>
      <c r="C126" s="50">
        <f>IF(D93="","-",+C125+1)</f>
        <v>2035</v>
      </c>
      <c r="D126" s="12">
        <f>IF(F125+SUM(E$99:E125)=D$92,F125,D$92-SUM(E$99:E125))</f>
        <v>1095399.6328252968</v>
      </c>
      <c r="E126" s="378">
        <f>IF(+J96&lt;F125,J96,D126)</f>
        <v>64098.36363636364</v>
      </c>
      <c r="F126" s="55">
        <f t="shared" si="61"/>
        <v>1031301.2691889332</v>
      </c>
      <c r="G126" s="55">
        <f t="shared" si="62"/>
        <v>1063350.451007115</v>
      </c>
      <c r="H126" s="380">
        <f t="shared" si="63"/>
        <v>196513.50333342032</v>
      </c>
      <c r="I126" s="399">
        <f t="shared" si="64"/>
        <v>196513.50333342032</v>
      </c>
      <c r="J126" s="54">
        <f t="shared" si="34"/>
        <v>0</v>
      </c>
      <c r="K126" s="54"/>
      <c r="L126" s="129"/>
      <c r="M126" s="54">
        <f t="shared" si="35"/>
        <v>0</v>
      </c>
      <c r="N126" s="129"/>
      <c r="O126" s="54">
        <f t="shared" si="36"/>
        <v>0</v>
      </c>
      <c r="P126" s="54">
        <f t="shared" si="37"/>
        <v>0</v>
      </c>
      <c r="Q126" s="1"/>
    </row>
    <row r="127" spans="2:17" ht="12.5">
      <c r="B127" s="7" t="str">
        <f t="shared" si="40"/>
        <v/>
      </c>
      <c r="C127" s="50">
        <f>IF(D93="","-",+C126+1)</f>
        <v>2036</v>
      </c>
      <c r="D127" s="12">
        <f>IF(F126+SUM(E$99:E126)=D$92,F126,D$92-SUM(E$99:E126))</f>
        <v>1031301.2691889332</v>
      </c>
      <c r="E127" s="378">
        <f>IF(+J96&lt;F126,J96,D127)</f>
        <v>64098.36363636364</v>
      </c>
      <c r="F127" s="55">
        <f t="shared" si="61"/>
        <v>967202.90555256954</v>
      </c>
      <c r="G127" s="55">
        <f t="shared" si="62"/>
        <v>999252.08737075143</v>
      </c>
      <c r="H127" s="380">
        <f t="shared" si="63"/>
        <v>188531.56871607652</v>
      </c>
      <c r="I127" s="399">
        <f t="shared" si="64"/>
        <v>188531.56871607652</v>
      </c>
      <c r="J127" s="54">
        <f t="shared" si="34"/>
        <v>0</v>
      </c>
      <c r="K127" s="54"/>
      <c r="L127" s="129"/>
      <c r="M127" s="54">
        <f t="shared" si="35"/>
        <v>0</v>
      </c>
      <c r="N127" s="129"/>
      <c r="O127" s="54">
        <f t="shared" si="36"/>
        <v>0</v>
      </c>
      <c r="P127" s="54">
        <f t="shared" si="37"/>
        <v>0</v>
      </c>
      <c r="Q127" s="1"/>
    </row>
    <row r="128" spans="2:17" ht="12.5">
      <c r="B128" s="7" t="str">
        <f t="shared" si="40"/>
        <v/>
      </c>
      <c r="C128" s="50">
        <f>IF(D93="","-",+C127+1)</f>
        <v>2037</v>
      </c>
      <c r="D128" s="12">
        <f>IF(F127+SUM(E$99:E127)=D$92,F127,D$92-SUM(E$99:E127))</f>
        <v>967202.90555256954</v>
      </c>
      <c r="E128" s="378">
        <f>IF(+J96&lt;F127,J96,D128)</f>
        <v>64098.36363636364</v>
      </c>
      <c r="F128" s="55">
        <f t="shared" si="61"/>
        <v>903104.5419162059</v>
      </c>
      <c r="G128" s="55">
        <f t="shared" si="62"/>
        <v>935153.72373438766</v>
      </c>
      <c r="H128" s="380">
        <f t="shared" si="63"/>
        <v>180549.63409873273</v>
      </c>
      <c r="I128" s="399">
        <f t="shared" si="64"/>
        <v>180549.63409873273</v>
      </c>
      <c r="J128" s="54">
        <f t="shared" si="34"/>
        <v>0</v>
      </c>
      <c r="K128" s="54"/>
      <c r="L128" s="129"/>
      <c r="M128" s="54">
        <f t="shared" si="35"/>
        <v>0</v>
      </c>
      <c r="N128" s="129"/>
      <c r="O128" s="54">
        <f t="shared" si="36"/>
        <v>0</v>
      </c>
      <c r="P128" s="54">
        <f t="shared" si="37"/>
        <v>0</v>
      </c>
      <c r="Q128" s="1"/>
    </row>
    <row r="129" spans="2:17" ht="12.5">
      <c r="B129" s="7" t="str">
        <f t="shared" si="40"/>
        <v/>
      </c>
      <c r="C129" s="50">
        <f>IF(D93="","-",+C128+1)</f>
        <v>2038</v>
      </c>
      <c r="D129" s="12">
        <f>IF(F128+SUM(E$99:E128)=D$92,F128,D$92-SUM(E$99:E128))</f>
        <v>903104.5419162059</v>
      </c>
      <c r="E129" s="378">
        <f>IF(+J96&lt;F128,J96,D129)</f>
        <v>64098.36363636364</v>
      </c>
      <c r="F129" s="55">
        <f t="shared" si="61"/>
        <v>839006.17827984225</v>
      </c>
      <c r="G129" s="55">
        <f t="shared" si="62"/>
        <v>871055.36009802413</v>
      </c>
      <c r="H129" s="380">
        <f t="shared" si="63"/>
        <v>172567.69948138893</v>
      </c>
      <c r="I129" s="399">
        <f t="shared" si="64"/>
        <v>172567.69948138893</v>
      </c>
      <c r="J129" s="54">
        <f t="shared" si="34"/>
        <v>0</v>
      </c>
      <c r="K129" s="54"/>
      <c r="L129" s="129"/>
      <c r="M129" s="54">
        <f t="shared" si="35"/>
        <v>0</v>
      </c>
      <c r="N129" s="129"/>
      <c r="O129" s="54">
        <f t="shared" si="36"/>
        <v>0</v>
      </c>
      <c r="P129" s="54">
        <f t="shared" si="37"/>
        <v>0</v>
      </c>
      <c r="Q129" s="1"/>
    </row>
    <row r="130" spans="2:17" ht="12.5">
      <c r="B130" s="7" t="str">
        <f t="shared" si="40"/>
        <v/>
      </c>
      <c r="C130" s="50">
        <f>IF(D93="","-",+C129+1)</f>
        <v>2039</v>
      </c>
      <c r="D130" s="12">
        <f>IF(F129+SUM(E$99:E129)=D$92,F129,D$92-SUM(E$99:E129))</f>
        <v>839006.17827984225</v>
      </c>
      <c r="E130" s="378">
        <f>IF(+J96&lt;F129,J96,D130)</f>
        <v>64098.36363636364</v>
      </c>
      <c r="F130" s="55">
        <f t="shared" si="61"/>
        <v>774907.8146434786</v>
      </c>
      <c r="G130" s="55">
        <f t="shared" si="62"/>
        <v>806956.99646166037</v>
      </c>
      <c r="H130" s="380">
        <f t="shared" si="63"/>
        <v>164585.76486404514</v>
      </c>
      <c r="I130" s="399">
        <f t="shared" si="64"/>
        <v>164585.76486404514</v>
      </c>
      <c r="J130" s="54">
        <f t="shared" si="34"/>
        <v>0</v>
      </c>
      <c r="K130" s="54"/>
      <c r="L130" s="129"/>
      <c r="M130" s="54">
        <f t="shared" si="35"/>
        <v>0</v>
      </c>
      <c r="N130" s="129"/>
      <c r="O130" s="54">
        <f t="shared" si="36"/>
        <v>0</v>
      </c>
      <c r="P130" s="54">
        <f t="shared" si="37"/>
        <v>0</v>
      </c>
      <c r="Q130" s="1"/>
    </row>
    <row r="131" spans="2:17" ht="12.5">
      <c r="B131" s="7" t="str">
        <f t="shared" si="40"/>
        <v/>
      </c>
      <c r="C131" s="50">
        <f>IF(D93="","-",+C130+1)</f>
        <v>2040</v>
      </c>
      <c r="D131" s="12">
        <f>IF(F130+SUM(E$99:E130)=D$92,F130,D$92-SUM(E$99:E130))</f>
        <v>774907.8146434786</v>
      </c>
      <c r="E131" s="378">
        <f>IF(+J96&lt;F130,J96,D131)</f>
        <v>64098.36363636364</v>
      </c>
      <c r="F131" s="55">
        <f t="shared" ref="F131:F154" si="65">+D131-E131</f>
        <v>710809.45100711496</v>
      </c>
      <c r="G131" s="55">
        <f t="shared" ref="G131:G154" si="66">+(F131+D131)/2</f>
        <v>742858.63282529684</v>
      </c>
      <c r="H131" s="380">
        <f t="shared" si="63"/>
        <v>156603.83024670134</v>
      </c>
      <c r="I131" s="399">
        <f t="shared" si="64"/>
        <v>156603.83024670134</v>
      </c>
      <c r="J131" s="54">
        <f t="shared" ref="J131:J154" si="67">+I131-H131</f>
        <v>0</v>
      </c>
      <c r="K131" s="54"/>
      <c r="L131" s="129"/>
      <c r="M131" s="54">
        <f t="shared" ref="M131:M154" si="68">IF(L131&lt;&gt;0,+H131-L131,0)</f>
        <v>0</v>
      </c>
      <c r="N131" s="129"/>
      <c r="O131" s="54">
        <f t="shared" ref="O131:O154" si="69">IF(N131&lt;&gt;0,+I131-N131,0)</f>
        <v>0</v>
      </c>
      <c r="P131" s="54">
        <f t="shared" ref="P131:P154" si="70">+O131-M131</f>
        <v>0</v>
      </c>
      <c r="Q131" s="1"/>
    </row>
    <row r="132" spans="2:17" ht="12.5">
      <c r="B132" s="7" t="str">
        <f t="shared" si="40"/>
        <v/>
      </c>
      <c r="C132" s="50">
        <f>IF(D93="","-",+C131+1)</f>
        <v>2041</v>
      </c>
      <c r="D132" s="12">
        <f>IF(F131+SUM(E$99:E131)=D$92,F131,D$92-SUM(E$99:E131))</f>
        <v>710809.45100711496</v>
      </c>
      <c r="E132" s="378">
        <f>IF(+J96&lt;F131,J96,D132)</f>
        <v>64098.36363636364</v>
      </c>
      <c r="F132" s="55">
        <f t="shared" si="65"/>
        <v>646711.08737075131</v>
      </c>
      <c r="G132" s="55">
        <f t="shared" si="66"/>
        <v>678760.26918893307</v>
      </c>
      <c r="H132" s="380">
        <f t="shared" si="63"/>
        <v>148621.89562935752</v>
      </c>
      <c r="I132" s="399">
        <f t="shared" si="64"/>
        <v>148621.89562935752</v>
      </c>
      <c r="J132" s="54">
        <f t="shared" si="67"/>
        <v>0</v>
      </c>
      <c r="K132" s="54"/>
      <c r="L132" s="129"/>
      <c r="M132" s="54">
        <f t="shared" si="68"/>
        <v>0</v>
      </c>
      <c r="N132" s="129"/>
      <c r="O132" s="54">
        <f t="shared" si="69"/>
        <v>0</v>
      </c>
      <c r="P132" s="54">
        <f t="shared" si="70"/>
        <v>0</v>
      </c>
      <c r="Q132" s="1"/>
    </row>
    <row r="133" spans="2:17" ht="12.5">
      <c r="B133" s="7" t="str">
        <f t="shared" si="40"/>
        <v/>
      </c>
      <c r="C133" s="50">
        <f>IF(D93="","-",+C132+1)</f>
        <v>2042</v>
      </c>
      <c r="D133" s="12">
        <f>IF(F132+SUM(E$99:E132)=D$92,F132,D$92-SUM(E$99:E132))</f>
        <v>646711.08737075131</v>
      </c>
      <c r="E133" s="378">
        <f>IF(+J96&lt;F132,J96,D133)</f>
        <v>64098.36363636364</v>
      </c>
      <c r="F133" s="55">
        <f t="shared" si="65"/>
        <v>582612.72373438766</v>
      </c>
      <c r="G133" s="55">
        <f t="shared" si="66"/>
        <v>614661.90555256954</v>
      </c>
      <c r="H133" s="380">
        <f t="shared" si="63"/>
        <v>140639.96101201375</v>
      </c>
      <c r="I133" s="399">
        <f t="shared" si="64"/>
        <v>140639.96101201375</v>
      </c>
      <c r="J133" s="54">
        <f t="shared" si="67"/>
        <v>0</v>
      </c>
      <c r="K133" s="54"/>
      <c r="L133" s="129"/>
      <c r="M133" s="54">
        <f t="shared" si="68"/>
        <v>0</v>
      </c>
      <c r="N133" s="129"/>
      <c r="O133" s="54">
        <f t="shared" si="69"/>
        <v>0</v>
      </c>
      <c r="P133" s="54">
        <f t="shared" si="70"/>
        <v>0</v>
      </c>
      <c r="Q133" s="1"/>
    </row>
    <row r="134" spans="2:17" ht="12.5">
      <c r="B134" s="7" t="str">
        <f t="shared" si="40"/>
        <v/>
      </c>
      <c r="C134" s="50">
        <f>IF(D93="","-",+C133+1)</f>
        <v>2043</v>
      </c>
      <c r="D134" s="12">
        <f>IF(F133+SUM(E$99:E133)=D$92,F133,D$92-SUM(E$99:E133))</f>
        <v>582612.72373438766</v>
      </c>
      <c r="E134" s="378">
        <f>IF(+J96&lt;F133,J96,D134)</f>
        <v>64098.36363636364</v>
      </c>
      <c r="F134" s="55">
        <f t="shared" si="65"/>
        <v>518514.36009802402</v>
      </c>
      <c r="G134" s="55">
        <f t="shared" si="66"/>
        <v>550563.54191620578</v>
      </c>
      <c r="H134" s="380">
        <f t="shared" si="63"/>
        <v>132658.02639466993</v>
      </c>
      <c r="I134" s="399">
        <f t="shared" si="64"/>
        <v>132658.02639466993</v>
      </c>
      <c r="J134" s="54">
        <f t="shared" si="67"/>
        <v>0</v>
      </c>
      <c r="K134" s="54"/>
      <c r="L134" s="129"/>
      <c r="M134" s="54">
        <f t="shared" si="68"/>
        <v>0</v>
      </c>
      <c r="N134" s="129"/>
      <c r="O134" s="54">
        <f t="shared" si="69"/>
        <v>0</v>
      </c>
      <c r="P134" s="54">
        <f t="shared" si="70"/>
        <v>0</v>
      </c>
      <c r="Q134" s="1"/>
    </row>
    <row r="135" spans="2:17" ht="12.5">
      <c r="B135" s="7" t="str">
        <f t="shared" si="40"/>
        <v/>
      </c>
      <c r="C135" s="50">
        <f>IF(D93="","-",+C134+1)</f>
        <v>2044</v>
      </c>
      <c r="D135" s="12">
        <f>IF(F134+SUM(E$99:E134)=D$92,F134,D$92-SUM(E$99:E134))</f>
        <v>518514.36009802402</v>
      </c>
      <c r="E135" s="378">
        <f>IF(+J96&lt;F134,J96,D135)</f>
        <v>64098.36363636364</v>
      </c>
      <c r="F135" s="55">
        <f t="shared" si="65"/>
        <v>454415.99646166037</v>
      </c>
      <c r="G135" s="55">
        <f t="shared" si="66"/>
        <v>486465.17827984219</v>
      </c>
      <c r="H135" s="380">
        <f t="shared" si="63"/>
        <v>124676.09177732615</v>
      </c>
      <c r="I135" s="399">
        <f t="shared" si="64"/>
        <v>124676.09177732615</v>
      </c>
      <c r="J135" s="54">
        <f t="shared" si="67"/>
        <v>0</v>
      </c>
      <c r="K135" s="54"/>
      <c r="L135" s="129"/>
      <c r="M135" s="54">
        <f t="shared" si="68"/>
        <v>0</v>
      </c>
      <c r="N135" s="129"/>
      <c r="O135" s="54">
        <f t="shared" si="69"/>
        <v>0</v>
      </c>
      <c r="P135" s="54">
        <f t="shared" si="70"/>
        <v>0</v>
      </c>
      <c r="Q135" s="1"/>
    </row>
    <row r="136" spans="2:17" ht="12.5">
      <c r="B136" s="7" t="str">
        <f t="shared" si="40"/>
        <v/>
      </c>
      <c r="C136" s="50">
        <f>IF(D93="","-",+C135+1)</f>
        <v>2045</v>
      </c>
      <c r="D136" s="12">
        <f>IF(F135+SUM(E$99:E135)=D$92,F135,D$92-SUM(E$99:E135))</f>
        <v>454415.99646166037</v>
      </c>
      <c r="E136" s="378">
        <f>IF(+J96&lt;F135,J96,D136)</f>
        <v>64098.36363636364</v>
      </c>
      <c r="F136" s="55">
        <f t="shared" si="65"/>
        <v>390317.63282529672</v>
      </c>
      <c r="G136" s="55">
        <f t="shared" si="66"/>
        <v>422366.81464347854</v>
      </c>
      <c r="H136" s="380">
        <f t="shared" si="63"/>
        <v>116694.15715998235</v>
      </c>
      <c r="I136" s="399">
        <f t="shared" si="64"/>
        <v>116694.15715998235</v>
      </c>
      <c r="J136" s="54">
        <f t="shared" si="67"/>
        <v>0</v>
      </c>
      <c r="K136" s="54"/>
      <c r="L136" s="129"/>
      <c r="M136" s="54">
        <f t="shared" si="68"/>
        <v>0</v>
      </c>
      <c r="N136" s="129"/>
      <c r="O136" s="54">
        <f t="shared" si="69"/>
        <v>0</v>
      </c>
      <c r="P136" s="54">
        <f t="shared" si="70"/>
        <v>0</v>
      </c>
      <c r="Q136" s="1"/>
    </row>
    <row r="137" spans="2:17" ht="12.5">
      <c r="B137" s="7" t="str">
        <f t="shared" si="40"/>
        <v/>
      </c>
      <c r="C137" s="50">
        <f>IF(D93="","-",+C136+1)</f>
        <v>2046</v>
      </c>
      <c r="D137" s="12">
        <f>IF(F136+SUM(E$99:E136)=D$92,F136,D$92-SUM(E$99:E136))</f>
        <v>390317.63282529672</v>
      </c>
      <c r="E137" s="378">
        <f>IF(+J96&lt;F136,J96,D137)</f>
        <v>64098.36363636364</v>
      </c>
      <c r="F137" s="55">
        <f t="shared" si="65"/>
        <v>326219.26918893307</v>
      </c>
      <c r="G137" s="55">
        <f t="shared" si="66"/>
        <v>358268.4510071149</v>
      </c>
      <c r="H137" s="380">
        <f t="shared" si="63"/>
        <v>108712.22254263856</v>
      </c>
      <c r="I137" s="399">
        <f t="shared" si="64"/>
        <v>108712.22254263856</v>
      </c>
      <c r="J137" s="54">
        <f t="shared" si="67"/>
        <v>0</v>
      </c>
      <c r="K137" s="54"/>
      <c r="L137" s="129"/>
      <c r="M137" s="54">
        <f t="shared" si="68"/>
        <v>0</v>
      </c>
      <c r="N137" s="129"/>
      <c r="O137" s="54">
        <f t="shared" si="69"/>
        <v>0</v>
      </c>
      <c r="P137" s="54">
        <f t="shared" si="70"/>
        <v>0</v>
      </c>
      <c r="Q137" s="1"/>
    </row>
    <row r="138" spans="2:17" ht="12.5">
      <c r="B138" s="7" t="str">
        <f t="shared" si="40"/>
        <v/>
      </c>
      <c r="C138" s="50">
        <f>IF(D93="","-",+C137+1)</f>
        <v>2047</v>
      </c>
      <c r="D138" s="12">
        <f>IF(F137+SUM(E$99:E137)=D$92,F137,D$92-SUM(E$99:E137))</f>
        <v>326219.26918893307</v>
      </c>
      <c r="E138" s="378">
        <f>IF(+J96&lt;F137,J96,D138)</f>
        <v>64098.36363636364</v>
      </c>
      <c r="F138" s="55">
        <f t="shared" si="65"/>
        <v>262120.90555256943</v>
      </c>
      <c r="G138" s="55">
        <f t="shared" si="66"/>
        <v>294170.08737075125</v>
      </c>
      <c r="H138" s="380">
        <f t="shared" si="63"/>
        <v>100730.28792529476</v>
      </c>
      <c r="I138" s="399">
        <f t="shared" si="64"/>
        <v>100730.28792529476</v>
      </c>
      <c r="J138" s="54">
        <f t="shared" si="67"/>
        <v>0</v>
      </c>
      <c r="K138" s="54"/>
      <c r="L138" s="129"/>
      <c r="M138" s="54">
        <f t="shared" si="68"/>
        <v>0</v>
      </c>
      <c r="N138" s="129"/>
      <c r="O138" s="54">
        <f t="shared" si="69"/>
        <v>0</v>
      </c>
      <c r="P138" s="54">
        <f t="shared" si="70"/>
        <v>0</v>
      </c>
      <c r="Q138" s="1"/>
    </row>
    <row r="139" spans="2:17" ht="12.5">
      <c r="B139" s="7" t="str">
        <f t="shared" si="40"/>
        <v/>
      </c>
      <c r="C139" s="50">
        <f>IF(D93="","-",+C138+1)</f>
        <v>2048</v>
      </c>
      <c r="D139" s="12">
        <f>IF(F138+SUM(E$99:E138)=D$92,F138,D$92-SUM(E$99:E138))</f>
        <v>262120.90555256943</v>
      </c>
      <c r="E139" s="378">
        <f>IF(+J96&lt;F138,J96,D139)</f>
        <v>64098.36363636364</v>
      </c>
      <c r="F139" s="55">
        <f t="shared" si="65"/>
        <v>198022.54191620578</v>
      </c>
      <c r="G139" s="55">
        <f t="shared" si="66"/>
        <v>230071.7237343876</v>
      </c>
      <c r="H139" s="380">
        <f t="shared" si="63"/>
        <v>92748.353307950965</v>
      </c>
      <c r="I139" s="399">
        <f t="shared" si="64"/>
        <v>92748.353307950965</v>
      </c>
      <c r="J139" s="54">
        <f t="shared" si="67"/>
        <v>0</v>
      </c>
      <c r="K139" s="54"/>
      <c r="L139" s="129"/>
      <c r="M139" s="54">
        <f t="shared" si="68"/>
        <v>0</v>
      </c>
      <c r="N139" s="129"/>
      <c r="O139" s="54">
        <f t="shared" si="69"/>
        <v>0</v>
      </c>
      <c r="P139" s="54">
        <f t="shared" si="70"/>
        <v>0</v>
      </c>
      <c r="Q139" s="1"/>
    </row>
    <row r="140" spans="2:17" ht="12.5">
      <c r="B140" s="7" t="str">
        <f t="shared" si="40"/>
        <v/>
      </c>
      <c r="C140" s="50">
        <f>IF(D93="","-",+C139+1)</f>
        <v>2049</v>
      </c>
      <c r="D140" s="12">
        <f>IF(F139+SUM(E$99:E139)=D$92,F139,D$92-SUM(E$99:E139))</f>
        <v>198022.54191620578</v>
      </c>
      <c r="E140" s="378">
        <f>IF(+J96&lt;F139,J96,D140)</f>
        <v>64098.36363636364</v>
      </c>
      <c r="F140" s="55">
        <f t="shared" si="65"/>
        <v>133924.17827984213</v>
      </c>
      <c r="G140" s="55">
        <f t="shared" si="66"/>
        <v>165973.36009802396</v>
      </c>
      <c r="H140" s="380">
        <f t="shared" si="63"/>
        <v>84766.41869060717</v>
      </c>
      <c r="I140" s="399">
        <f t="shared" si="64"/>
        <v>84766.41869060717</v>
      </c>
      <c r="J140" s="54">
        <f t="shared" si="67"/>
        <v>0</v>
      </c>
      <c r="K140" s="54"/>
      <c r="L140" s="129"/>
      <c r="M140" s="54">
        <f t="shared" si="68"/>
        <v>0</v>
      </c>
      <c r="N140" s="129"/>
      <c r="O140" s="54">
        <f t="shared" si="69"/>
        <v>0</v>
      </c>
      <c r="P140" s="54">
        <f t="shared" si="70"/>
        <v>0</v>
      </c>
      <c r="Q140" s="1"/>
    </row>
    <row r="141" spans="2:17" ht="12.5">
      <c r="B141" s="7" t="str">
        <f t="shared" si="40"/>
        <v/>
      </c>
      <c r="C141" s="50">
        <f>IF(D93="","-",+C140+1)</f>
        <v>2050</v>
      </c>
      <c r="D141" s="12">
        <f>IF(F140+SUM(E$99:E140)=D$92,F140,D$92-SUM(E$99:E140))</f>
        <v>133924.17827984213</v>
      </c>
      <c r="E141" s="378">
        <f>IF(+J96&lt;F140,J96,D141)</f>
        <v>64098.36363636364</v>
      </c>
      <c r="F141" s="55">
        <f t="shared" si="65"/>
        <v>69825.814643478487</v>
      </c>
      <c r="G141" s="55">
        <f t="shared" si="66"/>
        <v>101874.99646166031</v>
      </c>
      <c r="H141" s="380">
        <f t="shared" si="63"/>
        <v>76784.48407326336</v>
      </c>
      <c r="I141" s="399">
        <f t="shared" si="64"/>
        <v>76784.48407326336</v>
      </c>
      <c r="J141" s="54">
        <f t="shared" si="67"/>
        <v>0</v>
      </c>
      <c r="K141" s="54"/>
      <c r="L141" s="129"/>
      <c r="M141" s="54">
        <f t="shared" si="68"/>
        <v>0</v>
      </c>
      <c r="N141" s="129"/>
      <c r="O141" s="54">
        <f t="shared" si="69"/>
        <v>0</v>
      </c>
      <c r="P141" s="54">
        <f t="shared" si="70"/>
        <v>0</v>
      </c>
      <c r="Q141" s="1"/>
    </row>
    <row r="142" spans="2:17" ht="12.5">
      <c r="B142" s="7" t="str">
        <f t="shared" si="40"/>
        <v/>
      </c>
      <c r="C142" s="50">
        <f>IF(D93="","-",+C141+1)</f>
        <v>2051</v>
      </c>
      <c r="D142" s="12">
        <f>IF(F141+SUM(E$99:E141)=D$92,F141,D$92-SUM(E$99:E141))</f>
        <v>69825.814643478487</v>
      </c>
      <c r="E142" s="378">
        <f>IF(+J96&lt;F141,J96,D142)</f>
        <v>64098.36363636364</v>
      </c>
      <c r="F142" s="55">
        <f t="shared" si="65"/>
        <v>5727.451007114847</v>
      </c>
      <c r="G142" s="55">
        <f t="shared" si="66"/>
        <v>37776.632825296663</v>
      </c>
      <c r="H142" s="380">
        <f t="shared" si="63"/>
        <v>68802.549455919565</v>
      </c>
      <c r="I142" s="399">
        <f t="shared" si="64"/>
        <v>68802.549455919565</v>
      </c>
      <c r="J142" s="54">
        <f t="shared" si="67"/>
        <v>0</v>
      </c>
      <c r="K142" s="54"/>
      <c r="L142" s="129"/>
      <c r="M142" s="54">
        <f t="shared" si="68"/>
        <v>0</v>
      </c>
      <c r="N142" s="129"/>
      <c r="O142" s="54">
        <f t="shared" si="69"/>
        <v>0</v>
      </c>
      <c r="P142" s="54">
        <f t="shared" si="70"/>
        <v>0</v>
      </c>
      <c r="Q142" s="1"/>
    </row>
    <row r="143" spans="2:17" ht="12.5">
      <c r="B143" s="7" t="str">
        <f t="shared" si="40"/>
        <v/>
      </c>
      <c r="C143" s="50">
        <f>IF(D93="","-",+C142+1)</f>
        <v>2052</v>
      </c>
      <c r="D143" s="12">
        <f>IF(F142+SUM(E$99:E142)=D$92,F142,D$92-SUM(E$99:E142))</f>
        <v>5727.451007114847</v>
      </c>
      <c r="E143" s="378">
        <f>IF(+J96&lt;F142,J96,D143)</f>
        <v>5727.451007114847</v>
      </c>
      <c r="F143" s="55">
        <f t="shared" si="65"/>
        <v>0</v>
      </c>
      <c r="G143" s="55">
        <f t="shared" si="66"/>
        <v>2863.7255035574235</v>
      </c>
      <c r="H143" s="380">
        <f t="shared" si="63"/>
        <v>6084.0602625568636</v>
      </c>
      <c r="I143" s="399">
        <f t="shared" si="64"/>
        <v>6084.0602625568636</v>
      </c>
      <c r="J143" s="54">
        <f t="shared" si="67"/>
        <v>0</v>
      </c>
      <c r="K143" s="54"/>
      <c r="L143" s="129"/>
      <c r="M143" s="54">
        <f t="shared" si="68"/>
        <v>0</v>
      </c>
      <c r="N143" s="129"/>
      <c r="O143" s="54">
        <f t="shared" si="69"/>
        <v>0</v>
      </c>
      <c r="P143" s="54">
        <f t="shared" si="70"/>
        <v>0</v>
      </c>
      <c r="Q143" s="1"/>
    </row>
    <row r="144" spans="2:17" ht="12.5">
      <c r="B144" s="7" t="str">
        <f t="shared" si="40"/>
        <v/>
      </c>
      <c r="C144" s="50">
        <f>IF(D93="","-",+C143+1)</f>
        <v>2053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65"/>
        <v>0</v>
      </c>
      <c r="G144" s="55">
        <f t="shared" si="66"/>
        <v>0</v>
      </c>
      <c r="H144" s="380">
        <f t="shared" si="63"/>
        <v>0</v>
      </c>
      <c r="I144" s="399">
        <f t="shared" si="64"/>
        <v>0</v>
      </c>
      <c r="J144" s="54">
        <f t="shared" si="67"/>
        <v>0</v>
      </c>
      <c r="K144" s="54"/>
      <c r="L144" s="129"/>
      <c r="M144" s="54">
        <f t="shared" si="68"/>
        <v>0</v>
      </c>
      <c r="N144" s="129"/>
      <c r="O144" s="54">
        <f t="shared" si="69"/>
        <v>0</v>
      </c>
      <c r="P144" s="54">
        <f t="shared" si="70"/>
        <v>0</v>
      </c>
      <c r="Q144" s="1"/>
    </row>
    <row r="145" spans="2:17" ht="12.5">
      <c r="B145" s="7" t="str">
        <f t="shared" si="40"/>
        <v/>
      </c>
      <c r="C145" s="50">
        <f>IF(D93="","-",+C144+1)</f>
        <v>2054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65"/>
        <v>0</v>
      </c>
      <c r="G145" s="55">
        <f t="shared" si="66"/>
        <v>0</v>
      </c>
      <c r="H145" s="380">
        <f t="shared" si="63"/>
        <v>0</v>
      </c>
      <c r="I145" s="399">
        <f t="shared" si="64"/>
        <v>0</v>
      </c>
      <c r="J145" s="54">
        <f t="shared" si="67"/>
        <v>0</v>
      </c>
      <c r="K145" s="54"/>
      <c r="L145" s="129"/>
      <c r="M145" s="54">
        <f t="shared" si="68"/>
        <v>0</v>
      </c>
      <c r="N145" s="129"/>
      <c r="O145" s="54">
        <f t="shared" si="69"/>
        <v>0</v>
      </c>
      <c r="P145" s="54">
        <f t="shared" si="70"/>
        <v>0</v>
      </c>
      <c r="Q145" s="1"/>
    </row>
    <row r="146" spans="2:17" ht="12.5">
      <c r="B146" s="7" t="str">
        <f t="shared" si="40"/>
        <v/>
      </c>
      <c r="C146" s="50">
        <f>IF(D93="","-",+C145+1)</f>
        <v>2055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65"/>
        <v>0</v>
      </c>
      <c r="G146" s="55">
        <f t="shared" si="66"/>
        <v>0</v>
      </c>
      <c r="H146" s="380">
        <f t="shared" si="63"/>
        <v>0</v>
      </c>
      <c r="I146" s="399">
        <f t="shared" si="64"/>
        <v>0</v>
      </c>
      <c r="J146" s="54">
        <f t="shared" si="67"/>
        <v>0</v>
      </c>
      <c r="K146" s="54"/>
      <c r="L146" s="129"/>
      <c r="M146" s="54">
        <f t="shared" si="68"/>
        <v>0</v>
      </c>
      <c r="N146" s="129"/>
      <c r="O146" s="54">
        <f t="shared" si="69"/>
        <v>0</v>
      </c>
      <c r="P146" s="54">
        <f t="shared" si="70"/>
        <v>0</v>
      </c>
      <c r="Q146" s="1"/>
    </row>
    <row r="147" spans="2:17" ht="12.5">
      <c r="B147" s="7" t="str">
        <f t="shared" si="40"/>
        <v/>
      </c>
      <c r="C147" s="50">
        <f>IF(D93="","-",+C146+1)</f>
        <v>2056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65"/>
        <v>0</v>
      </c>
      <c r="G147" s="55">
        <f t="shared" si="66"/>
        <v>0</v>
      </c>
      <c r="H147" s="380">
        <f t="shared" si="63"/>
        <v>0</v>
      </c>
      <c r="I147" s="399">
        <f t="shared" si="64"/>
        <v>0</v>
      </c>
      <c r="J147" s="54">
        <f t="shared" si="67"/>
        <v>0</v>
      </c>
      <c r="K147" s="54"/>
      <c r="L147" s="129"/>
      <c r="M147" s="54">
        <f t="shared" si="68"/>
        <v>0</v>
      </c>
      <c r="N147" s="129"/>
      <c r="O147" s="54">
        <f t="shared" si="69"/>
        <v>0</v>
      </c>
      <c r="P147" s="54">
        <f t="shared" si="70"/>
        <v>0</v>
      </c>
      <c r="Q147" s="1"/>
    </row>
    <row r="148" spans="2:17" ht="12.5">
      <c r="B148" s="7" t="str">
        <f t="shared" si="40"/>
        <v/>
      </c>
      <c r="C148" s="50">
        <f>IF(D93="","-",+C147+1)</f>
        <v>2057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65"/>
        <v>0</v>
      </c>
      <c r="G148" s="55">
        <f t="shared" si="66"/>
        <v>0</v>
      </c>
      <c r="H148" s="380">
        <f t="shared" si="63"/>
        <v>0</v>
      </c>
      <c r="I148" s="399">
        <f t="shared" si="64"/>
        <v>0</v>
      </c>
      <c r="J148" s="54">
        <f t="shared" si="67"/>
        <v>0</v>
      </c>
      <c r="K148" s="54"/>
      <c r="L148" s="129"/>
      <c r="M148" s="54">
        <f t="shared" si="68"/>
        <v>0</v>
      </c>
      <c r="N148" s="129"/>
      <c r="O148" s="54">
        <f t="shared" si="69"/>
        <v>0</v>
      </c>
      <c r="P148" s="54">
        <f t="shared" si="70"/>
        <v>0</v>
      </c>
      <c r="Q148" s="1"/>
    </row>
    <row r="149" spans="2:17" ht="12.5">
      <c r="B149" s="7" t="str">
        <f t="shared" si="40"/>
        <v/>
      </c>
      <c r="C149" s="50">
        <f>IF(D93="","-",+C148+1)</f>
        <v>2058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65"/>
        <v>0</v>
      </c>
      <c r="G149" s="55">
        <f t="shared" si="66"/>
        <v>0</v>
      </c>
      <c r="H149" s="380">
        <f t="shared" si="63"/>
        <v>0</v>
      </c>
      <c r="I149" s="399">
        <f t="shared" si="64"/>
        <v>0</v>
      </c>
      <c r="J149" s="54">
        <f t="shared" si="67"/>
        <v>0</v>
      </c>
      <c r="K149" s="54"/>
      <c r="L149" s="129"/>
      <c r="M149" s="54">
        <f t="shared" si="68"/>
        <v>0</v>
      </c>
      <c r="N149" s="129"/>
      <c r="O149" s="54">
        <f t="shared" si="69"/>
        <v>0</v>
      </c>
      <c r="P149" s="54">
        <f t="shared" si="70"/>
        <v>0</v>
      </c>
      <c r="Q149" s="1"/>
    </row>
    <row r="150" spans="2:17" ht="12.5">
      <c r="B150" s="7" t="str">
        <f t="shared" si="40"/>
        <v/>
      </c>
      <c r="C150" s="50">
        <f>IF(D93="","-",+C149+1)</f>
        <v>2059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65"/>
        <v>0</v>
      </c>
      <c r="G150" s="55">
        <f t="shared" si="66"/>
        <v>0</v>
      </c>
      <c r="H150" s="380">
        <f t="shared" si="63"/>
        <v>0</v>
      </c>
      <c r="I150" s="399">
        <f t="shared" si="64"/>
        <v>0</v>
      </c>
      <c r="J150" s="54">
        <f t="shared" si="67"/>
        <v>0</v>
      </c>
      <c r="K150" s="54"/>
      <c r="L150" s="129"/>
      <c r="M150" s="54">
        <f t="shared" si="68"/>
        <v>0</v>
      </c>
      <c r="N150" s="129"/>
      <c r="O150" s="54">
        <f t="shared" si="69"/>
        <v>0</v>
      </c>
      <c r="P150" s="54">
        <f t="shared" si="70"/>
        <v>0</v>
      </c>
      <c r="Q150" s="1"/>
    </row>
    <row r="151" spans="2:17" ht="12.5">
      <c r="B151" s="7" t="str">
        <f t="shared" si="40"/>
        <v/>
      </c>
      <c r="C151" s="50">
        <f>IF(D93="","-",+C150+1)</f>
        <v>2060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65"/>
        <v>0</v>
      </c>
      <c r="G151" s="55">
        <f t="shared" si="66"/>
        <v>0</v>
      </c>
      <c r="H151" s="380">
        <f t="shared" si="63"/>
        <v>0</v>
      </c>
      <c r="I151" s="399">
        <f t="shared" si="64"/>
        <v>0</v>
      </c>
      <c r="J151" s="54">
        <f t="shared" si="67"/>
        <v>0</v>
      </c>
      <c r="K151" s="54"/>
      <c r="L151" s="129"/>
      <c r="M151" s="54">
        <f t="shared" si="68"/>
        <v>0</v>
      </c>
      <c r="N151" s="129"/>
      <c r="O151" s="54">
        <f t="shared" si="69"/>
        <v>0</v>
      </c>
      <c r="P151" s="54">
        <f t="shared" si="70"/>
        <v>0</v>
      </c>
      <c r="Q151" s="1"/>
    </row>
    <row r="152" spans="2:17" ht="12.5">
      <c r="B152" s="7" t="str">
        <f t="shared" si="40"/>
        <v/>
      </c>
      <c r="C152" s="50">
        <f>IF(D93="","-",+C151+1)</f>
        <v>2061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65"/>
        <v>0</v>
      </c>
      <c r="G152" s="55">
        <f t="shared" si="66"/>
        <v>0</v>
      </c>
      <c r="H152" s="380">
        <f t="shared" si="63"/>
        <v>0</v>
      </c>
      <c r="I152" s="399">
        <f t="shared" si="64"/>
        <v>0</v>
      </c>
      <c r="J152" s="54">
        <f t="shared" si="67"/>
        <v>0</v>
      </c>
      <c r="K152" s="54"/>
      <c r="L152" s="129"/>
      <c r="M152" s="54">
        <f t="shared" si="68"/>
        <v>0</v>
      </c>
      <c r="N152" s="129"/>
      <c r="O152" s="54">
        <f t="shared" si="69"/>
        <v>0</v>
      </c>
      <c r="P152" s="54">
        <f t="shared" si="70"/>
        <v>0</v>
      </c>
      <c r="Q152" s="1"/>
    </row>
    <row r="153" spans="2:17" ht="12.5">
      <c r="B153" s="7" t="str">
        <f t="shared" si="40"/>
        <v/>
      </c>
      <c r="C153" s="50">
        <f>IF(D93="","-",+C152+1)</f>
        <v>2062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65"/>
        <v>0</v>
      </c>
      <c r="G153" s="55">
        <f t="shared" si="66"/>
        <v>0</v>
      </c>
      <c r="H153" s="380">
        <f t="shared" si="63"/>
        <v>0</v>
      </c>
      <c r="I153" s="399">
        <f t="shared" si="64"/>
        <v>0</v>
      </c>
      <c r="J153" s="54">
        <f t="shared" si="67"/>
        <v>0</v>
      </c>
      <c r="K153" s="54"/>
      <c r="L153" s="129"/>
      <c r="M153" s="54">
        <f t="shared" si="68"/>
        <v>0</v>
      </c>
      <c r="N153" s="129"/>
      <c r="O153" s="54">
        <f t="shared" si="69"/>
        <v>0</v>
      </c>
      <c r="P153" s="54">
        <f t="shared" si="70"/>
        <v>0</v>
      </c>
      <c r="Q153" s="1"/>
    </row>
    <row r="154" spans="2:17" ht="13" thickBot="1">
      <c r="B154" s="7" t="str">
        <f t="shared" si="40"/>
        <v/>
      </c>
      <c r="C154" s="59">
        <f>IF(D93="","-",+C153+1)</f>
        <v>2063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65"/>
        <v>0</v>
      </c>
      <c r="G154" s="60">
        <f t="shared" si="66"/>
        <v>0</v>
      </c>
      <c r="H154" s="382">
        <f t="shared" si="63"/>
        <v>0</v>
      </c>
      <c r="I154" s="400">
        <f t="shared" si="64"/>
        <v>0</v>
      </c>
      <c r="J154" s="64">
        <f t="shared" si="67"/>
        <v>0</v>
      </c>
      <c r="K154" s="54"/>
      <c r="L154" s="130"/>
      <c r="M154" s="64">
        <f t="shared" si="68"/>
        <v>0</v>
      </c>
      <c r="N154" s="130"/>
      <c r="O154" s="64">
        <f t="shared" si="69"/>
        <v>0</v>
      </c>
      <c r="P154" s="64">
        <f t="shared" si="70"/>
        <v>0</v>
      </c>
      <c r="Q154" s="1"/>
    </row>
    <row r="155" spans="2:17" ht="12.5">
      <c r="C155" s="12" t="s">
        <v>78</v>
      </c>
      <c r="D155" s="293"/>
      <c r="E155" s="293">
        <f>SUM(E99:E154)</f>
        <v>2820328.0000000009</v>
      </c>
      <c r="F155" s="293"/>
      <c r="G155" s="293"/>
      <c r="H155" s="293">
        <f>SUM(H99:H154)</f>
        <v>10486443.529735835</v>
      </c>
      <c r="I155" s="293">
        <f>SUM(I99:I154)</f>
        <v>10486443.529735835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 ht="12.5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 ht="12.5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39" priority="1" stopIfTrue="1" operator="equal">
      <formula>$I$10</formula>
    </cfRule>
  </conditionalFormatting>
  <conditionalFormatting sqref="C99:C154">
    <cfRule type="cellIs" dxfId="13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59">
    <tabColor indexed="8"/>
  </sheetPr>
  <dimension ref="A1:Q162"/>
  <sheetViews>
    <sheetView topLeftCell="A3" zoomScaleNormal="100" zoomScaleSheetLayoutView="86" workbookViewId="0">
      <selection activeCell="F92" sqref="F92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10 of 77</v>
      </c>
      <c r="Q1" s="13" t="s">
        <v>165</v>
      </c>
    </row>
    <row r="2" spans="1:17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0</v>
      </c>
      <c r="P5" s="1"/>
    </row>
    <row r="6" spans="1:17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0</v>
      </c>
      <c r="O6" s="1"/>
      <c r="P6" s="1"/>
    </row>
    <row r="7" spans="1:17" ht="13.5" thickBot="1">
      <c r="C7" s="25" t="s">
        <v>48</v>
      </c>
      <c r="D7" s="127" t="s">
        <v>235</v>
      </c>
      <c r="E7" s="1"/>
      <c r="F7" s="1"/>
      <c r="G7" s="29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104" t="str">
        <f>IF(D10&lt;100000,"DOES NOT MEET SPP $100,000 MINIMUM INVESTMENT FOR REGIONAL BPU SHARING.","")</f>
        <v>DOES NOT MEET SPP $100,000 MINIMUM INVESTMENT FOR REGIONAL BPU SHARING.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142</v>
      </c>
      <c r="E9" s="31" t="s">
        <v>494</v>
      </c>
      <c r="F9" s="462" t="s">
        <v>501</v>
      </c>
      <c r="G9" s="31"/>
      <c r="H9" s="31"/>
      <c r="I9" s="32"/>
      <c r="J9" s="33"/>
      <c r="P9" s="1"/>
    </row>
    <row r="10" spans="1:17" ht="13">
      <c r="C10" s="34" t="s">
        <v>51</v>
      </c>
      <c r="D10" s="460">
        <v>0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7" ht="12.5">
      <c r="C11" s="34" t="s">
        <v>54</v>
      </c>
      <c r="D11" s="37">
        <v>2008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3">
        <v>11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0</v>
      </c>
      <c r="J14" s="293"/>
      <c r="K14" s="293"/>
      <c r="L14" s="293"/>
      <c r="M14" s="293"/>
      <c r="N14" s="293"/>
      <c r="O14" s="1"/>
      <c r="P14" s="1"/>
    </row>
    <row r="15" spans="1:17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3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2008</v>
      </c>
      <c r="D17" s="12">
        <f>D10</f>
        <v>0</v>
      </c>
      <c r="E17" s="414">
        <f>I14/12*(12-D12)</f>
        <v>0</v>
      </c>
      <c r="F17" s="12">
        <f t="shared" ref="F17:F48" si="0">+D17-E17</f>
        <v>0</v>
      </c>
      <c r="G17" s="379">
        <f>+I$12*((D17+F17)/2)+E17</f>
        <v>0</v>
      </c>
      <c r="H17" s="364">
        <f>+I$13*((D17+F17)/2)+E17</f>
        <v>0</v>
      </c>
      <c r="I17" s="52">
        <f t="shared" ref="I17:I48" si="1">H17-G17</f>
        <v>0</v>
      </c>
      <c r="J17" s="52"/>
      <c r="K17" s="112">
        <v>0</v>
      </c>
      <c r="L17" s="53">
        <f t="shared" ref="L17:L48" si="2">IF(K17&lt;&gt;0,+G17-K17,0)</f>
        <v>0</v>
      </c>
      <c r="M17" s="112">
        <v>0</v>
      </c>
      <c r="N17" s="53">
        <f t="shared" ref="N17:N48" si="3">IF(M17&lt;&gt;0,+H17-M17,0)</f>
        <v>0</v>
      </c>
      <c r="O17" s="54">
        <f t="shared" ref="O17:O48" si="4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2009</v>
      </c>
      <c r="D18" s="55">
        <f t="shared" ref="D18:D24" si="5">F17</f>
        <v>0</v>
      </c>
      <c r="E18" s="378">
        <f>IF(+I14&lt;F17,I14,D18)</f>
        <v>0</v>
      </c>
      <c r="F18" s="55">
        <f t="shared" si="0"/>
        <v>0</v>
      </c>
      <c r="G18" s="379">
        <f t="shared" ref="G18:G72" si="6">+I$12*((D18+F18)/2)+E18</f>
        <v>0</v>
      </c>
      <c r="H18" s="364">
        <f t="shared" ref="H18:H72" si="7">+I$13*((D18+F18)/2)+E18</f>
        <v>0</v>
      </c>
      <c r="I18" s="52">
        <f t="shared" si="1"/>
        <v>0</v>
      </c>
      <c r="J18" s="52"/>
      <c r="K18" s="113">
        <v>0</v>
      </c>
      <c r="L18" s="54">
        <f t="shared" si="2"/>
        <v>0</v>
      </c>
      <c r="M18" s="113">
        <v>0</v>
      </c>
      <c r="N18" s="54">
        <f t="shared" si="3"/>
        <v>0</v>
      </c>
      <c r="O18" s="54">
        <f t="shared" si="4"/>
        <v>0</v>
      </c>
      <c r="P18" s="1"/>
    </row>
    <row r="19" spans="2:16" ht="12.5">
      <c r="B19" s="7" t="str">
        <f>IF(D19=F18,"","IU")</f>
        <v/>
      </c>
      <c r="C19" s="50">
        <f>IF(D11="","-",+C18+1)</f>
        <v>2010</v>
      </c>
      <c r="D19" s="55">
        <f t="shared" si="5"/>
        <v>0</v>
      </c>
      <c r="E19" s="378">
        <f>IF(+I14&lt;F18,I14,D19)</f>
        <v>0</v>
      </c>
      <c r="F19" s="55">
        <f t="shared" si="0"/>
        <v>0</v>
      </c>
      <c r="G19" s="379">
        <f t="shared" si="6"/>
        <v>0</v>
      </c>
      <c r="H19" s="364">
        <f t="shared" si="7"/>
        <v>0</v>
      </c>
      <c r="I19" s="52">
        <f t="shared" si="1"/>
        <v>0</v>
      </c>
      <c r="J19" s="52"/>
      <c r="K19" s="129"/>
      <c r="L19" s="54">
        <f t="shared" si="2"/>
        <v>0</v>
      </c>
      <c r="M19" s="129"/>
      <c r="N19" s="54">
        <f t="shared" si="3"/>
        <v>0</v>
      </c>
      <c r="O19" s="54">
        <f t="shared" si="4"/>
        <v>0</v>
      </c>
      <c r="P19" s="1"/>
    </row>
    <row r="20" spans="2:16" ht="12.5">
      <c r="B20" s="7" t="str">
        <f t="shared" ref="B20:B72" si="8">IF(D20=F19,"","IU")</f>
        <v/>
      </c>
      <c r="C20" s="50">
        <f>IF(D11="","-",+C19+1)</f>
        <v>2011</v>
      </c>
      <c r="D20" s="55">
        <f t="shared" si="5"/>
        <v>0</v>
      </c>
      <c r="E20" s="378">
        <f>IF(+I14&lt;F19,I14,D20)</f>
        <v>0</v>
      </c>
      <c r="F20" s="55">
        <f t="shared" si="0"/>
        <v>0</v>
      </c>
      <c r="G20" s="379">
        <f t="shared" si="6"/>
        <v>0</v>
      </c>
      <c r="H20" s="364">
        <f t="shared" si="7"/>
        <v>0</v>
      </c>
      <c r="I20" s="52">
        <f t="shared" si="1"/>
        <v>0</v>
      </c>
      <c r="J20" s="52"/>
      <c r="K20" s="129"/>
      <c r="L20" s="54">
        <f t="shared" si="2"/>
        <v>0</v>
      </c>
      <c r="M20" s="129"/>
      <c r="N20" s="54">
        <f t="shared" si="3"/>
        <v>0</v>
      </c>
      <c r="O20" s="54">
        <f t="shared" si="4"/>
        <v>0</v>
      </c>
      <c r="P20" s="1"/>
    </row>
    <row r="21" spans="2:16" ht="12.5">
      <c r="B21" s="7" t="str">
        <f t="shared" si="8"/>
        <v/>
      </c>
      <c r="C21" s="50">
        <f>IF(D12="","-",+C20+1)</f>
        <v>2012</v>
      </c>
      <c r="D21" s="55">
        <f t="shared" si="5"/>
        <v>0</v>
      </c>
      <c r="E21" s="378">
        <f>IF(+I14&lt;F20,I14,D21)</f>
        <v>0</v>
      </c>
      <c r="F21" s="55">
        <f t="shared" si="0"/>
        <v>0</v>
      </c>
      <c r="G21" s="379">
        <f t="shared" si="6"/>
        <v>0</v>
      </c>
      <c r="H21" s="364">
        <f t="shared" si="7"/>
        <v>0</v>
      </c>
      <c r="I21" s="52">
        <f t="shared" si="1"/>
        <v>0</v>
      </c>
      <c r="J21" s="52"/>
      <c r="K21" s="129"/>
      <c r="L21" s="54">
        <f t="shared" si="2"/>
        <v>0</v>
      </c>
      <c r="M21" s="129"/>
      <c r="N21" s="54">
        <f t="shared" si="3"/>
        <v>0</v>
      </c>
      <c r="O21" s="54">
        <f t="shared" si="4"/>
        <v>0</v>
      </c>
      <c r="P21" s="1"/>
    </row>
    <row r="22" spans="2:16" ht="12.5">
      <c r="B22" s="7" t="str">
        <f t="shared" si="8"/>
        <v/>
      </c>
      <c r="C22" s="50">
        <f>IF(D11="","-",+C21+1)</f>
        <v>2013</v>
      </c>
      <c r="D22" s="55">
        <f t="shared" si="5"/>
        <v>0</v>
      </c>
      <c r="E22" s="378">
        <f>IF(+I14&lt;F21,I14,D22)</f>
        <v>0</v>
      </c>
      <c r="F22" s="55">
        <f t="shared" si="0"/>
        <v>0</v>
      </c>
      <c r="G22" s="379">
        <f t="shared" si="6"/>
        <v>0</v>
      </c>
      <c r="H22" s="364">
        <f t="shared" si="7"/>
        <v>0</v>
      </c>
      <c r="I22" s="52">
        <f t="shared" si="1"/>
        <v>0</v>
      </c>
      <c r="J22" s="52"/>
      <c r="K22" s="129"/>
      <c r="L22" s="54">
        <f t="shared" si="2"/>
        <v>0</v>
      </c>
      <c r="M22" s="129"/>
      <c r="N22" s="54">
        <f t="shared" si="3"/>
        <v>0</v>
      </c>
      <c r="O22" s="54">
        <f t="shared" si="4"/>
        <v>0</v>
      </c>
      <c r="P22" s="1"/>
    </row>
    <row r="23" spans="2:16" ht="12.5">
      <c r="B23" s="7" t="str">
        <f t="shared" si="8"/>
        <v/>
      </c>
      <c r="C23" s="50">
        <f>IF(D11="","-",+C22+1)</f>
        <v>2014</v>
      </c>
      <c r="D23" s="55">
        <f t="shared" si="5"/>
        <v>0</v>
      </c>
      <c r="E23" s="378">
        <f>IF(+I14&lt;F22,I14,D23)</f>
        <v>0</v>
      </c>
      <c r="F23" s="55">
        <f t="shared" si="0"/>
        <v>0</v>
      </c>
      <c r="G23" s="379">
        <f t="shared" si="6"/>
        <v>0</v>
      </c>
      <c r="H23" s="364">
        <f t="shared" si="7"/>
        <v>0</v>
      </c>
      <c r="I23" s="52">
        <f t="shared" si="1"/>
        <v>0</v>
      </c>
      <c r="J23" s="52"/>
      <c r="K23" s="129"/>
      <c r="L23" s="54">
        <f t="shared" si="2"/>
        <v>0</v>
      </c>
      <c r="M23" s="129"/>
      <c r="N23" s="54">
        <f t="shared" si="3"/>
        <v>0</v>
      </c>
      <c r="O23" s="54">
        <f t="shared" si="4"/>
        <v>0</v>
      </c>
      <c r="P23" s="1"/>
    </row>
    <row r="24" spans="2:16" ht="12.5">
      <c r="B24" s="7" t="str">
        <f t="shared" si="8"/>
        <v/>
      </c>
      <c r="C24" s="50">
        <f>IF(D11="","-",+C23+1)</f>
        <v>2015</v>
      </c>
      <c r="D24" s="55">
        <f t="shared" si="5"/>
        <v>0</v>
      </c>
      <c r="E24" s="378">
        <f>IF(+I14&lt;F23,I14,D24)</f>
        <v>0</v>
      </c>
      <c r="F24" s="55">
        <f t="shared" si="0"/>
        <v>0</v>
      </c>
      <c r="G24" s="379">
        <f t="shared" si="6"/>
        <v>0</v>
      </c>
      <c r="H24" s="364">
        <f t="shared" si="7"/>
        <v>0</v>
      </c>
      <c r="I24" s="52">
        <f t="shared" si="1"/>
        <v>0</v>
      </c>
      <c r="J24" s="52"/>
      <c r="K24" s="129"/>
      <c r="L24" s="54">
        <f t="shared" si="2"/>
        <v>0</v>
      </c>
      <c r="M24" s="129"/>
      <c r="N24" s="54">
        <f t="shared" si="3"/>
        <v>0</v>
      </c>
      <c r="O24" s="54">
        <f t="shared" si="4"/>
        <v>0</v>
      </c>
      <c r="P24" s="1"/>
    </row>
    <row r="25" spans="2:16" ht="12.5">
      <c r="B25" s="7" t="str">
        <f t="shared" si="8"/>
        <v/>
      </c>
      <c r="C25" s="50">
        <f>IF(D11="","-",+C24+1)</f>
        <v>2016</v>
      </c>
      <c r="D25" s="55">
        <f>IF(F24+SUM(E$17:E24)=D$10,F24,D$10-SUM(E$17:E24))</f>
        <v>0</v>
      </c>
      <c r="E25" s="378">
        <f>IF(+I14&lt;F24,I14,D25)</f>
        <v>0</v>
      </c>
      <c r="F25" s="55">
        <f t="shared" si="0"/>
        <v>0</v>
      </c>
      <c r="G25" s="379">
        <f t="shared" si="6"/>
        <v>0</v>
      </c>
      <c r="H25" s="364">
        <f t="shared" si="7"/>
        <v>0</v>
      </c>
      <c r="I25" s="52">
        <f t="shared" si="1"/>
        <v>0</v>
      </c>
      <c r="J25" s="52"/>
      <c r="K25" s="129"/>
      <c r="L25" s="54">
        <f t="shared" si="2"/>
        <v>0</v>
      </c>
      <c r="M25" s="129"/>
      <c r="N25" s="54">
        <f t="shared" si="3"/>
        <v>0</v>
      </c>
      <c r="O25" s="54">
        <f t="shared" si="4"/>
        <v>0</v>
      </c>
      <c r="P25" s="1"/>
    </row>
    <row r="26" spans="2:16" ht="12.5">
      <c r="B26" s="7" t="str">
        <f t="shared" si="8"/>
        <v/>
      </c>
      <c r="C26" s="50">
        <f>IF(D11="","-",+C25+1)</f>
        <v>2017</v>
      </c>
      <c r="D26" s="55">
        <f>IF(F25+SUM(E$17:E25)=D$10,F25,D$10-SUM(E$17:E25))</f>
        <v>0</v>
      </c>
      <c r="E26" s="378">
        <f>IF(+I14&lt;F25,I14,D26)</f>
        <v>0</v>
      </c>
      <c r="F26" s="55">
        <f t="shared" si="0"/>
        <v>0</v>
      </c>
      <c r="G26" s="379">
        <f t="shared" si="6"/>
        <v>0</v>
      </c>
      <c r="H26" s="364">
        <f t="shared" si="7"/>
        <v>0</v>
      </c>
      <c r="I26" s="52">
        <f t="shared" si="1"/>
        <v>0</v>
      </c>
      <c r="J26" s="52"/>
      <c r="K26" s="129"/>
      <c r="L26" s="54">
        <f t="shared" si="2"/>
        <v>0</v>
      </c>
      <c r="M26" s="129"/>
      <c r="N26" s="54">
        <f t="shared" si="3"/>
        <v>0</v>
      </c>
      <c r="O26" s="54">
        <f t="shared" si="4"/>
        <v>0</v>
      </c>
      <c r="P26" s="1"/>
    </row>
    <row r="27" spans="2:16" ht="12.5">
      <c r="B27" s="7" t="str">
        <f t="shared" si="8"/>
        <v/>
      </c>
      <c r="C27" s="50">
        <f>IF(D11="","-",+C26+1)</f>
        <v>2018</v>
      </c>
      <c r="D27" s="55">
        <f>IF(F26+SUM(E$17:E26)=D$10,F26,D$10-SUM(E$17:E26))</f>
        <v>0</v>
      </c>
      <c r="E27" s="378">
        <f>IF(+I14&lt;F26,I14,D27)</f>
        <v>0</v>
      </c>
      <c r="F27" s="55">
        <f t="shared" si="0"/>
        <v>0</v>
      </c>
      <c r="G27" s="379">
        <f t="shared" si="6"/>
        <v>0</v>
      </c>
      <c r="H27" s="364">
        <f t="shared" si="7"/>
        <v>0</v>
      </c>
      <c r="I27" s="52">
        <f t="shared" si="1"/>
        <v>0</v>
      </c>
      <c r="J27" s="52"/>
      <c r="K27" s="129"/>
      <c r="L27" s="54">
        <f t="shared" si="2"/>
        <v>0</v>
      </c>
      <c r="M27" s="129"/>
      <c r="N27" s="54">
        <f t="shared" si="3"/>
        <v>0</v>
      </c>
      <c r="O27" s="54">
        <f t="shared" si="4"/>
        <v>0</v>
      </c>
      <c r="P27" s="1"/>
    </row>
    <row r="28" spans="2:16" ht="12.5">
      <c r="B28" s="7" t="str">
        <f t="shared" si="8"/>
        <v/>
      </c>
      <c r="C28" s="50">
        <f>IF(D11="","-",+C27+1)</f>
        <v>2019</v>
      </c>
      <c r="D28" s="55">
        <f>IF(F27+SUM(E$17:E27)=D$10,F27,D$10-SUM(E$17:E27))</f>
        <v>0</v>
      </c>
      <c r="E28" s="378">
        <f>IF(+I14&lt;F27,I14,D28)</f>
        <v>0</v>
      </c>
      <c r="F28" s="55">
        <f t="shared" si="0"/>
        <v>0</v>
      </c>
      <c r="G28" s="379">
        <f t="shared" si="6"/>
        <v>0</v>
      </c>
      <c r="H28" s="364">
        <f t="shared" si="7"/>
        <v>0</v>
      </c>
      <c r="I28" s="52">
        <f t="shared" si="1"/>
        <v>0</v>
      </c>
      <c r="J28" s="52"/>
      <c r="K28" s="129"/>
      <c r="L28" s="54">
        <f t="shared" si="2"/>
        <v>0</v>
      </c>
      <c r="M28" s="129"/>
      <c r="N28" s="54">
        <f t="shared" si="3"/>
        <v>0</v>
      </c>
      <c r="O28" s="54">
        <f t="shared" si="4"/>
        <v>0</v>
      </c>
      <c r="P28" s="1"/>
    </row>
    <row r="29" spans="2:16" ht="12.5">
      <c r="B29" s="7" t="str">
        <f t="shared" si="8"/>
        <v/>
      </c>
      <c r="C29" s="50">
        <f>IF(D11="","-",+C28+1)</f>
        <v>2020</v>
      </c>
      <c r="D29" s="55">
        <f>IF(F28+SUM(E$17:E28)=D$10,F28,D$10-SUM(E$17:E28))</f>
        <v>0</v>
      </c>
      <c r="E29" s="378">
        <f>IF(+I14&lt;F28,I14,D29)</f>
        <v>0</v>
      </c>
      <c r="F29" s="55">
        <f t="shared" si="0"/>
        <v>0</v>
      </c>
      <c r="G29" s="379">
        <f t="shared" si="6"/>
        <v>0</v>
      </c>
      <c r="H29" s="364">
        <f t="shared" si="7"/>
        <v>0</v>
      </c>
      <c r="I29" s="52">
        <f t="shared" si="1"/>
        <v>0</v>
      </c>
      <c r="J29" s="52"/>
      <c r="K29" s="129"/>
      <c r="L29" s="54">
        <f t="shared" si="2"/>
        <v>0</v>
      </c>
      <c r="M29" s="129"/>
      <c r="N29" s="54">
        <f t="shared" si="3"/>
        <v>0</v>
      </c>
      <c r="O29" s="54">
        <f t="shared" si="4"/>
        <v>0</v>
      </c>
      <c r="P29" s="1"/>
    </row>
    <row r="30" spans="2:16" ht="12.5">
      <c r="B30" s="7" t="str">
        <f t="shared" si="8"/>
        <v/>
      </c>
      <c r="C30" s="50">
        <f>IF(D11="","-",+C29+1)</f>
        <v>2021</v>
      </c>
      <c r="D30" s="55">
        <f>IF(F29+SUM(E$17:E29)=D$10,F29,D$10-SUM(E$17:E29))</f>
        <v>0</v>
      </c>
      <c r="E30" s="378">
        <f>IF(+I14&lt;F29,I14,D30)</f>
        <v>0</v>
      </c>
      <c r="F30" s="55">
        <f t="shared" si="0"/>
        <v>0</v>
      </c>
      <c r="G30" s="379">
        <f t="shared" si="6"/>
        <v>0</v>
      </c>
      <c r="H30" s="364">
        <f t="shared" si="7"/>
        <v>0</v>
      </c>
      <c r="I30" s="52">
        <f t="shared" si="1"/>
        <v>0</v>
      </c>
      <c r="J30" s="52"/>
      <c r="K30" s="129"/>
      <c r="L30" s="54">
        <f t="shared" si="2"/>
        <v>0</v>
      </c>
      <c r="M30" s="129"/>
      <c r="N30" s="54">
        <f t="shared" si="3"/>
        <v>0</v>
      </c>
      <c r="O30" s="54">
        <f t="shared" si="4"/>
        <v>0</v>
      </c>
      <c r="P30" s="1"/>
    </row>
    <row r="31" spans="2:16" ht="12.5">
      <c r="B31" s="7" t="str">
        <f t="shared" si="8"/>
        <v/>
      </c>
      <c r="C31" s="50">
        <f>IF(D11="","-",+C30+1)</f>
        <v>2022</v>
      </c>
      <c r="D31" s="55">
        <f>IF(F30+SUM(E$17:E30)=D$10,F30,D$10-SUM(E$17:E30))</f>
        <v>0</v>
      </c>
      <c r="E31" s="378">
        <f>IF(+I14&lt;F30,I14,D31)</f>
        <v>0</v>
      </c>
      <c r="F31" s="55">
        <f t="shared" si="0"/>
        <v>0</v>
      </c>
      <c r="G31" s="379">
        <f t="shared" si="6"/>
        <v>0</v>
      </c>
      <c r="H31" s="364">
        <f t="shared" si="7"/>
        <v>0</v>
      </c>
      <c r="I31" s="52">
        <f t="shared" si="1"/>
        <v>0</v>
      </c>
      <c r="J31" s="52"/>
      <c r="K31" s="129"/>
      <c r="L31" s="54">
        <f t="shared" si="2"/>
        <v>0</v>
      </c>
      <c r="M31" s="129"/>
      <c r="N31" s="54">
        <f t="shared" si="3"/>
        <v>0</v>
      </c>
      <c r="O31" s="54">
        <f t="shared" si="4"/>
        <v>0</v>
      </c>
      <c r="P31" s="1"/>
    </row>
    <row r="32" spans="2:16" ht="12.5">
      <c r="B32" s="7" t="str">
        <f t="shared" si="8"/>
        <v/>
      </c>
      <c r="C32" s="50">
        <f>IF(D11="","-",+C31+1)</f>
        <v>2023</v>
      </c>
      <c r="D32" s="55">
        <f>IF(F31+SUM(E$17:E31)=D$10,F31,D$10-SUM(E$17:E31))</f>
        <v>0</v>
      </c>
      <c r="E32" s="378">
        <f>IF(+I14&lt;F31,I14,D32)</f>
        <v>0</v>
      </c>
      <c r="F32" s="55">
        <f t="shared" si="0"/>
        <v>0</v>
      </c>
      <c r="G32" s="379">
        <f t="shared" si="6"/>
        <v>0</v>
      </c>
      <c r="H32" s="364">
        <f t="shared" si="7"/>
        <v>0</v>
      </c>
      <c r="I32" s="52">
        <f t="shared" si="1"/>
        <v>0</v>
      </c>
      <c r="J32" s="52"/>
      <c r="K32" s="129"/>
      <c r="L32" s="54">
        <f t="shared" si="2"/>
        <v>0</v>
      </c>
      <c r="M32" s="129"/>
      <c r="N32" s="54">
        <f t="shared" si="3"/>
        <v>0</v>
      </c>
      <c r="O32" s="54">
        <f t="shared" si="4"/>
        <v>0</v>
      </c>
      <c r="P32" s="1"/>
    </row>
    <row r="33" spans="2:16" ht="12.5">
      <c r="B33" s="7" t="str">
        <f t="shared" si="8"/>
        <v/>
      </c>
      <c r="C33" s="50">
        <f>IF(D11="","-",+C32+1)</f>
        <v>2024</v>
      </c>
      <c r="D33" s="55">
        <f>IF(F32+SUM(E$17:E32)=D$10,F32,D$10-SUM(E$17:E32))</f>
        <v>0</v>
      </c>
      <c r="E33" s="378">
        <f>IF(+I14&lt;F32,I14,D33)</f>
        <v>0</v>
      </c>
      <c r="F33" s="55">
        <f t="shared" si="0"/>
        <v>0</v>
      </c>
      <c r="G33" s="379">
        <f t="shared" si="6"/>
        <v>0</v>
      </c>
      <c r="H33" s="364">
        <f t="shared" si="7"/>
        <v>0</v>
      </c>
      <c r="I33" s="52">
        <f t="shared" si="1"/>
        <v>0</v>
      </c>
      <c r="J33" s="52"/>
      <c r="K33" s="129"/>
      <c r="L33" s="54">
        <f t="shared" si="2"/>
        <v>0</v>
      </c>
      <c r="M33" s="129"/>
      <c r="N33" s="54">
        <f t="shared" si="3"/>
        <v>0</v>
      </c>
      <c r="O33" s="54">
        <f t="shared" si="4"/>
        <v>0</v>
      </c>
      <c r="P33" s="1"/>
    </row>
    <row r="34" spans="2:16" ht="12.5">
      <c r="B34" s="7" t="str">
        <f t="shared" si="8"/>
        <v/>
      </c>
      <c r="C34" s="50">
        <f>IF(D11="","-",+C33+1)</f>
        <v>2025</v>
      </c>
      <c r="D34" s="55">
        <f>IF(F33+SUM(E$17:E33)=D$10,F33,D$10-SUM(E$17:E33))</f>
        <v>0</v>
      </c>
      <c r="E34" s="378">
        <f>IF(+I14&lt;F33,I14,D34)</f>
        <v>0</v>
      </c>
      <c r="F34" s="55">
        <f t="shared" si="0"/>
        <v>0</v>
      </c>
      <c r="G34" s="379">
        <f t="shared" si="6"/>
        <v>0</v>
      </c>
      <c r="H34" s="364">
        <f t="shared" si="7"/>
        <v>0</v>
      </c>
      <c r="I34" s="52">
        <f t="shared" si="1"/>
        <v>0</v>
      </c>
      <c r="J34" s="52"/>
      <c r="K34" s="129"/>
      <c r="L34" s="54">
        <f t="shared" si="2"/>
        <v>0</v>
      </c>
      <c r="M34" s="129"/>
      <c r="N34" s="54">
        <f t="shared" si="3"/>
        <v>0</v>
      </c>
      <c r="O34" s="54">
        <f t="shared" si="4"/>
        <v>0</v>
      </c>
      <c r="P34" s="1"/>
    </row>
    <row r="35" spans="2:16" ht="12.5">
      <c r="B35" s="7" t="str">
        <f t="shared" si="8"/>
        <v/>
      </c>
      <c r="C35" s="50">
        <f>IF(D11="","-",+C34+1)</f>
        <v>2026</v>
      </c>
      <c r="D35" s="55">
        <f>IF(F34+SUM(E$17:E34)=D$10,F34,D$10-SUM(E$17:E34))</f>
        <v>0</v>
      </c>
      <c r="E35" s="378">
        <f>IF(+I14&lt;F34,I14,D35)</f>
        <v>0</v>
      </c>
      <c r="F35" s="55">
        <f t="shared" si="0"/>
        <v>0</v>
      </c>
      <c r="G35" s="379">
        <f t="shared" si="6"/>
        <v>0</v>
      </c>
      <c r="H35" s="364">
        <f t="shared" si="7"/>
        <v>0</v>
      </c>
      <c r="I35" s="52">
        <f t="shared" si="1"/>
        <v>0</v>
      </c>
      <c r="J35" s="52"/>
      <c r="K35" s="129"/>
      <c r="L35" s="54">
        <f t="shared" si="2"/>
        <v>0</v>
      </c>
      <c r="M35" s="129"/>
      <c r="N35" s="54">
        <f t="shared" si="3"/>
        <v>0</v>
      </c>
      <c r="O35" s="54">
        <f t="shared" si="4"/>
        <v>0</v>
      </c>
      <c r="P35" s="1"/>
    </row>
    <row r="36" spans="2:16" ht="12.5">
      <c r="B36" s="7" t="str">
        <f t="shared" si="8"/>
        <v/>
      </c>
      <c r="C36" s="50">
        <f>IF(D11="","-",+C35+1)</f>
        <v>2027</v>
      </c>
      <c r="D36" s="55">
        <f>IF(F35+SUM(E$17:E35)=D$10,F35,D$10-SUM(E$17:E35))</f>
        <v>0</v>
      </c>
      <c r="E36" s="378">
        <f>IF(+I14&lt;F35,I14,D36)</f>
        <v>0</v>
      </c>
      <c r="F36" s="55">
        <f t="shared" si="0"/>
        <v>0</v>
      </c>
      <c r="G36" s="379">
        <f t="shared" si="6"/>
        <v>0</v>
      </c>
      <c r="H36" s="364">
        <f t="shared" si="7"/>
        <v>0</v>
      </c>
      <c r="I36" s="52">
        <f t="shared" si="1"/>
        <v>0</v>
      </c>
      <c r="J36" s="52"/>
      <c r="K36" s="129"/>
      <c r="L36" s="54">
        <f t="shared" si="2"/>
        <v>0</v>
      </c>
      <c r="M36" s="129"/>
      <c r="N36" s="54">
        <f t="shared" si="3"/>
        <v>0</v>
      </c>
      <c r="O36" s="54">
        <f t="shared" si="4"/>
        <v>0</v>
      </c>
      <c r="P36" s="1"/>
    </row>
    <row r="37" spans="2:16" ht="12.5">
      <c r="B37" s="7" t="str">
        <f t="shared" si="8"/>
        <v/>
      </c>
      <c r="C37" s="50">
        <f>IF(D11="","-",+C36+1)</f>
        <v>2028</v>
      </c>
      <c r="D37" s="55">
        <f>IF(F36+SUM(E$17:E36)=D$10,F36,D$10-SUM(E$17:E36))</f>
        <v>0</v>
      </c>
      <c r="E37" s="378">
        <f>IF(+I14&lt;F36,I14,D37)</f>
        <v>0</v>
      </c>
      <c r="F37" s="55">
        <f t="shared" si="0"/>
        <v>0</v>
      </c>
      <c r="G37" s="379">
        <f t="shared" si="6"/>
        <v>0</v>
      </c>
      <c r="H37" s="364">
        <f t="shared" si="7"/>
        <v>0</v>
      </c>
      <c r="I37" s="52">
        <f t="shared" si="1"/>
        <v>0</v>
      </c>
      <c r="J37" s="52"/>
      <c r="K37" s="129"/>
      <c r="L37" s="54">
        <f t="shared" si="2"/>
        <v>0</v>
      </c>
      <c r="M37" s="129"/>
      <c r="N37" s="54">
        <f t="shared" si="3"/>
        <v>0</v>
      </c>
      <c r="O37" s="54">
        <f t="shared" si="4"/>
        <v>0</v>
      </c>
      <c r="P37" s="1"/>
    </row>
    <row r="38" spans="2:16" ht="12.5">
      <c r="B38" s="7" t="str">
        <f t="shared" si="8"/>
        <v/>
      </c>
      <c r="C38" s="50">
        <f>IF(D11="","-",+C37+1)</f>
        <v>2029</v>
      </c>
      <c r="D38" s="55">
        <f>IF(F37+SUM(E$17:E37)=D$10,F37,D$10-SUM(E$17:E37))</f>
        <v>0</v>
      </c>
      <c r="E38" s="378">
        <f>IF(+I14&lt;F37,I14,D38)</f>
        <v>0</v>
      </c>
      <c r="F38" s="55">
        <f t="shared" si="0"/>
        <v>0</v>
      </c>
      <c r="G38" s="379">
        <f t="shared" si="6"/>
        <v>0</v>
      </c>
      <c r="H38" s="364">
        <f t="shared" si="7"/>
        <v>0</v>
      </c>
      <c r="I38" s="52">
        <f t="shared" si="1"/>
        <v>0</v>
      </c>
      <c r="J38" s="52"/>
      <c r="K38" s="129"/>
      <c r="L38" s="54">
        <f t="shared" si="2"/>
        <v>0</v>
      </c>
      <c r="M38" s="129"/>
      <c r="N38" s="54">
        <f t="shared" si="3"/>
        <v>0</v>
      </c>
      <c r="O38" s="54">
        <f t="shared" si="4"/>
        <v>0</v>
      </c>
      <c r="P38" s="1"/>
    </row>
    <row r="39" spans="2:16" ht="12.5">
      <c r="B39" s="7" t="str">
        <f t="shared" si="8"/>
        <v/>
      </c>
      <c r="C39" s="50">
        <f>IF(D11="","-",+C38+1)</f>
        <v>2030</v>
      </c>
      <c r="D39" s="55">
        <f>IF(F38+SUM(E$17:E38)=D$10,F38,D$10-SUM(E$17:E38))</f>
        <v>0</v>
      </c>
      <c r="E39" s="378">
        <f>IF(+I14&lt;F38,I14,D39)</f>
        <v>0</v>
      </c>
      <c r="F39" s="55">
        <f t="shared" si="0"/>
        <v>0</v>
      </c>
      <c r="G39" s="379">
        <f t="shared" si="6"/>
        <v>0</v>
      </c>
      <c r="H39" s="364">
        <f t="shared" si="7"/>
        <v>0</v>
      </c>
      <c r="I39" s="52">
        <f t="shared" si="1"/>
        <v>0</v>
      </c>
      <c r="J39" s="52"/>
      <c r="K39" s="129"/>
      <c r="L39" s="54">
        <f t="shared" si="2"/>
        <v>0</v>
      </c>
      <c r="M39" s="129"/>
      <c r="N39" s="54">
        <f t="shared" si="3"/>
        <v>0</v>
      </c>
      <c r="O39" s="54">
        <f t="shared" si="4"/>
        <v>0</v>
      </c>
      <c r="P39" s="1"/>
    </row>
    <row r="40" spans="2:16" ht="12.5">
      <c r="B40" s="7" t="str">
        <f t="shared" si="8"/>
        <v/>
      </c>
      <c r="C40" s="50">
        <f>IF(D11="","-",+C39+1)</f>
        <v>2031</v>
      </c>
      <c r="D40" s="55">
        <f>IF(F39+SUM(E$17:E39)=D$10,F39,D$10-SUM(E$17:E39))</f>
        <v>0</v>
      </c>
      <c r="E40" s="378">
        <f>IF(+I14&lt;F39,I14,D40)</f>
        <v>0</v>
      </c>
      <c r="F40" s="55">
        <f t="shared" si="0"/>
        <v>0</v>
      </c>
      <c r="G40" s="379">
        <f t="shared" si="6"/>
        <v>0</v>
      </c>
      <c r="H40" s="364">
        <f t="shared" si="7"/>
        <v>0</v>
      </c>
      <c r="I40" s="52">
        <f t="shared" si="1"/>
        <v>0</v>
      </c>
      <c r="J40" s="52"/>
      <c r="K40" s="129"/>
      <c r="L40" s="54">
        <f t="shared" si="2"/>
        <v>0</v>
      </c>
      <c r="M40" s="129"/>
      <c r="N40" s="54">
        <f t="shared" si="3"/>
        <v>0</v>
      </c>
      <c r="O40" s="54">
        <f t="shared" si="4"/>
        <v>0</v>
      </c>
      <c r="P40" s="1"/>
    </row>
    <row r="41" spans="2:16" ht="12.5">
      <c r="B41" s="7" t="str">
        <f t="shared" si="8"/>
        <v/>
      </c>
      <c r="C41" s="50">
        <f>IF(D11="","-",+C40+1)</f>
        <v>2032</v>
      </c>
      <c r="D41" s="55">
        <f>IF(F40+SUM(E$17:E40)=D$10,F40,D$10-SUM(E$17:E40))</f>
        <v>0</v>
      </c>
      <c r="E41" s="378">
        <f>IF(+I14&lt;F40,I14,D41)</f>
        <v>0</v>
      </c>
      <c r="F41" s="55">
        <f t="shared" si="0"/>
        <v>0</v>
      </c>
      <c r="G41" s="379">
        <f t="shared" si="6"/>
        <v>0</v>
      </c>
      <c r="H41" s="364">
        <f t="shared" si="7"/>
        <v>0</v>
      </c>
      <c r="I41" s="52">
        <f t="shared" si="1"/>
        <v>0</v>
      </c>
      <c r="J41" s="52"/>
      <c r="K41" s="129"/>
      <c r="L41" s="54">
        <f t="shared" si="2"/>
        <v>0</v>
      </c>
      <c r="M41" s="129"/>
      <c r="N41" s="54">
        <f t="shared" si="3"/>
        <v>0</v>
      </c>
      <c r="O41" s="54">
        <f t="shared" si="4"/>
        <v>0</v>
      </c>
      <c r="P41" s="1"/>
    </row>
    <row r="42" spans="2:16" ht="12.5">
      <c r="B42" s="7" t="str">
        <f t="shared" si="8"/>
        <v/>
      </c>
      <c r="C42" s="50">
        <f>IF(D11="","-",+C41+1)</f>
        <v>2033</v>
      </c>
      <c r="D42" s="55">
        <f>IF(F41+SUM(E$17:E41)=D$10,F41,D$10-SUM(E$17:E41))</f>
        <v>0</v>
      </c>
      <c r="E42" s="378">
        <f>IF(+I14&lt;F41,I14,D42)</f>
        <v>0</v>
      </c>
      <c r="F42" s="55">
        <f t="shared" si="0"/>
        <v>0</v>
      </c>
      <c r="G42" s="379">
        <f t="shared" si="6"/>
        <v>0</v>
      </c>
      <c r="H42" s="364">
        <f t="shared" si="7"/>
        <v>0</v>
      </c>
      <c r="I42" s="52">
        <f t="shared" si="1"/>
        <v>0</v>
      </c>
      <c r="J42" s="52"/>
      <c r="K42" s="129"/>
      <c r="L42" s="54">
        <f t="shared" si="2"/>
        <v>0</v>
      </c>
      <c r="M42" s="129"/>
      <c r="N42" s="54">
        <f t="shared" si="3"/>
        <v>0</v>
      </c>
      <c r="O42" s="54">
        <f t="shared" si="4"/>
        <v>0</v>
      </c>
      <c r="P42" s="1"/>
    </row>
    <row r="43" spans="2:16" ht="12.5">
      <c r="B43" s="7" t="str">
        <f t="shared" si="8"/>
        <v/>
      </c>
      <c r="C43" s="50">
        <f>IF(D11="","-",+C42+1)</f>
        <v>2034</v>
      </c>
      <c r="D43" s="55">
        <f>IF(F42+SUM(E$17:E42)=D$10,F42,D$10-SUM(E$17:E42))</f>
        <v>0</v>
      </c>
      <c r="E43" s="378">
        <f>IF(+I14&lt;F42,I14,D43)</f>
        <v>0</v>
      </c>
      <c r="F43" s="55">
        <f t="shared" si="0"/>
        <v>0</v>
      </c>
      <c r="G43" s="379">
        <f t="shared" si="6"/>
        <v>0</v>
      </c>
      <c r="H43" s="364">
        <f t="shared" si="7"/>
        <v>0</v>
      </c>
      <c r="I43" s="52">
        <f t="shared" si="1"/>
        <v>0</v>
      </c>
      <c r="J43" s="52"/>
      <c r="K43" s="129"/>
      <c r="L43" s="54">
        <f t="shared" si="2"/>
        <v>0</v>
      </c>
      <c r="M43" s="129"/>
      <c r="N43" s="54">
        <f t="shared" si="3"/>
        <v>0</v>
      </c>
      <c r="O43" s="54">
        <f t="shared" si="4"/>
        <v>0</v>
      </c>
      <c r="P43" s="1"/>
    </row>
    <row r="44" spans="2:16" ht="12.5">
      <c r="B44" s="7" t="str">
        <f t="shared" si="8"/>
        <v/>
      </c>
      <c r="C44" s="50">
        <f>IF(D11="","-",+C43+1)</f>
        <v>2035</v>
      </c>
      <c r="D44" s="55">
        <f>IF(F43+SUM(E$17:E43)=D$10,F43,D$10-SUM(E$17:E43))</f>
        <v>0</v>
      </c>
      <c r="E44" s="378">
        <f>IF(+I14&lt;F43,I14,D44)</f>
        <v>0</v>
      </c>
      <c r="F44" s="55">
        <f t="shared" si="0"/>
        <v>0</v>
      </c>
      <c r="G44" s="379">
        <f t="shared" si="6"/>
        <v>0</v>
      </c>
      <c r="H44" s="364">
        <f t="shared" si="7"/>
        <v>0</v>
      </c>
      <c r="I44" s="52">
        <f t="shared" si="1"/>
        <v>0</v>
      </c>
      <c r="J44" s="52"/>
      <c r="K44" s="129"/>
      <c r="L44" s="54">
        <f t="shared" si="2"/>
        <v>0</v>
      </c>
      <c r="M44" s="129"/>
      <c r="N44" s="54">
        <f t="shared" si="3"/>
        <v>0</v>
      </c>
      <c r="O44" s="54">
        <f t="shared" si="4"/>
        <v>0</v>
      </c>
      <c r="P44" s="1"/>
    </row>
    <row r="45" spans="2:16" ht="12.5">
      <c r="B45" s="7" t="str">
        <f t="shared" si="8"/>
        <v/>
      </c>
      <c r="C45" s="50">
        <f>IF(D11="","-",+C44+1)</f>
        <v>2036</v>
      </c>
      <c r="D45" s="55">
        <f>IF(F44+SUM(E$17:E44)=D$10,F44,D$10-SUM(E$17:E44))</f>
        <v>0</v>
      </c>
      <c r="E45" s="378">
        <f>IF(+I14&lt;F44,I14,D45)</f>
        <v>0</v>
      </c>
      <c r="F45" s="55">
        <f t="shared" si="0"/>
        <v>0</v>
      </c>
      <c r="G45" s="379">
        <f t="shared" si="6"/>
        <v>0</v>
      </c>
      <c r="H45" s="364">
        <f t="shared" si="7"/>
        <v>0</v>
      </c>
      <c r="I45" s="52">
        <f t="shared" si="1"/>
        <v>0</v>
      </c>
      <c r="J45" s="52"/>
      <c r="K45" s="129"/>
      <c r="L45" s="54">
        <f t="shared" si="2"/>
        <v>0</v>
      </c>
      <c r="M45" s="129"/>
      <c r="N45" s="54">
        <f t="shared" si="3"/>
        <v>0</v>
      </c>
      <c r="O45" s="54">
        <f t="shared" si="4"/>
        <v>0</v>
      </c>
      <c r="P45" s="1"/>
    </row>
    <row r="46" spans="2:16" ht="12.5">
      <c r="B46" s="7" t="str">
        <f t="shared" si="8"/>
        <v/>
      </c>
      <c r="C46" s="50">
        <f>IF(D11="","-",+C45+1)</f>
        <v>2037</v>
      </c>
      <c r="D46" s="55">
        <f>IF(F45+SUM(E$17:E45)=D$10,F45,D$10-SUM(E$17:E45))</f>
        <v>0</v>
      </c>
      <c r="E46" s="378">
        <f>IF(+I14&lt;F45,I14,D46)</f>
        <v>0</v>
      </c>
      <c r="F46" s="55">
        <f t="shared" si="0"/>
        <v>0</v>
      </c>
      <c r="G46" s="379">
        <f t="shared" si="6"/>
        <v>0</v>
      </c>
      <c r="H46" s="364">
        <f t="shared" si="7"/>
        <v>0</v>
      </c>
      <c r="I46" s="52">
        <f t="shared" si="1"/>
        <v>0</v>
      </c>
      <c r="J46" s="52"/>
      <c r="K46" s="129"/>
      <c r="L46" s="54">
        <f t="shared" si="2"/>
        <v>0</v>
      </c>
      <c r="M46" s="129"/>
      <c r="N46" s="54">
        <f t="shared" si="3"/>
        <v>0</v>
      </c>
      <c r="O46" s="54">
        <f t="shared" si="4"/>
        <v>0</v>
      </c>
      <c r="P46" s="1"/>
    </row>
    <row r="47" spans="2:16" ht="12.5">
      <c r="B47" s="7" t="str">
        <f t="shared" si="8"/>
        <v/>
      </c>
      <c r="C47" s="50">
        <f>IF(D11="","-",+C46+1)</f>
        <v>2038</v>
      </c>
      <c r="D47" s="55">
        <f>IF(F46+SUM(E$17:E46)=D$10,F46,D$10-SUM(E$17:E46))</f>
        <v>0</v>
      </c>
      <c r="E47" s="378">
        <f>IF(+I14&lt;F46,I14,D47)</f>
        <v>0</v>
      </c>
      <c r="F47" s="55">
        <f t="shared" si="0"/>
        <v>0</v>
      </c>
      <c r="G47" s="379">
        <f t="shared" si="6"/>
        <v>0</v>
      </c>
      <c r="H47" s="364">
        <f t="shared" si="7"/>
        <v>0</v>
      </c>
      <c r="I47" s="52">
        <f t="shared" si="1"/>
        <v>0</v>
      </c>
      <c r="J47" s="52"/>
      <c r="K47" s="129"/>
      <c r="L47" s="54">
        <f t="shared" si="2"/>
        <v>0</v>
      </c>
      <c r="M47" s="129"/>
      <c r="N47" s="54">
        <f t="shared" si="3"/>
        <v>0</v>
      </c>
      <c r="O47" s="54">
        <f t="shared" si="4"/>
        <v>0</v>
      </c>
      <c r="P47" s="1"/>
    </row>
    <row r="48" spans="2:16" ht="12.5">
      <c r="B48" s="7" t="str">
        <f t="shared" si="8"/>
        <v/>
      </c>
      <c r="C48" s="50">
        <f>IF(D11="","-",+C47+1)</f>
        <v>2039</v>
      </c>
      <c r="D48" s="55">
        <f>IF(F47+SUM(E$17:E47)=D$10,F47,D$10-SUM(E$17:E47))</f>
        <v>0</v>
      </c>
      <c r="E48" s="378">
        <f>IF(+I14&lt;F47,I14,D48)</f>
        <v>0</v>
      </c>
      <c r="F48" s="55">
        <f t="shared" si="0"/>
        <v>0</v>
      </c>
      <c r="G48" s="379">
        <f t="shared" si="6"/>
        <v>0</v>
      </c>
      <c r="H48" s="364">
        <f t="shared" si="7"/>
        <v>0</v>
      </c>
      <c r="I48" s="52">
        <f t="shared" si="1"/>
        <v>0</v>
      </c>
      <c r="J48" s="52"/>
      <c r="K48" s="129"/>
      <c r="L48" s="54">
        <f t="shared" si="2"/>
        <v>0</v>
      </c>
      <c r="M48" s="129"/>
      <c r="N48" s="54">
        <f t="shared" si="3"/>
        <v>0</v>
      </c>
      <c r="O48" s="54">
        <f t="shared" si="4"/>
        <v>0</v>
      </c>
      <c r="P48" s="1"/>
    </row>
    <row r="49" spans="2:17" ht="12.5">
      <c r="B49" s="7" t="str">
        <f t="shared" si="8"/>
        <v/>
      </c>
      <c r="C49" s="50">
        <f>IF(D11="","-",+C48+1)</f>
        <v>2040</v>
      </c>
      <c r="D49" s="55">
        <f>IF(F48+SUM(E$17:E48)=D$10,F48,D$10-SUM(E$17:E48))</f>
        <v>0</v>
      </c>
      <c r="E49" s="378">
        <f>IF(+I14&lt;F48,I14,D49)</f>
        <v>0</v>
      </c>
      <c r="F49" s="55">
        <f t="shared" ref="F49:F72" si="9">+D49-E49</f>
        <v>0</v>
      </c>
      <c r="G49" s="379">
        <f t="shared" si="6"/>
        <v>0</v>
      </c>
      <c r="H49" s="364">
        <f t="shared" si="7"/>
        <v>0</v>
      </c>
      <c r="I49" s="52">
        <f t="shared" ref="I49:I72" si="10">H49-G49</f>
        <v>0</v>
      </c>
      <c r="J49" s="52"/>
      <c r="K49" s="129"/>
      <c r="L49" s="54">
        <f t="shared" ref="L49:L72" si="11">IF(K49&lt;&gt;0,+G49-K49,0)</f>
        <v>0</v>
      </c>
      <c r="M49" s="129"/>
      <c r="N49" s="54">
        <f t="shared" ref="N49:N72" si="12">IF(M49&lt;&gt;0,+H49-M49,0)</f>
        <v>0</v>
      </c>
      <c r="O49" s="54">
        <f t="shared" ref="O49:O72" si="13">+N49-L49</f>
        <v>0</v>
      </c>
      <c r="P49" s="1"/>
    </row>
    <row r="50" spans="2:17" ht="12.5">
      <c r="B50" s="7" t="str">
        <f t="shared" si="8"/>
        <v/>
      </c>
      <c r="C50" s="50">
        <f>IF(D11="","-",+C49+1)</f>
        <v>2041</v>
      </c>
      <c r="D50" s="55">
        <f>IF(F49+SUM(E$17:E49)=D$10,F49,D$10-SUM(E$17:E49))</f>
        <v>0</v>
      </c>
      <c r="E50" s="378">
        <f>IF(+I14&lt;F49,I14,D50)</f>
        <v>0</v>
      </c>
      <c r="F50" s="55">
        <f t="shared" si="9"/>
        <v>0</v>
      </c>
      <c r="G50" s="379">
        <f t="shared" si="6"/>
        <v>0</v>
      </c>
      <c r="H50" s="364">
        <f t="shared" si="7"/>
        <v>0</v>
      </c>
      <c r="I50" s="52">
        <f t="shared" si="10"/>
        <v>0</v>
      </c>
      <c r="J50" s="52"/>
      <c r="K50" s="129"/>
      <c r="L50" s="54">
        <f t="shared" si="11"/>
        <v>0</v>
      </c>
      <c r="M50" s="129"/>
      <c r="N50" s="54">
        <f t="shared" si="12"/>
        <v>0</v>
      </c>
      <c r="O50" s="54">
        <f t="shared" si="13"/>
        <v>0</v>
      </c>
      <c r="P50" s="1"/>
    </row>
    <row r="51" spans="2:17" ht="12.5">
      <c r="B51" s="7" t="str">
        <f t="shared" si="8"/>
        <v/>
      </c>
      <c r="C51" s="50">
        <f>IF(D11="","-",+C50+1)</f>
        <v>2042</v>
      </c>
      <c r="D51" s="55">
        <f>IF(F50+SUM(E$17:E50)=D$10,F50,D$10-SUM(E$17:E50))</f>
        <v>0</v>
      </c>
      <c r="E51" s="378">
        <f>IF(+I14&lt;F50,I14,D51)</f>
        <v>0</v>
      </c>
      <c r="F51" s="55">
        <f t="shared" si="9"/>
        <v>0</v>
      </c>
      <c r="G51" s="379">
        <f t="shared" si="6"/>
        <v>0</v>
      </c>
      <c r="H51" s="364">
        <f t="shared" si="7"/>
        <v>0</v>
      </c>
      <c r="I51" s="52">
        <f t="shared" si="10"/>
        <v>0</v>
      </c>
      <c r="J51" s="52"/>
      <c r="K51" s="129"/>
      <c r="L51" s="54">
        <f t="shared" si="11"/>
        <v>0</v>
      </c>
      <c r="M51" s="129"/>
      <c r="N51" s="54">
        <f t="shared" si="12"/>
        <v>0</v>
      </c>
      <c r="O51" s="54">
        <f t="shared" si="13"/>
        <v>0</v>
      </c>
      <c r="P51" s="1"/>
    </row>
    <row r="52" spans="2:17" ht="12.5">
      <c r="B52" s="7" t="str">
        <f t="shared" si="8"/>
        <v/>
      </c>
      <c r="C52" s="50">
        <f>IF(D11="","-",+C51+1)</f>
        <v>2043</v>
      </c>
      <c r="D52" s="55">
        <f>IF(F51+SUM(E$17:E51)=D$10,F51,D$10-SUM(E$17:E51))</f>
        <v>0</v>
      </c>
      <c r="E52" s="378">
        <f>IF(+I14&lt;F51,I14,D52)</f>
        <v>0</v>
      </c>
      <c r="F52" s="55">
        <f t="shared" si="9"/>
        <v>0</v>
      </c>
      <c r="G52" s="379">
        <f t="shared" si="6"/>
        <v>0</v>
      </c>
      <c r="H52" s="364">
        <f t="shared" si="7"/>
        <v>0</v>
      </c>
      <c r="I52" s="52">
        <f t="shared" si="10"/>
        <v>0</v>
      </c>
      <c r="J52" s="52"/>
      <c r="K52" s="129"/>
      <c r="L52" s="54">
        <f t="shared" si="11"/>
        <v>0</v>
      </c>
      <c r="M52" s="129"/>
      <c r="N52" s="54">
        <f t="shared" si="12"/>
        <v>0</v>
      </c>
      <c r="O52" s="54">
        <f t="shared" si="13"/>
        <v>0</v>
      </c>
      <c r="P52" s="1"/>
    </row>
    <row r="53" spans="2:17" ht="12.5">
      <c r="B53" s="7" t="str">
        <f t="shared" si="8"/>
        <v/>
      </c>
      <c r="C53" s="50">
        <f>IF(D11="","-",+C52+1)</f>
        <v>2044</v>
      </c>
      <c r="D53" s="55">
        <f>IF(F52+SUM(E$17:E52)=D$10,F52,D$10-SUM(E$17:E52))</f>
        <v>0</v>
      </c>
      <c r="E53" s="378">
        <f>IF(+I14&lt;F52,I14,D53)</f>
        <v>0</v>
      </c>
      <c r="F53" s="55">
        <f t="shared" si="9"/>
        <v>0</v>
      </c>
      <c r="G53" s="379">
        <f t="shared" si="6"/>
        <v>0</v>
      </c>
      <c r="H53" s="364">
        <f t="shared" si="7"/>
        <v>0</v>
      </c>
      <c r="I53" s="52">
        <f t="shared" si="10"/>
        <v>0</v>
      </c>
      <c r="J53" s="52"/>
      <c r="K53" s="129"/>
      <c r="L53" s="54">
        <f t="shared" si="11"/>
        <v>0</v>
      </c>
      <c r="M53" s="129"/>
      <c r="N53" s="54">
        <f t="shared" si="12"/>
        <v>0</v>
      </c>
      <c r="O53" s="54">
        <f t="shared" si="13"/>
        <v>0</v>
      </c>
      <c r="P53" s="1"/>
    </row>
    <row r="54" spans="2:17" ht="12.5">
      <c r="B54" s="7" t="str">
        <f t="shared" si="8"/>
        <v/>
      </c>
      <c r="C54" s="50">
        <f>IF(D11="","-",+C53+1)</f>
        <v>2045</v>
      </c>
      <c r="D54" s="55">
        <f>IF(F53+SUM(E$17:E53)=D$10,F53,D$10-SUM(E$17:E53))</f>
        <v>0</v>
      </c>
      <c r="E54" s="378">
        <f>IF(+I14&lt;F53,I14,D54)</f>
        <v>0</v>
      </c>
      <c r="F54" s="55">
        <f t="shared" si="9"/>
        <v>0</v>
      </c>
      <c r="G54" s="379">
        <f t="shared" si="6"/>
        <v>0</v>
      </c>
      <c r="H54" s="364">
        <f t="shared" si="7"/>
        <v>0</v>
      </c>
      <c r="I54" s="52">
        <f t="shared" si="10"/>
        <v>0</v>
      </c>
      <c r="J54" s="52"/>
      <c r="K54" s="129"/>
      <c r="L54" s="54">
        <f t="shared" si="11"/>
        <v>0</v>
      </c>
      <c r="M54" s="129"/>
      <c r="N54" s="54">
        <f t="shared" si="12"/>
        <v>0</v>
      </c>
      <c r="O54" s="54">
        <f t="shared" si="13"/>
        <v>0</v>
      </c>
      <c r="P54" s="1"/>
    </row>
    <row r="55" spans="2:17" ht="12.5">
      <c r="B55" s="7" t="str">
        <f t="shared" si="8"/>
        <v/>
      </c>
      <c r="C55" s="50">
        <f>IF(D11="","-",+C54+1)</f>
        <v>2046</v>
      </c>
      <c r="D55" s="55">
        <f>IF(F54+SUM(E$17:E54)=D$10,F54,D$10-SUM(E$17:E54))</f>
        <v>0</v>
      </c>
      <c r="E55" s="378">
        <f>IF(+I14&lt;F54,I14,D55)</f>
        <v>0</v>
      </c>
      <c r="F55" s="55">
        <f t="shared" si="9"/>
        <v>0</v>
      </c>
      <c r="G55" s="379">
        <f t="shared" si="6"/>
        <v>0</v>
      </c>
      <c r="H55" s="364">
        <f t="shared" si="7"/>
        <v>0</v>
      </c>
      <c r="I55" s="52">
        <f t="shared" si="10"/>
        <v>0</v>
      </c>
      <c r="J55" s="52"/>
      <c r="K55" s="129"/>
      <c r="L55" s="54">
        <f t="shared" si="11"/>
        <v>0</v>
      </c>
      <c r="M55" s="129"/>
      <c r="N55" s="54">
        <f t="shared" si="12"/>
        <v>0</v>
      </c>
      <c r="O55" s="54">
        <f t="shared" si="13"/>
        <v>0</v>
      </c>
      <c r="P55" s="1"/>
    </row>
    <row r="56" spans="2:17" ht="12.5">
      <c r="B56" s="7" t="str">
        <f t="shared" si="8"/>
        <v/>
      </c>
      <c r="C56" s="50">
        <f>IF(D11="","-",+C55+1)</f>
        <v>2047</v>
      </c>
      <c r="D56" s="55">
        <f>IF(F55+SUM(E$17:E55)=D$10,F55,D$10-SUM(E$17:E55))</f>
        <v>0</v>
      </c>
      <c r="E56" s="378">
        <f>IF(+I14&lt;F55,I14,D56)</f>
        <v>0</v>
      </c>
      <c r="F56" s="55">
        <f t="shared" si="9"/>
        <v>0</v>
      </c>
      <c r="G56" s="379">
        <f t="shared" si="6"/>
        <v>0</v>
      </c>
      <c r="H56" s="364">
        <f t="shared" si="7"/>
        <v>0</v>
      </c>
      <c r="I56" s="52">
        <f t="shared" si="10"/>
        <v>0</v>
      </c>
      <c r="J56" s="52"/>
      <c r="K56" s="129"/>
      <c r="L56" s="54">
        <f t="shared" si="11"/>
        <v>0</v>
      </c>
      <c r="M56" s="129"/>
      <c r="N56" s="54">
        <f t="shared" si="12"/>
        <v>0</v>
      </c>
      <c r="O56" s="54">
        <f t="shared" si="13"/>
        <v>0</v>
      </c>
      <c r="P56" s="1"/>
    </row>
    <row r="57" spans="2:17" ht="12.5">
      <c r="B57" s="7" t="str">
        <f t="shared" si="8"/>
        <v/>
      </c>
      <c r="C57" s="50">
        <f>IF(D11="","-",+C56+1)</f>
        <v>2048</v>
      </c>
      <c r="D57" s="55">
        <f>IF(F56+SUM(E$17:E56)=D$10,F56,D$10-SUM(E$17:E56))</f>
        <v>0</v>
      </c>
      <c r="E57" s="378">
        <f>IF(+I14&lt;F56,I14,D57)</f>
        <v>0</v>
      </c>
      <c r="F57" s="55">
        <f t="shared" si="9"/>
        <v>0</v>
      </c>
      <c r="G57" s="379">
        <f t="shared" si="6"/>
        <v>0</v>
      </c>
      <c r="H57" s="364">
        <f t="shared" si="7"/>
        <v>0</v>
      </c>
      <c r="I57" s="52">
        <f t="shared" si="10"/>
        <v>0</v>
      </c>
      <c r="J57" s="52"/>
      <c r="K57" s="129"/>
      <c r="L57" s="54">
        <f t="shared" si="11"/>
        <v>0</v>
      </c>
      <c r="M57" s="129"/>
      <c r="N57" s="54">
        <f t="shared" si="12"/>
        <v>0</v>
      </c>
      <c r="O57" s="54">
        <f t="shared" si="13"/>
        <v>0</v>
      </c>
      <c r="P57" s="1"/>
    </row>
    <row r="58" spans="2:17" ht="12.5">
      <c r="B58" s="7" t="str">
        <f t="shared" si="8"/>
        <v/>
      </c>
      <c r="C58" s="50">
        <f>IF(D11="","-",+C57+1)</f>
        <v>2049</v>
      </c>
      <c r="D58" s="55">
        <f>IF(F57+SUM(E$17:E57)=D$10,F57,D$10-SUM(E$17:E57))</f>
        <v>0</v>
      </c>
      <c r="E58" s="378">
        <f>IF(+I14&lt;F57,I14,D58)</f>
        <v>0</v>
      </c>
      <c r="F58" s="55">
        <f t="shared" si="9"/>
        <v>0</v>
      </c>
      <c r="G58" s="379">
        <f t="shared" si="6"/>
        <v>0</v>
      </c>
      <c r="H58" s="364">
        <f t="shared" si="7"/>
        <v>0</v>
      </c>
      <c r="I58" s="52">
        <f t="shared" si="10"/>
        <v>0</v>
      </c>
      <c r="J58" s="52"/>
      <c r="K58" s="129"/>
      <c r="L58" s="54">
        <f t="shared" si="11"/>
        <v>0</v>
      </c>
      <c r="M58" s="129"/>
      <c r="N58" s="54">
        <f t="shared" si="12"/>
        <v>0</v>
      </c>
      <c r="O58" s="54">
        <f t="shared" si="13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8"/>
        <v/>
      </c>
      <c r="C59" s="50">
        <f>IF(D11="","-",+C58+1)</f>
        <v>2050</v>
      </c>
      <c r="D59" s="55">
        <f>IF(F58+SUM(E$17:E58)=D$10,F58,D$10-SUM(E$17:E58))</f>
        <v>0</v>
      </c>
      <c r="E59" s="378">
        <f>IF(+I14&lt;F58,I14,D59)</f>
        <v>0</v>
      </c>
      <c r="F59" s="55">
        <f t="shared" si="9"/>
        <v>0</v>
      </c>
      <c r="G59" s="379">
        <f t="shared" si="6"/>
        <v>0</v>
      </c>
      <c r="H59" s="364">
        <f t="shared" si="7"/>
        <v>0</v>
      </c>
      <c r="I59" s="52">
        <f t="shared" si="10"/>
        <v>0</v>
      </c>
      <c r="J59" s="52"/>
      <c r="K59" s="129"/>
      <c r="L59" s="54">
        <f t="shared" si="11"/>
        <v>0</v>
      </c>
      <c r="M59" s="129"/>
      <c r="N59" s="54">
        <f t="shared" si="12"/>
        <v>0</v>
      </c>
      <c r="O59" s="54">
        <f t="shared" si="13"/>
        <v>0</v>
      </c>
      <c r="P59" s="1"/>
    </row>
    <row r="60" spans="2:17" ht="12.5">
      <c r="B60" s="7" t="str">
        <f t="shared" si="8"/>
        <v/>
      </c>
      <c r="C60" s="50">
        <f>IF(D11="","-",+C59+1)</f>
        <v>2051</v>
      </c>
      <c r="D60" s="55">
        <f>IF(F59+SUM(E$17:E59)=D$10,F59,D$10-SUM(E$17:E59))</f>
        <v>0</v>
      </c>
      <c r="E60" s="378">
        <f>IF(+I14&lt;F59,I14,D60)</f>
        <v>0</v>
      </c>
      <c r="F60" s="55">
        <f t="shared" si="9"/>
        <v>0</v>
      </c>
      <c r="G60" s="379">
        <f t="shared" si="6"/>
        <v>0</v>
      </c>
      <c r="H60" s="364">
        <f t="shared" si="7"/>
        <v>0</v>
      </c>
      <c r="I60" s="52">
        <f t="shared" si="10"/>
        <v>0</v>
      </c>
      <c r="J60" s="52"/>
      <c r="K60" s="129"/>
      <c r="L60" s="54">
        <f t="shared" si="11"/>
        <v>0</v>
      </c>
      <c r="M60" s="129"/>
      <c r="N60" s="54">
        <f t="shared" si="12"/>
        <v>0</v>
      </c>
      <c r="O60" s="54">
        <f t="shared" si="13"/>
        <v>0</v>
      </c>
      <c r="P60" s="1"/>
    </row>
    <row r="61" spans="2:17" ht="12.5">
      <c r="B61" s="7" t="str">
        <f t="shared" si="8"/>
        <v/>
      </c>
      <c r="C61" s="50">
        <f>IF(D11="","-",+C60+1)</f>
        <v>2052</v>
      </c>
      <c r="D61" s="55">
        <f>IF(F60+SUM(E$17:E60)=D$10,F60,D$10-SUM(E$17:E60))</f>
        <v>0</v>
      </c>
      <c r="E61" s="378">
        <f>IF(+I14&lt;F60,I14,D61)</f>
        <v>0</v>
      </c>
      <c r="F61" s="55">
        <f t="shared" si="9"/>
        <v>0</v>
      </c>
      <c r="G61" s="380">
        <f t="shared" si="6"/>
        <v>0</v>
      </c>
      <c r="H61" s="364">
        <f t="shared" si="7"/>
        <v>0</v>
      </c>
      <c r="I61" s="52">
        <f t="shared" si="10"/>
        <v>0</v>
      </c>
      <c r="J61" s="52"/>
      <c r="K61" s="129"/>
      <c r="L61" s="54">
        <f t="shared" si="11"/>
        <v>0</v>
      </c>
      <c r="M61" s="129"/>
      <c r="N61" s="54">
        <f t="shared" si="12"/>
        <v>0</v>
      </c>
      <c r="O61" s="54">
        <f t="shared" si="13"/>
        <v>0</v>
      </c>
      <c r="P61" s="1"/>
    </row>
    <row r="62" spans="2:17" ht="12.5">
      <c r="B62" s="7" t="str">
        <f t="shared" si="8"/>
        <v/>
      </c>
      <c r="C62" s="50">
        <f>IF(D11="","-",+C61+1)</f>
        <v>2053</v>
      </c>
      <c r="D62" s="55">
        <f>IF(F61+SUM(E$17:E61)=D$10,F61,D$10-SUM(E$17:E61))</f>
        <v>0</v>
      </c>
      <c r="E62" s="378">
        <f>IF(+I14&lt;F61,I14,D62)</f>
        <v>0</v>
      </c>
      <c r="F62" s="55">
        <f t="shared" si="9"/>
        <v>0</v>
      </c>
      <c r="G62" s="380">
        <f t="shared" si="6"/>
        <v>0</v>
      </c>
      <c r="H62" s="364">
        <f t="shared" si="7"/>
        <v>0</v>
      </c>
      <c r="I62" s="52">
        <f t="shared" si="10"/>
        <v>0</v>
      </c>
      <c r="J62" s="52"/>
      <c r="K62" s="129"/>
      <c r="L62" s="54">
        <f t="shared" si="11"/>
        <v>0</v>
      </c>
      <c r="M62" s="129"/>
      <c r="N62" s="54">
        <f t="shared" si="12"/>
        <v>0</v>
      </c>
      <c r="O62" s="54">
        <f t="shared" si="13"/>
        <v>0</v>
      </c>
      <c r="P62" s="1"/>
    </row>
    <row r="63" spans="2:17" ht="12.5">
      <c r="B63" s="7" t="str">
        <f t="shared" si="8"/>
        <v/>
      </c>
      <c r="C63" s="50">
        <f>IF(D11="","-",+C62+1)</f>
        <v>2054</v>
      </c>
      <c r="D63" s="55">
        <f>IF(F62+SUM(E$17:E62)=D$10,F62,D$10-SUM(E$17:E62))</f>
        <v>0</v>
      </c>
      <c r="E63" s="378">
        <f>IF(+I14&lt;F62,I14,D63)</f>
        <v>0</v>
      </c>
      <c r="F63" s="55">
        <f t="shared" si="9"/>
        <v>0</v>
      </c>
      <c r="G63" s="380">
        <f t="shared" si="6"/>
        <v>0</v>
      </c>
      <c r="H63" s="364">
        <f t="shared" si="7"/>
        <v>0</v>
      </c>
      <c r="I63" s="52">
        <f t="shared" si="10"/>
        <v>0</v>
      </c>
      <c r="J63" s="52"/>
      <c r="K63" s="129"/>
      <c r="L63" s="54">
        <f t="shared" si="11"/>
        <v>0</v>
      </c>
      <c r="M63" s="129"/>
      <c r="N63" s="54">
        <f t="shared" si="12"/>
        <v>0</v>
      </c>
      <c r="O63" s="54">
        <f t="shared" si="13"/>
        <v>0</v>
      </c>
      <c r="P63" s="1"/>
    </row>
    <row r="64" spans="2:17" ht="12.5">
      <c r="B64" s="7" t="str">
        <f t="shared" si="8"/>
        <v/>
      </c>
      <c r="C64" s="50">
        <f>IF(D11="","-",+C63+1)</f>
        <v>2055</v>
      </c>
      <c r="D64" s="55">
        <f>IF(F63+SUM(E$17:E63)=D$10,F63,D$10-SUM(E$17:E63))</f>
        <v>0</v>
      </c>
      <c r="E64" s="378">
        <f>IF(+I14&lt;F63,I14,D64)</f>
        <v>0</v>
      </c>
      <c r="F64" s="55">
        <f t="shared" si="9"/>
        <v>0</v>
      </c>
      <c r="G64" s="380">
        <f t="shared" si="6"/>
        <v>0</v>
      </c>
      <c r="H64" s="364">
        <f t="shared" si="7"/>
        <v>0</v>
      </c>
      <c r="I64" s="52">
        <f t="shared" si="10"/>
        <v>0</v>
      </c>
      <c r="J64" s="52"/>
      <c r="K64" s="129"/>
      <c r="L64" s="54">
        <f t="shared" si="11"/>
        <v>0</v>
      </c>
      <c r="M64" s="129"/>
      <c r="N64" s="54">
        <f t="shared" si="12"/>
        <v>0</v>
      </c>
      <c r="O64" s="54">
        <f t="shared" si="13"/>
        <v>0</v>
      </c>
      <c r="P64" s="1"/>
    </row>
    <row r="65" spans="1:16" ht="12.5">
      <c r="B65" s="7" t="str">
        <f t="shared" si="8"/>
        <v/>
      </c>
      <c r="C65" s="50">
        <f>IF(D11="","-",+C64+1)</f>
        <v>2056</v>
      </c>
      <c r="D65" s="55">
        <f>IF(F64+SUM(E$17:E64)=D$10,F64,D$10-SUM(E$17:E64))</f>
        <v>0</v>
      </c>
      <c r="E65" s="378">
        <f>IF(+I14&lt;F64,I14,D65)</f>
        <v>0</v>
      </c>
      <c r="F65" s="55">
        <f t="shared" si="9"/>
        <v>0</v>
      </c>
      <c r="G65" s="380">
        <f t="shared" si="6"/>
        <v>0</v>
      </c>
      <c r="H65" s="364">
        <f t="shared" si="7"/>
        <v>0</v>
      </c>
      <c r="I65" s="52">
        <f t="shared" si="10"/>
        <v>0</v>
      </c>
      <c r="J65" s="52"/>
      <c r="K65" s="129"/>
      <c r="L65" s="54">
        <f t="shared" si="11"/>
        <v>0</v>
      </c>
      <c r="M65" s="129"/>
      <c r="N65" s="54">
        <f t="shared" si="12"/>
        <v>0</v>
      </c>
      <c r="O65" s="54">
        <f t="shared" si="13"/>
        <v>0</v>
      </c>
      <c r="P65" s="1"/>
    </row>
    <row r="66" spans="1:16" ht="12.5">
      <c r="B66" s="7" t="str">
        <f t="shared" si="8"/>
        <v/>
      </c>
      <c r="C66" s="50">
        <f>IF(D11="","-",+C65+1)</f>
        <v>2057</v>
      </c>
      <c r="D66" s="55">
        <f>IF(F65+SUM(E$17:E65)=D$10,F65,D$10-SUM(E$17:E65))</f>
        <v>0</v>
      </c>
      <c r="E66" s="378">
        <f>IF(+I14&lt;F65,I14,D66)</f>
        <v>0</v>
      </c>
      <c r="F66" s="55">
        <f t="shared" si="9"/>
        <v>0</v>
      </c>
      <c r="G66" s="380">
        <f t="shared" si="6"/>
        <v>0</v>
      </c>
      <c r="H66" s="364">
        <f t="shared" si="7"/>
        <v>0</v>
      </c>
      <c r="I66" s="52">
        <f t="shared" si="10"/>
        <v>0</v>
      </c>
      <c r="J66" s="52"/>
      <c r="K66" s="129"/>
      <c r="L66" s="54">
        <f t="shared" si="11"/>
        <v>0</v>
      </c>
      <c r="M66" s="129"/>
      <c r="N66" s="54">
        <f t="shared" si="12"/>
        <v>0</v>
      </c>
      <c r="O66" s="54">
        <f t="shared" si="13"/>
        <v>0</v>
      </c>
      <c r="P66" s="1"/>
    </row>
    <row r="67" spans="1:16" ht="12.5">
      <c r="B67" s="7" t="str">
        <f t="shared" si="8"/>
        <v/>
      </c>
      <c r="C67" s="50">
        <f>IF(D11="","-",+C66+1)</f>
        <v>2058</v>
      </c>
      <c r="D67" s="55">
        <f>IF(F66+SUM(E$17:E66)=D$10,F66,D$10-SUM(E$17:E66))</f>
        <v>0</v>
      </c>
      <c r="E67" s="378">
        <f>IF(+I14&lt;F66,I14,D67)</f>
        <v>0</v>
      </c>
      <c r="F67" s="55">
        <f t="shared" si="9"/>
        <v>0</v>
      </c>
      <c r="G67" s="380">
        <f t="shared" si="6"/>
        <v>0</v>
      </c>
      <c r="H67" s="364">
        <f t="shared" si="7"/>
        <v>0</v>
      </c>
      <c r="I67" s="52">
        <f t="shared" si="10"/>
        <v>0</v>
      </c>
      <c r="J67" s="52"/>
      <c r="K67" s="129"/>
      <c r="L67" s="54">
        <f t="shared" si="11"/>
        <v>0</v>
      </c>
      <c r="M67" s="129"/>
      <c r="N67" s="54">
        <f t="shared" si="12"/>
        <v>0</v>
      </c>
      <c r="O67" s="54">
        <f t="shared" si="13"/>
        <v>0</v>
      </c>
      <c r="P67" s="1"/>
    </row>
    <row r="68" spans="1:16" ht="12.5">
      <c r="B68" s="7" t="str">
        <f t="shared" si="8"/>
        <v/>
      </c>
      <c r="C68" s="50">
        <f>IF(D11="","-",+C67+1)</f>
        <v>2059</v>
      </c>
      <c r="D68" s="55">
        <f>IF(F67+SUM(E$17:E67)=D$10,F67,D$10-SUM(E$17:E67))</f>
        <v>0</v>
      </c>
      <c r="E68" s="378">
        <f>IF(+I14&lt;F67,I14,D68)</f>
        <v>0</v>
      </c>
      <c r="F68" s="55">
        <f t="shared" si="9"/>
        <v>0</v>
      </c>
      <c r="G68" s="380">
        <f t="shared" si="6"/>
        <v>0</v>
      </c>
      <c r="H68" s="364">
        <f t="shared" si="7"/>
        <v>0</v>
      </c>
      <c r="I68" s="52">
        <f t="shared" si="10"/>
        <v>0</v>
      </c>
      <c r="J68" s="52"/>
      <c r="K68" s="129"/>
      <c r="L68" s="54">
        <f t="shared" si="11"/>
        <v>0</v>
      </c>
      <c r="M68" s="129"/>
      <c r="N68" s="54">
        <f t="shared" si="12"/>
        <v>0</v>
      </c>
      <c r="O68" s="54">
        <f t="shared" si="13"/>
        <v>0</v>
      </c>
      <c r="P68" s="1"/>
    </row>
    <row r="69" spans="1:16" ht="12.5">
      <c r="B69" s="7" t="str">
        <f t="shared" si="8"/>
        <v/>
      </c>
      <c r="C69" s="50">
        <f>IF(D11="","-",+C68+1)</f>
        <v>2060</v>
      </c>
      <c r="D69" s="55">
        <f>IF(F68+SUM(E$17:E68)=D$10,F68,D$10-SUM(E$17:E68))</f>
        <v>0</v>
      </c>
      <c r="E69" s="378">
        <f>IF(+I14&lt;F68,I14,D69)</f>
        <v>0</v>
      </c>
      <c r="F69" s="55">
        <f t="shared" si="9"/>
        <v>0</v>
      </c>
      <c r="G69" s="380">
        <f t="shared" si="6"/>
        <v>0</v>
      </c>
      <c r="H69" s="364">
        <f t="shared" si="7"/>
        <v>0</v>
      </c>
      <c r="I69" s="52">
        <f t="shared" si="10"/>
        <v>0</v>
      </c>
      <c r="J69" s="52"/>
      <c r="K69" s="129"/>
      <c r="L69" s="54">
        <f t="shared" si="11"/>
        <v>0</v>
      </c>
      <c r="M69" s="129"/>
      <c r="N69" s="54">
        <f t="shared" si="12"/>
        <v>0</v>
      </c>
      <c r="O69" s="54">
        <f t="shared" si="13"/>
        <v>0</v>
      </c>
      <c r="P69" s="1"/>
    </row>
    <row r="70" spans="1:16" ht="12.5">
      <c r="B70" s="7" t="str">
        <f t="shared" si="8"/>
        <v/>
      </c>
      <c r="C70" s="50">
        <f>IF(D11="","-",+C69+1)</f>
        <v>2061</v>
      </c>
      <c r="D70" s="55">
        <f>IF(F69+SUM(E$17:E69)=D$10,F69,D$10-SUM(E$17:E69))</f>
        <v>0</v>
      </c>
      <c r="E70" s="378">
        <f>IF(+I14&lt;F69,I14,D70)</f>
        <v>0</v>
      </c>
      <c r="F70" s="55">
        <f t="shared" si="9"/>
        <v>0</v>
      </c>
      <c r="G70" s="380">
        <f t="shared" si="6"/>
        <v>0</v>
      </c>
      <c r="H70" s="364">
        <f t="shared" si="7"/>
        <v>0</v>
      </c>
      <c r="I70" s="52">
        <f t="shared" si="10"/>
        <v>0</v>
      </c>
      <c r="J70" s="52"/>
      <c r="K70" s="129"/>
      <c r="L70" s="54">
        <f t="shared" si="11"/>
        <v>0</v>
      </c>
      <c r="M70" s="129"/>
      <c r="N70" s="54">
        <f t="shared" si="12"/>
        <v>0</v>
      </c>
      <c r="O70" s="54">
        <f t="shared" si="13"/>
        <v>0</v>
      </c>
      <c r="P70" s="1"/>
    </row>
    <row r="71" spans="1:16" ht="12.5">
      <c r="B71" s="7" t="str">
        <f t="shared" si="8"/>
        <v/>
      </c>
      <c r="C71" s="50">
        <f>IF(D11="","-",+C70+1)</f>
        <v>2062</v>
      </c>
      <c r="D71" s="55">
        <f>IF(F70+SUM(E$17:E70)=D$10,F70,D$10-SUM(E$17:E70))</f>
        <v>0</v>
      </c>
      <c r="E71" s="378">
        <f>IF(+I14&lt;F70,I14,D71)</f>
        <v>0</v>
      </c>
      <c r="F71" s="55">
        <f t="shared" si="9"/>
        <v>0</v>
      </c>
      <c r="G71" s="380">
        <f t="shared" si="6"/>
        <v>0</v>
      </c>
      <c r="H71" s="364">
        <f t="shared" si="7"/>
        <v>0</v>
      </c>
      <c r="I71" s="52">
        <f t="shared" si="10"/>
        <v>0</v>
      </c>
      <c r="J71" s="52"/>
      <c r="K71" s="129"/>
      <c r="L71" s="54">
        <f t="shared" si="11"/>
        <v>0</v>
      </c>
      <c r="M71" s="129"/>
      <c r="N71" s="54">
        <f t="shared" si="12"/>
        <v>0</v>
      </c>
      <c r="O71" s="54">
        <f t="shared" si="13"/>
        <v>0</v>
      </c>
      <c r="P71" s="1"/>
    </row>
    <row r="72" spans="1:16" ht="13" thickBot="1">
      <c r="B72" s="7" t="str">
        <f t="shared" si="8"/>
        <v/>
      </c>
      <c r="C72" s="59">
        <f>IF(D11="","-",+C71+1)</f>
        <v>2063</v>
      </c>
      <c r="D72" s="60">
        <f>IF(F71+SUM(E$17:E71)=D$10,F71,D$10-SUM(E$17:E71))</f>
        <v>0</v>
      </c>
      <c r="E72" s="381">
        <f>IF(+I14&lt;F71,I14,D72)</f>
        <v>0</v>
      </c>
      <c r="F72" s="60">
        <f t="shared" si="9"/>
        <v>0</v>
      </c>
      <c r="G72" s="382">
        <f t="shared" si="6"/>
        <v>0</v>
      </c>
      <c r="H72" s="362">
        <f t="shared" si="7"/>
        <v>0</v>
      </c>
      <c r="I72" s="63">
        <f t="shared" si="10"/>
        <v>0</v>
      </c>
      <c r="J72" s="52"/>
      <c r="K72" s="130"/>
      <c r="L72" s="64">
        <f t="shared" si="11"/>
        <v>0</v>
      </c>
      <c r="M72" s="130"/>
      <c r="N72" s="64">
        <f t="shared" si="12"/>
        <v>0</v>
      </c>
      <c r="O72" s="64">
        <f t="shared" si="13"/>
        <v>0</v>
      </c>
      <c r="P72" s="1"/>
    </row>
    <row r="73" spans="1:16" ht="12.5">
      <c r="C73" s="12" t="s">
        <v>78</v>
      </c>
      <c r="D73" s="293"/>
      <c r="E73" s="293">
        <f>SUM(E17:E72)</f>
        <v>0</v>
      </c>
      <c r="F73" s="293"/>
      <c r="G73" s="293">
        <f>SUM(G17:G72)</f>
        <v>0</v>
      </c>
      <c r="H73" s="293">
        <f>SUM(H17:H72)</f>
        <v>0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7.5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10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0</v>
      </c>
      <c r="N87" s="387">
        <f>IF(J92&lt;D11,0,VLOOKUP(J92,C17:O72,11))</f>
        <v>0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0</v>
      </c>
      <c r="N88" s="390">
        <f>IF(J92&lt;D11,0,VLOOKUP(J92,C99:P154,7))</f>
        <v>0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Tontitown - Elm Springs REC 161 kV line***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0</v>
      </c>
      <c r="N89" s="392">
        <f>+N88-N87</f>
        <v>0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>DOES NOT MEET SPP $100,000 MINIMUM INVESTMENT FOR REGIONAL BPU SHARING.</v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TP2007103</v>
      </c>
      <c r="E91" s="76" t="str">
        <f>E9</f>
        <v xml:space="preserve">SPP Project ID = </v>
      </c>
      <c r="F91" s="76" t="str">
        <f>F9</f>
        <v>6 &amp; 42</v>
      </c>
      <c r="G91" s="76"/>
      <c r="H91" s="76"/>
      <c r="I91" s="76"/>
      <c r="J91" s="95"/>
      <c r="Q91" s="1"/>
    </row>
    <row r="92" spans="1:17" ht="13">
      <c r="C92" s="34" t="s">
        <v>51</v>
      </c>
      <c r="D92" s="394">
        <f>IF(D11=I10,0,D10)</f>
        <v>0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  <c r="Q92" s="1"/>
    </row>
    <row r="93" spans="1:17" ht="12.5">
      <c r="C93" s="34" t="s">
        <v>54</v>
      </c>
      <c r="D93" s="88">
        <f>IF(D11=I10,"",D11)</f>
        <v>2008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4">
        <f>IF(D11=I10,"",D12)</f>
        <v>11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0</v>
      </c>
      <c r="K96" s="293"/>
      <c r="L96" s="293"/>
      <c r="M96" s="293"/>
      <c r="N96" s="293"/>
      <c r="O96" s="293"/>
      <c r="P96" s="1"/>
      <c r="Q96" s="1"/>
    </row>
    <row r="97" spans="1:17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5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 ht="12.5">
      <c r="C99" s="50">
        <f>IF(D93= "","-",D93)</f>
        <v>2008</v>
      </c>
      <c r="D99" s="12">
        <f>IF(D93=C99,0,D92)</f>
        <v>0</v>
      </c>
      <c r="E99" s="379">
        <f>IF(D11=I10,0,J96/12*(12-D94))</f>
        <v>0</v>
      </c>
      <c r="F99" s="55">
        <f>IF(D93=C99,+D92-E99,+D99-E99)</f>
        <v>0</v>
      </c>
      <c r="G99" s="83">
        <f t="shared" ref="G99:G130" si="14">+(F99+D99)/2</f>
        <v>0</v>
      </c>
      <c r="H99" s="416">
        <f t="shared" ref="H99:H112" si="15">+J$94*G99+E99</f>
        <v>0</v>
      </c>
      <c r="I99" s="417">
        <f t="shared" ref="I99:I112" si="16">+J$95*G99+E99</f>
        <v>0</v>
      </c>
      <c r="J99" s="54">
        <f t="shared" ref="J99:J130" si="17">+I99-H99</f>
        <v>0</v>
      </c>
      <c r="K99" s="54"/>
      <c r="L99" s="112">
        <v>0</v>
      </c>
      <c r="M99" s="53">
        <f t="shared" ref="M99:M130" si="18">IF(L99&lt;&gt;0,+H99-L99,0)</f>
        <v>0</v>
      </c>
      <c r="N99" s="112">
        <v>0</v>
      </c>
      <c r="O99" s="53">
        <f t="shared" ref="O99:O130" si="19">IF(N99&lt;&gt;0,+I99-N99,0)</f>
        <v>0</v>
      </c>
      <c r="P99" s="53">
        <f t="shared" ref="P99:P130" si="20">+O99-M99</f>
        <v>0</v>
      </c>
      <c r="Q99" s="1"/>
    </row>
    <row r="100" spans="1:17" ht="12.5">
      <c r="B100" s="7" t="str">
        <f>IF(D100=F99,"","IU")</f>
        <v/>
      </c>
      <c r="C100" s="50">
        <f>IF(D93="","-",+C99+1)</f>
        <v>2009</v>
      </c>
      <c r="D100" s="12">
        <f t="shared" ref="D100:D109" si="21">F99</f>
        <v>0</v>
      </c>
      <c r="E100" s="378">
        <f>IF(+J96&lt;F99,J96,D100)</f>
        <v>0</v>
      </c>
      <c r="F100" s="55">
        <f t="shared" ref="F100:F130" si="22">+D100-E100</f>
        <v>0</v>
      </c>
      <c r="G100" s="55">
        <f t="shared" si="14"/>
        <v>0</v>
      </c>
      <c r="H100" s="380">
        <f t="shared" si="15"/>
        <v>0</v>
      </c>
      <c r="I100" s="399">
        <f t="shared" si="16"/>
        <v>0</v>
      </c>
      <c r="J100" s="54">
        <f t="shared" si="17"/>
        <v>0</v>
      </c>
      <c r="K100" s="54"/>
      <c r="L100" s="113">
        <v>0</v>
      </c>
      <c r="M100" s="54">
        <f t="shared" si="18"/>
        <v>0</v>
      </c>
      <c r="N100" s="113">
        <v>0</v>
      </c>
      <c r="O100" s="54">
        <f t="shared" si="19"/>
        <v>0</v>
      </c>
      <c r="P100" s="54">
        <f t="shared" si="20"/>
        <v>0</v>
      </c>
      <c r="Q100" s="1"/>
    </row>
    <row r="101" spans="1:17" ht="12.5">
      <c r="B101" s="7" t="str">
        <f t="shared" ref="B101:B154" si="23">IF(D101=F100,"","IU")</f>
        <v/>
      </c>
      <c r="C101" s="50">
        <f>IF(D93="","-",+C100+1)</f>
        <v>2010</v>
      </c>
      <c r="D101" s="12">
        <f t="shared" si="21"/>
        <v>0</v>
      </c>
      <c r="E101" s="378">
        <f>IF(+J96&lt;F100,J96,D101)</f>
        <v>0</v>
      </c>
      <c r="F101" s="55">
        <f t="shared" si="22"/>
        <v>0</v>
      </c>
      <c r="G101" s="55">
        <f t="shared" si="14"/>
        <v>0</v>
      </c>
      <c r="H101" s="380">
        <f t="shared" si="15"/>
        <v>0</v>
      </c>
      <c r="I101" s="399">
        <f t="shared" si="16"/>
        <v>0</v>
      </c>
      <c r="J101" s="54">
        <f t="shared" si="17"/>
        <v>0</v>
      </c>
      <c r="K101" s="54"/>
      <c r="L101" s="129"/>
      <c r="M101" s="54">
        <f t="shared" si="18"/>
        <v>0</v>
      </c>
      <c r="N101" s="129"/>
      <c r="O101" s="54">
        <f t="shared" si="19"/>
        <v>0</v>
      </c>
      <c r="P101" s="54">
        <f t="shared" si="20"/>
        <v>0</v>
      </c>
      <c r="Q101" s="1"/>
    </row>
    <row r="102" spans="1:17" ht="12.5">
      <c r="B102" s="7" t="str">
        <f t="shared" si="23"/>
        <v/>
      </c>
      <c r="C102" s="50">
        <f>IF(D93="","-",+C101+1)</f>
        <v>2011</v>
      </c>
      <c r="D102" s="12">
        <f t="shared" si="21"/>
        <v>0</v>
      </c>
      <c r="E102" s="378">
        <f>IF(+J96&lt;F101,J96,D102)</f>
        <v>0</v>
      </c>
      <c r="F102" s="55">
        <f t="shared" si="22"/>
        <v>0</v>
      </c>
      <c r="G102" s="55">
        <f t="shared" si="14"/>
        <v>0</v>
      </c>
      <c r="H102" s="380">
        <f t="shared" si="15"/>
        <v>0</v>
      </c>
      <c r="I102" s="399">
        <f t="shared" si="16"/>
        <v>0</v>
      </c>
      <c r="J102" s="54">
        <f t="shared" si="17"/>
        <v>0</v>
      </c>
      <c r="K102" s="54"/>
      <c r="L102" s="129"/>
      <c r="M102" s="54">
        <f t="shared" si="18"/>
        <v>0</v>
      </c>
      <c r="N102" s="129"/>
      <c r="O102" s="54">
        <f t="shared" si="19"/>
        <v>0</v>
      </c>
      <c r="P102" s="54">
        <f t="shared" si="20"/>
        <v>0</v>
      </c>
      <c r="Q102" s="1"/>
    </row>
    <row r="103" spans="1:17" ht="12.5">
      <c r="B103" s="7" t="str">
        <f t="shared" si="23"/>
        <v/>
      </c>
      <c r="C103" s="50">
        <f>IF(D93="","-",+C102+1)</f>
        <v>2012</v>
      </c>
      <c r="D103" s="12">
        <f t="shared" si="21"/>
        <v>0</v>
      </c>
      <c r="E103" s="378">
        <f>IF(+J96&lt;F102,J96,D103)</f>
        <v>0</v>
      </c>
      <c r="F103" s="55">
        <f t="shared" si="22"/>
        <v>0</v>
      </c>
      <c r="G103" s="55">
        <f t="shared" si="14"/>
        <v>0</v>
      </c>
      <c r="H103" s="380">
        <f t="shared" si="15"/>
        <v>0</v>
      </c>
      <c r="I103" s="399">
        <f t="shared" si="16"/>
        <v>0</v>
      </c>
      <c r="J103" s="54">
        <f t="shared" si="17"/>
        <v>0</v>
      </c>
      <c r="K103" s="54"/>
      <c r="L103" s="129"/>
      <c r="M103" s="54">
        <f t="shared" si="18"/>
        <v>0</v>
      </c>
      <c r="N103" s="129"/>
      <c r="O103" s="54">
        <f t="shared" si="19"/>
        <v>0</v>
      </c>
      <c r="P103" s="54">
        <f t="shared" si="20"/>
        <v>0</v>
      </c>
      <c r="Q103" s="1"/>
    </row>
    <row r="104" spans="1:17" ht="12.5">
      <c r="B104" s="7" t="str">
        <f t="shared" si="23"/>
        <v/>
      </c>
      <c r="C104" s="50">
        <f>IF(D93="","-",+C103+1)</f>
        <v>2013</v>
      </c>
      <c r="D104" s="12">
        <f t="shared" si="21"/>
        <v>0</v>
      </c>
      <c r="E104" s="378">
        <f>IF(+J96&lt;F103,J96,D104)</f>
        <v>0</v>
      </c>
      <c r="F104" s="55">
        <f t="shared" si="22"/>
        <v>0</v>
      </c>
      <c r="G104" s="55">
        <f t="shared" si="14"/>
        <v>0</v>
      </c>
      <c r="H104" s="380">
        <f t="shared" si="15"/>
        <v>0</v>
      </c>
      <c r="I104" s="399">
        <f t="shared" si="16"/>
        <v>0</v>
      </c>
      <c r="J104" s="54">
        <f t="shared" si="17"/>
        <v>0</v>
      </c>
      <c r="K104" s="54"/>
      <c r="L104" s="129"/>
      <c r="M104" s="54">
        <f t="shared" si="18"/>
        <v>0</v>
      </c>
      <c r="N104" s="129"/>
      <c r="O104" s="54">
        <f t="shared" si="19"/>
        <v>0</v>
      </c>
      <c r="P104" s="54">
        <f t="shared" si="20"/>
        <v>0</v>
      </c>
      <c r="Q104" s="1"/>
    </row>
    <row r="105" spans="1:17" ht="12.5">
      <c r="B105" s="7" t="str">
        <f t="shared" si="23"/>
        <v/>
      </c>
      <c r="C105" s="50">
        <f>IF(D93="","-",+C104+1)</f>
        <v>2014</v>
      </c>
      <c r="D105" s="12">
        <f t="shared" si="21"/>
        <v>0</v>
      </c>
      <c r="E105" s="378">
        <f>IF(+J96&lt;F104,J96,D105)</f>
        <v>0</v>
      </c>
      <c r="F105" s="55">
        <f t="shared" si="22"/>
        <v>0</v>
      </c>
      <c r="G105" s="55">
        <f t="shared" si="14"/>
        <v>0</v>
      </c>
      <c r="H105" s="380">
        <f t="shared" si="15"/>
        <v>0</v>
      </c>
      <c r="I105" s="399">
        <f t="shared" si="16"/>
        <v>0</v>
      </c>
      <c r="J105" s="54">
        <f t="shared" si="17"/>
        <v>0</v>
      </c>
      <c r="K105" s="54"/>
      <c r="L105" s="129"/>
      <c r="M105" s="54">
        <f t="shared" si="18"/>
        <v>0</v>
      </c>
      <c r="N105" s="129"/>
      <c r="O105" s="54">
        <f t="shared" si="19"/>
        <v>0</v>
      </c>
      <c r="P105" s="54">
        <f t="shared" si="20"/>
        <v>0</v>
      </c>
      <c r="Q105" s="1"/>
    </row>
    <row r="106" spans="1:17" ht="12.5">
      <c r="B106" s="7" t="str">
        <f t="shared" si="23"/>
        <v/>
      </c>
      <c r="C106" s="50">
        <f>IF(D93="","-",+C105+1)</f>
        <v>2015</v>
      </c>
      <c r="D106" s="12">
        <f t="shared" si="21"/>
        <v>0</v>
      </c>
      <c r="E106" s="378">
        <f>IF(+J96&lt;F105,J96,D106)</f>
        <v>0</v>
      </c>
      <c r="F106" s="55">
        <f t="shared" si="22"/>
        <v>0</v>
      </c>
      <c r="G106" s="55">
        <f t="shared" si="14"/>
        <v>0</v>
      </c>
      <c r="H106" s="380">
        <f t="shared" si="15"/>
        <v>0</v>
      </c>
      <c r="I106" s="399">
        <f t="shared" si="16"/>
        <v>0</v>
      </c>
      <c r="J106" s="54">
        <f t="shared" si="17"/>
        <v>0</v>
      </c>
      <c r="K106" s="54"/>
      <c r="L106" s="129"/>
      <c r="M106" s="54">
        <f t="shared" si="18"/>
        <v>0</v>
      </c>
      <c r="N106" s="129"/>
      <c r="O106" s="54">
        <f t="shared" si="19"/>
        <v>0</v>
      </c>
      <c r="P106" s="54">
        <f t="shared" si="20"/>
        <v>0</v>
      </c>
      <c r="Q106" s="1"/>
    </row>
    <row r="107" spans="1:17" ht="12.5">
      <c r="B107" s="7" t="str">
        <f t="shared" si="23"/>
        <v/>
      </c>
      <c r="C107" s="50">
        <f>IF(D93="","-",+C106+1)</f>
        <v>2016</v>
      </c>
      <c r="D107" s="12">
        <f t="shared" si="21"/>
        <v>0</v>
      </c>
      <c r="E107" s="378">
        <f>IF(+J96&lt;F106,J96,D107)</f>
        <v>0</v>
      </c>
      <c r="F107" s="55">
        <f t="shared" si="22"/>
        <v>0</v>
      </c>
      <c r="G107" s="55">
        <f t="shared" si="14"/>
        <v>0</v>
      </c>
      <c r="H107" s="380">
        <f t="shared" si="15"/>
        <v>0</v>
      </c>
      <c r="I107" s="399">
        <f t="shared" si="16"/>
        <v>0</v>
      </c>
      <c r="J107" s="54">
        <f t="shared" si="17"/>
        <v>0</v>
      </c>
      <c r="K107" s="54"/>
      <c r="L107" s="129"/>
      <c r="M107" s="54">
        <f t="shared" si="18"/>
        <v>0</v>
      </c>
      <c r="N107" s="129"/>
      <c r="O107" s="54">
        <f t="shared" si="19"/>
        <v>0</v>
      </c>
      <c r="P107" s="54">
        <f t="shared" si="20"/>
        <v>0</v>
      </c>
      <c r="Q107" s="1"/>
    </row>
    <row r="108" spans="1:17" ht="12.5">
      <c r="B108" s="7" t="str">
        <f t="shared" si="23"/>
        <v/>
      </c>
      <c r="C108" s="50">
        <f>IF(D93="","-",+C107+1)</f>
        <v>2017</v>
      </c>
      <c r="D108" s="12">
        <f t="shared" si="21"/>
        <v>0</v>
      </c>
      <c r="E108" s="378">
        <f>IF(+J96&lt;F107,J96,D108)</f>
        <v>0</v>
      </c>
      <c r="F108" s="55">
        <f t="shared" si="22"/>
        <v>0</v>
      </c>
      <c r="G108" s="55">
        <f t="shared" si="14"/>
        <v>0</v>
      </c>
      <c r="H108" s="380">
        <f t="shared" si="15"/>
        <v>0</v>
      </c>
      <c r="I108" s="399">
        <f t="shared" si="16"/>
        <v>0</v>
      </c>
      <c r="J108" s="54">
        <f t="shared" si="17"/>
        <v>0</v>
      </c>
      <c r="K108" s="54"/>
      <c r="L108" s="129"/>
      <c r="M108" s="54">
        <f t="shared" si="18"/>
        <v>0</v>
      </c>
      <c r="N108" s="129"/>
      <c r="O108" s="54">
        <f t="shared" si="19"/>
        <v>0</v>
      </c>
      <c r="P108" s="54">
        <f t="shared" si="20"/>
        <v>0</v>
      </c>
      <c r="Q108" s="1"/>
    </row>
    <row r="109" spans="1:17" ht="12.5">
      <c r="B109" s="7" t="str">
        <f t="shared" si="23"/>
        <v/>
      </c>
      <c r="C109" s="50">
        <f>IF(D93="","-",+C108+1)</f>
        <v>2018</v>
      </c>
      <c r="D109" s="12">
        <f t="shared" si="21"/>
        <v>0</v>
      </c>
      <c r="E109" s="378">
        <f>IF(+J96&lt;F108,J96,D109)</f>
        <v>0</v>
      </c>
      <c r="F109" s="55">
        <f t="shared" si="22"/>
        <v>0</v>
      </c>
      <c r="G109" s="55">
        <f t="shared" si="14"/>
        <v>0</v>
      </c>
      <c r="H109" s="380">
        <f t="shared" si="15"/>
        <v>0</v>
      </c>
      <c r="I109" s="399">
        <f t="shared" si="16"/>
        <v>0</v>
      </c>
      <c r="J109" s="54">
        <f t="shared" si="17"/>
        <v>0</v>
      </c>
      <c r="K109" s="54"/>
      <c r="L109" s="129"/>
      <c r="M109" s="54">
        <f t="shared" si="18"/>
        <v>0</v>
      </c>
      <c r="N109" s="129"/>
      <c r="O109" s="54">
        <f t="shared" si="19"/>
        <v>0</v>
      </c>
      <c r="P109" s="54">
        <f t="shared" si="20"/>
        <v>0</v>
      </c>
      <c r="Q109" s="1"/>
    </row>
    <row r="110" spans="1:17" ht="12.5">
      <c r="B110" s="7" t="str">
        <f t="shared" si="23"/>
        <v/>
      </c>
      <c r="C110" s="50">
        <f>IF(D93="","-",+C109+1)</f>
        <v>2019</v>
      </c>
      <c r="D110" s="12">
        <f>IF(F109+SUM(E$99:E109)=D$92,F109,D$92-SUM(E$99:E109))</f>
        <v>0</v>
      </c>
      <c r="E110" s="378">
        <f>IF(+J96&lt;F109,J96,D110)</f>
        <v>0</v>
      </c>
      <c r="F110" s="55">
        <f t="shared" si="22"/>
        <v>0</v>
      </c>
      <c r="G110" s="55">
        <f t="shared" si="14"/>
        <v>0</v>
      </c>
      <c r="H110" s="380">
        <f t="shared" si="15"/>
        <v>0</v>
      </c>
      <c r="I110" s="399">
        <f t="shared" si="16"/>
        <v>0</v>
      </c>
      <c r="J110" s="54">
        <f t="shared" si="17"/>
        <v>0</v>
      </c>
      <c r="K110" s="54"/>
      <c r="L110" s="129"/>
      <c r="M110" s="54">
        <f t="shared" si="18"/>
        <v>0</v>
      </c>
      <c r="N110" s="129"/>
      <c r="O110" s="54">
        <f t="shared" si="19"/>
        <v>0</v>
      </c>
      <c r="P110" s="54">
        <f t="shared" si="20"/>
        <v>0</v>
      </c>
      <c r="Q110" s="1"/>
    </row>
    <row r="111" spans="1:17" ht="12.5">
      <c r="B111" s="7" t="str">
        <f t="shared" si="23"/>
        <v/>
      </c>
      <c r="C111" s="50">
        <f>IF(D93="","-",+C110+1)</f>
        <v>2020</v>
      </c>
      <c r="D111" s="12">
        <f>IF(F110+SUM(E$99:E110)=D$92,F110,D$92-SUM(E$99:E110))</f>
        <v>0</v>
      </c>
      <c r="E111" s="378">
        <f>IF(+J96&lt;F110,J96,D111)</f>
        <v>0</v>
      </c>
      <c r="F111" s="55">
        <f t="shared" si="22"/>
        <v>0</v>
      </c>
      <c r="G111" s="55">
        <f t="shared" si="14"/>
        <v>0</v>
      </c>
      <c r="H111" s="380">
        <f t="shared" si="15"/>
        <v>0</v>
      </c>
      <c r="I111" s="399">
        <f t="shared" si="16"/>
        <v>0</v>
      </c>
      <c r="J111" s="54">
        <f t="shared" si="17"/>
        <v>0</v>
      </c>
      <c r="K111" s="54"/>
      <c r="L111" s="129"/>
      <c r="M111" s="54">
        <f t="shared" si="18"/>
        <v>0</v>
      </c>
      <c r="N111" s="129"/>
      <c r="O111" s="54">
        <f t="shared" si="19"/>
        <v>0</v>
      </c>
      <c r="P111" s="54">
        <f t="shared" si="20"/>
        <v>0</v>
      </c>
      <c r="Q111" s="1"/>
    </row>
    <row r="112" spans="1:17" ht="12.5">
      <c r="B112" s="7" t="str">
        <f t="shared" si="23"/>
        <v/>
      </c>
      <c r="C112" s="50">
        <f>IF(D93="","-",+C111+1)</f>
        <v>2021</v>
      </c>
      <c r="D112" s="12">
        <f>IF(F111+SUM(E$99:E111)=D$92,F111,D$92-SUM(E$99:E111))</f>
        <v>0</v>
      </c>
      <c r="E112" s="378">
        <f>IF(+J96&lt;F111,J96,D112)</f>
        <v>0</v>
      </c>
      <c r="F112" s="55">
        <f t="shared" si="22"/>
        <v>0</v>
      </c>
      <c r="G112" s="55">
        <f t="shared" si="14"/>
        <v>0</v>
      </c>
      <c r="H112" s="380">
        <f t="shared" si="15"/>
        <v>0</v>
      </c>
      <c r="I112" s="399">
        <f t="shared" si="16"/>
        <v>0</v>
      </c>
      <c r="J112" s="54">
        <f t="shared" si="17"/>
        <v>0</v>
      </c>
      <c r="K112" s="54"/>
      <c r="L112" s="129"/>
      <c r="M112" s="54">
        <f t="shared" si="18"/>
        <v>0</v>
      </c>
      <c r="N112" s="129"/>
      <c r="O112" s="54">
        <f t="shared" si="19"/>
        <v>0</v>
      </c>
      <c r="P112" s="54">
        <f t="shared" si="20"/>
        <v>0</v>
      </c>
      <c r="Q112" s="1"/>
    </row>
    <row r="113" spans="2:17" ht="12.5">
      <c r="B113" s="7" t="str">
        <f t="shared" si="23"/>
        <v/>
      </c>
      <c r="C113" s="50">
        <f>IF(D93="","-",+C112+1)</f>
        <v>2022</v>
      </c>
      <c r="D113" s="12">
        <f>IF(F112+SUM(E$99:E112)=D$92,F112,D$92-SUM(E$99:E112))</f>
        <v>0</v>
      </c>
      <c r="E113" s="378">
        <f>IF(+J96&lt;F112,J96,D113)</f>
        <v>0</v>
      </c>
      <c r="F113" s="55">
        <f t="shared" si="22"/>
        <v>0</v>
      </c>
      <c r="G113" s="55">
        <f t="shared" si="14"/>
        <v>0</v>
      </c>
      <c r="H113" s="380">
        <f t="shared" ref="H113:H154" si="24">+J$94*G113+E113</f>
        <v>0</v>
      </c>
      <c r="I113" s="399">
        <f t="shared" ref="I113:I154" si="25">+J$95*G113+E113</f>
        <v>0</v>
      </c>
      <c r="J113" s="54">
        <f t="shared" si="17"/>
        <v>0</v>
      </c>
      <c r="K113" s="54"/>
      <c r="L113" s="129"/>
      <c r="M113" s="54">
        <f t="shared" si="18"/>
        <v>0</v>
      </c>
      <c r="N113" s="129"/>
      <c r="O113" s="54">
        <f t="shared" si="19"/>
        <v>0</v>
      </c>
      <c r="P113" s="54">
        <f t="shared" si="20"/>
        <v>0</v>
      </c>
      <c r="Q113" s="1"/>
    </row>
    <row r="114" spans="2:17" ht="12.5">
      <c r="B114" s="7" t="str">
        <f t="shared" si="23"/>
        <v/>
      </c>
      <c r="C114" s="50">
        <f>IF(D93="","-",+C113+1)</f>
        <v>2023</v>
      </c>
      <c r="D114" s="12">
        <f>IF(F113+SUM(E$99:E113)=D$92,F113,D$92-SUM(E$99:E113))</f>
        <v>0</v>
      </c>
      <c r="E114" s="378">
        <f>IF(+J96&lt;F113,J96,D114)</f>
        <v>0</v>
      </c>
      <c r="F114" s="55">
        <f t="shared" si="22"/>
        <v>0</v>
      </c>
      <c r="G114" s="55">
        <f t="shared" si="14"/>
        <v>0</v>
      </c>
      <c r="H114" s="380">
        <f t="shared" si="24"/>
        <v>0</v>
      </c>
      <c r="I114" s="399">
        <f t="shared" si="25"/>
        <v>0</v>
      </c>
      <c r="J114" s="54">
        <f t="shared" si="17"/>
        <v>0</v>
      </c>
      <c r="K114" s="54"/>
      <c r="L114" s="129"/>
      <c r="M114" s="54">
        <f t="shared" si="18"/>
        <v>0</v>
      </c>
      <c r="N114" s="129"/>
      <c r="O114" s="54">
        <f t="shared" si="19"/>
        <v>0</v>
      </c>
      <c r="P114" s="54">
        <f t="shared" si="20"/>
        <v>0</v>
      </c>
      <c r="Q114" s="1"/>
    </row>
    <row r="115" spans="2:17" ht="12.5">
      <c r="B115" s="7" t="str">
        <f t="shared" si="23"/>
        <v/>
      </c>
      <c r="C115" s="50">
        <f>IF(D93="","-",+C114+1)</f>
        <v>2024</v>
      </c>
      <c r="D115" s="12">
        <f>IF(F114+SUM(E$99:E114)=D$92,F114,D$92-SUM(E$99:E114))</f>
        <v>0</v>
      </c>
      <c r="E115" s="378">
        <f>IF(+J96&lt;F114,J96,D115)</f>
        <v>0</v>
      </c>
      <c r="F115" s="55">
        <f t="shared" si="22"/>
        <v>0</v>
      </c>
      <c r="G115" s="55">
        <f t="shared" si="14"/>
        <v>0</v>
      </c>
      <c r="H115" s="380">
        <f t="shared" si="24"/>
        <v>0</v>
      </c>
      <c r="I115" s="399">
        <f t="shared" si="25"/>
        <v>0</v>
      </c>
      <c r="J115" s="54">
        <f t="shared" si="17"/>
        <v>0</v>
      </c>
      <c r="K115" s="54"/>
      <c r="L115" s="129"/>
      <c r="M115" s="54">
        <f t="shared" si="18"/>
        <v>0</v>
      </c>
      <c r="N115" s="129"/>
      <c r="O115" s="54">
        <f t="shared" si="19"/>
        <v>0</v>
      </c>
      <c r="P115" s="54">
        <f t="shared" si="20"/>
        <v>0</v>
      </c>
      <c r="Q115" s="1"/>
    </row>
    <row r="116" spans="2:17" ht="12.5">
      <c r="B116" s="7" t="str">
        <f t="shared" si="23"/>
        <v/>
      </c>
      <c r="C116" s="50">
        <f>IF(D93="","-",+C115+1)</f>
        <v>2025</v>
      </c>
      <c r="D116" s="12">
        <f>IF(F115+SUM(E$99:E115)=D$92,F115,D$92-SUM(E$99:E115))</f>
        <v>0</v>
      </c>
      <c r="E116" s="378">
        <f>IF(+J96&lt;F115,J96,D116)</f>
        <v>0</v>
      </c>
      <c r="F116" s="55">
        <f t="shared" si="22"/>
        <v>0</v>
      </c>
      <c r="G116" s="55">
        <f t="shared" si="14"/>
        <v>0</v>
      </c>
      <c r="H116" s="380">
        <f t="shared" si="24"/>
        <v>0</v>
      </c>
      <c r="I116" s="399">
        <f t="shared" si="25"/>
        <v>0</v>
      </c>
      <c r="J116" s="54">
        <f t="shared" si="17"/>
        <v>0</v>
      </c>
      <c r="K116" s="54"/>
      <c r="L116" s="129"/>
      <c r="M116" s="54">
        <f t="shared" si="18"/>
        <v>0</v>
      </c>
      <c r="N116" s="129"/>
      <c r="O116" s="54">
        <f t="shared" si="19"/>
        <v>0</v>
      </c>
      <c r="P116" s="54">
        <f t="shared" si="20"/>
        <v>0</v>
      </c>
      <c r="Q116" s="1"/>
    </row>
    <row r="117" spans="2:17" ht="12.5">
      <c r="B117" s="7" t="str">
        <f t="shared" si="23"/>
        <v/>
      </c>
      <c r="C117" s="50">
        <f>IF(D93="","-",+C116+1)</f>
        <v>2026</v>
      </c>
      <c r="D117" s="12">
        <f>IF(F116+SUM(E$99:E116)=D$92,F116,D$92-SUM(E$99:E116))</f>
        <v>0</v>
      </c>
      <c r="E117" s="378">
        <f>IF(+J96&lt;F116,J96,D117)</f>
        <v>0</v>
      </c>
      <c r="F117" s="55">
        <f t="shared" si="22"/>
        <v>0</v>
      </c>
      <c r="G117" s="55">
        <f t="shared" si="14"/>
        <v>0</v>
      </c>
      <c r="H117" s="380">
        <f t="shared" si="24"/>
        <v>0</v>
      </c>
      <c r="I117" s="399">
        <f t="shared" si="25"/>
        <v>0</v>
      </c>
      <c r="J117" s="54">
        <f t="shared" si="17"/>
        <v>0</v>
      </c>
      <c r="K117" s="54"/>
      <c r="L117" s="129"/>
      <c r="M117" s="54">
        <f t="shared" si="18"/>
        <v>0</v>
      </c>
      <c r="N117" s="129"/>
      <c r="O117" s="54">
        <f t="shared" si="19"/>
        <v>0</v>
      </c>
      <c r="P117" s="54">
        <f t="shared" si="20"/>
        <v>0</v>
      </c>
      <c r="Q117" s="1"/>
    </row>
    <row r="118" spans="2:17" ht="12.5">
      <c r="B118" s="7" t="str">
        <f t="shared" si="23"/>
        <v/>
      </c>
      <c r="C118" s="50">
        <f>IF(D93="","-",+C117+1)</f>
        <v>2027</v>
      </c>
      <c r="D118" s="12">
        <f>IF(F117+SUM(E$99:E117)=D$92,F117,D$92-SUM(E$99:E117))</f>
        <v>0</v>
      </c>
      <c r="E118" s="378">
        <f>IF(+J96&lt;F117,J96,D118)</f>
        <v>0</v>
      </c>
      <c r="F118" s="55">
        <f t="shared" si="22"/>
        <v>0</v>
      </c>
      <c r="G118" s="55">
        <f t="shared" si="14"/>
        <v>0</v>
      </c>
      <c r="H118" s="380">
        <f t="shared" si="24"/>
        <v>0</v>
      </c>
      <c r="I118" s="399">
        <f t="shared" si="25"/>
        <v>0</v>
      </c>
      <c r="J118" s="54">
        <f t="shared" si="17"/>
        <v>0</v>
      </c>
      <c r="K118" s="54"/>
      <c r="L118" s="129"/>
      <c r="M118" s="54">
        <f t="shared" si="18"/>
        <v>0</v>
      </c>
      <c r="N118" s="129"/>
      <c r="O118" s="54">
        <f t="shared" si="19"/>
        <v>0</v>
      </c>
      <c r="P118" s="54">
        <f t="shared" si="20"/>
        <v>0</v>
      </c>
      <c r="Q118" s="1"/>
    </row>
    <row r="119" spans="2:17" ht="12.5">
      <c r="B119" s="7" t="str">
        <f t="shared" si="23"/>
        <v/>
      </c>
      <c r="C119" s="50">
        <f>IF(D93="","-",+C118+1)</f>
        <v>2028</v>
      </c>
      <c r="D119" s="12">
        <f>IF(F118+SUM(E$99:E118)=D$92,F118,D$92-SUM(E$99:E118))</f>
        <v>0</v>
      </c>
      <c r="E119" s="378">
        <f>IF(+J96&lt;F118,J96,D119)</f>
        <v>0</v>
      </c>
      <c r="F119" s="55">
        <f t="shared" si="22"/>
        <v>0</v>
      </c>
      <c r="G119" s="55">
        <f t="shared" si="14"/>
        <v>0</v>
      </c>
      <c r="H119" s="380">
        <f t="shared" si="24"/>
        <v>0</v>
      </c>
      <c r="I119" s="399">
        <f t="shared" si="25"/>
        <v>0</v>
      </c>
      <c r="J119" s="54">
        <f t="shared" si="17"/>
        <v>0</v>
      </c>
      <c r="K119" s="54"/>
      <c r="L119" s="129"/>
      <c r="M119" s="54">
        <f t="shared" si="18"/>
        <v>0</v>
      </c>
      <c r="N119" s="129"/>
      <c r="O119" s="54">
        <f t="shared" si="19"/>
        <v>0</v>
      </c>
      <c r="P119" s="54">
        <f t="shared" si="20"/>
        <v>0</v>
      </c>
      <c r="Q119" s="1"/>
    </row>
    <row r="120" spans="2:17" ht="12.5">
      <c r="B120" s="7" t="str">
        <f t="shared" si="23"/>
        <v/>
      </c>
      <c r="C120" s="50">
        <f>IF(D93="","-",+C119+1)</f>
        <v>2029</v>
      </c>
      <c r="D120" s="12">
        <f>IF(F119+SUM(E$99:E119)=D$92,F119,D$92-SUM(E$99:E119))</f>
        <v>0</v>
      </c>
      <c r="E120" s="378">
        <f>IF(+J96&lt;F119,J96,D120)</f>
        <v>0</v>
      </c>
      <c r="F120" s="55">
        <f t="shared" si="22"/>
        <v>0</v>
      </c>
      <c r="G120" s="55">
        <f t="shared" si="14"/>
        <v>0</v>
      </c>
      <c r="H120" s="380">
        <f t="shared" si="24"/>
        <v>0</v>
      </c>
      <c r="I120" s="399">
        <f t="shared" si="25"/>
        <v>0</v>
      </c>
      <c r="J120" s="54">
        <f t="shared" si="17"/>
        <v>0</v>
      </c>
      <c r="K120" s="54"/>
      <c r="L120" s="129"/>
      <c r="M120" s="54">
        <f t="shared" si="18"/>
        <v>0</v>
      </c>
      <c r="N120" s="129"/>
      <c r="O120" s="54">
        <f t="shared" si="19"/>
        <v>0</v>
      </c>
      <c r="P120" s="54">
        <f t="shared" si="20"/>
        <v>0</v>
      </c>
      <c r="Q120" s="1"/>
    </row>
    <row r="121" spans="2:17" ht="12.5">
      <c r="B121" s="7" t="str">
        <f t="shared" si="23"/>
        <v/>
      </c>
      <c r="C121" s="50">
        <f>IF(D93="","-",+C120+1)</f>
        <v>2030</v>
      </c>
      <c r="D121" s="12">
        <f>IF(F120+SUM(E$99:E120)=D$92,F120,D$92-SUM(E$99:E120))</f>
        <v>0</v>
      </c>
      <c r="E121" s="378">
        <f>IF(+J96&lt;F120,J96,D121)</f>
        <v>0</v>
      </c>
      <c r="F121" s="55">
        <f t="shared" si="22"/>
        <v>0</v>
      </c>
      <c r="G121" s="55">
        <f t="shared" si="14"/>
        <v>0</v>
      </c>
      <c r="H121" s="380">
        <f t="shared" si="24"/>
        <v>0</v>
      </c>
      <c r="I121" s="399">
        <f t="shared" si="25"/>
        <v>0</v>
      </c>
      <c r="J121" s="54">
        <f t="shared" si="17"/>
        <v>0</v>
      </c>
      <c r="K121" s="54"/>
      <c r="L121" s="129"/>
      <c r="M121" s="54">
        <f t="shared" si="18"/>
        <v>0</v>
      </c>
      <c r="N121" s="129"/>
      <c r="O121" s="54">
        <f t="shared" si="19"/>
        <v>0</v>
      </c>
      <c r="P121" s="54">
        <f t="shared" si="20"/>
        <v>0</v>
      </c>
      <c r="Q121" s="1"/>
    </row>
    <row r="122" spans="2:17" ht="12.5">
      <c r="B122" s="7" t="str">
        <f t="shared" si="23"/>
        <v/>
      </c>
      <c r="C122" s="50">
        <f>IF(D93="","-",+C121+1)</f>
        <v>2031</v>
      </c>
      <c r="D122" s="12">
        <f>IF(F121+SUM(E$99:E121)=D$92,F121,D$92-SUM(E$99:E121))</f>
        <v>0</v>
      </c>
      <c r="E122" s="378">
        <f>IF(+J96&lt;F121,J96,D122)</f>
        <v>0</v>
      </c>
      <c r="F122" s="55">
        <f t="shared" si="22"/>
        <v>0</v>
      </c>
      <c r="G122" s="55">
        <f t="shared" si="14"/>
        <v>0</v>
      </c>
      <c r="H122" s="380">
        <f t="shared" si="24"/>
        <v>0</v>
      </c>
      <c r="I122" s="399">
        <f t="shared" si="25"/>
        <v>0</v>
      </c>
      <c r="J122" s="54">
        <f t="shared" si="17"/>
        <v>0</v>
      </c>
      <c r="K122" s="54"/>
      <c r="L122" s="129"/>
      <c r="M122" s="54">
        <f t="shared" si="18"/>
        <v>0</v>
      </c>
      <c r="N122" s="129"/>
      <c r="O122" s="54">
        <f t="shared" si="19"/>
        <v>0</v>
      </c>
      <c r="P122" s="54">
        <f t="shared" si="20"/>
        <v>0</v>
      </c>
      <c r="Q122" s="1"/>
    </row>
    <row r="123" spans="2:17" ht="12.5">
      <c r="B123" s="7" t="str">
        <f t="shared" si="23"/>
        <v/>
      </c>
      <c r="C123" s="50">
        <f>IF(D93="","-",+C122+1)</f>
        <v>2032</v>
      </c>
      <c r="D123" s="12">
        <f>IF(F122+SUM(E$99:E122)=D$92,F122,D$92-SUM(E$99:E122))</f>
        <v>0</v>
      </c>
      <c r="E123" s="378">
        <f>IF(+J96&lt;F122,J96,D123)</f>
        <v>0</v>
      </c>
      <c r="F123" s="55">
        <f t="shared" si="22"/>
        <v>0</v>
      </c>
      <c r="G123" s="55">
        <f t="shared" si="14"/>
        <v>0</v>
      </c>
      <c r="H123" s="380">
        <f t="shared" si="24"/>
        <v>0</v>
      </c>
      <c r="I123" s="399">
        <f t="shared" si="25"/>
        <v>0</v>
      </c>
      <c r="J123" s="54">
        <f t="shared" si="17"/>
        <v>0</v>
      </c>
      <c r="K123" s="54"/>
      <c r="L123" s="129"/>
      <c r="M123" s="54">
        <f t="shared" si="18"/>
        <v>0</v>
      </c>
      <c r="N123" s="129"/>
      <c r="O123" s="54">
        <f t="shared" si="19"/>
        <v>0</v>
      </c>
      <c r="P123" s="54">
        <f t="shared" si="20"/>
        <v>0</v>
      </c>
      <c r="Q123" s="1"/>
    </row>
    <row r="124" spans="2:17" ht="12.5">
      <c r="B124" s="7" t="str">
        <f t="shared" si="23"/>
        <v/>
      </c>
      <c r="C124" s="50">
        <f>IF(D93="","-",+C123+1)</f>
        <v>2033</v>
      </c>
      <c r="D124" s="12">
        <f>IF(F123+SUM(E$99:E123)=D$92,F123,D$92-SUM(E$99:E123))</f>
        <v>0</v>
      </c>
      <c r="E124" s="378">
        <f>IF(+J96&lt;F123,J96,D124)</f>
        <v>0</v>
      </c>
      <c r="F124" s="55">
        <f t="shared" si="22"/>
        <v>0</v>
      </c>
      <c r="G124" s="55">
        <f t="shared" si="14"/>
        <v>0</v>
      </c>
      <c r="H124" s="380">
        <f t="shared" si="24"/>
        <v>0</v>
      </c>
      <c r="I124" s="399">
        <f t="shared" si="25"/>
        <v>0</v>
      </c>
      <c r="J124" s="54">
        <f t="shared" si="17"/>
        <v>0</v>
      </c>
      <c r="K124" s="54"/>
      <c r="L124" s="129"/>
      <c r="M124" s="54">
        <f t="shared" si="18"/>
        <v>0</v>
      </c>
      <c r="N124" s="129"/>
      <c r="O124" s="54">
        <f t="shared" si="19"/>
        <v>0</v>
      </c>
      <c r="P124" s="54">
        <f t="shared" si="20"/>
        <v>0</v>
      </c>
      <c r="Q124" s="1"/>
    </row>
    <row r="125" spans="2:17" ht="12.5">
      <c r="B125" s="7" t="str">
        <f t="shared" si="23"/>
        <v/>
      </c>
      <c r="C125" s="50">
        <f>IF(D93="","-",+C124+1)</f>
        <v>2034</v>
      </c>
      <c r="D125" s="12">
        <f>IF(F124+SUM(E$99:E124)=D$92,F124,D$92-SUM(E$99:E124))</f>
        <v>0</v>
      </c>
      <c r="E125" s="378">
        <f>IF(+J96&lt;F124,J96,D125)</f>
        <v>0</v>
      </c>
      <c r="F125" s="55">
        <f t="shared" si="22"/>
        <v>0</v>
      </c>
      <c r="G125" s="55">
        <f t="shared" si="14"/>
        <v>0</v>
      </c>
      <c r="H125" s="380">
        <f t="shared" si="24"/>
        <v>0</v>
      </c>
      <c r="I125" s="399">
        <f t="shared" si="25"/>
        <v>0</v>
      </c>
      <c r="J125" s="54">
        <f t="shared" si="17"/>
        <v>0</v>
      </c>
      <c r="K125" s="54"/>
      <c r="L125" s="129"/>
      <c r="M125" s="54">
        <f t="shared" si="18"/>
        <v>0</v>
      </c>
      <c r="N125" s="129"/>
      <c r="O125" s="54">
        <f t="shared" si="19"/>
        <v>0</v>
      </c>
      <c r="P125" s="54">
        <f t="shared" si="20"/>
        <v>0</v>
      </c>
      <c r="Q125" s="1"/>
    </row>
    <row r="126" spans="2:17" ht="12.5">
      <c r="B126" s="7" t="str">
        <f t="shared" si="23"/>
        <v/>
      </c>
      <c r="C126" s="50">
        <f>IF(D93="","-",+C125+1)</f>
        <v>2035</v>
      </c>
      <c r="D126" s="12">
        <f>IF(F125+SUM(E$99:E125)=D$92,F125,D$92-SUM(E$99:E125))</f>
        <v>0</v>
      </c>
      <c r="E126" s="378">
        <f>IF(+J96&lt;F125,J96,D126)</f>
        <v>0</v>
      </c>
      <c r="F126" s="55">
        <f t="shared" si="22"/>
        <v>0</v>
      </c>
      <c r="G126" s="55">
        <f t="shared" si="14"/>
        <v>0</v>
      </c>
      <c r="H126" s="380">
        <f t="shared" si="24"/>
        <v>0</v>
      </c>
      <c r="I126" s="399">
        <f t="shared" si="25"/>
        <v>0</v>
      </c>
      <c r="J126" s="54">
        <f t="shared" si="17"/>
        <v>0</v>
      </c>
      <c r="K126" s="54"/>
      <c r="L126" s="129"/>
      <c r="M126" s="54">
        <f t="shared" si="18"/>
        <v>0</v>
      </c>
      <c r="N126" s="129"/>
      <c r="O126" s="54">
        <f t="shared" si="19"/>
        <v>0</v>
      </c>
      <c r="P126" s="54">
        <f t="shared" si="20"/>
        <v>0</v>
      </c>
      <c r="Q126" s="1"/>
    </row>
    <row r="127" spans="2:17" ht="12.5">
      <c r="B127" s="7" t="str">
        <f t="shared" si="23"/>
        <v/>
      </c>
      <c r="C127" s="50">
        <f>IF(D93="","-",+C126+1)</f>
        <v>2036</v>
      </c>
      <c r="D127" s="12">
        <f>IF(F126+SUM(E$99:E126)=D$92,F126,D$92-SUM(E$99:E126))</f>
        <v>0</v>
      </c>
      <c r="E127" s="378">
        <f>IF(+J96&lt;F126,J96,D127)</f>
        <v>0</v>
      </c>
      <c r="F127" s="55">
        <f t="shared" si="22"/>
        <v>0</v>
      </c>
      <c r="G127" s="55">
        <f t="shared" si="14"/>
        <v>0</v>
      </c>
      <c r="H127" s="380">
        <f t="shared" si="24"/>
        <v>0</v>
      </c>
      <c r="I127" s="399">
        <f t="shared" si="25"/>
        <v>0</v>
      </c>
      <c r="J127" s="54">
        <f t="shared" si="17"/>
        <v>0</v>
      </c>
      <c r="K127" s="54"/>
      <c r="L127" s="129"/>
      <c r="M127" s="54">
        <f t="shared" si="18"/>
        <v>0</v>
      </c>
      <c r="N127" s="129"/>
      <c r="O127" s="54">
        <f t="shared" si="19"/>
        <v>0</v>
      </c>
      <c r="P127" s="54">
        <f t="shared" si="20"/>
        <v>0</v>
      </c>
      <c r="Q127" s="1"/>
    </row>
    <row r="128" spans="2:17" ht="12.5">
      <c r="B128" s="7" t="str">
        <f t="shared" si="23"/>
        <v/>
      </c>
      <c r="C128" s="50">
        <f>IF(D93="","-",+C127+1)</f>
        <v>2037</v>
      </c>
      <c r="D128" s="12">
        <f>IF(F127+SUM(E$99:E127)=D$92,F127,D$92-SUM(E$99:E127))</f>
        <v>0</v>
      </c>
      <c r="E128" s="378">
        <f>IF(+J96&lt;F127,J96,D128)</f>
        <v>0</v>
      </c>
      <c r="F128" s="55">
        <f t="shared" si="22"/>
        <v>0</v>
      </c>
      <c r="G128" s="55">
        <f t="shared" si="14"/>
        <v>0</v>
      </c>
      <c r="H128" s="380">
        <f t="shared" si="24"/>
        <v>0</v>
      </c>
      <c r="I128" s="399">
        <f t="shared" si="25"/>
        <v>0</v>
      </c>
      <c r="J128" s="54">
        <f t="shared" si="17"/>
        <v>0</v>
      </c>
      <c r="K128" s="54"/>
      <c r="L128" s="129"/>
      <c r="M128" s="54">
        <f t="shared" si="18"/>
        <v>0</v>
      </c>
      <c r="N128" s="129"/>
      <c r="O128" s="54">
        <f t="shared" si="19"/>
        <v>0</v>
      </c>
      <c r="P128" s="54">
        <f t="shared" si="20"/>
        <v>0</v>
      </c>
      <c r="Q128" s="1"/>
    </row>
    <row r="129" spans="2:17" ht="12.5">
      <c r="B129" s="7" t="str">
        <f t="shared" si="23"/>
        <v/>
      </c>
      <c r="C129" s="50">
        <f>IF(D93="","-",+C128+1)</f>
        <v>2038</v>
      </c>
      <c r="D129" s="12">
        <f>IF(F128+SUM(E$99:E128)=D$92,F128,D$92-SUM(E$99:E128))</f>
        <v>0</v>
      </c>
      <c r="E129" s="378">
        <f>IF(+J96&lt;F128,J96,D129)</f>
        <v>0</v>
      </c>
      <c r="F129" s="55">
        <f t="shared" si="22"/>
        <v>0</v>
      </c>
      <c r="G129" s="55">
        <f t="shared" si="14"/>
        <v>0</v>
      </c>
      <c r="H129" s="380">
        <f t="shared" si="24"/>
        <v>0</v>
      </c>
      <c r="I129" s="399">
        <f t="shared" si="25"/>
        <v>0</v>
      </c>
      <c r="J129" s="54">
        <f t="shared" si="17"/>
        <v>0</v>
      </c>
      <c r="K129" s="54"/>
      <c r="L129" s="129"/>
      <c r="M129" s="54">
        <f t="shared" si="18"/>
        <v>0</v>
      </c>
      <c r="N129" s="129"/>
      <c r="O129" s="54">
        <f t="shared" si="19"/>
        <v>0</v>
      </c>
      <c r="P129" s="54">
        <f t="shared" si="20"/>
        <v>0</v>
      </c>
      <c r="Q129" s="1"/>
    </row>
    <row r="130" spans="2:17" ht="12.5">
      <c r="B130" s="7" t="str">
        <f t="shared" si="23"/>
        <v/>
      </c>
      <c r="C130" s="50">
        <f>IF(D93="","-",+C129+1)</f>
        <v>2039</v>
      </c>
      <c r="D130" s="12">
        <f>IF(F129+SUM(E$99:E129)=D$92,F129,D$92-SUM(E$99:E129))</f>
        <v>0</v>
      </c>
      <c r="E130" s="378">
        <f>IF(+J96&lt;F129,J96,D130)</f>
        <v>0</v>
      </c>
      <c r="F130" s="55">
        <f t="shared" si="22"/>
        <v>0</v>
      </c>
      <c r="G130" s="55">
        <f t="shared" si="14"/>
        <v>0</v>
      </c>
      <c r="H130" s="380">
        <f t="shared" si="24"/>
        <v>0</v>
      </c>
      <c r="I130" s="399">
        <f t="shared" si="25"/>
        <v>0</v>
      </c>
      <c r="J130" s="54">
        <f t="shared" si="17"/>
        <v>0</v>
      </c>
      <c r="K130" s="54"/>
      <c r="L130" s="129"/>
      <c r="M130" s="54">
        <f t="shared" si="18"/>
        <v>0</v>
      </c>
      <c r="N130" s="129"/>
      <c r="O130" s="54">
        <f t="shared" si="19"/>
        <v>0</v>
      </c>
      <c r="P130" s="54">
        <f t="shared" si="20"/>
        <v>0</v>
      </c>
      <c r="Q130" s="1"/>
    </row>
    <row r="131" spans="2:17" ht="12.5">
      <c r="B131" s="7" t="str">
        <f t="shared" si="23"/>
        <v/>
      </c>
      <c r="C131" s="50">
        <f>IF(D93="","-",+C130+1)</f>
        <v>2040</v>
      </c>
      <c r="D131" s="12">
        <f>IF(F130+SUM(E$99:E130)=D$92,F130,D$92-SUM(E$99:E130))</f>
        <v>0</v>
      </c>
      <c r="E131" s="378">
        <f>IF(+J96&lt;F130,J96,D131)</f>
        <v>0</v>
      </c>
      <c r="F131" s="55">
        <f t="shared" ref="F131:F154" si="26">+D131-E131</f>
        <v>0</v>
      </c>
      <c r="G131" s="55">
        <f t="shared" ref="G131:G154" si="27">+(F131+D131)/2</f>
        <v>0</v>
      </c>
      <c r="H131" s="380">
        <f t="shared" si="24"/>
        <v>0</v>
      </c>
      <c r="I131" s="399">
        <f t="shared" si="25"/>
        <v>0</v>
      </c>
      <c r="J131" s="54">
        <f t="shared" ref="J131:J154" si="28">+I131-H131</f>
        <v>0</v>
      </c>
      <c r="K131" s="54"/>
      <c r="L131" s="129"/>
      <c r="M131" s="54">
        <f t="shared" ref="M131:M154" si="29">IF(L131&lt;&gt;0,+H131-L131,0)</f>
        <v>0</v>
      </c>
      <c r="N131" s="129"/>
      <c r="O131" s="54">
        <f t="shared" ref="O131:O154" si="30">IF(N131&lt;&gt;0,+I131-N131,0)</f>
        <v>0</v>
      </c>
      <c r="P131" s="54">
        <f t="shared" ref="P131:P154" si="31">+O131-M131</f>
        <v>0</v>
      </c>
      <c r="Q131" s="1"/>
    </row>
    <row r="132" spans="2:17" ht="12.5">
      <c r="B132" s="7" t="str">
        <f t="shared" si="23"/>
        <v/>
      </c>
      <c r="C132" s="50">
        <f>IF(D93="","-",+C131+1)</f>
        <v>2041</v>
      </c>
      <c r="D132" s="12">
        <f>IF(F131+SUM(E$99:E131)=D$92,F131,D$92-SUM(E$99:E131))</f>
        <v>0</v>
      </c>
      <c r="E132" s="378">
        <f>IF(+J96&lt;F131,J96,D132)</f>
        <v>0</v>
      </c>
      <c r="F132" s="55">
        <f t="shared" si="26"/>
        <v>0</v>
      </c>
      <c r="G132" s="55">
        <f t="shared" si="27"/>
        <v>0</v>
      </c>
      <c r="H132" s="380">
        <f t="shared" si="24"/>
        <v>0</v>
      </c>
      <c r="I132" s="399">
        <f t="shared" si="25"/>
        <v>0</v>
      </c>
      <c r="J132" s="54">
        <f t="shared" si="28"/>
        <v>0</v>
      </c>
      <c r="K132" s="54"/>
      <c r="L132" s="129"/>
      <c r="M132" s="54">
        <f t="shared" si="29"/>
        <v>0</v>
      </c>
      <c r="N132" s="129"/>
      <c r="O132" s="54">
        <f t="shared" si="30"/>
        <v>0</v>
      </c>
      <c r="P132" s="54">
        <f t="shared" si="31"/>
        <v>0</v>
      </c>
      <c r="Q132" s="1"/>
    </row>
    <row r="133" spans="2:17" ht="12.5">
      <c r="B133" s="7" t="str">
        <f t="shared" si="23"/>
        <v/>
      </c>
      <c r="C133" s="50">
        <f>IF(D93="","-",+C132+1)</f>
        <v>2042</v>
      </c>
      <c r="D133" s="12">
        <f>IF(F132+SUM(E$99:E132)=D$92,F132,D$92-SUM(E$99:E132))</f>
        <v>0</v>
      </c>
      <c r="E133" s="378">
        <f>IF(+J96&lt;F132,J96,D133)</f>
        <v>0</v>
      </c>
      <c r="F133" s="55">
        <f t="shared" si="26"/>
        <v>0</v>
      </c>
      <c r="G133" s="55">
        <f t="shared" si="27"/>
        <v>0</v>
      </c>
      <c r="H133" s="380">
        <f t="shared" si="24"/>
        <v>0</v>
      </c>
      <c r="I133" s="399">
        <f t="shared" si="25"/>
        <v>0</v>
      </c>
      <c r="J133" s="54">
        <f t="shared" si="28"/>
        <v>0</v>
      </c>
      <c r="K133" s="54"/>
      <c r="L133" s="129"/>
      <c r="M133" s="54">
        <f t="shared" si="29"/>
        <v>0</v>
      </c>
      <c r="N133" s="129"/>
      <c r="O133" s="54">
        <f t="shared" si="30"/>
        <v>0</v>
      </c>
      <c r="P133" s="54">
        <f t="shared" si="31"/>
        <v>0</v>
      </c>
      <c r="Q133" s="1"/>
    </row>
    <row r="134" spans="2:17" ht="12.5">
      <c r="B134" s="7" t="str">
        <f t="shared" si="23"/>
        <v/>
      </c>
      <c r="C134" s="50">
        <f>IF(D93="","-",+C133+1)</f>
        <v>2043</v>
      </c>
      <c r="D134" s="12">
        <f>IF(F133+SUM(E$99:E133)=D$92,F133,D$92-SUM(E$99:E133))</f>
        <v>0</v>
      </c>
      <c r="E134" s="378">
        <f>IF(+J96&lt;F133,J96,D134)</f>
        <v>0</v>
      </c>
      <c r="F134" s="55">
        <f t="shared" si="26"/>
        <v>0</v>
      </c>
      <c r="G134" s="55">
        <f t="shared" si="27"/>
        <v>0</v>
      </c>
      <c r="H134" s="380">
        <f t="shared" si="24"/>
        <v>0</v>
      </c>
      <c r="I134" s="399">
        <f t="shared" si="25"/>
        <v>0</v>
      </c>
      <c r="J134" s="54">
        <f t="shared" si="28"/>
        <v>0</v>
      </c>
      <c r="K134" s="54"/>
      <c r="L134" s="129"/>
      <c r="M134" s="54">
        <f t="shared" si="29"/>
        <v>0</v>
      </c>
      <c r="N134" s="129"/>
      <c r="O134" s="54">
        <f t="shared" si="30"/>
        <v>0</v>
      </c>
      <c r="P134" s="54">
        <f t="shared" si="31"/>
        <v>0</v>
      </c>
      <c r="Q134" s="1"/>
    </row>
    <row r="135" spans="2:17" ht="12.5">
      <c r="B135" s="7" t="str">
        <f t="shared" si="23"/>
        <v/>
      </c>
      <c r="C135" s="50">
        <f>IF(D93="","-",+C134+1)</f>
        <v>2044</v>
      </c>
      <c r="D135" s="12">
        <f>IF(F134+SUM(E$99:E134)=D$92,F134,D$92-SUM(E$99:E134))</f>
        <v>0</v>
      </c>
      <c r="E135" s="378">
        <f>IF(+J96&lt;F134,J96,D135)</f>
        <v>0</v>
      </c>
      <c r="F135" s="55">
        <f t="shared" si="26"/>
        <v>0</v>
      </c>
      <c r="G135" s="55">
        <f t="shared" si="27"/>
        <v>0</v>
      </c>
      <c r="H135" s="380">
        <f t="shared" si="24"/>
        <v>0</v>
      </c>
      <c r="I135" s="399">
        <f t="shared" si="25"/>
        <v>0</v>
      </c>
      <c r="J135" s="54">
        <f t="shared" si="28"/>
        <v>0</v>
      </c>
      <c r="K135" s="54"/>
      <c r="L135" s="129"/>
      <c r="M135" s="54">
        <f t="shared" si="29"/>
        <v>0</v>
      </c>
      <c r="N135" s="129"/>
      <c r="O135" s="54">
        <f t="shared" si="30"/>
        <v>0</v>
      </c>
      <c r="P135" s="54">
        <f t="shared" si="31"/>
        <v>0</v>
      </c>
      <c r="Q135" s="1"/>
    </row>
    <row r="136" spans="2:17" ht="12.5">
      <c r="B136" s="7" t="str">
        <f t="shared" si="23"/>
        <v/>
      </c>
      <c r="C136" s="50">
        <f>IF(D93="","-",+C135+1)</f>
        <v>2045</v>
      </c>
      <c r="D136" s="12">
        <f>IF(F135+SUM(E$99:E135)=D$92,F135,D$92-SUM(E$99:E135))</f>
        <v>0</v>
      </c>
      <c r="E136" s="378">
        <f>IF(+J96&lt;F135,J96,D136)</f>
        <v>0</v>
      </c>
      <c r="F136" s="55">
        <f t="shared" si="26"/>
        <v>0</v>
      </c>
      <c r="G136" s="55">
        <f t="shared" si="27"/>
        <v>0</v>
      </c>
      <c r="H136" s="380">
        <f t="shared" si="24"/>
        <v>0</v>
      </c>
      <c r="I136" s="399">
        <f t="shared" si="25"/>
        <v>0</v>
      </c>
      <c r="J136" s="54">
        <f t="shared" si="28"/>
        <v>0</v>
      </c>
      <c r="K136" s="54"/>
      <c r="L136" s="129"/>
      <c r="M136" s="54">
        <f t="shared" si="29"/>
        <v>0</v>
      </c>
      <c r="N136" s="129"/>
      <c r="O136" s="54">
        <f t="shared" si="30"/>
        <v>0</v>
      </c>
      <c r="P136" s="54">
        <f t="shared" si="31"/>
        <v>0</v>
      </c>
      <c r="Q136" s="1"/>
    </row>
    <row r="137" spans="2:17" ht="12.5">
      <c r="B137" s="7" t="str">
        <f t="shared" si="23"/>
        <v/>
      </c>
      <c r="C137" s="50">
        <f>IF(D93="","-",+C136+1)</f>
        <v>2046</v>
      </c>
      <c r="D137" s="12">
        <f>IF(F136+SUM(E$99:E136)=D$92,F136,D$92-SUM(E$99:E136))</f>
        <v>0</v>
      </c>
      <c r="E137" s="378">
        <f>IF(+J96&lt;F136,J96,D137)</f>
        <v>0</v>
      </c>
      <c r="F137" s="55">
        <f t="shared" si="26"/>
        <v>0</v>
      </c>
      <c r="G137" s="55">
        <f t="shared" si="27"/>
        <v>0</v>
      </c>
      <c r="H137" s="380">
        <f t="shared" si="24"/>
        <v>0</v>
      </c>
      <c r="I137" s="399">
        <f t="shared" si="25"/>
        <v>0</v>
      </c>
      <c r="J137" s="54">
        <f t="shared" si="28"/>
        <v>0</v>
      </c>
      <c r="K137" s="54"/>
      <c r="L137" s="129"/>
      <c r="M137" s="54">
        <f t="shared" si="29"/>
        <v>0</v>
      </c>
      <c r="N137" s="129"/>
      <c r="O137" s="54">
        <f t="shared" si="30"/>
        <v>0</v>
      </c>
      <c r="P137" s="54">
        <f t="shared" si="31"/>
        <v>0</v>
      </c>
      <c r="Q137" s="1"/>
    </row>
    <row r="138" spans="2:17" ht="12.5">
      <c r="B138" s="7" t="str">
        <f t="shared" si="23"/>
        <v/>
      </c>
      <c r="C138" s="50">
        <f>IF(D93="","-",+C137+1)</f>
        <v>2047</v>
      </c>
      <c r="D138" s="12">
        <f>IF(F137+SUM(E$99:E137)=D$92,F137,D$92-SUM(E$99:E137))</f>
        <v>0</v>
      </c>
      <c r="E138" s="378">
        <f>IF(+J96&lt;F137,J96,D138)</f>
        <v>0</v>
      </c>
      <c r="F138" s="55">
        <f t="shared" si="26"/>
        <v>0</v>
      </c>
      <c r="G138" s="55">
        <f t="shared" si="27"/>
        <v>0</v>
      </c>
      <c r="H138" s="380">
        <f t="shared" si="24"/>
        <v>0</v>
      </c>
      <c r="I138" s="399">
        <f t="shared" si="25"/>
        <v>0</v>
      </c>
      <c r="J138" s="54">
        <f t="shared" si="28"/>
        <v>0</v>
      </c>
      <c r="K138" s="54"/>
      <c r="L138" s="129"/>
      <c r="M138" s="54">
        <f t="shared" si="29"/>
        <v>0</v>
      </c>
      <c r="N138" s="129"/>
      <c r="O138" s="54">
        <f t="shared" si="30"/>
        <v>0</v>
      </c>
      <c r="P138" s="54">
        <f t="shared" si="31"/>
        <v>0</v>
      </c>
      <c r="Q138" s="1"/>
    </row>
    <row r="139" spans="2:17" ht="12.5">
      <c r="B139" s="7" t="str">
        <f t="shared" si="23"/>
        <v/>
      </c>
      <c r="C139" s="50">
        <f>IF(D93="","-",+C138+1)</f>
        <v>2048</v>
      </c>
      <c r="D139" s="12">
        <f>IF(F138+SUM(E$99:E138)=D$92,F138,D$92-SUM(E$99:E138))</f>
        <v>0</v>
      </c>
      <c r="E139" s="378">
        <f>IF(+J96&lt;F138,J96,D139)</f>
        <v>0</v>
      </c>
      <c r="F139" s="55">
        <f t="shared" si="26"/>
        <v>0</v>
      </c>
      <c r="G139" s="55">
        <f t="shared" si="27"/>
        <v>0</v>
      </c>
      <c r="H139" s="380">
        <f t="shared" si="24"/>
        <v>0</v>
      </c>
      <c r="I139" s="399">
        <f t="shared" si="25"/>
        <v>0</v>
      </c>
      <c r="J139" s="54">
        <f t="shared" si="28"/>
        <v>0</v>
      </c>
      <c r="K139" s="54"/>
      <c r="L139" s="129"/>
      <c r="M139" s="54">
        <f t="shared" si="29"/>
        <v>0</v>
      </c>
      <c r="N139" s="129"/>
      <c r="O139" s="54">
        <f t="shared" si="30"/>
        <v>0</v>
      </c>
      <c r="P139" s="54">
        <f t="shared" si="31"/>
        <v>0</v>
      </c>
      <c r="Q139" s="1"/>
    </row>
    <row r="140" spans="2:17" ht="12.5">
      <c r="B140" s="7" t="str">
        <f t="shared" si="23"/>
        <v/>
      </c>
      <c r="C140" s="50">
        <f>IF(D93="","-",+C139+1)</f>
        <v>2049</v>
      </c>
      <c r="D140" s="12">
        <f>IF(F139+SUM(E$99:E139)=D$92,F139,D$92-SUM(E$99:E139))</f>
        <v>0</v>
      </c>
      <c r="E140" s="378">
        <f>IF(+J96&lt;F139,J96,D140)</f>
        <v>0</v>
      </c>
      <c r="F140" s="55">
        <f t="shared" si="26"/>
        <v>0</v>
      </c>
      <c r="G140" s="55">
        <f t="shared" si="27"/>
        <v>0</v>
      </c>
      <c r="H140" s="380">
        <f t="shared" si="24"/>
        <v>0</v>
      </c>
      <c r="I140" s="399">
        <f t="shared" si="25"/>
        <v>0</v>
      </c>
      <c r="J140" s="54">
        <f t="shared" si="28"/>
        <v>0</v>
      </c>
      <c r="K140" s="54"/>
      <c r="L140" s="129"/>
      <c r="M140" s="54">
        <f t="shared" si="29"/>
        <v>0</v>
      </c>
      <c r="N140" s="129"/>
      <c r="O140" s="54">
        <f t="shared" si="30"/>
        <v>0</v>
      </c>
      <c r="P140" s="54">
        <f t="shared" si="31"/>
        <v>0</v>
      </c>
      <c r="Q140" s="1"/>
    </row>
    <row r="141" spans="2:17" ht="12.5">
      <c r="B141" s="7" t="str">
        <f t="shared" si="23"/>
        <v/>
      </c>
      <c r="C141" s="50">
        <f>IF(D93="","-",+C140+1)</f>
        <v>2050</v>
      </c>
      <c r="D141" s="12">
        <f>IF(F140+SUM(E$99:E140)=D$92,F140,D$92-SUM(E$99:E140))</f>
        <v>0</v>
      </c>
      <c r="E141" s="378">
        <f>IF(+J96&lt;F140,J96,D141)</f>
        <v>0</v>
      </c>
      <c r="F141" s="55">
        <f t="shared" si="26"/>
        <v>0</v>
      </c>
      <c r="G141" s="55">
        <f t="shared" si="27"/>
        <v>0</v>
      </c>
      <c r="H141" s="380">
        <f t="shared" si="24"/>
        <v>0</v>
      </c>
      <c r="I141" s="399">
        <f t="shared" si="25"/>
        <v>0</v>
      </c>
      <c r="J141" s="54">
        <f t="shared" si="28"/>
        <v>0</v>
      </c>
      <c r="K141" s="54"/>
      <c r="L141" s="129"/>
      <c r="M141" s="54">
        <f t="shared" si="29"/>
        <v>0</v>
      </c>
      <c r="N141" s="129"/>
      <c r="O141" s="54">
        <f t="shared" si="30"/>
        <v>0</v>
      </c>
      <c r="P141" s="54">
        <f t="shared" si="31"/>
        <v>0</v>
      </c>
      <c r="Q141" s="1"/>
    </row>
    <row r="142" spans="2:17" ht="12.5">
      <c r="B142" s="7" t="str">
        <f t="shared" si="23"/>
        <v/>
      </c>
      <c r="C142" s="50">
        <f>IF(D93="","-",+C141+1)</f>
        <v>2051</v>
      </c>
      <c r="D142" s="12">
        <f>IF(F141+SUM(E$99:E141)=D$92,F141,D$92-SUM(E$99:E141))</f>
        <v>0</v>
      </c>
      <c r="E142" s="378">
        <f>IF(+J96&lt;F141,J96,D142)</f>
        <v>0</v>
      </c>
      <c r="F142" s="55">
        <f t="shared" si="26"/>
        <v>0</v>
      </c>
      <c r="G142" s="55">
        <f t="shared" si="27"/>
        <v>0</v>
      </c>
      <c r="H142" s="380">
        <f t="shared" si="24"/>
        <v>0</v>
      </c>
      <c r="I142" s="399">
        <f t="shared" si="25"/>
        <v>0</v>
      </c>
      <c r="J142" s="54">
        <f t="shared" si="28"/>
        <v>0</v>
      </c>
      <c r="K142" s="54"/>
      <c r="L142" s="129"/>
      <c r="M142" s="54">
        <f t="shared" si="29"/>
        <v>0</v>
      </c>
      <c r="N142" s="129"/>
      <c r="O142" s="54">
        <f t="shared" si="30"/>
        <v>0</v>
      </c>
      <c r="P142" s="54">
        <f t="shared" si="31"/>
        <v>0</v>
      </c>
      <c r="Q142" s="1"/>
    </row>
    <row r="143" spans="2:17" ht="12.5">
      <c r="B143" s="7" t="str">
        <f t="shared" si="23"/>
        <v/>
      </c>
      <c r="C143" s="50">
        <f>IF(D93="","-",+C142+1)</f>
        <v>2052</v>
      </c>
      <c r="D143" s="12">
        <f>IF(F142+SUM(E$99:E142)=D$92,F142,D$92-SUM(E$99:E142))</f>
        <v>0</v>
      </c>
      <c r="E143" s="378">
        <f>IF(+J96&lt;F142,J96,D143)</f>
        <v>0</v>
      </c>
      <c r="F143" s="55">
        <f t="shared" si="26"/>
        <v>0</v>
      </c>
      <c r="G143" s="55">
        <f t="shared" si="27"/>
        <v>0</v>
      </c>
      <c r="H143" s="380">
        <f t="shared" si="24"/>
        <v>0</v>
      </c>
      <c r="I143" s="399">
        <f t="shared" si="25"/>
        <v>0</v>
      </c>
      <c r="J143" s="54">
        <f t="shared" si="28"/>
        <v>0</v>
      </c>
      <c r="K143" s="54"/>
      <c r="L143" s="129"/>
      <c r="M143" s="54">
        <f t="shared" si="29"/>
        <v>0</v>
      </c>
      <c r="N143" s="129"/>
      <c r="O143" s="54">
        <f t="shared" si="30"/>
        <v>0</v>
      </c>
      <c r="P143" s="54">
        <f t="shared" si="31"/>
        <v>0</v>
      </c>
      <c r="Q143" s="1"/>
    </row>
    <row r="144" spans="2:17" ht="12.5">
      <c r="B144" s="7" t="str">
        <f t="shared" si="23"/>
        <v/>
      </c>
      <c r="C144" s="50">
        <f>IF(D93="","-",+C143+1)</f>
        <v>2053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26"/>
        <v>0</v>
      </c>
      <c r="G144" s="55">
        <f t="shared" si="27"/>
        <v>0</v>
      </c>
      <c r="H144" s="380">
        <f t="shared" si="24"/>
        <v>0</v>
      </c>
      <c r="I144" s="399">
        <f t="shared" si="25"/>
        <v>0</v>
      </c>
      <c r="J144" s="54">
        <f t="shared" si="28"/>
        <v>0</v>
      </c>
      <c r="K144" s="54"/>
      <c r="L144" s="129"/>
      <c r="M144" s="54">
        <f t="shared" si="29"/>
        <v>0</v>
      </c>
      <c r="N144" s="129"/>
      <c r="O144" s="54">
        <f t="shared" si="30"/>
        <v>0</v>
      </c>
      <c r="P144" s="54">
        <f t="shared" si="31"/>
        <v>0</v>
      </c>
      <c r="Q144" s="1"/>
    </row>
    <row r="145" spans="2:17" ht="12.5">
      <c r="B145" s="7" t="str">
        <f t="shared" si="23"/>
        <v/>
      </c>
      <c r="C145" s="50">
        <f>IF(D93="","-",+C144+1)</f>
        <v>2054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26"/>
        <v>0</v>
      </c>
      <c r="G145" s="55">
        <f t="shared" si="27"/>
        <v>0</v>
      </c>
      <c r="H145" s="380">
        <f t="shared" si="24"/>
        <v>0</v>
      </c>
      <c r="I145" s="399">
        <f t="shared" si="25"/>
        <v>0</v>
      </c>
      <c r="J145" s="54">
        <f t="shared" si="28"/>
        <v>0</v>
      </c>
      <c r="K145" s="54"/>
      <c r="L145" s="129"/>
      <c r="M145" s="54">
        <f t="shared" si="29"/>
        <v>0</v>
      </c>
      <c r="N145" s="129"/>
      <c r="O145" s="54">
        <f t="shared" si="30"/>
        <v>0</v>
      </c>
      <c r="P145" s="54">
        <f t="shared" si="31"/>
        <v>0</v>
      </c>
      <c r="Q145" s="1"/>
    </row>
    <row r="146" spans="2:17" ht="12.5">
      <c r="B146" s="7" t="str">
        <f t="shared" si="23"/>
        <v/>
      </c>
      <c r="C146" s="50">
        <f>IF(D93="","-",+C145+1)</f>
        <v>2055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26"/>
        <v>0</v>
      </c>
      <c r="G146" s="55">
        <f t="shared" si="27"/>
        <v>0</v>
      </c>
      <c r="H146" s="380">
        <f t="shared" si="24"/>
        <v>0</v>
      </c>
      <c r="I146" s="399">
        <f t="shared" si="25"/>
        <v>0</v>
      </c>
      <c r="J146" s="54">
        <f t="shared" si="28"/>
        <v>0</v>
      </c>
      <c r="K146" s="54"/>
      <c r="L146" s="129"/>
      <c r="M146" s="54">
        <f t="shared" si="29"/>
        <v>0</v>
      </c>
      <c r="N146" s="129"/>
      <c r="O146" s="54">
        <f t="shared" si="30"/>
        <v>0</v>
      </c>
      <c r="P146" s="54">
        <f t="shared" si="31"/>
        <v>0</v>
      </c>
      <c r="Q146" s="1"/>
    </row>
    <row r="147" spans="2:17" ht="12.5">
      <c r="B147" s="7" t="str">
        <f t="shared" si="23"/>
        <v/>
      </c>
      <c r="C147" s="50">
        <f>IF(D93="","-",+C146+1)</f>
        <v>2056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26"/>
        <v>0</v>
      </c>
      <c r="G147" s="55">
        <f t="shared" si="27"/>
        <v>0</v>
      </c>
      <c r="H147" s="380">
        <f t="shared" si="24"/>
        <v>0</v>
      </c>
      <c r="I147" s="399">
        <f t="shared" si="25"/>
        <v>0</v>
      </c>
      <c r="J147" s="54">
        <f t="shared" si="28"/>
        <v>0</v>
      </c>
      <c r="K147" s="54"/>
      <c r="L147" s="129"/>
      <c r="M147" s="54">
        <f t="shared" si="29"/>
        <v>0</v>
      </c>
      <c r="N147" s="129"/>
      <c r="O147" s="54">
        <f t="shared" si="30"/>
        <v>0</v>
      </c>
      <c r="P147" s="54">
        <f t="shared" si="31"/>
        <v>0</v>
      </c>
      <c r="Q147" s="1"/>
    </row>
    <row r="148" spans="2:17" ht="12.5">
      <c r="B148" s="7" t="str">
        <f t="shared" si="23"/>
        <v/>
      </c>
      <c r="C148" s="50">
        <f>IF(D93="","-",+C147+1)</f>
        <v>2057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26"/>
        <v>0</v>
      </c>
      <c r="G148" s="55">
        <f t="shared" si="27"/>
        <v>0</v>
      </c>
      <c r="H148" s="380">
        <f t="shared" si="24"/>
        <v>0</v>
      </c>
      <c r="I148" s="399">
        <f t="shared" si="25"/>
        <v>0</v>
      </c>
      <c r="J148" s="54">
        <f t="shared" si="28"/>
        <v>0</v>
      </c>
      <c r="K148" s="54"/>
      <c r="L148" s="129"/>
      <c r="M148" s="54">
        <f t="shared" si="29"/>
        <v>0</v>
      </c>
      <c r="N148" s="129"/>
      <c r="O148" s="54">
        <f t="shared" si="30"/>
        <v>0</v>
      </c>
      <c r="P148" s="54">
        <f t="shared" si="31"/>
        <v>0</v>
      </c>
      <c r="Q148" s="1"/>
    </row>
    <row r="149" spans="2:17" ht="12.5">
      <c r="B149" s="7" t="str">
        <f t="shared" si="23"/>
        <v/>
      </c>
      <c r="C149" s="50">
        <f>IF(D93="","-",+C148+1)</f>
        <v>2058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26"/>
        <v>0</v>
      </c>
      <c r="G149" s="55">
        <f t="shared" si="27"/>
        <v>0</v>
      </c>
      <c r="H149" s="380">
        <f t="shared" si="24"/>
        <v>0</v>
      </c>
      <c r="I149" s="399">
        <f t="shared" si="25"/>
        <v>0</v>
      </c>
      <c r="J149" s="54">
        <f t="shared" si="28"/>
        <v>0</v>
      </c>
      <c r="K149" s="54"/>
      <c r="L149" s="129"/>
      <c r="M149" s="54">
        <f t="shared" si="29"/>
        <v>0</v>
      </c>
      <c r="N149" s="129"/>
      <c r="O149" s="54">
        <f t="shared" si="30"/>
        <v>0</v>
      </c>
      <c r="P149" s="54">
        <f t="shared" si="31"/>
        <v>0</v>
      </c>
      <c r="Q149" s="1"/>
    </row>
    <row r="150" spans="2:17" ht="12.5">
      <c r="B150" s="7" t="str">
        <f t="shared" si="23"/>
        <v/>
      </c>
      <c r="C150" s="50">
        <f>IF(D93="","-",+C149+1)</f>
        <v>2059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26"/>
        <v>0</v>
      </c>
      <c r="G150" s="55">
        <f t="shared" si="27"/>
        <v>0</v>
      </c>
      <c r="H150" s="380">
        <f t="shared" si="24"/>
        <v>0</v>
      </c>
      <c r="I150" s="399">
        <f t="shared" si="25"/>
        <v>0</v>
      </c>
      <c r="J150" s="54">
        <f t="shared" si="28"/>
        <v>0</v>
      </c>
      <c r="K150" s="54"/>
      <c r="L150" s="129"/>
      <c r="M150" s="54">
        <f t="shared" si="29"/>
        <v>0</v>
      </c>
      <c r="N150" s="129"/>
      <c r="O150" s="54">
        <f t="shared" si="30"/>
        <v>0</v>
      </c>
      <c r="P150" s="54">
        <f t="shared" si="31"/>
        <v>0</v>
      </c>
      <c r="Q150" s="1"/>
    </row>
    <row r="151" spans="2:17" ht="12.5">
      <c r="B151" s="7" t="str">
        <f t="shared" si="23"/>
        <v/>
      </c>
      <c r="C151" s="50">
        <f>IF(D93="","-",+C150+1)</f>
        <v>2060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26"/>
        <v>0</v>
      </c>
      <c r="G151" s="55">
        <f t="shared" si="27"/>
        <v>0</v>
      </c>
      <c r="H151" s="380">
        <f t="shared" si="24"/>
        <v>0</v>
      </c>
      <c r="I151" s="399">
        <f t="shared" si="25"/>
        <v>0</v>
      </c>
      <c r="J151" s="54">
        <f t="shared" si="28"/>
        <v>0</v>
      </c>
      <c r="K151" s="54"/>
      <c r="L151" s="129"/>
      <c r="M151" s="54">
        <f t="shared" si="29"/>
        <v>0</v>
      </c>
      <c r="N151" s="129"/>
      <c r="O151" s="54">
        <f t="shared" si="30"/>
        <v>0</v>
      </c>
      <c r="P151" s="54">
        <f t="shared" si="31"/>
        <v>0</v>
      </c>
      <c r="Q151" s="1"/>
    </row>
    <row r="152" spans="2:17" ht="12.5">
      <c r="B152" s="7" t="str">
        <f t="shared" si="23"/>
        <v/>
      </c>
      <c r="C152" s="50">
        <f>IF(D93="","-",+C151+1)</f>
        <v>2061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26"/>
        <v>0</v>
      </c>
      <c r="G152" s="55">
        <f t="shared" si="27"/>
        <v>0</v>
      </c>
      <c r="H152" s="380">
        <f t="shared" si="24"/>
        <v>0</v>
      </c>
      <c r="I152" s="399">
        <f t="shared" si="25"/>
        <v>0</v>
      </c>
      <c r="J152" s="54">
        <f t="shared" si="28"/>
        <v>0</v>
      </c>
      <c r="K152" s="54"/>
      <c r="L152" s="129"/>
      <c r="M152" s="54">
        <f t="shared" si="29"/>
        <v>0</v>
      </c>
      <c r="N152" s="129"/>
      <c r="O152" s="54">
        <f t="shared" si="30"/>
        <v>0</v>
      </c>
      <c r="P152" s="54">
        <f t="shared" si="31"/>
        <v>0</v>
      </c>
      <c r="Q152" s="1"/>
    </row>
    <row r="153" spans="2:17" ht="12.5">
      <c r="B153" s="7" t="str">
        <f t="shared" si="23"/>
        <v/>
      </c>
      <c r="C153" s="50">
        <f>IF(D93="","-",+C152+1)</f>
        <v>2062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26"/>
        <v>0</v>
      </c>
      <c r="G153" s="55">
        <f t="shared" si="27"/>
        <v>0</v>
      </c>
      <c r="H153" s="380">
        <f t="shared" si="24"/>
        <v>0</v>
      </c>
      <c r="I153" s="399">
        <f t="shared" si="25"/>
        <v>0</v>
      </c>
      <c r="J153" s="54">
        <f t="shared" si="28"/>
        <v>0</v>
      </c>
      <c r="K153" s="54"/>
      <c r="L153" s="129"/>
      <c r="M153" s="54">
        <f t="shared" si="29"/>
        <v>0</v>
      </c>
      <c r="N153" s="129"/>
      <c r="O153" s="54">
        <f t="shared" si="30"/>
        <v>0</v>
      </c>
      <c r="P153" s="54">
        <f t="shared" si="31"/>
        <v>0</v>
      </c>
      <c r="Q153" s="1"/>
    </row>
    <row r="154" spans="2:17" ht="13" thickBot="1">
      <c r="B154" s="7" t="str">
        <f t="shared" si="23"/>
        <v/>
      </c>
      <c r="C154" s="59">
        <f>IF(D93="","-",+C153+1)</f>
        <v>2063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26"/>
        <v>0</v>
      </c>
      <c r="G154" s="60">
        <f t="shared" si="27"/>
        <v>0</v>
      </c>
      <c r="H154" s="382">
        <f t="shared" si="24"/>
        <v>0</v>
      </c>
      <c r="I154" s="400">
        <f t="shared" si="25"/>
        <v>0</v>
      </c>
      <c r="J154" s="64">
        <f t="shared" si="28"/>
        <v>0</v>
      </c>
      <c r="K154" s="54"/>
      <c r="L154" s="130"/>
      <c r="M154" s="64">
        <f t="shared" si="29"/>
        <v>0</v>
      </c>
      <c r="N154" s="130"/>
      <c r="O154" s="64">
        <f t="shared" si="30"/>
        <v>0</v>
      </c>
      <c r="P154" s="64">
        <f t="shared" si="31"/>
        <v>0</v>
      </c>
      <c r="Q154" s="1"/>
    </row>
    <row r="155" spans="2:17" ht="12.5">
      <c r="C155" s="12" t="s">
        <v>78</v>
      </c>
      <c r="D155" s="293"/>
      <c r="E155" s="293">
        <f>SUM(E99:E154)</f>
        <v>0</v>
      </c>
      <c r="F155" s="293"/>
      <c r="G155" s="293"/>
      <c r="H155" s="293">
        <f>SUM(H99:H154)</f>
        <v>0</v>
      </c>
      <c r="I155" s="293">
        <f>SUM(I99:I154)</f>
        <v>0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 ht="12.5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 ht="12.5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37" priority="1" stopIfTrue="1" operator="equal">
      <formula>$I$10</formula>
    </cfRule>
  </conditionalFormatting>
  <conditionalFormatting sqref="C99:C154">
    <cfRule type="cellIs" dxfId="13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0">
    <tabColor indexed="8"/>
  </sheetPr>
  <dimension ref="A1:Q162"/>
  <sheetViews>
    <sheetView topLeftCell="A6" zoomScaleNormal="100" zoomScaleSheetLayoutView="84" workbookViewId="0">
      <selection activeCell="F91" sqref="F9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11 of 77</v>
      </c>
      <c r="Q1" s="13" t="s">
        <v>165</v>
      </c>
    </row>
    <row r="2" spans="1:17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0</v>
      </c>
      <c r="P5" s="1"/>
    </row>
    <row r="6" spans="1:17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0</v>
      </c>
      <c r="O6" s="1"/>
      <c r="P6" s="1"/>
    </row>
    <row r="7" spans="1:17" ht="13.5" thickBot="1">
      <c r="C7" s="25" t="s">
        <v>48</v>
      </c>
      <c r="D7" s="127" t="s">
        <v>236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104" t="str">
        <f>IF(D10&lt;100000,"DOES NOT MEET SPP $100,000 MINIMUM INVESTMENT FOR REGIONAL BPU SHARING.","")</f>
        <v>DOES NOT MEET SPP $100,000 MINIMUM INVESTMENT FOR REGIONAL BPU SHARING.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/>
      <c r="E9" s="31" t="s">
        <v>494</v>
      </c>
      <c r="F9" s="462">
        <v>43</v>
      </c>
      <c r="G9" s="31"/>
      <c r="H9" s="31"/>
      <c r="I9" s="32"/>
      <c r="J9" s="33"/>
      <c r="P9" s="1"/>
    </row>
    <row r="10" spans="1:17" ht="13">
      <c r="C10" s="34" t="s">
        <v>51</v>
      </c>
      <c r="D10" s="460">
        <v>0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7" ht="12.5">
      <c r="C11" s="34" t="s">
        <v>54</v>
      </c>
      <c r="D11" s="37">
        <v>2007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3">
        <v>5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0</v>
      </c>
      <c r="J14" s="293"/>
      <c r="K14" s="293"/>
      <c r="L14" s="293"/>
      <c r="M14" s="293"/>
      <c r="N14" s="293"/>
      <c r="O14" s="1"/>
      <c r="P14" s="1"/>
    </row>
    <row r="15" spans="1:17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3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2007</v>
      </c>
      <c r="D17" s="12">
        <f>D10</f>
        <v>0</v>
      </c>
      <c r="E17" s="414">
        <f>I14/12*(12-D12)</f>
        <v>0</v>
      </c>
      <c r="F17" s="12">
        <f t="shared" ref="F17:F48" si="0">+D17-E17</f>
        <v>0</v>
      </c>
      <c r="G17" s="414">
        <f t="shared" ref="G17:G48" si="1">+I$12*((D17+F17)/2)+E17</f>
        <v>0</v>
      </c>
      <c r="H17" s="364">
        <f t="shared" ref="H17:H48" si="2">+I$13*((D17+F17)/2)+E17</f>
        <v>0</v>
      </c>
      <c r="I17" s="52">
        <f t="shared" ref="I17:I48" si="3">H17-G17</f>
        <v>0</v>
      </c>
      <c r="J17" s="52"/>
      <c r="K17" s="112">
        <v>741629</v>
      </c>
      <c r="L17" s="53">
        <f t="shared" ref="L17:L48" si="4">IF(K17&lt;&gt;0,+G17-K17,0)</f>
        <v>-741629</v>
      </c>
      <c r="M17" s="112">
        <f>K17</f>
        <v>741629</v>
      </c>
      <c r="N17" s="53">
        <f t="shared" ref="N17:N48" si="5">IF(M17&lt;&gt;0,+H17-M17,0)</f>
        <v>-741629</v>
      </c>
      <c r="O17" s="54">
        <f t="shared" ref="O17:O48" si="6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2008</v>
      </c>
      <c r="D18" s="55">
        <f t="shared" ref="D18:D24" si="7">F17</f>
        <v>0</v>
      </c>
      <c r="E18" s="378">
        <f>IF(+I14&lt;F17,I14,D18)</f>
        <v>0</v>
      </c>
      <c r="F18" s="55">
        <f t="shared" si="0"/>
        <v>0</v>
      </c>
      <c r="G18" s="379">
        <f t="shared" si="1"/>
        <v>0</v>
      </c>
      <c r="H18" s="364">
        <f t="shared" si="2"/>
        <v>0</v>
      </c>
      <c r="I18" s="52">
        <f t="shared" si="3"/>
        <v>0</v>
      </c>
      <c r="J18" s="52"/>
      <c r="K18" s="113">
        <v>0</v>
      </c>
      <c r="L18" s="54">
        <f t="shared" si="4"/>
        <v>0</v>
      </c>
      <c r="M18" s="113">
        <v>0</v>
      </c>
      <c r="N18" s="54">
        <f t="shared" si="5"/>
        <v>0</v>
      </c>
      <c r="O18" s="54">
        <f t="shared" si="6"/>
        <v>0</v>
      </c>
      <c r="P18" s="1"/>
    </row>
    <row r="19" spans="2:16" ht="12.5">
      <c r="B19" s="7" t="str">
        <f>IF(D19=F18,"","IU")</f>
        <v/>
      </c>
      <c r="C19" s="50">
        <f>IF(D11="","-",+C18+1)</f>
        <v>2009</v>
      </c>
      <c r="D19" s="55">
        <f t="shared" si="7"/>
        <v>0</v>
      </c>
      <c r="E19" s="378">
        <f>IF(+I14&lt;F18,I14,D19)</f>
        <v>0</v>
      </c>
      <c r="F19" s="55">
        <f t="shared" si="0"/>
        <v>0</v>
      </c>
      <c r="G19" s="379">
        <f t="shared" si="1"/>
        <v>0</v>
      </c>
      <c r="H19" s="364">
        <f t="shared" si="2"/>
        <v>0</v>
      </c>
      <c r="I19" s="52">
        <f t="shared" si="3"/>
        <v>0</v>
      </c>
      <c r="J19" s="52"/>
      <c r="K19" s="113">
        <v>0</v>
      </c>
      <c r="L19" s="54">
        <f t="shared" si="4"/>
        <v>0</v>
      </c>
      <c r="M19" s="113">
        <v>0</v>
      </c>
      <c r="N19" s="54">
        <f t="shared" si="5"/>
        <v>0</v>
      </c>
      <c r="O19" s="54">
        <f t="shared" si="6"/>
        <v>0</v>
      </c>
      <c r="P19" s="1"/>
    </row>
    <row r="20" spans="2:16" ht="12.5">
      <c r="B20" s="7" t="str">
        <f t="shared" ref="B20:B72" si="8">IF(D20=F19,"","IU")</f>
        <v/>
      </c>
      <c r="C20" s="50">
        <f>IF(D11="","-",+C19+1)</f>
        <v>2010</v>
      </c>
      <c r="D20" s="55">
        <f t="shared" si="7"/>
        <v>0</v>
      </c>
      <c r="E20" s="378">
        <f>IF(+I14&lt;F19,I14,D20)</f>
        <v>0</v>
      </c>
      <c r="F20" s="55">
        <f t="shared" si="0"/>
        <v>0</v>
      </c>
      <c r="G20" s="379">
        <f t="shared" si="1"/>
        <v>0</v>
      </c>
      <c r="H20" s="364">
        <f t="shared" si="2"/>
        <v>0</v>
      </c>
      <c r="I20" s="52">
        <f t="shared" si="3"/>
        <v>0</v>
      </c>
      <c r="J20" s="52"/>
      <c r="K20" s="129"/>
      <c r="L20" s="54">
        <f t="shared" si="4"/>
        <v>0</v>
      </c>
      <c r="M20" s="129"/>
      <c r="N20" s="54">
        <f t="shared" si="5"/>
        <v>0</v>
      </c>
      <c r="O20" s="54">
        <f t="shared" si="6"/>
        <v>0</v>
      </c>
      <c r="P20" s="1"/>
    </row>
    <row r="21" spans="2:16" ht="12.5">
      <c r="B21" s="7" t="str">
        <f t="shared" si="8"/>
        <v/>
      </c>
      <c r="C21" s="50">
        <f>IF(D12="","-",+C20+1)</f>
        <v>2011</v>
      </c>
      <c r="D21" s="55">
        <f t="shared" si="7"/>
        <v>0</v>
      </c>
      <c r="E21" s="378">
        <f>IF(+I14&lt;F20,I14,D21)</f>
        <v>0</v>
      </c>
      <c r="F21" s="55">
        <f t="shared" si="0"/>
        <v>0</v>
      </c>
      <c r="G21" s="379">
        <f t="shared" si="1"/>
        <v>0</v>
      </c>
      <c r="H21" s="364">
        <f t="shared" si="2"/>
        <v>0</v>
      </c>
      <c r="I21" s="52">
        <f t="shared" si="3"/>
        <v>0</v>
      </c>
      <c r="J21" s="52"/>
      <c r="K21" s="129"/>
      <c r="L21" s="54">
        <f t="shared" si="4"/>
        <v>0</v>
      </c>
      <c r="M21" s="129"/>
      <c r="N21" s="54">
        <f t="shared" si="5"/>
        <v>0</v>
      </c>
      <c r="O21" s="54">
        <f t="shared" si="6"/>
        <v>0</v>
      </c>
      <c r="P21" s="1"/>
    </row>
    <row r="22" spans="2:16" ht="12.5">
      <c r="B22" s="7" t="str">
        <f t="shared" si="8"/>
        <v/>
      </c>
      <c r="C22" s="50">
        <f>IF(D11="","-",+C21+1)</f>
        <v>2012</v>
      </c>
      <c r="D22" s="55">
        <f t="shared" si="7"/>
        <v>0</v>
      </c>
      <c r="E22" s="378">
        <f>IF(+I14&lt;F21,I14,D22)</f>
        <v>0</v>
      </c>
      <c r="F22" s="55">
        <f t="shared" si="0"/>
        <v>0</v>
      </c>
      <c r="G22" s="379">
        <f t="shared" si="1"/>
        <v>0</v>
      </c>
      <c r="H22" s="364">
        <f t="shared" si="2"/>
        <v>0</v>
      </c>
      <c r="I22" s="52">
        <f t="shared" si="3"/>
        <v>0</v>
      </c>
      <c r="J22" s="52"/>
      <c r="K22" s="129"/>
      <c r="L22" s="54">
        <f t="shared" si="4"/>
        <v>0</v>
      </c>
      <c r="M22" s="129"/>
      <c r="N22" s="54">
        <f t="shared" si="5"/>
        <v>0</v>
      </c>
      <c r="O22" s="54">
        <f t="shared" si="6"/>
        <v>0</v>
      </c>
      <c r="P22" s="1"/>
    </row>
    <row r="23" spans="2:16" ht="12.5">
      <c r="B23" s="7" t="str">
        <f t="shared" si="8"/>
        <v/>
      </c>
      <c r="C23" s="50">
        <f>IF(D11="","-",+C22+1)</f>
        <v>2013</v>
      </c>
      <c r="D23" s="55">
        <f t="shared" si="7"/>
        <v>0</v>
      </c>
      <c r="E23" s="378">
        <f>IF(+I14&lt;F22,I14,D23)</f>
        <v>0</v>
      </c>
      <c r="F23" s="55">
        <f t="shared" si="0"/>
        <v>0</v>
      </c>
      <c r="G23" s="379">
        <f t="shared" si="1"/>
        <v>0</v>
      </c>
      <c r="H23" s="364">
        <f t="shared" si="2"/>
        <v>0</v>
      </c>
      <c r="I23" s="52">
        <f t="shared" si="3"/>
        <v>0</v>
      </c>
      <c r="J23" s="52"/>
      <c r="K23" s="129"/>
      <c r="L23" s="54">
        <f t="shared" si="4"/>
        <v>0</v>
      </c>
      <c r="M23" s="129"/>
      <c r="N23" s="54">
        <f t="shared" si="5"/>
        <v>0</v>
      </c>
      <c r="O23" s="54">
        <f t="shared" si="6"/>
        <v>0</v>
      </c>
      <c r="P23" s="1"/>
    </row>
    <row r="24" spans="2:16" ht="12.5">
      <c r="B24" s="7" t="str">
        <f t="shared" si="8"/>
        <v/>
      </c>
      <c r="C24" s="50">
        <f>IF(D11="","-",+C23+1)</f>
        <v>2014</v>
      </c>
      <c r="D24" s="55">
        <f t="shared" si="7"/>
        <v>0</v>
      </c>
      <c r="E24" s="378">
        <f>IF(+I14&lt;F23,I14,D24)</f>
        <v>0</v>
      </c>
      <c r="F24" s="55">
        <f t="shared" si="0"/>
        <v>0</v>
      </c>
      <c r="G24" s="379">
        <f t="shared" si="1"/>
        <v>0</v>
      </c>
      <c r="H24" s="364">
        <f t="shared" si="2"/>
        <v>0</v>
      </c>
      <c r="I24" s="52">
        <f t="shared" si="3"/>
        <v>0</v>
      </c>
      <c r="J24" s="52"/>
      <c r="K24" s="129"/>
      <c r="L24" s="54">
        <f t="shared" si="4"/>
        <v>0</v>
      </c>
      <c r="M24" s="129"/>
      <c r="N24" s="54">
        <f t="shared" si="5"/>
        <v>0</v>
      </c>
      <c r="O24" s="54">
        <f t="shared" si="6"/>
        <v>0</v>
      </c>
      <c r="P24" s="1"/>
    </row>
    <row r="25" spans="2:16" ht="12.5">
      <c r="B25" s="7" t="str">
        <f t="shared" si="8"/>
        <v/>
      </c>
      <c r="C25" s="50">
        <f>IF(D11="","-",+C24+1)</f>
        <v>2015</v>
      </c>
      <c r="D25" s="55">
        <f>IF(F24+SUM(E$17:E24)=D$10,F24,D$10-SUM(E$17:E24))</f>
        <v>0</v>
      </c>
      <c r="E25" s="378">
        <f>IF(+I14&lt;F24,I14,D25)</f>
        <v>0</v>
      </c>
      <c r="F25" s="55">
        <f t="shared" si="0"/>
        <v>0</v>
      </c>
      <c r="G25" s="379">
        <f t="shared" si="1"/>
        <v>0</v>
      </c>
      <c r="H25" s="364">
        <f t="shared" si="2"/>
        <v>0</v>
      </c>
      <c r="I25" s="52">
        <f t="shared" si="3"/>
        <v>0</v>
      </c>
      <c r="J25" s="52"/>
      <c r="K25" s="129"/>
      <c r="L25" s="54">
        <f t="shared" si="4"/>
        <v>0</v>
      </c>
      <c r="M25" s="129"/>
      <c r="N25" s="54">
        <f t="shared" si="5"/>
        <v>0</v>
      </c>
      <c r="O25" s="54">
        <f t="shared" si="6"/>
        <v>0</v>
      </c>
      <c r="P25" s="1"/>
    </row>
    <row r="26" spans="2:16" ht="12.5">
      <c r="B26" s="7" t="str">
        <f t="shared" si="8"/>
        <v/>
      </c>
      <c r="C26" s="50">
        <f>IF(D11="","-",+C25+1)</f>
        <v>2016</v>
      </c>
      <c r="D26" s="55">
        <f>IF(F25+SUM(E$17:E25)=D$10,F25,D$10-SUM(E$17:E25))</f>
        <v>0</v>
      </c>
      <c r="E26" s="378">
        <f>IF(+I14&lt;F25,I14,D26)</f>
        <v>0</v>
      </c>
      <c r="F26" s="55">
        <f t="shared" si="0"/>
        <v>0</v>
      </c>
      <c r="G26" s="379">
        <f t="shared" si="1"/>
        <v>0</v>
      </c>
      <c r="H26" s="364">
        <f t="shared" si="2"/>
        <v>0</v>
      </c>
      <c r="I26" s="52">
        <f t="shared" si="3"/>
        <v>0</v>
      </c>
      <c r="J26" s="52"/>
      <c r="K26" s="129"/>
      <c r="L26" s="54">
        <f t="shared" si="4"/>
        <v>0</v>
      </c>
      <c r="M26" s="129"/>
      <c r="N26" s="54">
        <f t="shared" si="5"/>
        <v>0</v>
      </c>
      <c r="O26" s="54">
        <f t="shared" si="6"/>
        <v>0</v>
      </c>
      <c r="P26" s="1"/>
    </row>
    <row r="27" spans="2:16" ht="12.5">
      <c r="B27" s="7" t="str">
        <f t="shared" si="8"/>
        <v/>
      </c>
      <c r="C27" s="50">
        <f>IF(D11="","-",+C26+1)</f>
        <v>2017</v>
      </c>
      <c r="D27" s="55">
        <f>IF(F26+SUM(E$17:E26)=D$10,F26,D$10-SUM(E$17:E26))</f>
        <v>0</v>
      </c>
      <c r="E27" s="378">
        <f>IF(+I14&lt;F26,I14,D27)</f>
        <v>0</v>
      </c>
      <c r="F27" s="55">
        <f t="shared" si="0"/>
        <v>0</v>
      </c>
      <c r="G27" s="379">
        <f t="shared" si="1"/>
        <v>0</v>
      </c>
      <c r="H27" s="364">
        <f t="shared" si="2"/>
        <v>0</v>
      </c>
      <c r="I27" s="52">
        <f t="shared" si="3"/>
        <v>0</v>
      </c>
      <c r="J27" s="52"/>
      <c r="K27" s="129"/>
      <c r="L27" s="54">
        <f t="shared" si="4"/>
        <v>0</v>
      </c>
      <c r="M27" s="129"/>
      <c r="N27" s="54">
        <f t="shared" si="5"/>
        <v>0</v>
      </c>
      <c r="O27" s="54">
        <f t="shared" si="6"/>
        <v>0</v>
      </c>
      <c r="P27" s="1"/>
    </row>
    <row r="28" spans="2:16" ht="12.5">
      <c r="B28" s="7" t="str">
        <f t="shared" si="8"/>
        <v/>
      </c>
      <c r="C28" s="50">
        <f>IF(D11="","-",+C27+1)</f>
        <v>2018</v>
      </c>
      <c r="D28" s="55">
        <f>IF(F27+SUM(E$17:E27)=D$10,F27,D$10-SUM(E$17:E27))</f>
        <v>0</v>
      </c>
      <c r="E28" s="378">
        <f>IF(+I14&lt;F27,I14,D28)</f>
        <v>0</v>
      </c>
      <c r="F28" s="55">
        <f t="shared" si="0"/>
        <v>0</v>
      </c>
      <c r="G28" s="379">
        <f t="shared" si="1"/>
        <v>0</v>
      </c>
      <c r="H28" s="364">
        <f t="shared" si="2"/>
        <v>0</v>
      </c>
      <c r="I28" s="52">
        <f t="shared" si="3"/>
        <v>0</v>
      </c>
      <c r="J28" s="52"/>
      <c r="K28" s="129"/>
      <c r="L28" s="54">
        <f t="shared" si="4"/>
        <v>0</v>
      </c>
      <c r="M28" s="129"/>
      <c r="N28" s="54">
        <f t="shared" si="5"/>
        <v>0</v>
      </c>
      <c r="O28" s="54">
        <f t="shared" si="6"/>
        <v>0</v>
      </c>
      <c r="P28" s="1"/>
    </row>
    <row r="29" spans="2:16" ht="12.5">
      <c r="B29" s="7" t="str">
        <f t="shared" si="8"/>
        <v/>
      </c>
      <c r="C29" s="50">
        <f>IF(D11="","-",+C28+1)</f>
        <v>2019</v>
      </c>
      <c r="D29" s="55">
        <f>IF(F28+SUM(E$17:E28)=D$10,F28,D$10-SUM(E$17:E28))</f>
        <v>0</v>
      </c>
      <c r="E29" s="378">
        <f>IF(+I14&lt;F28,I14,D29)</f>
        <v>0</v>
      </c>
      <c r="F29" s="55">
        <f t="shared" si="0"/>
        <v>0</v>
      </c>
      <c r="G29" s="379">
        <f t="shared" si="1"/>
        <v>0</v>
      </c>
      <c r="H29" s="364">
        <f t="shared" si="2"/>
        <v>0</v>
      </c>
      <c r="I29" s="52">
        <f t="shared" si="3"/>
        <v>0</v>
      </c>
      <c r="J29" s="52"/>
      <c r="K29" s="129"/>
      <c r="L29" s="54">
        <f t="shared" si="4"/>
        <v>0</v>
      </c>
      <c r="M29" s="129"/>
      <c r="N29" s="54">
        <f t="shared" si="5"/>
        <v>0</v>
      </c>
      <c r="O29" s="54">
        <f t="shared" si="6"/>
        <v>0</v>
      </c>
      <c r="P29" s="1"/>
    </row>
    <row r="30" spans="2:16" ht="12.5">
      <c r="B30" s="7" t="str">
        <f t="shared" si="8"/>
        <v/>
      </c>
      <c r="C30" s="50">
        <f>IF(D11="","-",+C29+1)</f>
        <v>2020</v>
      </c>
      <c r="D30" s="55">
        <f>IF(F29+SUM(E$17:E29)=D$10,F29,D$10-SUM(E$17:E29))</f>
        <v>0</v>
      </c>
      <c r="E30" s="378">
        <f>IF(+I14&lt;F29,I14,D30)</f>
        <v>0</v>
      </c>
      <c r="F30" s="55">
        <f t="shared" si="0"/>
        <v>0</v>
      </c>
      <c r="G30" s="379">
        <f t="shared" si="1"/>
        <v>0</v>
      </c>
      <c r="H30" s="364">
        <f t="shared" si="2"/>
        <v>0</v>
      </c>
      <c r="I30" s="52">
        <f t="shared" si="3"/>
        <v>0</v>
      </c>
      <c r="J30" s="52"/>
      <c r="K30" s="129"/>
      <c r="L30" s="54">
        <f t="shared" si="4"/>
        <v>0</v>
      </c>
      <c r="M30" s="129"/>
      <c r="N30" s="54">
        <f t="shared" si="5"/>
        <v>0</v>
      </c>
      <c r="O30" s="54">
        <f t="shared" si="6"/>
        <v>0</v>
      </c>
      <c r="P30" s="1"/>
    </row>
    <row r="31" spans="2:16" ht="12.5">
      <c r="B31" s="7" t="str">
        <f t="shared" si="8"/>
        <v/>
      </c>
      <c r="C31" s="50">
        <f>IF(D11="","-",+C30+1)</f>
        <v>2021</v>
      </c>
      <c r="D31" s="55">
        <f>IF(F30+SUM(E$17:E30)=D$10,F30,D$10-SUM(E$17:E30))</f>
        <v>0</v>
      </c>
      <c r="E31" s="378">
        <f>IF(+I14&lt;F30,I14,D31)</f>
        <v>0</v>
      </c>
      <c r="F31" s="55">
        <f t="shared" si="0"/>
        <v>0</v>
      </c>
      <c r="G31" s="379">
        <f t="shared" si="1"/>
        <v>0</v>
      </c>
      <c r="H31" s="364">
        <f t="shared" si="2"/>
        <v>0</v>
      </c>
      <c r="I31" s="52">
        <f t="shared" si="3"/>
        <v>0</v>
      </c>
      <c r="J31" s="52"/>
      <c r="K31" s="129"/>
      <c r="L31" s="54">
        <f t="shared" si="4"/>
        <v>0</v>
      </c>
      <c r="M31" s="129"/>
      <c r="N31" s="54">
        <f t="shared" si="5"/>
        <v>0</v>
      </c>
      <c r="O31" s="54">
        <f t="shared" si="6"/>
        <v>0</v>
      </c>
      <c r="P31" s="1"/>
    </row>
    <row r="32" spans="2:16" ht="12.5">
      <c r="B32" s="7" t="str">
        <f t="shared" si="8"/>
        <v/>
      </c>
      <c r="C32" s="50">
        <f>IF(D11="","-",+C31+1)</f>
        <v>2022</v>
      </c>
      <c r="D32" s="55">
        <f>IF(F31+SUM(E$17:E31)=D$10,F31,D$10-SUM(E$17:E31))</f>
        <v>0</v>
      </c>
      <c r="E32" s="378">
        <f>IF(+I14&lt;F31,I14,D32)</f>
        <v>0</v>
      </c>
      <c r="F32" s="55">
        <f t="shared" si="0"/>
        <v>0</v>
      </c>
      <c r="G32" s="379">
        <f t="shared" si="1"/>
        <v>0</v>
      </c>
      <c r="H32" s="364">
        <f t="shared" si="2"/>
        <v>0</v>
      </c>
      <c r="I32" s="52">
        <f t="shared" si="3"/>
        <v>0</v>
      </c>
      <c r="J32" s="52"/>
      <c r="K32" s="129"/>
      <c r="L32" s="54">
        <f t="shared" si="4"/>
        <v>0</v>
      </c>
      <c r="M32" s="129"/>
      <c r="N32" s="54">
        <f t="shared" si="5"/>
        <v>0</v>
      </c>
      <c r="O32" s="54">
        <f t="shared" si="6"/>
        <v>0</v>
      </c>
      <c r="P32" s="1"/>
    </row>
    <row r="33" spans="2:16" ht="12.5">
      <c r="B33" s="7" t="str">
        <f t="shared" si="8"/>
        <v/>
      </c>
      <c r="C33" s="50">
        <f>IF(D11="","-",+C32+1)</f>
        <v>2023</v>
      </c>
      <c r="D33" s="55">
        <f>IF(F32+SUM(E$17:E32)=D$10,F32,D$10-SUM(E$17:E32))</f>
        <v>0</v>
      </c>
      <c r="E33" s="378">
        <f>IF(+I14&lt;F32,I14,D33)</f>
        <v>0</v>
      </c>
      <c r="F33" s="55">
        <f t="shared" si="0"/>
        <v>0</v>
      </c>
      <c r="G33" s="379">
        <f t="shared" si="1"/>
        <v>0</v>
      </c>
      <c r="H33" s="364">
        <f t="shared" si="2"/>
        <v>0</v>
      </c>
      <c r="I33" s="52">
        <f t="shared" si="3"/>
        <v>0</v>
      </c>
      <c r="J33" s="52"/>
      <c r="K33" s="129"/>
      <c r="L33" s="54">
        <f t="shared" si="4"/>
        <v>0</v>
      </c>
      <c r="M33" s="129"/>
      <c r="N33" s="54">
        <f t="shared" si="5"/>
        <v>0</v>
      </c>
      <c r="O33" s="54">
        <f t="shared" si="6"/>
        <v>0</v>
      </c>
      <c r="P33" s="1"/>
    </row>
    <row r="34" spans="2:16" ht="12.5">
      <c r="B34" s="7" t="str">
        <f t="shared" si="8"/>
        <v/>
      </c>
      <c r="C34" s="50">
        <f>IF(D11="","-",+C33+1)</f>
        <v>2024</v>
      </c>
      <c r="D34" s="55">
        <f>IF(F33+SUM(E$17:E33)=D$10,F33,D$10-SUM(E$17:E33))</f>
        <v>0</v>
      </c>
      <c r="E34" s="378">
        <f>IF(+I14&lt;F33,I14,D34)</f>
        <v>0</v>
      </c>
      <c r="F34" s="55">
        <f t="shared" si="0"/>
        <v>0</v>
      </c>
      <c r="G34" s="379">
        <f t="shared" si="1"/>
        <v>0</v>
      </c>
      <c r="H34" s="364">
        <f t="shared" si="2"/>
        <v>0</v>
      </c>
      <c r="I34" s="52">
        <f t="shared" si="3"/>
        <v>0</v>
      </c>
      <c r="J34" s="52"/>
      <c r="K34" s="129"/>
      <c r="L34" s="54">
        <f t="shared" si="4"/>
        <v>0</v>
      </c>
      <c r="M34" s="129"/>
      <c r="N34" s="54">
        <f t="shared" si="5"/>
        <v>0</v>
      </c>
      <c r="O34" s="54">
        <f t="shared" si="6"/>
        <v>0</v>
      </c>
      <c r="P34" s="1"/>
    </row>
    <row r="35" spans="2:16" ht="12.5">
      <c r="B35" s="7" t="str">
        <f t="shared" si="8"/>
        <v/>
      </c>
      <c r="C35" s="50">
        <f>IF(D11="","-",+C34+1)</f>
        <v>2025</v>
      </c>
      <c r="D35" s="55">
        <f>IF(F34+SUM(E$17:E34)=D$10,F34,D$10-SUM(E$17:E34))</f>
        <v>0</v>
      </c>
      <c r="E35" s="378">
        <f>IF(+I14&lt;F34,I14,D35)</f>
        <v>0</v>
      </c>
      <c r="F35" s="55">
        <f t="shared" si="0"/>
        <v>0</v>
      </c>
      <c r="G35" s="379">
        <f t="shared" si="1"/>
        <v>0</v>
      </c>
      <c r="H35" s="364">
        <f t="shared" si="2"/>
        <v>0</v>
      </c>
      <c r="I35" s="52">
        <f t="shared" si="3"/>
        <v>0</v>
      </c>
      <c r="J35" s="52"/>
      <c r="K35" s="129"/>
      <c r="L35" s="54">
        <f t="shared" si="4"/>
        <v>0</v>
      </c>
      <c r="M35" s="129"/>
      <c r="N35" s="54">
        <f t="shared" si="5"/>
        <v>0</v>
      </c>
      <c r="O35" s="54">
        <f t="shared" si="6"/>
        <v>0</v>
      </c>
      <c r="P35" s="1"/>
    </row>
    <row r="36" spans="2:16" ht="12.5">
      <c r="B36" s="7" t="str">
        <f t="shared" si="8"/>
        <v/>
      </c>
      <c r="C36" s="50">
        <f>IF(D11="","-",+C35+1)</f>
        <v>2026</v>
      </c>
      <c r="D36" s="55">
        <f>IF(F35+SUM(E$17:E35)=D$10,F35,D$10-SUM(E$17:E35))</f>
        <v>0</v>
      </c>
      <c r="E36" s="378">
        <f>IF(+I14&lt;F35,I14,D36)</f>
        <v>0</v>
      </c>
      <c r="F36" s="55">
        <f t="shared" si="0"/>
        <v>0</v>
      </c>
      <c r="G36" s="379">
        <f t="shared" si="1"/>
        <v>0</v>
      </c>
      <c r="H36" s="364">
        <f t="shared" si="2"/>
        <v>0</v>
      </c>
      <c r="I36" s="52">
        <f t="shared" si="3"/>
        <v>0</v>
      </c>
      <c r="J36" s="52"/>
      <c r="K36" s="129"/>
      <c r="L36" s="54">
        <f t="shared" si="4"/>
        <v>0</v>
      </c>
      <c r="M36" s="129"/>
      <c r="N36" s="54">
        <f t="shared" si="5"/>
        <v>0</v>
      </c>
      <c r="O36" s="54">
        <f t="shared" si="6"/>
        <v>0</v>
      </c>
      <c r="P36" s="1"/>
    </row>
    <row r="37" spans="2:16" ht="12.5">
      <c r="B37" s="7" t="str">
        <f t="shared" si="8"/>
        <v/>
      </c>
      <c r="C37" s="50">
        <f>IF(D11="","-",+C36+1)</f>
        <v>2027</v>
      </c>
      <c r="D37" s="55">
        <f>IF(F36+SUM(E$17:E36)=D$10,F36,D$10-SUM(E$17:E36))</f>
        <v>0</v>
      </c>
      <c r="E37" s="378">
        <f>IF(+I14&lt;F36,I14,D37)</f>
        <v>0</v>
      </c>
      <c r="F37" s="55">
        <f t="shared" si="0"/>
        <v>0</v>
      </c>
      <c r="G37" s="379">
        <f t="shared" si="1"/>
        <v>0</v>
      </c>
      <c r="H37" s="364">
        <f t="shared" si="2"/>
        <v>0</v>
      </c>
      <c r="I37" s="52">
        <f t="shared" si="3"/>
        <v>0</v>
      </c>
      <c r="J37" s="52"/>
      <c r="K37" s="129"/>
      <c r="L37" s="54">
        <f t="shared" si="4"/>
        <v>0</v>
      </c>
      <c r="M37" s="129"/>
      <c r="N37" s="54">
        <f t="shared" si="5"/>
        <v>0</v>
      </c>
      <c r="O37" s="54">
        <f t="shared" si="6"/>
        <v>0</v>
      </c>
      <c r="P37" s="1"/>
    </row>
    <row r="38" spans="2:16" ht="12.5">
      <c r="B38" s="7" t="str">
        <f t="shared" si="8"/>
        <v/>
      </c>
      <c r="C38" s="50">
        <f>IF(D11="","-",+C37+1)</f>
        <v>2028</v>
      </c>
      <c r="D38" s="55">
        <f>IF(F37+SUM(E$17:E37)=D$10,F37,D$10-SUM(E$17:E37))</f>
        <v>0</v>
      </c>
      <c r="E38" s="378">
        <f>IF(+I14&lt;F37,I14,D38)</f>
        <v>0</v>
      </c>
      <c r="F38" s="55">
        <f t="shared" si="0"/>
        <v>0</v>
      </c>
      <c r="G38" s="379">
        <f t="shared" si="1"/>
        <v>0</v>
      </c>
      <c r="H38" s="364">
        <f t="shared" si="2"/>
        <v>0</v>
      </c>
      <c r="I38" s="52">
        <f t="shared" si="3"/>
        <v>0</v>
      </c>
      <c r="J38" s="52"/>
      <c r="K38" s="129"/>
      <c r="L38" s="54">
        <f t="shared" si="4"/>
        <v>0</v>
      </c>
      <c r="M38" s="129"/>
      <c r="N38" s="54">
        <f t="shared" si="5"/>
        <v>0</v>
      </c>
      <c r="O38" s="54">
        <f t="shared" si="6"/>
        <v>0</v>
      </c>
      <c r="P38" s="1"/>
    </row>
    <row r="39" spans="2:16" ht="12.5">
      <c r="B39" s="7" t="str">
        <f t="shared" si="8"/>
        <v/>
      </c>
      <c r="C39" s="50">
        <f>IF(D11="","-",+C38+1)</f>
        <v>2029</v>
      </c>
      <c r="D39" s="55">
        <f>IF(F38+SUM(E$17:E38)=D$10,F38,D$10-SUM(E$17:E38))</f>
        <v>0</v>
      </c>
      <c r="E39" s="378">
        <f>IF(+I14&lt;F38,I14,D39)</f>
        <v>0</v>
      </c>
      <c r="F39" s="55">
        <f t="shared" si="0"/>
        <v>0</v>
      </c>
      <c r="G39" s="379">
        <f t="shared" si="1"/>
        <v>0</v>
      </c>
      <c r="H39" s="364">
        <f t="shared" si="2"/>
        <v>0</v>
      </c>
      <c r="I39" s="52">
        <f t="shared" si="3"/>
        <v>0</v>
      </c>
      <c r="J39" s="52"/>
      <c r="K39" s="129"/>
      <c r="L39" s="54">
        <f t="shared" si="4"/>
        <v>0</v>
      </c>
      <c r="M39" s="129"/>
      <c r="N39" s="54">
        <f t="shared" si="5"/>
        <v>0</v>
      </c>
      <c r="O39" s="54">
        <f t="shared" si="6"/>
        <v>0</v>
      </c>
      <c r="P39" s="1"/>
    </row>
    <row r="40" spans="2:16" ht="12.5">
      <c r="B40" s="7" t="str">
        <f t="shared" si="8"/>
        <v/>
      </c>
      <c r="C40" s="50">
        <f>IF(D11="","-",+C39+1)</f>
        <v>2030</v>
      </c>
      <c r="D40" s="55">
        <f>IF(F39+SUM(E$17:E39)=D$10,F39,D$10-SUM(E$17:E39))</f>
        <v>0</v>
      </c>
      <c r="E40" s="378">
        <f>IF(+I14&lt;F39,I14,D40)</f>
        <v>0</v>
      </c>
      <c r="F40" s="55">
        <f t="shared" si="0"/>
        <v>0</v>
      </c>
      <c r="G40" s="379">
        <f t="shared" si="1"/>
        <v>0</v>
      </c>
      <c r="H40" s="364">
        <f t="shared" si="2"/>
        <v>0</v>
      </c>
      <c r="I40" s="52">
        <f t="shared" si="3"/>
        <v>0</v>
      </c>
      <c r="J40" s="52"/>
      <c r="K40" s="129"/>
      <c r="L40" s="54">
        <f t="shared" si="4"/>
        <v>0</v>
      </c>
      <c r="M40" s="129"/>
      <c r="N40" s="54">
        <f t="shared" si="5"/>
        <v>0</v>
      </c>
      <c r="O40" s="54">
        <f t="shared" si="6"/>
        <v>0</v>
      </c>
      <c r="P40" s="1"/>
    </row>
    <row r="41" spans="2:16" ht="12.5">
      <c r="B41" s="7" t="str">
        <f t="shared" si="8"/>
        <v/>
      </c>
      <c r="C41" s="50">
        <f>IF(D11="","-",+C40+1)</f>
        <v>2031</v>
      </c>
      <c r="D41" s="55">
        <f>IF(F40+SUM(E$17:E40)=D$10,F40,D$10-SUM(E$17:E40))</f>
        <v>0</v>
      </c>
      <c r="E41" s="378">
        <f>IF(+I14&lt;F40,I14,D41)</f>
        <v>0</v>
      </c>
      <c r="F41" s="55">
        <f t="shared" si="0"/>
        <v>0</v>
      </c>
      <c r="G41" s="379">
        <f t="shared" si="1"/>
        <v>0</v>
      </c>
      <c r="H41" s="364">
        <f t="shared" si="2"/>
        <v>0</v>
      </c>
      <c r="I41" s="52">
        <f t="shared" si="3"/>
        <v>0</v>
      </c>
      <c r="J41" s="52"/>
      <c r="K41" s="129"/>
      <c r="L41" s="54">
        <f t="shared" si="4"/>
        <v>0</v>
      </c>
      <c r="M41" s="129"/>
      <c r="N41" s="54">
        <f t="shared" si="5"/>
        <v>0</v>
      </c>
      <c r="O41" s="54">
        <f t="shared" si="6"/>
        <v>0</v>
      </c>
      <c r="P41" s="1"/>
    </row>
    <row r="42" spans="2:16" ht="12.5">
      <c r="B42" s="7" t="str">
        <f t="shared" si="8"/>
        <v/>
      </c>
      <c r="C42" s="50">
        <f>IF(D11="","-",+C41+1)</f>
        <v>2032</v>
      </c>
      <c r="D42" s="55">
        <f>IF(F41+SUM(E$17:E41)=D$10,F41,D$10-SUM(E$17:E41))</f>
        <v>0</v>
      </c>
      <c r="E42" s="378">
        <f>IF(+I14&lt;F41,I14,D42)</f>
        <v>0</v>
      </c>
      <c r="F42" s="55">
        <f t="shared" si="0"/>
        <v>0</v>
      </c>
      <c r="G42" s="379">
        <f t="shared" si="1"/>
        <v>0</v>
      </c>
      <c r="H42" s="364">
        <f t="shared" si="2"/>
        <v>0</v>
      </c>
      <c r="I42" s="52">
        <f t="shared" si="3"/>
        <v>0</v>
      </c>
      <c r="J42" s="52"/>
      <c r="K42" s="129"/>
      <c r="L42" s="54">
        <f t="shared" si="4"/>
        <v>0</v>
      </c>
      <c r="M42" s="129"/>
      <c r="N42" s="54">
        <f t="shared" si="5"/>
        <v>0</v>
      </c>
      <c r="O42" s="54">
        <f t="shared" si="6"/>
        <v>0</v>
      </c>
      <c r="P42" s="1"/>
    </row>
    <row r="43" spans="2:16" ht="12.5">
      <c r="B43" s="7" t="str">
        <f t="shared" si="8"/>
        <v/>
      </c>
      <c r="C43" s="50">
        <f>IF(D11="","-",+C42+1)</f>
        <v>2033</v>
      </c>
      <c r="D43" s="55">
        <f>IF(F42+SUM(E$17:E42)=D$10,F42,D$10-SUM(E$17:E42))</f>
        <v>0</v>
      </c>
      <c r="E43" s="378">
        <f>IF(+I14&lt;F42,I14,D43)</f>
        <v>0</v>
      </c>
      <c r="F43" s="55">
        <f t="shared" si="0"/>
        <v>0</v>
      </c>
      <c r="G43" s="379">
        <f t="shared" si="1"/>
        <v>0</v>
      </c>
      <c r="H43" s="364">
        <f t="shared" si="2"/>
        <v>0</v>
      </c>
      <c r="I43" s="52">
        <f t="shared" si="3"/>
        <v>0</v>
      </c>
      <c r="J43" s="52"/>
      <c r="K43" s="129"/>
      <c r="L43" s="54">
        <f t="shared" si="4"/>
        <v>0</v>
      </c>
      <c r="M43" s="129"/>
      <c r="N43" s="54">
        <f t="shared" si="5"/>
        <v>0</v>
      </c>
      <c r="O43" s="54">
        <f t="shared" si="6"/>
        <v>0</v>
      </c>
      <c r="P43" s="1"/>
    </row>
    <row r="44" spans="2:16" ht="12.5">
      <c r="B44" s="7" t="str">
        <f t="shared" si="8"/>
        <v/>
      </c>
      <c r="C44" s="50">
        <f>IF(D11="","-",+C43+1)</f>
        <v>2034</v>
      </c>
      <c r="D44" s="55">
        <f>IF(F43+SUM(E$17:E43)=D$10,F43,D$10-SUM(E$17:E43))</f>
        <v>0</v>
      </c>
      <c r="E44" s="378">
        <f>IF(+I14&lt;F43,I14,D44)</f>
        <v>0</v>
      </c>
      <c r="F44" s="55">
        <f t="shared" si="0"/>
        <v>0</v>
      </c>
      <c r="G44" s="379">
        <f t="shared" si="1"/>
        <v>0</v>
      </c>
      <c r="H44" s="364">
        <f t="shared" si="2"/>
        <v>0</v>
      </c>
      <c r="I44" s="52">
        <f t="shared" si="3"/>
        <v>0</v>
      </c>
      <c r="J44" s="52"/>
      <c r="K44" s="129"/>
      <c r="L44" s="54">
        <f t="shared" si="4"/>
        <v>0</v>
      </c>
      <c r="M44" s="129"/>
      <c r="N44" s="54">
        <f t="shared" si="5"/>
        <v>0</v>
      </c>
      <c r="O44" s="54">
        <f t="shared" si="6"/>
        <v>0</v>
      </c>
      <c r="P44" s="1"/>
    </row>
    <row r="45" spans="2:16" ht="12.5">
      <c r="B45" s="7" t="str">
        <f t="shared" si="8"/>
        <v/>
      </c>
      <c r="C45" s="50">
        <f>IF(D11="","-",+C44+1)</f>
        <v>2035</v>
      </c>
      <c r="D45" s="55">
        <f>IF(F44+SUM(E$17:E44)=D$10,F44,D$10-SUM(E$17:E44))</f>
        <v>0</v>
      </c>
      <c r="E45" s="378">
        <f>IF(+I14&lt;F44,I14,D45)</f>
        <v>0</v>
      </c>
      <c r="F45" s="55">
        <f t="shared" si="0"/>
        <v>0</v>
      </c>
      <c r="G45" s="379">
        <f t="shared" si="1"/>
        <v>0</v>
      </c>
      <c r="H45" s="364">
        <f t="shared" si="2"/>
        <v>0</v>
      </c>
      <c r="I45" s="52">
        <f t="shared" si="3"/>
        <v>0</v>
      </c>
      <c r="J45" s="52"/>
      <c r="K45" s="129"/>
      <c r="L45" s="54">
        <f t="shared" si="4"/>
        <v>0</v>
      </c>
      <c r="M45" s="129"/>
      <c r="N45" s="54">
        <f t="shared" si="5"/>
        <v>0</v>
      </c>
      <c r="O45" s="54">
        <f t="shared" si="6"/>
        <v>0</v>
      </c>
      <c r="P45" s="1"/>
    </row>
    <row r="46" spans="2:16" ht="12.5">
      <c r="B46" s="7" t="str">
        <f t="shared" si="8"/>
        <v/>
      </c>
      <c r="C46" s="50">
        <f>IF(D11="","-",+C45+1)</f>
        <v>2036</v>
      </c>
      <c r="D46" s="55">
        <f>IF(F45+SUM(E$17:E45)=D$10,F45,D$10-SUM(E$17:E45))</f>
        <v>0</v>
      </c>
      <c r="E46" s="378">
        <f>IF(+I14&lt;F45,I14,D46)</f>
        <v>0</v>
      </c>
      <c r="F46" s="55">
        <f t="shared" si="0"/>
        <v>0</v>
      </c>
      <c r="G46" s="379">
        <f t="shared" si="1"/>
        <v>0</v>
      </c>
      <c r="H46" s="364">
        <f t="shared" si="2"/>
        <v>0</v>
      </c>
      <c r="I46" s="52">
        <f t="shared" si="3"/>
        <v>0</v>
      </c>
      <c r="J46" s="52"/>
      <c r="K46" s="129"/>
      <c r="L46" s="54">
        <f t="shared" si="4"/>
        <v>0</v>
      </c>
      <c r="M46" s="129"/>
      <c r="N46" s="54">
        <f t="shared" si="5"/>
        <v>0</v>
      </c>
      <c r="O46" s="54">
        <f t="shared" si="6"/>
        <v>0</v>
      </c>
      <c r="P46" s="1"/>
    </row>
    <row r="47" spans="2:16" ht="12.5">
      <c r="B47" s="7" t="str">
        <f t="shared" si="8"/>
        <v/>
      </c>
      <c r="C47" s="50">
        <f>IF(D11="","-",+C46+1)</f>
        <v>2037</v>
      </c>
      <c r="D47" s="55">
        <f>IF(F46+SUM(E$17:E46)=D$10,F46,D$10-SUM(E$17:E46))</f>
        <v>0</v>
      </c>
      <c r="E47" s="378">
        <f>IF(+I14&lt;F46,I14,D47)</f>
        <v>0</v>
      </c>
      <c r="F47" s="55">
        <f t="shared" si="0"/>
        <v>0</v>
      </c>
      <c r="G47" s="379">
        <f t="shared" si="1"/>
        <v>0</v>
      </c>
      <c r="H47" s="364">
        <f t="shared" si="2"/>
        <v>0</v>
      </c>
      <c r="I47" s="52">
        <f t="shared" si="3"/>
        <v>0</v>
      </c>
      <c r="J47" s="52"/>
      <c r="K47" s="129"/>
      <c r="L47" s="54">
        <f t="shared" si="4"/>
        <v>0</v>
      </c>
      <c r="M47" s="129"/>
      <c r="N47" s="54">
        <f t="shared" si="5"/>
        <v>0</v>
      </c>
      <c r="O47" s="54">
        <f t="shared" si="6"/>
        <v>0</v>
      </c>
      <c r="P47" s="1"/>
    </row>
    <row r="48" spans="2:16" ht="12.5">
      <c r="B48" s="7" t="str">
        <f t="shared" si="8"/>
        <v/>
      </c>
      <c r="C48" s="50">
        <f>IF(D11="","-",+C47+1)</f>
        <v>2038</v>
      </c>
      <c r="D48" s="55">
        <f>IF(F47+SUM(E$17:E47)=D$10,F47,D$10-SUM(E$17:E47))</f>
        <v>0</v>
      </c>
      <c r="E48" s="378">
        <f>IF(+I14&lt;F47,I14,D48)</f>
        <v>0</v>
      </c>
      <c r="F48" s="55">
        <f t="shared" si="0"/>
        <v>0</v>
      </c>
      <c r="G48" s="379">
        <f t="shared" si="1"/>
        <v>0</v>
      </c>
      <c r="H48" s="364">
        <f t="shared" si="2"/>
        <v>0</v>
      </c>
      <c r="I48" s="52">
        <f t="shared" si="3"/>
        <v>0</v>
      </c>
      <c r="J48" s="52"/>
      <c r="K48" s="129"/>
      <c r="L48" s="54">
        <f t="shared" si="4"/>
        <v>0</v>
      </c>
      <c r="M48" s="129"/>
      <c r="N48" s="54">
        <f t="shared" si="5"/>
        <v>0</v>
      </c>
      <c r="O48" s="54">
        <f t="shared" si="6"/>
        <v>0</v>
      </c>
      <c r="P48" s="1"/>
    </row>
    <row r="49" spans="2:17" ht="12.5">
      <c r="B49" s="7" t="str">
        <f t="shared" si="8"/>
        <v/>
      </c>
      <c r="C49" s="50">
        <f>IF(D11="","-",+C48+1)</f>
        <v>2039</v>
      </c>
      <c r="D49" s="55">
        <f>IF(F48+SUM(E$17:E48)=D$10,F48,D$10-SUM(E$17:E48))</f>
        <v>0</v>
      </c>
      <c r="E49" s="378">
        <f>IF(+I14&lt;F48,I14,D49)</f>
        <v>0</v>
      </c>
      <c r="F49" s="55">
        <f t="shared" ref="F49:F72" si="9">+D49-E49</f>
        <v>0</v>
      </c>
      <c r="G49" s="379">
        <f t="shared" ref="G49:G72" si="10">+I$12*((D49+F49)/2)+E49</f>
        <v>0</v>
      </c>
      <c r="H49" s="364">
        <f t="shared" ref="H49:H72" si="11">+I$13*((D49+F49)/2)+E49</f>
        <v>0</v>
      </c>
      <c r="I49" s="52">
        <f t="shared" ref="I49:I72" si="12">H49-G49</f>
        <v>0</v>
      </c>
      <c r="J49" s="52"/>
      <c r="K49" s="129"/>
      <c r="L49" s="54">
        <f t="shared" ref="L49:L72" si="13">IF(K49&lt;&gt;0,+G49-K49,0)</f>
        <v>0</v>
      </c>
      <c r="M49" s="129"/>
      <c r="N49" s="54">
        <f t="shared" ref="N49:N72" si="14">IF(M49&lt;&gt;0,+H49-M49,0)</f>
        <v>0</v>
      </c>
      <c r="O49" s="54">
        <f t="shared" ref="O49:O72" si="15">+N49-L49</f>
        <v>0</v>
      </c>
      <c r="P49" s="1"/>
    </row>
    <row r="50" spans="2:17" ht="12.5">
      <c r="B50" s="7" t="str">
        <f t="shared" si="8"/>
        <v/>
      </c>
      <c r="C50" s="50">
        <f>IF(D11="","-",+C49+1)</f>
        <v>2040</v>
      </c>
      <c r="D50" s="55">
        <f>IF(F49+SUM(E$17:E49)=D$10,F49,D$10-SUM(E$17:E49))</f>
        <v>0</v>
      </c>
      <c r="E50" s="378">
        <f>IF(+I14&lt;F49,I14,D50)</f>
        <v>0</v>
      </c>
      <c r="F50" s="55">
        <f t="shared" si="9"/>
        <v>0</v>
      </c>
      <c r="G50" s="379">
        <f t="shared" si="10"/>
        <v>0</v>
      </c>
      <c r="H50" s="364">
        <f t="shared" si="11"/>
        <v>0</v>
      </c>
      <c r="I50" s="52">
        <f t="shared" si="12"/>
        <v>0</v>
      </c>
      <c r="J50" s="52"/>
      <c r="K50" s="129"/>
      <c r="L50" s="54">
        <f t="shared" si="13"/>
        <v>0</v>
      </c>
      <c r="M50" s="129"/>
      <c r="N50" s="54">
        <f t="shared" si="14"/>
        <v>0</v>
      </c>
      <c r="O50" s="54">
        <f t="shared" si="15"/>
        <v>0</v>
      </c>
      <c r="P50" s="1"/>
    </row>
    <row r="51" spans="2:17" ht="12.5">
      <c r="B51" s="7" t="str">
        <f t="shared" si="8"/>
        <v/>
      </c>
      <c r="C51" s="50">
        <f>IF(D11="","-",+C50+1)</f>
        <v>2041</v>
      </c>
      <c r="D51" s="55">
        <f>IF(F50+SUM(E$17:E50)=D$10,F50,D$10-SUM(E$17:E50))</f>
        <v>0</v>
      </c>
      <c r="E51" s="378">
        <f>IF(+I14&lt;F50,I14,D51)</f>
        <v>0</v>
      </c>
      <c r="F51" s="55">
        <f t="shared" si="9"/>
        <v>0</v>
      </c>
      <c r="G51" s="379">
        <f t="shared" si="10"/>
        <v>0</v>
      </c>
      <c r="H51" s="364">
        <f t="shared" si="11"/>
        <v>0</v>
      </c>
      <c r="I51" s="52">
        <f t="shared" si="12"/>
        <v>0</v>
      </c>
      <c r="J51" s="52"/>
      <c r="K51" s="129"/>
      <c r="L51" s="54">
        <f t="shared" si="13"/>
        <v>0</v>
      </c>
      <c r="M51" s="129"/>
      <c r="N51" s="54">
        <f t="shared" si="14"/>
        <v>0</v>
      </c>
      <c r="O51" s="54">
        <f t="shared" si="15"/>
        <v>0</v>
      </c>
      <c r="P51" s="1"/>
    </row>
    <row r="52" spans="2:17" ht="12.5">
      <c r="B52" s="7" t="str">
        <f t="shared" si="8"/>
        <v/>
      </c>
      <c r="C52" s="50">
        <f>IF(D11="","-",+C51+1)</f>
        <v>2042</v>
      </c>
      <c r="D52" s="55">
        <f>IF(F51+SUM(E$17:E51)=D$10,F51,D$10-SUM(E$17:E51))</f>
        <v>0</v>
      </c>
      <c r="E52" s="378">
        <f>IF(+I14&lt;F51,I14,D52)</f>
        <v>0</v>
      </c>
      <c r="F52" s="55">
        <f t="shared" si="9"/>
        <v>0</v>
      </c>
      <c r="G52" s="379">
        <f t="shared" si="10"/>
        <v>0</v>
      </c>
      <c r="H52" s="364">
        <f t="shared" si="11"/>
        <v>0</v>
      </c>
      <c r="I52" s="52">
        <f t="shared" si="12"/>
        <v>0</v>
      </c>
      <c r="J52" s="52"/>
      <c r="K52" s="129"/>
      <c r="L52" s="54">
        <f t="shared" si="13"/>
        <v>0</v>
      </c>
      <c r="M52" s="129"/>
      <c r="N52" s="54">
        <f t="shared" si="14"/>
        <v>0</v>
      </c>
      <c r="O52" s="54">
        <f t="shared" si="15"/>
        <v>0</v>
      </c>
      <c r="P52" s="1"/>
    </row>
    <row r="53" spans="2:17" ht="12.5">
      <c r="B53" s="7" t="str">
        <f t="shared" si="8"/>
        <v/>
      </c>
      <c r="C53" s="50">
        <f>IF(D11="","-",+C52+1)</f>
        <v>2043</v>
      </c>
      <c r="D53" s="55">
        <f>IF(F52+SUM(E$17:E52)=D$10,F52,D$10-SUM(E$17:E52))</f>
        <v>0</v>
      </c>
      <c r="E53" s="378">
        <f>IF(+I14&lt;F52,I14,D53)</f>
        <v>0</v>
      </c>
      <c r="F53" s="55">
        <f t="shared" si="9"/>
        <v>0</v>
      </c>
      <c r="G53" s="379">
        <f t="shared" si="10"/>
        <v>0</v>
      </c>
      <c r="H53" s="364">
        <f t="shared" si="11"/>
        <v>0</v>
      </c>
      <c r="I53" s="52">
        <f t="shared" si="12"/>
        <v>0</v>
      </c>
      <c r="J53" s="52"/>
      <c r="K53" s="129"/>
      <c r="L53" s="54">
        <f t="shared" si="13"/>
        <v>0</v>
      </c>
      <c r="M53" s="129"/>
      <c r="N53" s="54">
        <f t="shared" si="14"/>
        <v>0</v>
      </c>
      <c r="O53" s="54">
        <f t="shared" si="15"/>
        <v>0</v>
      </c>
      <c r="P53" s="1"/>
    </row>
    <row r="54" spans="2:17" ht="12.5">
      <c r="B54" s="7" t="str">
        <f t="shared" si="8"/>
        <v/>
      </c>
      <c r="C54" s="50">
        <f>IF(D11="","-",+C53+1)</f>
        <v>2044</v>
      </c>
      <c r="D54" s="55">
        <f>IF(F53+SUM(E$17:E53)=D$10,F53,D$10-SUM(E$17:E53))</f>
        <v>0</v>
      </c>
      <c r="E54" s="378">
        <f>IF(+I14&lt;F53,I14,D54)</f>
        <v>0</v>
      </c>
      <c r="F54" s="55">
        <f t="shared" si="9"/>
        <v>0</v>
      </c>
      <c r="G54" s="379">
        <f t="shared" si="10"/>
        <v>0</v>
      </c>
      <c r="H54" s="364">
        <f t="shared" si="11"/>
        <v>0</v>
      </c>
      <c r="I54" s="52">
        <f t="shared" si="12"/>
        <v>0</v>
      </c>
      <c r="J54" s="52"/>
      <c r="K54" s="129"/>
      <c r="L54" s="54">
        <f t="shared" si="13"/>
        <v>0</v>
      </c>
      <c r="M54" s="129"/>
      <c r="N54" s="54">
        <f t="shared" si="14"/>
        <v>0</v>
      </c>
      <c r="O54" s="54">
        <f t="shared" si="15"/>
        <v>0</v>
      </c>
      <c r="P54" s="1"/>
    </row>
    <row r="55" spans="2:17" ht="12.5">
      <c r="B55" s="7" t="str">
        <f t="shared" si="8"/>
        <v/>
      </c>
      <c r="C55" s="50">
        <f>IF(D11="","-",+C54+1)</f>
        <v>2045</v>
      </c>
      <c r="D55" s="55">
        <f>IF(F54+SUM(E$17:E54)=D$10,F54,D$10-SUM(E$17:E54))</f>
        <v>0</v>
      </c>
      <c r="E55" s="378">
        <f>IF(+I14&lt;F54,I14,D55)</f>
        <v>0</v>
      </c>
      <c r="F55" s="55">
        <f t="shared" si="9"/>
        <v>0</v>
      </c>
      <c r="G55" s="379">
        <f t="shared" si="10"/>
        <v>0</v>
      </c>
      <c r="H55" s="364">
        <f t="shared" si="11"/>
        <v>0</v>
      </c>
      <c r="I55" s="52">
        <f t="shared" si="12"/>
        <v>0</v>
      </c>
      <c r="J55" s="52"/>
      <c r="K55" s="129"/>
      <c r="L55" s="54">
        <f t="shared" si="13"/>
        <v>0</v>
      </c>
      <c r="M55" s="129"/>
      <c r="N55" s="54">
        <f t="shared" si="14"/>
        <v>0</v>
      </c>
      <c r="O55" s="54">
        <f t="shared" si="15"/>
        <v>0</v>
      </c>
      <c r="P55" s="1"/>
    </row>
    <row r="56" spans="2:17" ht="12.5">
      <c r="B56" s="7" t="str">
        <f t="shared" si="8"/>
        <v/>
      </c>
      <c r="C56" s="50">
        <f>IF(D11="","-",+C55+1)</f>
        <v>2046</v>
      </c>
      <c r="D56" s="55">
        <f>IF(F55+SUM(E$17:E55)=D$10,F55,D$10-SUM(E$17:E55))</f>
        <v>0</v>
      </c>
      <c r="E56" s="378">
        <f>IF(+I14&lt;F55,I14,D56)</f>
        <v>0</v>
      </c>
      <c r="F56" s="55">
        <f t="shared" si="9"/>
        <v>0</v>
      </c>
      <c r="G56" s="379">
        <f t="shared" si="10"/>
        <v>0</v>
      </c>
      <c r="H56" s="364">
        <f t="shared" si="11"/>
        <v>0</v>
      </c>
      <c r="I56" s="52">
        <f t="shared" si="12"/>
        <v>0</v>
      </c>
      <c r="J56" s="52"/>
      <c r="K56" s="129"/>
      <c r="L56" s="54">
        <f t="shared" si="13"/>
        <v>0</v>
      </c>
      <c r="M56" s="129"/>
      <c r="N56" s="54">
        <f t="shared" si="14"/>
        <v>0</v>
      </c>
      <c r="O56" s="54">
        <f t="shared" si="15"/>
        <v>0</v>
      </c>
      <c r="P56" s="1"/>
    </row>
    <row r="57" spans="2:17" ht="12.5">
      <c r="B57" s="7" t="str">
        <f t="shared" si="8"/>
        <v/>
      </c>
      <c r="C57" s="50">
        <f>IF(D11="","-",+C56+1)</f>
        <v>2047</v>
      </c>
      <c r="D57" s="55">
        <f>IF(F56+SUM(E$17:E56)=D$10,F56,D$10-SUM(E$17:E56))</f>
        <v>0</v>
      </c>
      <c r="E57" s="378">
        <f>IF(+I14&lt;F56,I14,D57)</f>
        <v>0</v>
      </c>
      <c r="F57" s="55">
        <f t="shared" si="9"/>
        <v>0</v>
      </c>
      <c r="G57" s="379">
        <f t="shared" si="10"/>
        <v>0</v>
      </c>
      <c r="H57" s="364">
        <f t="shared" si="11"/>
        <v>0</v>
      </c>
      <c r="I57" s="52">
        <f t="shared" si="12"/>
        <v>0</v>
      </c>
      <c r="J57" s="52"/>
      <c r="K57" s="129"/>
      <c r="L57" s="54">
        <f t="shared" si="13"/>
        <v>0</v>
      </c>
      <c r="M57" s="129"/>
      <c r="N57" s="54">
        <f t="shared" si="14"/>
        <v>0</v>
      </c>
      <c r="O57" s="54">
        <f t="shared" si="15"/>
        <v>0</v>
      </c>
      <c r="P57" s="1"/>
    </row>
    <row r="58" spans="2:17" ht="12.5">
      <c r="B58" s="7" t="str">
        <f t="shared" si="8"/>
        <v/>
      </c>
      <c r="C58" s="50">
        <f>IF(D11="","-",+C57+1)</f>
        <v>2048</v>
      </c>
      <c r="D58" s="55">
        <f>IF(F57+SUM(E$17:E57)=D$10,F57,D$10-SUM(E$17:E57))</f>
        <v>0</v>
      </c>
      <c r="E58" s="378">
        <f>IF(+I14&lt;F57,I14,D58)</f>
        <v>0</v>
      </c>
      <c r="F58" s="55">
        <f t="shared" si="9"/>
        <v>0</v>
      </c>
      <c r="G58" s="379">
        <f t="shared" si="10"/>
        <v>0</v>
      </c>
      <c r="H58" s="364">
        <f t="shared" si="11"/>
        <v>0</v>
      </c>
      <c r="I58" s="52">
        <f t="shared" si="12"/>
        <v>0</v>
      </c>
      <c r="J58" s="52"/>
      <c r="K58" s="129"/>
      <c r="L58" s="54">
        <f t="shared" si="13"/>
        <v>0</v>
      </c>
      <c r="M58" s="129"/>
      <c r="N58" s="54">
        <f t="shared" si="14"/>
        <v>0</v>
      </c>
      <c r="O58" s="54">
        <f t="shared" si="15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8"/>
        <v/>
      </c>
      <c r="C59" s="50">
        <f>IF(D11="","-",+C58+1)</f>
        <v>2049</v>
      </c>
      <c r="D59" s="55">
        <f>IF(F58+SUM(E$17:E58)=D$10,F58,D$10-SUM(E$17:E58))</f>
        <v>0</v>
      </c>
      <c r="E59" s="378">
        <f>IF(+I14&lt;F58,I14,D59)</f>
        <v>0</v>
      </c>
      <c r="F59" s="55">
        <f t="shared" si="9"/>
        <v>0</v>
      </c>
      <c r="G59" s="379">
        <f t="shared" si="10"/>
        <v>0</v>
      </c>
      <c r="H59" s="364">
        <f t="shared" si="11"/>
        <v>0</v>
      </c>
      <c r="I59" s="52">
        <f t="shared" si="12"/>
        <v>0</v>
      </c>
      <c r="J59" s="52"/>
      <c r="K59" s="129"/>
      <c r="L59" s="54">
        <f t="shared" si="13"/>
        <v>0</v>
      </c>
      <c r="M59" s="129"/>
      <c r="N59" s="54">
        <f t="shared" si="14"/>
        <v>0</v>
      </c>
      <c r="O59" s="54">
        <f t="shared" si="15"/>
        <v>0</v>
      </c>
      <c r="P59" s="1"/>
    </row>
    <row r="60" spans="2:17" ht="12.5">
      <c r="B60" s="7" t="str">
        <f t="shared" si="8"/>
        <v/>
      </c>
      <c r="C60" s="50">
        <f>IF(D11="","-",+C59+1)</f>
        <v>2050</v>
      </c>
      <c r="D60" s="55">
        <f>IF(F59+SUM(E$17:E59)=D$10,F59,D$10-SUM(E$17:E59))</f>
        <v>0</v>
      </c>
      <c r="E60" s="378">
        <f>IF(+I14&lt;F59,I14,D60)</f>
        <v>0</v>
      </c>
      <c r="F60" s="55">
        <f t="shared" si="9"/>
        <v>0</v>
      </c>
      <c r="G60" s="379">
        <f t="shared" si="10"/>
        <v>0</v>
      </c>
      <c r="H60" s="364">
        <f t="shared" si="11"/>
        <v>0</v>
      </c>
      <c r="I60" s="52">
        <f t="shared" si="12"/>
        <v>0</v>
      </c>
      <c r="J60" s="52"/>
      <c r="K60" s="129"/>
      <c r="L60" s="54">
        <f t="shared" si="13"/>
        <v>0</v>
      </c>
      <c r="M60" s="129"/>
      <c r="N60" s="54">
        <f t="shared" si="14"/>
        <v>0</v>
      </c>
      <c r="O60" s="54">
        <f t="shared" si="15"/>
        <v>0</v>
      </c>
      <c r="P60" s="1"/>
    </row>
    <row r="61" spans="2:17" ht="12.5">
      <c r="B61" s="7" t="str">
        <f t="shared" si="8"/>
        <v/>
      </c>
      <c r="C61" s="50">
        <f>IF(D11="","-",+C60+1)</f>
        <v>2051</v>
      </c>
      <c r="D61" s="55">
        <f>IF(F60+SUM(E$17:E60)=D$10,F60,D$10-SUM(E$17:E60))</f>
        <v>0</v>
      </c>
      <c r="E61" s="378">
        <f>IF(+I14&lt;F60,I14,D61)</f>
        <v>0</v>
      </c>
      <c r="F61" s="55">
        <f t="shared" si="9"/>
        <v>0</v>
      </c>
      <c r="G61" s="380">
        <f t="shared" si="10"/>
        <v>0</v>
      </c>
      <c r="H61" s="364">
        <f t="shared" si="11"/>
        <v>0</v>
      </c>
      <c r="I61" s="52">
        <f t="shared" si="12"/>
        <v>0</v>
      </c>
      <c r="J61" s="52"/>
      <c r="K61" s="129"/>
      <c r="L61" s="54">
        <f t="shared" si="13"/>
        <v>0</v>
      </c>
      <c r="M61" s="129"/>
      <c r="N61" s="54">
        <f t="shared" si="14"/>
        <v>0</v>
      </c>
      <c r="O61" s="54">
        <f t="shared" si="15"/>
        <v>0</v>
      </c>
      <c r="P61" s="1"/>
    </row>
    <row r="62" spans="2:17" ht="12.5">
      <c r="B62" s="7" t="str">
        <f t="shared" si="8"/>
        <v/>
      </c>
      <c r="C62" s="50">
        <f>IF(D11="","-",+C61+1)</f>
        <v>2052</v>
      </c>
      <c r="D62" s="55">
        <f>IF(F61+SUM(E$17:E61)=D$10,F61,D$10-SUM(E$17:E61))</f>
        <v>0</v>
      </c>
      <c r="E62" s="378">
        <f>IF(+I14&lt;F61,I14,D62)</f>
        <v>0</v>
      </c>
      <c r="F62" s="55">
        <f t="shared" si="9"/>
        <v>0</v>
      </c>
      <c r="G62" s="380">
        <f t="shared" si="10"/>
        <v>0</v>
      </c>
      <c r="H62" s="364">
        <f t="shared" si="11"/>
        <v>0</v>
      </c>
      <c r="I62" s="52">
        <f t="shared" si="12"/>
        <v>0</v>
      </c>
      <c r="J62" s="52"/>
      <c r="K62" s="129"/>
      <c r="L62" s="54">
        <f t="shared" si="13"/>
        <v>0</v>
      </c>
      <c r="M62" s="129"/>
      <c r="N62" s="54">
        <f t="shared" si="14"/>
        <v>0</v>
      </c>
      <c r="O62" s="54">
        <f t="shared" si="15"/>
        <v>0</v>
      </c>
      <c r="P62" s="1"/>
    </row>
    <row r="63" spans="2:17" ht="12.5">
      <c r="B63" s="7" t="str">
        <f t="shared" si="8"/>
        <v/>
      </c>
      <c r="C63" s="50">
        <f>IF(D11="","-",+C62+1)</f>
        <v>2053</v>
      </c>
      <c r="D63" s="55">
        <f>IF(F62+SUM(E$17:E62)=D$10,F62,D$10-SUM(E$17:E62))</f>
        <v>0</v>
      </c>
      <c r="E63" s="378">
        <f>IF(+I14&lt;F62,I14,D63)</f>
        <v>0</v>
      </c>
      <c r="F63" s="55">
        <f t="shared" si="9"/>
        <v>0</v>
      </c>
      <c r="G63" s="380">
        <f t="shared" si="10"/>
        <v>0</v>
      </c>
      <c r="H63" s="364">
        <f t="shared" si="11"/>
        <v>0</v>
      </c>
      <c r="I63" s="52">
        <f t="shared" si="12"/>
        <v>0</v>
      </c>
      <c r="J63" s="52"/>
      <c r="K63" s="129"/>
      <c r="L63" s="54">
        <f t="shared" si="13"/>
        <v>0</v>
      </c>
      <c r="M63" s="129"/>
      <c r="N63" s="54">
        <f t="shared" si="14"/>
        <v>0</v>
      </c>
      <c r="O63" s="54">
        <f t="shared" si="15"/>
        <v>0</v>
      </c>
      <c r="P63" s="1"/>
    </row>
    <row r="64" spans="2:17" ht="12.5">
      <c r="B64" s="7" t="str">
        <f t="shared" si="8"/>
        <v/>
      </c>
      <c r="C64" s="50">
        <f>IF(D11="","-",+C63+1)</f>
        <v>2054</v>
      </c>
      <c r="D64" s="55">
        <f>IF(F63+SUM(E$17:E63)=D$10,F63,D$10-SUM(E$17:E63))</f>
        <v>0</v>
      </c>
      <c r="E64" s="378">
        <f>IF(+I14&lt;F63,I14,D64)</f>
        <v>0</v>
      </c>
      <c r="F64" s="55">
        <f t="shared" si="9"/>
        <v>0</v>
      </c>
      <c r="G64" s="380">
        <f t="shared" si="10"/>
        <v>0</v>
      </c>
      <c r="H64" s="364">
        <f t="shared" si="11"/>
        <v>0</v>
      </c>
      <c r="I64" s="52">
        <f t="shared" si="12"/>
        <v>0</v>
      </c>
      <c r="J64" s="52"/>
      <c r="K64" s="129"/>
      <c r="L64" s="54">
        <f t="shared" si="13"/>
        <v>0</v>
      </c>
      <c r="M64" s="129"/>
      <c r="N64" s="54">
        <f t="shared" si="14"/>
        <v>0</v>
      </c>
      <c r="O64" s="54">
        <f t="shared" si="15"/>
        <v>0</v>
      </c>
      <c r="P64" s="1"/>
    </row>
    <row r="65" spans="1:16" ht="12.5">
      <c r="B65" s="7" t="str">
        <f t="shared" si="8"/>
        <v/>
      </c>
      <c r="C65" s="50">
        <f>IF(D11="","-",+C64+1)</f>
        <v>2055</v>
      </c>
      <c r="D65" s="55">
        <f>IF(F64+SUM(E$17:E64)=D$10,F64,D$10-SUM(E$17:E64))</f>
        <v>0</v>
      </c>
      <c r="E65" s="378">
        <f>IF(+I14&lt;F64,I14,D65)</f>
        <v>0</v>
      </c>
      <c r="F65" s="55">
        <f t="shared" si="9"/>
        <v>0</v>
      </c>
      <c r="G65" s="380">
        <f t="shared" si="10"/>
        <v>0</v>
      </c>
      <c r="H65" s="364">
        <f t="shared" si="11"/>
        <v>0</v>
      </c>
      <c r="I65" s="52">
        <f t="shared" si="12"/>
        <v>0</v>
      </c>
      <c r="J65" s="52"/>
      <c r="K65" s="129"/>
      <c r="L65" s="54">
        <f t="shared" si="13"/>
        <v>0</v>
      </c>
      <c r="M65" s="129"/>
      <c r="N65" s="54">
        <f t="shared" si="14"/>
        <v>0</v>
      </c>
      <c r="O65" s="54">
        <f t="shared" si="15"/>
        <v>0</v>
      </c>
      <c r="P65" s="1"/>
    </row>
    <row r="66" spans="1:16" ht="12.5">
      <c r="B66" s="7" t="str">
        <f t="shared" si="8"/>
        <v/>
      </c>
      <c r="C66" s="50">
        <f>IF(D11="","-",+C65+1)</f>
        <v>2056</v>
      </c>
      <c r="D66" s="55">
        <f>IF(F65+SUM(E$17:E65)=D$10,F65,D$10-SUM(E$17:E65))</f>
        <v>0</v>
      </c>
      <c r="E66" s="378">
        <f>IF(+I14&lt;F65,I14,D66)</f>
        <v>0</v>
      </c>
      <c r="F66" s="55">
        <f t="shared" si="9"/>
        <v>0</v>
      </c>
      <c r="G66" s="380">
        <f t="shared" si="10"/>
        <v>0</v>
      </c>
      <c r="H66" s="364">
        <f t="shared" si="11"/>
        <v>0</v>
      </c>
      <c r="I66" s="52">
        <f t="shared" si="12"/>
        <v>0</v>
      </c>
      <c r="J66" s="52"/>
      <c r="K66" s="129"/>
      <c r="L66" s="54">
        <f t="shared" si="13"/>
        <v>0</v>
      </c>
      <c r="M66" s="129"/>
      <c r="N66" s="54">
        <f t="shared" si="14"/>
        <v>0</v>
      </c>
      <c r="O66" s="54">
        <f t="shared" si="15"/>
        <v>0</v>
      </c>
      <c r="P66" s="1"/>
    </row>
    <row r="67" spans="1:16" ht="12.5">
      <c r="B67" s="7" t="str">
        <f t="shared" si="8"/>
        <v/>
      </c>
      <c r="C67" s="50">
        <f>IF(D11="","-",+C66+1)</f>
        <v>2057</v>
      </c>
      <c r="D67" s="55">
        <f>IF(F66+SUM(E$17:E66)=D$10,F66,D$10-SUM(E$17:E66))</f>
        <v>0</v>
      </c>
      <c r="E67" s="378">
        <f>IF(+I14&lt;F66,I14,D67)</f>
        <v>0</v>
      </c>
      <c r="F67" s="55">
        <f t="shared" si="9"/>
        <v>0</v>
      </c>
      <c r="G67" s="380">
        <f t="shared" si="10"/>
        <v>0</v>
      </c>
      <c r="H67" s="364">
        <f t="shared" si="11"/>
        <v>0</v>
      </c>
      <c r="I67" s="52">
        <f t="shared" si="12"/>
        <v>0</v>
      </c>
      <c r="J67" s="52"/>
      <c r="K67" s="129"/>
      <c r="L67" s="54">
        <f t="shared" si="13"/>
        <v>0</v>
      </c>
      <c r="M67" s="129"/>
      <c r="N67" s="54">
        <f t="shared" si="14"/>
        <v>0</v>
      </c>
      <c r="O67" s="54">
        <f t="shared" si="15"/>
        <v>0</v>
      </c>
      <c r="P67" s="1"/>
    </row>
    <row r="68" spans="1:16" ht="12.5">
      <c r="B68" s="7" t="str">
        <f t="shared" si="8"/>
        <v/>
      </c>
      <c r="C68" s="50">
        <f>IF(D11="","-",+C67+1)</f>
        <v>2058</v>
      </c>
      <c r="D68" s="55">
        <f>IF(F67+SUM(E$17:E67)=D$10,F67,D$10-SUM(E$17:E67))</f>
        <v>0</v>
      </c>
      <c r="E68" s="378">
        <f>IF(+I14&lt;F67,I14,D68)</f>
        <v>0</v>
      </c>
      <c r="F68" s="55">
        <f t="shared" si="9"/>
        <v>0</v>
      </c>
      <c r="G68" s="380">
        <f t="shared" si="10"/>
        <v>0</v>
      </c>
      <c r="H68" s="364">
        <f t="shared" si="11"/>
        <v>0</v>
      </c>
      <c r="I68" s="52">
        <f t="shared" si="12"/>
        <v>0</v>
      </c>
      <c r="J68" s="52"/>
      <c r="K68" s="129"/>
      <c r="L68" s="54">
        <f t="shared" si="13"/>
        <v>0</v>
      </c>
      <c r="M68" s="129"/>
      <c r="N68" s="54">
        <f t="shared" si="14"/>
        <v>0</v>
      </c>
      <c r="O68" s="54">
        <f t="shared" si="15"/>
        <v>0</v>
      </c>
      <c r="P68" s="1"/>
    </row>
    <row r="69" spans="1:16" ht="12.5">
      <c r="B69" s="7" t="str">
        <f t="shared" si="8"/>
        <v/>
      </c>
      <c r="C69" s="50">
        <f>IF(D11="","-",+C68+1)</f>
        <v>2059</v>
      </c>
      <c r="D69" s="55">
        <f>IF(F68+SUM(E$17:E68)=D$10,F68,D$10-SUM(E$17:E68))</f>
        <v>0</v>
      </c>
      <c r="E69" s="378">
        <f>IF(+I14&lt;F68,I14,D69)</f>
        <v>0</v>
      </c>
      <c r="F69" s="55">
        <f t="shared" si="9"/>
        <v>0</v>
      </c>
      <c r="G69" s="380">
        <f t="shared" si="10"/>
        <v>0</v>
      </c>
      <c r="H69" s="364">
        <f t="shared" si="11"/>
        <v>0</v>
      </c>
      <c r="I69" s="52">
        <f t="shared" si="12"/>
        <v>0</v>
      </c>
      <c r="J69" s="52"/>
      <c r="K69" s="129"/>
      <c r="L69" s="54">
        <f t="shared" si="13"/>
        <v>0</v>
      </c>
      <c r="M69" s="129"/>
      <c r="N69" s="54">
        <f t="shared" si="14"/>
        <v>0</v>
      </c>
      <c r="O69" s="54">
        <f t="shared" si="15"/>
        <v>0</v>
      </c>
      <c r="P69" s="1"/>
    </row>
    <row r="70" spans="1:16" ht="12.5">
      <c r="B70" s="7" t="str">
        <f t="shared" si="8"/>
        <v/>
      </c>
      <c r="C70" s="50">
        <f>IF(D11="","-",+C69+1)</f>
        <v>2060</v>
      </c>
      <c r="D70" s="55">
        <f>IF(F69+SUM(E$17:E69)=D$10,F69,D$10-SUM(E$17:E69))</f>
        <v>0</v>
      </c>
      <c r="E70" s="378">
        <f>IF(+I14&lt;F69,I14,D70)</f>
        <v>0</v>
      </c>
      <c r="F70" s="55">
        <f t="shared" si="9"/>
        <v>0</v>
      </c>
      <c r="G70" s="380">
        <f t="shared" si="10"/>
        <v>0</v>
      </c>
      <c r="H70" s="364">
        <f t="shared" si="11"/>
        <v>0</v>
      </c>
      <c r="I70" s="52">
        <f t="shared" si="12"/>
        <v>0</v>
      </c>
      <c r="J70" s="52"/>
      <c r="K70" s="129"/>
      <c r="L70" s="54">
        <f t="shared" si="13"/>
        <v>0</v>
      </c>
      <c r="M70" s="129"/>
      <c r="N70" s="54">
        <f t="shared" si="14"/>
        <v>0</v>
      </c>
      <c r="O70" s="54">
        <f t="shared" si="15"/>
        <v>0</v>
      </c>
      <c r="P70" s="1"/>
    </row>
    <row r="71" spans="1:16" ht="12.5">
      <c r="B71" s="7" t="str">
        <f t="shared" si="8"/>
        <v/>
      </c>
      <c r="C71" s="50">
        <f>IF(D11="","-",+C70+1)</f>
        <v>2061</v>
      </c>
      <c r="D71" s="55">
        <f>IF(F70+SUM(E$17:E70)=D$10,F70,D$10-SUM(E$17:E70))</f>
        <v>0</v>
      </c>
      <c r="E71" s="378">
        <f>IF(+I14&lt;F70,I14,D71)</f>
        <v>0</v>
      </c>
      <c r="F71" s="55">
        <f t="shared" si="9"/>
        <v>0</v>
      </c>
      <c r="G71" s="380">
        <f t="shared" si="10"/>
        <v>0</v>
      </c>
      <c r="H71" s="364">
        <f t="shared" si="11"/>
        <v>0</v>
      </c>
      <c r="I71" s="52">
        <f t="shared" si="12"/>
        <v>0</v>
      </c>
      <c r="J71" s="52"/>
      <c r="K71" s="129"/>
      <c r="L71" s="54">
        <f t="shared" si="13"/>
        <v>0</v>
      </c>
      <c r="M71" s="129"/>
      <c r="N71" s="54">
        <f t="shared" si="14"/>
        <v>0</v>
      </c>
      <c r="O71" s="54">
        <f t="shared" si="15"/>
        <v>0</v>
      </c>
      <c r="P71" s="1"/>
    </row>
    <row r="72" spans="1:16" ht="13" thickBot="1">
      <c r="B72" s="7" t="str">
        <f t="shared" si="8"/>
        <v/>
      </c>
      <c r="C72" s="59">
        <f>IF(D11="","-",+C71+1)</f>
        <v>2062</v>
      </c>
      <c r="D72" s="60">
        <f>IF(F71+SUM(E$17:E71)=D$10,F71,D$10-SUM(E$17:E71))</f>
        <v>0</v>
      </c>
      <c r="E72" s="381">
        <f>IF(+I14&lt;F71,I14,D72)</f>
        <v>0</v>
      </c>
      <c r="F72" s="60">
        <f t="shared" si="9"/>
        <v>0</v>
      </c>
      <c r="G72" s="382">
        <f t="shared" si="10"/>
        <v>0</v>
      </c>
      <c r="H72" s="362">
        <f t="shared" si="11"/>
        <v>0</v>
      </c>
      <c r="I72" s="63">
        <f t="shared" si="12"/>
        <v>0</v>
      </c>
      <c r="J72" s="52"/>
      <c r="K72" s="130"/>
      <c r="L72" s="64">
        <f t="shared" si="13"/>
        <v>0</v>
      </c>
      <c r="M72" s="130"/>
      <c r="N72" s="64">
        <f t="shared" si="14"/>
        <v>0</v>
      </c>
      <c r="O72" s="64">
        <f t="shared" si="15"/>
        <v>0</v>
      </c>
      <c r="P72" s="1"/>
    </row>
    <row r="73" spans="1:16" ht="12.5">
      <c r="C73" s="12" t="s">
        <v>78</v>
      </c>
      <c r="D73" s="293"/>
      <c r="E73" s="293">
        <f>SUM(E17:E72)</f>
        <v>0</v>
      </c>
      <c r="F73" s="293"/>
      <c r="G73" s="293">
        <f>SUM(G17:G72)</f>
        <v>0</v>
      </c>
      <c r="H73" s="293">
        <f>SUM(H17:H72)</f>
        <v>0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7.5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11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0</v>
      </c>
      <c r="N87" s="387">
        <f>IF(J92&lt;D11,0,VLOOKUP(J92,C17:O72,11))</f>
        <v>0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0</v>
      </c>
      <c r="N88" s="390">
        <f>IF(J92&lt;D11,0,VLOOKUP(J92,C99:P154,7))</f>
        <v>0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Siloam Springs - Chamber Springs 161 kV line***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0</v>
      </c>
      <c r="N89" s="392">
        <f>+N88-N87</f>
        <v>0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>DOES NOT MEET SPP $100,000 MINIMUM INVESTMENT FOR REGIONAL BPU SHARING.</v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>
        <f>+D9</f>
        <v>0</v>
      </c>
      <c r="E91" s="76" t="str">
        <f>E9</f>
        <v xml:space="preserve">SPP Project ID = </v>
      </c>
      <c r="F91" s="463">
        <f>F9</f>
        <v>43</v>
      </c>
      <c r="G91" s="76"/>
      <c r="H91" s="76"/>
      <c r="I91" s="76"/>
      <c r="J91" s="95"/>
      <c r="Q91" s="1"/>
    </row>
    <row r="92" spans="1:17" ht="13">
      <c r="C92" s="34" t="s">
        <v>51</v>
      </c>
      <c r="D92" s="394">
        <f>IF(D11=I10,0,D10)</f>
        <v>0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  <c r="Q92" s="1"/>
    </row>
    <row r="93" spans="1:17" ht="12.5">
      <c r="C93" s="34" t="s">
        <v>54</v>
      </c>
      <c r="D93" s="88">
        <f>IF(D11=I10,"",D11)</f>
        <v>2007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4">
        <f>IF(D11=I10,"",D12)</f>
        <v>5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0</v>
      </c>
      <c r="K96" s="293"/>
      <c r="L96" s="293"/>
      <c r="M96" s="293"/>
      <c r="N96" s="293"/>
      <c r="O96" s="293"/>
      <c r="P96" s="1"/>
      <c r="Q96" s="1"/>
    </row>
    <row r="97" spans="1:17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5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 ht="12.5">
      <c r="C99" s="50">
        <f>IF(D93= "","-",D93)</f>
        <v>2007</v>
      </c>
      <c r="D99" s="12">
        <f>IF(D93=C99,0,D92)</f>
        <v>0</v>
      </c>
      <c r="E99" s="379">
        <f>IF(D11=I10,0,J96/12*(12-D94))</f>
        <v>0</v>
      </c>
      <c r="F99" s="55">
        <f>IF(D93=C99,+D92-E99,+D99-E99)</f>
        <v>0</v>
      </c>
      <c r="G99" s="83">
        <f t="shared" ref="G99:G130" si="16">+(F99+D99)/2</f>
        <v>0</v>
      </c>
      <c r="H99" s="416">
        <f t="shared" ref="H99:H112" si="17">+J$94*G99+E99</f>
        <v>0</v>
      </c>
      <c r="I99" s="417">
        <f t="shared" ref="I99:I112" si="18">+J$95*G99+E99</f>
        <v>0</v>
      </c>
      <c r="J99" s="54">
        <f t="shared" ref="J99:J130" si="19">+I99-H99</f>
        <v>0</v>
      </c>
      <c r="K99" s="54"/>
      <c r="L99" s="112">
        <f>K17</f>
        <v>741629</v>
      </c>
      <c r="M99" s="53">
        <f t="shared" ref="M99:M130" si="20">IF(L99&lt;&gt;0,+H99-L99,0)</f>
        <v>-741629</v>
      </c>
      <c r="N99" s="112">
        <f>M17</f>
        <v>741629</v>
      </c>
      <c r="O99" s="53">
        <f t="shared" ref="O99:O130" si="21">IF(N99&lt;&gt;0,+I99-N99,0)</f>
        <v>-741629</v>
      </c>
      <c r="P99" s="53">
        <f t="shared" ref="P99:P130" si="22">+O99-M99</f>
        <v>0</v>
      </c>
      <c r="Q99" s="1"/>
    </row>
    <row r="100" spans="1:17" ht="12.5">
      <c r="B100" s="7" t="str">
        <f>IF(D100=F99,"","IU")</f>
        <v/>
      </c>
      <c r="C100" s="50">
        <f>IF(D93="","-",+C99+1)</f>
        <v>2008</v>
      </c>
      <c r="D100" s="12">
        <f t="shared" ref="D100:D109" si="23">F99</f>
        <v>0</v>
      </c>
      <c r="E100" s="378">
        <f>IF(+J96&lt;F99,J96,D100)</f>
        <v>0</v>
      </c>
      <c r="F100" s="55">
        <f t="shared" ref="F100:F130" si="24">+D100-E100</f>
        <v>0</v>
      </c>
      <c r="G100" s="55">
        <f t="shared" si="16"/>
        <v>0</v>
      </c>
      <c r="H100" s="380">
        <f t="shared" si="17"/>
        <v>0</v>
      </c>
      <c r="I100" s="399">
        <f t="shared" si="18"/>
        <v>0</v>
      </c>
      <c r="J100" s="54">
        <f t="shared" si="19"/>
        <v>0</v>
      </c>
      <c r="K100" s="54"/>
      <c r="L100" s="113">
        <v>0</v>
      </c>
      <c r="M100" s="54">
        <f t="shared" si="20"/>
        <v>0</v>
      </c>
      <c r="N100" s="113">
        <v>0</v>
      </c>
      <c r="O100" s="54">
        <f t="shared" si="21"/>
        <v>0</v>
      </c>
      <c r="P100" s="54">
        <f t="shared" si="22"/>
        <v>0</v>
      </c>
      <c r="Q100" s="1"/>
    </row>
    <row r="101" spans="1:17" ht="12.5">
      <c r="B101" s="7" t="str">
        <f t="shared" ref="B101:B154" si="25">IF(D101=F100,"","IU")</f>
        <v/>
      </c>
      <c r="C101" s="50">
        <f>IF(D93="","-",+C100+1)</f>
        <v>2009</v>
      </c>
      <c r="D101" s="12">
        <f t="shared" si="23"/>
        <v>0</v>
      </c>
      <c r="E101" s="378">
        <f>IF(+J96&lt;F100,J96,D101)</f>
        <v>0</v>
      </c>
      <c r="F101" s="55">
        <f t="shared" si="24"/>
        <v>0</v>
      </c>
      <c r="G101" s="55">
        <f t="shared" si="16"/>
        <v>0</v>
      </c>
      <c r="H101" s="380">
        <f t="shared" si="17"/>
        <v>0</v>
      </c>
      <c r="I101" s="399">
        <f t="shared" si="18"/>
        <v>0</v>
      </c>
      <c r="J101" s="54">
        <f t="shared" si="19"/>
        <v>0</v>
      </c>
      <c r="K101" s="54"/>
      <c r="L101" s="113">
        <v>0</v>
      </c>
      <c r="M101" s="54">
        <f t="shared" si="20"/>
        <v>0</v>
      </c>
      <c r="N101" s="113">
        <v>0</v>
      </c>
      <c r="O101" s="54">
        <f t="shared" si="21"/>
        <v>0</v>
      </c>
      <c r="P101" s="54">
        <f t="shared" si="22"/>
        <v>0</v>
      </c>
      <c r="Q101" s="1"/>
    </row>
    <row r="102" spans="1:17" ht="12.5">
      <c r="B102" s="7" t="str">
        <f t="shared" si="25"/>
        <v/>
      </c>
      <c r="C102" s="50">
        <f>IF(D93="","-",+C101+1)</f>
        <v>2010</v>
      </c>
      <c r="D102" s="12">
        <f t="shared" si="23"/>
        <v>0</v>
      </c>
      <c r="E102" s="378">
        <f>IF(+J96&lt;F101,J96,D102)</f>
        <v>0</v>
      </c>
      <c r="F102" s="55">
        <f t="shared" si="24"/>
        <v>0</v>
      </c>
      <c r="G102" s="55">
        <f t="shared" si="16"/>
        <v>0</v>
      </c>
      <c r="H102" s="380">
        <f t="shared" si="17"/>
        <v>0</v>
      </c>
      <c r="I102" s="399">
        <f t="shared" si="18"/>
        <v>0</v>
      </c>
      <c r="J102" s="54">
        <f t="shared" si="19"/>
        <v>0</v>
      </c>
      <c r="K102" s="54"/>
      <c r="L102" s="129"/>
      <c r="M102" s="54">
        <f t="shared" si="20"/>
        <v>0</v>
      </c>
      <c r="N102" s="129"/>
      <c r="O102" s="54">
        <f t="shared" si="21"/>
        <v>0</v>
      </c>
      <c r="P102" s="54">
        <f t="shared" si="22"/>
        <v>0</v>
      </c>
      <c r="Q102" s="1"/>
    </row>
    <row r="103" spans="1:17" ht="12.5">
      <c r="B103" s="7" t="str">
        <f t="shared" si="25"/>
        <v/>
      </c>
      <c r="C103" s="50">
        <f>IF(D93="","-",+C102+1)</f>
        <v>2011</v>
      </c>
      <c r="D103" s="12">
        <f t="shared" si="23"/>
        <v>0</v>
      </c>
      <c r="E103" s="378">
        <f>IF(+J96&lt;F102,J96,D103)</f>
        <v>0</v>
      </c>
      <c r="F103" s="55">
        <f t="shared" si="24"/>
        <v>0</v>
      </c>
      <c r="G103" s="55">
        <f t="shared" si="16"/>
        <v>0</v>
      </c>
      <c r="H103" s="380">
        <f t="shared" si="17"/>
        <v>0</v>
      </c>
      <c r="I103" s="399">
        <f t="shared" si="18"/>
        <v>0</v>
      </c>
      <c r="J103" s="54">
        <f t="shared" si="19"/>
        <v>0</v>
      </c>
      <c r="K103" s="54"/>
      <c r="L103" s="129"/>
      <c r="M103" s="54">
        <f t="shared" si="20"/>
        <v>0</v>
      </c>
      <c r="N103" s="129"/>
      <c r="O103" s="54">
        <f t="shared" si="21"/>
        <v>0</v>
      </c>
      <c r="P103" s="54">
        <f t="shared" si="22"/>
        <v>0</v>
      </c>
      <c r="Q103" s="1"/>
    </row>
    <row r="104" spans="1:17" ht="12.5">
      <c r="B104" s="7" t="str">
        <f t="shared" si="25"/>
        <v/>
      </c>
      <c r="C104" s="50">
        <f>IF(D93="","-",+C103+1)</f>
        <v>2012</v>
      </c>
      <c r="D104" s="12">
        <f t="shared" si="23"/>
        <v>0</v>
      </c>
      <c r="E104" s="378">
        <f>IF(+J96&lt;F103,J96,D104)</f>
        <v>0</v>
      </c>
      <c r="F104" s="55">
        <f t="shared" si="24"/>
        <v>0</v>
      </c>
      <c r="G104" s="55">
        <f t="shared" si="16"/>
        <v>0</v>
      </c>
      <c r="H104" s="380">
        <f t="shared" si="17"/>
        <v>0</v>
      </c>
      <c r="I104" s="399">
        <f t="shared" si="18"/>
        <v>0</v>
      </c>
      <c r="J104" s="54">
        <f t="shared" si="19"/>
        <v>0</v>
      </c>
      <c r="K104" s="54"/>
      <c r="L104" s="129"/>
      <c r="M104" s="54">
        <f t="shared" si="20"/>
        <v>0</v>
      </c>
      <c r="N104" s="129"/>
      <c r="O104" s="54">
        <f t="shared" si="21"/>
        <v>0</v>
      </c>
      <c r="P104" s="54">
        <f t="shared" si="22"/>
        <v>0</v>
      </c>
      <c r="Q104" s="1"/>
    </row>
    <row r="105" spans="1:17" ht="12.5">
      <c r="B105" s="7" t="str">
        <f t="shared" si="25"/>
        <v/>
      </c>
      <c r="C105" s="50">
        <f>IF(D93="","-",+C104+1)</f>
        <v>2013</v>
      </c>
      <c r="D105" s="12">
        <f t="shared" si="23"/>
        <v>0</v>
      </c>
      <c r="E105" s="378">
        <f>IF(+J96&lt;F104,J96,D105)</f>
        <v>0</v>
      </c>
      <c r="F105" s="55">
        <f t="shared" si="24"/>
        <v>0</v>
      </c>
      <c r="G105" s="55">
        <f t="shared" si="16"/>
        <v>0</v>
      </c>
      <c r="H105" s="380">
        <f t="shared" si="17"/>
        <v>0</v>
      </c>
      <c r="I105" s="399">
        <f t="shared" si="18"/>
        <v>0</v>
      </c>
      <c r="J105" s="54">
        <f t="shared" si="19"/>
        <v>0</v>
      </c>
      <c r="K105" s="54"/>
      <c r="L105" s="129"/>
      <c r="M105" s="54">
        <f t="shared" si="20"/>
        <v>0</v>
      </c>
      <c r="N105" s="129"/>
      <c r="O105" s="54">
        <f t="shared" si="21"/>
        <v>0</v>
      </c>
      <c r="P105" s="54">
        <f t="shared" si="22"/>
        <v>0</v>
      </c>
      <c r="Q105" s="1"/>
    </row>
    <row r="106" spans="1:17" ht="12.5">
      <c r="B106" s="7" t="str">
        <f t="shared" si="25"/>
        <v/>
      </c>
      <c r="C106" s="50">
        <f>IF(D93="","-",+C105+1)</f>
        <v>2014</v>
      </c>
      <c r="D106" s="12">
        <f t="shared" si="23"/>
        <v>0</v>
      </c>
      <c r="E106" s="378">
        <f>IF(+J96&lt;F105,J96,D106)</f>
        <v>0</v>
      </c>
      <c r="F106" s="55">
        <f t="shared" si="24"/>
        <v>0</v>
      </c>
      <c r="G106" s="55">
        <f t="shared" si="16"/>
        <v>0</v>
      </c>
      <c r="H106" s="380">
        <f t="shared" si="17"/>
        <v>0</v>
      </c>
      <c r="I106" s="399">
        <f t="shared" si="18"/>
        <v>0</v>
      </c>
      <c r="J106" s="54">
        <f t="shared" si="19"/>
        <v>0</v>
      </c>
      <c r="K106" s="54"/>
      <c r="L106" s="129"/>
      <c r="M106" s="54">
        <f t="shared" si="20"/>
        <v>0</v>
      </c>
      <c r="N106" s="129"/>
      <c r="O106" s="54">
        <f t="shared" si="21"/>
        <v>0</v>
      </c>
      <c r="P106" s="54">
        <f t="shared" si="22"/>
        <v>0</v>
      </c>
      <c r="Q106" s="1"/>
    </row>
    <row r="107" spans="1:17" ht="12.5">
      <c r="B107" s="7" t="str">
        <f t="shared" si="25"/>
        <v/>
      </c>
      <c r="C107" s="50">
        <f>IF(D93="","-",+C106+1)</f>
        <v>2015</v>
      </c>
      <c r="D107" s="12">
        <f t="shared" si="23"/>
        <v>0</v>
      </c>
      <c r="E107" s="378">
        <f>IF(+J96&lt;F106,J96,D107)</f>
        <v>0</v>
      </c>
      <c r="F107" s="55">
        <f t="shared" si="24"/>
        <v>0</v>
      </c>
      <c r="G107" s="55">
        <f t="shared" si="16"/>
        <v>0</v>
      </c>
      <c r="H107" s="380">
        <f t="shared" si="17"/>
        <v>0</v>
      </c>
      <c r="I107" s="399">
        <f t="shared" si="18"/>
        <v>0</v>
      </c>
      <c r="J107" s="54">
        <f t="shared" si="19"/>
        <v>0</v>
      </c>
      <c r="K107" s="54"/>
      <c r="L107" s="129"/>
      <c r="M107" s="54">
        <f t="shared" si="20"/>
        <v>0</v>
      </c>
      <c r="N107" s="129"/>
      <c r="O107" s="54">
        <f t="shared" si="21"/>
        <v>0</v>
      </c>
      <c r="P107" s="54">
        <f t="shared" si="22"/>
        <v>0</v>
      </c>
      <c r="Q107" s="1"/>
    </row>
    <row r="108" spans="1:17" ht="12.5">
      <c r="B108" s="7" t="str">
        <f t="shared" si="25"/>
        <v/>
      </c>
      <c r="C108" s="50">
        <f>IF(D93="","-",+C107+1)</f>
        <v>2016</v>
      </c>
      <c r="D108" s="12">
        <f t="shared" si="23"/>
        <v>0</v>
      </c>
      <c r="E108" s="378">
        <f>IF(+J96&lt;F107,J96,D108)</f>
        <v>0</v>
      </c>
      <c r="F108" s="55">
        <f t="shared" si="24"/>
        <v>0</v>
      </c>
      <c r="G108" s="55">
        <f t="shared" si="16"/>
        <v>0</v>
      </c>
      <c r="H108" s="380">
        <f t="shared" si="17"/>
        <v>0</v>
      </c>
      <c r="I108" s="399">
        <f t="shared" si="18"/>
        <v>0</v>
      </c>
      <c r="J108" s="54">
        <f t="shared" si="19"/>
        <v>0</v>
      </c>
      <c r="K108" s="54"/>
      <c r="L108" s="129"/>
      <c r="M108" s="54">
        <f t="shared" si="20"/>
        <v>0</v>
      </c>
      <c r="N108" s="129"/>
      <c r="O108" s="54">
        <f t="shared" si="21"/>
        <v>0</v>
      </c>
      <c r="P108" s="54">
        <f t="shared" si="22"/>
        <v>0</v>
      </c>
      <c r="Q108" s="1"/>
    </row>
    <row r="109" spans="1:17" ht="12.5">
      <c r="B109" s="7" t="str">
        <f t="shared" si="25"/>
        <v/>
      </c>
      <c r="C109" s="50">
        <f>IF(D93="","-",+C108+1)</f>
        <v>2017</v>
      </c>
      <c r="D109" s="12">
        <f t="shared" si="23"/>
        <v>0</v>
      </c>
      <c r="E109" s="378">
        <f>IF(+J96&lt;F108,J96,D109)</f>
        <v>0</v>
      </c>
      <c r="F109" s="55">
        <f t="shared" si="24"/>
        <v>0</v>
      </c>
      <c r="G109" s="55">
        <f t="shared" si="16"/>
        <v>0</v>
      </c>
      <c r="H109" s="380">
        <f t="shared" si="17"/>
        <v>0</v>
      </c>
      <c r="I109" s="399">
        <f t="shared" si="18"/>
        <v>0</v>
      </c>
      <c r="J109" s="54">
        <f t="shared" si="19"/>
        <v>0</v>
      </c>
      <c r="K109" s="54"/>
      <c r="L109" s="129"/>
      <c r="M109" s="54">
        <f t="shared" si="20"/>
        <v>0</v>
      </c>
      <c r="N109" s="129"/>
      <c r="O109" s="54">
        <f t="shared" si="21"/>
        <v>0</v>
      </c>
      <c r="P109" s="54">
        <f t="shared" si="22"/>
        <v>0</v>
      </c>
      <c r="Q109" s="1"/>
    </row>
    <row r="110" spans="1:17" ht="12.5">
      <c r="B110" s="7" t="str">
        <f t="shared" si="25"/>
        <v/>
      </c>
      <c r="C110" s="50">
        <f>IF(D93="","-",+C109+1)</f>
        <v>2018</v>
      </c>
      <c r="D110" s="12">
        <f>IF(F109+SUM(E$99:E109)=D$92,F109,D$92-SUM(E$99:E109))</f>
        <v>0</v>
      </c>
      <c r="E110" s="378">
        <f>IF(+J96&lt;F109,J96,D110)</f>
        <v>0</v>
      </c>
      <c r="F110" s="55">
        <f t="shared" si="24"/>
        <v>0</v>
      </c>
      <c r="G110" s="55">
        <f t="shared" si="16"/>
        <v>0</v>
      </c>
      <c r="H110" s="380">
        <f t="shared" si="17"/>
        <v>0</v>
      </c>
      <c r="I110" s="399">
        <f t="shared" si="18"/>
        <v>0</v>
      </c>
      <c r="J110" s="54">
        <f t="shared" si="19"/>
        <v>0</v>
      </c>
      <c r="K110" s="54"/>
      <c r="L110" s="129"/>
      <c r="M110" s="54">
        <f t="shared" si="20"/>
        <v>0</v>
      </c>
      <c r="N110" s="129"/>
      <c r="O110" s="54">
        <f t="shared" si="21"/>
        <v>0</v>
      </c>
      <c r="P110" s="54">
        <f t="shared" si="22"/>
        <v>0</v>
      </c>
      <c r="Q110" s="1"/>
    </row>
    <row r="111" spans="1:17" ht="12.5">
      <c r="B111" s="7" t="str">
        <f t="shared" si="25"/>
        <v/>
      </c>
      <c r="C111" s="50">
        <f>IF(D93="","-",+C110+1)</f>
        <v>2019</v>
      </c>
      <c r="D111" s="12">
        <f>IF(F110+SUM(E$99:E110)=D$92,F110,D$92-SUM(E$99:E110))</f>
        <v>0</v>
      </c>
      <c r="E111" s="378">
        <f>IF(+J96&lt;F110,J96,D111)</f>
        <v>0</v>
      </c>
      <c r="F111" s="55">
        <f t="shared" si="24"/>
        <v>0</v>
      </c>
      <c r="G111" s="55">
        <f t="shared" si="16"/>
        <v>0</v>
      </c>
      <c r="H111" s="380">
        <f t="shared" si="17"/>
        <v>0</v>
      </c>
      <c r="I111" s="399">
        <f t="shared" si="18"/>
        <v>0</v>
      </c>
      <c r="J111" s="54">
        <f t="shared" si="19"/>
        <v>0</v>
      </c>
      <c r="K111" s="54"/>
      <c r="L111" s="129"/>
      <c r="M111" s="54">
        <f t="shared" si="20"/>
        <v>0</v>
      </c>
      <c r="N111" s="129"/>
      <c r="O111" s="54">
        <f t="shared" si="21"/>
        <v>0</v>
      </c>
      <c r="P111" s="54">
        <f t="shared" si="22"/>
        <v>0</v>
      </c>
      <c r="Q111" s="1"/>
    </row>
    <row r="112" spans="1:17" ht="12.5">
      <c r="B112" s="7" t="str">
        <f t="shared" si="25"/>
        <v/>
      </c>
      <c r="C112" s="50">
        <f>IF(D93="","-",+C111+1)</f>
        <v>2020</v>
      </c>
      <c r="D112" s="12">
        <f>IF(F111+SUM(E$99:E111)=D$92,F111,D$92-SUM(E$99:E111))</f>
        <v>0</v>
      </c>
      <c r="E112" s="378">
        <f>IF(+J96&lt;F111,J96,D112)</f>
        <v>0</v>
      </c>
      <c r="F112" s="55">
        <f t="shared" si="24"/>
        <v>0</v>
      </c>
      <c r="G112" s="55">
        <f t="shared" si="16"/>
        <v>0</v>
      </c>
      <c r="H112" s="380">
        <f t="shared" si="17"/>
        <v>0</v>
      </c>
      <c r="I112" s="399">
        <f t="shared" si="18"/>
        <v>0</v>
      </c>
      <c r="J112" s="54">
        <f t="shared" si="19"/>
        <v>0</v>
      </c>
      <c r="K112" s="54"/>
      <c r="L112" s="129"/>
      <c r="M112" s="54">
        <f t="shared" si="20"/>
        <v>0</v>
      </c>
      <c r="N112" s="129"/>
      <c r="O112" s="54">
        <f t="shared" si="21"/>
        <v>0</v>
      </c>
      <c r="P112" s="54">
        <f t="shared" si="22"/>
        <v>0</v>
      </c>
      <c r="Q112" s="1"/>
    </row>
    <row r="113" spans="2:17" ht="12.5">
      <c r="B113" s="7" t="str">
        <f t="shared" si="25"/>
        <v/>
      </c>
      <c r="C113" s="50">
        <f>IF(D93="","-",+C112+1)</f>
        <v>2021</v>
      </c>
      <c r="D113" s="12">
        <f>IF(F112+SUM(E$99:E112)=D$92,F112,D$92-SUM(E$99:E112))</f>
        <v>0</v>
      </c>
      <c r="E113" s="378">
        <f>IF(+J96&lt;F112,J96,D113)</f>
        <v>0</v>
      </c>
      <c r="F113" s="55">
        <f t="shared" si="24"/>
        <v>0</v>
      </c>
      <c r="G113" s="55">
        <f t="shared" si="16"/>
        <v>0</v>
      </c>
      <c r="H113" s="380">
        <f t="shared" ref="H113:H154" si="26">+J$94*G113+E113</f>
        <v>0</v>
      </c>
      <c r="I113" s="399">
        <f t="shared" ref="I113:I154" si="27">+J$95*G113+E113</f>
        <v>0</v>
      </c>
      <c r="J113" s="54">
        <f t="shared" si="19"/>
        <v>0</v>
      </c>
      <c r="K113" s="54"/>
      <c r="L113" s="129"/>
      <c r="M113" s="54">
        <f t="shared" si="20"/>
        <v>0</v>
      </c>
      <c r="N113" s="129"/>
      <c r="O113" s="54">
        <f t="shared" si="21"/>
        <v>0</v>
      </c>
      <c r="P113" s="54">
        <f t="shared" si="22"/>
        <v>0</v>
      </c>
      <c r="Q113" s="1"/>
    </row>
    <row r="114" spans="2:17" ht="12.5">
      <c r="B114" s="7" t="str">
        <f t="shared" si="25"/>
        <v/>
      </c>
      <c r="C114" s="50">
        <f>IF(D93="","-",+C113+1)</f>
        <v>2022</v>
      </c>
      <c r="D114" s="12">
        <f>IF(F113+SUM(E$99:E113)=D$92,F113,D$92-SUM(E$99:E113))</f>
        <v>0</v>
      </c>
      <c r="E114" s="378">
        <f>IF(+J96&lt;F113,J96,D114)</f>
        <v>0</v>
      </c>
      <c r="F114" s="55">
        <f t="shared" si="24"/>
        <v>0</v>
      </c>
      <c r="G114" s="55">
        <f t="shared" si="16"/>
        <v>0</v>
      </c>
      <c r="H114" s="380">
        <f t="shared" si="26"/>
        <v>0</v>
      </c>
      <c r="I114" s="399">
        <f t="shared" si="27"/>
        <v>0</v>
      </c>
      <c r="J114" s="54">
        <f t="shared" si="19"/>
        <v>0</v>
      </c>
      <c r="K114" s="54"/>
      <c r="L114" s="129"/>
      <c r="M114" s="54">
        <f t="shared" si="20"/>
        <v>0</v>
      </c>
      <c r="N114" s="129"/>
      <c r="O114" s="54">
        <f t="shared" si="21"/>
        <v>0</v>
      </c>
      <c r="P114" s="54">
        <f t="shared" si="22"/>
        <v>0</v>
      </c>
      <c r="Q114" s="1"/>
    </row>
    <row r="115" spans="2:17" ht="12.5">
      <c r="B115" s="7" t="str">
        <f t="shared" si="25"/>
        <v/>
      </c>
      <c r="C115" s="50">
        <f>IF(D93="","-",+C114+1)</f>
        <v>2023</v>
      </c>
      <c r="D115" s="12">
        <f>IF(F114+SUM(E$99:E114)=D$92,F114,D$92-SUM(E$99:E114))</f>
        <v>0</v>
      </c>
      <c r="E115" s="378">
        <f>IF(+J96&lt;F114,J96,D115)</f>
        <v>0</v>
      </c>
      <c r="F115" s="55">
        <f t="shared" si="24"/>
        <v>0</v>
      </c>
      <c r="G115" s="55">
        <f t="shared" si="16"/>
        <v>0</v>
      </c>
      <c r="H115" s="380">
        <f t="shared" si="26"/>
        <v>0</v>
      </c>
      <c r="I115" s="399">
        <f t="shared" si="27"/>
        <v>0</v>
      </c>
      <c r="J115" s="54">
        <f t="shared" si="19"/>
        <v>0</v>
      </c>
      <c r="K115" s="54"/>
      <c r="L115" s="129"/>
      <c r="M115" s="54">
        <f t="shared" si="20"/>
        <v>0</v>
      </c>
      <c r="N115" s="129"/>
      <c r="O115" s="54">
        <f t="shared" si="21"/>
        <v>0</v>
      </c>
      <c r="P115" s="54">
        <f t="shared" si="22"/>
        <v>0</v>
      </c>
      <c r="Q115" s="1"/>
    </row>
    <row r="116" spans="2:17" ht="12.5">
      <c r="B116" s="7" t="str">
        <f t="shared" si="25"/>
        <v/>
      </c>
      <c r="C116" s="50">
        <f>IF(D93="","-",+C115+1)</f>
        <v>2024</v>
      </c>
      <c r="D116" s="12">
        <f>IF(F115+SUM(E$99:E115)=D$92,F115,D$92-SUM(E$99:E115))</f>
        <v>0</v>
      </c>
      <c r="E116" s="378">
        <f>IF(+J96&lt;F115,J96,D116)</f>
        <v>0</v>
      </c>
      <c r="F116" s="55">
        <f t="shared" si="24"/>
        <v>0</v>
      </c>
      <c r="G116" s="55">
        <f t="shared" si="16"/>
        <v>0</v>
      </c>
      <c r="H116" s="380">
        <f t="shared" si="26"/>
        <v>0</v>
      </c>
      <c r="I116" s="399">
        <f t="shared" si="27"/>
        <v>0</v>
      </c>
      <c r="J116" s="54">
        <f t="shared" si="19"/>
        <v>0</v>
      </c>
      <c r="K116" s="54"/>
      <c r="L116" s="129"/>
      <c r="M116" s="54">
        <f t="shared" si="20"/>
        <v>0</v>
      </c>
      <c r="N116" s="129"/>
      <c r="O116" s="54">
        <f t="shared" si="21"/>
        <v>0</v>
      </c>
      <c r="P116" s="54">
        <f t="shared" si="22"/>
        <v>0</v>
      </c>
      <c r="Q116" s="1"/>
    </row>
    <row r="117" spans="2:17" ht="12.5">
      <c r="B117" s="7" t="str">
        <f t="shared" si="25"/>
        <v/>
      </c>
      <c r="C117" s="50">
        <f>IF(D93="","-",+C116+1)</f>
        <v>2025</v>
      </c>
      <c r="D117" s="12">
        <f>IF(F116+SUM(E$99:E116)=D$92,F116,D$92-SUM(E$99:E116))</f>
        <v>0</v>
      </c>
      <c r="E117" s="378">
        <f>IF(+J96&lt;F116,J96,D117)</f>
        <v>0</v>
      </c>
      <c r="F117" s="55">
        <f t="shared" si="24"/>
        <v>0</v>
      </c>
      <c r="G117" s="55">
        <f t="shared" si="16"/>
        <v>0</v>
      </c>
      <c r="H117" s="380">
        <f t="shared" si="26"/>
        <v>0</v>
      </c>
      <c r="I117" s="399">
        <f t="shared" si="27"/>
        <v>0</v>
      </c>
      <c r="J117" s="54">
        <f t="shared" si="19"/>
        <v>0</v>
      </c>
      <c r="K117" s="54"/>
      <c r="L117" s="129"/>
      <c r="M117" s="54">
        <f t="shared" si="20"/>
        <v>0</v>
      </c>
      <c r="N117" s="129"/>
      <c r="O117" s="54">
        <f t="shared" si="21"/>
        <v>0</v>
      </c>
      <c r="P117" s="54">
        <f t="shared" si="22"/>
        <v>0</v>
      </c>
      <c r="Q117" s="1"/>
    </row>
    <row r="118" spans="2:17" ht="12.5">
      <c r="B118" s="7" t="str">
        <f t="shared" si="25"/>
        <v/>
      </c>
      <c r="C118" s="50">
        <f>IF(D93="","-",+C117+1)</f>
        <v>2026</v>
      </c>
      <c r="D118" s="12">
        <f>IF(F117+SUM(E$99:E117)=D$92,F117,D$92-SUM(E$99:E117))</f>
        <v>0</v>
      </c>
      <c r="E118" s="378">
        <f>IF(+J96&lt;F117,J96,D118)</f>
        <v>0</v>
      </c>
      <c r="F118" s="55">
        <f t="shared" si="24"/>
        <v>0</v>
      </c>
      <c r="G118" s="55">
        <f t="shared" si="16"/>
        <v>0</v>
      </c>
      <c r="H118" s="380">
        <f t="shared" si="26"/>
        <v>0</v>
      </c>
      <c r="I118" s="399">
        <f t="shared" si="27"/>
        <v>0</v>
      </c>
      <c r="J118" s="54">
        <f t="shared" si="19"/>
        <v>0</v>
      </c>
      <c r="K118" s="54"/>
      <c r="L118" s="129"/>
      <c r="M118" s="54">
        <f t="shared" si="20"/>
        <v>0</v>
      </c>
      <c r="N118" s="129"/>
      <c r="O118" s="54">
        <f t="shared" si="21"/>
        <v>0</v>
      </c>
      <c r="P118" s="54">
        <f t="shared" si="22"/>
        <v>0</v>
      </c>
      <c r="Q118" s="1"/>
    </row>
    <row r="119" spans="2:17" ht="12.5">
      <c r="B119" s="7" t="str">
        <f t="shared" si="25"/>
        <v/>
      </c>
      <c r="C119" s="50">
        <f>IF(D93="","-",+C118+1)</f>
        <v>2027</v>
      </c>
      <c r="D119" s="12">
        <f>IF(F118+SUM(E$99:E118)=D$92,F118,D$92-SUM(E$99:E118))</f>
        <v>0</v>
      </c>
      <c r="E119" s="378">
        <f>IF(+J96&lt;F118,J96,D119)</f>
        <v>0</v>
      </c>
      <c r="F119" s="55">
        <f t="shared" si="24"/>
        <v>0</v>
      </c>
      <c r="G119" s="55">
        <f t="shared" si="16"/>
        <v>0</v>
      </c>
      <c r="H119" s="380">
        <f t="shared" si="26"/>
        <v>0</v>
      </c>
      <c r="I119" s="399">
        <f t="shared" si="27"/>
        <v>0</v>
      </c>
      <c r="J119" s="54">
        <f t="shared" si="19"/>
        <v>0</v>
      </c>
      <c r="K119" s="54"/>
      <c r="L119" s="129"/>
      <c r="M119" s="54">
        <f t="shared" si="20"/>
        <v>0</v>
      </c>
      <c r="N119" s="129"/>
      <c r="O119" s="54">
        <f t="shared" si="21"/>
        <v>0</v>
      </c>
      <c r="P119" s="54">
        <f t="shared" si="22"/>
        <v>0</v>
      </c>
      <c r="Q119" s="1"/>
    </row>
    <row r="120" spans="2:17" ht="12.5">
      <c r="B120" s="7" t="str">
        <f t="shared" si="25"/>
        <v/>
      </c>
      <c r="C120" s="50">
        <f>IF(D93="","-",+C119+1)</f>
        <v>2028</v>
      </c>
      <c r="D120" s="12">
        <f>IF(F119+SUM(E$99:E119)=D$92,F119,D$92-SUM(E$99:E119))</f>
        <v>0</v>
      </c>
      <c r="E120" s="378">
        <f>IF(+J96&lt;F119,J96,D120)</f>
        <v>0</v>
      </c>
      <c r="F120" s="55">
        <f t="shared" si="24"/>
        <v>0</v>
      </c>
      <c r="G120" s="55">
        <f t="shared" si="16"/>
        <v>0</v>
      </c>
      <c r="H120" s="380">
        <f t="shared" si="26"/>
        <v>0</v>
      </c>
      <c r="I120" s="399">
        <f t="shared" si="27"/>
        <v>0</v>
      </c>
      <c r="J120" s="54">
        <f t="shared" si="19"/>
        <v>0</v>
      </c>
      <c r="K120" s="54"/>
      <c r="L120" s="129"/>
      <c r="M120" s="54">
        <f t="shared" si="20"/>
        <v>0</v>
      </c>
      <c r="N120" s="129"/>
      <c r="O120" s="54">
        <f t="shared" si="21"/>
        <v>0</v>
      </c>
      <c r="P120" s="54">
        <f t="shared" si="22"/>
        <v>0</v>
      </c>
      <c r="Q120" s="1"/>
    </row>
    <row r="121" spans="2:17" ht="12.5">
      <c r="B121" s="7" t="str">
        <f t="shared" si="25"/>
        <v/>
      </c>
      <c r="C121" s="50">
        <f>IF(D93="","-",+C120+1)</f>
        <v>2029</v>
      </c>
      <c r="D121" s="12">
        <f>IF(F120+SUM(E$99:E120)=D$92,F120,D$92-SUM(E$99:E120))</f>
        <v>0</v>
      </c>
      <c r="E121" s="378">
        <f>IF(+J96&lt;F120,J96,D121)</f>
        <v>0</v>
      </c>
      <c r="F121" s="55">
        <f t="shared" si="24"/>
        <v>0</v>
      </c>
      <c r="G121" s="55">
        <f t="shared" si="16"/>
        <v>0</v>
      </c>
      <c r="H121" s="380">
        <f t="shared" si="26"/>
        <v>0</v>
      </c>
      <c r="I121" s="399">
        <f t="shared" si="27"/>
        <v>0</v>
      </c>
      <c r="J121" s="54">
        <f t="shared" si="19"/>
        <v>0</v>
      </c>
      <c r="K121" s="54"/>
      <c r="L121" s="129"/>
      <c r="M121" s="54">
        <f t="shared" si="20"/>
        <v>0</v>
      </c>
      <c r="N121" s="129"/>
      <c r="O121" s="54">
        <f t="shared" si="21"/>
        <v>0</v>
      </c>
      <c r="P121" s="54">
        <f t="shared" si="22"/>
        <v>0</v>
      </c>
      <c r="Q121" s="1"/>
    </row>
    <row r="122" spans="2:17" ht="12.5">
      <c r="B122" s="7" t="str">
        <f t="shared" si="25"/>
        <v/>
      </c>
      <c r="C122" s="50">
        <f>IF(D93="","-",+C121+1)</f>
        <v>2030</v>
      </c>
      <c r="D122" s="12">
        <f>IF(F121+SUM(E$99:E121)=D$92,F121,D$92-SUM(E$99:E121))</f>
        <v>0</v>
      </c>
      <c r="E122" s="378">
        <f>IF(+J96&lt;F121,J96,D122)</f>
        <v>0</v>
      </c>
      <c r="F122" s="55">
        <f t="shared" si="24"/>
        <v>0</v>
      </c>
      <c r="G122" s="55">
        <f t="shared" si="16"/>
        <v>0</v>
      </c>
      <c r="H122" s="380">
        <f t="shared" si="26"/>
        <v>0</v>
      </c>
      <c r="I122" s="399">
        <f t="shared" si="27"/>
        <v>0</v>
      </c>
      <c r="J122" s="54">
        <f t="shared" si="19"/>
        <v>0</v>
      </c>
      <c r="K122" s="54"/>
      <c r="L122" s="129"/>
      <c r="M122" s="54">
        <f t="shared" si="20"/>
        <v>0</v>
      </c>
      <c r="N122" s="129"/>
      <c r="O122" s="54">
        <f t="shared" si="21"/>
        <v>0</v>
      </c>
      <c r="P122" s="54">
        <f t="shared" si="22"/>
        <v>0</v>
      </c>
      <c r="Q122" s="1"/>
    </row>
    <row r="123" spans="2:17" ht="12.5">
      <c r="B123" s="7" t="str">
        <f t="shared" si="25"/>
        <v/>
      </c>
      <c r="C123" s="50">
        <f>IF(D93="","-",+C122+1)</f>
        <v>2031</v>
      </c>
      <c r="D123" s="12">
        <f>IF(F122+SUM(E$99:E122)=D$92,F122,D$92-SUM(E$99:E122))</f>
        <v>0</v>
      </c>
      <c r="E123" s="378">
        <f>IF(+J96&lt;F122,J96,D123)</f>
        <v>0</v>
      </c>
      <c r="F123" s="55">
        <f t="shared" si="24"/>
        <v>0</v>
      </c>
      <c r="G123" s="55">
        <f t="shared" si="16"/>
        <v>0</v>
      </c>
      <c r="H123" s="380">
        <f t="shared" si="26"/>
        <v>0</v>
      </c>
      <c r="I123" s="399">
        <f t="shared" si="27"/>
        <v>0</v>
      </c>
      <c r="J123" s="54">
        <f t="shared" si="19"/>
        <v>0</v>
      </c>
      <c r="K123" s="54"/>
      <c r="L123" s="129"/>
      <c r="M123" s="54">
        <f t="shared" si="20"/>
        <v>0</v>
      </c>
      <c r="N123" s="129"/>
      <c r="O123" s="54">
        <f t="shared" si="21"/>
        <v>0</v>
      </c>
      <c r="P123" s="54">
        <f t="shared" si="22"/>
        <v>0</v>
      </c>
      <c r="Q123" s="1"/>
    </row>
    <row r="124" spans="2:17" ht="12.5">
      <c r="B124" s="7" t="str">
        <f t="shared" si="25"/>
        <v/>
      </c>
      <c r="C124" s="50">
        <f>IF(D93="","-",+C123+1)</f>
        <v>2032</v>
      </c>
      <c r="D124" s="12">
        <f>IF(F123+SUM(E$99:E123)=D$92,F123,D$92-SUM(E$99:E123))</f>
        <v>0</v>
      </c>
      <c r="E124" s="378">
        <f>IF(+J96&lt;F123,J96,D124)</f>
        <v>0</v>
      </c>
      <c r="F124" s="55">
        <f t="shared" si="24"/>
        <v>0</v>
      </c>
      <c r="G124" s="55">
        <f t="shared" si="16"/>
        <v>0</v>
      </c>
      <c r="H124" s="380">
        <f t="shared" si="26"/>
        <v>0</v>
      </c>
      <c r="I124" s="399">
        <f t="shared" si="27"/>
        <v>0</v>
      </c>
      <c r="J124" s="54">
        <f t="shared" si="19"/>
        <v>0</v>
      </c>
      <c r="K124" s="54"/>
      <c r="L124" s="129"/>
      <c r="M124" s="54">
        <f t="shared" si="20"/>
        <v>0</v>
      </c>
      <c r="N124" s="129"/>
      <c r="O124" s="54">
        <f t="shared" si="21"/>
        <v>0</v>
      </c>
      <c r="P124" s="54">
        <f t="shared" si="22"/>
        <v>0</v>
      </c>
      <c r="Q124" s="1"/>
    </row>
    <row r="125" spans="2:17" ht="12.5">
      <c r="B125" s="7" t="str">
        <f t="shared" si="25"/>
        <v/>
      </c>
      <c r="C125" s="50">
        <f>IF(D93="","-",+C124+1)</f>
        <v>2033</v>
      </c>
      <c r="D125" s="12">
        <f>IF(F124+SUM(E$99:E124)=D$92,F124,D$92-SUM(E$99:E124))</f>
        <v>0</v>
      </c>
      <c r="E125" s="378">
        <f>IF(+J96&lt;F124,J96,D125)</f>
        <v>0</v>
      </c>
      <c r="F125" s="55">
        <f t="shared" si="24"/>
        <v>0</v>
      </c>
      <c r="G125" s="55">
        <f t="shared" si="16"/>
        <v>0</v>
      </c>
      <c r="H125" s="380">
        <f t="shared" si="26"/>
        <v>0</v>
      </c>
      <c r="I125" s="399">
        <f t="shared" si="27"/>
        <v>0</v>
      </c>
      <c r="J125" s="54">
        <f t="shared" si="19"/>
        <v>0</v>
      </c>
      <c r="K125" s="54"/>
      <c r="L125" s="129"/>
      <c r="M125" s="54">
        <f t="shared" si="20"/>
        <v>0</v>
      </c>
      <c r="N125" s="129"/>
      <c r="O125" s="54">
        <f t="shared" si="21"/>
        <v>0</v>
      </c>
      <c r="P125" s="54">
        <f t="shared" si="22"/>
        <v>0</v>
      </c>
      <c r="Q125" s="1"/>
    </row>
    <row r="126" spans="2:17" ht="12.5">
      <c r="B126" s="7" t="str">
        <f t="shared" si="25"/>
        <v/>
      </c>
      <c r="C126" s="50">
        <f>IF(D93="","-",+C125+1)</f>
        <v>2034</v>
      </c>
      <c r="D126" s="12">
        <f>IF(F125+SUM(E$99:E125)=D$92,F125,D$92-SUM(E$99:E125))</f>
        <v>0</v>
      </c>
      <c r="E126" s="378">
        <f>IF(+J96&lt;F125,J96,D126)</f>
        <v>0</v>
      </c>
      <c r="F126" s="55">
        <f t="shared" si="24"/>
        <v>0</v>
      </c>
      <c r="G126" s="55">
        <f t="shared" si="16"/>
        <v>0</v>
      </c>
      <c r="H126" s="380">
        <f t="shared" si="26"/>
        <v>0</v>
      </c>
      <c r="I126" s="399">
        <f t="shared" si="27"/>
        <v>0</v>
      </c>
      <c r="J126" s="54">
        <f t="shared" si="19"/>
        <v>0</v>
      </c>
      <c r="K126" s="54"/>
      <c r="L126" s="129"/>
      <c r="M126" s="54">
        <f t="shared" si="20"/>
        <v>0</v>
      </c>
      <c r="N126" s="129"/>
      <c r="O126" s="54">
        <f t="shared" si="21"/>
        <v>0</v>
      </c>
      <c r="P126" s="54">
        <f t="shared" si="22"/>
        <v>0</v>
      </c>
      <c r="Q126" s="1"/>
    </row>
    <row r="127" spans="2:17" ht="12.5">
      <c r="B127" s="7" t="str">
        <f t="shared" si="25"/>
        <v/>
      </c>
      <c r="C127" s="50">
        <f>IF(D93="","-",+C126+1)</f>
        <v>2035</v>
      </c>
      <c r="D127" s="12">
        <f>IF(F126+SUM(E$99:E126)=D$92,F126,D$92-SUM(E$99:E126))</f>
        <v>0</v>
      </c>
      <c r="E127" s="378">
        <f>IF(+J96&lt;F126,J96,D127)</f>
        <v>0</v>
      </c>
      <c r="F127" s="55">
        <f t="shared" si="24"/>
        <v>0</v>
      </c>
      <c r="G127" s="55">
        <f t="shared" si="16"/>
        <v>0</v>
      </c>
      <c r="H127" s="380">
        <f t="shared" si="26"/>
        <v>0</v>
      </c>
      <c r="I127" s="399">
        <f t="shared" si="27"/>
        <v>0</v>
      </c>
      <c r="J127" s="54">
        <f t="shared" si="19"/>
        <v>0</v>
      </c>
      <c r="K127" s="54"/>
      <c r="L127" s="129"/>
      <c r="M127" s="54">
        <f t="shared" si="20"/>
        <v>0</v>
      </c>
      <c r="N127" s="129"/>
      <c r="O127" s="54">
        <f t="shared" si="21"/>
        <v>0</v>
      </c>
      <c r="P127" s="54">
        <f t="shared" si="22"/>
        <v>0</v>
      </c>
      <c r="Q127" s="1"/>
    </row>
    <row r="128" spans="2:17" ht="12.5">
      <c r="B128" s="7" t="str">
        <f t="shared" si="25"/>
        <v/>
      </c>
      <c r="C128" s="50">
        <f>IF(D93="","-",+C127+1)</f>
        <v>2036</v>
      </c>
      <c r="D128" s="12">
        <f>IF(F127+SUM(E$99:E127)=D$92,F127,D$92-SUM(E$99:E127))</f>
        <v>0</v>
      </c>
      <c r="E128" s="378">
        <f>IF(+J96&lt;F127,J96,D128)</f>
        <v>0</v>
      </c>
      <c r="F128" s="55">
        <f t="shared" si="24"/>
        <v>0</v>
      </c>
      <c r="G128" s="55">
        <f t="shared" si="16"/>
        <v>0</v>
      </c>
      <c r="H128" s="380">
        <f t="shared" si="26"/>
        <v>0</v>
      </c>
      <c r="I128" s="399">
        <f t="shared" si="27"/>
        <v>0</v>
      </c>
      <c r="J128" s="54">
        <f t="shared" si="19"/>
        <v>0</v>
      </c>
      <c r="K128" s="54"/>
      <c r="L128" s="129"/>
      <c r="M128" s="54">
        <f t="shared" si="20"/>
        <v>0</v>
      </c>
      <c r="N128" s="129"/>
      <c r="O128" s="54">
        <f t="shared" si="21"/>
        <v>0</v>
      </c>
      <c r="P128" s="54">
        <f t="shared" si="22"/>
        <v>0</v>
      </c>
      <c r="Q128" s="1"/>
    </row>
    <row r="129" spans="2:17" ht="12.5">
      <c r="B129" s="7" t="str">
        <f t="shared" si="25"/>
        <v/>
      </c>
      <c r="C129" s="50">
        <f>IF(D93="","-",+C128+1)</f>
        <v>2037</v>
      </c>
      <c r="D129" s="12">
        <f>IF(F128+SUM(E$99:E128)=D$92,F128,D$92-SUM(E$99:E128))</f>
        <v>0</v>
      </c>
      <c r="E129" s="378">
        <f>IF(+J96&lt;F128,J96,D129)</f>
        <v>0</v>
      </c>
      <c r="F129" s="55">
        <f t="shared" si="24"/>
        <v>0</v>
      </c>
      <c r="G129" s="55">
        <f t="shared" si="16"/>
        <v>0</v>
      </c>
      <c r="H129" s="380">
        <f t="shared" si="26"/>
        <v>0</v>
      </c>
      <c r="I129" s="399">
        <f t="shared" si="27"/>
        <v>0</v>
      </c>
      <c r="J129" s="54">
        <f t="shared" si="19"/>
        <v>0</v>
      </c>
      <c r="K129" s="54"/>
      <c r="L129" s="129"/>
      <c r="M129" s="54">
        <f t="shared" si="20"/>
        <v>0</v>
      </c>
      <c r="N129" s="129"/>
      <c r="O129" s="54">
        <f t="shared" si="21"/>
        <v>0</v>
      </c>
      <c r="P129" s="54">
        <f t="shared" si="22"/>
        <v>0</v>
      </c>
      <c r="Q129" s="1"/>
    </row>
    <row r="130" spans="2:17" ht="12.5">
      <c r="B130" s="7" t="str">
        <f t="shared" si="25"/>
        <v/>
      </c>
      <c r="C130" s="50">
        <f>IF(D93="","-",+C129+1)</f>
        <v>2038</v>
      </c>
      <c r="D130" s="12">
        <f>IF(F129+SUM(E$99:E129)=D$92,F129,D$92-SUM(E$99:E129))</f>
        <v>0</v>
      </c>
      <c r="E130" s="378">
        <f>IF(+J96&lt;F129,J96,D130)</f>
        <v>0</v>
      </c>
      <c r="F130" s="55">
        <f t="shared" si="24"/>
        <v>0</v>
      </c>
      <c r="G130" s="55">
        <f t="shared" si="16"/>
        <v>0</v>
      </c>
      <c r="H130" s="380">
        <f t="shared" si="26"/>
        <v>0</v>
      </c>
      <c r="I130" s="399">
        <f t="shared" si="27"/>
        <v>0</v>
      </c>
      <c r="J130" s="54">
        <f t="shared" si="19"/>
        <v>0</v>
      </c>
      <c r="K130" s="54"/>
      <c r="L130" s="129"/>
      <c r="M130" s="54">
        <f t="shared" si="20"/>
        <v>0</v>
      </c>
      <c r="N130" s="129"/>
      <c r="O130" s="54">
        <f t="shared" si="21"/>
        <v>0</v>
      </c>
      <c r="P130" s="54">
        <f t="shared" si="22"/>
        <v>0</v>
      </c>
      <c r="Q130" s="1"/>
    </row>
    <row r="131" spans="2:17" ht="12.5">
      <c r="B131" s="7" t="str">
        <f t="shared" si="25"/>
        <v/>
      </c>
      <c r="C131" s="50">
        <f>IF(D93="","-",+C130+1)</f>
        <v>2039</v>
      </c>
      <c r="D131" s="12">
        <f>IF(F130+SUM(E$99:E130)=D$92,F130,D$92-SUM(E$99:E130))</f>
        <v>0</v>
      </c>
      <c r="E131" s="378">
        <f>IF(+J96&lt;F130,J96,D131)</f>
        <v>0</v>
      </c>
      <c r="F131" s="55">
        <f t="shared" ref="F131:F154" si="28">+D131-E131</f>
        <v>0</v>
      </c>
      <c r="G131" s="55">
        <f t="shared" ref="G131:G154" si="29">+(F131+D131)/2</f>
        <v>0</v>
      </c>
      <c r="H131" s="380">
        <f t="shared" si="26"/>
        <v>0</v>
      </c>
      <c r="I131" s="399">
        <f t="shared" si="27"/>
        <v>0</v>
      </c>
      <c r="J131" s="54">
        <f t="shared" ref="J131:J154" si="30">+I131-H131</f>
        <v>0</v>
      </c>
      <c r="K131" s="54"/>
      <c r="L131" s="129"/>
      <c r="M131" s="54">
        <f t="shared" ref="M131:M154" si="31">IF(L131&lt;&gt;0,+H131-L131,0)</f>
        <v>0</v>
      </c>
      <c r="N131" s="129"/>
      <c r="O131" s="54">
        <f t="shared" ref="O131:O154" si="32">IF(N131&lt;&gt;0,+I131-N131,0)</f>
        <v>0</v>
      </c>
      <c r="P131" s="54">
        <f t="shared" ref="P131:P154" si="33">+O131-M131</f>
        <v>0</v>
      </c>
      <c r="Q131" s="1"/>
    </row>
    <row r="132" spans="2:17" ht="12.5">
      <c r="B132" s="7" t="str">
        <f t="shared" si="25"/>
        <v/>
      </c>
      <c r="C132" s="50">
        <f>IF(D93="","-",+C131+1)</f>
        <v>2040</v>
      </c>
      <c r="D132" s="12">
        <f>IF(F131+SUM(E$99:E131)=D$92,F131,D$92-SUM(E$99:E131))</f>
        <v>0</v>
      </c>
      <c r="E132" s="378">
        <f>IF(+J96&lt;F131,J96,D132)</f>
        <v>0</v>
      </c>
      <c r="F132" s="55">
        <f t="shared" si="28"/>
        <v>0</v>
      </c>
      <c r="G132" s="55">
        <f t="shared" si="29"/>
        <v>0</v>
      </c>
      <c r="H132" s="380">
        <f t="shared" si="26"/>
        <v>0</v>
      </c>
      <c r="I132" s="399">
        <f t="shared" si="27"/>
        <v>0</v>
      </c>
      <c r="J132" s="54">
        <f t="shared" si="30"/>
        <v>0</v>
      </c>
      <c r="K132" s="54"/>
      <c r="L132" s="129"/>
      <c r="M132" s="54">
        <f t="shared" si="31"/>
        <v>0</v>
      </c>
      <c r="N132" s="129"/>
      <c r="O132" s="54">
        <f t="shared" si="32"/>
        <v>0</v>
      </c>
      <c r="P132" s="54">
        <f t="shared" si="33"/>
        <v>0</v>
      </c>
      <c r="Q132" s="1"/>
    </row>
    <row r="133" spans="2:17" ht="12.5">
      <c r="B133" s="7" t="str">
        <f t="shared" si="25"/>
        <v/>
      </c>
      <c r="C133" s="50">
        <f>IF(D93="","-",+C132+1)</f>
        <v>2041</v>
      </c>
      <c r="D133" s="12">
        <f>IF(F132+SUM(E$99:E132)=D$92,F132,D$92-SUM(E$99:E132))</f>
        <v>0</v>
      </c>
      <c r="E133" s="378">
        <f>IF(+J96&lt;F132,J96,D133)</f>
        <v>0</v>
      </c>
      <c r="F133" s="55">
        <f t="shared" si="28"/>
        <v>0</v>
      </c>
      <c r="G133" s="55">
        <f t="shared" si="29"/>
        <v>0</v>
      </c>
      <c r="H133" s="380">
        <f t="shared" si="26"/>
        <v>0</v>
      </c>
      <c r="I133" s="399">
        <f t="shared" si="27"/>
        <v>0</v>
      </c>
      <c r="J133" s="54">
        <f t="shared" si="30"/>
        <v>0</v>
      </c>
      <c r="K133" s="54"/>
      <c r="L133" s="129"/>
      <c r="M133" s="54">
        <f t="shared" si="31"/>
        <v>0</v>
      </c>
      <c r="N133" s="129"/>
      <c r="O133" s="54">
        <f t="shared" si="32"/>
        <v>0</v>
      </c>
      <c r="P133" s="54">
        <f t="shared" si="33"/>
        <v>0</v>
      </c>
      <c r="Q133" s="1"/>
    </row>
    <row r="134" spans="2:17" ht="12.5">
      <c r="B134" s="7" t="str">
        <f t="shared" si="25"/>
        <v/>
      </c>
      <c r="C134" s="50">
        <f>IF(D93="","-",+C133+1)</f>
        <v>2042</v>
      </c>
      <c r="D134" s="12">
        <f>IF(F133+SUM(E$99:E133)=D$92,F133,D$92-SUM(E$99:E133))</f>
        <v>0</v>
      </c>
      <c r="E134" s="378">
        <f>IF(+J96&lt;F133,J96,D134)</f>
        <v>0</v>
      </c>
      <c r="F134" s="55">
        <f t="shared" si="28"/>
        <v>0</v>
      </c>
      <c r="G134" s="55">
        <f t="shared" si="29"/>
        <v>0</v>
      </c>
      <c r="H134" s="380">
        <f t="shared" si="26"/>
        <v>0</v>
      </c>
      <c r="I134" s="399">
        <f t="shared" si="27"/>
        <v>0</v>
      </c>
      <c r="J134" s="54">
        <f t="shared" si="30"/>
        <v>0</v>
      </c>
      <c r="K134" s="54"/>
      <c r="L134" s="129"/>
      <c r="M134" s="54">
        <f t="shared" si="31"/>
        <v>0</v>
      </c>
      <c r="N134" s="129"/>
      <c r="O134" s="54">
        <f t="shared" si="32"/>
        <v>0</v>
      </c>
      <c r="P134" s="54">
        <f t="shared" si="33"/>
        <v>0</v>
      </c>
      <c r="Q134" s="1"/>
    </row>
    <row r="135" spans="2:17" ht="12.5">
      <c r="B135" s="7" t="str">
        <f t="shared" si="25"/>
        <v/>
      </c>
      <c r="C135" s="50">
        <f>IF(D93="","-",+C134+1)</f>
        <v>2043</v>
      </c>
      <c r="D135" s="12">
        <f>IF(F134+SUM(E$99:E134)=D$92,F134,D$92-SUM(E$99:E134))</f>
        <v>0</v>
      </c>
      <c r="E135" s="378">
        <f>IF(+J96&lt;F134,J96,D135)</f>
        <v>0</v>
      </c>
      <c r="F135" s="55">
        <f t="shared" si="28"/>
        <v>0</v>
      </c>
      <c r="G135" s="55">
        <f t="shared" si="29"/>
        <v>0</v>
      </c>
      <c r="H135" s="380">
        <f t="shared" si="26"/>
        <v>0</v>
      </c>
      <c r="I135" s="399">
        <f t="shared" si="27"/>
        <v>0</v>
      </c>
      <c r="J135" s="54">
        <f t="shared" si="30"/>
        <v>0</v>
      </c>
      <c r="K135" s="54"/>
      <c r="L135" s="129"/>
      <c r="M135" s="54">
        <f t="shared" si="31"/>
        <v>0</v>
      </c>
      <c r="N135" s="129"/>
      <c r="O135" s="54">
        <f t="shared" si="32"/>
        <v>0</v>
      </c>
      <c r="P135" s="54">
        <f t="shared" si="33"/>
        <v>0</v>
      </c>
      <c r="Q135" s="1"/>
    </row>
    <row r="136" spans="2:17" ht="12.5">
      <c r="B136" s="7" t="str">
        <f t="shared" si="25"/>
        <v/>
      </c>
      <c r="C136" s="50">
        <f>IF(D93="","-",+C135+1)</f>
        <v>2044</v>
      </c>
      <c r="D136" s="12">
        <f>IF(F135+SUM(E$99:E135)=D$92,F135,D$92-SUM(E$99:E135))</f>
        <v>0</v>
      </c>
      <c r="E136" s="378">
        <f>IF(+J96&lt;F135,J96,D136)</f>
        <v>0</v>
      </c>
      <c r="F136" s="55">
        <f t="shared" si="28"/>
        <v>0</v>
      </c>
      <c r="G136" s="55">
        <f t="shared" si="29"/>
        <v>0</v>
      </c>
      <c r="H136" s="380">
        <f t="shared" si="26"/>
        <v>0</v>
      </c>
      <c r="I136" s="399">
        <f t="shared" si="27"/>
        <v>0</v>
      </c>
      <c r="J136" s="54">
        <f t="shared" si="30"/>
        <v>0</v>
      </c>
      <c r="K136" s="54"/>
      <c r="L136" s="129"/>
      <c r="M136" s="54">
        <f t="shared" si="31"/>
        <v>0</v>
      </c>
      <c r="N136" s="129"/>
      <c r="O136" s="54">
        <f t="shared" si="32"/>
        <v>0</v>
      </c>
      <c r="P136" s="54">
        <f t="shared" si="33"/>
        <v>0</v>
      </c>
      <c r="Q136" s="1"/>
    </row>
    <row r="137" spans="2:17" ht="12.5">
      <c r="B137" s="7" t="str">
        <f t="shared" si="25"/>
        <v/>
      </c>
      <c r="C137" s="50">
        <f>IF(D93="","-",+C136+1)</f>
        <v>2045</v>
      </c>
      <c r="D137" s="12">
        <f>IF(F136+SUM(E$99:E136)=D$92,F136,D$92-SUM(E$99:E136))</f>
        <v>0</v>
      </c>
      <c r="E137" s="378">
        <f>IF(+J96&lt;F136,J96,D137)</f>
        <v>0</v>
      </c>
      <c r="F137" s="55">
        <f t="shared" si="28"/>
        <v>0</v>
      </c>
      <c r="G137" s="55">
        <f t="shared" si="29"/>
        <v>0</v>
      </c>
      <c r="H137" s="380">
        <f t="shared" si="26"/>
        <v>0</v>
      </c>
      <c r="I137" s="399">
        <f t="shared" si="27"/>
        <v>0</v>
      </c>
      <c r="J137" s="54">
        <f t="shared" si="30"/>
        <v>0</v>
      </c>
      <c r="K137" s="54"/>
      <c r="L137" s="129"/>
      <c r="M137" s="54">
        <f t="shared" si="31"/>
        <v>0</v>
      </c>
      <c r="N137" s="129"/>
      <c r="O137" s="54">
        <f t="shared" si="32"/>
        <v>0</v>
      </c>
      <c r="P137" s="54">
        <f t="shared" si="33"/>
        <v>0</v>
      </c>
      <c r="Q137" s="1"/>
    </row>
    <row r="138" spans="2:17" ht="12.5">
      <c r="B138" s="7" t="str">
        <f t="shared" si="25"/>
        <v/>
      </c>
      <c r="C138" s="50">
        <f>IF(D93="","-",+C137+1)</f>
        <v>2046</v>
      </c>
      <c r="D138" s="12">
        <f>IF(F137+SUM(E$99:E137)=D$92,F137,D$92-SUM(E$99:E137))</f>
        <v>0</v>
      </c>
      <c r="E138" s="378">
        <f>IF(+J96&lt;F137,J96,D138)</f>
        <v>0</v>
      </c>
      <c r="F138" s="55">
        <f t="shared" si="28"/>
        <v>0</v>
      </c>
      <c r="G138" s="55">
        <f t="shared" si="29"/>
        <v>0</v>
      </c>
      <c r="H138" s="380">
        <f t="shared" si="26"/>
        <v>0</v>
      </c>
      <c r="I138" s="399">
        <f t="shared" si="27"/>
        <v>0</v>
      </c>
      <c r="J138" s="54">
        <f t="shared" si="30"/>
        <v>0</v>
      </c>
      <c r="K138" s="54"/>
      <c r="L138" s="129"/>
      <c r="M138" s="54">
        <f t="shared" si="31"/>
        <v>0</v>
      </c>
      <c r="N138" s="129"/>
      <c r="O138" s="54">
        <f t="shared" si="32"/>
        <v>0</v>
      </c>
      <c r="P138" s="54">
        <f t="shared" si="33"/>
        <v>0</v>
      </c>
      <c r="Q138" s="1"/>
    </row>
    <row r="139" spans="2:17" ht="12.5">
      <c r="B139" s="7" t="str">
        <f t="shared" si="25"/>
        <v/>
      </c>
      <c r="C139" s="50">
        <f>IF(D93="","-",+C138+1)</f>
        <v>2047</v>
      </c>
      <c r="D139" s="12">
        <f>IF(F138+SUM(E$99:E138)=D$92,F138,D$92-SUM(E$99:E138))</f>
        <v>0</v>
      </c>
      <c r="E139" s="378">
        <f>IF(+J96&lt;F138,J96,D139)</f>
        <v>0</v>
      </c>
      <c r="F139" s="55">
        <f t="shared" si="28"/>
        <v>0</v>
      </c>
      <c r="G139" s="55">
        <f t="shared" si="29"/>
        <v>0</v>
      </c>
      <c r="H139" s="380">
        <f t="shared" si="26"/>
        <v>0</v>
      </c>
      <c r="I139" s="399">
        <f t="shared" si="27"/>
        <v>0</v>
      </c>
      <c r="J139" s="54">
        <f t="shared" si="30"/>
        <v>0</v>
      </c>
      <c r="K139" s="54"/>
      <c r="L139" s="129"/>
      <c r="M139" s="54">
        <f t="shared" si="31"/>
        <v>0</v>
      </c>
      <c r="N139" s="129"/>
      <c r="O139" s="54">
        <f t="shared" si="32"/>
        <v>0</v>
      </c>
      <c r="P139" s="54">
        <f t="shared" si="33"/>
        <v>0</v>
      </c>
      <c r="Q139" s="1"/>
    </row>
    <row r="140" spans="2:17" ht="12.5">
      <c r="B140" s="7" t="str">
        <f t="shared" si="25"/>
        <v/>
      </c>
      <c r="C140" s="50">
        <f>IF(D93="","-",+C139+1)</f>
        <v>2048</v>
      </c>
      <c r="D140" s="12">
        <f>IF(F139+SUM(E$99:E139)=D$92,F139,D$92-SUM(E$99:E139))</f>
        <v>0</v>
      </c>
      <c r="E140" s="378">
        <f>IF(+J96&lt;F139,J96,D140)</f>
        <v>0</v>
      </c>
      <c r="F140" s="55">
        <f t="shared" si="28"/>
        <v>0</v>
      </c>
      <c r="G140" s="55">
        <f t="shared" si="29"/>
        <v>0</v>
      </c>
      <c r="H140" s="380">
        <f t="shared" si="26"/>
        <v>0</v>
      </c>
      <c r="I140" s="399">
        <f t="shared" si="27"/>
        <v>0</v>
      </c>
      <c r="J140" s="54">
        <f t="shared" si="30"/>
        <v>0</v>
      </c>
      <c r="K140" s="54"/>
      <c r="L140" s="129"/>
      <c r="M140" s="54">
        <f t="shared" si="31"/>
        <v>0</v>
      </c>
      <c r="N140" s="129"/>
      <c r="O140" s="54">
        <f t="shared" si="32"/>
        <v>0</v>
      </c>
      <c r="P140" s="54">
        <f t="shared" si="33"/>
        <v>0</v>
      </c>
      <c r="Q140" s="1"/>
    </row>
    <row r="141" spans="2:17" ht="12.5">
      <c r="B141" s="7" t="str">
        <f t="shared" si="25"/>
        <v/>
      </c>
      <c r="C141" s="50">
        <f>IF(D93="","-",+C140+1)</f>
        <v>2049</v>
      </c>
      <c r="D141" s="12">
        <f>IF(F140+SUM(E$99:E140)=D$92,F140,D$92-SUM(E$99:E140))</f>
        <v>0</v>
      </c>
      <c r="E141" s="378">
        <f>IF(+J96&lt;F140,J96,D141)</f>
        <v>0</v>
      </c>
      <c r="F141" s="55">
        <f t="shared" si="28"/>
        <v>0</v>
      </c>
      <c r="G141" s="55">
        <f t="shared" si="29"/>
        <v>0</v>
      </c>
      <c r="H141" s="380">
        <f t="shared" si="26"/>
        <v>0</v>
      </c>
      <c r="I141" s="399">
        <f t="shared" si="27"/>
        <v>0</v>
      </c>
      <c r="J141" s="54">
        <f t="shared" si="30"/>
        <v>0</v>
      </c>
      <c r="K141" s="54"/>
      <c r="L141" s="129"/>
      <c r="M141" s="54">
        <f t="shared" si="31"/>
        <v>0</v>
      </c>
      <c r="N141" s="129"/>
      <c r="O141" s="54">
        <f t="shared" si="32"/>
        <v>0</v>
      </c>
      <c r="P141" s="54">
        <f t="shared" si="33"/>
        <v>0</v>
      </c>
      <c r="Q141" s="1"/>
    </row>
    <row r="142" spans="2:17" ht="12.5">
      <c r="B142" s="7" t="str">
        <f t="shared" si="25"/>
        <v/>
      </c>
      <c r="C142" s="50">
        <f>IF(D93="","-",+C141+1)</f>
        <v>2050</v>
      </c>
      <c r="D142" s="12">
        <f>IF(F141+SUM(E$99:E141)=D$92,F141,D$92-SUM(E$99:E141))</f>
        <v>0</v>
      </c>
      <c r="E142" s="378">
        <f>IF(+J96&lt;F141,J96,D142)</f>
        <v>0</v>
      </c>
      <c r="F142" s="55">
        <f t="shared" si="28"/>
        <v>0</v>
      </c>
      <c r="G142" s="55">
        <f t="shared" si="29"/>
        <v>0</v>
      </c>
      <c r="H142" s="380">
        <f t="shared" si="26"/>
        <v>0</v>
      </c>
      <c r="I142" s="399">
        <f t="shared" si="27"/>
        <v>0</v>
      </c>
      <c r="J142" s="54">
        <f t="shared" si="30"/>
        <v>0</v>
      </c>
      <c r="K142" s="54"/>
      <c r="L142" s="129"/>
      <c r="M142" s="54">
        <f t="shared" si="31"/>
        <v>0</v>
      </c>
      <c r="N142" s="129"/>
      <c r="O142" s="54">
        <f t="shared" si="32"/>
        <v>0</v>
      </c>
      <c r="P142" s="54">
        <f t="shared" si="33"/>
        <v>0</v>
      </c>
      <c r="Q142" s="1"/>
    </row>
    <row r="143" spans="2:17" ht="12.5">
      <c r="B143" s="7" t="str">
        <f t="shared" si="25"/>
        <v/>
      </c>
      <c r="C143" s="50">
        <f>IF(D93="","-",+C142+1)</f>
        <v>2051</v>
      </c>
      <c r="D143" s="12">
        <f>IF(F142+SUM(E$99:E142)=D$92,F142,D$92-SUM(E$99:E142))</f>
        <v>0</v>
      </c>
      <c r="E143" s="378">
        <f>IF(+J96&lt;F142,J96,D143)</f>
        <v>0</v>
      </c>
      <c r="F143" s="55">
        <f t="shared" si="28"/>
        <v>0</v>
      </c>
      <c r="G143" s="55">
        <f t="shared" si="29"/>
        <v>0</v>
      </c>
      <c r="H143" s="380">
        <f t="shared" si="26"/>
        <v>0</v>
      </c>
      <c r="I143" s="399">
        <f t="shared" si="27"/>
        <v>0</v>
      </c>
      <c r="J143" s="54">
        <f t="shared" si="30"/>
        <v>0</v>
      </c>
      <c r="K143" s="54"/>
      <c r="L143" s="129"/>
      <c r="M143" s="54">
        <f t="shared" si="31"/>
        <v>0</v>
      </c>
      <c r="N143" s="129"/>
      <c r="O143" s="54">
        <f t="shared" si="32"/>
        <v>0</v>
      </c>
      <c r="P143" s="54">
        <f t="shared" si="33"/>
        <v>0</v>
      </c>
      <c r="Q143" s="1"/>
    </row>
    <row r="144" spans="2:17" ht="12.5">
      <c r="B144" s="7" t="str">
        <f t="shared" si="25"/>
        <v/>
      </c>
      <c r="C144" s="50">
        <f>IF(D93="","-",+C143+1)</f>
        <v>2052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28"/>
        <v>0</v>
      </c>
      <c r="G144" s="55">
        <f t="shared" si="29"/>
        <v>0</v>
      </c>
      <c r="H144" s="380">
        <f t="shared" si="26"/>
        <v>0</v>
      </c>
      <c r="I144" s="399">
        <f t="shared" si="27"/>
        <v>0</v>
      </c>
      <c r="J144" s="54">
        <f t="shared" si="30"/>
        <v>0</v>
      </c>
      <c r="K144" s="54"/>
      <c r="L144" s="129"/>
      <c r="M144" s="54">
        <f t="shared" si="31"/>
        <v>0</v>
      </c>
      <c r="N144" s="129"/>
      <c r="O144" s="54">
        <f t="shared" si="32"/>
        <v>0</v>
      </c>
      <c r="P144" s="54">
        <f t="shared" si="33"/>
        <v>0</v>
      </c>
      <c r="Q144" s="1"/>
    </row>
    <row r="145" spans="2:17" ht="12.5">
      <c r="B145" s="7" t="str">
        <f t="shared" si="25"/>
        <v/>
      </c>
      <c r="C145" s="50">
        <f>IF(D93="","-",+C144+1)</f>
        <v>2053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28"/>
        <v>0</v>
      </c>
      <c r="G145" s="55">
        <f t="shared" si="29"/>
        <v>0</v>
      </c>
      <c r="H145" s="380">
        <f t="shared" si="26"/>
        <v>0</v>
      </c>
      <c r="I145" s="399">
        <f t="shared" si="27"/>
        <v>0</v>
      </c>
      <c r="J145" s="54">
        <f t="shared" si="30"/>
        <v>0</v>
      </c>
      <c r="K145" s="54"/>
      <c r="L145" s="129"/>
      <c r="M145" s="54">
        <f t="shared" si="31"/>
        <v>0</v>
      </c>
      <c r="N145" s="129"/>
      <c r="O145" s="54">
        <f t="shared" si="32"/>
        <v>0</v>
      </c>
      <c r="P145" s="54">
        <f t="shared" si="33"/>
        <v>0</v>
      </c>
      <c r="Q145" s="1"/>
    </row>
    <row r="146" spans="2:17" ht="12.5">
      <c r="B146" s="7" t="str">
        <f t="shared" si="25"/>
        <v/>
      </c>
      <c r="C146" s="50">
        <f>IF(D93="","-",+C145+1)</f>
        <v>2054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28"/>
        <v>0</v>
      </c>
      <c r="G146" s="55">
        <f t="shared" si="29"/>
        <v>0</v>
      </c>
      <c r="H146" s="380">
        <f t="shared" si="26"/>
        <v>0</v>
      </c>
      <c r="I146" s="399">
        <f t="shared" si="27"/>
        <v>0</v>
      </c>
      <c r="J146" s="54">
        <f t="shared" si="30"/>
        <v>0</v>
      </c>
      <c r="K146" s="54"/>
      <c r="L146" s="129"/>
      <c r="M146" s="54">
        <f t="shared" si="31"/>
        <v>0</v>
      </c>
      <c r="N146" s="129"/>
      <c r="O146" s="54">
        <f t="shared" si="32"/>
        <v>0</v>
      </c>
      <c r="P146" s="54">
        <f t="shared" si="33"/>
        <v>0</v>
      </c>
      <c r="Q146" s="1"/>
    </row>
    <row r="147" spans="2:17" ht="12.5">
      <c r="B147" s="7" t="str">
        <f t="shared" si="25"/>
        <v/>
      </c>
      <c r="C147" s="50">
        <f>IF(D93="","-",+C146+1)</f>
        <v>2055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28"/>
        <v>0</v>
      </c>
      <c r="G147" s="55">
        <f t="shared" si="29"/>
        <v>0</v>
      </c>
      <c r="H147" s="380">
        <f t="shared" si="26"/>
        <v>0</v>
      </c>
      <c r="I147" s="399">
        <f t="shared" si="27"/>
        <v>0</v>
      </c>
      <c r="J147" s="54">
        <f t="shared" si="30"/>
        <v>0</v>
      </c>
      <c r="K147" s="54"/>
      <c r="L147" s="129"/>
      <c r="M147" s="54">
        <f t="shared" si="31"/>
        <v>0</v>
      </c>
      <c r="N147" s="129"/>
      <c r="O147" s="54">
        <f t="shared" si="32"/>
        <v>0</v>
      </c>
      <c r="P147" s="54">
        <f t="shared" si="33"/>
        <v>0</v>
      </c>
      <c r="Q147" s="1"/>
    </row>
    <row r="148" spans="2:17" ht="12.5">
      <c r="B148" s="7" t="str">
        <f t="shared" si="25"/>
        <v/>
      </c>
      <c r="C148" s="50">
        <f>IF(D93="","-",+C147+1)</f>
        <v>2056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28"/>
        <v>0</v>
      </c>
      <c r="G148" s="55">
        <f t="shared" si="29"/>
        <v>0</v>
      </c>
      <c r="H148" s="380">
        <f t="shared" si="26"/>
        <v>0</v>
      </c>
      <c r="I148" s="399">
        <f t="shared" si="27"/>
        <v>0</v>
      </c>
      <c r="J148" s="54">
        <f t="shared" si="30"/>
        <v>0</v>
      </c>
      <c r="K148" s="54"/>
      <c r="L148" s="129"/>
      <c r="M148" s="54">
        <f t="shared" si="31"/>
        <v>0</v>
      </c>
      <c r="N148" s="129"/>
      <c r="O148" s="54">
        <f t="shared" si="32"/>
        <v>0</v>
      </c>
      <c r="P148" s="54">
        <f t="shared" si="33"/>
        <v>0</v>
      </c>
      <c r="Q148" s="1"/>
    </row>
    <row r="149" spans="2:17" ht="12.5">
      <c r="B149" s="7" t="str">
        <f t="shared" si="25"/>
        <v/>
      </c>
      <c r="C149" s="50">
        <f>IF(D93="","-",+C148+1)</f>
        <v>2057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28"/>
        <v>0</v>
      </c>
      <c r="G149" s="55">
        <f t="shared" si="29"/>
        <v>0</v>
      </c>
      <c r="H149" s="380">
        <f t="shared" si="26"/>
        <v>0</v>
      </c>
      <c r="I149" s="399">
        <f t="shared" si="27"/>
        <v>0</v>
      </c>
      <c r="J149" s="54">
        <f t="shared" si="30"/>
        <v>0</v>
      </c>
      <c r="K149" s="54"/>
      <c r="L149" s="129"/>
      <c r="M149" s="54">
        <f t="shared" si="31"/>
        <v>0</v>
      </c>
      <c r="N149" s="129"/>
      <c r="O149" s="54">
        <f t="shared" si="32"/>
        <v>0</v>
      </c>
      <c r="P149" s="54">
        <f t="shared" si="33"/>
        <v>0</v>
      </c>
      <c r="Q149" s="1"/>
    </row>
    <row r="150" spans="2:17" ht="12.5">
      <c r="B150" s="7" t="str">
        <f t="shared" si="25"/>
        <v/>
      </c>
      <c r="C150" s="50">
        <f>IF(D93="","-",+C149+1)</f>
        <v>2058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28"/>
        <v>0</v>
      </c>
      <c r="G150" s="55">
        <f t="shared" si="29"/>
        <v>0</v>
      </c>
      <c r="H150" s="380">
        <f t="shared" si="26"/>
        <v>0</v>
      </c>
      <c r="I150" s="399">
        <f t="shared" si="27"/>
        <v>0</v>
      </c>
      <c r="J150" s="54">
        <f t="shared" si="30"/>
        <v>0</v>
      </c>
      <c r="K150" s="54"/>
      <c r="L150" s="129"/>
      <c r="M150" s="54">
        <f t="shared" si="31"/>
        <v>0</v>
      </c>
      <c r="N150" s="129"/>
      <c r="O150" s="54">
        <f t="shared" si="32"/>
        <v>0</v>
      </c>
      <c r="P150" s="54">
        <f t="shared" si="33"/>
        <v>0</v>
      </c>
      <c r="Q150" s="1"/>
    </row>
    <row r="151" spans="2:17" ht="12.5">
      <c r="B151" s="7" t="str">
        <f t="shared" si="25"/>
        <v/>
      </c>
      <c r="C151" s="50">
        <f>IF(D93="","-",+C150+1)</f>
        <v>2059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28"/>
        <v>0</v>
      </c>
      <c r="G151" s="55">
        <f t="shared" si="29"/>
        <v>0</v>
      </c>
      <c r="H151" s="380">
        <f t="shared" si="26"/>
        <v>0</v>
      </c>
      <c r="I151" s="399">
        <f t="shared" si="27"/>
        <v>0</v>
      </c>
      <c r="J151" s="54">
        <f t="shared" si="30"/>
        <v>0</v>
      </c>
      <c r="K151" s="54"/>
      <c r="L151" s="129"/>
      <c r="M151" s="54">
        <f t="shared" si="31"/>
        <v>0</v>
      </c>
      <c r="N151" s="129"/>
      <c r="O151" s="54">
        <f t="shared" si="32"/>
        <v>0</v>
      </c>
      <c r="P151" s="54">
        <f t="shared" si="33"/>
        <v>0</v>
      </c>
      <c r="Q151" s="1"/>
    </row>
    <row r="152" spans="2:17" ht="12.5">
      <c r="B152" s="7" t="str">
        <f t="shared" si="25"/>
        <v/>
      </c>
      <c r="C152" s="50">
        <f>IF(D93="","-",+C151+1)</f>
        <v>2060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28"/>
        <v>0</v>
      </c>
      <c r="G152" s="55">
        <f t="shared" si="29"/>
        <v>0</v>
      </c>
      <c r="H152" s="380">
        <f t="shared" si="26"/>
        <v>0</v>
      </c>
      <c r="I152" s="399">
        <f t="shared" si="27"/>
        <v>0</v>
      </c>
      <c r="J152" s="54">
        <f t="shared" si="30"/>
        <v>0</v>
      </c>
      <c r="K152" s="54"/>
      <c r="L152" s="129"/>
      <c r="M152" s="54">
        <f t="shared" si="31"/>
        <v>0</v>
      </c>
      <c r="N152" s="129"/>
      <c r="O152" s="54">
        <f t="shared" si="32"/>
        <v>0</v>
      </c>
      <c r="P152" s="54">
        <f t="shared" si="33"/>
        <v>0</v>
      </c>
      <c r="Q152" s="1"/>
    </row>
    <row r="153" spans="2:17" ht="12.5">
      <c r="B153" s="7" t="str">
        <f t="shared" si="25"/>
        <v/>
      </c>
      <c r="C153" s="50">
        <f>IF(D93="","-",+C152+1)</f>
        <v>2061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28"/>
        <v>0</v>
      </c>
      <c r="G153" s="55">
        <f t="shared" si="29"/>
        <v>0</v>
      </c>
      <c r="H153" s="380">
        <f t="shared" si="26"/>
        <v>0</v>
      </c>
      <c r="I153" s="399">
        <f t="shared" si="27"/>
        <v>0</v>
      </c>
      <c r="J153" s="54">
        <f t="shared" si="30"/>
        <v>0</v>
      </c>
      <c r="K153" s="54"/>
      <c r="L153" s="129"/>
      <c r="M153" s="54">
        <f t="shared" si="31"/>
        <v>0</v>
      </c>
      <c r="N153" s="129"/>
      <c r="O153" s="54">
        <f t="shared" si="32"/>
        <v>0</v>
      </c>
      <c r="P153" s="54">
        <f t="shared" si="33"/>
        <v>0</v>
      </c>
      <c r="Q153" s="1"/>
    </row>
    <row r="154" spans="2:17" ht="13" thickBot="1">
      <c r="B154" s="7" t="str">
        <f t="shared" si="25"/>
        <v/>
      </c>
      <c r="C154" s="59">
        <f>IF(D93="","-",+C153+1)</f>
        <v>2062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28"/>
        <v>0</v>
      </c>
      <c r="G154" s="60">
        <f t="shared" si="29"/>
        <v>0</v>
      </c>
      <c r="H154" s="382">
        <f t="shared" si="26"/>
        <v>0</v>
      </c>
      <c r="I154" s="400">
        <f t="shared" si="27"/>
        <v>0</v>
      </c>
      <c r="J154" s="64">
        <f t="shared" si="30"/>
        <v>0</v>
      </c>
      <c r="K154" s="54"/>
      <c r="L154" s="130"/>
      <c r="M154" s="64">
        <f t="shared" si="31"/>
        <v>0</v>
      </c>
      <c r="N154" s="130"/>
      <c r="O154" s="64">
        <f t="shared" si="32"/>
        <v>0</v>
      </c>
      <c r="P154" s="64">
        <f t="shared" si="33"/>
        <v>0</v>
      </c>
      <c r="Q154" s="1"/>
    </row>
    <row r="155" spans="2:17" ht="12.5">
      <c r="C155" s="12" t="s">
        <v>78</v>
      </c>
      <c r="D155" s="293"/>
      <c r="E155" s="293">
        <f>SUM(E99:E154)</f>
        <v>0</v>
      </c>
      <c r="F155" s="293"/>
      <c r="G155" s="293"/>
      <c r="H155" s="293">
        <f>SUM(H99:H154)</f>
        <v>0</v>
      </c>
      <c r="I155" s="293">
        <f>SUM(I99:I154)</f>
        <v>0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 ht="12.5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 ht="12.5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35" priority="1" stopIfTrue="1" operator="equal">
      <formula>$I$10</formula>
    </cfRule>
  </conditionalFormatting>
  <conditionalFormatting sqref="C99:C154">
    <cfRule type="cellIs" dxfId="13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61"/>
  <dimension ref="A1:Q162"/>
  <sheetViews>
    <sheetView topLeftCell="C82" zoomScaleNormal="100" zoomScaleSheetLayoutView="75" workbookViewId="0">
      <selection activeCell="M22" sqref="M22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7.5429687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12 of 77</v>
      </c>
      <c r="Q1" s="13"/>
    </row>
    <row r="2" spans="1:17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18073.015001508498</v>
      </c>
      <c r="P5" s="1"/>
    </row>
    <row r="6" spans="1:17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18073.015001508498</v>
      </c>
      <c r="O6" s="1"/>
      <c r="P6" s="1"/>
    </row>
    <row r="7" spans="1:17" ht="13.5" thickBot="1">
      <c r="C7" s="25" t="s">
        <v>48</v>
      </c>
      <c r="D7" s="127" t="s">
        <v>164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104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149</v>
      </c>
      <c r="E9" s="31" t="s">
        <v>494</v>
      </c>
      <c r="F9" s="462" t="s">
        <v>502</v>
      </c>
      <c r="G9" s="31"/>
      <c r="H9" s="31"/>
      <c r="I9" s="32"/>
      <c r="J9" s="33"/>
      <c r="P9" s="1"/>
    </row>
    <row r="10" spans="1:17" ht="13">
      <c r="C10" s="34" t="s">
        <v>51</v>
      </c>
      <c r="D10" s="363">
        <v>185247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7" ht="12.5">
      <c r="C11" s="34" t="s">
        <v>54</v>
      </c>
      <c r="D11" s="37">
        <v>2007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3">
        <v>7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4210.159090909091</v>
      </c>
      <c r="J14" s="293"/>
      <c r="K14" s="293"/>
      <c r="L14" s="293"/>
      <c r="M14" s="293"/>
      <c r="N14" s="293"/>
      <c r="O14" s="1"/>
      <c r="P14" s="1"/>
    </row>
    <row r="15" spans="1:17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2007</v>
      </c>
      <c r="D17" s="133">
        <v>77090</v>
      </c>
      <c r="E17" s="374">
        <v>868</v>
      </c>
      <c r="F17" s="133">
        <v>75730</v>
      </c>
      <c r="G17" s="374">
        <v>0</v>
      </c>
      <c r="H17" s="375">
        <v>0</v>
      </c>
      <c r="I17" s="153">
        <f t="shared" ref="I17:I48" si="0">H17-G17</f>
        <v>0</v>
      </c>
      <c r="J17" s="52"/>
      <c r="K17" s="112">
        <v>0</v>
      </c>
      <c r="L17" s="53">
        <f t="shared" ref="L17:L48" si="1">IF(K17&lt;&gt;0,+G17-K17,0)</f>
        <v>0</v>
      </c>
      <c r="M17" s="112">
        <v>0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2008</v>
      </c>
      <c r="D18" s="137">
        <v>75730</v>
      </c>
      <c r="E18" s="418">
        <v>2010</v>
      </c>
      <c r="F18" s="419">
        <v>73720</v>
      </c>
      <c r="G18" s="376">
        <v>0</v>
      </c>
      <c r="H18" s="375">
        <v>0</v>
      </c>
      <c r="I18" s="153">
        <f t="shared" si="0"/>
        <v>0</v>
      </c>
      <c r="J18" s="52"/>
      <c r="K18" s="113">
        <v>0</v>
      </c>
      <c r="L18" s="54">
        <f t="shared" si="1"/>
        <v>0</v>
      </c>
      <c r="M18" s="113">
        <v>0</v>
      </c>
      <c r="N18" s="54">
        <f t="shared" si="2"/>
        <v>0</v>
      </c>
      <c r="O18" s="54">
        <f t="shared" si="3"/>
        <v>0</v>
      </c>
      <c r="P18" s="1"/>
    </row>
    <row r="19" spans="2:16" ht="12.5">
      <c r="B19" s="7" t="str">
        <f>IF(D19=F18,"","IU")</f>
        <v>IU</v>
      </c>
      <c r="C19" s="50">
        <f>IF(D11="","-",+C18+1)</f>
        <v>2009</v>
      </c>
      <c r="D19" s="137">
        <v>119297</v>
      </c>
      <c r="E19" s="376">
        <v>3353</v>
      </c>
      <c r="F19" s="137">
        <v>115944</v>
      </c>
      <c r="G19" s="376">
        <v>21123</v>
      </c>
      <c r="H19" s="375">
        <v>21123</v>
      </c>
      <c r="I19" s="153">
        <f t="shared" si="0"/>
        <v>0</v>
      </c>
      <c r="J19" s="52"/>
      <c r="K19" s="113">
        <v>21123</v>
      </c>
      <c r="L19" s="54">
        <f t="shared" si="1"/>
        <v>0</v>
      </c>
      <c r="M19" s="113">
        <v>21123</v>
      </c>
      <c r="N19" s="54">
        <f t="shared" si="2"/>
        <v>0</v>
      </c>
      <c r="O19" s="54">
        <f t="shared" si="3"/>
        <v>0</v>
      </c>
      <c r="P19" s="1"/>
    </row>
    <row r="20" spans="2:16" ht="12.5">
      <c r="B20" s="7"/>
      <c r="C20" s="50">
        <f>IF(D11="","-",+C19+1)</f>
        <v>2010</v>
      </c>
      <c r="D20" s="137">
        <v>117816</v>
      </c>
      <c r="E20" s="376">
        <v>3264</v>
      </c>
      <c r="F20" s="137">
        <v>114552</v>
      </c>
      <c r="G20" s="376">
        <v>19733</v>
      </c>
      <c r="H20" s="375">
        <v>19733</v>
      </c>
      <c r="I20" s="141">
        <v>0</v>
      </c>
      <c r="J20" s="52"/>
      <c r="K20" s="113">
        <f t="shared" ref="K20:K25" si="4">G20</f>
        <v>19733</v>
      </c>
      <c r="L20" s="54">
        <f t="shared" si="1"/>
        <v>0</v>
      </c>
      <c r="M20" s="113">
        <f t="shared" ref="M20:M25" si="5">H20</f>
        <v>19733</v>
      </c>
      <c r="N20" s="54">
        <f t="shared" si="2"/>
        <v>0</v>
      </c>
      <c r="O20" s="54">
        <f t="shared" si="3"/>
        <v>0</v>
      </c>
      <c r="P20" s="1"/>
    </row>
    <row r="21" spans="2:16" ht="12.5">
      <c r="B21" s="7" t="str">
        <f t="shared" ref="B21:B72" si="6">IF(D21=F20,"","IU")</f>
        <v>IU</v>
      </c>
      <c r="C21" s="50">
        <f>IF(D12="","-",+C20+1)</f>
        <v>2011</v>
      </c>
      <c r="D21" s="137">
        <v>175752</v>
      </c>
      <c r="E21" s="376">
        <v>4518.2195121951218</v>
      </c>
      <c r="F21" s="137">
        <v>171233.78048780488</v>
      </c>
      <c r="G21" s="376">
        <v>31263.597728424509</v>
      </c>
      <c r="H21" s="375">
        <v>31263.597728424509</v>
      </c>
      <c r="I21" s="141">
        <v>0</v>
      </c>
      <c r="J21" s="52"/>
      <c r="K21" s="113">
        <f t="shared" si="4"/>
        <v>31263.597728424509</v>
      </c>
      <c r="L21" s="54">
        <f t="shared" si="1"/>
        <v>0</v>
      </c>
      <c r="M21" s="113">
        <f t="shared" si="5"/>
        <v>31263.597728424509</v>
      </c>
      <c r="N21" s="54">
        <f t="shared" si="2"/>
        <v>0</v>
      </c>
      <c r="O21" s="54">
        <f t="shared" si="3"/>
        <v>0</v>
      </c>
      <c r="P21" s="1"/>
    </row>
    <row r="22" spans="2:16" ht="12.5">
      <c r="B22" s="7" t="str">
        <f t="shared" si="6"/>
        <v/>
      </c>
      <c r="C22" s="50">
        <f>IF(D11="","-",+C21+1)</f>
        <v>2012</v>
      </c>
      <c r="D22" s="137">
        <v>171233.78048780488</v>
      </c>
      <c r="E22" s="377">
        <v>4410.6428571428569</v>
      </c>
      <c r="F22" s="137">
        <v>166823.13763066201</v>
      </c>
      <c r="G22" s="376">
        <v>29220.603252055036</v>
      </c>
      <c r="H22" s="375">
        <v>29220.603252055036</v>
      </c>
      <c r="I22" s="141">
        <v>0</v>
      </c>
      <c r="J22" s="52"/>
      <c r="K22" s="113">
        <f t="shared" si="4"/>
        <v>29220.603252055036</v>
      </c>
      <c r="L22" s="54">
        <f t="shared" si="1"/>
        <v>0</v>
      </c>
      <c r="M22" s="113">
        <f t="shared" si="5"/>
        <v>29220.603252055036</v>
      </c>
      <c r="N22" s="54">
        <f t="shared" si="2"/>
        <v>0</v>
      </c>
      <c r="O22" s="54">
        <f t="shared" si="3"/>
        <v>0</v>
      </c>
      <c r="P22" s="1"/>
    </row>
    <row r="23" spans="2:16" ht="12.5">
      <c r="B23" s="7" t="str">
        <f t="shared" si="6"/>
        <v/>
      </c>
      <c r="C23" s="50">
        <f>IF(D11="","-",+C22+1)</f>
        <v>2013</v>
      </c>
      <c r="D23" s="151">
        <v>166823.13763066201</v>
      </c>
      <c r="E23" s="420">
        <v>4410.6428571428569</v>
      </c>
      <c r="F23" s="151">
        <v>162412.49477351914</v>
      </c>
      <c r="G23" s="420">
        <v>27146.294093139273</v>
      </c>
      <c r="H23" s="421">
        <v>27146.294093139273</v>
      </c>
      <c r="I23" s="153">
        <v>0</v>
      </c>
      <c r="J23" s="52"/>
      <c r="K23" s="113">
        <f t="shared" si="4"/>
        <v>27146.294093139273</v>
      </c>
      <c r="L23" s="54">
        <f t="shared" ref="L23:L28" si="7">IF(K23&lt;&gt;0,+G23-K23,0)</f>
        <v>0</v>
      </c>
      <c r="M23" s="113">
        <f t="shared" si="5"/>
        <v>27146.294093139273</v>
      </c>
      <c r="N23" s="54">
        <f t="shared" ref="N23:N28" si="8">IF(M23&lt;&gt;0,+H23-M23,0)</f>
        <v>0</v>
      </c>
      <c r="O23" s="54">
        <f t="shared" ref="O23:O28" si="9">+N23-L23</f>
        <v>0</v>
      </c>
      <c r="P23" s="1"/>
    </row>
    <row r="24" spans="2:16" ht="12.5">
      <c r="B24" s="7" t="str">
        <f t="shared" si="6"/>
        <v/>
      </c>
      <c r="C24" s="50">
        <f>IF(D11="","-",+C23+1)</f>
        <v>2014</v>
      </c>
      <c r="D24" s="151">
        <v>162412.49477351914</v>
      </c>
      <c r="E24" s="420">
        <v>4410.6428571428569</v>
      </c>
      <c r="F24" s="151">
        <v>158001.85191637627</v>
      </c>
      <c r="G24" s="420">
        <v>25726.753003621568</v>
      </c>
      <c r="H24" s="421">
        <v>25726.753003621568</v>
      </c>
      <c r="I24" s="153">
        <v>0</v>
      </c>
      <c r="J24" s="52"/>
      <c r="K24" s="113">
        <f t="shared" si="4"/>
        <v>25726.753003621568</v>
      </c>
      <c r="L24" s="54">
        <f t="shared" si="7"/>
        <v>0</v>
      </c>
      <c r="M24" s="113">
        <f t="shared" si="5"/>
        <v>25726.753003621568</v>
      </c>
      <c r="N24" s="54">
        <f t="shared" si="8"/>
        <v>0</v>
      </c>
      <c r="O24" s="54">
        <f t="shared" si="9"/>
        <v>0</v>
      </c>
      <c r="P24" s="1"/>
    </row>
    <row r="25" spans="2:16" ht="12.5">
      <c r="B25" s="7" t="str">
        <f t="shared" si="6"/>
        <v/>
      </c>
      <c r="C25" s="50">
        <f>IF(D11="","-",+C24+1)</f>
        <v>2015</v>
      </c>
      <c r="D25" s="151">
        <v>158001.85191637627</v>
      </c>
      <c r="E25" s="420">
        <v>4410.6428571428569</v>
      </c>
      <c r="F25" s="151">
        <v>153591.2090592334</v>
      </c>
      <c r="G25" s="420">
        <v>24639.342477815902</v>
      </c>
      <c r="H25" s="421">
        <v>24639.342477815902</v>
      </c>
      <c r="I25" s="52">
        <v>0</v>
      </c>
      <c r="J25" s="52"/>
      <c r="K25" s="113">
        <f t="shared" si="4"/>
        <v>24639.342477815902</v>
      </c>
      <c r="L25" s="54">
        <f t="shared" si="7"/>
        <v>0</v>
      </c>
      <c r="M25" s="113">
        <f t="shared" si="5"/>
        <v>24639.342477815902</v>
      </c>
      <c r="N25" s="54">
        <f t="shared" si="8"/>
        <v>0</v>
      </c>
      <c r="O25" s="54">
        <f t="shared" si="9"/>
        <v>0</v>
      </c>
      <c r="P25" s="1"/>
    </row>
    <row r="26" spans="2:16" ht="12.5">
      <c r="B26" s="7" t="str">
        <f t="shared" si="6"/>
        <v/>
      </c>
      <c r="C26" s="50">
        <f>IF(D11="","-",+C25+1)</f>
        <v>2016</v>
      </c>
      <c r="D26" s="151">
        <v>153591.2090592334</v>
      </c>
      <c r="E26" s="420">
        <v>4410.6428571428569</v>
      </c>
      <c r="F26" s="151">
        <v>149180.56620209053</v>
      </c>
      <c r="G26" s="420">
        <v>23816.047182018898</v>
      </c>
      <c r="H26" s="421">
        <v>23816.047182018898</v>
      </c>
      <c r="I26" s="52">
        <f t="shared" si="0"/>
        <v>0</v>
      </c>
      <c r="J26" s="52"/>
      <c r="K26" s="113">
        <f t="shared" ref="K26:K31" si="10">G26</f>
        <v>23816.047182018898</v>
      </c>
      <c r="L26" s="54">
        <f t="shared" si="7"/>
        <v>0</v>
      </c>
      <c r="M26" s="113">
        <f t="shared" ref="M26:M31" si="11">H26</f>
        <v>23816.047182018898</v>
      </c>
      <c r="N26" s="54">
        <f t="shared" si="8"/>
        <v>0</v>
      </c>
      <c r="O26" s="54">
        <f t="shared" si="9"/>
        <v>0</v>
      </c>
      <c r="P26" s="1"/>
    </row>
    <row r="27" spans="2:16" ht="12.5">
      <c r="B27" s="7" t="str">
        <f t="shared" si="6"/>
        <v/>
      </c>
      <c r="C27" s="50">
        <f>IF(D11="","-",+C26+1)</f>
        <v>2017</v>
      </c>
      <c r="D27" s="151">
        <v>149180.56620209053</v>
      </c>
      <c r="E27" s="420">
        <v>4308.0697674418607</v>
      </c>
      <c r="F27" s="151">
        <v>144872.49643464867</v>
      </c>
      <c r="G27" s="420">
        <v>22523.559241307841</v>
      </c>
      <c r="H27" s="421">
        <v>22523.559241307841</v>
      </c>
      <c r="I27" s="52">
        <f t="shared" si="0"/>
        <v>0</v>
      </c>
      <c r="J27" s="52"/>
      <c r="K27" s="113">
        <f t="shared" si="10"/>
        <v>22523.559241307841</v>
      </c>
      <c r="L27" s="54">
        <f t="shared" si="7"/>
        <v>0</v>
      </c>
      <c r="M27" s="113">
        <f t="shared" si="11"/>
        <v>22523.559241307841</v>
      </c>
      <c r="N27" s="54">
        <f t="shared" si="8"/>
        <v>0</v>
      </c>
      <c r="O27" s="54">
        <f t="shared" si="9"/>
        <v>0</v>
      </c>
      <c r="P27" s="1"/>
    </row>
    <row r="28" spans="2:16" ht="12.5">
      <c r="B28" s="7" t="str">
        <f t="shared" si="6"/>
        <v/>
      </c>
      <c r="C28" s="50">
        <f>IF(D11="","-",+C27+1)</f>
        <v>2018</v>
      </c>
      <c r="D28" s="151">
        <v>144872.49643464867</v>
      </c>
      <c r="E28" s="420">
        <v>4518.2195121951218</v>
      </c>
      <c r="F28" s="151">
        <v>140354.27692245354</v>
      </c>
      <c r="G28" s="420">
        <v>22643.539387213004</v>
      </c>
      <c r="H28" s="421">
        <v>22643.539387213004</v>
      </c>
      <c r="I28" s="52">
        <f t="shared" si="0"/>
        <v>0</v>
      </c>
      <c r="J28" s="52"/>
      <c r="K28" s="113">
        <f t="shared" si="10"/>
        <v>22643.539387213004</v>
      </c>
      <c r="L28" s="54">
        <f t="shared" si="7"/>
        <v>0</v>
      </c>
      <c r="M28" s="113">
        <f t="shared" si="11"/>
        <v>22643.539387213004</v>
      </c>
      <c r="N28" s="54">
        <f t="shared" si="8"/>
        <v>0</v>
      </c>
      <c r="O28" s="54">
        <f t="shared" si="9"/>
        <v>0</v>
      </c>
      <c r="P28" s="1"/>
    </row>
    <row r="29" spans="2:16" ht="12.5">
      <c r="B29" s="7" t="str">
        <f t="shared" si="6"/>
        <v/>
      </c>
      <c r="C29" s="50">
        <f>IF(D11="","-",+C28+1)</f>
        <v>2019</v>
      </c>
      <c r="D29" s="151">
        <v>140354.27692245354</v>
      </c>
      <c r="E29" s="420">
        <v>4518.2195121951218</v>
      </c>
      <c r="F29" s="151">
        <v>135836.05741025842</v>
      </c>
      <c r="G29" s="420">
        <v>22069.300349550489</v>
      </c>
      <c r="H29" s="421">
        <v>22069.300349550489</v>
      </c>
      <c r="I29" s="52">
        <f t="shared" si="0"/>
        <v>0</v>
      </c>
      <c r="J29" s="52"/>
      <c r="K29" s="113">
        <f t="shared" si="10"/>
        <v>22069.300349550489</v>
      </c>
      <c r="L29" s="54">
        <f t="shared" ref="L29" si="12">IF(K29&lt;&gt;0,+G29-K29,0)</f>
        <v>0</v>
      </c>
      <c r="M29" s="113">
        <f t="shared" si="11"/>
        <v>22069.300349550489</v>
      </c>
      <c r="N29" s="54">
        <f t="shared" si="2"/>
        <v>0</v>
      </c>
      <c r="O29" s="54">
        <f t="shared" si="3"/>
        <v>0</v>
      </c>
      <c r="P29" s="1"/>
    </row>
    <row r="30" spans="2:16" ht="12.5">
      <c r="B30" s="7" t="str">
        <f t="shared" si="6"/>
        <v/>
      </c>
      <c r="C30" s="50">
        <f>IF(D11="","-",+C29+1)</f>
        <v>2020</v>
      </c>
      <c r="D30" s="151">
        <v>135836.05741025842</v>
      </c>
      <c r="E30" s="420">
        <v>4518.2195121951218</v>
      </c>
      <c r="F30" s="151">
        <v>131317.8378980633</v>
      </c>
      <c r="G30" s="420">
        <v>18187.877266204941</v>
      </c>
      <c r="H30" s="421">
        <v>18187.877266204941</v>
      </c>
      <c r="I30" s="52">
        <f t="shared" si="0"/>
        <v>0</v>
      </c>
      <c r="J30" s="52"/>
      <c r="K30" s="113">
        <f t="shared" si="10"/>
        <v>18187.877266204941</v>
      </c>
      <c r="L30" s="54">
        <f t="shared" ref="L30" si="13">IF(K30&lt;&gt;0,+G30-K30,0)</f>
        <v>0</v>
      </c>
      <c r="M30" s="113">
        <f t="shared" si="11"/>
        <v>18187.877266204941</v>
      </c>
      <c r="N30" s="54">
        <f t="shared" si="2"/>
        <v>0</v>
      </c>
      <c r="O30" s="54">
        <f t="shared" si="3"/>
        <v>0</v>
      </c>
      <c r="P30" s="1"/>
    </row>
    <row r="31" spans="2:16" ht="12.5">
      <c r="B31" s="7" t="str">
        <f t="shared" si="6"/>
        <v>IU</v>
      </c>
      <c r="C31" s="50">
        <f>IF(D11="","-",+C30+1)</f>
        <v>2021</v>
      </c>
      <c r="D31" s="151">
        <v>131527.98764281662</v>
      </c>
      <c r="E31" s="420">
        <v>4410.6428571428569</v>
      </c>
      <c r="F31" s="151">
        <v>127117.34478567376</v>
      </c>
      <c r="G31" s="420">
        <v>18119.433252882794</v>
      </c>
      <c r="H31" s="421">
        <v>18119.433252882794</v>
      </c>
      <c r="I31" s="52">
        <f t="shared" si="0"/>
        <v>0</v>
      </c>
      <c r="J31" s="52"/>
      <c r="K31" s="113">
        <f t="shared" si="10"/>
        <v>18119.433252882794</v>
      </c>
      <c r="L31" s="54">
        <f t="shared" ref="L31" si="14">IF(K31&lt;&gt;0,+G31-K31,0)</f>
        <v>0</v>
      </c>
      <c r="M31" s="113">
        <f t="shared" si="11"/>
        <v>18119.433252882794</v>
      </c>
      <c r="N31" s="54">
        <f t="shared" si="2"/>
        <v>0</v>
      </c>
      <c r="O31" s="54">
        <f t="shared" si="3"/>
        <v>0</v>
      </c>
      <c r="P31" s="1"/>
    </row>
    <row r="32" spans="2:16" ht="12.5">
      <c r="B32" s="7" t="str">
        <f t="shared" si="6"/>
        <v>IU</v>
      </c>
      <c r="C32" s="50">
        <f>IF(D11="","-",+C31+1)</f>
        <v>2022</v>
      </c>
      <c r="D32" s="151">
        <v>126907.19504092052</v>
      </c>
      <c r="E32" s="420">
        <v>4410.6428571428569</v>
      </c>
      <c r="F32" s="151">
        <v>122496.55218377766</v>
      </c>
      <c r="G32" s="420">
        <v>18432.632415110242</v>
      </c>
      <c r="H32" s="421">
        <v>18432.632415110242</v>
      </c>
      <c r="I32" s="52">
        <f t="shared" si="0"/>
        <v>0</v>
      </c>
      <c r="J32" s="52"/>
      <c r="K32" s="113">
        <f t="shared" ref="K32" si="15">G32</f>
        <v>18432.632415110242</v>
      </c>
      <c r="L32" s="54">
        <f t="shared" ref="L32" si="16">IF(K32&lt;&gt;0,+G32-K32,0)</f>
        <v>0</v>
      </c>
      <c r="M32" s="113">
        <f t="shared" ref="M32" si="17">H32</f>
        <v>18432.632415110242</v>
      </c>
      <c r="N32" s="54">
        <f t="shared" si="2"/>
        <v>0</v>
      </c>
      <c r="O32" s="54">
        <f t="shared" si="3"/>
        <v>0</v>
      </c>
      <c r="P32" s="1"/>
    </row>
    <row r="33" spans="2:16" ht="12.5">
      <c r="B33" s="7" t="str">
        <f t="shared" si="6"/>
        <v/>
      </c>
      <c r="C33" s="50">
        <f>IF(D11="","-",+C32+1)</f>
        <v>2023</v>
      </c>
      <c r="D33" s="151">
        <v>122496.55218377766</v>
      </c>
      <c r="E33" s="420">
        <v>4410.6428571428569</v>
      </c>
      <c r="F33" s="151">
        <v>118085.90932663481</v>
      </c>
      <c r="G33" s="420">
        <v>19606.64766056418</v>
      </c>
      <c r="H33" s="421">
        <v>19606.64766056418</v>
      </c>
      <c r="I33" s="52">
        <f t="shared" si="0"/>
        <v>0</v>
      </c>
      <c r="J33" s="52"/>
      <c r="K33" s="113">
        <f t="shared" ref="K33" si="18">G33</f>
        <v>19606.64766056418</v>
      </c>
      <c r="L33" s="54">
        <f t="shared" ref="L33" si="19">IF(K33&lt;&gt;0,+G33-K33,0)</f>
        <v>0</v>
      </c>
      <c r="M33" s="113">
        <f t="shared" ref="M33" si="20">H33</f>
        <v>19606.64766056418</v>
      </c>
      <c r="N33" s="54">
        <f t="shared" si="2"/>
        <v>0</v>
      </c>
      <c r="O33" s="54">
        <f t="shared" si="3"/>
        <v>0</v>
      </c>
      <c r="P33" s="1"/>
    </row>
    <row r="34" spans="2:16" ht="12.5">
      <c r="B34" s="7" t="str">
        <f t="shared" si="6"/>
        <v/>
      </c>
      <c r="C34" s="50">
        <f>IF(D11="","-",+C33+1)</f>
        <v>2024</v>
      </c>
      <c r="D34" s="151">
        <v>118085.90932663481</v>
      </c>
      <c r="E34" s="420">
        <v>4210.159090909091</v>
      </c>
      <c r="F34" s="151">
        <v>113875.75023572572</v>
      </c>
      <c r="G34" s="420">
        <v>18073.015001508498</v>
      </c>
      <c r="H34" s="421">
        <v>18073.015001508498</v>
      </c>
      <c r="I34" s="52">
        <f t="shared" si="0"/>
        <v>0</v>
      </c>
      <c r="J34" s="52"/>
      <c r="K34" s="113">
        <f t="shared" ref="K34" si="21">G34</f>
        <v>18073.015001508498</v>
      </c>
      <c r="L34" s="54">
        <f t="shared" ref="L34" si="22">IF(K34&lt;&gt;0,+G34-K34,0)</f>
        <v>0</v>
      </c>
      <c r="M34" s="113">
        <f t="shared" ref="M34" si="23">H34</f>
        <v>18073.015001508498</v>
      </c>
      <c r="N34" s="54">
        <f t="shared" ref="N34" si="24">IF(M34&lt;&gt;0,+H34-M34,0)</f>
        <v>0</v>
      </c>
      <c r="O34" s="54">
        <f t="shared" ref="O34" si="25">+N34-L34</f>
        <v>0</v>
      </c>
      <c r="P34" s="1"/>
    </row>
    <row r="35" spans="2:16" ht="12.5">
      <c r="B35" s="7" t="str">
        <f t="shared" si="6"/>
        <v/>
      </c>
      <c r="C35" s="50">
        <f>IF(D11="","-",+C34+1)</f>
        <v>2025</v>
      </c>
      <c r="D35" s="55">
        <f>IF(F34+SUM(E$17:E34)=D$10,F34,D$10-SUM(E$17:E34))</f>
        <v>113875.75023572572</v>
      </c>
      <c r="E35" s="378">
        <f>IF(+I14&lt;F34,I14,D35)</f>
        <v>4210.159090909091</v>
      </c>
      <c r="F35" s="55">
        <f t="shared" ref="F35:F48" si="26">+D35-E35</f>
        <v>109665.59114481663</v>
      </c>
      <c r="G35" s="379">
        <f t="shared" ref="G35:G72" si="27">+I$12*((D35+F35)/2)+E35</f>
        <v>17569.786761564974</v>
      </c>
      <c r="H35" s="364">
        <f t="shared" ref="H35:H72" si="28">+I$13*((D35+F35)/2)+E35</f>
        <v>17569.786761564974</v>
      </c>
      <c r="I35" s="52">
        <f t="shared" si="0"/>
        <v>0</v>
      </c>
      <c r="J35" s="52"/>
      <c r="K35" s="129"/>
      <c r="L35" s="54">
        <f t="shared" si="1"/>
        <v>0</v>
      </c>
      <c r="M35" s="129"/>
      <c r="N35" s="54">
        <f t="shared" si="2"/>
        <v>0</v>
      </c>
      <c r="O35" s="54">
        <f t="shared" si="3"/>
        <v>0</v>
      </c>
      <c r="P35" s="1"/>
    </row>
    <row r="36" spans="2:16" ht="12.5">
      <c r="B36" s="7" t="str">
        <f t="shared" si="6"/>
        <v/>
      </c>
      <c r="C36" s="50">
        <f>IF(D11="","-",+C35+1)</f>
        <v>2026</v>
      </c>
      <c r="D36" s="55">
        <f>IF(F35+SUM(E$17:E35)=D$10,F35,D$10-SUM(E$17:E35))</f>
        <v>109665.59114481663</v>
      </c>
      <c r="E36" s="378">
        <f>IF(+I14&lt;F35,I14,D36)</f>
        <v>4210.159090909091</v>
      </c>
      <c r="F36" s="55">
        <f t="shared" si="26"/>
        <v>105455.43205390754</v>
      </c>
      <c r="G36" s="379">
        <f t="shared" si="27"/>
        <v>17066.558521621449</v>
      </c>
      <c r="H36" s="364">
        <f t="shared" si="28"/>
        <v>17066.558521621449</v>
      </c>
      <c r="I36" s="52">
        <f t="shared" si="0"/>
        <v>0</v>
      </c>
      <c r="J36" s="52"/>
      <c r="K36" s="129"/>
      <c r="L36" s="54">
        <f t="shared" si="1"/>
        <v>0</v>
      </c>
      <c r="M36" s="129"/>
      <c r="N36" s="54">
        <f t="shared" si="2"/>
        <v>0</v>
      </c>
      <c r="O36" s="54">
        <f t="shared" si="3"/>
        <v>0</v>
      </c>
      <c r="P36" s="1"/>
    </row>
    <row r="37" spans="2:16" ht="12.5">
      <c r="B37" s="7" t="str">
        <f t="shared" si="6"/>
        <v/>
      </c>
      <c r="C37" s="50">
        <f>IF(D11="","-",+C36+1)</f>
        <v>2027</v>
      </c>
      <c r="D37" s="55">
        <f>IF(F36+SUM(E$17:E36)=D$10,F36,D$10-SUM(E$17:E36))</f>
        <v>105455.43205390754</v>
      </c>
      <c r="E37" s="378">
        <f>IF(+I14&lt;F36,I14,D37)</f>
        <v>4210.159090909091</v>
      </c>
      <c r="F37" s="55">
        <f t="shared" si="26"/>
        <v>101245.27296299845</v>
      </c>
      <c r="G37" s="379">
        <f t="shared" si="27"/>
        <v>16563.330281677925</v>
      </c>
      <c r="H37" s="364">
        <f t="shared" si="28"/>
        <v>16563.330281677925</v>
      </c>
      <c r="I37" s="52">
        <f t="shared" si="0"/>
        <v>0</v>
      </c>
      <c r="J37" s="52"/>
      <c r="K37" s="129"/>
      <c r="L37" s="54">
        <f t="shared" si="1"/>
        <v>0</v>
      </c>
      <c r="M37" s="129"/>
      <c r="N37" s="54">
        <f t="shared" si="2"/>
        <v>0</v>
      </c>
      <c r="O37" s="54">
        <f t="shared" si="3"/>
        <v>0</v>
      </c>
      <c r="P37" s="1"/>
    </row>
    <row r="38" spans="2:16" ht="12.5">
      <c r="B38" s="7" t="str">
        <f t="shared" si="6"/>
        <v/>
      </c>
      <c r="C38" s="50">
        <f>IF(D11="","-",+C37+1)</f>
        <v>2028</v>
      </c>
      <c r="D38" s="55">
        <f>IF(F37+SUM(E$17:E37)=D$10,F37,D$10-SUM(E$17:E37))</f>
        <v>101245.27296299845</v>
      </c>
      <c r="E38" s="378">
        <f>IF(+I14&lt;F37,I14,D38)</f>
        <v>4210.159090909091</v>
      </c>
      <c r="F38" s="55">
        <f t="shared" si="26"/>
        <v>97035.113872089365</v>
      </c>
      <c r="G38" s="379">
        <f t="shared" si="27"/>
        <v>16060.102041734401</v>
      </c>
      <c r="H38" s="364">
        <f t="shared" si="28"/>
        <v>16060.102041734401</v>
      </c>
      <c r="I38" s="52">
        <f t="shared" si="0"/>
        <v>0</v>
      </c>
      <c r="J38" s="52"/>
      <c r="K38" s="129"/>
      <c r="L38" s="54">
        <f t="shared" si="1"/>
        <v>0</v>
      </c>
      <c r="M38" s="129"/>
      <c r="N38" s="54">
        <f t="shared" si="2"/>
        <v>0</v>
      </c>
      <c r="O38" s="54">
        <f t="shared" si="3"/>
        <v>0</v>
      </c>
      <c r="P38" s="1"/>
    </row>
    <row r="39" spans="2:16" ht="12.5">
      <c r="B39" s="7" t="str">
        <f t="shared" si="6"/>
        <v/>
      </c>
      <c r="C39" s="50">
        <f>IF(D11="","-",+C38+1)</f>
        <v>2029</v>
      </c>
      <c r="D39" s="55">
        <f>IF(F38+SUM(E$17:E38)=D$10,F38,D$10-SUM(E$17:E38))</f>
        <v>97035.113872089365</v>
      </c>
      <c r="E39" s="378">
        <f>IF(+I14&lt;F38,I14,D39)</f>
        <v>4210.159090909091</v>
      </c>
      <c r="F39" s="55">
        <f t="shared" si="26"/>
        <v>92824.954781180277</v>
      </c>
      <c r="G39" s="379">
        <f t="shared" si="27"/>
        <v>15556.873801790876</v>
      </c>
      <c r="H39" s="364">
        <f t="shared" si="28"/>
        <v>15556.873801790876</v>
      </c>
      <c r="I39" s="52">
        <f t="shared" si="0"/>
        <v>0</v>
      </c>
      <c r="J39" s="52"/>
      <c r="K39" s="129"/>
      <c r="L39" s="54">
        <f t="shared" si="1"/>
        <v>0</v>
      </c>
      <c r="M39" s="129"/>
      <c r="N39" s="54">
        <f t="shared" si="2"/>
        <v>0</v>
      </c>
      <c r="O39" s="54">
        <f t="shared" si="3"/>
        <v>0</v>
      </c>
      <c r="P39" s="1"/>
    </row>
    <row r="40" spans="2:16" ht="12.5">
      <c r="B40" s="7" t="str">
        <f t="shared" si="6"/>
        <v/>
      </c>
      <c r="C40" s="50">
        <f>IF(D11="","-",+C39+1)</f>
        <v>2030</v>
      </c>
      <c r="D40" s="55">
        <f>IF(F39+SUM(E$17:E39)=D$10,F39,D$10-SUM(E$17:E39))</f>
        <v>92824.954781180277</v>
      </c>
      <c r="E40" s="378">
        <f>IF(+I14&lt;F39,I14,D40)</f>
        <v>4210.159090909091</v>
      </c>
      <c r="F40" s="55">
        <f t="shared" si="26"/>
        <v>88614.795690271189</v>
      </c>
      <c r="G40" s="379">
        <f t="shared" si="27"/>
        <v>15053.645561847352</v>
      </c>
      <c r="H40" s="364">
        <f t="shared" si="28"/>
        <v>15053.645561847352</v>
      </c>
      <c r="I40" s="52">
        <f t="shared" si="0"/>
        <v>0</v>
      </c>
      <c r="J40" s="52"/>
      <c r="K40" s="129"/>
      <c r="L40" s="54">
        <f t="shared" si="1"/>
        <v>0</v>
      </c>
      <c r="M40" s="129"/>
      <c r="N40" s="54">
        <f t="shared" si="2"/>
        <v>0</v>
      </c>
      <c r="O40" s="54">
        <f t="shared" si="3"/>
        <v>0</v>
      </c>
      <c r="P40" s="1"/>
    </row>
    <row r="41" spans="2:16" ht="12.5">
      <c r="B41" s="7" t="str">
        <f t="shared" si="6"/>
        <v/>
      </c>
      <c r="C41" s="50">
        <f>IF(D11="","-",+C40+1)</f>
        <v>2031</v>
      </c>
      <c r="D41" s="55">
        <f>IF(F40+SUM(E$17:E40)=D$10,F40,D$10-SUM(E$17:E40))</f>
        <v>88614.795690271189</v>
      </c>
      <c r="E41" s="378">
        <f>IF(+I14&lt;F40,I14,D41)</f>
        <v>4210.159090909091</v>
      </c>
      <c r="F41" s="55">
        <f t="shared" si="26"/>
        <v>84404.6365993621</v>
      </c>
      <c r="G41" s="379">
        <f t="shared" si="27"/>
        <v>14550.417321903828</v>
      </c>
      <c r="H41" s="364">
        <f t="shared" si="28"/>
        <v>14550.417321903828</v>
      </c>
      <c r="I41" s="52">
        <f t="shared" si="0"/>
        <v>0</v>
      </c>
      <c r="J41" s="52"/>
      <c r="K41" s="129"/>
      <c r="L41" s="54">
        <f t="shared" si="1"/>
        <v>0</v>
      </c>
      <c r="M41" s="129"/>
      <c r="N41" s="54">
        <f t="shared" si="2"/>
        <v>0</v>
      </c>
      <c r="O41" s="54">
        <f t="shared" si="3"/>
        <v>0</v>
      </c>
      <c r="P41" s="1"/>
    </row>
    <row r="42" spans="2:16" ht="12.5">
      <c r="B42" s="7" t="str">
        <f t="shared" si="6"/>
        <v/>
      </c>
      <c r="C42" s="50">
        <f>IF(D11="","-",+C41+1)</f>
        <v>2032</v>
      </c>
      <c r="D42" s="55">
        <f>IF(F41+SUM(E$17:E41)=D$10,F41,D$10-SUM(E$17:E41))</f>
        <v>84404.6365993621</v>
      </c>
      <c r="E42" s="378">
        <f>IF(+I14&lt;F41,I14,D42)</f>
        <v>4210.159090909091</v>
      </c>
      <c r="F42" s="55">
        <f t="shared" si="26"/>
        <v>80194.477508453012</v>
      </c>
      <c r="G42" s="379">
        <f t="shared" si="27"/>
        <v>14047.1890819603</v>
      </c>
      <c r="H42" s="364">
        <f t="shared" si="28"/>
        <v>14047.1890819603</v>
      </c>
      <c r="I42" s="52">
        <f t="shared" si="0"/>
        <v>0</v>
      </c>
      <c r="J42" s="52"/>
      <c r="K42" s="129"/>
      <c r="L42" s="54">
        <f t="shared" si="1"/>
        <v>0</v>
      </c>
      <c r="M42" s="129"/>
      <c r="N42" s="54">
        <f t="shared" si="2"/>
        <v>0</v>
      </c>
      <c r="O42" s="54">
        <f t="shared" si="3"/>
        <v>0</v>
      </c>
      <c r="P42" s="1"/>
    </row>
    <row r="43" spans="2:16" ht="12.5">
      <c r="B43" s="7" t="str">
        <f t="shared" si="6"/>
        <v/>
      </c>
      <c r="C43" s="50">
        <f>IF(D11="","-",+C42+1)</f>
        <v>2033</v>
      </c>
      <c r="D43" s="55">
        <f>IF(F42+SUM(E$17:E42)=D$10,F42,D$10-SUM(E$17:E42))</f>
        <v>80194.477508453012</v>
      </c>
      <c r="E43" s="378">
        <f>IF(+I14&lt;F42,I14,D43)</f>
        <v>4210.159090909091</v>
      </c>
      <c r="F43" s="55">
        <f t="shared" si="26"/>
        <v>75984.318417543924</v>
      </c>
      <c r="G43" s="379">
        <f t="shared" si="27"/>
        <v>13543.960842016775</v>
      </c>
      <c r="H43" s="364">
        <f t="shared" si="28"/>
        <v>13543.960842016775</v>
      </c>
      <c r="I43" s="52">
        <f t="shared" si="0"/>
        <v>0</v>
      </c>
      <c r="J43" s="52"/>
      <c r="K43" s="129"/>
      <c r="L43" s="54">
        <f t="shared" si="1"/>
        <v>0</v>
      </c>
      <c r="M43" s="129"/>
      <c r="N43" s="54">
        <f t="shared" si="2"/>
        <v>0</v>
      </c>
      <c r="O43" s="54">
        <f t="shared" si="3"/>
        <v>0</v>
      </c>
      <c r="P43" s="1"/>
    </row>
    <row r="44" spans="2:16" ht="12.5">
      <c r="B44" s="7" t="str">
        <f t="shared" si="6"/>
        <v/>
      </c>
      <c r="C44" s="50">
        <f>IF(D11="","-",+C43+1)</f>
        <v>2034</v>
      </c>
      <c r="D44" s="55">
        <f>IF(F43+SUM(E$17:E43)=D$10,F43,D$10-SUM(E$17:E43))</f>
        <v>75984.318417543924</v>
      </c>
      <c r="E44" s="378">
        <f>IF(+I14&lt;F43,I14,D44)</f>
        <v>4210.159090909091</v>
      </c>
      <c r="F44" s="55">
        <f t="shared" si="26"/>
        <v>71774.159326634835</v>
      </c>
      <c r="G44" s="379">
        <f t="shared" si="27"/>
        <v>13040.732602073251</v>
      </c>
      <c r="H44" s="364">
        <f t="shared" si="28"/>
        <v>13040.732602073251</v>
      </c>
      <c r="I44" s="52">
        <f t="shared" si="0"/>
        <v>0</v>
      </c>
      <c r="J44" s="52"/>
      <c r="K44" s="129"/>
      <c r="L44" s="54">
        <f t="shared" si="1"/>
        <v>0</v>
      </c>
      <c r="M44" s="129"/>
      <c r="N44" s="54">
        <f t="shared" si="2"/>
        <v>0</v>
      </c>
      <c r="O44" s="54">
        <f t="shared" si="3"/>
        <v>0</v>
      </c>
      <c r="P44" s="1"/>
    </row>
    <row r="45" spans="2:16" ht="12.5">
      <c r="B45" s="7" t="str">
        <f t="shared" si="6"/>
        <v/>
      </c>
      <c r="C45" s="50">
        <f>IF(D11="","-",+C44+1)</f>
        <v>2035</v>
      </c>
      <c r="D45" s="55">
        <f>IF(F44+SUM(E$17:E44)=D$10,F44,D$10-SUM(E$17:E44))</f>
        <v>71774.159326634835</v>
      </c>
      <c r="E45" s="378">
        <f>IF(+I14&lt;F44,I14,D45)</f>
        <v>4210.159090909091</v>
      </c>
      <c r="F45" s="55">
        <f t="shared" si="26"/>
        <v>67564.000235725747</v>
      </c>
      <c r="G45" s="379">
        <f t="shared" si="27"/>
        <v>12537.504362129726</v>
      </c>
      <c r="H45" s="364">
        <f t="shared" si="28"/>
        <v>12537.504362129726</v>
      </c>
      <c r="I45" s="52">
        <f t="shared" si="0"/>
        <v>0</v>
      </c>
      <c r="J45" s="52"/>
      <c r="K45" s="129"/>
      <c r="L45" s="54">
        <f t="shared" si="1"/>
        <v>0</v>
      </c>
      <c r="M45" s="129"/>
      <c r="N45" s="54">
        <f t="shared" si="2"/>
        <v>0</v>
      </c>
      <c r="O45" s="54">
        <f t="shared" si="3"/>
        <v>0</v>
      </c>
      <c r="P45" s="1"/>
    </row>
    <row r="46" spans="2:16" ht="12.5">
      <c r="B46" s="7" t="str">
        <f t="shared" si="6"/>
        <v/>
      </c>
      <c r="C46" s="50">
        <f>IF(D11="","-",+C45+1)</f>
        <v>2036</v>
      </c>
      <c r="D46" s="55">
        <f>IF(F45+SUM(E$17:E45)=D$10,F45,D$10-SUM(E$17:E45))</f>
        <v>67564.000235725747</v>
      </c>
      <c r="E46" s="378">
        <f>IF(+I14&lt;F45,I14,D46)</f>
        <v>4210.159090909091</v>
      </c>
      <c r="F46" s="55">
        <f t="shared" si="26"/>
        <v>63353.841144816659</v>
      </c>
      <c r="G46" s="379">
        <f t="shared" si="27"/>
        <v>12034.276122186202</v>
      </c>
      <c r="H46" s="364">
        <f t="shared" si="28"/>
        <v>12034.276122186202</v>
      </c>
      <c r="I46" s="52">
        <f t="shared" si="0"/>
        <v>0</v>
      </c>
      <c r="J46" s="52"/>
      <c r="K46" s="129"/>
      <c r="L46" s="54">
        <f t="shared" si="1"/>
        <v>0</v>
      </c>
      <c r="M46" s="129"/>
      <c r="N46" s="54">
        <f t="shared" si="2"/>
        <v>0</v>
      </c>
      <c r="O46" s="54">
        <f t="shared" si="3"/>
        <v>0</v>
      </c>
      <c r="P46" s="1"/>
    </row>
    <row r="47" spans="2:16" ht="12.5">
      <c r="B47" s="7" t="str">
        <f t="shared" si="6"/>
        <v/>
      </c>
      <c r="C47" s="50">
        <f>IF(D11="","-",+C46+1)</f>
        <v>2037</v>
      </c>
      <c r="D47" s="55">
        <f>IF(F46+SUM(E$17:E46)=D$10,F46,D$10-SUM(E$17:E46))</f>
        <v>63353.841144816659</v>
      </c>
      <c r="E47" s="378">
        <f>IF(+I14&lt;F46,I14,D47)</f>
        <v>4210.159090909091</v>
      </c>
      <c r="F47" s="55">
        <f t="shared" si="26"/>
        <v>59143.682053907571</v>
      </c>
      <c r="G47" s="379">
        <f t="shared" si="27"/>
        <v>11531.047882242678</v>
      </c>
      <c r="H47" s="364">
        <f t="shared" si="28"/>
        <v>11531.047882242678</v>
      </c>
      <c r="I47" s="52">
        <f t="shared" si="0"/>
        <v>0</v>
      </c>
      <c r="J47" s="52"/>
      <c r="K47" s="129"/>
      <c r="L47" s="54">
        <f t="shared" si="1"/>
        <v>0</v>
      </c>
      <c r="M47" s="129"/>
      <c r="N47" s="54">
        <f t="shared" si="2"/>
        <v>0</v>
      </c>
      <c r="O47" s="54">
        <f t="shared" si="3"/>
        <v>0</v>
      </c>
      <c r="P47" s="1"/>
    </row>
    <row r="48" spans="2:16" ht="12.5">
      <c r="B48" s="7" t="str">
        <f t="shared" si="6"/>
        <v/>
      </c>
      <c r="C48" s="50">
        <f>IF(D11="","-",+C47+1)</f>
        <v>2038</v>
      </c>
      <c r="D48" s="55">
        <f>IF(F47+SUM(E$17:E47)=D$10,F47,D$10-SUM(E$17:E47))</f>
        <v>59143.682053907571</v>
      </c>
      <c r="E48" s="378">
        <f>IF(+I14&lt;F47,I14,D48)</f>
        <v>4210.159090909091</v>
      </c>
      <c r="F48" s="55">
        <f t="shared" si="26"/>
        <v>54933.522962998482</v>
      </c>
      <c r="G48" s="379">
        <f t="shared" si="27"/>
        <v>11027.819642299153</v>
      </c>
      <c r="H48" s="364">
        <f t="shared" si="28"/>
        <v>11027.819642299153</v>
      </c>
      <c r="I48" s="52">
        <f t="shared" si="0"/>
        <v>0</v>
      </c>
      <c r="J48" s="52"/>
      <c r="K48" s="129"/>
      <c r="L48" s="54">
        <f t="shared" si="1"/>
        <v>0</v>
      </c>
      <c r="M48" s="129"/>
      <c r="N48" s="54">
        <f t="shared" si="2"/>
        <v>0</v>
      </c>
      <c r="O48" s="54">
        <f t="shared" si="3"/>
        <v>0</v>
      </c>
      <c r="P48" s="1"/>
    </row>
    <row r="49" spans="2:17" ht="12.5">
      <c r="B49" s="7" t="str">
        <f t="shared" si="6"/>
        <v/>
      </c>
      <c r="C49" s="50">
        <f>IF(D11="","-",+C48+1)</f>
        <v>2039</v>
      </c>
      <c r="D49" s="55">
        <f>IF(F48+SUM(E$17:E48)=D$10,F48,D$10-SUM(E$17:E48))</f>
        <v>54933.522962998482</v>
      </c>
      <c r="E49" s="378">
        <f>IF(+I14&lt;F48,I14,D49)</f>
        <v>4210.159090909091</v>
      </c>
      <c r="F49" s="55">
        <f t="shared" ref="F49:F72" si="29">+D49-E49</f>
        <v>50723.363872089394</v>
      </c>
      <c r="G49" s="379">
        <f t="shared" si="27"/>
        <v>10524.591402355629</v>
      </c>
      <c r="H49" s="364">
        <f t="shared" si="28"/>
        <v>10524.591402355629</v>
      </c>
      <c r="I49" s="52">
        <f t="shared" ref="I49:I72" si="30">H49-G49</f>
        <v>0</v>
      </c>
      <c r="J49" s="52"/>
      <c r="K49" s="129"/>
      <c r="L49" s="54">
        <f t="shared" ref="L49:L72" si="31">IF(K49&lt;&gt;0,+G49-K49,0)</f>
        <v>0</v>
      </c>
      <c r="M49" s="129"/>
      <c r="N49" s="54">
        <f t="shared" ref="N49:N72" si="32">IF(M49&lt;&gt;0,+H49-M49,0)</f>
        <v>0</v>
      </c>
      <c r="O49" s="54">
        <f t="shared" ref="O49:O72" si="33">+N49-L49</f>
        <v>0</v>
      </c>
      <c r="P49" s="1"/>
    </row>
    <row r="50" spans="2:17" ht="12.5">
      <c r="B50" s="7" t="str">
        <f t="shared" si="6"/>
        <v/>
      </c>
      <c r="C50" s="50">
        <f>IF(D11="","-",+C49+1)</f>
        <v>2040</v>
      </c>
      <c r="D50" s="55">
        <f>IF(F49+SUM(E$17:E49)=D$10,F49,D$10-SUM(E$17:E49))</f>
        <v>50723.363872089394</v>
      </c>
      <c r="E50" s="378">
        <f>IF(+I14&lt;F49,I14,D50)</f>
        <v>4210.159090909091</v>
      </c>
      <c r="F50" s="55">
        <f t="shared" si="29"/>
        <v>46513.204781180306</v>
      </c>
      <c r="G50" s="379">
        <f t="shared" si="27"/>
        <v>10021.363162412103</v>
      </c>
      <c r="H50" s="364">
        <f t="shared" si="28"/>
        <v>10021.363162412103</v>
      </c>
      <c r="I50" s="52">
        <f t="shared" si="30"/>
        <v>0</v>
      </c>
      <c r="J50" s="52"/>
      <c r="K50" s="129"/>
      <c r="L50" s="54">
        <f t="shared" si="31"/>
        <v>0</v>
      </c>
      <c r="M50" s="129"/>
      <c r="N50" s="54">
        <f t="shared" si="32"/>
        <v>0</v>
      </c>
      <c r="O50" s="54">
        <f t="shared" si="33"/>
        <v>0</v>
      </c>
      <c r="P50" s="1"/>
    </row>
    <row r="51" spans="2:17" ht="12.5">
      <c r="B51" s="7" t="str">
        <f t="shared" si="6"/>
        <v/>
      </c>
      <c r="C51" s="50">
        <f>IF(D11="","-",+C50+1)</f>
        <v>2041</v>
      </c>
      <c r="D51" s="55">
        <f>IF(F50+SUM(E$17:E50)=D$10,F50,D$10-SUM(E$17:E50))</f>
        <v>46513.204781180306</v>
      </c>
      <c r="E51" s="378">
        <f>IF(+I14&lt;F50,I14,D51)</f>
        <v>4210.159090909091</v>
      </c>
      <c r="F51" s="55">
        <f t="shared" si="29"/>
        <v>42303.045690271218</v>
      </c>
      <c r="G51" s="379">
        <f t="shared" si="27"/>
        <v>9518.1349224685782</v>
      </c>
      <c r="H51" s="364">
        <f t="shared" si="28"/>
        <v>9518.1349224685782</v>
      </c>
      <c r="I51" s="52">
        <f t="shared" si="30"/>
        <v>0</v>
      </c>
      <c r="J51" s="52"/>
      <c r="K51" s="129"/>
      <c r="L51" s="54">
        <f t="shared" si="31"/>
        <v>0</v>
      </c>
      <c r="M51" s="129"/>
      <c r="N51" s="54">
        <f t="shared" si="32"/>
        <v>0</v>
      </c>
      <c r="O51" s="54">
        <f t="shared" si="33"/>
        <v>0</v>
      </c>
      <c r="P51" s="1"/>
    </row>
    <row r="52" spans="2:17" ht="12.5">
      <c r="B52" s="7" t="str">
        <f t="shared" si="6"/>
        <v/>
      </c>
      <c r="C52" s="50">
        <f>IF(D11="","-",+C51+1)</f>
        <v>2042</v>
      </c>
      <c r="D52" s="55">
        <f>IF(F51+SUM(E$17:E51)=D$10,F51,D$10-SUM(E$17:E51))</f>
        <v>42303.045690271218</v>
      </c>
      <c r="E52" s="378">
        <f>IF(+I14&lt;F51,I14,D52)</f>
        <v>4210.159090909091</v>
      </c>
      <c r="F52" s="55">
        <f t="shared" si="29"/>
        <v>38092.886599362129</v>
      </c>
      <c r="G52" s="379">
        <f t="shared" si="27"/>
        <v>9014.906682525052</v>
      </c>
      <c r="H52" s="364">
        <f t="shared" si="28"/>
        <v>9014.906682525052</v>
      </c>
      <c r="I52" s="52">
        <f t="shared" si="30"/>
        <v>0</v>
      </c>
      <c r="J52" s="52"/>
      <c r="K52" s="129"/>
      <c r="L52" s="54">
        <f t="shared" si="31"/>
        <v>0</v>
      </c>
      <c r="M52" s="129"/>
      <c r="N52" s="54">
        <f t="shared" si="32"/>
        <v>0</v>
      </c>
      <c r="O52" s="54">
        <f t="shared" si="33"/>
        <v>0</v>
      </c>
      <c r="P52" s="1"/>
    </row>
    <row r="53" spans="2:17" ht="12.5">
      <c r="B53" s="7" t="str">
        <f t="shared" si="6"/>
        <v/>
      </c>
      <c r="C53" s="50">
        <f>IF(D11="","-",+C52+1)</f>
        <v>2043</v>
      </c>
      <c r="D53" s="55">
        <f>IF(F52+SUM(E$17:E52)=D$10,F52,D$10-SUM(E$17:E52))</f>
        <v>38092.886599362129</v>
      </c>
      <c r="E53" s="378">
        <f>IF(+I14&lt;F52,I14,D53)</f>
        <v>4210.159090909091</v>
      </c>
      <c r="F53" s="55">
        <f t="shared" si="29"/>
        <v>33882.727508453041</v>
      </c>
      <c r="G53" s="379">
        <f t="shared" si="27"/>
        <v>8511.6784425815276</v>
      </c>
      <c r="H53" s="364">
        <f t="shared" si="28"/>
        <v>8511.6784425815276</v>
      </c>
      <c r="I53" s="52">
        <f t="shared" si="30"/>
        <v>0</v>
      </c>
      <c r="J53" s="52"/>
      <c r="K53" s="129"/>
      <c r="L53" s="54">
        <f t="shared" si="31"/>
        <v>0</v>
      </c>
      <c r="M53" s="129"/>
      <c r="N53" s="54">
        <f t="shared" si="32"/>
        <v>0</v>
      </c>
      <c r="O53" s="54">
        <f t="shared" si="33"/>
        <v>0</v>
      </c>
      <c r="P53" s="1"/>
    </row>
    <row r="54" spans="2:17" ht="12.5">
      <c r="B54" s="7" t="str">
        <f t="shared" si="6"/>
        <v/>
      </c>
      <c r="C54" s="50">
        <f>IF(D11="","-",+C53+1)</f>
        <v>2044</v>
      </c>
      <c r="D54" s="55">
        <f>IF(F53+SUM(E$17:E53)=D$10,F53,D$10-SUM(E$17:E53))</f>
        <v>33882.727508453041</v>
      </c>
      <c r="E54" s="378">
        <f>IF(+I14&lt;F53,I14,D54)</f>
        <v>4210.159090909091</v>
      </c>
      <c r="F54" s="55">
        <f t="shared" si="29"/>
        <v>29672.568417543949</v>
      </c>
      <c r="G54" s="379">
        <f t="shared" si="27"/>
        <v>8008.4502026380032</v>
      </c>
      <c r="H54" s="364">
        <f t="shared" si="28"/>
        <v>8008.4502026380032</v>
      </c>
      <c r="I54" s="52">
        <f t="shared" si="30"/>
        <v>0</v>
      </c>
      <c r="J54" s="52"/>
      <c r="K54" s="129"/>
      <c r="L54" s="54">
        <f t="shared" si="31"/>
        <v>0</v>
      </c>
      <c r="M54" s="129"/>
      <c r="N54" s="54">
        <f t="shared" si="32"/>
        <v>0</v>
      </c>
      <c r="O54" s="54">
        <f t="shared" si="33"/>
        <v>0</v>
      </c>
      <c r="P54" s="1"/>
    </row>
    <row r="55" spans="2:17" ht="12.5">
      <c r="B55" s="7" t="str">
        <f t="shared" si="6"/>
        <v/>
      </c>
      <c r="C55" s="50">
        <f>IF(D11="","-",+C54+1)</f>
        <v>2045</v>
      </c>
      <c r="D55" s="55">
        <f>IF(F54+SUM(E$17:E54)=D$10,F54,D$10-SUM(E$17:E54))</f>
        <v>29672.568417543949</v>
      </c>
      <c r="E55" s="378">
        <f>IF(+I14&lt;F54,I14,D55)</f>
        <v>4210.159090909091</v>
      </c>
      <c r="F55" s="55">
        <f t="shared" si="29"/>
        <v>25462.409326634857</v>
      </c>
      <c r="G55" s="379">
        <f t="shared" si="27"/>
        <v>7505.221962694478</v>
      </c>
      <c r="H55" s="364">
        <f t="shared" si="28"/>
        <v>7505.221962694478</v>
      </c>
      <c r="I55" s="52">
        <f t="shared" si="30"/>
        <v>0</v>
      </c>
      <c r="J55" s="52"/>
      <c r="K55" s="129"/>
      <c r="L55" s="54">
        <f t="shared" si="31"/>
        <v>0</v>
      </c>
      <c r="M55" s="129"/>
      <c r="N55" s="54">
        <f t="shared" si="32"/>
        <v>0</v>
      </c>
      <c r="O55" s="54">
        <f t="shared" si="33"/>
        <v>0</v>
      </c>
      <c r="P55" s="1"/>
    </row>
    <row r="56" spans="2:17" ht="12.5">
      <c r="B56" s="7" t="str">
        <f t="shared" si="6"/>
        <v/>
      </c>
      <c r="C56" s="50">
        <f>IF(D11="","-",+C55+1)</f>
        <v>2046</v>
      </c>
      <c r="D56" s="55">
        <f>IF(F55+SUM(E$17:E55)=D$10,F55,D$10-SUM(E$17:E55))</f>
        <v>25462.409326634857</v>
      </c>
      <c r="E56" s="378">
        <f>IF(+I14&lt;F55,I14,D56)</f>
        <v>4210.159090909091</v>
      </c>
      <c r="F56" s="55">
        <f t="shared" si="29"/>
        <v>21252.250235725765</v>
      </c>
      <c r="G56" s="379">
        <f t="shared" si="27"/>
        <v>7001.9937227509527</v>
      </c>
      <c r="H56" s="364">
        <f t="shared" si="28"/>
        <v>7001.9937227509527</v>
      </c>
      <c r="I56" s="52">
        <f t="shared" si="30"/>
        <v>0</v>
      </c>
      <c r="J56" s="52"/>
      <c r="K56" s="129"/>
      <c r="L56" s="54">
        <f t="shared" si="31"/>
        <v>0</v>
      </c>
      <c r="M56" s="129"/>
      <c r="N56" s="54">
        <f t="shared" si="32"/>
        <v>0</v>
      </c>
      <c r="O56" s="54">
        <f t="shared" si="33"/>
        <v>0</v>
      </c>
      <c r="P56" s="1"/>
    </row>
    <row r="57" spans="2:17" ht="12.5">
      <c r="B57" s="7" t="str">
        <f t="shared" si="6"/>
        <v/>
      </c>
      <c r="C57" s="50">
        <f>IF(D11="","-",+C56+1)</f>
        <v>2047</v>
      </c>
      <c r="D57" s="55">
        <f>IF(F56+SUM(E$17:E56)=D$10,F56,D$10-SUM(E$17:E56))</f>
        <v>21252.250235725765</v>
      </c>
      <c r="E57" s="378">
        <f>IF(+I14&lt;F56,I14,D57)</f>
        <v>4210.159090909091</v>
      </c>
      <c r="F57" s="55">
        <f t="shared" si="29"/>
        <v>17042.091144816673</v>
      </c>
      <c r="G57" s="379">
        <f t="shared" si="27"/>
        <v>6498.7654828074274</v>
      </c>
      <c r="H57" s="364">
        <f t="shared" si="28"/>
        <v>6498.7654828074274</v>
      </c>
      <c r="I57" s="52">
        <f t="shared" si="30"/>
        <v>0</v>
      </c>
      <c r="J57" s="52"/>
      <c r="K57" s="129"/>
      <c r="L57" s="54">
        <f t="shared" si="31"/>
        <v>0</v>
      </c>
      <c r="M57" s="129"/>
      <c r="N57" s="54">
        <f t="shared" si="32"/>
        <v>0</v>
      </c>
      <c r="O57" s="54">
        <f t="shared" si="33"/>
        <v>0</v>
      </c>
      <c r="P57" s="1"/>
    </row>
    <row r="58" spans="2:17" ht="12.5">
      <c r="B58" s="7" t="str">
        <f t="shared" si="6"/>
        <v/>
      </c>
      <c r="C58" s="50">
        <f>IF(D11="","-",+C57+1)</f>
        <v>2048</v>
      </c>
      <c r="D58" s="55">
        <f>IF(F57+SUM(E$17:E57)=D$10,F57,D$10-SUM(E$17:E57))</f>
        <v>17042.091144816673</v>
      </c>
      <c r="E58" s="378">
        <f>IF(+I14&lt;F57,I14,D58)</f>
        <v>4210.159090909091</v>
      </c>
      <c r="F58" s="55">
        <f t="shared" si="29"/>
        <v>12831.932053907582</v>
      </c>
      <c r="G58" s="379">
        <f t="shared" si="27"/>
        <v>5995.5372428639021</v>
      </c>
      <c r="H58" s="364">
        <f t="shared" si="28"/>
        <v>5995.5372428639021</v>
      </c>
      <c r="I58" s="52">
        <f t="shared" si="30"/>
        <v>0</v>
      </c>
      <c r="J58" s="52"/>
      <c r="K58" s="129"/>
      <c r="L58" s="54">
        <f t="shared" si="31"/>
        <v>0</v>
      </c>
      <c r="M58" s="129"/>
      <c r="N58" s="54">
        <f t="shared" si="32"/>
        <v>0</v>
      </c>
      <c r="O58" s="54">
        <f t="shared" si="33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6"/>
        <v/>
      </c>
      <c r="C59" s="50">
        <f>IF(D11="","-",+C58+1)</f>
        <v>2049</v>
      </c>
      <c r="D59" s="55">
        <f>IF(F58+SUM(E$17:E58)=D$10,F58,D$10-SUM(E$17:E58))</f>
        <v>12831.932053907582</v>
      </c>
      <c r="E59" s="378">
        <f>IF(+I14&lt;F58,I14,D59)</f>
        <v>4210.159090909091</v>
      </c>
      <c r="F59" s="55">
        <f t="shared" si="29"/>
        <v>8621.7729629984897</v>
      </c>
      <c r="G59" s="379">
        <f t="shared" si="27"/>
        <v>5492.3090029203777</v>
      </c>
      <c r="H59" s="364">
        <f t="shared" si="28"/>
        <v>5492.3090029203777</v>
      </c>
      <c r="I59" s="52">
        <f t="shared" si="30"/>
        <v>0</v>
      </c>
      <c r="J59" s="52"/>
      <c r="K59" s="129"/>
      <c r="L59" s="54">
        <f t="shared" si="31"/>
        <v>0</v>
      </c>
      <c r="M59" s="129"/>
      <c r="N59" s="54">
        <f t="shared" si="32"/>
        <v>0</v>
      </c>
      <c r="O59" s="54">
        <f t="shared" si="33"/>
        <v>0</v>
      </c>
      <c r="P59" s="1"/>
    </row>
    <row r="60" spans="2:17" ht="12.5">
      <c r="B60" s="7" t="str">
        <f t="shared" si="6"/>
        <v/>
      </c>
      <c r="C60" s="50">
        <f>IF(D11="","-",+C59+1)</f>
        <v>2050</v>
      </c>
      <c r="D60" s="55">
        <f>IF(F59+SUM(E$17:E59)=D$10,F59,D$10-SUM(E$17:E59))</f>
        <v>8621.7729629984897</v>
      </c>
      <c r="E60" s="378">
        <f>IF(+I14&lt;F59,I14,D60)</f>
        <v>4210.159090909091</v>
      </c>
      <c r="F60" s="55">
        <f t="shared" si="29"/>
        <v>4411.6138720893987</v>
      </c>
      <c r="G60" s="379">
        <f t="shared" si="27"/>
        <v>4989.0807629768524</v>
      </c>
      <c r="H60" s="364">
        <f t="shared" si="28"/>
        <v>4989.0807629768524</v>
      </c>
      <c r="I60" s="52">
        <f t="shared" si="30"/>
        <v>0</v>
      </c>
      <c r="J60" s="52"/>
      <c r="K60" s="129"/>
      <c r="L60" s="54">
        <f t="shared" si="31"/>
        <v>0</v>
      </c>
      <c r="M60" s="129"/>
      <c r="N60" s="54">
        <f t="shared" si="32"/>
        <v>0</v>
      </c>
      <c r="O60" s="54">
        <f t="shared" si="33"/>
        <v>0</v>
      </c>
      <c r="P60" s="1"/>
    </row>
    <row r="61" spans="2:17" ht="12.5">
      <c r="B61" s="7" t="str">
        <f t="shared" si="6"/>
        <v/>
      </c>
      <c r="C61" s="50">
        <f>IF(D11="","-",+C60+1)</f>
        <v>2051</v>
      </c>
      <c r="D61" s="55">
        <f>IF(F60+SUM(E$17:E60)=D$10,F60,D$10-SUM(E$17:E60))</f>
        <v>4411.6138720893987</v>
      </c>
      <c r="E61" s="378">
        <f>IF(+I14&lt;F60,I14,D61)</f>
        <v>4210.159090909091</v>
      </c>
      <c r="F61" s="55">
        <f t="shared" si="29"/>
        <v>201.45478118030769</v>
      </c>
      <c r="G61" s="380">
        <f t="shared" si="27"/>
        <v>4485.8525230333271</v>
      </c>
      <c r="H61" s="364">
        <f t="shared" si="28"/>
        <v>4485.8525230333271</v>
      </c>
      <c r="I61" s="52">
        <f t="shared" si="30"/>
        <v>0</v>
      </c>
      <c r="J61" s="52"/>
      <c r="K61" s="129"/>
      <c r="L61" s="54">
        <f t="shared" si="31"/>
        <v>0</v>
      </c>
      <c r="M61" s="129"/>
      <c r="N61" s="54">
        <f t="shared" si="32"/>
        <v>0</v>
      </c>
      <c r="O61" s="54">
        <f t="shared" si="33"/>
        <v>0</v>
      </c>
      <c r="P61" s="1"/>
    </row>
    <row r="62" spans="2:17" ht="12.5">
      <c r="B62" s="7" t="str">
        <f t="shared" si="6"/>
        <v/>
      </c>
      <c r="C62" s="50">
        <f>IF(D11="","-",+C61+1)</f>
        <v>2052</v>
      </c>
      <c r="D62" s="55">
        <f>IF(F61+SUM(E$17:E61)=D$10,F61,D$10-SUM(E$17:E61))</f>
        <v>201.45478118030769</v>
      </c>
      <c r="E62" s="378">
        <f>IF(+I14&lt;F61,I14,D62)</f>
        <v>201.45478118030769</v>
      </c>
      <c r="F62" s="55">
        <f t="shared" si="29"/>
        <v>0</v>
      </c>
      <c r="G62" s="380">
        <f t="shared" si="27"/>
        <v>213.49443725654447</v>
      </c>
      <c r="H62" s="364">
        <f t="shared" si="28"/>
        <v>213.49443725654447</v>
      </c>
      <c r="I62" s="52">
        <f t="shared" si="30"/>
        <v>0</v>
      </c>
      <c r="J62" s="52"/>
      <c r="K62" s="129"/>
      <c r="L62" s="54">
        <f t="shared" si="31"/>
        <v>0</v>
      </c>
      <c r="M62" s="129"/>
      <c r="N62" s="54">
        <f t="shared" si="32"/>
        <v>0</v>
      </c>
      <c r="O62" s="54">
        <f t="shared" si="33"/>
        <v>0</v>
      </c>
      <c r="P62" s="1"/>
    </row>
    <row r="63" spans="2:17" ht="12.5">
      <c r="B63" s="7" t="str">
        <f t="shared" si="6"/>
        <v/>
      </c>
      <c r="C63" s="50">
        <f>IF(D11="","-",+C62+1)</f>
        <v>2053</v>
      </c>
      <c r="D63" s="55">
        <f>IF(F62+SUM(E$17:E62)=D$10,F62,D$10-SUM(E$17:E62))</f>
        <v>0</v>
      </c>
      <c r="E63" s="378">
        <f>IF(+I14&lt;F62,I14,D63)</f>
        <v>0</v>
      </c>
      <c r="F63" s="55">
        <f t="shared" si="29"/>
        <v>0</v>
      </c>
      <c r="G63" s="380">
        <f t="shared" si="27"/>
        <v>0</v>
      </c>
      <c r="H63" s="364">
        <f t="shared" si="28"/>
        <v>0</v>
      </c>
      <c r="I63" s="52">
        <f t="shared" si="30"/>
        <v>0</v>
      </c>
      <c r="J63" s="52"/>
      <c r="K63" s="129"/>
      <c r="L63" s="54">
        <f t="shared" si="31"/>
        <v>0</v>
      </c>
      <c r="M63" s="129"/>
      <c r="N63" s="54">
        <f t="shared" si="32"/>
        <v>0</v>
      </c>
      <c r="O63" s="54">
        <f t="shared" si="33"/>
        <v>0</v>
      </c>
      <c r="P63" s="1"/>
    </row>
    <row r="64" spans="2:17" ht="12.5">
      <c r="B64" s="7" t="str">
        <f t="shared" si="6"/>
        <v/>
      </c>
      <c r="C64" s="50">
        <f>IF(D11="","-",+C63+1)</f>
        <v>2054</v>
      </c>
      <c r="D64" s="55">
        <f>IF(F63+SUM(E$17:E63)=D$10,F63,D$10-SUM(E$17:E63))</f>
        <v>0</v>
      </c>
      <c r="E64" s="378">
        <f>IF(+I14&lt;F63,I14,D64)</f>
        <v>0</v>
      </c>
      <c r="F64" s="55">
        <f t="shared" si="29"/>
        <v>0</v>
      </c>
      <c r="G64" s="380">
        <f t="shared" si="27"/>
        <v>0</v>
      </c>
      <c r="H64" s="364">
        <f t="shared" si="28"/>
        <v>0</v>
      </c>
      <c r="I64" s="52">
        <f t="shared" si="30"/>
        <v>0</v>
      </c>
      <c r="J64" s="52"/>
      <c r="K64" s="129"/>
      <c r="L64" s="54">
        <f t="shared" si="31"/>
        <v>0</v>
      </c>
      <c r="M64" s="129"/>
      <c r="N64" s="54">
        <f t="shared" si="32"/>
        <v>0</v>
      </c>
      <c r="O64" s="54">
        <f t="shared" si="33"/>
        <v>0</v>
      </c>
      <c r="P64" s="1"/>
    </row>
    <row r="65" spans="1:16" ht="12.5">
      <c r="B65" s="7" t="str">
        <f t="shared" si="6"/>
        <v/>
      </c>
      <c r="C65" s="50">
        <f>IF(D11="","-",+C64+1)</f>
        <v>2055</v>
      </c>
      <c r="D65" s="55">
        <f>IF(F64+SUM(E$17:E64)=D$10,F64,D$10-SUM(E$17:E64))</f>
        <v>0</v>
      </c>
      <c r="E65" s="378">
        <f>IF(+I14&lt;F64,I14,D65)</f>
        <v>0</v>
      </c>
      <c r="F65" s="55">
        <f t="shared" si="29"/>
        <v>0</v>
      </c>
      <c r="G65" s="380">
        <f t="shared" si="27"/>
        <v>0</v>
      </c>
      <c r="H65" s="364">
        <f t="shared" si="28"/>
        <v>0</v>
      </c>
      <c r="I65" s="52">
        <f t="shared" si="30"/>
        <v>0</v>
      </c>
      <c r="J65" s="52"/>
      <c r="K65" s="129"/>
      <c r="L65" s="54">
        <f t="shared" si="31"/>
        <v>0</v>
      </c>
      <c r="M65" s="129"/>
      <c r="N65" s="54">
        <f t="shared" si="32"/>
        <v>0</v>
      </c>
      <c r="O65" s="54">
        <f t="shared" si="33"/>
        <v>0</v>
      </c>
      <c r="P65" s="1"/>
    </row>
    <row r="66" spans="1:16" ht="12.5">
      <c r="B66" s="7" t="str">
        <f t="shared" si="6"/>
        <v/>
      </c>
      <c r="C66" s="50">
        <f>IF(D11="","-",+C65+1)</f>
        <v>2056</v>
      </c>
      <c r="D66" s="55">
        <f>IF(F65+SUM(E$17:E65)=D$10,F65,D$10-SUM(E$17:E65))</f>
        <v>0</v>
      </c>
      <c r="E66" s="378">
        <f>IF(+I14&lt;F65,I14,D66)</f>
        <v>0</v>
      </c>
      <c r="F66" s="55">
        <f t="shared" si="29"/>
        <v>0</v>
      </c>
      <c r="G66" s="380">
        <f t="shared" si="27"/>
        <v>0</v>
      </c>
      <c r="H66" s="364">
        <f t="shared" si="28"/>
        <v>0</v>
      </c>
      <c r="I66" s="52">
        <f t="shared" si="30"/>
        <v>0</v>
      </c>
      <c r="J66" s="52"/>
      <c r="K66" s="129"/>
      <c r="L66" s="54">
        <f t="shared" si="31"/>
        <v>0</v>
      </c>
      <c r="M66" s="129"/>
      <c r="N66" s="54">
        <f t="shared" si="32"/>
        <v>0</v>
      </c>
      <c r="O66" s="54">
        <f t="shared" si="33"/>
        <v>0</v>
      </c>
      <c r="P66" s="1"/>
    </row>
    <row r="67" spans="1:16" ht="12.5">
      <c r="B67" s="7" t="str">
        <f t="shared" si="6"/>
        <v/>
      </c>
      <c r="C67" s="50">
        <f>IF(D11="","-",+C66+1)</f>
        <v>2057</v>
      </c>
      <c r="D67" s="55">
        <f>IF(F66+SUM(E$17:E66)=D$10,F66,D$10-SUM(E$17:E66))</f>
        <v>0</v>
      </c>
      <c r="E67" s="378">
        <f>IF(+I14&lt;F66,I14,D67)</f>
        <v>0</v>
      </c>
      <c r="F67" s="55">
        <f t="shared" si="29"/>
        <v>0</v>
      </c>
      <c r="G67" s="380">
        <f t="shared" si="27"/>
        <v>0</v>
      </c>
      <c r="H67" s="364">
        <f t="shared" si="28"/>
        <v>0</v>
      </c>
      <c r="I67" s="52">
        <f t="shared" si="30"/>
        <v>0</v>
      </c>
      <c r="J67" s="52"/>
      <c r="K67" s="129"/>
      <c r="L67" s="54">
        <f t="shared" si="31"/>
        <v>0</v>
      </c>
      <c r="M67" s="129"/>
      <c r="N67" s="54">
        <f t="shared" si="32"/>
        <v>0</v>
      </c>
      <c r="O67" s="54">
        <f t="shared" si="33"/>
        <v>0</v>
      </c>
      <c r="P67" s="1"/>
    </row>
    <row r="68" spans="1:16" ht="12.5">
      <c r="B68" s="7" t="str">
        <f t="shared" si="6"/>
        <v/>
      </c>
      <c r="C68" s="50">
        <f>IF(D11="","-",+C67+1)</f>
        <v>2058</v>
      </c>
      <c r="D68" s="55">
        <f>IF(F67+SUM(E$17:E67)=D$10,F67,D$10-SUM(E$17:E67))</f>
        <v>0</v>
      </c>
      <c r="E68" s="378">
        <f>IF(+I14&lt;F67,I14,D68)</f>
        <v>0</v>
      </c>
      <c r="F68" s="55">
        <f t="shared" si="29"/>
        <v>0</v>
      </c>
      <c r="G68" s="380">
        <f t="shared" si="27"/>
        <v>0</v>
      </c>
      <c r="H68" s="364">
        <f t="shared" si="28"/>
        <v>0</v>
      </c>
      <c r="I68" s="52">
        <f t="shared" si="30"/>
        <v>0</v>
      </c>
      <c r="J68" s="52"/>
      <c r="K68" s="129"/>
      <c r="L68" s="54">
        <f t="shared" si="31"/>
        <v>0</v>
      </c>
      <c r="M68" s="129"/>
      <c r="N68" s="54">
        <f t="shared" si="32"/>
        <v>0</v>
      </c>
      <c r="O68" s="54">
        <f t="shared" si="33"/>
        <v>0</v>
      </c>
      <c r="P68" s="1"/>
    </row>
    <row r="69" spans="1:16" ht="12.5">
      <c r="B69" s="7" t="str">
        <f t="shared" si="6"/>
        <v/>
      </c>
      <c r="C69" s="50">
        <f>IF(D11="","-",+C68+1)</f>
        <v>2059</v>
      </c>
      <c r="D69" s="55">
        <f>IF(F68+SUM(E$17:E68)=D$10,F68,D$10-SUM(E$17:E68))</f>
        <v>0</v>
      </c>
      <c r="E69" s="378">
        <f>IF(+I14&lt;F68,I14,D69)</f>
        <v>0</v>
      </c>
      <c r="F69" s="55">
        <f t="shared" si="29"/>
        <v>0</v>
      </c>
      <c r="G69" s="380">
        <f t="shared" si="27"/>
        <v>0</v>
      </c>
      <c r="H69" s="364">
        <f t="shared" si="28"/>
        <v>0</v>
      </c>
      <c r="I69" s="52">
        <f t="shared" si="30"/>
        <v>0</v>
      </c>
      <c r="J69" s="52"/>
      <c r="K69" s="129"/>
      <c r="L69" s="54">
        <f t="shared" si="31"/>
        <v>0</v>
      </c>
      <c r="M69" s="129"/>
      <c r="N69" s="54">
        <f t="shared" si="32"/>
        <v>0</v>
      </c>
      <c r="O69" s="54">
        <f t="shared" si="33"/>
        <v>0</v>
      </c>
      <c r="P69" s="1"/>
    </row>
    <row r="70" spans="1:16" ht="12.5">
      <c r="B70" s="7" t="str">
        <f t="shared" si="6"/>
        <v/>
      </c>
      <c r="C70" s="50">
        <f>IF(D11="","-",+C69+1)</f>
        <v>2060</v>
      </c>
      <c r="D70" s="55">
        <f>IF(F69+SUM(E$17:E69)=D$10,F69,D$10-SUM(E$17:E69))</f>
        <v>0</v>
      </c>
      <c r="E70" s="378">
        <f>IF(+I14&lt;F69,I14,D70)</f>
        <v>0</v>
      </c>
      <c r="F70" s="55">
        <f t="shared" si="29"/>
        <v>0</v>
      </c>
      <c r="G70" s="380">
        <f t="shared" si="27"/>
        <v>0</v>
      </c>
      <c r="H70" s="364">
        <f t="shared" si="28"/>
        <v>0</v>
      </c>
      <c r="I70" s="52">
        <f t="shared" si="30"/>
        <v>0</v>
      </c>
      <c r="J70" s="52"/>
      <c r="K70" s="129"/>
      <c r="L70" s="54">
        <f t="shared" si="31"/>
        <v>0</v>
      </c>
      <c r="M70" s="129"/>
      <c r="N70" s="54">
        <f t="shared" si="32"/>
        <v>0</v>
      </c>
      <c r="O70" s="54">
        <f t="shared" si="33"/>
        <v>0</v>
      </c>
      <c r="P70" s="1"/>
    </row>
    <row r="71" spans="1:16" ht="12.5">
      <c r="B71" s="7" t="str">
        <f t="shared" si="6"/>
        <v/>
      </c>
      <c r="C71" s="50">
        <f>IF(D11="","-",+C70+1)</f>
        <v>2061</v>
      </c>
      <c r="D71" s="55">
        <f>IF(F70+SUM(E$17:E70)=D$10,F70,D$10-SUM(E$17:E70))</f>
        <v>0</v>
      </c>
      <c r="E71" s="378">
        <f>IF(+I14&lt;F70,I14,D71)</f>
        <v>0</v>
      </c>
      <c r="F71" s="55">
        <f t="shared" si="29"/>
        <v>0</v>
      </c>
      <c r="G71" s="380">
        <f t="shared" si="27"/>
        <v>0</v>
      </c>
      <c r="H71" s="364">
        <f t="shared" si="28"/>
        <v>0</v>
      </c>
      <c r="I71" s="52">
        <f t="shared" si="30"/>
        <v>0</v>
      </c>
      <c r="J71" s="52"/>
      <c r="K71" s="129"/>
      <c r="L71" s="54">
        <f t="shared" si="31"/>
        <v>0</v>
      </c>
      <c r="M71" s="129"/>
      <c r="N71" s="54">
        <f t="shared" si="32"/>
        <v>0</v>
      </c>
      <c r="O71" s="54">
        <f t="shared" si="33"/>
        <v>0</v>
      </c>
      <c r="P71" s="1"/>
    </row>
    <row r="72" spans="1:16" ht="13" thickBot="1">
      <c r="B72" s="7" t="str">
        <f t="shared" si="6"/>
        <v/>
      </c>
      <c r="C72" s="59">
        <f>IF(D11="","-",+C71+1)</f>
        <v>2062</v>
      </c>
      <c r="D72" s="60">
        <f>IF(F71+SUM(E$17:E71)=D$10,F71,D$10-SUM(E$17:E71))</f>
        <v>0</v>
      </c>
      <c r="E72" s="381">
        <f>IF(+I14&lt;F71,I14,D72)</f>
        <v>0</v>
      </c>
      <c r="F72" s="60">
        <f t="shared" si="29"/>
        <v>0</v>
      </c>
      <c r="G72" s="382">
        <f t="shared" si="27"/>
        <v>0</v>
      </c>
      <c r="H72" s="362">
        <f t="shared" si="28"/>
        <v>0</v>
      </c>
      <c r="I72" s="63">
        <f t="shared" si="30"/>
        <v>0</v>
      </c>
      <c r="J72" s="52"/>
      <c r="K72" s="130"/>
      <c r="L72" s="64">
        <f t="shared" si="31"/>
        <v>0</v>
      </c>
      <c r="M72" s="130"/>
      <c r="N72" s="64">
        <f t="shared" si="32"/>
        <v>0</v>
      </c>
      <c r="O72" s="64">
        <f t="shared" si="33"/>
        <v>0</v>
      </c>
      <c r="P72" s="1"/>
    </row>
    <row r="73" spans="1:16" ht="12.5">
      <c r="C73" s="12" t="s">
        <v>78</v>
      </c>
      <c r="D73" s="293"/>
      <c r="E73" s="293">
        <f>SUM(E17:E72)</f>
        <v>185246.99999999997</v>
      </c>
      <c r="F73" s="293"/>
      <c r="G73" s="293">
        <f>SUM(G17:G72)</f>
        <v>660289.26709075086</v>
      </c>
      <c r="H73" s="293">
        <f>SUM(H17:H72)</f>
        <v>660289.26709075086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7.5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12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18073.015001508498</v>
      </c>
      <c r="N87" s="387">
        <f>IF(J92&lt;D11,0,VLOOKUP(J92,C17:O72,11))</f>
        <v>18073.015001508498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18418.414869221302</v>
      </c>
      <c r="N88" s="390">
        <f>IF(J92&lt;D11,0,VLOOKUP(J92,C99:P154,7))</f>
        <v>18418.414869221302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Knox Lee - Oak Hill #2 138 kV line, S. Shreveport  (SWE Minor Proj II)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345.39986771280383</v>
      </c>
      <c r="N89" s="392">
        <f>+N88-N87</f>
        <v>345.39986771280383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TP2004036</v>
      </c>
      <c r="E91" s="76" t="str">
        <f>E9</f>
        <v xml:space="preserve">SPP Project ID = </v>
      </c>
      <c r="F91" s="76" t="str">
        <f>F9</f>
        <v>41 &amp; 44</v>
      </c>
      <c r="G91" s="76"/>
      <c r="H91" s="76"/>
      <c r="I91" s="76"/>
      <c r="J91" s="95"/>
      <c r="Q91" s="1"/>
    </row>
    <row r="92" spans="1:17" ht="13">
      <c r="C92" s="34" t="s">
        <v>51</v>
      </c>
      <c r="D92" s="363">
        <f>D10</f>
        <v>185247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  <c r="Q92" s="1"/>
    </row>
    <row r="93" spans="1:17" ht="12.5">
      <c r="C93" s="34" t="s">
        <v>54</v>
      </c>
      <c r="D93" s="88">
        <f>IF(D11=I10,"",D11)</f>
        <v>2007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4">
        <f>IF(D11=I10,"",D12)</f>
        <v>7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4210.159090909091</v>
      </c>
      <c r="K96" s="293"/>
      <c r="L96" s="293"/>
      <c r="M96" s="293"/>
      <c r="N96" s="293"/>
      <c r="O96" s="293"/>
      <c r="P96" s="1"/>
      <c r="Q96" s="1"/>
    </row>
    <row r="97" spans="1:17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 ht="12.5">
      <c r="C99" s="50">
        <f>IF(D93= "","-",D93)</f>
        <v>2007</v>
      </c>
      <c r="D99" s="133">
        <f>IF(D93=C99,0,D92)</f>
        <v>0</v>
      </c>
      <c r="E99" s="376">
        <v>868</v>
      </c>
      <c r="F99" s="137">
        <f>77090-E99</f>
        <v>76222</v>
      </c>
      <c r="G99" s="140">
        <v>38111</v>
      </c>
      <c r="H99" s="397">
        <v>0</v>
      </c>
      <c r="I99" s="398">
        <v>0</v>
      </c>
      <c r="J99" s="54">
        <f t="shared" ref="J99:J130" si="34">+I99-H99</f>
        <v>0</v>
      </c>
      <c r="K99" s="54"/>
      <c r="L99" s="112">
        <v>0</v>
      </c>
      <c r="M99" s="53">
        <f t="shared" ref="M99:M130" si="35">IF(L99&lt;&gt;0,+H99-L99,0)</f>
        <v>0</v>
      </c>
      <c r="N99" s="112">
        <v>0</v>
      </c>
      <c r="O99" s="53">
        <f t="shared" ref="O99:O130" si="36">IF(N99&lt;&gt;0,+I99-N99,0)</f>
        <v>0</v>
      </c>
      <c r="P99" s="53">
        <f t="shared" ref="P99:P130" si="37">+O99-M99</f>
        <v>0</v>
      </c>
      <c r="Q99" s="1"/>
    </row>
    <row r="100" spans="1:17" ht="12.5">
      <c r="B100" s="7" t="str">
        <f>IF(D100=F99,"","IU")</f>
        <v>IU</v>
      </c>
      <c r="C100" s="50">
        <f>IF(D93="","-",+C99+1)</f>
        <v>2008</v>
      </c>
      <c r="D100" s="133">
        <v>122650</v>
      </c>
      <c r="E100" s="376">
        <v>3353</v>
      </c>
      <c r="F100" s="137">
        <v>119297</v>
      </c>
      <c r="G100" s="137">
        <v>120973.5</v>
      </c>
      <c r="H100" s="376">
        <v>22636</v>
      </c>
      <c r="I100" s="375">
        <v>22636</v>
      </c>
      <c r="J100" s="54">
        <f t="shared" si="34"/>
        <v>0</v>
      </c>
      <c r="K100" s="54"/>
      <c r="L100" s="113">
        <v>22636</v>
      </c>
      <c r="M100" s="54">
        <f t="shared" si="35"/>
        <v>0</v>
      </c>
      <c r="N100" s="113">
        <v>22636</v>
      </c>
      <c r="O100" s="54">
        <f t="shared" si="36"/>
        <v>0</v>
      </c>
      <c r="P100" s="54">
        <f t="shared" si="37"/>
        <v>0</v>
      </c>
      <c r="Q100" s="1"/>
    </row>
    <row r="101" spans="1:17" ht="12.5">
      <c r="B101" s="7"/>
      <c r="C101" s="50">
        <f>IF(D93="","-",+C100+1)</f>
        <v>2009</v>
      </c>
      <c r="D101" s="133">
        <v>119826</v>
      </c>
      <c r="E101" s="376">
        <v>3264</v>
      </c>
      <c r="F101" s="137">
        <v>116561</v>
      </c>
      <c r="G101" s="137">
        <v>118193</v>
      </c>
      <c r="H101" s="376">
        <v>20371</v>
      </c>
      <c r="I101" s="375">
        <v>20371</v>
      </c>
      <c r="J101" s="54">
        <f t="shared" si="34"/>
        <v>0</v>
      </c>
      <c r="K101" s="54"/>
      <c r="L101" s="113">
        <f t="shared" ref="L101:L106" si="38">H101</f>
        <v>20371</v>
      </c>
      <c r="M101" s="54">
        <f t="shared" si="35"/>
        <v>0</v>
      </c>
      <c r="N101" s="113">
        <f t="shared" ref="N101:N106" si="39">I101</f>
        <v>20371</v>
      </c>
      <c r="O101" s="54">
        <f t="shared" si="36"/>
        <v>0</v>
      </c>
      <c r="P101" s="54">
        <f t="shared" si="37"/>
        <v>0</v>
      </c>
      <c r="Q101" s="1"/>
    </row>
    <row r="102" spans="1:17" ht="12.5">
      <c r="B102" s="7" t="str">
        <f t="shared" ref="B102:B154" si="40">IF(D102=F101,"","IU")</f>
        <v>IU</v>
      </c>
      <c r="C102" s="50">
        <f>IF(D93="","-",+C101+1)</f>
        <v>2010</v>
      </c>
      <c r="D102" s="133">
        <v>177762</v>
      </c>
      <c r="E102" s="376">
        <v>4518.2195121951218</v>
      </c>
      <c r="F102" s="137">
        <v>173243.78048780488</v>
      </c>
      <c r="G102" s="137">
        <v>175502.89024390245</v>
      </c>
      <c r="H102" s="376">
        <v>33491.304062009942</v>
      </c>
      <c r="I102" s="375">
        <v>33491.304062009942</v>
      </c>
      <c r="J102" s="54">
        <f t="shared" si="34"/>
        <v>0</v>
      </c>
      <c r="K102" s="54"/>
      <c r="L102" s="113">
        <f t="shared" si="38"/>
        <v>33491.304062009942</v>
      </c>
      <c r="M102" s="54">
        <f t="shared" si="35"/>
        <v>0</v>
      </c>
      <c r="N102" s="113">
        <f t="shared" si="39"/>
        <v>33491.304062009942</v>
      </c>
      <c r="O102" s="54">
        <f t="shared" si="36"/>
        <v>0</v>
      </c>
      <c r="P102" s="54">
        <f t="shared" si="37"/>
        <v>0</v>
      </c>
      <c r="Q102" s="1"/>
    </row>
    <row r="103" spans="1:17" ht="12.5">
      <c r="B103" s="7" t="str">
        <f t="shared" si="40"/>
        <v/>
      </c>
      <c r="C103" s="50">
        <f>IF(D93="","-",+C102+1)</f>
        <v>2011</v>
      </c>
      <c r="D103" s="133">
        <v>173243.78048780488</v>
      </c>
      <c r="E103" s="377">
        <v>4410.6428571428569</v>
      </c>
      <c r="F103" s="137">
        <v>168833.13763066201</v>
      </c>
      <c r="G103" s="137">
        <v>171038.45905923343</v>
      </c>
      <c r="H103" s="376">
        <v>30131.389443457461</v>
      </c>
      <c r="I103" s="375">
        <v>30131.389443457461</v>
      </c>
      <c r="J103" s="54">
        <f t="shared" si="34"/>
        <v>0</v>
      </c>
      <c r="K103" s="54"/>
      <c r="L103" s="113">
        <f t="shared" si="38"/>
        <v>30131.389443457461</v>
      </c>
      <c r="M103" s="54">
        <f t="shared" si="35"/>
        <v>0</v>
      </c>
      <c r="N103" s="113">
        <f t="shared" si="39"/>
        <v>30131.389443457461</v>
      </c>
      <c r="O103" s="54">
        <f t="shared" si="36"/>
        <v>0</v>
      </c>
      <c r="P103" s="54">
        <f t="shared" si="37"/>
        <v>0</v>
      </c>
      <c r="Q103" s="1"/>
    </row>
    <row r="104" spans="1:17" ht="12.5">
      <c r="B104" s="7" t="str">
        <f t="shared" si="40"/>
        <v/>
      </c>
      <c r="C104" s="50">
        <f>IF(D93="","-",+C103+1)</f>
        <v>2012</v>
      </c>
      <c r="D104" s="133">
        <v>168833.13763066201</v>
      </c>
      <c r="E104" s="376">
        <v>4410.6428571428569</v>
      </c>
      <c r="F104" s="137">
        <v>164422.49477351914</v>
      </c>
      <c r="G104" s="137">
        <v>166627.81620209059</v>
      </c>
      <c r="H104" s="376">
        <v>28930.581157886962</v>
      </c>
      <c r="I104" s="375">
        <v>28930.581157886962</v>
      </c>
      <c r="J104" s="54">
        <f t="shared" si="34"/>
        <v>0</v>
      </c>
      <c r="K104" s="54"/>
      <c r="L104" s="113">
        <f t="shared" si="38"/>
        <v>28930.581157886962</v>
      </c>
      <c r="M104" s="54">
        <f t="shared" si="35"/>
        <v>0</v>
      </c>
      <c r="N104" s="113">
        <f t="shared" si="39"/>
        <v>28930.581157886962</v>
      </c>
      <c r="O104" s="54">
        <f t="shared" si="36"/>
        <v>0</v>
      </c>
      <c r="P104" s="54">
        <f t="shared" si="37"/>
        <v>0</v>
      </c>
      <c r="Q104" s="1"/>
    </row>
    <row r="105" spans="1:17" ht="12.5">
      <c r="B105" s="7" t="str">
        <f t="shared" si="40"/>
        <v/>
      </c>
      <c r="C105" s="50">
        <f>IF(D93="","-",+C104+1)</f>
        <v>2013</v>
      </c>
      <c r="D105" s="133">
        <v>164422.49477351914</v>
      </c>
      <c r="E105" s="376">
        <v>4410.6428571428569</v>
      </c>
      <c r="F105" s="137">
        <v>160011.85191637627</v>
      </c>
      <c r="G105" s="137">
        <v>162217.17334494769</v>
      </c>
      <c r="H105" s="376">
        <v>26357.280382807578</v>
      </c>
      <c r="I105" s="375">
        <v>26357.280382807578</v>
      </c>
      <c r="J105" s="54">
        <v>0</v>
      </c>
      <c r="K105" s="54"/>
      <c r="L105" s="113">
        <f t="shared" si="38"/>
        <v>26357.280382807578</v>
      </c>
      <c r="M105" s="54">
        <f t="shared" ref="M105:M110" si="41">IF(L105&lt;&gt;0,+H105-L105,0)</f>
        <v>0</v>
      </c>
      <c r="N105" s="113">
        <f t="shared" si="39"/>
        <v>26357.280382807578</v>
      </c>
      <c r="O105" s="54">
        <f t="shared" ref="O105:O110" si="42">IF(N105&lt;&gt;0,+I105-N105,0)</f>
        <v>0</v>
      </c>
      <c r="P105" s="54">
        <f t="shared" ref="P105:P110" si="43">+O105-M105</f>
        <v>0</v>
      </c>
      <c r="Q105" s="1"/>
    </row>
    <row r="106" spans="1:17" ht="12.5">
      <c r="B106" s="7" t="str">
        <f t="shared" si="40"/>
        <v/>
      </c>
      <c r="C106" s="50">
        <f>IF(D93="","-",+C105+1)</f>
        <v>2014</v>
      </c>
      <c r="D106" s="133">
        <v>160011.85191637627</v>
      </c>
      <c r="E106" s="376">
        <v>4410.6428571428569</v>
      </c>
      <c r="F106" s="137">
        <v>155601.2090592334</v>
      </c>
      <c r="G106" s="137">
        <v>157806.53048780485</v>
      </c>
      <c r="H106" s="376">
        <v>25860.252454473681</v>
      </c>
      <c r="I106" s="375">
        <v>25860.252454473681</v>
      </c>
      <c r="J106" s="54">
        <v>0</v>
      </c>
      <c r="K106" s="54"/>
      <c r="L106" s="113">
        <f t="shared" si="38"/>
        <v>25860.252454473681</v>
      </c>
      <c r="M106" s="54">
        <f t="shared" si="41"/>
        <v>0</v>
      </c>
      <c r="N106" s="113">
        <f t="shared" si="39"/>
        <v>25860.252454473681</v>
      </c>
      <c r="O106" s="54">
        <f t="shared" si="42"/>
        <v>0</v>
      </c>
      <c r="P106" s="54">
        <f t="shared" si="43"/>
        <v>0</v>
      </c>
      <c r="Q106" s="1"/>
    </row>
    <row r="107" spans="1:17" ht="12.5">
      <c r="B107" s="7" t="str">
        <f t="shared" si="40"/>
        <v/>
      </c>
      <c r="C107" s="50">
        <f>IF(D93="","-",+C106+1)</f>
        <v>2015</v>
      </c>
      <c r="D107" s="133">
        <v>155601.2090592334</v>
      </c>
      <c r="E107" s="376">
        <v>4410.6428571428569</v>
      </c>
      <c r="F107" s="137">
        <v>151190.56620209053</v>
      </c>
      <c r="G107" s="137">
        <v>153395.88763066195</v>
      </c>
      <c r="H107" s="376">
        <v>24623.446840873446</v>
      </c>
      <c r="I107" s="375">
        <v>24623.446840873446</v>
      </c>
      <c r="J107" s="54">
        <f t="shared" si="34"/>
        <v>0</v>
      </c>
      <c r="K107" s="54"/>
      <c r="L107" s="113">
        <f t="shared" ref="L107:L112" si="44">H107</f>
        <v>24623.446840873446</v>
      </c>
      <c r="M107" s="54">
        <f t="shared" si="41"/>
        <v>0</v>
      </c>
      <c r="N107" s="113">
        <f t="shared" ref="N107:N112" si="45">I107</f>
        <v>24623.446840873446</v>
      </c>
      <c r="O107" s="54">
        <f t="shared" si="42"/>
        <v>0</v>
      </c>
      <c r="P107" s="54">
        <f t="shared" si="43"/>
        <v>0</v>
      </c>
      <c r="Q107" s="1"/>
    </row>
    <row r="108" spans="1:17" ht="12.5">
      <c r="B108" s="7" t="str">
        <f t="shared" si="40"/>
        <v/>
      </c>
      <c r="C108" s="50">
        <f>IF(D93="","-",+C107+1)</f>
        <v>2016</v>
      </c>
      <c r="D108" s="133">
        <v>151190.56620209053</v>
      </c>
      <c r="E108" s="376">
        <v>4308.0697674418607</v>
      </c>
      <c r="F108" s="137">
        <v>146882.49643464867</v>
      </c>
      <c r="G108" s="137">
        <v>149036.53131836961</v>
      </c>
      <c r="H108" s="376">
        <v>23228.255672846972</v>
      </c>
      <c r="I108" s="375">
        <v>23228.255672846972</v>
      </c>
      <c r="J108" s="54">
        <f t="shared" si="34"/>
        <v>0</v>
      </c>
      <c r="K108" s="54"/>
      <c r="L108" s="113">
        <f t="shared" si="44"/>
        <v>23228.255672846972</v>
      </c>
      <c r="M108" s="54">
        <f t="shared" si="41"/>
        <v>0</v>
      </c>
      <c r="N108" s="113">
        <f t="shared" si="45"/>
        <v>23228.255672846972</v>
      </c>
      <c r="O108" s="54">
        <f t="shared" si="42"/>
        <v>0</v>
      </c>
      <c r="P108" s="54">
        <f t="shared" si="43"/>
        <v>0</v>
      </c>
      <c r="Q108" s="1"/>
    </row>
    <row r="109" spans="1:17" ht="12.5">
      <c r="B109" s="7" t="str">
        <f t="shared" si="40"/>
        <v/>
      </c>
      <c r="C109" s="50">
        <f>IF(D93="","-",+C108+1)</f>
        <v>2017</v>
      </c>
      <c r="D109" s="133">
        <v>146882.49643464867</v>
      </c>
      <c r="E109" s="376">
        <v>4410.6428571428569</v>
      </c>
      <c r="F109" s="137">
        <v>142471.8535775058</v>
      </c>
      <c r="G109" s="137">
        <v>144677.17500607722</v>
      </c>
      <c r="H109" s="376">
        <v>21984.790198731629</v>
      </c>
      <c r="I109" s="375">
        <v>21984.790198731629</v>
      </c>
      <c r="J109" s="54">
        <f t="shared" si="34"/>
        <v>0</v>
      </c>
      <c r="K109" s="54"/>
      <c r="L109" s="113">
        <f t="shared" si="44"/>
        <v>21984.790198731629</v>
      </c>
      <c r="M109" s="54">
        <f t="shared" si="41"/>
        <v>0</v>
      </c>
      <c r="N109" s="113">
        <f t="shared" si="45"/>
        <v>21984.790198731629</v>
      </c>
      <c r="O109" s="54">
        <f t="shared" si="42"/>
        <v>0</v>
      </c>
      <c r="P109" s="54">
        <f t="shared" si="43"/>
        <v>0</v>
      </c>
      <c r="Q109" s="1"/>
    </row>
    <row r="110" spans="1:17" ht="12.5">
      <c r="B110" s="7" t="str">
        <f t="shared" si="40"/>
        <v/>
      </c>
      <c r="C110" s="50">
        <f>IF(D93="","-",+C109+1)</f>
        <v>2018</v>
      </c>
      <c r="D110" s="133">
        <v>142471.8535775058</v>
      </c>
      <c r="E110" s="376">
        <v>4410.6428571428569</v>
      </c>
      <c r="F110" s="137">
        <v>138061.21072036293</v>
      </c>
      <c r="G110" s="137">
        <v>140266.53214893438</v>
      </c>
      <c r="H110" s="376">
        <v>19223.431889109233</v>
      </c>
      <c r="I110" s="375">
        <v>19223.431889109233</v>
      </c>
      <c r="J110" s="54">
        <f t="shared" si="34"/>
        <v>0</v>
      </c>
      <c r="K110" s="54"/>
      <c r="L110" s="113">
        <f t="shared" si="44"/>
        <v>19223.431889109233</v>
      </c>
      <c r="M110" s="54">
        <f t="shared" si="41"/>
        <v>0</v>
      </c>
      <c r="N110" s="113">
        <f t="shared" si="45"/>
        <v>19223.431889109233</v>
      </c>
      <c r="O110" s="54">
        <f t="shared" si="42"/>
        <v>0</v>
      </c>
      <c r="P110" s="54">
        <f t="shared" si="43"/>
        <v>0</v>
      </c>
      <c r="Q110" s="1"/>
    </row>
    <row r="111" spans="1:17" ht="12.5">
      <c r="B111" s="7" t="str">
        <f t="shared" si="40"/>
        <v/>
      </c>
      <c r="C111" s="50">
        <f>IF(D93="","-",+C110+1)</f>
        <v>2019</v>
      </c>
      <c r="D111" s="133">
        <v>138061.21072036293</v>
      </c>
      <c r="E111" s="376">
        <v>4308.0697674418607</v>
      </c>
      <c r="F111" s="137">
        <v>133753.14095292107</v>
      </c>
      <c r="G111" s="137">
        <v>135907.17583664198</v>
      </c>
      <c r="H111" s="376">
        <v>18855.648147984095</v>
      </c>
      <c r="I111" s="375">
        <v>18855.648147984095</v>
      </c>
      <c r="J111" s="54">
        <f t="shared" si="34"/>
        <v>0</v>
      </c>
      <c r="K111" s="54"/>
      <c r="L111" s="113">
        <f t="shared" si="44"/>
        <v>18855.648147984095</v>
      </c>
      <c r="M111" s="54">
        <f t="shared" ref="M111" si="46">IF(L111&lt;&gt;0,+H111-L111,0)</f>
        <v>0</v>
      </c>
      <c r="N111" s="113">
        <f t="shared" si="45"/>
        <v>18855.648147984095</v>
      </c>
      <c r="O111" s="54">
        <f t="shared" si="36"/>
        <v>0</v>
      </c>
      <c r="P111" s="54">
        <f t="shared" si="37"/>
        <v>0</v>
      </c>
      <c r="Q111" s="1"/>
    </row>
    <row r="112" spans="1:17" ht="12.5">
      <c r="B112" s="7" t="str">
        <f t="shared" si="40"/>
        <v/>
      </c>
      <c r="C112" s="50">
        <f>IF(D93="","-",+C111+1)</f>
        <v>2020</v>
      </c>
      <c r="D112" s="133">
        <v>133753.14095292107</v>
      </c>
      <c r="E112" s="376">
        <v>4410.6428571428569</v>
      </c>
      <c r="F112" s="137">
        <v>129342.49809577821</v>
      </c>
      <c r="G112" s="137">
        <v>131547.81952434964</v>
      </c>
      <c r="H112" s="376">
        <v>18561.745960492495</v>
      </c>
      <c r="I112" s="375">
        <v>18561.745960492495</v>
      </c>
      <c r="J112" s="54">
        <f t="shared" si="34"/>
        <v>0</v>
      </c>
      <c r="K112" s="54"/>
      <c r="L112" s="113">
        <f t="shared" si="44"/>
        <v>18561.745960492495</v>
      </c>
      <c r="M112" s="54">
        <f t="shared" ref="M112" si="47">IF(L112&lt;&gt;0,+H112-L112,0)</f>
        <v>0</v>
      </c>
      <c r="N112" s="113">
        <f t="shared" si="45"/>
        <v>18561.745960492495</v>
      </c>
      <c r="O112" s="54">
        <f t="shared" si="36"/>
        <v>0</v>
      </c>
      <c r="P112" s="54">
        <f t="shared" si="37"/>
        <v>0</v>
      </c>
      <c r="Q112" s="1"/>
    </row>
    <row r="113" spans="2:17" ht="12.5">
      <c r="B113" s="7" t="str">
        <f t="shared" si="40"/>
        <v/>
      </c>
      <c r="C113" s="50">
        <f>IF(D93="","-",+C112+1)</f>
        <v>2021</v>
      </c>
      <c r="D113" s="133">
        <v>129342.49809577821</v>
      </c>
      <c r="E113" s="376">
        <v>4518.2195121951218</v>
      </c>
      <c r="F113" s="137">
        <v>124824.27858358309</v>
      </c>
      <c r="G113" s="137">
        <v>127083.38833968065</v>
      </c>
      <c r="H113" s="376">
        <v>18943.99202428088</v>
      </c>
      <c r="I113" s="375">
        <v>18943.99202428088</v>
      </c>
      <c r="J113" s="54">
        <f t="shared" si="34"/>
        <v>0</v>
      </c>
      <c r="K113" s="54"/>
      <c r="L113" s="113">
        <f t="shared" ref="L113" si="48">H113</f>
        <v>18943.99202428088</v>
      </c>
      <c r="M113" s="54">
        <f t="shared" ref="M113" si="49">IF(L113&lt;&gt;0,+H113-L113,0)</f>
        <v>0</v>
      </c>
      <c r="N113" s="113">
        <f t="shared" ref="N113" si="50">I113</f>
        <v>18943.99202428088</v>
      </c>
      <c r="O113" s="54">
        <f t="shared" si="36"/>
        <v>0</v>
      </c>
      <c r="P113" s="54">
        <f t="shared" si="37"/>
        <v>0</v>
      </c>
      <c r="Q113" s="1"/>
    </row>
    <row r="114" spans="2:17" ht="12.5">
      <c r="B114" s="7" t="str">
        <f t="shared" si="40"/>
        <v/>
      </c>
      <c r="C114" s="50">
        <f>IF(D93="","-",+C113+1)</f>
        <v>2022</v>
      </c>
      <c r="D114" s="133">
        <v>124824.27858358309</v>
      </c>
      <c r="E114" s="376">
        <v>4410.6428571428569</v>
      </c>
      <c r="F114" s="137">
        <v>120413.63572644023</v>
      </c>
      <c r="G114" s="137">
        <v>122618.95715501165</v>
      </c>
      <c r="H114" s="376">
        <v>18813.201080680341</v>
      </c>
      <c r="I114" s="375">
        <v>18813.201080680341</v>
      </c>
      <c r="J114" s="54">
        <f t="shared" si="34"/>
        <v>0</v>
      </c>
      <c r="K114" s="54"/>
      <c r="L114" s="113">
        <f t="shared" ref="L114" si="51">H114</f>
        <v>18813.201080680341</v>
      </c>
      <c r="M114" s="54">
        <f t="shared" ref="M114" si="52">IF(L114&lt;&gt;0,+H114-L114,0)</f>
        <v>0</v>
      </c>
      <c r="N114" s="113">
        <f t="shared" ref="N114" si="53">I114</f>
        <v>18813.201080680341</v>
      </c>
      <c r="O114" s="54">
        <f t="shared" ref="O114" si="54">IF(N114&lt;&gt;0,+I114-N114,0)</f>
        <v>0</v>
      </c>
      <c r="P114" s="54">
        <f t="shared" ref="P114" si="55">+O114-M114</f>
        <v>0</v>
      </c>
      <c r="Q114" s="1"/>
    </row>
    <row r="115" spans="2:17" ht="12.5">
      <c r="B115" s="7" t="str">
        <f t="shared" si="40"/>
        <v/>
      </c>
      <c r="C115" s="50">
        <f>IF(D93="","-",+C114+1)</f>
        <v>2023</v>
      </c>
      <c r="D115" s="133">
        <v>120413.63572644023</v>
      </c>
      <c r="E115" s="376">
        <v>4210.159090909091</v>
      </c>
      <c r="F115" s="137">
        <v>116203.47663553114</v>
      </c>
      <c r="G115" s="137">
        <v>118308.55618098569</v>
      </c>
      <c r="H115" s="376">
        <v>18805.300774902054</v>
      </c>
      <c r="I115" s="375">
        <v>18805.300774902054</v>
      </c>
      <c r="J115" s="54">
        <f t="shared" si="34"/>
        <v>0</v>
      </c>
      <c r="K115" s="54"/>
      <c r="L115" s="113">
        <f t="shared" ref="L115" si="56">H115</f>
        <v>18805.300774902054</v>
      </c>
      <c r="M115" s="54">
        <f t="shared" ref="M115" si="57">IF(L115&lt;&gt;0,+H115-L115,0)</f>
        <v>0</v>
      </c>
      <c r="N115" s="113">
        <f t="shared" ref="N115" si="58">I115</f>
        <v>18805.300774902054</v>
      </c>
      <c r="O115" s="54">
        <f t="shared" ref="O115" si="59">IF(N115&lt;&gt;0,+I115-N115,0)</f>
        <v>0</v>
      </c>
      <c r="P115" s="54">
        <f t="shared" ref="P115" si="60">+O115-M115</f>
        <v>0</v>
      </c>
      <c r="Q115" s="1"/>
    </row>
    <row r="116" spans="2:17" ht="12.5">
      <c r="B116" s="7" t="str">
        <f t="shared" si="40"/>
        <v/>
      </c>
      <c r="C116" s="50">
        <f>IF(D93="","-",+C115+1)</f>
        <v>2024</v>
      </c>
      <c r="D116" s="12">
        <f>IF(F115+SUM(E$99:E115)=D$92,F115,D$92-SUM(E$99:E115))</f>
        <v>116203.47663553114</v>
      </c>
      <c r="E116" s="378">
        <f>IF(+J96&lt;F115,J96,D116)</f>
        <v>4210.159090909091</v>
      </c>
      <c r="F116" s="55">
        <f t="shared" ref="F116:F130" si="61">+D116-E116</f>
        <v>111993.31754462206</v>
      </c>
      <c r="G116" s="55">
        <f t="shared" ref="G116:G130" si="62">+(F116+D116)/2</f>
        <v>114098.3970900766</v>
      </c>
      <c r="H116" s="380">
        <f t="shared" ref="H116:H154" si="63">+J$94*G116+E116</f>
        <v>18418.414869221302</v>
      </c>
      <c r="I116" s="399">
        <f t="shared" ref="I116:I154" si="64">+J$95*G116+E116</f>
        <v>18418.414869221302</v>
      </c>
      <c r="J116" s="54">
        <f t="shared" si="34"/>
        <v>0</v>
      </c>
      <c r="K116" s="54"/>
      <c r="L116" s="129"/>
      <c r="M116" s="54">
        <f t="shared" si="35"/>
        <v>0</v>
      </c>
      <c r="N116" s="129"/>
      <c r="O116" s="54">
        <f t="shared" si="36"/>
        <v>0</v>
      </c>
      <c r="P116" s="54">
        <f t="shared" si="37"/>
        <v>0</v>
      </c>
      <c r="Q116" s="1"/>
    </row>
    <row r="117" spans="2:17" ht="12.5">
      <c r="B117" s="7" t="str">
        <f t="shared" si="40"/>
        <v/>
      </c>
      <c r="C117" s="50">
        <f>IF(D93="","-",+C116+1)</f>
        <v>2025</v>
      </c>
      <c r="D117" s="12">
        <f>IF(F116+SUM(E$99:E116)=D$92,F116,D$92-SUM(E$99:E116))</f>
        <v>111993.31754462206</v>
      </c>
      <c r="E117" s="378">
        <f>IF(+J96&lt;F116,J96,D117)</f>
        <v>4210.159090909091</v>
      </c>
      <c r="F117" s="55">
        <f t="shared" si="61"/>
        <v>107783.15845371297</v>
      </c>
      <c r="G117" s="55">
        <f t="shared" si="62"/>
        <v>109888.23799916751</v>
      </c>
      <c r="H117" s="380">
        <f t="shared" si="63"/>
        <v>17894.139167225265</v>
      </c>
      <c r="I117" s="399">
        <f t="shared" si="64"/>
        <v>17894.139167225265</v>
      </c>
      <c r="J117" s="54">
        <f t="shared" si="34"/>
        <v>0</v>
      </c>
      <c r="K117" s="54"/>
      <c r="L117" s="129"/>
      <c r="M117" s="54">
        <f t="shared" si="35"/>
        <v>0</v>
      </c>
      <c r="N117" s="129"/>
      <c r="O117" s="54">
        <f t="shared" si="36"/>
        <v>0</v>
      </c>
      <c r="P117" s="54">
        <f t="shared" si="37"/>
        <v>0</v>
      </c>
      <c r="Q117" s="1"/>
    </row>
    <row r="118" spans="2:17" ht="12.5">
      <c r="B118" s="7" t="str">
        <f t="shared" si="40"/>
        <v/>
      </c>
      <c r="C118" s="50">
        <f>IF(D93="","-",+C117+1)</f>
        <v>2026</v>
      </c>
      <c r="D118" s="12">
        <f>IF(F117+SUM(E$99:E117)=D$92,F117,D$92-SUM(E$99:E117))</f>
        <v>107783.15845371297</v>
      </c>
      <c r="E118" s="378">
        <f>IF(+J96&lt;F117,J96,D118)</f>
        <v>4210.159090909091</v>
      </c>
      <c r="F118" s="55">
        <f t="shared" si="61"/>
        <v>103572.99936280388</v>
      </c>
      <c r="G118" s="55">
        <f t="shared" si="62"/>
        <v>105678.07890825842</v>
      </c>
      <c r="H118" s="380">
        <f t="shared" si="63"/>
        <v>17369.863465229224</v>
      </c>
      <c r="I118" s="399">
        <f t="shared" si="64"/>
        <v>17369.863465229224</v>
      </c>
      <c r="J118" s="54">
        <f t="shared" si="34"/>
        <v>0</v>
      </c>
      <c r="K118" s="54"/>
      <c r="L118" s="129"/>
      <c r="M118" s="54">
        <f t="shared" si="35"/>
        <v>0</v>
      </c>
      <c r="N118" s="129"/>
      <c r="O118" s="54">
        <f t="shared" si="36"/>
        <v>0</v>
      </c>
      <c r="P118" s="54">
        <f t="shared" si="37"/>
        <v>0</v>
      </c>
      <c r="Q118" s="1"/>
    </row>
    <row r="119" spans="2:17" ht="12.5">
      <c r="B119" s="7" t="str">
        <f t="shared" si="40"/>
        <v/>
      </c>
      <c r="C119" s="50">
        <f>IF(D93="","-",+C118+1)</f>
        <v>2027</v>
      </c>
      <c r="D119" s="12">
        <f>IF(F118+SUM(E$99:E118)=D$92,F118,D$92-SUM(E$99:E118))</f>
        <v>103572.99936280388</v>
      </c>
      <c r="E119" s="378">
        <f>IF(+J96&lt;F118,J96,D119)</f>
        <v>4210.159090909091</v>
      </c>
      <c r="F119" s="55">
        <f t="shared" si="61"/>
        <v>99362.840271894791</v>
      </c>
      <c r="G119" s="55">
        <f t="shared" si="62"/>
        <v>101467.91981734934</v>
      </c>
      <c r="H119" s="380">
        <f t="shared" si="63"/>
        <v>16845.587763233187</v>
      </c>
      <c r="I119" s="399">
        <f t="shared" si="64"/>
        <v>16845.587763233187</v>
      </c>
      <c r="J119" s="54">
        <f t="shared" si="34"/>
        <v>0</v>
      </c>
      <c r="K119" s="54"/>
      <c r="L119" s="129"/>
      <c r="M119" s="54">
        <f t="shared" si="35"/>
        <v>0</v>
      </c>
      <c r="N119" s="129"/>
      <c r="O119" s="54">
        <f t="shared" si="36"/>
        <v>0</v>
      </c>
      <c r="P119" s="54">
        <f t="shared" si="37"/>
        <v>0</v>
      </c>
      <c r="Q119" s="1"/>
    </row>
    <row r="120" spans="2:17" ht="12.5">
      <c r="B120" s="7" t="str">
        <f t="shared" si="40"/>
        <v/>
      </c>
      <c r="C120" s="50">
        <f>IF(D93="","-",+C119+1)</f>
        <v>2028</v>
      </c>
      <c r="D120" s="12">
        <f>IF(F119+SUM(E$99:E119)=D$92,F119,D$92-SUM(E$99:E119))</f>
        <v>99362.840271894791</v>
      </c>
      <c r="E120" s="378">
        <f>IF(+J96&lt;F119,J96,D120)</f>
        <v>4210.159090909091</v>
      </c>
      <c r="F120" s="55">
        <f t="shared" si="61"/>
        <v>95152.681180985703</v>
      </c>
      <c r="G120" s="55">
        <f t="shared" si="62"/>
        <v>97257.760726440247</v>
      </c>
      <c r="H120" s="380">
        <f t="shared" si="63"/>
        <v>16321.312061237146</v>
      </c>
      <c r="I120" s="399">
        <f t="shared" si="64"/>
        <v>16321.312061237146</v>
      </c>
      <c r="J120" s="54">
        <f t="shared" si="34"/>
        <v>0</v>
      </c>
      <c r="K120" s="54"/>
      <c r="L120" s="129"/>
      <c r="M120" s="54">
        <f t="shared" si="35"/>
        <v>0</v>
      </c>
      <c r="N120" s="129"/>
      <c r="O120" s="54">
        <f t="shared" si="36"/>
        <v>0</v>
      </c>
      <c r="P120" s="54">
        <f t="shared" si="37"/>
        <v>0</v>
      </c>
      <c r="Q120" s="1"/>
    </row>
    <row r="121" spans="2:17" ht="12.5">
      <c r="B121" s="7" t="str">
        <f t="shared" si="40"/>
        <v/>
      </c>
      <c r="C121" s="50">
        <f>IF(D93="","-",+C120+1)</f>
        <v>2029</v>
      </c>
      <c r="D121" s="12">
        <f>IF(F120+SUM(E$99:E120)=D$92,F120,D$92-SUM(E$99:E120))</f>
        <v>95152.681180985703</v>
      </c>
      <c r="E121" s="378">
        <f>IF(+J96&lt;F120,J96,D121)</f>
        <v>4210.159090909091</v>
      </c>
      <c r="F121" s="55">
        <f t="shared" si="61"/>
        <v>90942.522090076614</v>
      </c>
      <c r="G121" s="55">
        <f t="shared" si="62"/>
        <v>93047.601635531159</v>
      </c>
      <c r="H121" s="380">
        <f t="shared" si="63"/>
        <v>15797.036359241109</v>
      </c>
      <c r="I121" s="399">
        <f t="shared" si="64"/>
        <v>15797.036359241109</v>
      </c>
      <c r="J121" s="54">
        <f t="shared" si="34"/>
        <v>0</v>
      </c>
      <c r="K121" s="54"/>
      <c r="L121" s="129"/>
      <c r="M121" s="54">
        <f t="shared" si="35"/>
        <v>0</v>
      </c>
      <c r="N121" s="129"/>
      <c r="O121" s="54">
        <f t="shared" si="36"/>
        <v>0</v>
      </c>
      <c r="P121" s="54">
        <f t="shared" si="37"/>
        <v>0</v>
      </c>
      <c r="Q121" s="1"/>
    </row>
    <row r="122" spans="2:17" ht="12.5">
      <c r="B122" s="7" t="str">
        <f t="shared" si="40"/>
        <v/>
      </c>
      <c r="C122" s="50">
        <f>IF(D93="","-",+C121+1)</f>
        <v>2030</v>
      </c>
      <c r="D122" s="12">
        <f>IF(F121+SUM(E$99:E121)=D$92,F121,D$92-SUM(E$99:E121))</f>
        <v>90942.522090076614</v>
      </c>
      <c r="E122" s="378">
        <f>IF(+J96&lt;F121,J96,D122)</f>
        <v>4210.159090909091</v>
      </c>
      <c r="F122" s="55">
        <f t="shared" si="61"/>
        <v>86732.362999167526</v>
      </c>
      <c r="G122" s="55">
        <f t="shared" si="62"/>
        <v>88837.44254462207</v>
      </c>
      <c r="H122" s="380">
        <f t="shared" si="63"/>
        <v>15272.760657245068</v>
      </c>
      <c r="I122" s="399">
        <f t="shared" si="64"/>
        <v>15272.760657245068</v>
      </c>
      <c r="J122" s="54">
        <f t="shared" si="34"/>
        <v>0</v>
      </c>
      <c r="K122" s="54"/>
      <c r="L122" s="129"/>
      <c r="M122" s="54">
        <f t="shared" si="35"/>
        <v>0</v>
      </c>
      <c r="N122" s="129"/>
      <c r="O122" s="54">
        <f t="shared" si="36"/>
        <v>0</v>
      </c>
      <c r="P122" s="54">
        <f t="shared" si="37"/>
        <v>0</v>
      </c>
      <c r="Q122" s="1"/>
    </row>
    <row r="123" spans="2:17" ht="12.5">
      <c r="B123" s="7" t="str">
        <f t="shared" si="40"/>
        <v/>
      </c>
      <c r="C123" s="50">
        <f>IF(D93="","-",+C122+1)</f>
        <v>2031</v>
      </c>
      <c r="D123" s="12">
        <f>IF(F122+SUM(E$99:E122)=D$92,F122,D$92-SUM(E$99:E122))</f>
        <v>86732.362999167526</v>
      </c>
      <c r="E123" s="378">
        <f>IF(+J96&lt;F122,J96,D123)</f>
        <v>4210.159090909091</v>
      </c>
      <c r="F123" s="55">
        <f t="shared" si="61"/>
        <v>82522.203908258438</v>
      </c>
      <c r="G123" s="55">
        <f t="shared" si="62"/>
        <v>84627.283453712982</v>
      </c>
      <c r="H123" s="380">
        <f t="shared" si="63"/>
        <v>14748.484955249027</v>
      </c>
      <c r="I123" s="399">
        <f t="shared" si="64"/>
        <v>14748.484955249027</v>
      </c>
      <c r="J123" s="54">
        <f t="shared" si="34"/>
        <v>0</v>
      </c>
      <c r="K123" s="54"/>
      <c r="L123" s="129"/>
      <c r="M123" s="54">
        <f t="shared" si="35"/>
        <v>0</v>
      </c>
      <c r="N123" s="129"/>
      <c r="O123" s="54">
        <f t="shared" si="36"/>
        <v>0</v>
      </c>
      <c r="P123" s="54">
        <f t="shared" si="37"/>
        <v>0</v>
      </c>
      <c r="Q123" s="1"/>
    </row>
    <row r="124" spans="2:17" ht="12.5">
      <c r="B124" s="7" t="str">
        <f t="shared" si="40"/>
        <v/>
      </c>
      <c r="C124" s="50">
        <f>IF(D93="","-",+C123+1)</f>
        <v>2032</v>
      </c>
      <c r="D124" s="12">
        <f>IF(F123+SUM(E$99:E123)=D$92,F123,D$92-SUM(E$99:E123))</f>
        <v>82522.203908258438</v>
      </c>
      <c r="E124" s="378">
        <f>IF(+J96&lt;F123,J96,D124)</f>
        <v>4210.159090909091</v>
      </c>
      <c r="F124" s="55">
        <f t="shared" si="61"/>
        <v>78312.04481734935</v>
      </c>
      <c r="G124" s="55">
        <f t="shared" si="62"/>
        <v>80417.124362803894</v>
      </c>
      <c r="H124" s="380">
        <f t="shared" si="63"/>
        <v>14224.20925325299</v>
      </c>
      <c r="I124" s="399">
        <f t="shared" si="64"/>
        <v>14224.20925325299</v>
      </c>
      <c r="J124" s="54">
        <f t="shared" si="34"/>
        <v>0</v>
      </c>
      <c r="K124" s="54"/>
      <c r="L124" s="129"/>
      <c r="M124" s="54">
        <f t="shared" si="35"/>
        <v>0</v>
      </c>
      <c r="N124" s="129"/>
      <c r="O124" s="54">
        <f t="shared" si="36"/>
        <v>0</v>
      </c>
      <c r="P124" s="54">
        <f t="shared" si="37"/>
        <v>0</v>
      </c>
      <c r="Q124" s="1"/>
    </row>
    <row r="125" spans="2:17" ht="12.5">
      <c r="B125" s="7" t="str">
        <f t="shared" si="40"/>
        <v/>
      </c>
      <c r="C125" s="50">
        <f>IF(D93="","-",+C124+1)</f>
        <v>2033</v>
      </c>
      <c r="D125" s="12">
        <f>IF(F124+SUM(E$99:E124)=D$92,F124,D$92-SUM(E$99:E124))</f>
        <v>78312.04481734935</v>
      </c>
      <c r="E125" s="378">
        <f>IF(+J96&lt;F124,J96,D125)</f>
        <v>4210.159090909091</v>
      </c>
      <c r="F125" s="55">
        <f t="shared" si="61"/>
        <v>74101.885726440261</v>
      </c>
      <c r="G125" s="55">
        <f t="shared" si="62"/>
        <v>76206.965271894805</v>
      </c>
      <c r="H125" s="380">
        <f t="shared" si="63"/>
        <v>13699.933551256949</v>
      </c>
      <c r="I125" s="399">
        <f t="shared" si="64"/>
        <v>13699.933551256949</v>
      </c>
      <c r="J125" s="54">
        <f t="shared" si="34"/>
        <v>0</v>
      </c>
      <c r="K125" s="54"/>
      <c r="L125" s="129"/>
      <c r="M125" s="54">
        <f t="shared" si="35"/>
        <v>0</v>
      </c>
      <c r="N125" s="129"/>
      <c r="O125" s="54">
        <f t="shared" si="36"/>
        <v>0</v>
      </c>
      <c r="P125" s="54">
        <f t="shared" si="37"/>
        <v>0</v>
      </c>
      <c r="Q125" s="1"/>
    </row>
    <row r="126" spans="2:17" ht="12.5">
      <c r="B126" s="7" t="str">
        <f t="shared" si="40"/>
        <v/>
      </c>
      <c r="C126" s="50">
        <f>IF(D93="","-",+C125+1)</f>
        <v>2034</v>
      </c>
      <c r="D126" s="12">
        <f>IF(F125+SUM(E$99:E125)=D$92,F125,D$92-SUM(E$99:E125))</f>
        <v>74101.885726440261</v>
      </c>
      <c r="E126" s="378">
        <f>IF(+J96&lt;F125,J96,D126)</f>
        <v>4210.159090909091</v>
      </c>
      <c r="F126" s="55">
        <f t="shared" si="61"/>
        <v>69891.726635531173</v>
      </c>
      <c r="G126" s="55">
        <f t="shared" si="62"/>
        <v>71996.806180985717</v>
      </c>
      <c r="H126" s="380">
        <f t="shared" si="63"/>
        <v>13175.657849260911</v>
      </c>
      <c r="I126" s="399">
        <f t="shared" si="64"/>
        <v>13175.657849260911</v>
      </c>
      <c r="J126" s="54">
        <f t="shared" si="34"/>
        <v>0</v>
      </c>
      <c r="K126" s="54"/>
      <c r="L126" s="129"/>
      <c r="M126" s="54">
        <f t="shared" si="35"/>
        <v>0</v>
      </c>
      <c r="N126" s="129"/>
      <c r="O126" s="54">
        <f t="shared" si="36"/>
        <v>0</v>
      </c>
      <c r="P126" s="54">
        <f t="shared" si="37"/>
        <v>0</v>
      </c>
      <c r="Q126" s="1"/>
    </row>
    <row r="127" spans="2:17" ht="12.5">
      <c r="B127" s="7" t="str">
        <f t="shared" si="40"/>
        <v/>
      </c>
      <c r="C127" s="50">
        <f>IF(D93="","-",+C126+1)</f>
        <v>2035</v>
      </c>
      <c r="D127" s="12">
        <f>IF(F126+SUM(E$99:E126)=D$92,F126,D$92-SUM(E$99:E126))</f>
        <v>69891.726635531173</v>
      </c>
      <c r="E127" s="378">
        <f>IF(+J96&lt;F126,J96,D127)</f>
        <v>4210.159090909091</v>
      </c>
      <c r="F127" s="55">
        <f t="shared" si="61"/>
        <v>65681.567544622085</v>
      </c>
      <c r="G127" s="55">
        <f t="shared" si="62"/>
        <v>67786.647090076629</v>
      </c>
      <c r="H127" s="380">
        <f t="shared" si="63"/>
        <v>12651.382147264871</v>
      </c>
      <c r="I127" s="399">
        <f t="shared" si="64"/>
        <v>12651.382147264871</v>
      </c>
      <c r="J127" s="54">
        <f t="shared" si="34"/>
        <v>0</v>
      </c>
      <c r="K127" s="54"/>
      <c r="L127" s="129"/>
      <c r="M127" s="54">
        <f t="shared" si="35"/>
        <v>0</v>
      </c>
      <c r="N127" s="129"/>
      <c r="O127" s="54">
        <f t="shared" si="36"/>
        <v>0</v>
      </c>
      <c r="P127" s="54">
        <f t="shared" si="37"/>
        <v>0</v>
      </c>
      <c r="Q127" s="1"/>
    </row>
    <row r="128" spans="2:17" ht="12.5">
      <c r="B128" s="7" t="str">
        <f t="shared" si="40"/>
        <v/>
      </c>
      <c r="C128" s="50">
        <f>IF(D93="","-",+C127+1)</f>
        <v>2036</v>
      </c>
      <c r="D128" s="12">
        <f>IF(F127+SUM(E$99:E127)=D$92,F127,D$92-SUM(E$99:E127))</f>
        <v>65681.567544622085</v>
      </c>
      <c r="E128" s="378">
        <f>IF(+J96&lt;F127,J96,D128)</f>
        <v>4210.159090909091</v>
      </c>
      <c r="F128" s="55">
        <f t="shared" si="61"/>
        <v>61471.408453712997</v>
      </c>
      <c r="G128" s="55">
        <f t="shared" si="62"/>
        <v>63576.487999167541</v>
      </c>
      <c r="H128" s="380">
        <f t="shared" si="63"/>
        <v>12127.106445268833</v>
      </c>
      <c r="I128" s="399">
        <f t="shared" si="64"/>
        <v>12127.106445268833</v>
      </c>
      <c r="J128" s="54">
        <f t="shared" si="34"/>
        <v>0</v>
      </c>
      <c r="K128" s="54"/>
      <c r="L128" s="129"/>
      <c r="M128" s="54">
        <f t="shared" si="35"/>
        <v>0</v>
      </c>
      <c r="N128" s="129"/>
      <c r="O128" s="54">
        <f t="shared" si="36"/>
        <v>0</v>
      </c>
      <c r="P128" s="54">
        <f t="shared" si="37"/>
        <v>0</v>
      </c>
      <c r="Q128" s="1"/>
    </row>
    <row r="129" spans="2:17" ht="12.5">
      <c r="B129" s="7" t="str">
        <f t="shared" si="40"/>
        <v/>
      </c>
      <c r="C129" s="50">
        <f>IF(D93="","-",+C128+1)</f>
        <v>2037</v>
      </c>
      <c r="D129" s="12">
        <f>IF(F128+SUM(E$99:E128)=D$92,F128,D$92-SUM(E$99:E128))</f>
        <v>61471.408453712997</v>
      </c>
      <c r="E129" s="378">
        <f>IF(+J96&lt;F128,J96,D129)</f>
        <v>4210.159090909091</v>
      </c>
      <c r="F129" s="55">
        <f t="shared" si="61"/>
        <v>57261.249362803908</v>
      </c>
      <c r="G129" s="55">
        <f t="shared" si="62"/>
        <v>59366.328908258452</v>
      </c>
      <c r="H129" s="380">
        <f t="shared" si="63"/>
        <v>11602.830743272792</v>
      </c>
      <c r="I129" s="399">
        <f t="shared" si="64"/>
        <v>11602.830743272792</v>
      </c>
      <c r="J129" s="54">
        <f t="shared" si="34"/>
        <v>0</v>
      </c>
      <c r="K129" s="54"/>
      <c r="L129" s="129"/>
      <c r="M129" s="54">
        <f t="shared" si="35"/>
        <v>0</v>
      </c>
      <c r="N129" s="129"/>
      <c r="O129" s="54">
        <f t="shared" si="36"/>
        <v>0</v>
      </c>
      <c r="P129" s="54">
        <f t="shared" si="37"/>
        <v>0</v>
      </c>
      <c r="Q129" s="1"/>
    </row>
    <row r="130" spans="2:17" ht="12.5">
      <c r="B130" s="7" t="str">
        <f t="shared" si="40"/>
        <v/>
      </c>
      <c r="C130" s="50">
        <f>IF(D93="","-",+C129+1)</f>
        <v>2038</v>
      </c>
      <c r="D130" s="12">
        <f>IF(F129+SUM(E$99:E129)=D$92,F129,D$92-SUM(E$99:E129))</f>
        <v>57261.249362803908</v>
      </c>
      <c r="E130" s="378">
        <f>IF(+J96&lt;F129,J96,D130)</f>
        <v>4210.159090909091</v>
      </c>
      <c r="F130" s="55">
        <f t="shared" si="61"/>
        <v>53051.09027189482</v>
      </c>
      <c r="G130" s="55">
        <f t="shared" si="62"/>
        <v>55156.169817349364</v>
      </c>
      <c r="H130" s="380">
        <f t="shared" si="63"/>
        <v>11078.555041276755</v>
      </c>
      <c r="I130" s="399">
        <f t="shared" si="64"/>
        <v>11078.555041276755</v>
      </c>
      <c r="J130" s="54">
        <f t="shared" si="34"/>
        <v>0</v>
      </c>
      <c r="K130" s="54"/>
      <c r="L130" s="129"/>
      <c r="M130" s="54">
        <f t="shared" si="35"/>
        <v>0</v>
      </c>
      <c r="N130" s="129"/>
      <c r="O130" s="54">
        <f t="shared" si="36"/>
        <v>0</v>
      </c>
      <c r="P130" s="54">
        <f t="shared" si="37"/>
        <v>0</v>
      </c>
      <c r="Q130" s="1"/>
    </row>
    <row r="131" spans="2:17" ht="12.5">
      <c r="B131" s="7" t="str">
        <f t="shared" si="40"/>
        <v/>
      </c>
      <c r="C131" s="50">
        <f>IF(D93="","-",+C130+1)</f>
        <v>2039</v>
      </c>
      <c r="D131" s="12">
        <f>IF(F130+SUM(E$99:E130)=D$92,F130,D$92-SUM(E$99:E130))</f>
        <v>53051.09027189482</v>
      </c>
      <c r="E131" s="378">
        <f>IF(+J96&lt;F130,J96,D131)</f>
        <v>4210.159090909091</v>
      </c>
      <c r="F131" s="55">
        <f t="shared" ref="F131:F154" si="65">+D131-E131</f>
        <v>48840.931180985732</v>
      </c>
      <c r="G131" s="55">
        <f t="shared" ref="G131:G154" si="66">+(F131+D131)/2</f>
        <v>50946.010726440276</v>
      </c>
      <c r="H131" s="380">
        <f t="shared" si="63"/>
        <v>10554.279339280714</v>
      </c>
      <c r="I131" s="399">
        <f t="shared" si="64"/>
        <v>10554.279339280714</v>
      </c>
      <c r="J131" s="54">
        <f t="shared" ref="J131:J154" si="67">+I131-H131</f>
        <v>0</v>
      </c>
      <c r="K131" s="54"/>
      <c r="L131" s="129"/>
      <c r="M131" s="54">
        <f t="shared" ref="M131:M154" si="68">IF(L131&lt;&gt;0,+H131-L131,0)</f>
        <v>0</v>
      </c>
      <c r="N131" s="129"/>
      <c r="O131" s="54">
        <f t="shared" ref="O131:O154" si="69">IF(N131&lt;&gt;0,+I131-N131,0)</f>
        <v>0</v>
      </c>
      <c r="P131" s="54">
        <f t="shared" ref="P131:P154" si="70">+O131-M131</f>
        <v>0</v>
      </c>
      <c r="Q131" s="1"/>
    </row>
    <row r="132" spans="2:17" ht="12.5">
      <c r="B132" s="7" t="str">
        <f t="shared" si="40"/>
        <v/>
      </c>
      <c r="C132" s="50">
        <f>IF(D93="","-",+C131+1)</f>
        <v>2040</v>
      </c>
      <c r="D132" s="12">
        <f>IF(F131+SUM(E$99:E131)=D$92,F131,D$92-SUM(E$99:E131))</f>
        <v>48840.931180985732</v>
      </c>
      <c r="E132" s="378">
        <f>IF(+J96&lt;F131,J96,D132)</f>
        <v>4210.159090909091</v>
      </c>
      <c r="F132" s="55">
        <f t="shared" si="65"/>
        <v>44630.772090076644</v>
      </c>
      <c r="G132" s="55">
        <f t="shared" si="66"/>
        <v>46735.851635531188</v>
      </c>
      <c r="H132" s="380">
        <f t="shared" si="63"/>
        <v>10030.003637284677</v>
      </c>
      <c r="I132" s="399">
        <f t="shared" si="64"/>
        <v>10030.003637284677</v>
      </c>
      <c r="J132" s="54">
        <f t="shared" si="67"/>
        <v>0</v>
      </c>
      <c r="K132" s="54"/>
      <c r="L132" s="129"/>
      <c r="M132" s="54">
        <f t="shared" si="68"/>
        <v>0</v>
      </c>
      <c r="N132" s="129"/>
      <c r="O132" s="54">
        <f t="shared" si="69"/>
        <v>0</v>
      </c>
      <c r="P132" s="54">
        <f t="shared" si="70"/>
        <v>0</v>
      </c>
      <c r="Q132" s="1"/>
    </row>
    <row r="133" spans="2:17" ht="12.5">
      <c r="B133" s="7" t="str">
        <f t="shared" si="40"/>
        <v/>
      </c>
      <c r="C133" s="50">
        <f>IF(D93="","-",+C132+1)</f>
        <v>2041</v>
      </c>
      <c r="D133" s="12">
        <f>IF(F132+SUM(E$99:E132)=D$92,F132,D$92-SUM(E$99:E132))</f>
        <v>44630.772090076644</v>
      </c>
      <c r="E133" s="378">
        <f>IF(+J96&lt;F132,J96,D133)</f>
        <v>4210.159090909091</v>
      </c>
      <c r="F133" s="55">
        <f t="shared" si="65"/>
        <v>40420.612999167555</v>
      </c>
      <c r="G133" s="55">
        <f t="shared" si="66"/>
        <v>42525.692544622099</v>
      </c>
      <c r="H133" s="380">
        <f t="shared" si="63"/>
        <v>9505.7279352886362</v>
      </c>
      <c r="I133" s="399">
        <f t="shared" si="64"/>
        <v>9505.7279352886362</v>
      </c>
      <c r="J133" s="54">
        <f t="shared" si="67"/>
        <v>0</v>
      </c>
      <c r="K133" s="54"/>
      <c r="L133" s="129"/>
      <c r="M133" s="54">
        <f t="shared" si="68"/>
        <v>0</v>
      </c>
      <c r="N133" s="129"/>
      <c r="O133" s="54">
        <f t="shared" si="69"/>
        <v>0</v>
      </c>
      <c r="P133" s="54">
        <f t="shared" si="70"/>
        <v>0</v>
      </c>
      <c r="Q133" s="1"/>
    </row>
    <row r="134" spans="2:17" ht="12.5">
      <c r="B134" s="7" t="str">
        <f t="shared" si="40"/>
        <v/>
      </c>
      <c r="C134" s="50">
        <f>IF(D93="","-",+C133+1)</f>
        <v>2042</v>
      </c>
      <c r="D134" s="12">
        <f>IF(F133+SUM(E$99:E133)=D$92,F133,D$92-SUM(E$99:E133))</f>
        <v>40420.612999167555</v>
      </c>
      <c r="E134" s="378">
        <f>IF(+J96&lt;F133,J96,D134)</f>
        <v>4210.159090909091</v>
      </c>
      <c r="F134" s="55">
        <f t="shared" si="65"/>
        <v>36210.453908258467</v>
      </c>
      <c r="G134" s="55">
        <f t="shared" si="66"/>
        <v>38315.533453713011</v>
      </c>
      <c r="H134" s="380">
        <f t="shared" si="63"/>
        <v>8981.452233292599</v>
      </c>
      <c r="I134" s="399">
        <f t="shared" si="64"/>
        <v>8981.452233292599</v>
      </c>
      <c r="J134" s="54">
        <f t="shared" si="67"/>
        <v>0</v>
      </c>
      <c r="K134" s="54"/>
      <c r="L134" s="129"/>
      <c r="M134" s="54">
        <f t="shared" si="68"/>
        <v>0</v>
      </c>
      <c r="N134" s="129"/>
      <c r="O134" s="54">
        <f t="shared" si="69"/>
        <v>0</v>
      </c>
      <c r="P134" s="54">
        <f t="shared" si="70"/>
        <v>0</v>
      </c>
      <c r="Q134" s="1"/>
    </row>
    <row r="135" spans="2:17" ht="12.5">
      <c r="B135" s="7" t="str">
        <f t="shared" si="40"/>
        <v/>
      </c>
      <c r="C135" s="50">
        <f>IF(D93="","-",+C134+1)</f>
        <v>2043</v>
      </c>
      <c r="D135" s="12">
        <f>IF(F134+SUM(E$99:E134)=D$92,F134,D$92-SUM(E$99:E134))</f>
        <v>36210.453908258467</v>
      </c>
      <c r="E135" s="378">
        <f>IF(+J96&lt;F134,J96,D135)</f>
        <v>4210.159090909091</v>
      </c>
      <c r="F135" s="55">
        <f t="shared" si="65"/>
        <v>32000.294817349375</v>
      </c>
      <c r="G135" s="55">
        <f t="shared" si="66"/>
        <v>34105.374362803923</v>
      </c>
      <c r="H135" s="380">
        <f t="shared" si="63"/>
        <v>8457.1765312965581</v>
      </c>
      <c r="I135" s="399">
        <f t="shared" si="64"/>
        <v>8457.1765312965581</v>
      </c>
      <c r="J135" s="54">
        <f t="shared" si="67"/>
        <v>0</v>
      </c>
      <c r="K135" s="54"/>
      <c r="L135" s="129"/>
      <c r="M135" s="54">
        <f t="shared" si="68"/>
        <v>0</v>
      </c>
      <c r="N135" s="129"/>
      <c r="O135" s="54">
        <f t="shared" si="69"/>
        <v>0</v>
      </c>
      <c r="P135" s="54">
        <f t="shared" si="70"/>
        <v>0</v>
      </c>
      <c r="Q135" s="1"/>
    </row>
    <row r="136" spans="2:17" ht="12.5">
      <c r="B136" s="7" t="str">
        <f t="shared" si="40"/>
        <v/>
      </c>
      <c r="C136" s="50">
        <f>IF(D93="","-",+C135+1)</f>
        <v>2044</v>
      </c>
      <c r="D136" s="12">
        <f>IF(F135+SUM(E$99:E135)=D$92,F135,D$92-SUM(E$99:E135))</f>
        <v>32000.294817349375</v>
      </c>
      <c r="E136" s="378">
        <f>IF(+J96&lt;F135,J96,D136)</f>
        <v>4210.159090909091</v>
      </c>
      <c r="F136" s="55">
        <f t="shared" si="65"/>
        <v>27790.135726440283</v>
      </c>
      <c r="G136" s="55">
        <f t="shared" si="66"/>
        <v>29895.215271894827</v>
      </c>
      <c r="H136" s="380">
        <f t="shared" si="63"/>
        <v>7932.900829300519</v>
      </c>
      <c r="I136" s="399">
        <f t="shared" si="64"/>
        <v>7932.900829300519</v>
      </c>
      <c r="J136" s="54">
        <f t="shared" si="67"/>
        <v>0</v>
      </c>
      <c r="K136" s="54"/>
      <c r="L136" s="129"/>
      <c r="M136" s="54">
        <f t="shared" si="68"/>
        <v>0</v>
      </c>
      <c r="N136" s="129"/>
      <c r="O136" s="54">
        <f t="shared" si="69"/>
        <v>0</v>
      </c>
      <c r="P136" s="54">
        <f t="shared" si="70"/>
        <v>0</v>
      </c>
      <c r="Q136" s="1"/>
    </row>
    <row r="137" spans="2:17" ht="12.5">
      <c r="B137" s="7" t="str">
        <f t="shared" si="40"/>
        <v/>
      </c>
      <c r="C137" s="50">
        <f>IF(D93="","-",+C136+1)</f>
        <v>2045</v>
      </c>
      <c r="D137" s="12">
        <f>IF(F136+SUM(E$99:E136)=D$92,F136,D$92-SUM(E$99:E136))</f>
        <v>27790.135726440283</v>
      </c>
      <c r="E137" s="378">
        <f>IF(+J96&lt;F136,J96,D137)</f>
        <v>4210.159090909091</v>
      </c>
      <c r="F137" s="55">
        <f t="shared" si="65"/>
        <v>23579.976635531191</v>
      </c>
      <c r="G137" s="55">
        <f t="shared" si="66"/>
        <v>25685.056180985739</v>
      </c>
      <c r="H137" s="380">
        <f t="shared" si="63"/>
        <v>7408.62512730448</v>
      </c>
      <c r="I137" s="399">
        <f t="shared" si="64"/>
        <v>7408.62512730448</v>
      </c>
      <c r="J137" s="54">
        <f t="shared" si="67"/>
        <v>0</v>
      </c>
      <c r="K137" s="54"/>
      <c r="L137" s="129"/>
      <c r="M137" s="54">
        <f t="shared" si="68"/>
        <v>0</v>
      </c>
      <c r="N137" s="129"/>
      <c r="O137" s="54">
        <f t="shared" si="69"/>
        <v>0</v>
      </c>
      <c r="P137" s="54">
        <f t="shared" si="70"/>
        <v>0</v>
      </c>
      <c r="Q137" s="1"/>
    </row>
    <row r="138" spans="2:17" ht="12.5">
      <c r="B138" s="7" t="str">
        <f t="shared" si="40"/>
        <v/>
      </c>
      <c r="C138" s="50">
        <f>IF(D93="","-",+C137+1)</f>
        <v>2046</v>
      </c>
      <c r="D138" s="12">
        <f>IF(F137+SUM(E$99:E137)=D$92,F137,D$92-SUM(E$99:E137))</f>
        <v>23579.976635531191</v>
      </c>
      <c r="E138" s="378">
        <f>IF(+J96&lt;F137,J96,D138)</f>
        <v>4210.159090909091</v>
      </c>
      <c r="F138" s="55">
        <f t="shared" si="65"/>
        <v>19369.817544622099</v>
      </c>
      <c r="G138" s="55">
        <f t="shared" si="66"/>
        <v>21474.897090076644</v>
      </c>
      <c r="H138" s="380">
        <f t="shared" si="63"/>
        <v>6884.3494253084391</v>
      </c>
      <c r="I138" s="399">
        <f t="shared" si="64"/>
        <v>6884.3494253084391</v>
      </c>
      <c r="J138" s="54">
        <f t="shared" si="67"/>
        <v>0</v>
      </c>
      <c r="K138" s="54"/>
      <c r="L138" s="129"/>
      <c r="M138" s="54">
        <f t="shared" si="68"/>
        <v>0</v>
      </c>
      <c r="N138" s="129"/>
      <c r="O138" s="54">
        <f t="shared" si="69"/>
        <v>0</v>
      </c>
      <c r="P138" s="54">
        <f t="shared" si="70"/>
        <v>0</v>
      </c>
      <c r="Q138" s="1"/>
    </row>
    <row r="139" spans="2:17" ht="12.5">
      <c r="B139" s="7" t="str">
        <f t="shared" si="40"/>
        <v/>
      </c>
      <c r="C139" s="50">
        <f>IF(D93="","-",+C138+1)</f>
        <v>2047</v>
      </c>
      <c r="D139" s="12">
        <f>IF(F138+SUM(E$99:E138)=D$92,F138,D$92-SUM(E$99:E138))</f>
        <v>19369.817544622099</v>
      </c>
      <c r="E139" s="378">
        <f>IF(+J96&lt;F138,J96,D139)</f>
        <v>4210.159090909091</v>
      </c>
      <c r="F139" s="55">
        <f t="shared" si="65"/>
        <v>15159.658453713007</v>
      </c>
      <c r="G139" s="55">
        <f t="shared" si="66"/>
        <v>17264.737999167555</v>
      </c>
      <c r="H139" s="380">
        <f t="shared" si="63"/>
        <v>6360.0737233124</v>
      </c>
      <c r="I139" s="399">
        <f t="shared" si="64"/>
        <v>6360.0737233124</v>
      </c>
      <c r="J139" s="54">
        <f t="shared" si="67"/>
        <v>0</v>
      </c>
      <c r="K139" s="54"/>
      <c r="L139" s="129"/>
      <c r="M139" s="54">
        <f t="shared" si="68"/>
        <v>0</v>
      </c>
      <c r="N139" s="129"/>
      <c r="O139" s="54">
        <f t="shared" si="69"/>
        <v>0</v>
      </c>
      <c r="P139" s="54">
        <f t="shared" si="70"/>
        <v>0</v>
      </c>
      <c r="Q139" s="1"/>
    </row>
    <row r="140" spans="2:17" ht="12.5">
      <c r="B140" s="7" t="str">
        <f t="shared" si="40"/>
        <v/>
      </c>
      <c r="C140" s="50">
        <f>IF(D93="","-",+C139+1)</f>
        <v>2048</v>
      </c>
      <c r="D140" s="12">
        <f>IF(F139+SUM(E$99:E139)=D$92,F139,D$92-SUM(E$99:E139))</f>
        <v>15159.658453713007</v>
      </c>
      <c r="E140" s="378">
        <f>IF(+J96&lt;F139,J96,D140)</f>
        <v>4210.159090909091</v>
      </c>
      <c r="F140" s="55">
        <f t="shared" si="65"/>
        <v>10949.499362803916</v>
      </c>
      <c r="G140" s="55">
        <f t="shared" si="66"/>
        <v>13054.578908258462</v>
      </c>
      <c r="H140" s="380">
        <f t="shared" si="63"/>
        <v>5835.7980213163601</v>
      </c>
      <c r="I140" s="399">
        <f t="shared" si="64"/>
        <v>5835.7980213163601</v>
      </c>
      <c r="J140" s="54">
        <f t="shared" si="67"/>
        <v>0</v>
      </c>
      <c r="K140" s="54"/>
      <c r="L140" s="129"/>
      <c r="M140" s="54">
        <f t="shared" si="68"/>
        <v>0</v>
      </c>
      <c r="N140" s="129"/>
      <c r="O140" s="54">
        <f t="shared" si="69"/>
        <v>0</v>
      </c>
      <c r="P140" s="54">
        <f t="shared" si="70"/>
        <v>0</v>
      </c>
      <c r="Q140" s="1"/>
    </row>
    <row r="141" spans="2:17" ht="12.5">
      <c r="B141" s="7" t="str">
        <f t="shared" si="40"/>
        <v/>
      </c>
      <c r="C141" s="50">
        <f>IF(D93="","-",+C140+1)</f>
        <v>2049</v>
      </c>
      <c r="D141" s="12">
        <f>IF(F140+SUM(E$99:E140)=D$92,F140,D$92-SUM(E$99:E140))</f>
        <v>10949.499362803916</v>
      </c>
      <c r="E141" s="378">
        <f>IF(+J96&lt;F140,J96,D141)</f>
        <v>4210.159090909091</v>
      </c>
      <c r="F141" s="55">
        <f t="shared" si="65"/>
        <v>6739.3402718948246</v>
      </c>
      <c r="G141" s="55">
        <f t="shared" si="66"/>
        <v>8844.4198173493696</v>
      </c>
      <c r="H141" s="380">
        <f t="shared" si="63"/>
        <v>5311.522319320321</v>
      </c>
      <c r="I141" s="399">
        <f t="shared" si="64"/>
        <v>5311.522319320321</v>
      </c>
      <c r="J141" s="54">
        <f t="shared" si="67"/>
        <v>0</v>
      </c>
      <c r="K141" s="54"/>
      <c r="L141" s="129"/>
      <c r="M141" s="54">
        <f t="shared" si="68"/>
        <v>0</v>
      </c>
      <c r="N141" s="129"/>
      <c r="O141" s="54">
        <f t="shared" si="69"/>
        <v>0</v>
      </c>
      <c r="P141" s="54">
        <f t="shared" si="70"/>
        <v>0</v>
      </c>
      <c r="Q141" s="1"/>
    </row>
    <row r="142" spans="2:17" ht="12.5">
      <c r="B142" s="7" t="str">
        <f t="shared" si="40"/>
        <v/>
      </c>
      <c r="C142" s="50">
        <f>IF(D93="","-",+C141+1)</f>
        <v>2050</v>
      </c>
      <c r="D142" s="12">
        <f>IF(F141+SUM(E$99:E141)=D$92,F141,D$92-SUM(E$99:E141))</f>
        <v>6739.3402718948246</v>
      </c>
      <c r="E142" s="378">
        <f>IF(+J96&lt;F141,J96,D142)</f>
        <v>4210.159090909091</v>
      </c>
      <c r="F142" s="55">
        <f t="shared" si="65"/>
        <v>2529.1811809857336</v>
      </c>
      <c r="G142" s="55">
        <f t="shared" si="66"/>
        <v>4634.2607264402795</v>
      </c>
      <c r="H142" s="380">
        <f t="shared" si="63"/>
        <v>4787.246617324281</v>
      </c>
      <c r="I142" s="399">
        <f t="shared" si="64"/>
        <v>4787.246617324281</v>
      </c>
      <c r="J142" s="54">
        <f t="shared" si="67"/>
        <v>0</v>
      </c>
      <c r="K142" s="54"/>
      <c r="L142" s="129"/>
      <c r="M142" s="54">
        <f t="shared" si="68"/>
        <v>0</v>
      </c>
      <c r="N142" s="129"/>
      <c r="O142" s="54">
        <f t="shared" si="69"/>
        <v>0</v>
      </c>
      <c r="P142" s="54">
        <f t="shared" si="70"/>
        <v>0</v>
      </c>
      <c r="Q142" s="1"/>
    </row>
    <row r="143" spans="2:17" ht="12.5">
      <c r="B143" s="7" t="str">
        <f t="shared" si="40"/>
        <v/>
      </c>
      <c r="C143" s="50">
        <f>IF(D93="","-",+C142+1)</f>
        <v>2051</v>
      </c>
      <c r="D143" s="12">
        <f>IF(F142+SUM(E$99:E142)=D$92,F142,D$92-SUM(E$99:E142))</f>
        <v>2529.1811809857336</v>
      </c>
      <c r="E143" s="378">
        <f>IF(+J96&lt;F142,J96,D143)</f>
        <v>2529.1811809857336</v>
      </c>
      <c r="F143" s="55">
        <f t="shared" si="65"/>
        <v>0</v>
      </c>
      <c r="G143" s="55">
        <f t="shared" si="66"/>
        <v>1264.5905904928668</v>
      </c>
      <c r="H143" s="380">
        <f t="shared" si="63"/>
        <v>2686.6560186943188</v>
      </c>
      <c r="I143" s="399">
        <f t="shared" si="64"/>
        <v>2686.6560186943188</v>
      </c>
      <c r="J143" s="54">
        <f t="shared" si="67"/>
        <v>0</v>
      </c>
      <c r="K143" s="54"/>
      <c r="L143" s="129"/>
      <c r="M143" s="54">
        <f t="shared" si="68"/>
        <v>0</v>
      </c>
      <c r="N143" s="129"/>
      <c r="O143" s="54">
        <f t="shared" si="69"/>
        <v>0</v>
      </c>
      <c r="P143" s="54">
        <f t="shared" si="70"/>
        <v>0</v>
      </c>
      <c r="Q143" s="1"/>
    </row>
    <row r="144" spans="2:17" ht="12.5">
      <c r="B144" s="7" t="str">
        <f t="shared" si="40"/>
        <v/>
      </c>
      <c r="C144" s="50">
        <f>IF(D93="","-",+C143+1)</f>
        <v>2052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65"/>
        <v>0</v>
      </c>
      <c r="G144" s="55">
        <f t="shared" si="66"/>
        <v>0</v>
      </c>
      <c r="H144" s="380">
        <f t="shared" si="63"/>
        <v>0</v>
      </c>
      <c r="I144" s="399">
        <f t="shared" si="64"/>
        <v>0</v>
      </c>
      <c r="J144" s="54">
        <f t="shared" si="67"/>
        <v>0</v>
      </c>
      <c r="K144" s="54"/>
      <c r="L144" s="129"/>
      <c r="M144" s="54">
        <f t="shared" si="68"/>
        <v>0</v>
      </c>
      <c r="N144" s="129"/>
      <c r="O144" s="54">
        <f t="shared" si="69"/>
        <v>0</v>
      </c>
      <c r="P144" s="54">
        <f t="shared" si="70"/>
        <v>0</v>
      </c>
      <c r="Q144" s="1"/>
    </row>
    <row r="145" spans="2:17" ht="12.5">
      <c r="B145" s="7" t="str">
        <f t="shared" si="40"/>
        <v/>
      </c>
      <c r="C145" s="50">
        <f>IF(D93="","-",+C144+1)</f>
        <v>2053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65"/>
        <v>0</v>
      </c>
      <c r="G145" s="55">
        <f t="shared" si="66"/>
        <v>0</v>
      </c>
      <c r="H145" s="380">
        <f t="shared" si="63"/>
        <v>0</v>
      </c>
      <c r="I145" s="399">
        <f t="shared" si="64"/>
        <v>0</v>
      </c>
      <c r="J145" s="54">
        <f t="shared" si="67"/>
        <v>0</v>
      </c>
      <c r="K145" s="54"/>
      <c r="L145" s="129"/>
      <c r="M145" s="54">
        <f t="shared" si="68"/>
        <v>0</v>
      </c>
      <c r="N145" s="129"/>
      <c r="O145" s="54">
        <f t="shared" si="69"/>
        <v>0</v>
      </c>
      <c r="P145" s="54">
        <f t="shared" si="70"/>
        <v>0</v>
      </c>
      <c r="Q145" s="1"/>
    </row>
    <row r="146" spans="2:17" ht="12.5">
      <c r="B146" s="7" t="str">
        <f t="shared" si="40"/>
        <v/>
      </c>
      <c r="C146" s="50">
        <f>IF(D93="","-",+C145+1)</f>
        <v>2054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65"/>
        <v>0</v>
      </c>
      <c r="G146" s="55">
        <f t="shared" si="66"/>
        <v>0</v>
      </c>
      <c r="H146" s="380">
        <f t="shared" si="63"/>
        <v>0</v>
      </c>
      <c r="I146" s="399">
        <f t="shared" si="64"/>
        <v>0</v>
      </c>
      <c r="J146" s="54">
        <f t="shared" si="67"/>
        <v>0</v>
      </c>
      <c r="K146" s="54"/>
      <c r="L146" s="129"/>
      <c r="M146" s="54">
        <f t="shared" si="68"/>
        <v>0</v>
      </c>
      <c r="N146" s="129"/>
      <c r="O146" s="54">
        <f t="shared" si="69"/>
        <v>0</v>
      </c>
      <c r="P146" s="54">
        <f t="shared" si="70"/>
        <v>0</v>
      </c>
      <c r="Q146" s="1"/>
    </row>
    <row r="147" spans="2:17" ht="12.5">
      <c r="B147" s="7" t="str">
        <f t="shared" si="40"/>
        <v/>
      </c>
      <c r="C147" s="50">
        <f>IF(D93="","-",+C146+1)</f>
        <v>2055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65"/>
        <v>0</v>
      </c>
      <c r="G147" s="55">
        <f t="shared" si="66"/>
        <v>0</v>
      </c>
      <c r="H147" s="380">
        <f t="shared" si="63"/>
        <v>0</v>
      </c>
      <c r="I147" s="399">
        <f t="shared" si="64"/>
        <v>0</v>
      </c>
      <c r="J147" s="54">
        <f t="shared" si="67"/>
        <v>0</v>
      </c>
      <c r="K147" s="54"/>
      <c r="L147" s="129"/>
      <c r="M147" s="54">
        <f t="shared" si="68"/>
        <v>0</v>
      </c>
      <c r="N147" s="129"/>
      <c r="O147" s="54">
        <f t="shared" si="69"/>
        <v>0</v>
      </c>
      <c r="P147" s="54">
        <f t="shared" si="70"/>
        <v>0</v>
      </c>
      <c r="Q147" s="1"/>
    </row>
    <row r="148" spans="2:17" ht="12.5">
      <c r="B148" s="7" t="str">
        <f t="shared" si="40"/>
        <v/>
      </c>
      <c r="C148" s="50">
        <f>IF(D93="","-",+C147+1)</f>
        <v>2056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65"/>
        <v>0</v>
      </c>
      <c r="G148" s="55">
        <f t="shared" si="66"/>
        <v>0</v>
      </c>
      <c r="H148" s="380">
        <f t="shared" si="63"/>
        <v>0</v>
      </c>
      <c r="I148" s="399">
        <f t="shared" si="64"/>
        <v>0</v>
      </c>
      <c r="J148" s="54">
        <f t="shared" si="67"/>
        <v>0</v>
      </c>
      <c r="K148" s="54"/>
      <c r="L148" s="129"/>
      <c r="M148" s="54">
        <f t="shared" si="68"/>
        <v>0</v>
      </c>
      <c r="N148" s="129"/>
      <c r="O148" s="54">
        <f t="shared" si="69"/>
        <v>0</v>
      </c>
      <c r="P148" s="54">
        <f t="shared" si="70"/>
        <v>0</v>
      </c>
      <c r="Q148" s="1"/>
    </row>
    <row r="149" spans="2:17" ht="12.5">
      <c r="B149" s="7" t="str">
        <f t="shared" si="40"/>
        <v/>
      </c>
      <c r="C149" s="50">
        <f>IF(D93="","-",+C148+1)</f>
        <v>2057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65"/>
        <v>0</v>
      </c>
      <c r="G149" s="55">
        <f t="shared" si="66"/>
        <v>0</v>
      </c>
      <c r="H149" s="380">
        <f t="shared" si="63"/>
        <v>0</v>
      </c>
      <c r="I149" s="399">
        <f t="shared" si="64"/>
        <v>0</v>
      </c>
      <c r="J149" s="54">
        <f t="shared" si="67"/>
        <v>0</v>
      </c>
      <c r="K149" s="54"/>
      <c r="L149" s="129"/>
      <c r="M149" s="54">
        <f t="shared" si="68"/>
        <v>0</v>
      </c>
      <c r="N149" s="129"/>
      <c r="O149" s="54">
        <f t="shared" si="69"/>
        <v>0</v>
      </c>
      <c r="P149" s="54">
        <f t="shared" si="70"/>
        <v>0</v>
      </c>
      <c r="Q149" s="1"/>
    </row>
    <row r="150" spans="2:17" ht="12.5">
      <c r="B150" s="7" t="str">
        <f t="shared" si="40"/>
        <v/>
      </c>
      <c r="C150" s="50">
        <f>IF(D93="","-",+C149+1)</f>
        <v>2058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65"/>
        <v>0</v>
      </c>
      <c r="G150" s="55">
        <f t="shared" si="66"/>
        <v>0</v>
      </c>
      <c r="H150" s="380">
        <f t="shared" si="63"/>
        <v>0</v>
      </c>
      <c r="I150" s="399">
        <f t="shared" si="64"/>
        <v>0</v>
      </c>
      <c r="J150" s="54">
        <f t="shared" si="67"/>
        <v>0</v>
      </c>
      <c r="K150" s="54"/>
      <c r="L150" s="129"/>
      <c r="M150" s="54">
        <f t="shared" si="68"/>
        <v>0</v>
      </c>
      <c r="N150" s="129"/>
      <c r="O150" s="54">
        <f t="shared" si="69"/>
        <v>0</v>
      </c>
      <c r="P150" s="54">
        <f t="shared" si="70"/>
        <v>0</v>
      </c>
      <c r="Q150" s="1"/>
    </row>
    <row r="151" spans="2:17" ht="12.5">
      <c r="B151" s="7" t="str">
        <f t="shared" si="40"/>
        <v/>
      </c>
      <c r="C151" s="50">
        <f>IF(D93="","-",+C150+1)</f>
        <v>2059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65"/>
        <v>0</v>
      </c>
      <c r="G151" s="55">
        <f t="shared" si="66"/>
        <v>0</v>
      </c>
      <c r="H151" s="380">
        <f t="shared" si="63"/>
        <v>0</v>
      </c>
      <c r="I151" s="399">
        <f t="shared" si="64"/>
        <v>0</v>
      </c>
      <c r="J151" s="54">
        <f t="shared" si="67"/>
        <v>0</v>
      </c>
      <c r="K151" s="54"/>
      <c r="L151" s="129"/>
      <c r="M151" s="54">
        <f t="shared" si="68"/>
        <v>0</v>
      </c>
      <c r="N151" s="129"/>
      <c r="O151" s="54">
        <f t="shared" si="69"/>
        <v>0</v>
      </c>
      <c r="P151" s="54">
        <f t="shared" si="70"/>
        <v>0</v>
      </c>
      <c r="Q151" s="1"/>
    </row>
    <row r="152" spans="2:17" ht="12.5">
      <c r="B152" s="7" t="str">
        <f t="shared" si="40"/>
        <v/>
      </c>
      <c r="C152" s="50">
        <f>IF(D93="","-",+C151+1)</f>
        <v>2060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65"/>
        <v>0</v>
      </c>
      <c r="G152" s="55">
        <f t="shared" si="66"/>
        <v>0</v>
      </c>
      <c r="H152" s="380">
        <f t="shared" si="63"/>
        <v>0</v>
      </c>
      <c r="I152" s="399">
        <f t="shared" si="64"/>
        <v>0</v>
      </c>
      <c r="J152" s="54">
        <f t="shared" si="67"/>
        <v>0</v>
      </c>
      <c r="K152" s="54"/>
      <c r="L152" s="129"/>
      <c r="M152" s="54">
        <f t="shared" si="68"/>
        <v>0</v>
      </c>
      <c r="N152" s="129"/>
      <c r="O152" s="54">
        <f t="shared" si="69"/>
        <v>0</v>
      </c>
      <c r="P152" s="54">
        <f t="shared" si="70"/>
        <v>0</v>
      </c>
      <c r="Q152" s="1"/>
    </row>
    <row r="153" spans="2:17" ht="12.5">
      <c r="B153" s="7" t="str">
        <f t="shared" si="40"/>
        <v/>
      </c>
      <c r="C153" s="50">
        <f>IF(D93="","-",+C152+1)</f>
        <v>2061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65"/>
        <v>0</v>
      </c>
      <c r="G153" s="55">
        <f t="shared" si="66"/>
        <v>0</v>
      </c>
      <c r="H153" s="380">
        <f t="shared" si="63"/>
        <v>0</v>
      </c>
      <c r="I153" s="399">
        <f t="shared" si="64"/>
        <v>0</v>
      </c>
      <c r="J153" s="54">
        <f t="shared" si="67"/>
        <v>0</v>
      </c>
      <c r="K153" s="54"/>
      <c r="L153" s="129"/>
      <c r="M153" s="54">
        <f t="shared" si="68"/>
        <v>0</v>
      </c>
      <c r="N153" s="129"/>
      <c r="O153" s="54">
        <f t="shared" si="69"/>
        <v>0</v>
      </c>
      <c r="P153" s="54">
        <f t="shared" si="70"/>
        <v>0</v>
      </c>
      <c r="Q153" s="1"/>
    </row>
    <row r="154" spans="2:17" ht="13" thickBot="1">
      <c r="B154" s="7" t="str">
        <f t="shared" si="40"/>
        <v/>
      </c>
      <c r="C154" s="59">
        <f>IF(D93="","-",+C153+1)</f>
        <v>2062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65"/>
        <v>0</v>
      </c>
      <c r="G154" s="60">
        <f t="shared" si="66"/>
        <v>0</v>
      </c>
      <c r="H154" s="382">
        <f t="shared" si="63"/>
        <v>0</v>
      </c>
      <c r="I154" s="400">
        <f t="shared" si="64"/>
        <v>0</v>
      </c>
      <c r="J154" s="64">
        <f t="shared" si="67"/>
        <v>0</v>
      </c>
      <c r="K154" s="54"/>
      <c r="L154" s="130"/>
      <c r="M154" s="64">
        <f t="shared" si="68"/>
        <v>0</v>
      </c>
      <c r="N154" s="130"/>
      <c r="O154" s="64">
        <f t="shared" si="69"/>
        <v>0</v>
      </c>
      <c r="P154" s="64">
        <f t="shared" si="70"/>
        <v>0</v>
      </c>
      <c r="Q154" s="1"/>
    </row>
    <row r="155" spans="2:17" ht="12.5">
      <c r="C155" s="12" t="s">
        <v>78</v>
      </c>
      <c r="D155" s="293"/>
      <c r="E155" s="293">
        <f>SUM(E99:E154)</f>
        <v>185246.99999999988</v>
      </c>
      <c r="F155" s="293"/>
      <c r="G155" s="293"/>
      <c r="H155" s="293">
        <f>SUM(H99:H154)</f>
        <v>686780.70617759658</v>
      </c>
      <c r="I155" s="293">
        <f>SUM(I99:I154)</f>
        <v>686780.70617759658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 ht="12.5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 ht="12.5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33" priority="1" stopIfTrue="1" operator="equal">
      <formula>$I$10</formula>
    </cfRule>
  </conditionalFormatting>
  <conditionalFormatting sqref="C99:C154">
    <cfRule type="cellIs" dxfId="13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62"/>
  <dimension ref="A1:Q162"/>
  <sheetViews>
    <sheetView topLeftCell="A84" zoomScaleNormal="100" zoomScaleSheetLayoutView="75" workbookViewId="0">
      <selection activeCell="D35" sqref="D35:H35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13 of 77</v>
      </c>
      <c r="Q1" s="13"/>
    </row>
    <row r="2" spans="1:17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552033.32523957</v>
      </c>
      <c r="P5" s="1"/>
    </row>
    <row r="6" spans="1:17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552033.32523957</v>
      </c>
      <c r="O6" s="1"/>
      <c r="P6" s="1"/>
    </row>
    <row r="7" spans="1:17" ht="13.5" thickBot="1">
      <c r="C7" s="25" t="s">
        <v>48</v>
      </c>
      <c r="D7" s="103" t="s">
        <v>150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85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151</v>
      </c>
      <c r="E9" s="31" t="s">
        <v>494</v>
      </c>
      <c r="F9" s="462" t="s">
        <v>503</v>
      </c>
      <c r="G9" s="31"/>
      <c r="H9" s="31"/>
      <c r="I9" s="32"/>
      <c r="J9" s="33"/>
      <c r="P9" s="1"/>
    </row>
    <row r="10" spans="1:17" ht="13">
      <c r="C10" s="34" t="s">
        <v>51</v>
      </c>
      <c r="D10" s="363">
        <v>5731607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7" ht="12.5">
      <c r="C11" s="34" t="s">
        <v>54</v>
      </c>
      <c r="D11" s="37">
        <v>2006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3">
        <v>4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130263.79545454546</v>
      </c>
      <c r="J14" s="293"/>
      <c r="K14" s="293"/>
      <c r="L14" s="293"/>
      <c r="M14" s="293"/>
      <c r="N14" s="293"/>
      <c r="O14" s="1"/>
      <c r="P14" s="1"/>
    </row>
    <row r="15" spans="1:17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2006</v>
      </c>
      <c r="D17" s="133">
        <v>3884542</v>
      </c>
      <c r="E17" s="374">
        <v>69992</v>
      </c>
      <c r="F17" s="133">
        <v>3814550</v>
      </c>
      <c r="G17" s="374">
        <v>508462</v>
      </c>
      <c r="H17" s="375">
        <v>508462</v>
      </c>
      <c r="I17" s="153">
        <f t="shared" ref="I17:I48" si="0">H17-G17</f>
        <v>0</v>
      </c>
      <c r="J17" s="52"/>
      <c r="K17" s="112">
        <v>0</v>
      </c>
      <c r="L17" s="53">
        <f t="shared" ref="L17:L48" si="1">IF(K17&lt;&gt;0,+G17-K17,0)</f>
        <v>0</v>
      </c>
      <c r="M17" s="112">
        <v>0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2007</v>
      </c>
      <c r="D18" s="137">
        <f>F17</f>
        <v>3814550</v>
      </c>
      <c r="E18" s="376">
        <v>104988</v>
      </c>
      <c r="F18" s="137">
        <v>3709563</v>
      </c>
      <c r="G18" s="376">
        <v>673524</v>
      </c>
      <c r="H18" s="375">
        <v>673524</v>
      </c>
      <c r="I18" s="153">
        <f t="shared" si="0"/>
        <v>0</v>
      </c>
      <c r="J18" s="52"/>
      <c r="K18" s="113">
        <v>0</v>
      </c>
      <c r="L18" s="54">
        <f t="shared" si="1"/>
        <v>0</v>
      </c>
      <c r="M18" s="113">
        <v>0</v>
      </c>
      <c r="N18" s="54">
        <f t="shared" si="2"/>
        <v>0</v>
      </c>
      <c r="O18" s="54">
        <f t="shared" si="3"/>
        <v>0</v>
      </c>
      <c r="P18" s="1"/>
    </row>
    <row r="19" spans="2:16" ht="12.5">
      <c r="B19" s="7" t="str">
        <f>IF(D19=F18,"","IU")</f>
        <v>IU</v>
      </c>
      <c r="C19" s="50">
        <f>IF(D11="","-",+C18+1)</f>
        <v>2008</v>
      </c>
      <c r="D19" s="137">
        <v>5654153</v>
      </c>
      <c r="E19" s="376">
        <v>154908</v>
      </c>
      <c r="F19" s="137">
        <v>5499245</v>
      </c>
      <c r="G19" s="376">
        <v>999621</v>
      </c>
      <c r="H19" s="375">
        <v>999621</v>
      </c>
      <c r="I19" s="153">
        <f t="shared" si="0"/>
        <v>0</v>
      </c>
      <c r="J19" s="52"/>
      <c r="K19" s="113">
        <v>999621</v>
      </c>
      <c r="L19" s="54">
        <f t="shared" si="1"/>
        <v>0</v>
      </c>
      <c r="M19" s="113">
        <f>K19</f>
        <v>999621</v>
      </c>
      <c r="N19" s="54">
        <f t="shared" si="2"/>
        <v>0</v>
      </c>
      <c r="O19" s="54">
        <f t="shared" si="3"/>
        <v>0</v>
      </c>
      <c r="P19" s="1"/>
    </row>
    <row r="20" spans="2:16" ht="12.5">
      <c r="B20" s="7" t="str">
        <f t="shared" ref="B20:B72" si="4">IF(D20=F19,"","IU")</f>
        <v>IU</v>
      </c>
      <c r="C20" s="50">
        <f>IF(D11="","-",+C19+1)</f>
        <v>2009</v>
      </c>
      <c r="D20" s="137">
        <v>3604575</v>
      </c>
      <c r="E20" s="376">
        <v>104988</v>
      </c>
      <c r="F20" s="137">
        <v>3499587</v>
      </c>
      <c r="G20" s="376">
        <v>641343</v>
      </c>
      <c r="H20" s="375">
        <v>641343</v>
      </c>
      <c r="I20" s="153">
        <f t="shared" si="0"/>
        <v>0</v>
      </c>
      <c r="J20" s="52"/>
      <c r="K20" s="113">
        <v>641343</v>
      </c>
      <c r="L20" s="54">
        <f t="shared" si="1"/>
        <v>0</v>
      </c>
      <c r="M20" s="113">
        <v>641343</v>
      </c>
      <c r="N20" s="54">
        <f t="shared" si="2"/>
        <v>0</v>
      </c>
      <c r="O20" s="54">
        <f t="shared" si="3"/>
        <v>0</v>
      </c>
      <c r="P20" s="1"/>
    </row>
    <row r="21" spans="2:16" ht="12.5">
      <c r="B21" s="7" t="str">
        <f t="shared" si="4"/>
        <v>IU</v>
      </c>
      <c r="C21" s="50">
        <f>IF(D12="","-",+C20+1)</f>
        <v>2010</v>
      </c>
      <c r="D21" s="137">
        <v>3449666</v>
      </c>
      <c r="E21" s="376">
        <v>102224.78947368421</v>
      </c>
      <c r="F21" s="137">
        <v>3347441.210526316</v>
      </c>
      <c r="G21" s="376">
        <v>583469.67252567795</v>
      </c>
      <c r="H21" s="375">
        <v>583469.67252567795</v>
      </c>
      <c r="I21" s="153">
        <v>0</v>
      </c>
      <c r="J21" s="52"/>
      <c r="K21" s="113">
        <f t="shared" ref="K21:K26" si="5">G21</f>
        <v>583469.67252567795</v>
      </c>
      <c r="L21" s="54">
        <f t="shared" si="1"/>
        <v>0</v>
      </c>
      <c r="M21" s="113">
        <f t="shared" ref="M21:M26" si="6">H21</f>
        <v>583469.67252567795</v>
      </c>
      <c r="N21" s="54">
        <f t="shared" si="2"/>
        <v>0</v>
      </c>
      <c r="O21" s="54">
        <f t="shared" si="3"/>
        <v>0</v>
      </c>
      <c r="P21" s="1"/>
    </row>
    <row r="22" spans="2:16" ht="12.5">
      <c r="B22" s="7" t="str">
        <f t="shared" si="4"/>
        <v/>
      </c>
      <c r="C22" s="50">
        <f>IF(D11="","-",+C21+1)</f>
        <v>2011</v>
      </c>
      <c r="D22" s="137">
        <v>3347441.210526316</v>
      </c>
      <c r="E22" s="376">
        <v>94744.926829268297</v>
      </c>
      <c r="F22" s="137">
        <v>3252696.2836970477</v>
      </c>
      <c r="G22" s="376">
        <v>602790.6645462896</v>
      </c>
      <c r="H22" s="375">
        <v>602790.6645462896</v>
      </c>
      <c r="I22" s="141">
        <v>0</v>
      </c>
      <c r="J22" s="52"/>
      <c r="K22" s="113">
        <f t="shared" si="5"/>
        <v>602790.6645462896</v>
      </c>
      <c r="L22" s="54">
        <f t="shared" si="1"/>
        <v>0</v>
      </c>
      <c r="M22" s="113">
        <f t="shared" si="6"/>
        <v>602790.6645462896</v>
      </c>
      <c r="N22" s="54">
        <f t="shared" si="2"/>
        <v>0</v>
      </c>
      <c r="O22" s="54">
        <f t="shared" si="3"/>
        <v>0</v>
      </c>
      <c r="P22" s="1"/>
    </row>
    <row r="23" spans="2:16" ht="12.5">
      <c r="B23" s="7" t="str">
        <f t="shared" si="4"/>
        <v/>
      </c>
      <c r="C23" s="50">
        <f>IF(D11="","-",+C22+1)</f>
        <v>2012</v>
      </c>
      <c r="D23" s="137">
        <v>3252696.2836970477</v>
      </c>
      <c r="E23" s="377">
        <v>92489.095238095237</v>
      </c>
      <c r="F23" s="137">
        <v>3160207.1884589526</v>
      </c>
      <c r="G23" s="376">
        <v>562475.55094765779</v>
      </c>
      <c r="H23" s="375">
        <v>562475.55094765779</v>
      </c>
      <c r="I23" s="141">
        <v>0</v>
      </c>
      <c r="J23" s="52"/>
      <c r="K23" s="113">
        <f t="shared" si="5"/>
        <v>562475.55094765779</v>
      </c>
      <c r="L23" s="54">
        <f t="shared" si="1"/>
        <v>0</v>
      </c>
      <c r="M23" s="113">
        <f t="shared" si="6"/>
        <v>562475.55094765779</v>
      </c>
      <c r="N23" s="54">
        <f t="shared" si="2"/>
        <v>0</v>
      </c>
      <c r="O23" s="54">
        <f t="shared" si="3"/>
        <v>0</v>
      </c>
      <c r="P23" s="1"/>
    </row>
    <row r="24" spans="2:16" ht="12.5">
      <c r="B24" s="7" t="str">
        <f t="shared" si="4"/>
        <v/>
      </c>
      <c r="C24" s="50">
        <f>IF(D11="","-",+C23+1)</f>
        <v>2013</v>
      </c>
      <c r="D24" s="151">
        <v>3160207.1884589526</v>
      </c>
      <c r="E24" s="420">
        <v>92489.095238095237</v>
      </c>
      <c r="F24" s="151">
        <v>3067718.0932208574</v>
      </c>
      <c r="G24" s="420">
        <v>521929.99973922677</v>
      </c>
      <c r="H24" s="421">
        <v>521929.99973922677</v>
      </c>
      <c r="I24" s="153">
        <v>0</v>
      </c>
      <c r="J24" s="52"/>
      <c r="K24" s="113">
        <f t="shared" si="5"/>
        <v>521929.99973922677</v>
      </c>
      <c r="L24" s="54">
        <f t="shared" ref="L24:L29" si="7">IF(K24&lt;&gt;0,+G24-K24,0)</f>
        <v>0</v>
      </c>
      <c r="M24" s="113">
        <f t="shared" si="6"/>
        <v>521929.99973922677</v>
      </c>
      <c r="N24" s="54">
        <f t="shared" ref="N24:N29" si="8">IF(M24&lt;&gt;0,+H24-M24,0)</f>
        <v>0</v>
      </c>
      <c r="O24" s="54">
        <f t="shared" ref="O24:O29" si="9">+N24-L24</f>
        <v>0</v>
      </c>
      <c r="P24" s="1"/>
    </row>
    <row r="25" spans="2:16" ht="12.5">
      <c r="B25" s="7" t="str">
        <f t="shared" si="4"/>
        <v/>
      </c>
      <c r="C25" s="50">
        <f>IF(D11="","-",+C24+1)</f>
        <v>2014</v>
      </c>
      <c r="D25" s="151">
        <v>3067718.0932208574</v>
      </c>
      <c r="E25" s="420">
        <v>92489.095238095237</v>
      </c>
      <c r="F25" s="151">
        <v>2975228.9979827623</v>
      </c>
      <c r="G25" s="420">
        <v>493878.75151607196</v>
      </c>
      <c r="H25" s="421">
        <v>493878.75151607196</v>
      </c>
      <c r="I25" s="153">
        <v>0</v>
      </c>
      <c r="J25" s="52"/>
      <c r="K25" s="113">
        <f t="shared" si="5"/>
        <v>493878.75151607196</v>
      </c>
      <c r="L25" s="54">
        <f t="shared" si="7"/>
        <v>0</v>
      </c>
      <c r="M25" s="113">
        <f t="shared" si="6"/>
        <v>493878.75151607196</v>
      </c>
      <c r="N25" s="54">
        <f t="shared" si="8"/>
        <v>0</v>
      </c>
      <c r="O25" s="54">
        <f t="shared" si="9"/>
        <v>0</v>
      </c>
      <c r="P25" s="1"/>
    </row>
    <row r="26" spans="2:16" ht="12.5">
      <c r="B26" s="7" t="str">
        <f t="shared" si="4"/>
        <v>IU</v>
      </c>
      <c r="C26" s="50">
        <f>IF(D11="","-",+C25+1)</f>
        <v>2015</v>
      </c>
      <c r="D26" s="151">
        <v>4822293.9979827618</v>
      </c>
      <c r="E26" s="420">
        <v>136466.83333333334</v>
      </c>
      <c r="F26" s="151">
        <v>4685827.1646494288</v>
      </c>
      <c r="G26" s="420">
        <v>753612.76745725656</v>
      </c>
      <c r="H26" s="421">
        <v>753612.76745725656</v>
      </c>
      <c r="I26" s="52">
        <v>0</v>
      </c>
      <c r="J26" s="52"/>
      <c r="K26" s="113">
        <f t="shared" si="5"/>
        <v>753612.76745725656</v>
      </c>
      <c r="L26" s="54">
        <f t="shared" si="7"/>
        <v>0</v>
      </c>
      <c r="M26" s="113">
        <f t="shared" si="6"/>
        <v>753612.76745725656</v>
      </c>
      <c r="N26" s="54">
        <f t="shared" si="8"/>
        <v>0</v>
      </c>
      <c r="O26" s="54">
        <f t="shared" si="9"/>
        <v>0</v>
      </c>
      <c r="P26" s="1"/>
    </row>
    <row r="27" spans="2:16" ht="12.5">
      <c r="B27" s="7" t="str">
        <f t="shared" si="4"/>
        <v/>
      </c>
      <c r="C27" s="50">
        <f>IF(D11="","-",+C26+1)</f>
        <v>2016</v>
      </c>
      <c r="D27" s="151">
        <v>4685827.1646494288</v>
      </c>
      <c r="E27" s="420">
        <v>136466.83333333334</v>
      </c>
      <c r="F27" s="151">
        <v>4549360.3313160958</v>
      </c>
      <c r="G27" s="420">
        <v>728247.51158298948</v>
      </c>
      <c r="H27" s="421">
        <v>728247.51158298948</v>
      </c>
      <c r="I27" s="52">
        <f t="shared" si="0"/>
        <v>0</v>
      </c>
      <c r="J27" s="52"/>
      <c r="K27" s="113">
        <f t="shared" ref="K27:K32" si="10">G27</f>
        <v>728247.51158298948</v>
      </c>
      <c r="L27" s="54">
        <f t="shared" si="7"/>
        <v>0</v>
      </c>
      <c r="M27" s="113">
        <f t="shared" ref="M27:M32" si="11">H27</f>
        <v>728247.51158298948</v>
      </c>
      <c r="N27" s="54">
        <f t="shared" si="8"/>
        <v>0</v>
      </c>
      <c r="O27" s="54">
        <f t="shared" si="9"/>
        <v>0</v>
      </c>
      <c r="P27" s="1"/>
    </row>
    <row r="28" spans="2:16" ht="12.5">
      <c r="B28" s="7" t="str">
        <f t="shared" si="4"/>
        <v/>
      </c>
      <c r="C28" s="50">
        <f>IF(D11="","-",+C27+1)</f>
        <v>2017</v>
      </c>
      <c r="D28" s="151">
        <v>4549360.3313160958</v>
      </c>
      <c r="E28" s="420">
        <v>133293.18604651163</v>
      </c>
      <c r="F28" s="151">
        <v>4416067.1452695839</v>
      </c>
      <c r="G28" s="420">
        <v>688667.94856072206</v>
      </c>
      <c r="H28" s="421">
        <v>688667.94856072206</v>
      </c>
      <c r="I28" s="52">
        <f t="shared" si="0"/>
        <v>0</v>
      </c>
      <c r="J28" s="52"/>
      <c r="K28" s="113">
        <f t="shared" si="10"/>
        <v>688667.94856072206</v>
      </c>
      <c r="L28" s="54">
        <f t="shared" si="7"/>
        <v>0</v>
      </c>
      <c r="M28" s="113">
        <f t="shared" si="11"/>
        <v>688667.94856072206</v>
      </c>
      <c r="N28" s="54">
        <f t="shared" si="8"/>
        <v>0</v>
      </c>
      <c r="O28" s="54">
        <f t="shared" si="9"/>
        <v>0</v>
      </c>
      <c r="P28" s="1"/>
    </row>
    <row r="29" spans="2:16" ht="12.5">
      <c r="B29" s="7" t="str">
        <f t="shared" si="4"/>
        <v>IU</v>
      </c>
      <c r="C29" s="50">
        <f>IF(D11="","-",+C28+1)</f>
        <v>2018</v>
      </c>
      <c r="D29" s="151">
        <v>4549360.3313160958</v>
      </c>
      <c r="E29" s="420">
        <v>133293.18604651163</v>
      </c>
      <c r="F29" s="151">
        <v>4416067.1452695839</v>
      </c>
      <c r="G29" s="420">
        <v>688667.94856072206</v>
      </c>
      <c r="H29" s="421">
        <v>688667.94856072206</v>
      </c>
      <c r="I29" s="52">
        <f t="shared" si="0"/>
        <v>0</v>
      </c>
      <c r="J29" s="52"/>
      <c r="K29" s="113">
        <f t="shared" si="10"/>
        <v>688667.94856072206</v>
      </c>
      <c r="L29" s="54">
        <f t="shared" si="7"/>
        <v>0</v>
      </c>
      <c r="M29" s="113">
        <f t="shared" si="11"/>
        <v>688667.94856072206</v>
      </c>
      <c r="N29" s="54">
        <f t="shared" si="8"/>
        <v>0</v>
      </c>
      <c r="O29" s="54">
        <f t="shared" si="9"/>
        <v>0</v>
      </c>
      <c r="P29" s="1"/>
    </row>
    <row r="30" spans="2:16" ht="12.5">
      <c r="B30" s="7" t="str">
        <f t="shared" si="4"/>
        <v>IU</v>
      </c>
      <c r="C30" s="50">
        <f>IF(D11="","-",+C29+1)</f>
        <v>2019</v>
      </c>
      <c r="D30" s="151">
        <v>4282773.9592230711</v>
      </c>
      <c r="E30" s="420">
        <v>139795.29268292684</v>
      </c>
      <c r="F30" s="151">
        <v>4142978.6665401445</v>
      </c>
      <c r="G30" s="420">
        <v>675227.01156482252</v>
      </c>
      <c r="H30" s="421">
        <v>675227.01156482252</v>
      </c>
      <c r="I30" s="52">
        <f t="shared" si="0"/>
        <v>0</v>
      </c>
      <c r="J30" s="52"/>
      <c r="K30" s="113">
        <f t="shared" si="10"/>
        <v>675227.01156482252</v>
      </c>
      <c r="L30" s="54">
        <f t="shared" ref="L30" si="12">IF(K30&lt;&gt;0,+G30-K30,0)</f>
        <v>0</v>
      </c>
      <c r="M30" s="113">
        <f t="shared" si="11"/>
        <v>675227.01156482252</v>
      </c>
      <c r="N30" s="54">
        <f t="shared" si="2"/>
        <v>0</v>
      </c>
      <c r="O30" s="54">
        <f t="shared" si="3"/>
        <v>0</v>
      </c>
      <c r="P30" s="1"/>
    </row>
    <row r="31" spans="2:16" ht="12.5">
      <c r="B31" s="7" t="str">
        <f t="shared" si="4"/>
        <v/>
      </c>
      <c r="C31" s="50">
        <f>IF(D11="","-",+C30+1)</f>
        <v>2020</v>
      </c>
      <c r="D31" s="151">
        <v>4142978.6665401445</v>
      </c>
      <c r="E31" s="420">
        <v>139795.29268292684</v>
      </c>
      <c r="F31" s="151">
        <v>4003183.3738572178</v>
      </c>
      <c r="G31" s="420">
        <v>556615.89330498932</v>
      </c>
      <c r="H31" s="421">
        <v>556615.89330498932</v>
      </c>
      <c r="I31" s="52">
        <f t="shared" si="0"/>
        <v>0</v>
      </c>
      <c r="J31" s="52"/>
      <c r="K31" s="113">
        <f t="shared" si="10"/>
        <v>556615.89330498932</v>
      </c>
      <c r="L31" s="54">
        <f t="shared" ref="L31" si="13">IF(K31&lt;&gt;0,+G31-K31,0)</f>
        <v>0</v>
      </c>
      <c r="M31" s="113">
        <f t="shared" si="11"/>
        <v>556615.89330498932</v>
      </c>
      <c r="N31" s="54">
        <f t="shared" si="2"/>
        <v>0</v>
      </c>
      <c r="O31" s="54">
        <f t="shared" si="3"/>
        <v>0</v>
      </c>
      <c r="P31" s="1"/>
    </row>
    <row r="32" spans="2:16" ht="12.5">
      <c r="B32" s="7" t="str">
        <f t="shared" si="4"/>
        <v/>
      </c>
      <c r="C32" s="50">
        <f>IF(D11="","-",+C31+1)</f>
        <v>2021</v>
      </c>
      <c r="D32" s="151">
        <v>4003183.3738572178</v>
      </c>
      <c r="E32" s="420">
        <v>136466.83333333334</v>
      </c>
      <c r="F32" s="151">
        <v>3866716.5405238844</v>
      </c>
      <c r="G32" s="420">
        <v>553589.41331080301</v>
      </c>
      <c r="H32" s="421">
        <v>553589.41331080301</v>
      </c>
      <c r="I32" s="52">
        <f t="shared" si="0"/>
        <v>0</v>
      </c>
      <c r="J32" s="52"/>
      <c r="K32" s="113">
        <f t="shared" si="10"/>
        <v>553589.41331080301</v>
      </c>
      <c r="L32" s="54">
        <f t="shared" ref="L32" si="14">IF(K32&lt;&gt;0,+G32-K32,0)</f>
        <v>0</v>
      </c>
      <c r="M32" s="113">
        <f t="shared" si="11"/>
        <v>553589.41331080301</v>
      </c>
      <c r="N32" s="54">
        <f t="shared" si="2"/>
        <v>0</v>
      </c>
      <c r="O32" s="54">
        <f t="shared" si="3"/>
        <v>0</v>
      </c>
      <c r="P32" s="1"/>
    </row>
    <row r="33" spans="2:16" ht="12.5">
      <c r="B33" s="7" t="str">
        <f t="shared" si="4"/>
        <v/>
      </c>
      <c r="C33" s="50">
        <f>IF(D11="","-",+C32+1)</f>
        <v>2022</v>
      </c>
      <c r="D33" s="151">
        <v>3866716.5405238844</v>
      </c>
      <c r="E33" s="420">
        <v>136466.83333333334</v>
      </c>
      <c r="F33" s="151">
        <v>3730249.7071905509</v>
      </c>
      <c r="G33" s="420">
        <v>563583.83772104234</v>
      </c>
      <c r="H33" s="421">
        <v>563583.83772104234</v>
      </c>
      <c r="I33" s="52">
        <f t="shared" si="0"/>
        <v>0</v>
      </c>
      <c r="J33" s="52"/>
      <c r="K33" s="113">
        <f t="shared" ref="K33" si="15">G33</f>
        <v>563583.83772104234</v>
      </c>
      <c r="L33" s="54">
        <f t="shared" ref="L33" si="16">IF(K33&lt;&gt;0,+G33-K33,0)</f>
        <v>0</v>
      </c>
      <c r="M33" s="113">
        <f t="shared" ref="M33" si="17">H33</f>
        <v>563583.83772104234</v>
      </c>
      <c r="N33" s="54">
        <f t="shared" si="2"/>
        <v>0</v>
      </c>
      <c r="O33" s="54">
        <f t="shared" si="3"/>
        <v>0</v>
      </c>
      <c r="P33" s="1"/>
    </row>
    <row r="34" spans="2:16" ht="12.5">
      <c r="B34" s="7" t="str">
        <f t="shared" si="4"/>
        <v/>
      </c>
      <c r="C34" s="50">
        <f>IF(D11="","-",+C33+1)</f>
        <v>2023</v>
      </c>
      <c r="D34" s="151">
        <v>3730249.7071905509</v>
      </c>
      <c r="E34" s="420">
        <v>136466.83333333334</v>
      </c>
      <c r="F34" s="151">
        <v>3593782.8738572174</v>
      </c>
      <c r="G34" s="420">
        <v>599077.58884428418</v>
      </c>
      <c r="H34" s="421">
        <v>599077.58884428418</v>
      </c>
      <c r="I34" s="52">
        <f t="shared" si="0"/>
        <v>0</v>
      </c>
      <c r="J34" s="52"/>
      <c r="K34" s="113">
        <f t="shared" ref="K34" si="18">G34</f>
        <v>599077.58884428418</v>
      </c>
      <c r="L34" s="54">
        <f t="shared" ref="L34" si="19">IF(K34&lt;&gt;0,+G34-K34,0)</f>
        <v>0</v>
      </c>
      <c r="M34" s="113">
        <f t="shared" ref="M34" si="20">H34</f>
        <v>599077.58884428418</v>
      </c>
      <c r="N34" s="54">
        <f t="shared" si="2"/>
        <v>0</v>
      </c>
      <c r="O34" s="54">
        <f t="shared" si="3"/>
        <v>0</v>
      </c>
      <c r="P34" s="1"/>
    </row>
    <row r="35" spans="2:16" ht="12.5">
      <c r="B35" s="7" t="str">
        <f t="shared" si="4"/>
        <v/>
      </c>
      <c r="C35" s="50">
        <f>IF(D11="","-",+C34+1)</f>
        <v>2024</v>
      </c>
      <c r="D35" s="151">
        <v>3593782.8738572174</v>
      </c>
      <c r="E35" s="420">
        <v>130263.79545454546</v>
      </c>
      <c r="F35" s="151">
        <v>3463519.078402672</v>
      </c>
      <c r="G35" s="420">
        <v>552033.32523957</v>
      </c>
      <c r="H35" s="421">
        <v>552033.32523957</v>
      </c>
      <c r="I35" s="52">
        <f t="shared" si="0"/>
        <v>0</v>
      </c>
      <c r="J35" s="52"/>
      <c r="K35" s="113">
        <f t="shared" ref="K35" si="21">G35</f>
        <v>552033.32523957</v>
      </c>
      <c r="L35" s="54">
        <f t="shared" ref="L35" si="22">IF(K35&lt;&gt;0,+G35-K35,0)</f>
        <v>0</v>
      </c>
      <c r="M35" s="113">
        <f t="shared" ref="M35" si="23">H35</f>
        <v>552033.32523957</v>
      </c>
      <c r="N35" s="54">
        <f t="shared" ref="N35" si="24">IF(M35&lt;&gt;0,+H35-M35,0)</f>
        <v>0</v>
      </c>
      <c r="O35" s="54">
        <f t="shared" ref="O35" si="25">+N35-L35</f>
        <v>0</v>
      </c>
      <c r="P35" s="1"/>
    </row>
    <row r="36" spans="2:16" ht="12.5">
      <c r="B36" s="7" t="str">
        <f t="shared" si="4"/>
        <v/>
      </c>
      <c r="C36" s="50">
        <f>IF(D11="","-",+C35+1)</f>
        <v>2025</v>
      </c>
      <c r="D36" s="55">
        <f>IF(F35+SUM(E$17:E35)=D$10,F35,D$10-SUM(E$17:E35))</f>
        <v>3463519.078402672</v>
      </c>
      <c r="E36" s="378">
        <f>IF(+I14&lt;F35,I14,D36)</f>
        <v>130263.79545454546</v>
      </c>
      <c r="F36" s="55">
        <f t="shared" ref="F36:F48" si="26">+D36-E36</f>
        <v>3333255.2829481266</v>
      </c>
      <c r="G36" s="379">
        <f t="shared" ref="G36:G72" si="27">+I$12*((D36+F36)/2)+E36</f>
        <v>536463.26741052023</v>
      </c>
      <c r="H36" s="364">
        <f t="shared" ref="H36:H72" si="28">+I$13*((D36+F36)/2)+E36</f>
        <v>536463.26741052023</v>
      </c>
      <c r="I36" s="52">
        <f t="shared" si="0"/>
        <v>0</v>
      </c>
      <c r="J36" s="52"/>
      <c r="K36" s="129"/>
      <c r="L36" s="54">
        <f t="shared" si="1"/>
        <v>0</v>
      </c>
      <c r="M36" s="129"/>
      <c r="N36" s="54">
        <f t="shared" si="2"/>
        <v>0</v>
      </c>
      <c r="O36" s="54">
        <f t="shared" si="3"/>
        <v>0</v>
      </c>
      <c r="P36" s="1"/>
    </row>
    <row r="37" spans="2:16" ht="12.5">
      <c r="B37" s="7" t="str">
        <f t="shared" si="4"/>
        <v/>
      </c>
      <c r="C37" s="50">
        <f>IF(D11="","-",+C36+1)</f>
        <v>2026</v>
      </c>
      <c r="D37" s="55">
        <f>IF(F36+SUM(E$17:E36)=D$10,F36,D$10-SUM(E$17:E36))</f>
        <v>3333255.2829481266</v>
      </c>
      <c r="E37" s="378">
        <f>IF(+I14&lt;F36,I14,D37)</f>
        <v>130263.79545454546</v>
      </c>
      <c r="F37" s="55">
        <f t="shared" si="26"/>
        <v>3202991.4874935811</v>
      </c>
      <c r="G37" s="379">
        <f t="shared" si="27"/>
        <v>520893.20958147047</v>
      </c>
      <c r="H37" s="364">
        <f t="shared" si="28"/>
        <v>520893.20958147047</v>
      </c>
      <c r="I37" s="52">
        <f t="shared" si="0"/>
        <v>0</v>
      </c>
      <c r="J37" s="52"/>
      <c r="K37" s="129"/>
      <c r="L37" s="54">
        <f t="shared" si="1"/>
        <v>0</v>
      </c>
      <c r="M37" s="129"/>
      <c r="N37" s="54">
        <f t="shared" si="2"/>
        <v>0</v>
      </c>
      <c r="O37" s="54">
        <f t="shared" si="3"/>
        <v>0</v>
      </c>
      <c r="P37" s="1"/>
    </row>
    <row r="38" spans="2:16" ht="12.5">
      <c r="B38" s="7" t="str">
        <f t="shared" si="4"/>
        <v/>
      </c>
      <c r="C38" s="50">
        <f>IF(D11="","-",+C37+1)</f>
        <v>2027</v>
      </c>
      <c r="D38" s="55">
        <f>IF(F37+SUM(E$17:E37)=D$10,F37,D$10-SUM(E$17:E37))</f>
        <v>3202991.4874935811</v>
      </c>
      <c r="E38" s="378">
        <f>IF(+I14&lt;F37,I14,D38)</f>
        <v>130263.79545454546</v>
      </c>
      <c r="F38" s="55">
        <f t="shared" si="26"/>
        <v>3072727.6920390357</v>
      </c>
      <c r="G38" s="379">
        <f t="shared" si="27"/>
        <v>505323.1517524207</v>
      </c>
      <c r="H38" s="364">
        <f t="shared" si="28"/>
        <v>505323.1517524207</v>
      </c>
      <c r="I38" s="52">
        <f t="shared" si="0"/>
        <v>0</v>
      </c>
      <c r="J38" s="52"/>
      <c r="K38" s="129"/>
      <c r="L38" s="54">
        <f t="shared" si="1"/>
        <v>0</v>
      </c>
      <c r="M38" s="129"/>
      <c r="N38" s="54">
        <f t="shared" si="2"/>
        <v>0</v>
      </c>
      <c r="O38" s="54">
        <f t="shared" si="3"/>
        <v>0</v>
      </c>
      <c r="P38" s="1"/>
    </row>
    <row r="39" spans="2:16" ht="12.5">
      <c r="B39" s="7" t="str">
        <f t="shared" si="4"/>
        <v/>
      </c>
      <c r="C39" s="50">
        <f>IF(D11="","-",+C38+1)</f>
        <v>2028</v>
      </c>
      <c r="D39" s="55">
        <f>IF(F38+SUM(E$17:E38)=D$10,F38,D$10-SUM(E$17:E38))</f>
        <v>3072727.6920390357</v>
      </c>
      <c r="E39" s="378">
        <f>IF(+I14&lt;F38,I14,D39)</f>
        <v>130263.79545454546</v>
      </c>
      <c r="F39" s="55">
        <f t="shared" si="26"/>
        <v>2942463.8965844903</v>
      </c>
      <c r="G39" s="379">
        <f t="shared" si="27"/>
        <v>489753.09392337088</v>
      </c>
      <c r="H39" s="364">
        <f t="shared" si="28"/>
        <v>489753.09392337088</v>
      </c>
      <c r="I39" s="52">
        <f t="shared" si="0"/>
        <v>0</v>
      </c>
      <c r="J39" s="52"/>
      <c r="K39" s="129"/>
      <c r="L39" s="54">
        <f t="shared" si="1"/>
        <v>0</v>
      </c>
      <c r="M39" s="129"/>
      <c r="N39" s="54">
        <f t="shared" si="2"/>
        <v>0</v>
      </c>
      <c r="O39" s="54">
        <f t="shared" si="3"/>
        <v>0</v>
      </c>
      <c r="P39" s="1"/>
    </row>
    <row r="40" spans="2:16" ht="12.5">
      <c r="B40" s="7" t="str">
        <f t="shared" si="4"/>
        <v/>
      </c>
      <c r="C40" s="50">
        <f>IF(D11="","-",+C39+1)</f>
        <v>2029</v>
      </c>
      <c r="D40" s="55">
        <f>IF(F39+SUM(E$17:E39)=D$10,F39,D$10-SUM(E$17:E39))</f>
        <v>2942463.8965844903</v>
      </c>
      <c r="E40" s="378">
        <f>IF(+I14&lt;F39,I14,D40)</f>
        <v>130263.79545454546</v>
      </c>
      <c r="F40" s="55">
        <f t="shared" si="26"/>
        <v>2812200.1011299449</v>
      </c>
      <c r="G40" s="379">
        <f t="shared" si="27"/>
        <v>474183.03609432111</v>
      </c>
      <c r="H40" s="364">
        <f t="shared" si="28"/>
        <v>474183.03609432111</v>
      </c>
      <c r="I40" s="52">
        <f t="shared" si="0"/>
        <v>0</v>
      </c>
      <c r="J40" s="52"/>
      <c r="K40" s="129"/>
      <c r="L40" s="54">
        <f t="shared" si="1"/>
        <v>0</v>
      </c>
      <c r="M40" s="129"/>
      <c r="N40" s="54">
        <f t="shared" si="2"/>
        <v>0</v>
      </c>
      <c r="O40" s="54">
        <f t="shared" si="3"/>
        <v>0</v>
      </c>
      <c r="P40" s="1"/>
    </row>
    <row r="41" spans="2:16" ht="12.5">
      <c r="B41" s="7" t="str">
        <f t="shared" si="4"/>
        <v/>
      </c>
      <c r="C41" s="50">
        <f>IF(D11="","-",+C40+1)</f>
        <v>2030</v>
      </c>
      <c r="D41" s="55">
        <f>IF(F40+SUM(E$17:E40)=D$10,F40,D$10-SUM(E$17:E40))</f>
        <v>2812200.1011299449</v>
      </c>
      <c r="E41" s="378">
        <f>IF(+I14&lt;F40,I14,D41)</f>
        <v>130263.79545454546</v>
      </c>
      <c r="F41" s="55">
        <f t="shared" si="26"/>
        <v>2681936.3056753995</v>
      </c>
      <c r="G41" s="379">
        <f t="shared" si="27"/>
        <v>458612.97826527129</v>
      </c>
      <c r="H41" s="364">
        <f t="shared" si="28"/>
        <v>458612.97826527129</v>
      </c>
      <c r="I41" s="52">
        <f t="shared" si="0"/>
        <v>0</v>
      </c>
      <c r="J41" s="52"/>
      <c r="K41" s="129"/>
      <c r="L41" s="54">
        <f t="shared" si="1"/>
        <v>0</v>
      </c>
      <c r="M41" s="129"/>
      <c r="N41" s="54">
        <f t="shared" si="2"/>
        <v>0</v>
      </c>
      <c r="O41" s="54">
        <f t="shared" si="3"/>
        <v>0</v>
      </c>
      <c r="P41" s="1"/>
    </row>
    <row r="42" spans="2:16" ht="12.5">
      <c r="B42" s="7" t="str">
        <f t="shared" si="4"/>
        <v/>
      </c>
      <c r="C42" s="50">
        <f>IF(D11="","-",+C41+1)</f>
        <v>2031</v>
      </c>
      <c r="D42" s="55">
        <f>IF(F41+SUM(E$17:E41)=D$10,F41,D$10-SUM(E$17:E41))</f>
        <v>2681936.3056753995</v>
      </c>
      <c r="E42" s="378">
        <f>IF(+I14&lt;F41,I14,D42)</f>
        <v>130263.79545454546</v>
      </c>
      <c r="F42" s="55">
        <f t="shared" si="26"/>
        <v>2551672.5102208541</v>
      </c>
      <c r="G42" s="379">
        <f t="shared" si="27"/>
        <v>443042.92043622152</v>
      </c>
      <c r="H42" s="364">
        <f t="shared" si="28"/>
        <v>443042.92043622152</v>
      </c>
      <c r="I42" s="52">
        <f t="shared" si="0"/>
        <v>0</v>
      </c>
      <c r="J42" s="52"/>
      <c r="K42" s="129"/>
      <c r="L42" s="54">
        <f t="shared" si="1"/>
        <v>0</v>
      </c>
      <c r="M42" s="129"/>
      <c r="N42" s="54">
        <f t="shared" si="2"/>
        <v>0</v>
      </c>
      <c r="O42" s="54">
        <f t="shared" si="3"/>
        <v>0</v>
      </c>
      <c r="P42" s="1"/>
    </row>
    <row r="43" spans="2:16" ht="12.5">
      <c r="B43" s="7" t="str">
        <f t="shared" si="4"/>
        <v/>
      </c>
      <c r="C43" s="50">
        <f>IF(D11="","-",+C42+1)</f>
        <v>2032</v>
      </c>
      <c r="D43" s="55">
        <f>IF(F42+SUM(E$17:E42)=D$10,F42,D$10-SUM(E$17:E42))</f>
        <v>2551672.5102208541</v>
      </c>
      <c r="E43" s="378">
        <f>IF(+I14&lt;F42,I14,D43)</f>
        <v>130263.79545454546</v>
      </c>
      <c r="F43" s="55">
        <f t="shared" si="26"/>
        <v>2421408.7147663087</v>
      </c>
      <c r="G43" s="379">
        <f t="shared" si="27"/>
        <v>427472.8626071717</v>
      </c>
      <c r="H43" s="364">
        <f t="shared" si="28"/>
        <v>427472.8626071717</v>
      </c>
      <c r="I43" s="52">
        <f t="shared" si="0"/>
        <v>0</v>
      </c>
      <c r="J43" s="52"/>
      <c r="K43" s="129"/>
      <c r="L43" s="54">
        <f t="shared" si="1"/>
        <v>0</v>
      </c>
      <c r="M43" s="129"/>
      <c r="N43" s="54">
        <f t="shared" si="2"/>
        <v>0</v>
      </c>
      <c r="O43" s="54">
        <f t="shared" si="3"/>
        <v>0</v>
      </c>
      <c r="P43" s="1"/>
    </row>
    <row r="44" spans="2:16" ht="12.5">
      <c r="B44" s="7" t="str">
        <f t="shared" si="4"/>
        <v/>
      </c>
      <c r="C44" s="50">
        <f>IF(D11="","-",+C43+1)</f>
        <v>2033</v>
      </c>
      <c r="D44" s="55">
        <f>IF(F43+SUM(E$17:E43)=D$10,F43,D$10-SUM(E$17:E43))</f>
        <v>2421408.7147663087</v>
      </c>
      <c r="E44" s="378">
        <f>IF(+I14&lt;F43,I14,D44)</f>
        <v>130263.79545454546</v>
      </c>
      <c r="F44" s="55">
        <f t="shared" si="26"/>
        <v>2291144.9193117633</v>
      </c>
      <c r="G44" s="379">
        <f t="shared" si="27"/>
        <v>411902.80477812194</v>
      </c>
      <c r="H44" s="364">
        <f t="shared" si="28"/>
        <v>411902.80477812194</v>
      </c>
      <c r="I44" s="52">
        <f t="shared" si="0"/>
        <v>0</v>
      </c>
      <c r="J44" s="52"/>
      <c r="K44" s="129"/>
      <c r="L44" s="54">
        <f t="shared" si="1"/>
        <v>0</v>
      </c>
      <c r="M44" s="129"/>
      <c r="N44" s="54">
        <f t="shared" si="2"/>
        <v>0</v>
      </c>
      <c r="O44" s="54">
        <f t="shared" si="3"/>
        <v>0</v>
      </c>
      <c r="P44" s="1"/>
    </row>
    <row r="45" spans="2:16" ht="12.5">
      <c r="B45" s="7" t="str">
        <f t="shared" si="4"/>
        <v/>
      </c>
      <c r="C45" s="50">
        <f>IF(D11="","-",+C44+1)</f>
        <v>2034</v>
      </c>
      <c r="D45" s="55">
        <f>IF(F44+SUM(E$17:E44)=D$10,F44,D$10-SUM(E$17:E44))</f>
        <v>2291144.9193117633</v>
      </c>
      <c r="E45" s="378">
        <f>IF(+I14&lt;F44,I14,D45)</f>
        <v>130263.79545454546</v>
      </c>
      <c r="F45" s="55">
        <f t="shared" si="26"/>
        <v>2160881.1238572178</v>
      </c>
      <c r="G45" s="379">
        <f t="shared" si="27"/>
        <v>396332.74694907211</v>
      </c>
      <c r="H45" s="364">
        <f t="shared" si="28"/>
        <v>396332.74694907211</v>
      </c>
      <c r="I45" s="52">
        <f t="shared" si="0"/>
        <v>0</v>
      </c>
      <c r="J45" s="52"/>
      <c r="K45" s="129"/>
      <c r="L45" s="54">
        <f t="shared" si="1"/>
        <v>0</v>
      </c>
      <c r="M45" s="129"/>
      <c r="N45" s="54">
        <f t="shared" si="2"/>
        <v>0</v>
      </c>
      <c r="O45" s="54">
        <f t="shared" si="3"/>
        <v>0</v>
      </c>
      <c r="P45" s="1"/>
    </row>
    <row r="46" spans="2:16" ht="12.5">
      <c r="B46" s="7" t="str">
        <f t="shared" si="4"/>
        <v/>
      </c>
      <c r="C46" s="50">
        <f>IF(D11="","-",+C45+1)</f>
        <v>2035</v>
      </c>
      <c r="D46" s="55">
        <f>IF(F45+SUM(E$17:E45)=D$10,F45,D$10-SUM(E$17:E45))</f>
        <v>2160881.1238572178</v>
      </c>
      <c r="E46" s="378">
        <f>IF(+I14&lt;F45,I14,D46)</f>
        <v>130263.79545454546</v>
      </c>
      <c r="F46" s="55">
        <f t="shared" si="26"/>
        <v>2030617.3284026724</v>
      </c>
      <c r="G46" s="379">
        <f t="shared" si="27"/>
        <v>380762.68912002229</v>
      </c>
      <c r="H46" s="364">
        <f t="shared" si="28"/>
        <v>380762.68912002229</v>
      </c>
      <c r="I46" s="52">
        <f t="shared" si="0"/>
        <v>0</v>
      </c>
      <c r="J46" s="52"/>
      <c r="K46" s="129"/>
      <c r="L46" s="54">
        <f t="shared" si="1"/>
        <v>0</v>
      </c>
      <c r="M46" s="129"/>
      <c r="N46" s="54">
        <f t="shared" si="2"/>
        <v>0</v>
      </c>
      <c r="O46" s="54">
        <f t="shared" si="3"/>
        <v>0</v>
      </c>
      <c r="P46" s="1"/>
    </row>
    <row r="47" spans="2:16" ht="12.5">
      <c r="B47" s="7" t="str">
        <f t="shared" si="4"/>
        <v/>
      </c>
      <c r="C47" s="50">
        <f>IF(D11="","-",+C46+1)</f>
        <v>2036</v>
      </c>
      <c r="D47" s="55">
        <f>IF(F46+SUM(E$17:E46)=D$10,F46,D$10-SUM(E$17:E46))</f>
        <v>2030617.3284026724</v>
      </c>
      <c r="E47" s="378">
        <f>IF(+I14&lt;F46,I14,D47)</f>
        <v>130263.79545454546</v>
      </c>
      <c r="F47" s="55">
        <f t="shared" si="26"/>
        <v>1900353.532948127</v>
      </c>
      <c r="G47" s="379">
        <f t="shared" si="27"/>
        <v>365192.63129097252</v>
      </c>
      <c r="H47" s="364">
        <f t="shared" si="28"/>
        <v>365192.63129097252</v>
      </c>
      <c r="I47" s="52">
        <f t="shared" si="0"/>
        <v>0</v>
      </c>
      <c r="J47" s="52"/>
      <c r="K47" s="129"/>
      <c r="L47" s="54">
        <f t="shared" si="1"/>
        <v>0</v>
      </c>
      <c r="M47" s="129"/>
      <c r="N47" s="54">
        <f t="shared" si="2"/>
        <v>0</v>
      </c>
      <c r="O47" s="54">
        <f t="shared" si="3"/>
        <v>0</v>
      </c>
      <c r="P47" s="1"/>
    </row>
    <row r="48" spans="2:16" ht="12.5">
      <c r="B48" s="7" t="str">
        <f t="shared" si="4"/>
        <v/>
      </c>
      <c r="C48" s="50">
        <f>IF(D11="","-",+C47+1)</f>
        <v>2037</v>
      </c>
      <c r="D48" s="55">
        <f>IF(F47+SUM(E$17:E47)=D$10,F47,D$10-SUM(E$17:E47))</f>
        <v>1900353.532948127</v>
      </c>
      <c r="E48" s="378">
        <f>IF(+I14&lt;F47,I14,D48)</f>
        <v>130263.79545454546</v>
      </c>
      <c r="F48" s="55">
        <f t="shared" si="26"/>
        <v>1770089.7374935816</v>
      </c>
      <c r="G48" s="379">
        <f t="shared" si="27"/>
        <v>349622.5734619227</v>
      </c>
      <c r="H48" s="364">
        <f t="shared" si="28"/>
        <v>349622.5734619227</v>
      </c>
      <c r="I48" s="52">
        <f t="shared" si="0"/>
        <v>0</v>
      </c>
      <c r="J48" s="52"/>
      <c r="K48" s="129"/>
      <c r="L48" s="54">
        <f t="shared" si="1"/>
        <v>0</v>
      </c>
      <c r="M48" s="129"/>
      <c r="N48" s="54">
        <f t="shared" si="2"/>
        <v>0</v>
      </c>
      <c r="O48" s="54">
        <f t="shared" si="3"/>
        <v>0</v>
      </c>
      <c r="P48" s="1"/>
    </row>
    <row r="49" spans="2:17" ht="12.5">
      <c r="B49" s="7" t="str">
        <f t="shared" si="4"/>
        <v/>
      </c>
      <c r="C49" s="50">
        <f>IF(D11="","-",+C48+1)</f>
        <v>2038</v>
      </c>
      <c r="D49" s="55">
        <f>IF(F48+SUM(E$17:E48)=D$10,F48,D$10-SUM(E$17:E48))</f>
        <v>1770089.7374935816</v>
      </c>
      <c r="E49" s="378">
        <f>IF(+I14&lt;F48,I14,D49)</f>
        <v>130263.79545454546</v>
      </c>
      <c r="F49" s="55">
        <f t="shared" ref="F49:F72" si="29">+D49-E49</f>
        <v>1639825.9420390362</v>
      </c>
      <c r="G49" s="379">
        <f t="shared" si="27"/>
        <v>334052.51563287294</v>
      </c>
      <c r="H49" s="364">
        <f t="shared" si="28"/>
        <v>334052.51563287294</v>
      </c>
      <c r="I49" s="52">
        <f t="shared" ref="I49:I72" si="30">H49-G49</f>
        <v>0</v>
      </c>
      <c r="J49" s="52"/>
      <c r="K49" s="129"/>
      <c r="L49" s="54">
        <f t="shared" ref="L49:L72" si="31">IF(K49&lt;&gt;0,+G49-K49,0)</f>
        <v>0</v>
      </c>
      <c r="M49" s="129"/>
      <c r="N49" s="54">
        <f t="shared" ref="N49:N72" si="32">IF(M49&lt;&gt;0,+H49-M49,0)</f>
        <v>0</v>
      </c>
      <c r="O49" s="54">
        <f t="shared" ref="O49:O72" si="33">+N49-L49</f>
        <v>0</v>
      </c>
      <c r="P49" s="1"/>
    </row>
    <row r="50" spans="2:17" ht="12.5">
      <c r="B50" s="7" t="str">
        <f t="shared" si="4"/>
        <v/>
      </c>
      <c r="C50" s="50">
        <f>IF(D11="","-",+C49+1)</f>
        <v>2039</v>
      </c>
      <c r="D50" s="55">
        <f>IF(F49+SUM(E$17:E49)=D$10,F49,D$10-SUM(E$17:E49))</f>
        <v>1639825.9420390362</v>
      </c>
      <c r="E50" s="378">
        <f>IF(+I14&lt;F49,I14,D50)</f>
        <v>130263.79545454546</v>
      </c>
      <c r="F50" s="55">
        <f t="shared" si="29"/>
        <v>1509562.1465844908</v>
      </c>
      <c r="G50" s="379">
        <f t="shared" si="27"/>
        <v>318482.45780382311</v>
      </c>
      <c r="H50" s="364">
        <f t="shared" si="28"/>
        <v>318482.45780382311</v>
      </c>
      <c r="I50" s="52">
        <f t="shared" si="30"/>
        <v>0</v>
      </c>
      <c r="J50" s="52"/>
      <c r="K50" s="129"/>
      <c r="L50" s="54">
        <f t="shared" si="31"/>
        <v>0</v>
      </c>
      <c r="M50" s="129"/>
      <c r="N50" s="54">
        <f t="shared" si="32"/>
        <v>0</v>
      </c>
      <c r="O50" s="54">
        <f t="shared" si="33"/>
        <v>0</v>
      </c>
      <c r="P50" s="1"/>
    </row>
    <row r="51" spans="2:17" ht="12.5">
      <c r="B51" s="7" t="str">
        <f t="shared" si="4"/>
        <v/>
      </c>
      <c r="C51" s="50">
        <f>IF(D11="","-",+C50+1)</f>
        <v>2040</v>
      </c>
      <c r="D51" s="55">
        <f>IF(F50+SUM(E$17:E50)=D$10,F50,D$10-SUM(E$17:E50))</f>
        <v>1509562.1465844908</v>
      </c>
      <c r="E51" s="378">
        <f>IF(+I14&lt;F50,I14,D51)</f>
        <v>130263.79545454546</v>
      </c>
      <c r="F51" s="55">
        <f t="shared" si="29"/>
        <v>1379298.3511299454</v>
      </c>
      <c r="G51" s="379">
        <f t="shared" si="27"/>
        <v>302912.39997477335</v>
      </c>
      <c r="H51" s="364">
        <f t="shared" si="28"/>
        <v>302912.39997477335</v>
      </c>
      <c r="I51" s="52">
        <f t="shared" si="30"/>
        <v>0</v>
      </c>
      <c r="J51" s="52"/>
      <c r="K51" s="129"/>
      <c r="L51" s="54">
        <f t="shared" si="31"/>
        <v>0</v>
      </c>
      <c r="M51" s="129"/>
      <c r="N51" s="54">
        <f t="shared" si="32"/>
        <v>0</v>
      </c>
      <c r="O51" s="54">
        <f t="shared" si="33"/>
        <v>0</v>
      </c>
      <c r="P51" s="1"/>
    </row>
    <row r="52" spans="2:17" ht="12.5">
      <c r="B52" s="7" t="str">
        <f t="shared" si="4"/>
        <v/>
      </c>
      <c r="C52" s="50">
        <f>IF(D11="","-",+C51+1)</f>
        <v>2041</v>
      </c>
      <c r="D52" s="55">
        <f>IF(F51+SUM(E$17:E51)=D$10,F51,D$10-SUM(E$17:E51))</f>
        <v>1379298.3511299454</v>
      </c>
      <c r="E52" s="378">
        <f>IF(+I14&lt;F51,I14,D52)</f>
        <v>130263.79545454546</v>
      </c>
      <c r="F52" s="55">
        <f t="shared" si="29"/>
        <v>1249034.5556754</v>
      </c>
      <c r="G52" s="379">
        <f t="shared" si="27"/>
        <v>287342.34214572352</v>
      </c>
      <c r="H52" s="364">
        <f t="shared" si="28"/>
        <v>287342.34214572352</v>
      </c>
      <c r="I52" s="52">
        <f t="shared" si="30"/>
        <v>0</v>
      </c>
      <c r="J52" s="52"/>
      <c r="K52" s="129"/>
      <c r="L52" s="54">
        <f t="shared" si="31"/>
        <v>0</v>
      </c>
      <c r="M52" s="129"/>
      <c r="N52" s="54">
        <f t="shared" si="32"/>
        <v>0</v>
      </c>
      <c r="O52" s="54">
        <f t="shared" si="33"/>
        <v>0</v>
      </c>
      <c r="P52" s="1"/>
    </row>
    <row r="53" spans="2:17" ht="12.5">
      <c r="B53" s="7" t="str">
        <f t="shared" si="4"/>
        <v/>
      </c>
      <c r="C53" s="50">
        <f>IF(D11="","-",+C52+1)</f>
        <v>2042</v>
      </c>
      <c r="D53" s="55">
        <f>IF(F52+SUM(E$17:E52)=D$10,F52,D$10-SUM(E$17:E52))</f>
        <v>1249034.5556754</v>
      </c>
      <c r="E53" s="378">
        <f>IF(+I14&lt;F52,I14,D53)</f>
        <v>130263.79545454546</v>
      </c>
      <c r="F53" s="55">
        <f t="shared" si="29"/>
        <v>1118770.7602208545</v>
      </c>
      <c r="G53" s="379">
        <f t="shared" si="27"/>
        <v>271772.28431667376</v>
      </c>
      <c r="H53" s="364">
        <f t="shared" si="28"/>
        <v>271772.28431667376</v>
      </c>
      <c r="I53" s="52">
        <f t="shared" si="30"/>
        <v>0</v>
      </c>
      <c r="J53" s="52"/>
      <c r="K53" s="129"/>
      <c r="L53" s="54">
        <f t="shared" si="31"/>
        <v>0</v>
      </c>
      <c r="M53" s="129"/>
      <c r="N53" s="54">
        <f t="shared" si="32"/>
        <v>0</v>
      </c>
      <c r="O53" s="54">
        <f t="shared" si="33"/>
        <v>0</v>
      </c>
      <c r="P53" s="1"/>
    </row>
    <row r="54" spans="2:17" ht="12.5">
      <c r="B54" s="7" t="str">
        <f t="shared" si="4"/>
        <v/>
      </c>
      <c r="C54" s="50">
        <f>IF(D11="","-",+C53+1)</f>
        <v>2043</v>
      </c>
      <c r="D54" s="55">
        <f>IF(F53+SUM(E$17:E53)=D$10,F53,D$10-SUM(E$17:E53))</f>
        <v>1118770.7602208545</v>
      </c>
      <c r="E54" s="378">
        <f>IF(+I14&lt;F53,I14,D54)</f>
        <v>130263.79545454546</v>
      </c>
      <c r="F54" s="55">
        <f t="shared" si="29"/>
        <v>988506.96476630913</v>
      </c>
      <c r="G54" s="379">
        <f t="shared" si="27"/>
        <v>256202.22648762396</v>
      </c>
      <c r="H54" s="364">
        <f t="shared" si="28"/>
        <v>256202.22648762396</v>
      </c>
      <c r="I54" s="52">
        <f t="shared" si="30"/>
        <v>0</v>
      </c>
      <c r="J54" s="52"/>
      <c r="K54" s="129"/>
      <c r="L54" s="54">
        <f t="shared" si="31"/>
        <v>0</v>
      </c>
      <c r="M54" s="129"/>
      <c r="N54" s="54">
        <f t="shared" si="32"/>
        <v>0</v>
      </c>
      <c r="O54" s="54">
        <f t="shared" si="33"/>
        <v>0</v>
      </c>
      <c r="P54" s="1"/>
    </row>
    <row r="55" spans="2:17" ht="12.5">
      <c r="B55" s="7" t="str">
        <f t="shared" si="4"/>
        <v/>
      </c>
      <c r="C55" s="50">
        <f>IF(D11="","-",+C54+1)</f>
        <v>2044</v>
      </c>
      <c r="D55" s="55">
        <f>IF(F54+SUM(E$17:E54)=D$10,F54,D$10-SUM(E$17:E54))</f>
        <v>988506.96476630913</v>
      </c>
      <c r="E55" s="378">
        <f>IF(+I14&lt;F54,I14,D55)</f>
        <v>130263.79545454546</v>
      </c>
      <c r="F55" s="55">
        <f t="shared" si="29"/>
        <v>858243.16931176372</v>
      </c>
      <c r="G55" s="379">
        <f t="shared" si="27"/>
        <v>240632.16865857417</v>
      </c>
      <c r="H55" s="364">
        <f t="shared" si="28"/>
        <v>240632.16865857417</v>
      </c>
      <c r="I55" s="52">
        <f t="shared" si="30"/>
        <v>0</v>
      </c>
      <c r="J55" s="52"/>
      <c r="K55" s="129"/>
      <c r="L55" s="54">
        <f t="shared" si="31"/>
        <v>0</v>
      </c>
      <c r="M55" s="129"/>
      <c r="N55" s="54">
        <f t="shared" si="32"/>
        <v>0</v>
      </c>
      <c r="O55" s="54">
        <f t="shared" si="33"/>
        <v>0</v>
      </c>
      <c r="P55" s="1"/>
    </row>
    <row r="56" spans="2:17" ht="12.5">
      <c r="B56" s="7" t="str">
        <f t="shared" si="4"/>
        <v/>
      </c>
      <c r="C56" s="50">
        <f>IF(D11="","-",+C55+1)</f>
        <v>2045</v>
      </c>
      <c r="D56" s="55">
        <f>IF(F55+SUM(E$17:E55)=D$10,F55,D$10-SUM(E$17:E55))</f>
        <v>858243.16931176372</v>
      </c>
      <c r="E56" s="378">
        <f>IF(+I14&lt;F55,I14,D56)</f>
        <v>130263.79545454546</v>
      </c>
      <c r="F56" s="55">
        <f t="shared" si="29"/>
        <v>727979.37385721831</v>
      </c>
      <c r="G56" s="379">
        <f t="shared" si="27"/>
        <v>225062.11082952438</v>
      </c>
      <c r="H56" s="364">
        <f t="shared" si="28"/>
        <v>225062.11082952438</v>
      </c>
      <c r="I56" s="52">
        <f t="shared" si="30"/>
        <v>0</v>
      </c>
      <c r="J56" s="52"/>
      <c r="K56" s="129"/>
      <c r="L56" s="54">
        <f t="shared" si="31"/>
        <v>0</v>
      </c>
      <c r="M56" s="129"/>
      <c r="N56" s="54">
        <f t="shared" si="32"/>
        <v>0</v>
      </c>
      <c r="O56" s="54">
        <f t="shared" si="33"/>
        <v>0</v>
      </c>
      <c r="P56" s="1"/>
    </row>
    <row r="57" spans="2:17" ht="12.5">
      <c r="B57" s="7" t="str">
        <f t="shared" si="4"/>
        <v/>
      </c>
      <c r="C57" s="50">
        <f>IF(D11="","-",+C56+1)</f>
        <v>2046</v>
      </c>
      <c r="D57" s="55">
        <f>IF(F56+SUM(E$17:E56)=D$10,F56,D$10-SUM(E$17:E56))</f>
        <v>727979.37385721831</v>
      </c>
      <c r="E57" s="378">
        <f>IF(+I14&lt;F56,I14,D57)</f>
        <v>130263.79545454546</v>
      </c>
      <c r="F57" s="55">
        <f t="shared" si="29"/>
        <v>597715.57840267289</v>
      </c>
      <c r="G57" s="379">
        <f t="shared" si="27"/>
        <v>209492.05300047458</v>
      </c>
      <c r="H57" s="364">
        <f t="shared" si="28"/>
        <v>209492.05300047458</v>
      </c>
      <c r="I57" s="52">
        <f t="shared" si="30"/>
        <v>0</v>
      </c>
      <c r="J57" s="52"/>
      <c r="K57" s="129"/>
      <c r="L57" s="54">
        <f t="shared" si="31"/>
        <v>0</v>
      </c>
      <c r="M57" s="129"/>
      <c r="N57" s="54">
        <f t="shared" si="32"/>
        <v>0</v>
      </c>
      <c r="O57" s="54">
        <f t="shared" si="33"/>
        <v>0</v>
      </c>
      <c r="P57" s="1"/>
    </row>
    <row r="58" spans="2:17" ht="12.5">
      <c r="B58" s="7" t="str">
        <f t="shared" si="4"/>
        <v/>
      </c>
      <c r="C58" s="50">
        <f>IF(D11="","-",+C57+1)</f>
        <v>2047</v>
      </c>
      <c r="D58" s="55">
        <f>IF(F57+SUM(E$17:E57)=D$10,F57,D$10-SUM(E$17:E57))</f>
        <v>597715.57840267289</v>
      </c>
      <c r="E58" s="378">
        <f>IF(+I14&lt;F57,I14,D58)</f>
        <v>130263.79545454546</v>
      </c>
      <c r="F58" s="55">
        <f t="shared" si="29"/>
        <v>467451.78294812742</v>
      </c>
      <c r="G58" s="379">
        <f t="shared" si="27"/>
        <v>193921.99517142479</v>
      </c>
      <c r="H58" s="364">
        <f t="shared" si="28"/>
        <v>193921.99517142479</v>
      </c>
      <c r="I58" s="52">
        <f t="shared" si="30"/>
        <v>0</v>
      </c>
      <c r="J58" s="52"/>
      <c r="K58" s="129"/>
      <c r="L58" s="54">
        <f t="shared" si="31"/>
        <v>0</v>
      </c>
      <c r="M58" s="129"/>
      <c r="N58" s="54">
        <f t="shared" si="32"/>
        <v>0</v>
      </c>
      <c r="O58" s="54">
        <f t="shared" si="33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4"/>
        <v/>
      </c>
      <c r="C59" s="50">
        <f>IF(D11="","-",+C58+1)</f>
        <v>2048</v>
      </c>
      <c r="D59" s="55">
        <f>IF(F58+SUM(E$17:E58)=D$10,F58,D$10-SUM(E$17:E58))</f>
        <v>467451.78294812742</v>
      </c>
      <c r="E59" s="378">
        <f>IF(+I14&lt;F58,I14,D59)</f>
        <v>130263.79545454546</v>
      </c>
      <c r="F59" s="55">
        <f t="shared" si="29"/>
        <v>337187.98749358195</v>
      </c>
      <c r="G59" s="379">
        <f t="shared" si="27"/>
        <v>178351.93734237499</v>
      </c>
      <c r="H59" s="364">
        <f t="shared" si="28"/>
        <v>178351.93734237499</v>
      </c>
      <c r="I59" s="52">
        <f t="shared" si="30"/>
        <v>0</v>
      </c>
      <c r="J59" s="52"/>
      <c r="K59" s="129"/>
      <c r="L59" s="54">
        <f t="shared" si="31"/>
        <v>0</v>
      </c>
      <c r="M59" s="129"/>
      <c r="N59" s="54">
        <f t="shared" si="32"/>
        <v>0</v>
      </c>
      <c r="O59" s="54">
        <f t="shared" si="33"/>
        <v>0</v>
      </c>
      <c r="P59" s="1"/>
    </row>
    <row r="60" spans="2:17" ht="12.5">
      <c r="B60" s="7" t="str">
        <f t="shared" si="4"/>
        <v/>
      </c>
      <c r="C60" s="50">
        <f>IF(D11="","-",+C59+1)</f>
        <v>2049</v>
      </c>
      <c r="D60" s="55">
        <f>IF(F59+SUM(E$17:E59)=D$10,F59,D$10-SUM(E$17:E59))</f>
        <v>337187.98749358195</v>
      </c>
      <c r="E60" s="378">
        <f>IF(+I14&lt;F59,I14,D60)</f>
        <v>130263.79545454546</v>
      </c>
      <c r="F60" s="55">
        <f t="shared" si="29"/>
        <v>206924.19203903648</v>
      </c>
      <c r="G60" s="379">
        <f t="shared" si="27"/>
        <v>162781.8795133252</v>
      </c>
      <c r="H60" s="364">
        <f t="shared" si="28"/>
        <v>162781.8795133252</v>
      </c>
      <c r="I60" s="52">
        <f t="shared" si="30"/>
        <v>0</v>
      </c>
      <c r="J60" s="52"/>
      <c r="K60" s="129"/>
      <c r="L60" s="54">
        <f t="shared" si="31"/>
        <v>0</v>
      </c>
      <c r="M60" s="129"/>
      <c r="N60" s="54">
        <f t="shared" si="32"/>
        <v>0</v>
      </c>
      <c r="O60" s="54">
        <f t="shared" si="33"/>
        <v>0</v>
      </c>
      <c r="P60" s="1"/>
    </row>
    <row r="61" spans="2:17" ht="12.5">
      <c r="B61" s="7" t="str">
        <f t="shared" si="4"/>
        <v/>
      </c>
      <c r="C61" s="50">
        <f>IF(D11="","-",+C60+1)</f>
        <v>2050</v>
      </c>
      <c r="D61" s="55">
        <f>IF(F60+SUM(E$17:E60)=D$10,F60,D$10-SUM(E$17:E60))</f>
        <v>206924.19203903648</v>
      </c>
      <c r="E61" s="378">
        <f>IF(+I14&lt;F60,I14,D61)</f>
        <v>130263.79545454546</v>
      </c>
      <c r="F61" s="55">
        <f t="shared" si="29"/>
        <v>76660.396584491027</v>
      </c>
      <c r="G61" s="380">
        <f t="shared" si="27"/>
        <v>147211.82168427538</v>
      </c>
      <c r="H61" s="364">
        <f t="shared" si="28"/>
        <v>147211.82168427538</v>
      </c>
      <c r="I61" s="52">
        <f t="shared" si="30"/>
        <v>0</v>
      </c>
      <c r="J61" s="52"/>
      <c r="K61" s="129"/>
      <c r="L61" s="54">
        <f t="shared" si="31"/>
        <v>0</v>
      </c>
      <c r="M61" s="129"/>
      <c r="N61" s="54">
        <f t="shared" si="32"/>
        <v>0</v>
      </c>
      <c r="O61" s="54">
        <f t="shared" si="33"/>
        <v>0</v>
      </c>
      <c r="P61" s="1"/>
    </row>
    <row r="62" spans="2:17" ht="12.5">
      <c r="B62" s="7" t="str">
        <f t="shared" si="4"/>
        <v/>
      </c>
      <c r="C62" s="50">
        <f>IF(D11="","-",+C61+1)</f>
        <v>2051</v>
      </c>
      <c r="D62" s="55">
        <f>IF(F61+SUM(E$17:E61)=D$10,F61,D$10-SUM(E$17:E61))</f>
        <v>76660.396584491027</v>
      </c>
      <c r="E62" s="378">
        <f>IF(+I14&lt;F61,I14,D62)</f>
        <v>76660.396584491027</v>
      </c>
      <c r="F62" s="55">
        <f t="shared" si="29"/>
        <v>0</v>
      </c>
      <c r="G62" s="380">
        <f t="shared" si="27"/>
        <v>81241.895242093538</v>
      </c>
      <c r="H62" s="364">
        <f t="shared" si="28"/>
        <v>81241.895242093538</v>
      </c>
      <c r="I62" s="52">
        <f t="shared" si="30"/>
        <v>0</v>
      </c>
      <c r="J62" s="52"/>
      <c r="K62" s="129"/>
      <c r="L62" s="54">
        <f t="shared" si="31"/>
        <v>0</v>
      </c>
      <c r="M62" s="129"/>
      <c r="N62" s="54">
        <f t="shared" si="32"/>
        <v>0</v>
      </c>
      <c r="O62" s="54">
        <f t="shared" si="33"/>
        <v>0</v>
      </c>
      <c r="P62" s="1"/>
    </row>
    <row r="63" spans="2:17" ht="12.5">
      <c r="B63" s="7" t="str">
        <f t="shared" si="4"/>
        <v/>
      </c>
      <c r="C63" s="50">
        <f>IF(D11="","-",+C62+1)</f>
        <v>2052</v>
      </c>
      <c r="D63" s="55">
        <f>IF(F62+SUM(E$17:E62)=D$10,F62,D$10-SUM(E$17:E62))</f>
        <v>0</v>
      </c>
      <c r="E63" s="378">
        <f>IF(+I14&lt;F62,I14,D63)</f>
        <v>0</v>
      </c>
      <c r="F63" s="55">
        <f t="shared" si="29"/>
        <v>0</v>
      </c>
      <c r="G63" s="380">
        <f t="shared" si="27"/>
        <v>0</v>
      </c>
      <c r="H63" s="364">
        <f t="shared" si="28"/>
        <v>0</v>
      </c>
      <c r="I63" s="52">
        <f t="shared" si="30"/>
        <v>0</v>
      </c>
      <c r="J63" s="52"/>
      <c r="K63" s="129"/>
      <c r="L63" s="54">
        <f t="shared" si="31"/>
        <v>0</v>
      </c>
      <c r="M63" s="129"/>
      <c r="N63" s="54">
        <f t="shared" si="32"/>
        <v>0</v>
      </c>
      <c r="O63" s="54">
        <f t="shared" si="33"/>
        <v>0</v>
      </c>
      <c r="P63" s="1"/>
    </row>
    <row r="64" spans="2:17" ht="12.5">
      <c r="B64" s="7" t="str">
        <f t="shared" si="4"/>
        <v/>
      </c>
      <c r="C64" s="50">
        <f>IF(D11="","-",+C63+1)</f>
        <v>2053</v>
      </c>
      <c r="D64" s="55">
        <f>IF(F63+SUM(E$17:E63)=D$10,F63,D$10-SUM(E$17:E63))</f>
        <v>0</v>
      </c>
      <c r="E64" s="378">
        <f>IF(+I14&lt;F63,I14,D64)</f>
        <v>0</v>
      </c>
      <c r="F64" s="55">
        <f t="shared" si="29"/>
        <v>0</v>
      </c>
      <c r="G64" s="380">
        <f t="shared" si="27"/>
        <v>0</v>
      </c>
      <c r="H64" s="364">
        <f t="shared" si="28"/>
        <v>0</v>
      </c>
      <c r="I64" s="52">
        <f t="shared" si="30"/>
        <v>0</v>
      </c>
      <c r="J64" s="52"/>
      <c r="K64" s="129"/>
      <c r="L64" s="54">
        <f t="shared" si="31"/>
        <v>0</v>
      </c>
      <c r="M64" s="129"/>
      <c r="N64" s="54">
        <f t="shared" si="32"/>
        <v>0</v>
      </c>
      <c r="O64" s="54">
        <f t="shared" si="33"/>
        <v>0</v>
      </c>
      <c r="P64" s="1"/>
    </row>
    <row r="65" spans="1:16" ht="12.5">
      <c r="B65" s="7" t="str">
        <f t="shared" si="4"/>
        <v/>
      </c>
      <c r="C65" s="50">
        <f>IF(D11="","-",+C64+1)</f>
        <v>2054</v>
      </c>
      <c r="D65" s="55">
        <f>IF(F64+SUM(E$17:E64)=D$10,F64,D$10-SUM(E$17:E64))</f>
        <v>0</v>
      </c>
      <c r="E65" s="378">
        <f>IF(+I14&lt;F64,I14,D65)</f>
        <v>0</v>
      </c>
      <c r="F65" s="55">
        <f t="shared" si="29"/>
        <v>0</v>
      </c>
      <c r="G65" s="380">
        <f t="shared" si="27"/>
        <v>0</v>
      </c>
      <c r="H65" s="364">
        <f t="shared" si="28"/>
        <v>0</v>
      </c>
      <c r="I65" s="52">
        <f t="shared" si="30"/>
        <v>0</v>
      </c>
      <c r="J65" s="52"/>
      <c r="K65" s="129"/>
      <c r="L65" s="54">
        <f t="shared" si="31"/>
        <v>0</v>
      </c>
      <c r="M65" s="129"/>
      <c r="N65" s="54">
        <f t="shared" si="32"/>
        <v>0</v>
      </c>
      <c r="O65" s="54">
        <f t="shared" si="33"/>
        <v>0</v>
      </c>
      <c r="P65" s="1"/>
    </row>
    <row r="66" spans="1:16" ht="12.5">
      <c r="B66" s="7" t="str">
        <f t="shared" si="4"/>
        <v/>
      </c>
      <c r="C66" s="50">
        <f>IF(D11="","-",+C65+1)</f>
        <v>2055</v>
      </c>
      <c r="D66" s="55">
        <f>IF(F65+SUM(E$17:E65)=D$10,F65,D$10-SUM(E$17:E65))</f>
        <v>0</v>
      </c>
      <c r="E66" s="378">
        <f>IF(+I14&lt;F65,I14,D66)</f>
        <v>0</v>
      </c>
      <c r="F66" s="55">
        <f t="shared" si="29"/>
        <v>0</v>
      </c>
      <c r="G66" s="380">
        <f t="shared" si="27"/>
        <v>0</v>
      </c>
      <c r="H66" s="364">
        <f t="shared" si="28"/>
        <v>0</v>
      </c>
      <c r="I66" s="52">
        <f t="shared" si="30"/>
        <v>0</v>
      </c>
      <c r="J66" s="52"/>
      <c r="K66" s="129"/>
      <c r="L66" s="54">
        <f t="shared" si="31"/>
        <v>0</v>
      </c>
      <c r="M66" s="129"/>
      <c r="N66" s="54">
        <f t="shared" si="32"/>
        <v>0</v>
      </c>
      <c r="O66" s="54">
        <f t="shared" si="33"/>
        <v>0</v>
      </c>
      <c r="P66" s="1"/>
    </row>
    <row r="67" spans="1:16" ht="12.5">
      <c r="B67" s="7" t="str">
        <f t="shared" si="4"/>
        <v/>
      </c>
      <c r="C67" s="50">
        <f>IF(D11="","-",+C66+1)</f>
        <v>2056</v>
      </c>
      <c r="D67" s="55">
        <f>IF(F66+SUM(E$17:E66)=D$10,F66,D$10-SUM(E$17:E66))</f>
        <v>0</v>
      </c>
      <c r="E67" s="378">
        <f>IF(+I14&lt;F66,I14,D67)</f>
        <v>0</v>
      </c>
      <c r="F67" s="55">
        <f t="shared" si="29"/>
        <v>0</v>
      </c>
      <c r="G67" s="380">
        <f t="shared" si="27"/>
        <v>0</v>
      </c>
      <c r="H67" s="364">
        <f t="shared" si="28"/>
        <v>0</v>
      </c>
      <c r="I67" s="52">
        <f t="shared" si="30"/>
        <v>0</v>
      </c>
      <c r="J67" s="52"/>
      <c r="K67" s="129"/>
      <c r="L67" s="54">
        <f t="shared" si="31"/>
        <v>0</v>
      </c>
      <c r="M67" s="129"/>
      <c r="N67" s="54">
        <f t="shared" si="32"/>
        <v>0</v>
      </c>
      <c r="O67" s="54">
        <f t="shared" si="33"/>
        <v>0</v>
      </c>
      <c r="P67" s="1"/>
    </row>
    <row r="68" spans="1:16" ht="12.5">
      <c r="B68" s="7" t="str">
        <f t="shared" si="4"/>
        <v/>
      </c>
      <c r="C68" s="50">
        <f>IF(D11="","-",+C67+1)</f>
        <v>2057</v>
      </c>
      <c r="D68" s="55">
        <f>IF(F67+SUM(E$17:E67)=D$10,F67,D$10-SUM(E$17:E67))</f>
        <v>0</v>
      </c>
      <c r="E68" s="378">
        <f>IF(+I14&lt;F67,I14,D68)</f>
        <v>0</v>
      </c>
      <c r="F68" s="55">
        <f t="shared" si="29"/>
        <v>0</v>
      </c>
      <c r="G68" s="380">
        <f t="shared" si="27"/>
        <v>0</v>
      </c>
      <c r="H68" s="364">
        <f t="shared" si="28"/>
        <v>0</v>
      </c>
      <c r="I68" s="52">
        <f t="shared" si="30"/>
        <v>0</v>
      </c>
      <c r="J68" s="52"/>
      <c r="K68" s="129"/>
      <c r="L68" s="54">
        <f t="shared" si="31"/>
        <v>0</v>
      </c>
      <c r="M68" s="129"/>
      <c r="N68" s="54">
        <f t="shared" si="32"/>
        <v>0</v>
      </c>
      <c r="O68" s="54">
        <f t="shared" si="33"/>
        <v>0</v>
      </c>
      <c r="P68" s="1"/>
    </row>
    <row r="69" spans="1:16" ht="12.5">
      <c r="B69" s="7" t="str">
        <f t="shared" si="4"/>
        <v/>
      </c>
      <c r="C69" s="50">
        <f>IF(D11="","-",+C68+1)</f>
        <v>2058</v>
      </c>
      <c r="D69" s="55">
        <f>IF(F68+SUM(E$17:E68)=D$10,F68,D$10-SUM(E$17:E68))</f>
        <v>0</v>
      </c>
      <c r="E69" s="378">
        <f>IF(+I14&lt;F68,I14,D69)</f>
        <v>0</v>
      </c>
      <c r="F69" s="55">
        <f t="shared" si="29"/>
        <v>0</v>
      </c>
      <c r="G69" s="380">
        <f t="shared" si="27"/>
        <v>0</v>
      </c>
      <c r="H69" s="364">
        <f t="shared" si="28"/>
        <v>0</v>
      </c>
      <c r="I69" s="52">
        <f t="shared" si="30"/>
        <v>0</v>
      </c>
      <c r="J69" s="52"/>
      <c r="K69" s="129"/>
      <c r="L69" s="54">
        <f t="shared" si="31"/>
        <v>0</v>
      </c>
      <c r="M69" s="129"/>
      <c r="N69" s="54">
        <f t="shared" si="32"/>
        <v>0</v>
      </c>
      <c r="O69" s="54">
        <f t="shared" si="33"/>
        <v>0</v>
      </c>
      <c r="P69" s="1"/>
    </row>
    <row r="70" spans="1:16" ht="12.5">
      <c r="B70" s="7" t="str">
        <f t="shared" si="4"/>
        <v/>
      </c>
      <c r="C70" s="50">
        <f>IF(D11="","-",+C69+1)</f>
        <v>2059</v>
      </c>
      <c r="D70" s="55">
        <f>IF(F69+SUM(E$17:E69)=D$10,F69,D$10-SUM(E$17:E69))</f>
        <v>0</v>
      </c>
      <c r="E70" s="378">
        <f>IF(+I14&lt;F69,I14,D70)</f>
        <v>0</v>
      </c>
      <c r="F70" s="55">
        <f t="shared" si="29"/>
        <v>0</v>
      </c>
      <c r="G70" s="380">
        <f t="shared" si="27"/>
        <v>0</v>
      </c>
      <c r="H70" s="364">
        <f t="shared" si="28"/>
        <v>0</v>
      </c>
      <c r="I70" s="52">
        <f t="shared" si="30"/>
        <v>0</v>
      </c>
      <c r="J70" s="52"/>
      <c r="K70" s="129"/>
      <c r="L70" s="54">
        <f t="shared" si="31"/>
        <v>0</v>
      </c>
      <c r="M70" s="129"/>
      <c r="N70" s="54">
        <f t="shared" si="32"/>
        <v>0</v>
      </c>
      <c r="O70" s="54">
        <f t="shared" si="33"/>
        <v>0</v>
      </c>
      <c r="P70" s="1"/>
    </row>
    <row r="71" spans="1:16" ht="12.5">
      <c r="B71" s="7" t="str">
        <f t="shared" si="4"/>
        <v/>
      </c>
      <c r="C71" s="50">
        <f>IF(D11="","-",+C70+1)</f>
        <v>2060</v>
      </c>
      <c r="D71" s="55">
        <f>IF(F70+SUM(E$17:E70)=D$10,F70,D$10-SUM(E$17:E70))</f>
        <v>0</v>
      </c>
      <c r="E71" s="378">
        <f>IF(+I14&lt;F70,I14,D71)</f>
        <v>0</v>
      </c>
      <c r="F71" s="55">
        <f t="shared" si="29"/>
        <v>0</v>
      </c>
      <c r="G71" s="380">
        <f t="shared" si="27"/>
        <v>0</v>
      </c>
      <c r="H71" s="364">
        <f t="shared" si="28"/>
        <v>0</v>
      </c>
      <c r="I71" s="52">
        <f t="shared" si="30"/>
        <v>0</v>
      </c>
      <c r="J71" s="52"/>
      <c r="K71" s="129"/>
      <c r="L71" s="54">
        <f t="shared" si="31"/>
        <v>0</v>
      </c>
      <c r="M71" s="129"/>
      <c r="N71" s="54">
        <f t="shared" si="32"/>
        <v>0</v>
      </c>
      <c r="O71" s="54">
        <f t="shared" si="33"/>
        <v>0</v>
      </c>
      <c r="P71" s="1"/>
    </row>
    <row r="72" spans="1:16" ht="13" thickBot="1">
      <c r="B72" s="7" t="str">
        <f t="shared" si="4"/>
        <v/>
      </c>
      <c r="C72" s="59">
        <f>IF(D11="","-",+C71+1)</f>
        <v>2061</v>
      </c>
      <c r="D72" s="60">
        <f>IF(F71+SUM(E$17:E71)=D$10,F71,D$10-SUM(E$17:E71))</f>
        <v>0</v>
      </c>
      <c r="E72" s="381">
        <f>IF(+I14&lt;F71,I14,D72)</f>
        <v>0</v>
      </c>
      <c r="F72" s="60">
        <f t="shared" si="29"/>
        <v>0</v>
      </c>
      <c r="G72" s="382">
        <f t="shared" si="27"/>
        <v>0</v>
      </c>
      <c r="H72" s="362">
        <f t="shared" si="28"/>
        <v>0</v>
      </c>
      <c r="I72" s="63">
        <f t="shared" si="30"/>
        <v>0</v>
      </c>
      <c r="J72" s="52"/>
      <c r="K72" s="130"/>
      <c r="L72" s="64">
        <f t="shared" si="31"/>
        <v>0</v>
      </c>
      <c r="M72" s="130"/>
      <c r="N72" s="64">
        <f t="shared" si="32"/>
        <v>0</v>
      </c>
      <c r="O72" s="64">
        <f t="shared" si="33"/>
        <v>0</v>
      </c>
      <c r="P72" s="1"/>
    </row>
    <row r="73" spans="1:16" ht="12.5">
      <c r="C73" s="12" t="s">
        <v>78</v>
      </c>
      <c r="D73" s="293"/>
      <c r="E73" s="293">
        <f>SUM(E17:E72)</f>
        <v>5731607.0000000047</v>
      </c>
      <c r="F73" s="293"/>
      <c r="G73" s="293">
        <f>SUM(G17:G72)</f>
        <v>20915835.938896567</v>
      </c>
      <c r="H73" s="293">
        <f>SUM(H17:H72)</f>
        <v>20915835.938896567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7.5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13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552033.32523957</v>
      </c>
      <c r="N87" s="387">
        <f>IF(J92&lt;D11,0,VLOOKUP(J92,C17:O72,11))</f>
        <v>552033.32523957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576585.827998647</v>
      </c>
      <c r="N88" s="390">
        <f>IF(J92&lt;D11,0,VLOOKUP(J92,C99:P154,7))</f>
        <v>576585.827998647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 xml:space="preserve">Carthage REC - Carthage T 138 kV 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24552.502759077004</v>
      </c>
      <c r="N89" s="392">
        <f>+N88-N87</f>
        <v>24552.502759077004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TP2004139</v>
      </c>
      <c r="E91" s="76" t="str">
        <f>E9</f>
        <v xml:space="preserve">SPP Project ID = </v>
      </c>
      <c r="F91" s="76" t="str">
        <f>F9</f>
        <v>5 &amp; 7</v>
      </c>
      <c r="G91" s="76"/>
      <c r="H91" s="76"/>
      <c r="I91" s="76"/>
      <c r="J91" s="95"/>
      <c r="Q91" s="1"/>
    </row>
    <row r="92" spans="1:17" ht="13">
      <c r="C92" s="34" t="s">
        <v>51</v>
      </c>
      <c r="D92" s="363">
        <f>D10</f>
        <v>5731607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  <c r="Q92" s="1"/>
    </row>
    <row r="93" spans="1:17" ht="12.5">
      <c r="C93" s="34" t="s">
        <v>54</v>
      </c>
      <c r="D93" s="88">
        <f>IF(D11=I10,"",D11)</f>
        <v>2006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4">
        <f>IF(D11=I10,"",D12)</f>
        <v>4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130263.79545454546</v>
      </c>
      <c r="K96" s="293"/>
      <c r="L96" s="293"/>
      <c r="M96" s="293"/>
      <c r="N96" s="293"/>
      <c r="O96" s="293"/>
      <c r="P96" s="1"/>
      <c r="Q96" s="1"/>
    </row>
    <row r="97" spans="1:17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161</v>
      </c>
      <c r="N97" s="368" t="s">
        <v>228</v>
      </c>
      <c r="O97" s="369" t="s">
        <v>161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 ht="12.5">
      <c r="C99" s="50">
        <f>IF(D93= "","-",D93)</f>
        <v>2006</v>
      </c>
      <c r="D99" s="133">
        <v>0</v>
      </c>
      <c r="E99" s="376">
        <v>69992</v>
      </c>
      <c r="F99" s="137">
        <v>3814550</v>
      </c>
      <c r="G99" s="140">
        <v>1907275</v>
      </c>
      <c r="H99" s="397">
        <v>374013</v>
      </c>
      <c r="I99" s="398">
        <v>374013</v>
      </c>
      <c r="J99" s="54">
        <f t="shared" ref="J99:J130" si="34">+I99-H99</f>
        <v>0</v>
      </c>
      <c r="K99" s="54"/>
      <c r="L99" s="112">
        <f>K17</f>
        <v>0</v>
      </c>
      <c r="M99" s="53">
        <f t="shared" ref="M99:M130" si="35">IF(L99&lt;&gt;0,+H99-L99,0)</f>
        <v>0</v>
      </c>
      <c r="N99" s="112">
        <f>M17</f>
        <v>0</v>
      </c>
      <c r="O99" s="53">
        <f t="shared" ref="O99:O130" si="36">IF(N99&lt;&gt;0,+I99-N99,0)</f>
        <v>0</v>
      </c>
      <c r="P99" s="53">
        <f t="shared" ref="P99:P130" si="37">+O99-M99</f>
        <v>0</v>
      </c>
      <c r="Q99" s="1"/>
    </row>
    <row r="100" spans="1:17" ht="12.5">
      <c r="B100" s="7" t="str">
        <f>IF(D100=F99,"","IU")</f>
        <v>IU</v>
      </c>
      <c r="C100" s="50">
        <f>IF(D93="","-",+C99+1)</f>
        <v>2007</v>
      </c>
      <c r="D100" s="133">
        <v>5731607</v>
      </c>
      <c r="E100" s="376">
        <v>77454</v>
      </c>
      <c r="F100" s="137">
        <v>5654153</v>
      </c>
      <c r="G100" s="137">
        <v>5692880</v>
      </c>
      <c r="H100" s="376">
        <v>622381</v>
      </c>
      <c r="I100" s="375">
        <v>622381</v>
      </c>
      <c r="J100" s="54">
        <f t="shared" si="34"/>
        <v>0</v>
      </c>
      <c r="K100" s="54"/>
      <c r="L100" s="113">
        <v>622381</v>
      </c>
      <c r="M100" s="54">
        <f t="shared" si="35"/>
        <v>0</v>
      </c>
      <c r="N100" s="113">
        <v>622381</v>
      </c>
      <c r="O100" s="54">
        <f t="shared" si="36"/>
        <v>0</v>
      </c>
      <c r="P100" s="54">
        <f t="shared" si="37"/>
        <v>0</v>
      </c>
      <c r="Q100" s="1"/>
    </row>
    <row r="101" spans="1:17" ht="12.5">
      <c r="B101" s="7" t="str">
        <f t="shared" ref="B101:B154" si="38">IF(D101=F100,"","IU")</f>
        <v>IU</v>
      </c>
      <c r="C101" s="50">
        <f>IF(D93="","-",+C100+1)</f>
        <v>2008</v>
      </c>
      <c r="D101" s="133">
        <v>3709563</v>
      </c>
      <c r="E101" s="376">
        <v>104988</v>
      </c>
      <c r="F101" s="137">
        <v>3604575</v>
      </c>
      <c r="G101" s="137">
        <v>3657069</v>
      </c>
      <c r="H101" s="376">
        <v>687928</v>
      </c>
      <c r="I101" s="375">
        <v>687928</v>
      </c>
      <c r="J101" s="54">
        <f t="shared" si="34"/>
        <v>0</v>
      </c>
      <c r="K101" s="54"/>
      <c r="L101" s="113">
        <v>687928</v>
      </c>
      <c r="M101" s="54">
        <f t="shared" si="35"/>
        <v>0</v>
      </c>
      <c r="N101" s="113">
        <v>687928</v>
      </c>
      <c r="O101" s="54">
        <f t="shared" si="36"/>
        <v>0</v>
      </c>
      <c r="P101" s="54">
        <f>+O101-M101</f>
        <v>0</v>
      </c>
      <c r="Q101" s="1"/>
    </row>
    <row r="102" spans="1:17" ht="12.5">
      <c r="B102" s="7" t="str">
        <f t="shared" si="38"/>
        <v>IU</v>
      </c>
      <c r="C102" s="50">
        <f>IF(D93="","-",+C101+1)</f>
        <v>2009</v>
      </c>
      <c r="D102" s="133">
        <v>3632108</v>
      </c>
      <c r="E102" s="376">
        <v>102224.78947368421</v>
      </c>
      <c r="F102" s="137">
        <v>3529883.210526316</v>
      </c>
      <c r="G102" s="137">
        <v>3580995.6052631577</v>
      </c>
      <c r="H102" s="376">
        <v>620529.72613879445</v>
      </c>
      <c r="I102" s="375">
        <v>620529.72613879445</v>
      </c>
      <c r="J102" s="54">
        <f t="shared" si="34"/>
        <v>0</v>
      </c>
      <c r="K102" s="54"/>
      <c r="L102" s="113">
        <f t="shared" ref="L102:L107" si="39">H102</f>
        <v>620529.72613879445</v>
      </c>
      <c r="M102" s="54">
        <f t="shared" si="35"/>
        <v>0</v>
      </c>
      <c r="N102" s="113">
        <f t="shared" ref="N102:N107" si="40">I102</f>
        <v>620529.72613879445</v>
      </c>
      <c r="O102" s="54">
        <f t="shared" si="36"/>
        <v>0</v>
      </c>
      <c r="P102" s="54">
        <f t="shared" si="37"/>
        <v>0</v>
      </c>
      <c r="Q102" s="1"/>
    </row>
    <row r="103" spans="1:17" ht="12.5">
      <c r="B103" s="7" t="str">
        <f t="shared" si="38"/>
        <v/>
      </c>
      <c r="C103" s="50">
        <f>IF(D93="","-",+C102+1)</f>
        <v>2010</v>
      </c>
      <c r="D103" s="133">
        <v>3529883.210526316</v>
      </c>
      <c r="E103" s="376">
        <v>94744.926829268297</v>
      </c>
      <c r="F103" s="137">
        <v>3435138.2836970477</v>
      </c>
      <c r="G103" s="137">
        <v>3482510.7471116818</v>
      </c>
      <c r="H103" s="376">
        <v>669658.98198518401</v>
      </c>
      <c r="I103" s="375">
        <v>669658.98198518401</v>
      </c>
      <c r="J103" s="54">
        <f t="shared" si="34"/>
        <v>0</v>
      </c>
      <c r="K103" s="54"/>
      <c r="L103" s="113">
        <f t="shared" si="39"/>
        <v>669658.98198518401</v>
      </c>
      <c r="M103" s="54">
        <f t="shared" si="35"/>
        <v>0</v>
      </c>
      <c r="N103" s="113">
        <f t="shared" si="40"/>
        <v>669658.98198518401</v>
      </c>
      <c r="O103" s="54">
        <f t="shared" si="36"/>
        <v>0</v>
      </c>
      <c r="P103" s="54">
        <f t="shared" si="37"/>
        <v>0</v>
      </c>
      <c r="Q103" s="1"/>
    </row>
    <row r="104" spans="1:17" ht="12.5">
      <c r="B104" s="7" t="str">
        <f t="shared" si="38"/>
        <v/>
      </c>
      <c r="C104" s="50">
        <f>IF(D93="","-",+C103+1)</f>
        <v>2011</v>
      </c>
      <c r="D104" s="133">
        <v>3435138.2836970477</v>
      </c>
      <c r="E104" s="377">
        <v>92489.095238095237</v>
      </c>
      <c r="F104" s="137">
        <v>3342649.1884589526</v>
      </c>
      <c r="G104" s="137">
        <v>3388893.7360780002</v>
      </c>
      <c r="H104" s="376">
        <v>602110.60067638115</v>
      </c>
      <c r="I104" s="375">
        <v>602110.60067638115</v>
      </c>
      <c r="J104" s="54">
        <f t="shared" si="34"/>
        <v>0</v>
      </c>
      <c r="K104" s="54"/>
      <c r="L104" s="113">
        <f t="shared" si="39"/>
        <v>602110.60067638115</v>
      </c>
      <c r="M104" s="54">
        <f t="shared" si="35"/>
        <v>0</v>
      </c>
      <c r="N104" s="113">
        <f t="shared" si="40"/>
        <v>602110.60067638115</v>
      </c>
      <c r="O104" s="54">
        <f t="shared" si="36"/>
        <v>0</v>
      </c>
      <c r="P104" s="54">
        <f t="shared" si="37"/>
        <v>0</v>
      </c>
      <c r="Q104" s="1"/>
    </row>
    <row r="105" spans="1:17" ht="12.5">
      <c r="B105" s="7" t="str">
        <f t="shared" si="38"/>
        <v/>
      </c>
      <c r="C105" s="50">
        <f>IF(D93="","-",+C104+1)</f>
        <v>2012</v>
      </c>
      <c r="D105" s="133">
        <v>3342649.1884589526</v>
      </c>
      <c r="E105" s="376">
        <v>92489.095238095237</v>
      </c>
      <c r="F105" s="137">
        <v>3250160.0932208574</v>
      </c>
      <c r="G105" s="137">
        <v>3296404.640839905</v>
      </c>
      <c r="H105" s="376">
        <v>577567.99892876786</v>
      </c>
      <c r="I105" s="375">
        <v>577567.99892876786</v>
      </c>
      <c r="J105" s="54">
        <f t="shared" si="34"/>
        <v>0</v>
      </c>
      <c r="K105" s="54"/>
      <c r="L105" s="113">
        <f t="shared" si="39"/>
        <v>577567.99892876786</v>
      </c>
      <c r="M105" s="54">
        <f t="shared" si="35"/>
        <v>0</v>
      </c>
      <c r="N105" s="113">
        <f t="shared" si="40"/>
        <v>577567.99892876786</v>
      </c>
      <c r="O105" s="54">
        <f t="shared" si="36"/>
        <v>0</v>
      </c>
      <c r="P105" s="54">
        <f t="shared" si="37"/>
        <v>0</v>
      </c>
      <c r="Q105" s="1"/>
    </row>
    <row r="106" spans="1:17" ht="12.5">
      <c r="B106" s="7" t="str">
        <f t="shared" si="38"/>
        <v/>
      </c>
      <c r="C106" s="50">
        <f>IF(D93="","-",+C105+1)</f>
        <v>2013</v>
      </c>
      <c r="D106" s="133">
        <v>3250160.0932208574</v>
      </c>
      <c r="E106" s="376">
        <v>92489.095238095237</v>
      </c>
      <c r="F106" s="137">
        <v>3157670.9979827623</v>
      </c>
      <c r="G106" s="137">
        <v>3203915.5456018099</v>
      </c>
      <c r="H106" s="376">
        <v>525952.28345826664</v>
      </c>
      <c r="I106" s="375">
        <v>525952.28345826664</v>
      </c>
      <c r="J106" s="54">
        <v>0</v>
      </c>
      <c r="K106" s="54"/>
      <c r="L106" s="113">
        <f t="shared" si="39"/>
        <v>525952.28345826664</v>
      </c>
      <c r="M106" s="54">
        <f t="shared" ref="M106:M111" si="41">IF(L106&lt;&gt;0,+H106-L106,0)</f>
        <v>0</v>
      </c>
      <c r="N106" s="113">
        <f t="shared" si="40"/>
        <v>525952.28345826664</v>
      </c>
      <c r="O106" s="54">
        <f t="shared" ref="O106:O111" si="42">IF(N106&lt;&gt;0,+I106-N106,0)</f>
        <v>0</v>
      </c>
      <c r="P106" s="54">
        <f t="shared" ref="P106:P111" si="43">+O106-M106</f>
        <v>0</v>
      </c>
      <c r="Q106" s="1"/>
    </row>
    <row r="107" spans="1:17" ht="12.5">
      <c r="B107" s="7" t="str">
        <f t="shared" si="38"/>
        <v>IU</v>
      </c>
      <c r="C107" s="50">
        <f>IF(D93="","-",+C106+1)</f>
        <v>2014</v>
      </c>
      <c r="D107" s="133">
        <v>5004735.9979827618</v>
      </c>
      <c r="E107" s="376">
        <v>136466.83333333334</v>
      </c>
      <c r="F107" s="137">
        <v>4868269.1646494288</v>
      </c>
      <c r="G107" s="137">
        <v>4936502.5813160948</v>
      </c>
      <c r="H107" s="376">
        <v>807453.34332208754</v>
      </c>
      <c r="I107" s="375">
        <v>807453.34332208754</v>
      </c>
      <c r="J107" s="54">
        <v>0</v>
      </c>
      <c r="K107" s="54"/>
      <c r="L107" s="113">
        <f t="shared" si="39"/>
        <v>807453.34332208754</v>
      </c>
      <c r="M107" s="54">
        <f t="shared" si="41"/>
        <v>0</v>
      </c>
      <c r="N107" s="113">
        <f t="shared" si="40"/>
        <v>807453.34332208754</v>
      </c>
      <c r="O107" s="54">
        <f t="shared" si="42"/>
        <v>0</v>
      </c>
      <c r="P107" s="54">
        <f t="shared" si="43"/>
        <v>0</v>
      </c>
      <c r="Q107" s="1"/>
    </row>
    <row r="108" spans="1:17" ht="12.5">
      <c r="B108" s="7" t="str">
        <f t="shared" si="38"/>
        <v/>
      </c>
      <c r="C108" s="50">
        <f>IF(D93="","-",+C107+1)</f>
        <v>2015</v>
      </c>
      <c r="D108" s="133">
        <v>4868269.1646494288</v>
      </c>
      <c r="E108" s="376">
        <v>136466.83333333334</v>
      </c>
      <c r="F108" s="137">
        <v>4731802.3313160958</v>
      </c>
      <c r="G108" s="137">
        <v>4800035.7479827628</v>
      </c>
      <c r="H108" s="376">
        <v>768962.15760486678</v>
      </c>
      <c r="I108" s="375">
        <v>768962.15760486678</v>
      </c>
      <c r="J108" s="54">
        <f t="shared" si="34"/>
        <v>0</v>
      </c>
      <c r="K108" s="54"/>
      <c r="L108" s="113">
        <f t="shared" ref="L108:L113" si="44">H108</f>
        <v>768962.15760486678</v>
      </c>
      <c r="M108" s="54">
        <f t="shared" si="41"/>
        <v>0</v>
      </c>
      <c r="N108" s="113">
        <f t="shared" ref="N108:N113" si="45">I108</f>
        <v>768962.15760486678</v>
      </c>
      <c r="O108" s="54">
        <f t="shared" si="42"/>
        <v>0</v>
      </c>
      <c r="P108" s="54">
        <f t="shared" si="43"/>
        <v>0</v>
      </c>
      <c r="Q108" s="1"/>
    </row>
    <row r="109" spans="1:17" ht="12.5">
      <c r="B109" s="7" t="str">
        <f t="shared" si="38"/>
        <v/>
      </c>
      <c r="C109" s="50">
        <f>IF(D93="","-",+C108+1)</f>
        <v>2016</v>
      </c>
      <c r="D109" s="133">
        <v>4731802.3313160958</v>
      </c>
      <c r="E109" s="376">
        <v>133293.18604651163</v>
      </c>
      <c r="F109" s="137">
        <v>4598509.1452695839</v>
      </c>
      <c r="G109" s="137">
        <v>4665155.7382928394</v>
      </c>
      <c r="H109" s="376">
        <v>725534.65238617209</v>
      </c>
      <c r="I109" s="375">
        <v>725534.65238617209</v>
      </c>
      <c r="J109" s="54">
        <f t="shared" si="34"/>
        <v>0</v>
      </c>
      <c r="K109" s="54"/>
      <c r="L109" s="113">
        <f t="shared" si="44"/>
        <v>725534.65238617209</v>
      </c>
      <c r="M109" s="54">
        <f t="shared" si="41"/>
        <v>0</v>
      </c>
      <c r="N109" s="113">
        <f t="shared" si="45"/>
        <v>725534.65238617209</v>
      </c>
      <c r="O109" s="54">
        <f t="shared" si="42"/>
        <v>0</v>
      </c>
      <c r="P109" s="54">
        <f t="shared" si="43"/>
        <v>0</v>
      </c>
      <c r="Q109" s="1"/>
    </row>
    <row r="110" spans="1:17" ht="12.5">
      <c r="B110" s="7" t="str">
        <f t="shared" si="38"/>
        <v/>
      </c>
      <c r="C110" s="50">
        <f>IF(D93="","-",+C109+1)</f>
        <v>2017</v>
      </c>
      <c r="D110" s="133">
        <v>4598509.1452695839</v>
      </c>
      <c r="E110" s="376">
        <v>136466.83333333334</v>
      </c>
      <c r="F110" s="137">
        <v>4462042.3119362509</v>
      </c>
      <c r="G110" s="137">
        <v>4530275.7286029179</v>
      </c>
      <c r="H110" s="376">
        <v>686766.02979709371</v>
      </c>
      <c r="I110" s="375">
        <v>686766.02979709371</v>
      </c>
      <c r="J110" s="54">
        <f t="shared" si="34"/>
        <v>0</v>
      </c>
      <c r="K110" s="54"/>
      <c r="L110" s="113">
        <f t="shared" si="44"/>
        <v>686766.02979709371</v>
      </c>
      <c r="M110" s="54">
        <f t="shared" si="41"/>
        <v>0</v>
      </c>
      <c r="N110" s="113">
        <f t="shared" si="45"/>
        <v>686766.02979709371</v>
      </c>
      <c r="O110" s="54">
        <f t="shared" si="42"/>
        <v>0</v>
      </c>
      <c r="P110" s="54">
        <f t="shared" si="43"/>
        <v>0</v>
      </c>
      <c r="Q110" s="1"/>
    </row>
    <row r="111" spans="1:17" ht="12.5">
      <c r="B111" s="7" t="str">
        <f t="shared" si="38"/>
        <v/>
      </c>
      <c r="C111" s="50">
        <f>IF(D93="","-",+C110+1)</f>
        <v>2018</v>
      </c>
      <c r="D111" s="133">
        <v>4462042.3119362509</v>
      </c>
      <c r="E111" s="376">
        <v>136466.83333333334</v>
      </c>
      <c r="F111" s="137">
        <v>4325575.4786029179</v>
      </c>
      <c r="G111" s="137">
        <v>4393808.8952695839</v>
      </c>
      <c r="H111" s="376">
        <v>600473.20188958384</v>
      </c>
      <c r="I111" s="375">
        <v>600473.20188958384</v>
      </c>
      <c r="J111" s="54">
        <f t="shared" si="34"/>
        <v>0</v>
      </c>
      <c r="K111" s="54"/>
      <c r="L111" s="113">
        <f t="shared" si="44"/>
        <v>600473.20188958384</v>
      </c>
      <c r="M111" s="54">
        <f t="shared" si="41"/>
        <v>0</v>
      </c>
      <c r="N111" s="113">
        <f t="shared" si="45"/>
        <v>600473.20188958384</v>
      </c>
      <c r="O111" s="54">
        <f t="shared" si="42"/>
        <v>0</v>
      </c>
      <c r="P111" s="54">
        <f t="shared" si="43"/>
        <v>0</v>
      </c>
      <c r="Q111" s="1"/>
    </row>
    <row r="112" spans="1:17" ht="12.5">
      <c r="B112" s="7" t="str">
        <f t="shared" si="38"/>
        <v/>
      </c>
      <c r="C112" s="50">
        <f>IF(D93="","-",+C111+1)</f>
        <v>2019</v>
      </c>
      <c r="D112" s="133">
        <v>4325575.4786029179</v>
      </c>
      <c r="E112" s="376">
        <v>133293.18604651163</v>
      </c>
      <c r="F112" s="137">
        <v>4192282.292556406</v>
      </c>
      <c r="G112" s="137">
        <v>4258928.8855796624</v>
      </c>
      <c r="H112" s="376">
        <v>589171.26164273242</v>
      </c>
      <c r="I112" s="375">
        <v>589171.26164273242</v>
      </c>
      <c r="J112" s="54">
        <f t="shared" si="34"/>
        <v>0</v>
      </c>
      <c r="K112" s="54"/>
      <c r="L112" s="113">
        <f t="shared" si="44"/>
        <v>589171.26164273242</v>
      </c>
      <c r="M112" s="54">
        <f t="shared" ref="M112" si="46">IF(L112&lt;&gt;0,+H112-L112,0)</f>
        <v>0</v>
      </c>
      <c r="N112" s="113">
        <f t="shared" si="45"/>
        <v>589171.26164273242</v>
      </c>
      <c r="O112" s="54">
        <f t="shared" si="36"/>
        <v>0</v>
      </c>
      <c r="P112" s="54">
        <f t="shared" si="37"/>
        <v>0</v>
      </c>
      <c r="Q112" s="1"/>
    </row>
    <row r="113" spans="2:17" ht="12.5">
      <c r="B113" s="7" t="str">
        <f t="shared" si="38"/>
        <v/>
      </c>
      <c r="C113" s="50">
        <f>IF(D93="","-",+C112+1)</f>
        <v>2020</v>
      </c>
      <c r="D113" s="133">
        <v>4192282.292556406</v>
      </c>
      <c r="E113" s="376">
        <v>136466.83333333334</v>
      </c>
      <c r="F113" s="137">
        <v>4055815.4592230725</v>
      </c>
      <c r="G113" s="137">
        <v>4124048.875889739</v>
      </c>
      <c r="H113" s="376">
        <v>580106.57633315108</v>
      </c>
      <c r="I113" s="375">
        <v>580106.57633315108</v>
      </c>
      <c r="J113" s="54">
        <f t="shared" si="34"/>
        <v>0</v>
      </c>
      <c r="K113" s="54"/>
      <c r="L113" s="113">
        <f t="shared" si="44"/>
        <v>580106.57633315108</v>
      </c>
      <c r="M113" s="54">
        <f t="shared" ref="M113" si="47">IF(L113&lt;&gt;0,+H113-L113,0)</f>
        <v>0</v>
      </c>
      <c r="N113" s="113">
        <f t="shared" si="45"/>
        <v>580106.57633315108</v>
      </c>
      <c r="O113" s="54">
        <f t="shared" si="36"/>
        <v>0</v>
      </c>
      <c r="P113" s="54">
        <f t="shared" si="37"/>
        <v>0</v>
      </c>
      <c r="Q113" s="1"/>
    </row>
    <row r="114" spans="2:17" ht="12.5">
      <c r="B114" s="7" t="str">
        <f t="shared" si="38"/>
        <v/>
      </c>
      <c r="C114" s="50">
        <f>IF(D93="","-",+C113+1)</f>
        <v>2021</v>
      </c>
      <c r="D114" s="133">
        <v>4055815.4592230725</v>
      </c>
      <c r="E114" s="376">
        <v>139795.29268292684</v>
      </c>
      <c r="F114" s="137">
        <v>3916020.1665401459</v>
      </c>
      <c r="G114" s="137">
        <v>3985917.8128816094</v>
      </c>
      <c r="H114" s="376">
        <v>592253.66959375609</v>
      </c>
      <c r="I114" s="375">
        <v>592253.66959375609</v>
      </c>
      <c r="J114" s="54">
        <f t="shared" si="34"/>
        <v>0</v>
      </c>
      <c r="K114" s="54"/>
      <c r="L114" s="113">
        <f t="shared" ref="L114" si="48">H114</f>
        <v>592253.66959375609</v>
      </c>
      <c r="M114" s="54">
        <f t="shared" ref="M114" si="49">IF(L114&lt;&gt;0,+H114-L114,0)</f>
        <v>0</v>
      </c>
      <c r="N114" s="113">
        <f t="shared" ref="N114" si="50">I114</f>
        <v>592253.66959375609</v>
      </c>
      <c r="O114" s="54">
        <f t="shared" si="36"/>
        <v>0</v>
      </c>
      <c r="P114" s="54">
        <f t="shared" si="37"/>
        <v>0</v>
      </c>
      <c r="Q114" s="1"/>
    </row>
    <row r="115" spans="2:17" ht="12.5">
      <c r="B115" s="7" t="str">
        <f t="shared" si="38"/>
        <v/>
      </c>
      <c r="C115" s="50">
        <f>IF(D93="","-",+C114+1)</f>
        <v>2022</v>
      </c>
      <c r="D115" s="133">
        <v>3916020.1665401459</v>
      </c>
      <c r="E115" s="376">
        <v>136466.83333333334</v>
      </c>
      <c r="F115" s="137">
        <v>3779553.3332068124</v>
      </c>
      <c r="G115" s="137">
        <v>3847786.7498734789</v>
      </c>
      <c r="H115" s="376">
        <v>588419.5654606414</v>
      </c>
      <c r="I115" s="375">
        <v>588419.5654606414</v>
      </c>
      <c r="J115" s="54">
        <f t="shared" si="34"/>
        <v>0</v>
      </c>
      <c r="K115" s="54"/>
      <c r="L115" s="113">
        <f t="shared" ref="L115" si="51">H115</f>
        <v>588419.5654606414</v>
      </c>
      <c r="M115" s="54">
        <f t="shared" ref="M115" si="52">IF(L115&lt;&gt;0,+H115-L115,0)</f>
        <v>0</v>
      </c>
      <c r="N115" s="113">
        <f t="shared" ref="N115" si="53">I115</f>
        <v>588419.5654606414</v>
      </c>
      <c r="O115" s="54">
        <f t="shared" ref="O115" si="54">IF(N115&lt;&gt;0,+I115-N115,0)</f>
        <v>0</v>
      </c>
      <c r="P115" s="54">
        <f t="shared" ref="P115" si="55">+O115-M115</f>
        <v>0</v>
      </c>
      <c r="Q115" s="1"/>
    </row>
    <row r="116" spans="2:17" ht="12.5">
      <c r="B116" s="7" t="str">
        <f t="shared" si="38"/>
        <v/>
      </c>
      <c r="C116" s="50">
        <f>IF(D93="","-",+C115+1)</f>
        <v>2023</v>
      </c>
      <c r="D116" s="133">
        <v>3779553.3332068124</v>
      </c>
      <c r="E116" s="376">
        <v>130263.79545454546</v>
      </c>
      <c r="F116" s="137">
        <v>3649289.537752267</v>
      </c>
      <c r="G116" s="137">
        <v>3714421.4354795394</v>
      </c>
      <c r="H116" s="376">
        <v>588493.6046489994</v>
      </c>
      <c r="I116" s="375">
        <v>588493.6046489994</v>
      </c>
      <c r="J116" s="54">
        <f t="shared" si="34"/>
        <v>0</v>
      </c>
      <c r="K116" s="54"/>
      <c r="L116" s="113">
        <f t="shared" ref="L116" si="56">H116</f>
        <v>588493.6046489994</v>
      </c>
      <c r="M116" s="54">
        <f t="shared" ref="M116" si="57">IF(L116&lt;&gt;0,+H116-L116,0)</f>
        <v>0</v>
      </c>
      <c r="N116" s="113">
        <f t="shared" ref="N116" si="58">I116</f>
        <v>588493.6046489994</v>
      </c>
      <c r="O116" s="54">
        <f t="shared" ref="O116" si="59">IF(N116&lt;&gt;0,+I116-N116,0)</f>
        <v>0</v>
      </c>
      <c r="P116" s="54">
        <f t="shared" ref="P116" si="60">+O116-M116</f>
        <v>0</v>
      </c>
      <c r="Q116" s="1"/>
    </row>
    <row r="117" spans="2:17" ht="12.5">
      <c r="B117" s="7" t="str">
        <f t="shared" si="38"/>
        <v/>
      </c>
      <c r="C117" s="50">
        <f>IF(D93="","-",+C116+1)</f>
        <v>2024</v>
      </c>
      <c r="D117" s="12">
        <f>IF(F116+SUM(E$99:E116)=D$92,F116,D$92-SUM(E$99:E116))</f>
        <v>3649289.537752267</v>
      </c>
      <c r="E117" s="378">
        <f>IF(+J96&lt;F116,J96,D117)</f>
        <v>130263.79545454546</v>
      </c>
      <c r="F117" s="55">
        <f t="shared" ref="F117:F130" si="61">+D117-E117</f>
        <v>3519025.7422977216</v>
      </c>
      <c r="G117" s="55">
        <f t="shared" ref="G117:G130" si="62">+(F117+D117)/2</f>
        <v>3584157.6400249945</v>
      </c>
      <c r="H117" s="380">
        <f t="shared" ref="H117:H154" si="63">+J$94*G117+E117</f>
        <v>576585.827998647</v>
      </c>
      <c r="I117" s="399">
        <f t="shared" ref="I117:I154" si="64">+J$95*G117+E117</f>
        <v>576585.827998647</v>
      </c>
      <c r="J117" s="54">
        <f t="shared" si="34"/>
        <v>0</v>
      </c>
      <c r="K117" s="54"/>
      <c r="L117" s="129"/>
      <c r="M117" s="54">
        <f t="shared" si="35"/>
        <v>0</v>
      </c>
      <c r="N117" s="129"/>
      <c r="O117" s="54">
        <f t="shared" si="36"/>
        <v>0</v>
      </c>
      <c r="P117" s="54">
        <f t="shared" si="37"/>
        <v>0</v>
      </c>
      <c r="Q117" s="1"/>
    </row>
    <row r="118" spans="2:17" ht="12.5">
      <c r="B118" s="7" t="str">
        <f t="shared" si="38"/>
        <v/>
      </c>
      <c r="C118" s="50">
        <f>IF(D93="","-",+C117+1)</f>
        <v>2025</v>
      </c>
      <c r="D118" s="12">
        <f>IF(F117+SUM(E$99:E117)=D$92,F117,D$92-SUM(E$99:E117))</f>
        <v>3519025.7422977216</v>
      </c>
      <c r="E118" s="378">
        <f>IF(+J96&lt;F117,J96,D118)</f>
        <v>130263.79545454546</v>
      </c>
      <c r="F118" s="55">
        <f t="shared" si="61"/>
        <v>3388761.9468431761</v>
      </c>
      <c r="G118" s="55">
        <f t="shared" si="62"/>
        <v>3453893.8445704486</v>
      </c>
      <c r="H118" s="380">
        <f t="shared" si="63"/>
        <v>560364.55432894966</v>
      </c>
      <c r="I118" s="399">
        <f t="shared" si="64"/>
        <v>560364.55432894966</v>
      </c>
      <c r="J118" s="54">
        <f t="shared" si="34"/>
        <v>0</v>
      </c>
      <c r="K118" s="54"/>
      <c r="L118" s="129"/>
      <c r="M118" s="54">
        <f t="shared" si="35"/>
        <v>0</v>
      </c>
      <c r="N118" s="129"/>
      <c r="O118" s="54">
        <f t="shared" si="36"/>
        <v>0</v>
      </c>
      <c r="P118" s="54">
        <f t="shared" si="37"/>
        <v>0</v>
      </c>
      <c r="Q118" s="1"/>
    </row>
    <row r="119" spans="2:17" ht="12.5">
      <c r="B119" s="7" t="str">
        <f t="shared" si="38"/>
        <v/>
      </c>
      <c r="C119" s="50">
        <f>IF(D93="","-",+C118+1)</f>
        <v>2026</v>
      </c>
      <c r="D119" s="12">
        <f>IF(F118+SUM(E$99:E118)=D$92,F118,D$92-SUM(E$99:E118))</f>
        <v>3388761.9468431761</v>
      </c>
      <c r="E119" s="378">
        <f>IF(+J96&lt;F118,J96,D119)</f>
        <v>130263.79545454546</v>
      </c>
      <c r="F119" s="55">
        <f t="shared" si="61"/>
        <v>3258498.1513886307</v>
      </c>
      <c r="G119" s="55">
        <f t="shared" si="62"/>
        <v>3323630.0491159037</v>
      </c>
      <c r="H119" s="380">
        <f t="shared" si="63"/>
        <v>544143.28065925243</v>
      </c>
      <c r="I119" s="399">
        <f t="shared" si="64"/>
        <v>544143.28065925243</v>
      </c>
      <c r="J119" s="54">
        <f t="shared" si="34"/>
        <v>0</v>
      </c>
      <c r="K119" s="54"/>
      <c r="L119" s="129"/>
      <c r="M119" s="54">
        <f t="shared" si="35"/>
        <v>0</v>
      </c>
      <c r="N119" s="129"/>
      <c r="O119" s="54">
        <f t="shared" si="36"/>
        <v>0</v>
      </c>
      <c r="P119" s="54">
        <f t="shared" si="37"/>
        <v>0</v>
      </c>
      <c r="Q119" s="1"/>
    </row>
    <row r="120" spans="2:17" ht="12.5">
      <c r="B120" s="7" t="str">
        <f t="shared" si="38"/>
        <v/>
      </c>
      <c r="C120" s="50">
        <f>IF(D93="","-",+C119+1)</f>
        <v>2027</v>
      </c>
      <c r="D120" s="12">
        <f>IF(F119+SUM(E$99:E119)=D$92,F119,D$92-SUM(E$99:E119))</f>
        <v>3258498.1513886307</v>
      </c>
      <c r="E120" s="378">
        <f>IF(+J96&lt;F119,J96,D120)</f>
        <v>130263.79545454546</v>
      </c>
      <c r="F120" s="55">
        <f t="shared" si="61"/>
        <v>3128234.3559340853</v>
      </c>
      <c r="G120" s="55">
        <f t="shared" si="62"/>
        <v>3193366.2536613578</v>
      </c>
      <c r="H120" s="380">
        <f t="shared" si="63"/>
        <v>527922.00698955508</v>
      </c>
      <c r="I120" s="399">
        <f t="shared" si="64"/>
        <v>527922.00698955508</v>
      </c>
      <c r="J120" s="54">
        <f t="shared" si="34"/>
        <v>0</v>
      </c>
      <c r="K120" s="54"/>
      <c r="L120" s="129"/>
      <c r="M120" s="54">
        <f t="shared" si="35"/>
        <v>0</v>
      </c>
      <c r="N120" s="129"/>
      <c r="O120" s="54">
        <f t="shared" si="36"/>
        <v>0</v>
      </c>
      <c r="P120" s="54">
        <f t="shared" si="37"/>
        <v>0</v>
      </c>
      <c r="Q120" s="1"/>
    </row>
    <row r="121" spans="2:17" ht="12.5">
      <c r="B121" s="7" t="str">
        <f t="shared" si="38"/>
        <v/>
      </c>
      <c r="C121" s="50">
        <f>IF(D93="","-",+C120+1)</f>
        <v>2028</v>
      </c>
      <c r="D121" s="12">
        <f>IF(F120+SUM(E$99:E120)=D$92,F120,D$92-SUM(E$99:E120))</f>
        <v>3128234.3559340853</v>
      </c>
      <c r="E121" s="378">
        <f>IF(+J96&lt;F120,J96,D121)</f>
        <v>130263.79545454546</v>
      </c>
      <c r="F121" s="55">
        <f t="shared" si="61"/>
        <v>2997970.5604795399</v>
      </c>
      <c r="G121" s="55">
        <f t="shared" si="62"/>
        <v>3063102.4582068129</v>
      </c>
      <c r="H121" s="380">
        <f t="shared" si="63"/>
        <v>511700.73331985786</v>
      </c>
      <c r="I121" s="399">
        <f t="shared" si="64"/>
        <v>511700.73331985786</v>
      </c>
      <c r="J121" s="54">
        <f t="shared" si="34"/>
        <v>0</v>
      </c>
      <c r="K121" s="54"/>
      <c r="L121" s="129"/>
      <c r="M121" s="54">
        <f t="shared" si="35"/>
        <v>0</v>
      </c>
      <c r="N121" s="129"/>
      <c r="O121" s="54">
        <f t="shared" si="36"/>
        <v>0</v>
      </c>
      <c r="P121" s="54">
        <f t="shared" si="37"/>
        <v>0</v>
      </c>
      <c r="Q121" s="1"/>
    </row>
    <row r="122" spans="2:17" ht="12.5">
      <c r="B122" s="7" t="str">
        <f t="shared" si="38"/>
        <v/>
      </c>
      <c r="C122" s="50">
        <f>IF(D93="","-",+C121+1)</f>
        <v>2029</v>
      </c>
      <c r="D122" s="12">
        <f>IF(F121+SUM(E$99:E121)=D$92,F121,D$92-SUM(E$99:E121))</f>
        <v>2997970.5604795399</v>
      </c>
      <c r="E122" s="378">
        <f>IF(+J96&lt;F121,J96,D122)</f>
        <v>130263.79545454546</v>
      </c>
      <c r="F122" s="55">
        <f t="shared" si="61"/>
        <v>2867706.7650249945</v>
      </c>
      <c r="G122" s="55">
        <f t="shared" si="62"/>
        <v>2932838.662752267</v>
      </c>
      <c r="H122" s="380">
        <f t="shared" si="63"/>
        <v>495479.45965016051</v>
      </c>
      <c r="I122" s="399">
        <f t="shared" si="64"/>
        <v>495479.45965016051</v>
      </c>
      <c r="J122" s="54">
        <f t="shared" si="34"/>
        <v>0</v>
      </c>
      <c r="K122" s="54"/>
      <c r="L122" s="129"/>
      <c r="M122" s="54">
        <f t="shared" si="35"/>
        <v>0</v>
      </c>
      <c r="N122" s="129"/>
      <c r="O122" s="54">
        <f t="shared" si="36"/>
        <v>0</v>
      </c>
      <c r="P122" s="54">
        <f t="shared" si="37"/>
        <v>0</v>
      </c>
      <c r="Q122" s="1"/>
    </row>
    <row r="123" spans="2:17" ht="12.5">
      <c r="B123" s="7" t="str">
        <f t="shared" si="38"/>
        <v/>
      </c>
      <c r="C123" s="50">
        <f>IF(D93="","-",+C122+1)</f>
        <v>2030</v>
      </c>
      <c r="D123" s="12">
        <f>IF(F122+SUM(E$99:E122)=D$92,F122,D$92-SUM(E$99:E122))</f>
        <v>2867706.7650249945</v>
      </c>
      <c r="E123" s="378">
        <f>IF(+J96&lt;F122,J96,D123)</f>
        <v>130263.79545454546</v>
      </c>
      <c r="F123" s="55">
        <f t="shared" si="61"/>
        <v>2737442.9695704491</v>
      </c>
      <c r="G123" s="55">
        <f t="shared" si="62"/>
        <v>2802574.867297722</v>
      </c>
      <c r="H123" s="380">
        <f t="shared" si="63"/>
        <v>479258.18598046328</v>
      </c>
      <c r="I123" s="399">
        <f t="shared" si="64"/>
        <v>479258.18598046328</v>
      </c>
      <c r="J123" s="54">
        <f t="shared" si="34"/>
        <v>0</v>
      </c>
      <c r="K123" s="54"/>
      <c r="L123" s="129"/>
      <c r="M123" s="54">
        <f t="shared" si="35"/>
        <v>0</v>
      </c>
      <c r="N123" s="129"/>
      <c r="O123" s="54">
        <f t="shared" si="36"/>
        <v>0</v>
      </c>
      <c r="P123" s="54">
        <f t="shared" si="37"/>
        <v>0</v>
      </c>
      <c r="Q123" s="1"/>
    </row>
    <row r="124" spans="2:17" ht="12.5">
      <c r="B124" s="7" t="str">
        <f t="shared" si="38"/>
        <v/>
      </c>
      <c r="C124" s="50">
        <f>IF(D93="","-",+C123+1)</f>
        <v>2031</v>
      </c>
      <c r="D124" s="12">
        <f>IF(F123+SUM(E$99:E123)=D$92,F123,D$92-SUM(E$99:E123))</f>
        <v>2737442.9695704491</v>
      </c>
      <c r="E124" s="378">
        <f>IF(+J96&lt;F123,J96,D124)</f>
        <v>130263.79545454546</v>
      </c>
      <c r="F124" s="55">
        <f t="shared" si="61"/>
        <v>2607179.1741159037</v>
      </c>
      <c r="G124" s="55">
        <f t="shared" si="62"/>
        <v>2672311.0718431761</v>
      </c>
      <c r="H124" s="380">
        <f t="shared" si="63"/>
        <v>463036.91231076594</v>
      </c>
      <c r="I124" s="399">
        <f t="shared" si="64"/>
        <v>463036.91231076594</v>
      </c>
      <c r="J124" s="54">
        <f t="shared" si="34"/>
        <v>0</v>
      </c>
      <c r="K124" s="54"/>
      <c r="L124" s="129"/>
      <c r="M124" s="54">
        <f t="shared" si="35"/>
        <v>0</v>
      </c>
      <c r="N124" s="129"/>
      <c r="O124" s="54">
        <f t="shared" si="36"/>
        <v>0</v>
      </c>
      <c r="P124" s="54">
        <f t="shared" si="37"/>
        <v>0</v>
      </c>
      <c r="Q124" s="1"/>
    </row>
    <row r="125" spans="2:17" ht="12.5">
      <c r="B125" s="7" t="str">
        <f t="shared" si="38"/>
        <v/>
      </c>
      <c r="C125" s="50">
        <f>IF(D93="","-",+C124+1)</f>
        <v>2032</v>
      </c>
      <c r="D125" s="12">
        <f>IF(F124+SUM(E$99:E124)=D$92,F124,D$92-SUM(E$99:E124))</f>
        <v>2607179.1741159037</v>
      </c>
      <c r="E125" s="378">
        <f>IF(+J96&lt;F124,J96,D125)</f>
        <v>130263.79545454546</v>
      </c>
      <c r="F125" s="55">
        <f t="shared" si="61"/>
        <v>2476915.3786613583</v>
      </c>
      <c r="G125" s="55">
        <f t="shared" si="62"/>
        <v>2542047.2763886312</v>
      </c>
      <c r="H125" s="380">
        <f t="shared" si="63"/>
        <v>446815.63864106871</v>
      </c>
      <c r="I125" s="399">
        <f t="shared" si="64"/>
        <v>446815.63864106871</v>
      </c>
      <c r="J125" s="54">
        <f t="shared" si="34"/>
        <v>0</v>
      </c>
      <c r="K125" s="54"/>
      <c r="L125" s="129"/>
      <c r="M125" s="54">
        <f t="shared" si="35"/>
        <v>0</v>
      </c>
      <c r="N125" s="129"/>
      <c r="O125" s="54">
        <f t="shared" si="36"/>
        <v>0</v>
      </c>
      <c r="P125" s="54">
        <f t="shared" si="37"/>
        <v>0</v>
      </c>
      <c r="Q125" s="1"/>
    </row>
    <row r="126" spans="2:17" ht="12.5">
      <c r="B126" s="7" t="str">
        <f t="shared" si="38"/>
        <v/>
      </c>
      <c r="C126" s="50">
        <f>IF(D93="","-",+C125+1)</f>
        <v>2033</v>
      </c>
      <c r="D126" s="12">
        <f>IF(F125+SUM(E$99:E125)=D$92,F125,D$92-SUM(E$99:E125))</f>
        <v>2476915.3786613583</v>
      </c>
      <c r="E126" s="378">
        <f>IF(+J96&lt;F125,J96,D126)</f>
        <v>130263.79545454546</v>
      </c>
      <c r="F126" s="55">
        <f t="shared" si="61"/>
        <v>2346651.5832068129</v>
      </c>
      <c r="G126" s="55">
        <f t="shared" si="62"/>
        <v>2411783.4809340853</v>
      </c>
      <c r="H126" s="380">
        <f t="shared" si="63"/>
        <v>430594.36497137137</v>
      </c>
      <c r="I126" s="399">
        <f t="shared" si="64"/>
        <v>430594.36497137137</v>
      </c>
      <c r="J126" s="54">
        <f t="shared" si="34"/>
        <v>0</v>
      </c>
      <c r="K126" s="54"/>
      <c r="L126" s="129"/>
      <c r="M126" s="54">
        <f t="shared" si="35"/>
        <v>0</v>
      </c>
      <c r="N126" s="129"/>
      <c r="O126" s="54">
        <f t="shared" si="36"/>
        <v>0</v>
      </c>
      <c r="P126" s="54">
        <f t="shared" si="37"/>
        <v>0</v>
      </c>
      <c r="Q126" s="1"/>
    </row>
    <row r="127" spans="2:17" ht="12.5">
      <c r="B127" s="7" t="str">
        <f t="shared" si="38"/>
        <v/>
      </c>
      <c r="C127" s="50">
        <f>IF(D93="","-",+C126+1)</f>
        <v>2034</v>
      </c>
      <c r="D127" s="12">
        <f>IF(F126+SUM(E$99:E126)=D$92,F126,D$92-SUM(E$99:E126))</f>
        <v>2346651.5832068129</v>
      </c>
      <c r="E127" s="378">
        <f>IF(+J96&lt;F126,J96,D127)</f>
        <v>130263.79545454546</v>
      </c>
      <c r="F127" s="55">
        <f t="shared" si="61"/>
        <v>2216387.7877522674</v>
      </c>
      <c r="G127" s="55">
        <f t="shared" si="62"/>
        <v>2281519.6854795404</v>
      </c>
      <c r="H127" s="380">
        <f t="shared" si="63"/>
        <v>414373.09130167414</v>
      </c>
      <c r="I127" s="399">
        <f t="shared" si="64"/>
        <v>414373.09130167414</v>
      </c>
      <c r="J127" s="54">
        <f t="shared" si="34"/>
        <v>0</v>
      </c>
      <c r="K127" s="54"/>
      <c r="L127" s="129"/>
      <c r="M127" s="54">
        <f t="shared" si="35"/>
        <v>0</v>
      </c>
      <c r="N127" s="129"/>
      <c r="O127" s="54">
        <f t="shared" si="36"/>
        <v>0</v>
      </c>
      <c r="P127" s="54">
        <f t="shared" si="37"/>
        <v>0</v>
      </c>
      <c r="Q127" s="1"/>
    </row>
    <row r="128" spans="2:17" ht="12.5">
      <c r="B128" s="7" t="str">
        <f t="shared" si="38"/>
        <v/>
      </c>
      <c r="C128" s="50">
        <f>IF(D93="","-",+C127+1)</f>
        <v>2035</v>
      </c>
      <c r="D128" s="12">
        <f>IF(F127+SUM(E$99:E127)=D$92,F127,D$92-SUM(E$99:E127))</f>
        <v>2216387.7877522674</v>
      </c>
      <c r="E128" s="378">
        <f>IF(+J96&lt;F127,J96,D128)</f>
        <v>130263.79545454546</v>
      </c>
      <c r="F128" s="55">
        <f t="shared" si="61"/>
        <v>2086123.992297722</v>
      </c>
      <c r="G128" s="55">
        <f t="shared" si="62"/>
        <v>2151255.8900249945</v>
      </c>
      <c r="H128" s="380">
        <f t="shared" si="63"/>
        <v>398151.8176319768</v>
      </c>
      <c r="I128" s="399">
        <f t="shared" si="64"/>
        <v>398151.8176319768</v>
      </c>
      <c r="J128" s="54">
        <f t="shared" si="34"/>
        <v>0</v>
      </c>
      <c r="K128" s="54"/>
      <c r="L128" s="129"/>
      <c r="M128" s="54">
        <f t="shared" si="35"/>
        <v>0</v>
      </c>
      <c r="N128" s="129"/>
      <c r="O128" s="54">
        <f t="shared" si="36"/>
        <v>0</v>
      </c>
      <c r="P128" s="54">
        <f t="shared" si="37"/>
        <v>0</v>
      </c>
      <c r="Q128" s="1"/>
    </row>
    <row r="129" spans="2:17" ht="12.5">
      <c r="B129" s="7" t="str">
        <f t="shared" si="38"/>
        <v/>
      </c>
      <c r="C129" s="50">
        <f>IF(D93="","-",+C128+1)</f>
        <v>2036</v>
      </c>
      <c r="D129" s="12">
        <f>IF(F128+SUM(E$99:E128)=D$92,F128,D$92-SUM(E$99:E128))</f>
        <v>2086123.992297722</v>
      </c>
      <c r="E129" s="378">
        <f>IF(+J96&lt;F128,J96,D129)</f>
        <v>130263.79545454546</v>
      </c>
      <c r="F129" s="55">
        <f t="shared" si="61"/>
        <v>1955860.1968431766</v>
      </c>
      <c r="G129" s="55">
        <f t="shared" si="62"/>
        <v>2020992.0945704493</v>
      </c>
      <c r="H129" s="380">
        <f t="shared" si="63"/>
        <v>381930.54396227957</v>
      </c>
      <c r="I129" s="399">
        <f t="shared" si="64"/>
        <v>381930.54396227957</v>
      </c>
      <c r="J129" s="54">
        <f t="shared" si="34"/>
        <v>0</v>
      </c>
      <c r="K129" s="54"/>
      <c r="L129" s="129"/>
      <c r="M129" s="54">
        <f t="shared" si="35"/>
        <v>0</v>
      </c>
      <c r="N129" s="129"/>
      <c r="O129" s="54">
        <f t="shared" si="36"/>
        <v>0</v>
      </c>
      <c r="P129" s="54">
        <f t="shared" si="37"/>
        <v>0</v>
      </c>
      <c r="Q129" s="1"/>
    </row>
    <row r="130" spans="2:17" ht="12.5">
      <c r="B130" s="7" t="str">
        <f t="shared" si="38"/>
        <v/>
      </c>
      <c r="C130" s="50">
        <f>IF(D93="","-",+C129+1)</f>
        <v>2037</v>
      </c>
      <c r="D130" s="12">
        <f>IF(F129+SUM(E$99:E129)=D$92,F129,D$92-SUM(E$99:E129))</f>
        <v>1955860.1968431766</v>
      </c>
      <c r="E130" s="378">
        <f>IF(+J96&lt;F129,J96,D130)</f>
        <v>130263.79545454546</v>
      </c>
      <c r="F130" s="55">
        <f t="shared" si="61"/>
        <v>1825596.4013886312</v>
      </c>
      <c r="G130" s="55">
        <f t="shared" si="62"/>
        <v>1890728.2991159039</v>
      </c>
      <c r="H130" s="380">
        <f t="shared" si="63"/>
        <v>365709.27029258228</v>
      </c>
      <c r="I130" s="399">
        <f t="shared" si="64"/>
        <v>365709.27029258228</v>
      </c>
      <c r="J130" s="54">
        <f t="shared" si="34"/>
        <v>0</v>
      </c>
      <c r="K130" s="54"/>
      <c r="L130" s="129"/>
      <c r="M130" s="54">
        <f t="shared" si="35"/>
        <v>0</v>
      </c>
      <c r="N130" s="129"/>
      <c r="O130" s="54">
        <f t="shared" si="36"/>
        <v>0</v>
      </c>
      <c r="P130" s="54">
        <f t="shared" si="37"/>
        <v>0</v>
      </c>
      <c r="Q130" s="1"/>
    </row>
    <row r="131" spans="2:17" ht="12.5">
      <c r="B131" s="7" t="str">
        <f t="shared" si="38"/>
        <v/>
      </c>
      <c r="C131" s="50">
        <f>IF(D93="","-",+C130+1)</f>
        <v>2038</v>
      </c>
      <c r="D131" s="12">
        <f>IF(F130+SUM(E$99:E130)=D$92,F130,D$92-SUM(E$99:E130))</f>
        <v>1825596.4013886312</v>
      </c>
      <c r="E131" s="378">
        <f>IF(+J96&lt;F130,J96,D131)</f>
        <v>130263.79545454546</v>
      </c>
      <c r="F131" s="55">
        <f t="shared" ref="F131:F154" si="65">+D131-E131</f>
        <v>1695332.6059340858</v>
      </c>
      <c r="G131" s="55">
        <f t="shared" ref="G131:G154" si="66">+(F131+D131)/2</f>
        <v>1760464.5036613585</v>
      </c>
      <c r="H131" s="380">
        <f t="shared" si="63"/>
        <v>349487.996622885</v>
      </c>
      <c r="I131" s="399">
        <f t="shared" si="64"/>
        <v>349487.996622885</v>
      </c>
      <c r="J131" s="54">
        <f t="shared" ref="J131:J154" si="67">+I131-H131</f>
        <v>0</v>
      </c>
      <c r="K131" s="54"/>
      <c r="L131" s="129"/>
      <c r="M131" s="54">
        <f t="shared" ref="M131:M154" si="68">IF(L131&lt;&gt;0,+H131-L131,0)</f>
        <v>0</v>
      </c>
      <c r="N131" s="129"/>
      <c r="O131" s="54">
        <f t="shared" ref="O131:O154" si="69">IF(N131&lt;&gt;0,+I131-N131,0)</f>
        <v>0</v>
      </c>
      <c r="P131" s="54">
        <f t="shared" ref="P131:P154" si="70">+O131-M131</f>
        <v>0</v>
      </c>
      <c r="Q131" s="1"/>
    </row>
    <row r="132" spans="2:17" ht="12.5">
      <c r="B132" s="7" t="str">
        <f t="shared" si="38"/>
        <v/>
      </c>
      <c r="C132" s="50">
        <f>IF(D93="","-",+C131+1)</f>
        <v>2039</v>
      </c>
      <c r="D132" s="12">
        <f>IF(F131+SUM(E$99:E131)=D$92,F131,D$92-SUM(E$99:E131))</f>
        <v>1695332.6059340858</v>
      </c>
      <c r="E132" s="378">
        <f>IF(+J96&lt;F131,J96,D132)</f>
        <v>130263.79545454546</v>
      </c>
      <c r="F132" s="55">
        <f t="shared" si="65"/>
        <v>1565068.8104795404</v>
      </c>
      <c r="G132" s="55">
        <f t="shared" si="66"/>
        <v>1630200.7082068131</v>
      </c>
      <c r="H132" s="380">
        <f t="shared" si="63"/>
        <v>333266.72295318771</v>
      </c>
      <c r="I132" s="399">
        <f t="shared" si="64"/>
        <v>333266.72295318771</v>
      </c>
      <c r="J132" s="54">
        <f t="shared" si="67"/>
        <v>0</v>
      </c>
      <c r="K132" s="54"/>
      <c r="L132" s="129"/>
      <c r="M132" s="54">
        <f t="shared" si="68"/>
        <v>0</v>
      </c>
      <c r="N132" s="129"/>
      <c r="O132" s="54">
        <f t="shared" si="69"/>
        <v>0</v>
      </c>
      <c r="P132" s="54">
        <f t="shared" si="70"/>
        <v>0</v>
      </c>
      <c r="Q132" s="1"/>
    </row>
    <row r="133" spans="2:17" ht="12.5">
      <c r="B133" s="7" t="str">
        <f t="shared" si="38"/>
        <v/>
      </c>
      <c r="C133" s="50">
        <f>IF(D93="","-",+C132+1)</f>
        <v>2040</v>
      </c>
      <c r="D133" s="12">
        <f>IF(F132+SUM(E$99:E132)=D$92,F132,D$92-SUM(E$99:E132))</f>
        <v>1565068.8104795404</v>
      </c>
      <c r="E133" s="378">
        <f>IF(+J96&lt;F132,J96,D133)</f>
        <v>130263.79545454546</v>
      </c>
      <c r="F133" s="55">
        <f t="shared" si="65"/>
        <v>1434805.015024995</v>
      </c>
      <c r="G133" s="55">
        <f t="shared" si="66"/>
        <v>1499936.9127522677</v>
      </c>
      <c r="H133" s="380">
        <f t="shared" si="63"/>
        <v>317045.44928349042</v>
      </c>
      <c r="I133" s="399">
        <f t="shared" si="64"/>
        <v>317045.44928349042</v>
      </c>
      <c r="J133" s="54">
        <f t="shared" si="67"/>
        <v>0</v>
      </c>
      <c r="K133" s="54"/>
      <c r="L133" s="129"/>
      <c r="M133" s="54">
        <f t="shared" si="68"/>
        <v>0</v>
      </c>
      <c r="N133" s="129"/>
      <c r="O133" s="54">
        <f t="shared" si="69"/>
        <v>0</v>
      </c>
      <c r="P133" s="54">
        <f t="shared" si="70"/>
        <v>0</v>
      </c>
      <c r="Q133" s="1"/>
    </row>
    <row r="134" spans="2:17" ht="12.5">
      <c r="B134" s="7" t="str">
        <f t="shared" si="38"/>
        <v/>
      </c>
      <c r="C134" s="50">
        <f>IF(D93="","-",+C133+1)</f>
        <v>2041</v>
      </c>
      <c r="D134" s="12">
        <f>IF(F133+SUM(E$99:E133)=D$92,F133,D$92-SUM(E$99:E133))</f>
        <v>1434805.015024995</v>
      </c>
      <c r="E134" s="378">
        <f>IF(+J96&lt;F133,J96,D134)</f>
        <v>130263.79545454546</v>
      </c>
      <c r="F134" s="55">
        <f t="shared" si="65"/>
        <v>1304541.2195704496</v>
      </c>
      <c r="G134" s="55">
        <f t="shared" si="66"/>
        <v>1369673.1172977223</v>
      </c>
      <c r="H134" s="380">
        <f t="shared" si="63"/>
        <v>300824.17561379314</v>
      </c>
      <c r="I134" s="399">
        <f t="shared" si="64"/>
        <v>300824.17561379314</v>
      </c>
      <c r="J134" s="54">
        <f t="shared" si="67"/>
        <v>0</v>
      </c>
      <c r="K134" s="54"/>
      <c r="L134" s="129"/>
      <c r="M134" s="54">
        <f t="shared" si="68"/>
        <v>0</v>
      </c>
      <c r="N134" s="129"/>
      <c r="O134" s="54">
        <f t="shared" si="69"/>
        <v>0</v>
      </c>
      <c r="P134" s="54">
        <f t="shared" si="70"/>
        <v>0</v>
      </c>
      <c r="Q134" s="1"/>
    </row>
    <row r="135" spans="2:17" ht="12.5">
      <c r="B135" s="7" t="str">
        <f t="shared" si="38"/>
        <v/>
      </c>
      <c r="C135" s="50">
        <f>IF(D93="","-",+C134+1)</f>
        <v>2042</v>
      </c>
      <c r="D135" s="12">
        <f>IF(F134+SUM(E$99:E134)=D$92,F134,D$92-SUM(E$99:E134))</f>
        <v>1304541.2195704496</v>
      </c>
      <c r="E135" s="378">
        <f>IF(+J96&lt;F134,J96,D135)</f>
        <v>130263.79545454546</v>
      </c>
      <c r="F135" s="55">
        <f t="shared" si="65"/>
        <v>1174277.4241159041</v>
      </c>
      <c r="G135" s="55">
        <f t="shared" si="66"/>
        <v>1239409.3218431768</v>
      </c>
      <c r="H135" s="380">
        <f t="shared" si="63"/>
        <v>284602.90194409585</v>
      </c>
      <c r="I135" s="399">
        <f t="shared" si="64"/>
        <v>284602.90194409585</v>
      </c>
      <c r="J135" s="54">
        <f t="shared" si="67"/>
        <v>0</v>
      </c>
      <c r="K135" s="54"/>
      <c r="L135" s="129"/>
      <c r="M135" s="54">
        <f t="shared" si="68"/>
        <v>0</v>
      </c>
      <c r="N135" s="129"/>
      <c r="O135" s="54">
        <f t="shared" si="69"/>
        <v>0</v>
      </c>
      <c r="P135" s="54">
        <f t="shared" si="70"/>
        <v>0</v>
      </c>
      <c r="Q135" s="1"/>
    </row>
    <row r="136" spans="2:17" ht="12.5">
      <c r="B136" s="7" t="str">
        <f t="shared" si="38"/>
        <v/>
      </c>
      <c r="C136" s="50">
        <f>IF(D93="","-",+C135+1)</f>
        <v>2043</v>
      </c>
      <c r="D136" s="12">
        <f>IF(F135+SUM(E$99:E135)=D$92,F135,D$92-SUM(E$99:E135))</f>
        <v>1174277.4241159041</v>
      </c>
      <c r="E136" s="378">
        <f>IF(+J96&lt;F135,J96,D136)</f>
        <v>130263.79545454546</v>
      </c>
      <c r="F136" s="55">
        <f t="shared" si="65"/>
        <v>1044013.6286613587</v>
      </c>
      <c r="G136" s="55">
        <f t="shared" si="66"/>
        <v>1109145.5263886314</v>
      </c>
      <c r="H136" s="380">
        <f t="shared" si="63"/>
        <v>268381.62827439856</v>
      </c>
      <c r="I136" s="399">
        <f t="shared" si="64"/>
        <v>268381.62827439856</v>
      </c>
      <c r="J136" s="54">
        <f t="shared" si="67"/>
        <v>0</v>
      </c>
      <c r="K136" s="54"/>
      <c r="L136" s="129"/>
      <c r="M136" s="54">
        <f t="shared" si="68"/>
        <v>0</v>
      </c>
      <c r="N136" s="129"/>
      <c r="O136" s="54">
        <f t="shared" si="69"/>
        <v>0</v>
      </c>
      <c r="P136" s="54">
        <f t="shared" si="70"/>
        <v>0</v>
      </c>
      <c r="Q136" s="1"/>
    </row>
    <row r="137" spans="2:17" ht="12.5">
      <c r="B137" s="7" t="str">
        <f t="shared" si="38"/>
        <v/>
      </c>
      <c r="C137" s="50">
        <f>IF(D93="","-",+C136+1)</f>
        <v>2044</v>
      </c>
      <c r="D137" s="12">
        <f>IF(F136+SUM(E$99:E136)=D$92,F136,D$92-SUM(E$99:E136))</f>
        <v>1044013.6286613587</v>
      </c>
      <c r="E137" s="378">
        <f>IF(+J96&lt;F136,J96,D137)</f>
        <v>130263.79545454546</v>
      </c>
      <c r="F137" s="55">
        <f t="shared" si="65"/>
        <v>913749.83320681332</v>
      </c>
      <c r="G137" s="55">
        <f t="shared" si="66"/>
        <v>978881.73093408602</v>
      </c>
      <c r="H137" s="380">
        <f t="shared" si="63"/>
        <v>252160.35460470128</v>
      </c>
      <c r="I137" s="399">
        <f t="shared" si="64"/>
        <v>252160.35460470128</v>
      </c>
      <c r="J137" s="54">
        <f t="shared" si="67"/>
        <v>0</v>
      </c>
      <c r="K137" s="54"/>
      <c r="L137" s="129"/>
      <c r="M137" s="54">
        <f t="shared" si="68"/>
        <v>0</v>
      </c>
      <c r="N137" s="129"/>
      <c r="O137" s="54">
        <f t="shared" si="69"/>
        <v>0</v>
      </c>
      <c r="P137" s="54">
        <f t="shared" si="70"/>
        <v>0</v>
      </c>
      <c r="Q137" s="1"/>
    </row>
    <row r="138" spans="2:17" ht="12.5">
      <c r="B138" s="7" t="str">
        <f t="shared" si="38"/>
        <v/>
      </c>
      <c r="C138" s="50">
        <f>IF(D93="","-",+C137+1)</f>
        <v>2045</v>
      </c>
      <c r="D138" s="12">
        <f>IF(F137+SUM(E$99:E137)=D$92,F137,D$92-SUM(E$99:E137))</f>
        <v>913749.83320681332</v>
      </c>
      <c r="E138" s="378">
        <f>IF(+J96&lt;F137,J96,D138)</f>
        <v>130263.79545454546</v>
      </c>
      <c r="F138" s="55">
        <f t="shared" si="65"/>
        <v>783486.0377522679</v>
      </c>
      <c r="G138" s="55">
        <f t="shared" si="66"/>
        <v>848617.93547954061</v>
      </c>
      <c r="H138" s="380">
        <f t="shared" si="63"/>
        <v>235939.08093500399</v>
      </c>
      <c r="I138" s="399">
        <f t="shared" si="64"/>
        <v>235939.08093500399</v>
      </c>
      <c r="J138" s="54">
        <f t="shared" si="67"/>
        <v>0</v>
      </c>
      <c r="K138" s="54"/>
      <c r="L138" s="129"/>
      <c r="M138" s="54">
        <f t="shared" si="68"/>
        <v>0</v>
      </c>
      <c r="N138" s="129"/>
      <c r="O138" s="54">
        <f t="shared" si="69"/>
        <v>0</v>
      </c>
      <c r="P138" s="54">
        <f t="shared" si="70"/>
        <v>0</v>
      </c>
      <c r="Q138" s="1"/>
    </row>
    <row r="139" spans="2:17" ht="12.5">
      <c r="B139" s="7" t="str">
        <f t="shared" si="38"/>
        <v/>
      </c>
      <c r="C139" s="50">
        <f>IF(D93="","-",+C138+1)</f>
        <v>2046</v>
      </c>
      <c r="D139" s="12">
        <f>IF(F138+SUM(E$99:E138)=D$92,F138,D$92-SUM(E$99:E138))</f>
        <v>783486.0377522679</v>
      </c>
      <c r="E139" s="378">
        <f>IF(+J96&lt;F138,J96,D139)</f>
        <v>130263.79545454546</v>
      </c>
      <c r="F139" s="55">
        <f t="shared" si="65"/>
        <v>653222.24229772249</v>
      </c>
      <c r="G139" s="55">
        <f t="shared" si="66"/>
        <v>718354.1400249952</v>
      </c>
      <c r="H139" s="380">
        <f t="shared" si="63"/>
        <v>219717.80726530671</v>
      </c>
      <c r="I139" s="399">
        <f t="shared" si="64"/>
        <v>219717.80726530671</v>
      </c>
      <c r="J139" s="54">
        <f t="shared" si="67"/>
        <v>0</v>
      </c>
      <c r="K139" s="54"/>
      <c r="L139" s="129"/>
      <c r="M139" s="54">
        <f t="shared" si="68"/>
        <v>0</v>
      </c>
      <c r="N139" s="129"/>
      <c r="O139" s="54">
        <f t="shared" si="69"/>
        <v>0</v>
      </c>
      <c r="P139" s="54">
        <f t="shared" si="70"/>
        <v>0</v>
      </c>
      <c r="Q139" s="1"/>
    </row>
    <row r="140" spans="2:17" ht="12.5">
      <c r="B140" s="7" t="str">
        <f t="shared" si="38"/>
        <v/>
      </c>
      <c r="C140" s="50">
        <f>IF(D93="","-",+C139+1)</f>
        <v>2047</v>
      </c>
      <c r="D140" s="12">
        <f>IF(F139+SUM(E$99:E139)=D$92,F139,D$92-SUM(E$99:E139))</f>
        <v>653222.24229772249</v>
      </c>
      <c r="E140" s="378">
        <f>IF(+J96&lt;F139,J96,D140)</f>
        <v>130263.79545454546</v>
      </c>
      <c r="F140" s="55">
        <f t="shared" si="65"/>
        <v>522958.44684317702</v>
      </c>
      <c r="G140" s="55">
        <f t="shared" si="66"/>
        <v>588090.34457044979</v>
      </c>
      <c r="H140" s="380">
        <f t="shared" si="63"/>
        <v>203496.53359560942</v>
      </c>
      <c r="I140" s="399">
        <f t="shared" si="64"/>
        <v>203496.53359560942</v>
      </c>
      <c r="J140" s="54">
        <f t="shared" si="67"/>
        <v>0</v>
      </c>
      <c r="K140" s="54"/>
      <c r="L140" s="129"/>
      <c r="M140" s="54">
        <f t="shared" si="68"/>
        <v>0</v>
      </c>
      <c r="N140" s="129"/>
      <c r="O140" s="54">
        <f t="shared" si="69"/>
        <v>0</v>
      </c>
      <c r="P140" s="54">
        <f t="shared" si="70"/>
        <v>0</v>
      </c>
      <c r="Q140" s="1"/>
    </row>
    <row r="141" spans="2:17" ht="12.5">
      <c r="B141" s="7" t="str">
        <f t="shared" si="38"/>
        <v/>
      </c>
      <c r="C141" s="50">
        <f>IF(D93="","-",+C140+1)</f>
        <v>2048</v>
      </c>
      <c r="D141" s="12">
        <f>IF(F140+SUM(E$99:E140)=D$92,F140,D$92-SUM(E$99:E140))</f>
        <v>522958.44684317702</v>
      </c>
      <c r="E141" s="378">
        <f>IF(+J96&lt;F140,J96,D141)</f>
        <v>130263.79545454546</v>
      </c>
      <c r="F141" s="55">
        <f t="shared" si="65"/>
        <v>392694.65138863155</v>
      </c>
      <c r="G141" s="55">
        <f t="shared" si="66"/>
        <v>457826.54911590426</v>
      </c>
      <c r="H141" s="380">
        <f t="shared" si="63"/>
        <v>187275.25992591211</v>
      </c>
      <c r="I141" s="399">
        <f t="shared" si="64"/>
        <v>187275.25992591211</v>
      </c>
      <c r="J141" s="54">
        <f t="shared" si="67"/>
        <v>0</v>
      </c>
      <c r="K141" s="54"/>
      <c r="L141" s="129"/>
      <c r="M141" s="54">
        <f t="shared" si="68"/>
        <v>0</v>
      </c>
      <c r="N141" s="129"/>
      <c r="O141" s="54">
        <f t="shared" si="69"/>
        <v>0</v>
      </c>
      <c r="P141" s="54">
        <f t="shared" si="70"/>
        <v>0</v>
      </c>
      <c r="Q141" s="1"/>
    </row>
    <row r="142" spans="2:17" ht="12.5">
      <c r="B142" s="7" t="str">
        <f t="shared" si="38"/>
        <v/>
      </c>
      <c r="C142" s="50">
        <f>IF(D93="","-",+C141+1)</f>
        <v>2049</v>
      </c>
      <c r="D142" s="12">
        <f>IF(F141+SUM(E$99:E141)=D$92,F141,D$92-SUM(E$99:E141))</f>
        <v>392694.65138863155</v>
      </c>
      <c r="E142" s="378">
        <f>IF(+J96&lt;F141,J96,D142)</f>
        <v>130263.79545454546</v>
      </c>
      <c r="F142" s="55">
        <f t="shared" si="65"/>
        <v>262430.85593408608</v>
      </c>
      <c r="G142" s="55">
        <f t="shared" si="66"/>
        <v>327562.75366135885</v>
      </c>
      <c r="H142" s="380">
        <f t="shared" si="63"/>
        <v>171053.98625621482</v>
      </c>
      <c r="I142" s="399">
        <f t="shared" si="64"/>
        <v>171053.98625621482</v>
      </c>
      <c r="J142" s="54">
        <f t="shared" si="67"/>
        <v>0</v>
      </c>
      <c r="K142" s="54"/>
      <c r="L142" s="129"/>
      <c r="M142" s="54">
        <f t="shared" si="68"/>
        <v>0</v>
      </c>
      <c r="N142" s="129"/>
      <c r="O142" s="54">
        <f t="shared" si="69"/>
        <v>0</v>
      </c>
      <c r="P142" s="54">
        <f t="shared" si="70"/>
        <v>0</v>
      </c>
      <c r="Q142" s="1"/>
    </row>
    <row r="143" spans="2:17" ht="12.5">
      <c r="B143" s="7" t="str">
        <f t="shared" si="38"/>
        <v/>
      </c>
      <c r="C143" s="50">
        <f>IF(D93="","-",+C142+1)</f>
        <v>2050</v>
      </c>
      <c r="D143" s="12">
        <f>IF(F142+SUM(E$99:E142)=D$92,F142,D$92-SUM(E$99:E142))</f>
        <v>262430.85593408608</v>
      </c>
      <c r="E143" s="378">
        <f>IF(+J96&lt;F142,J96,D143)</f>
        <v>130263.79545454546</v>
      </c>
      <c r="F143" s="55">
        <f t="shared" si="65"/>
        <v>132167.06047954061</v>
      </c>
      <c r="G143" s="55">
        <f t="shared" si="66"/>
        <v>197298.95820681335</v>
      </c>
      <c r="H143" s="380">
        <f t="shared" si="63"/>
        <v>154832.71258651753</v>
      </c>
      <c r="I143" s="399">
        <f t="shared" si="64"/>
        <v>154832.71258651753</v>
      </c>
      <c r="J143" s="54">
        <f t="shared" si="67"/>
        <v>0</v>
      </c>
      <c r="K143" s="54"/>
      <c r="L143" s="129"/>
      <c r="M143" s="54">
        <f t="shared" si="68"/>
        <v>0</v>
      </c>
      <c r="N143" s="129"/>
      <c r="O143" s="54">
        <f t="shared" si="69"/>
        <v>0</v>
      </c>
      <c r="P143" s="54">
        <f t="shared" si="70"/>
        <v>0</v>
      </c>
      <c r="Q143" s="1"/>
    </row>
    <row r="144" spans="2:17" ht="12.5">
      <c r="B144" s="7" t="str">
        <f t="shared" si="38"/>
        <v/>
      </c>
      <c r="C144" s="50">
        <f>IF(D93="","-",+C143+1)</f>
        <v>2051</v>
      </c>
      <c r="D144" s="12">
        <f>IF(F143+SUM(E$99:E143)=D$92,F143,D$92-SUM(E$99:E143))</f>
        <v>132167.06047954061</v>
      </c>
      <c r="E144" s="378">
        <f>IF(+J96&lt;F143,J96,D144)</f>
        <v>130263.79545454546</v>
      </c>
      <c r="F144" s="55">
        <f t="shared" si="65"/>
        <v>1903.2650249951548</v>
      </c>
      <c r="G144" s="55">
        <f t="shared" si="66"/>
        <v>67035.162752267875</v>
      </c>
      <c r="H144" s="380">
        <f t="shared" si="63"/>
        <v>138611.43891682025</v>
      </c>
      <c r="I144" s="399">
        <f t="shared" si="64"/>
        <v>138611.43891682025</v>
      </c>
      <c r="J144" s="54">
        <f t="shared" si="67"/>
        <v>0</v>
      </c>
      <c r="K144" s="54"/>
      <c r="L144" s="129"/>
      <c r="M144" s="54">
        <f t="shared" si="68"/>
        <v>0</v>
      </c>
      <c r="N144" s="129"/>
      <c r="O144" s="54">
        <f t="shared" si="69"/>
        <v>0</v>
      </c>
      <c r="P144" s="54">
        <f t="shared" si="70"/>
        <v>0</v>
      </c>
      <c r="Q144" s="1"/>
    </row>
    <row r="145" spans="2:17" ht="12.5">
      <c r="B145" s="7" t="str">
        <f t="shared" si="38"/>
        <v>IU</v>
      </c>
      <c r="C145" s="50">
        <f>IF(D93="","-",+C144+1)</f>
        <v>2052</v>
      </c>
      <c r="D145" s="12">
        <f>IF(F144+SUM(E$99:E144)=D$92,F144,D$92-SUM(E$99:E144))</f>
        <v>1903.2650249898434</v>
      </c>
      <c r="E145" s="378">
        <f>IF(+J96&lt;F144,J96,D145)</f>
        <v>1903.2650249898434</v>
      </c>
      <c r="F145" s="55">
        <f t="shared" si="65"/>
        <v>0</v>
      </c>
      <c r="G145" s="55">
        <f t="shared" si="66"/>
        <v>951.63251249492168</v>
      </c>
      <c r="H145" s="380">
        <f t="shared" si="63"/>
        <v>2021.76833870258</v>
      </c>
      <c r="I145" s="399">
        <f t="shared" si="64"/>
        <v>2021.76833870258</v>
      </c>
      <c r="J145" s="54">
        <f t="shared" si="67"/>
        <v>0</v>
      </c>
      <c r="K145" s="54"/>
      <c r="L145" s="129"/>
      <c r="M145" s="54">
        <f t="shared" si="68"/>
        <v>0</v>
      </c>
      <c r="N145" s="129"/>
      <c r="O145" s="54">
        <f t="shared" si="69"/>
        <v>0</v>
      </c>
      <c r="P145" s="54">
        <f t="shared" si="70"/>
        <v>0</v>
      </c>
      <c r="Q145" s="1"/>
    </row>
    <row r="146" spans="2:17" ht="12.5">
      <c r="B146" s="7" t="str">
        <f t="shared" si="38"/>
        <v/>
      </c>
      <c r="C146" s="50">
        <f>IF(D93="","-",+C145+1)</f>
        <v>2053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65"/>
        <v>0</v>
      </c>
      <c r="G146" s="55">
        <f t="shared" si="66"/>
        <v>0</v>
      </c>
      <c r="H146" s="380">
        <f t="shared" si="63"/>
        <v>0</v>
      </c>
      <c r="I146" s="399">
        <f t="shared" si="64"/>
        <v>0</v>
      </c>
      <c r="J146" s="54">
        <f t="shared" si="67"/>
        <v>0</v>
      </c>
      <c r="K146" s="54"/>
      <c r="L146" s="129"/>
      <c r="M146" s="54">
        <f t="shared" si="68"/>
        <v>0</v>
      </c>
      <c r="N146" s="129"/>
      <c r="O146" s="54">
        <f t="shared" si="69"/>
        <v>0</v>
      </c>
      <c r="P146" s="54">
        <f t="shared" si="70"/>
        <v>0</v>
      </c>
      <c r="Q146" s="1"/>
    </row>
    <row r="147" spans="2:17" ht="12.5">
      <c r="B147" s="7" t="str">
        <f t="shared" si="38"/>
        <v/>
      </c>
      <c r="C147" s="50">
        <f>IF(D93="","-",+C146+1)</f>
        <v>2054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65"/>
        <v>0</v>
      </c>
      <c r="G147" s="55">
        <f t="shared" si="66"/>
        <v>0</v>
      </c>
      <c r="H147" s="380">
        <f t="shared" si="63"/>
        <v>0</v>
      </c>
      <c r="I147" s="399">
        <f t="shared" si="64"/>
        <v>0</v>
      </c>
      <c r="J147" s="54">
        <f t="shared" si="67"/>
        <v>0</v>
      </c>
      <c r="K147" s="54"/>
      <c r="L147" s="129"/>
      <c r="M147" s="54">
        <f t="shared" si="68"/>
        <v>0</v>
      </c>
      <c r="N147" s="129"/>
      <c r="O147" s="54">
        <f t="shared" si="69"/>
        <v>0</v>
      </c>
      <c r="P147" s="54">
        <f t="shared" si="70"/>
        <v>0</v>
      </c>
      <c r="Q147" s="1"/>
    </row>
    <row r="148" spans="2:17" ht="12.5">
      <c r="B148" s="7" t="str">
        <f t="shared" si="38"/>
        <v/>
      </c>
      <c r="C148" s="50">
        <f>IF(D93="","-",+C147+1)</f>
        <v>2055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65"/>
        <v>0</v>
      </c>
      <c r="G148" s="55">
        <f t="shared" si="66"/>
        <v>0</v>
      </c>
      <c r="H148" s="380">
        <f t="shared" si="63"/>
        <v>0</v>
      </c>
      <c r="I148" s="399">
        <f t="shared" si="64"/>
        <v>0</v>
      </c>
      <c r="J148" s="54">
        <f t="shared" si="67"/>
        <v>0</v>
      </c>
      <c r="K148" s="54"/>
      <c r="L148" s="129"/>
      <c r="M148" s="54">
        <f t="shared" si="68"/>
        <v>0</v>
      </c>
      <c r="N148" s="129"/>
      <c r="O148" s="54">
        <f t="shared" si="69"/>
        <v>0</v>
      </c>
      <c r="P148" s="54">
        <f t="shared" si="70"/>
        <v>0</v>
      </c>
      <c r="Q148" s="1"/>
    </row>
    <row r="149" spans="2:17" ht="12.5">
      <c r="B149" s="7" t="str">
        <f t="shared" si="38"/>
        <v/>
      </c>
      <c r="C149" s="50">
        <f>IF(D93="","-",+C148+1)</f>
        <v>2056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65"/>
        <v>0</v>
      </c>
      <c r="G149" s="55">
        <f t="shared" si="66"/>
        <v>0</v>
      </c>
      <c r="H149" s="380">
        <f t="shared" si="63"/>
        <v>0</v>
      </c>
      <c r="I149" s="399">
        <f t="shared" si="64"/>
        <v>0</v>
      </c>
      <c r="J149" s="54">
        <f t="shared" si="67"/>
        <v>0</v>
      </c>
      <c r="K149" s="54"/>
      <c r="L149" s="129"/>
      <c r="M149" s="54">
        <f t="shared" si="68"/>
        <v>0</v>
      </c>
      <c r="N149" s="129"/>
      <c r="O149" s="54">
        <f t="shared" si="69"/>
        <v>0</v>
      </c>
      <c r="P149" s="54">
        <f t="shared" si="70"/>
        <v>0</v>
      </c>
      <c r="Q149" s="1"/>
    </row>
    <row r="150" spans="2:17" ht="12.5">
      <c r="B150" s="7" t="str">
        <f t="shared" si="38"/>
        <v/>
      </c>
      <c r="C150" s="50">
        <f>IF(D93="","-",+C149+1)</f>
        <v>2057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65"/>
        <v>0</v>
      </c>
      <c r="G150" s="55">
        <f t="shared" si="66"/>
        <v>0</v>
      </c>
      <c r="H150" s="380">
        <f t="shared" si="63"/>
        <v>0</v>
      </c>
      <c r="I150" s="399">
        <f t="shared" si="64"/>
        <v>0</v>
      </c>
      <c r="J150" s="54">
        <f t="shared" si="67"/>
        <v>0</v>
      </c>
      <c r="K150" s="54"/>
      <c r="L150" s="129"/>
      <c r="M150" s="54">
        <f t="shared" si="68"/>
        <v>0</v>
      </c>
      <c r="N150" s="129"/>
      <c r="O150" s="54">
        <f t="shared" si="69"/>
        <v>0</v>
      </c>
      <c r="P150" s="54">
        <f t="shared" si="70"/>
        <v>0</v>
      </c>
      <c r="Q150" s="1"/>
    </row>
    <row r="151" spans="2:17" ht="12.5">
      <c r="B151" s="7" t="str">
        <f t="shared" si="38"/>
        <v/>
      </c>
      <c r="C151" s="50">
        <f>IF(D93="","-",+C150+1)</f>
        <v>2058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65"/>
        <v>0</v>
      </c>
      <c r="G151" s="55">
        <f t="shared" si="66"/>
        <v>0</v>
      </c>
      <c r="H151" s="380">
        <f t="shared" si="63"/>
        <v>0</v>
      </c>
      <c r="I151" s="399">
        <f t="shared" si="64"/>
        <v>0</v>
      </c>
      <c r="J151" s="54">
        <f t="shared" si="67"/>
        <v>0</v>
      </c>
      <c r="K151" s="54"/>
      <c r="L151" s="129"/>
      <c r="M151" s="54">
        <f t="shared" si="68"/>
        <v>0</v>
      </c>
      <c r="N151" s="129"/>
      <c r="O151" s="54">
        <f t="shared" si="69"/>
        <v>0</v>
      </c>
      <c r="P151" s="54">
        <f t="shared" si="70"/>
        <v>0</v>
      </c>
      <c r="Q151" s="1"/>
    </row>
    <row r="152" spans="2:17" ht="12.5">
      <c r="B152" s="7" t="str">
        <f t="shared" si="38"/>
        <v/>
      </c>
      <c r="C152" s="50">
        <f>IF(D93="","-",+C151+1)</f>
        <v>2059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65"/>
        <v>0</v>
      </c>
      <c r="G152" s="55">
        <f t="shared" si="66"/>
        <v>0</v>
      </c>
      <c r="H152" s="380">
        <f t="shared" si="63"/>
        <v>0</v>
      </c>
      <c r="I152" s="399">
        <f t="shared" si="64"/>
        <v>0</v>
      </c>
      <c r="J152" s="54">
        <f t="shared" si="67"/>
        <v>0</v>
      </c>
      <c r="K152" s="54"/>
      <c r="L152" s="129"/>
      <c r="M152" s="54">
        <f t="shared" si="68"/>
        <v>0</v>
      </c>
      <c r="N152" s="129"/>
      <c r="O152" s="54">
        <f t="shared" si="69"/>
        <v>0</v>
      </c>
      <c r="P152" s="54">
        <f t="shared" si="70"/>
        <v>0</v>
      </c>
      <c r="Q152" s="1"/>
    </row>
    <row r="153" spans="2:17" ht="12.5">
      <c r="B153" s="7" t="str">
        <f t="shared" si="38"/>
        <v/>
      </c>
      <c r="C153" s="50">
        <f>IF(D93="","-",+C152+1)</f>
        <v>2060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65"/>
        <v>0</v>
      </c>
      <c r="G153" s="55">
        <f t="shared" si="66"/>
        <v>0</v>
      </c>
      <c r="H153" s="380">
        <f t="shared" si="63"/>
        <v>0</v>
      </c>
      <c r="I153" s="399">
        <f t="shared" si="64"/>
        <v>0</v>
      </c>
      <c r="J153" s="54">
        <f t="shared" si="67"/>
        <v>0</v>
      </c>
      <c r="K153" s="54"/>
      <c r="L153" s="129"/>
      <c r="M153" s="54">
        <f t="shared" si="68"/>
        <v>0</v>
      </c>
      <c r="N153" s="129"/>
      <c r="O153" s="54">
        <f t="shared" si="69"/>
        <v>0</v>
      </c>
      <c r="P153" s="54">
        <f t="shared" si="70"/>
        <v>0</v>
      </c>
      <c r="Q153" s="1"/>
    </row>
    <row r="154" spans="2:17" ht="13" thickBot="1">
      <c r="B154" s="7" t="str">
        <f t="shared" si="38"/>
        <v/>
      </c>
      <c r="C154" s="59">
        <f>IF(D93="","-",+C153+1)</f>
        <v>2061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65"/>
        <v>0</v>
      </c>
      <c r="G154" s="60">
        <f t="shared" si="66"/>
        <v>0</v>
      </c>
      <c r="H154" s="382">
        <f t="shared" si="63"/>
        <v>0</v>
      </c>
      <c r="I154" s="400">
        <f t="shared" si="64"/>
        <v>0</v>
      </c>
      <c r="J154" s="64">
        <f t="shared" si="67"/>
        <v>0</v>
      </c>
      <c r="K154" s="54"/>
      <c r="L154" s="130"/>
      <c r="M154" s="64">
        <f t="shared" si="68"/>
        <v>0</v>
      </c>
      <c r="N154" s="130"/>
      <c r="O154" s="64">
        <f t="shared" si="69"/>
        <v>0</v>
      </c>
      <c r="P154" s="64">
        <f t="shared" si="70"/>
        <v>0</v>
      </c>
      <c r="Q154" s="1"/>
    </row>
    <row r="155" spans="2:17" ht="12.5">
      <c r="C155" s="12" t="s">
        <v>78</v>
      </c>
      <c r="D155" s="293"/>
      <c r="E155" s="293">
        <f>SUM(E99:E154)</f>
        <v>5731607</v>
      </c>
      <c r="F155" s="293"/>
      <c r="G155" s="293"/>
      <c r="H155" s="293">
        <f>SUM(H99:H154)</f>
        <v>21222559.159021743</v>
      </c>
      <c r="I155" s="293">
        <f>SUM(I99:I154)</f>
        <v>21222559.159021743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 ht="12.5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 ht="12.5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31" priority="1" stopIfTrue="1" operator="equal">
      <formula>$I$10</formula>
    </cfRule>
  </conditionalFormatting>
  <conditionalFormatting sqref="C99:C154">
    <cfRule type="cellIs" dxfId="13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63">
    <tabColor indexed="16"/>
  </sheetPr>
  <dimension ref="A1:W162"/>
  <sheetViews>
    <sheetView topLeftCell="C89" zoomScaleNormal="100" zoomScaleSheetLayoutView="75" workbookViewId="0">
      <selection activeCell="K26" sqref="K26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9.179687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14.26953125" customWidth="1"/>
  </cols>
  <sheetData>
    <row r="1" spans="1:23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14 of 77</v>
      </c>
      <c r="Q1" s="13"/>
      <c r="R1" s="1"/>
      <c r="S1" s="1"/>
      <c r="T1" s="1"/>
      <c r="U1" s="1"/>
      <c r="V1" s="1"/>
      <c r="W1" s="1"/>
    </row>
    <row r="2" spans="1:23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  <c r="R2" s="1"/>
      <c r="S2" s="1"/>
      <c r="T2" s="1"/>
      <c r="U2" s="1"/>
      <c r="V2" s="1"/>
      <c r="W2" s="1"/>
    </row>
    <row r="3" spans="1:23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  <c r="R3" s="1"/>
      <c r="S3" s="1"/>
      <c r="T3" s="1"/>
      <c r="U3" s="1"/>
      <c r="V3" s="1"/>
      <c r="W3" s="1"/>
    </row>
    <row r="4" spans="1:23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  <c r="R4" s="1"/>
      <c r="S4" s="1"/>
      <c r="T4" s="1"/>
      <c r="U4" s="1"/>
      <c r="V4" s="1"/>
      <c r="W4" s="1"/>
    </row>
    <row r="5" spans="1:23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7873.6763229825956</v>
      </c>
      <c r="P5" s="1"/>
      <c r="R5" s="1"/>
      <c r="S5" s="1"/>
      <c r="T5" s="1"/>
      <c r="U5" s="1"/>
      <c r="V5" s="1"/>
      <c r="W5" s="1"/>
    </row>
    <row r="6" spans="1:23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7873.6763229825956</v>
      </c>
      <c r="O6" s="1"/>
      <c r="P6" s="1"/>
      <c r="R6" s="1"/>
      <c r="S6" s="1"/>
      <c r="T6" s="1"/>
      <c r="U6" s="1"/>
      <c r="V6" s="1"/>
      <c r="W6" s="1"/>
    </row>
    <row r="7" spans="1:23" ht="13.5" thickBot="1">
      <c r="C7" s="25" t="s">
        <v>48</v>
      </c>
      <c r="D7" s="127" t="s">
        <v>233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  <c r="R7" s="1"/>
      <c r="S7" s="1"/>
      <c r="T7" s="1"/>
      <c r="U7" s="1"/>
      <c r="V7" s="1"/>
      <c r="W7" s="1"/>
    </row>
    <row r="8" spans="1:23" ht="13.5" thickBot="1">
      <c r="C8" s="29"/>
      <c r="D8" s="85" t="str">
        <f>IF(D10&lt;100000,"DOES NOT MEET SPP $100,000 MINIMUM INVESTMENT FOR REGIONAL BPU SHARING.","")</f>
        <v>DOES NOT MEET SPP $100,000 MINIMUM INVESTMENT FOR REGIONAL BPU SHARING.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  <c r="R8" s="1"/>
      <c r="S8" s="1"/>
      <c r="T8" s="1"/>
      <c r="U8" s="1"/>
      <c r="V8" s="1"/>
      <c r="W8" s="1"/>
    </row>
    <row r="9" spans="1:23" ht="13.5" thickBot="1">
      <c r="C9" s="30" t="s">
        <v>50</v>
      </c>
      <c r="D9" s="92" t="s">
        <v>152</v>
      </c>
      <c r="E9" s="31" t="s">
        <v>494</v>
      </c>
      <c r="F9" s="462">
        <v>48</v>
      </c>
      <c r="G9" s="31"/>
      <c r="H9" s="31"/>
      <c r="I9" s="32"/>
      <c r="J9" s="33"/>
      <c r="P9" s="1"/>
      <c r="R9" s="1"/>
      <c r="S9" s="1"/>
      <c r="T9" s="1"/>
      <c r="U9" s="1"/>
      <c r="V9" s="1"/>
      <c r="W9" s="1"/>
    </row>
    <row r="10" spans="1:23" ht="13">
      <c r="C10" s="34" t="s">
        <v>51</v>
      </c>
      <c r="D10" s="363">
        <v>81701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  <c r="R10" s="1"/>
      <c r="S10" s="1"/>
      <c r="T10" s="1"/>
      <c r="U10" s="1"/>
      <c r="V10" s="1"/>
      <c r="W10" s="1"/>
    </row>
    <row r="11" spans="1:23" ht="12.5">
      <c r="C11" s="34" t="s">
        <v>54</v>
      </c>
      <c r="D11" s="37">
        <v>2007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  <c r="R11" s="1"/>
      <c r="S11" s="1"/>
      <c r="T11" s="1"/>
      <c r="U11" s="1"/>
      <c r="V11" s="1"/>
      <c r="W11" s="1"/>
    </row>
    <row r="12" spans="1:23" ht="12.5">
      <c r="C12" s="34" t="s">
        <v>56</v>
      </c>
      <c r="D12" s="363">
        <v>6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  <c r="R12" s="1"/>
      <c r="S12" s="1"/>
      <c r="T12" s="1"/>
      <c r="U12" s="1"/>
      <c r="V12" s="1"/>
      <c r="W12" s="1"/>
    </row>
    <row r="13" spans="1:23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  <c r="R13" s="1"/>
      <c r="S13" s="1"/>
      <c r="T13" s="1"/>
      <c r="U13" s="1"/>
      <c r="V13" s="1"/>
      <c r="W13" s="1"/>
    </row>
    <row r="14" spans="1:23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1856.840909090909</v>
      </c>
      <c r="J14" s="293"/>
      <c r="K14" s="293"/>
      <c r="L14" s="293"/>
      <c r="M14" s="293"/>
      <c r="N14" s="293"/>
      <c r="O14" s="1"/>
      <c r="P14" s="1"/>
      <c r="R14" s="1"/>
      <c r="S14" s="1"/>
      <c r="T14" s="1"/>
      <c r="U14" s="1"/>
      <c r="V14" s="1"/>
      <c r="W14" s="1"/>
    </row>
    <row r="15" spans="1:23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  <c r="R15" s="1"/>
      <c r="S15" s="1"/>
      <c r="T15" s="1"/>
      <c r="U15" s="1"/>
      <c r="V15" s="1"/>
      <c r="W15" s="1"/>
    </row>
    <row r="16" spans="1:23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  <c r="R16" s="1"/>
      <c r="S16" s="1"/>
      <c r="T16" s="1"/>
      <c r="U16" s="1"/>
      <c r="V16" s="1"/>
      <c r="W16" s="1"/>
    </row>
    <row r="17" spans="2:23" ht="12.5">
      <c r="C17" s="50">
        <f>IF(D11= "","-",D11)</f>
        <v>2007</v>
      </c>
      <c r="D17" s="133">
        <v>54301</v>
      </c>
      <c r="E17" s="374">
        <v>714</v>
      </c>
      <c r="F17" s="133">
        <v>53587</v>
      </c>
      <c r="G17" s="374">
        <v>8418</v>
      </c>
      <c r="H17" s="375">
        <v>8418</v>
      </c>
      <c r="I17" s="153">
        <f t="shared" ref="I17:I48" si="0">H17-G17</f>
        <v>0</v>
      </c>
      <c r="J17" s="52"/>
      <c r="K17" s="112">
        <v>0</v>
      </c>
      <c r="L17" s="53">
        <f t="shared" ref="L17:L48" si="1">IF(K17&lt;&gt;0,+G17-K17,0)</f>
        <v>0</v>
      </c>
      <c r="M17" s="112">
        <v>0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  <c r="R17" s="12"/>
      <c r="S17" s="12"/>
      <c r="T17" s="12"/>
      <c r="U17" s="12"/>
      <c r="V17" s="12"/>
      <c r="W17" s="1"/>
    </row>
    <row r="18" spans="2:23" ht="12.5">
      <c r="B18" s="7" t="str">
        <f>IF(D18=F17,"","IU")</f>
        <v/>
      </c>
      <c r="C18" s="50">
        <f>IF(D11="","-",+C17+1)</f>
        <v>2008</v>
      </c>
      <c r="D18" s="137">
        <v>53587</v>
      </c>
      <c r="E18" s="376">
        <v>1429</v>
      </c>
      <c r="F18" s="137">
        <v>52158</v>
      </c>
      <c r="G18" s="376">
        <v>8927</v>
      </c>
      <c r="H18" s="375">
        <v>8927</v>
      </c>
      <c r="I18" s="153">
        <f t="shared" si="0"/>
        <v>0</v>
      </c>
      <c r="J18" s="52"/>
      <c r="K18" s="113">
        <v>0</v>
      </c>
      <c r="L18" s="54">
        <f t="shared" si="1"/>
        <v>0</v>
      </c>
      <c r="M18" s="113">
        <v>0</v>
      </c>
      <c r="N18" s="54">
        <f t="shared" si="2"/>
        <v>0</v>
      </c>
      <c r="O18" s="54">
        <f t="shared" si="3"/>
        <v>0</v>
      </c>
      <c r="P18" s="1"/>
      <c r="R18" s="12"/>
      <c r="S18" s="12"/>
      <c r="T18" s="12"/>
      <c r="U18" s="12"/>
      <c r="V18" s="12"/>
      <c r="W18" s="1"/>
    </row>
    <row r="19" spans="2:23" ht="12.5">
      <c r="B19" s="7" t="str">
        <f>IF(D19=F18,"","IU")</f>
        <v/>
      </c>
      <c r="C19" s="50">
        <f>IF(D11="","-",+C18+1)</f>
        <v>2009</v>
      </c>
      <c r="D19" s="137">
        <v>52158</v>
      </c>
      <c r="E19" s="376">
        <v>1429</v>
      </c>
      <c r="F19" s="137">
        <v>50729</v>
      </c>
      <c r="G19" s="376">
        <v>8722</v>
      </c>
      <c r="H19" s="375">
        <v>8722</v>
      </c>
      <c r="I19" s="153">
        <f t="shared" si="0"/>
        <v>0</v>
      </c>
      <c r="J19" s="52"/>
      <c r="K19" s="113">
        <f>G19</f>
        <v>8722</v>
      </c>
      <c r="L19" s="54">
        <f>IF(K19&lt;&gt;0,+G19-K19,0)</f>
        <v>0</v>
      </c>
      <c r="M19" s="113">
        <f>H19</f>
        <v>8722</v>
      </c>
      <c r="N19" s="54">
        <f>IF(M19&lt;&gt;0,+H19-M19,0)</f>
        <v>0</v>
      </c>
      <c r="O19" s="54">
        <f>+N19-L19</f>
        <v>0</v>
      </c>
      <c r="P19" s="1"/>
      <c r="R19" s="12"/>
      <c r="S19" s="12"/>
      <c r="T19" s="12"/>
      <c r="U19" s="12"/>
      <c r="V19" s="12"/>
      <c r="W19" s="1"/>
    </row>
    <row r="20" spans="2:23" ht="12.5">
      <c r="B20" s="7" t="str">
        <f t="shared" ref="B20:B72" si="4">IF(D20=F19,"","IU")</f>
        <v/>
      </c>
      <c r="C20" s="50">
        <f>IF(D11="","-",+C19+1)</f>
        <v>2010</v>
      </c>
      <c r="D20" s="137">
        <v>50729</v>
      </c>
      <c r="E20" s="376">
        <v>1428.9736842105262</v>
      </c>
      <c r="F20" s="137">
        <v>49300.026315789473</v>
      </c>
      <c r="G20" s="376">
        <v>8516.5919295125823</v>
      </c>
      <c r="H20" s="375">
        <v>8516.5919295125823</v>
      </c>
      <c r="I20" s="141">
        <v>0</v>
      </c>
      <c r="J20" s="52"/>
      <c r="K20" s="113">
        <f t="shared" ref="K20:K25" si="5">G20</f>
        <v>8516.5919295125823</v>
      </c>
      <c r="L20" s="54">
        <f t="shared" si="1"/>
        <v>0</v>
      </c>
      <c r="M20" s="113">
        <f t="shared" ref="M20:M25" si="6">H20</f>
        <v>8516.5919295125823</v>
      </c>
      <c r="N20" s="54">
        <f t="shared" si="2"/>
        <v>0</v>
      </c>
      <c r="O20" s="54">
        <f t="shared" si="3"/>
        <v>0</v>
      </c>
      <c r="P20" s="1"/>
      <c r="R20" s="1"/>
      <c r="S20" s="1"/>
      <c r="T20" s="1"/>
      <c r="U20" s="1"/>
      <c r="V20" s="1"/>
      <c r="W20" s="1"/>
    </row>
    <row r="21" spans="2:23" ht="12.5">
      <c r="B21" s="7" t="str">
        <f t="shared" si="4"/>
        <v>IU</v>
      </c>
      <c r="C21" s="50">
        <f>IF(D12="","-",+C20+1)</f>
        <v>2011</v>
      </c>
      <c r="D21" s="137">
        <v>76700.026315789466</v>
      </c>
      <c r="E21" s="376">
        <v>1992.7073170731708</v>
      </c>
      <c r="F21" s="137">
        <v>74707.318998716291</v>
      </c>
      <c r="G21" s="376">
        <v>13661.406661613239</v>
      </c>
      <c r="H21" s="375">
        <v>13661.406661613239</v>
      </c>
      <c r="I21" s="141">
        <v>0</v>
      </c>
      <c r="J21" s="52"/>
      <c r="K21" s="113">
        <f t="shared" si="5"/>
        <v>13661.406661613239</v>
      </c>
      <c r="L21" s="54">
        <f t="shared" si="1"/>
        <v>0</v>
      </c>
      <c r="M21" s="113">
        <f t="shared" si="6"/>
        <v>13661.406661613239</v>
      </c>
      <c r="N21" s="54">
        <f t="shared" si="2"/>
        <v>0</v>
      </c>
      <c r="O21" s="54">
        <f t="shared" si="3"/>
        <v>0</v>
      </c>
      <c r="P21" s="1"/>
      <c r="R21" s="1"/>
      <c r="S21" s="1"/>
      <c r="T21" s="1"/>
      <c r="U21" s="1"/>
      <c r="V21" s="1"/>
      <c r="W21" s="1"/>
    </row>
    <row r="22" spans="2:23" ht="12.5">
      <c r="B22" s="7" t="str">
        <f t="shared" si="4"/>
        <v/>
      </c>
      <c r="C22" s="50">
        <f>IF(D11="","-",+C21+1)</f>
        <v>2012</v>
      </c>
      <c r="D22" s="137">
        <v>74707.318998716291</v>
      </c>
      <c r="E22" s="377">
        <v>1945.2619047619048</v>
      </c>
      <c r="F22" s="137">
        <v>72762.057093954383</v>
      </c>
      <c r="G22" s="376">
        <v>12766.445227365637</v>
      </c>
      <c r="H22" s="375">
        <v>12766.445227365637</v>
      </c>
      <c r="I22" s="141">
        <v>0</v>
      </c>
      <c r="J22" s="52"/>
      <c r="K22" s="113">
        <f t="shared" si="5"/>
        <v>12766.445227365637</v>
      </c>
      <c r="L22" s="54">
        <f t="shared" si="1"/>
        <v>0</v>
      </c>
      <c r="M22" s="113">
        <f t="shared" si="6"/>
        <v>12766.445227365637</v>
      </c>
      <c r="N22" s="54">
        <f t="shared" si="2"/>
        <v>0</v>
      </c>
      <c r="O22" s="54">
        <f t="shared" si="3"/>
        <v>0</v>
      </c>
      <c r="P22" s="1"/>
      <c r="R22" s="1"/>
      <c r="S22" s="1"/>
      <c r="T22" s="1"/>
      <c r="U22" s="1"/>
      <c r="V22" s="1"/>
      <c r="W22" s="1"/>
    </row>
    <row r="23" spans="2:23" ht="12.5">
      <c r="B23" s="7" t="str">
        <f t="shared" si="4"/>
        <v/>
      </c>
      <c r="C23" s="50">
        <f>IF(D11="","-",+C22+1)</f>
        <v>2013</v>
      </c>
      <c r="D23" s="151">
        <v>72762.057093954383</v>
      </c>
      <c r="E23" s="420">
        <v>1945.2619047619048</v>
      </c>
      <c r="F23" s="151">
        <v>70816.795189192475</v>
      </c>
      <c r="G23" s="420">
        <v>11858.698425256665</v>
      </c>
      <c r="H23" s="421">
        <v>11858.698425256665</v>
      </c>
      <c r="I23" s="153">
        <v>0</v>
      </c>
      <c r="J23" s="52"/>
      <c r="K23" s="113">
        <f t="shared" si="5"/>
        <v>11858.698425256665</v>
      </c>
      <c r="L23" s="54">
        <f t="shared" ref="L23:L28" si="7">IF(K23&lt;&gt;0,+G23-K23,0)</f>
        <v>0</v>
      </c>
      <c r="M23" s="113">
        <f t="shared" si="6"/>
        <v>11858.698425256665</v>
      </c>
      <c r="N23" s="54">
        <f t="shared" ref="N23:N28" si="8">IF(M23&lt;&gt;0,+H23-M23,0)</f>
        <v>0</v>
      </c>
      <c r="O23" s="54">
        <f t="shared" ref="O23:O28" si="9">+N23-L23</f>
        <v>0</v>
      </c>
      <c r="P23" s="1"/>
      <c r="R23" s="1"/>
      <c r="S23" s="1"/>
      <c r="T23" s="1"/>
      <c r="U23" s="1"/>
      <c r="V23" s="1"/>
      <c r="W23" s="1"/>
    </row>
    <row r="24" spans="2:23" ht="12.5">
      <c r="B24" s="7" t="str">
        <f t="shared" si="4"/>
        <v/>
      </c>
      <c r="C24" s="50">
        <f>IF(D11="","-",+C23+1)</f>
        <v>2014</v>
      </c>
      <c r="D24" s="151">
        <v>70816.795189192475</v>
      </c>
      <c r="E24" s="420">
        <v>1945.2619047619048</v>
      </c>
      <c r="F24" s="151">
        <v>68871.533284430567</v>
      </c>
      <c r="G24" s="420">
        <v>11236.755464120854</v>
      </c>
      <c r="H24" s="421">
        <v>11236.755464120854</v>
      </c>
      <c r="I24" s="153">
        <v>0</v>
      </c>
      <c r="J24" s="52"/>
      <c r="K24" s="113">
        <f t="shared" si="5"/>
        <v>11236.755464120854</v>
      </c>
      <c r="L24" s="54">
        <f t="shared" si="7"/>
        <v>0</v>
      </c>
      <c r="M24" s="113">
        <f t="shared" si="6"/>
        <v>11236.755464120854</v>
      </c>
      <c r="N24" s="54">
        <f t="shared" si="8"/>
        <v>0</v>
      </c>
      <c r="O24" s="54">
        <f t="shared" si="9"/>
        <v>0</v>
      </c>
      <c r="P24" s="1"/>
      <c r="R24" s="1"/>
      <c r="S24" s="1"/>
      <c r="T24" s="1"/>
      <c r="U24" s="1"/>
      <c r="V24" s="1"/>
      <c r="W24" s="1"/>
    </row>
    <row r="25" spans="2:23" ht="12.5">
      <c r="B25" s="7" t="str">
        <f t="shared" si="4"/>
        <v/>
      </c>
      <c r="C25" s="50">
        <f>IF(D11="","-",+C24+1)</f>
        <v>2015</v>
      </c>
      <c r="D25" s="151">
        <v>68871.533284430567</v>
      </c>
      <c r="E25" s="420">
        <v>1945.2619047619048</v>
      </c>
      <c r="F25" s="151">
        <v>66926.271379668658</v>
      </c>
      <c r="G25" s="420">
        <v>10759.773156827454</v>
      </c>
      <c r="H25" s="421">
        <v>10759.773156827454</v>
      </c>
      <c r="I25" s="52">
        <v>0</v>
      </c>
      <c r="J25" s="52"/>
      <c r="K25" s="113">
        <f t="shared" si="5"/>
        <v>10759.773156827454</v>
      </c>
      <c r="L25" s="54">
        <f t="shared" si="7"/>
        <v>0</v>
      </c>
      <c r="M25" s="113">
        <f t="shared" si="6"/>
        <v>10759.773156827454</v>
      </c>
      <c r="N25" s="54">
        <f t="shared" si="8"/>
        <v>0</v>
      </c>
      <c r="O25" s="54">
        <f t="shared" si="9"/>
        <v>0</v>
      </c>
      <c r="P25" s="1"/>
      <c r="R25" s="1"/>
      <c r="S25" s="1"/>
      <c r="T25" s="1"/>
      <c r="U25" s="1"/>
      <c r="V25" s="1"/>
      <c r="W25" s="1"/>
    </row>
    <row r="26" spans="2:23" ht="12.5">
      <c r="B26" s="7" t="str">
        <f t="shared" si="4"/>
        <v/>
      </c>
      <c r="C26" s="50">
        <f>IF(D11="","-",+C25+1)</f>
        <v>2016</v>
      </c>
      <c r="D26" s="151">
        <v>66926.271379668658</v>
      </c>
      <c r="E26" s="420">
        <v>1945.2619047619048</v>
      </c>
      <c r="F26" s="151">
        <v>64981.00947490675</v>
      </c>
      <c r="G26" s="420">
        <v>10397.989993961875</v>
      </c>
      <c r="H26" s="421">
        <v>10397.989993961875</v>
      </c>
      <c r="I26" s="52">
        <f t="shared" si="0"/>
        <v>0</v>
      </c>
      <c r="J26" s="52"/>
      <c r="K26" s="113">
        <f t="shared" ref="K26:K31" si="10">G26</f>
        <v>10397.989993961875</v>
      </c>
      <c r="L26" s="54">
        <f t="shared" si="7"/>
        <v>0</v>
      </c>
      <c r="M26" s="113">
        <f t="shared" ref="M26:M31" si="11">H26</f>
        <v>10397.989993961875</v>
      </c>
      <c r="N26" s="54">
        <f t="shared" si="8"/>
        <v>0</v>
      </c>
      <c r="O26" s="54">
        <f t="shared" si="9"/>
        <v>0</v>
      </c>
      <c r="P26" s="1"/>
      <c r="R26" s="1"/>
      <c r="S26" s="1"/>
      <c r="T26" s="1"/>
      <c r="U26" s="1"/>
      <c r="V26" s="1"/>
      <c r="W26" s="1"/>
    </row>
    <row r="27" spans="2:23" ht="12.5">
      <c r="B27" s="7" t="str">
        <f t="shared" si="4"/>
        <v/>
      </c>
      <c r="C27" s="50">
        <f>IF(D11="","-",+C26+1)</f>
        <v>2017</v>
      </c>
      <c r="D27" s="151">
        <v>64981.00947490675</v>
      </c>
      <c r="E27" s="420">
        <v>1900.0232558139535</v>
      </c>
      <c r="F27" s="151">
        <v>63080.986219092796</v>
      </c>
      <c r="G27" s="420">
        <v>9832.9858090659618</v>
      </c>
      <c r="H27" s="421">
        <v>9832.9858090659618</v>
      </c>
      <c r="I27" s="52">
        <f t="shared" si="0"/>
        <v>0</v>
      </c>
      <c r="J27" s="52"/>
      <c r="K27" s="113">
        <f t="shared" si="10"/>
        <v>9832.9858090659618</v>
      </c>
      <c r="L27" s="54">
        <f t="shared" si="7"/>
        <v>0</v>
      </c>
      <c r="M27" s="113">
        <f t="shared" si="11"/>
        <v>9832.9858090659618</v>
      </c>
      <c r="N27" s="54">
        <f t="shared" si="8"/>
        <v>0</v>
      </c>
      <c r="O27" s="54">
        <f t="shared" si="9"/>
        <v>0</v>
      </c>
      <c r="P27" s="1"/>
      <c r="R27" s="1"/>
      <c r="S27" s="1"/>
      <c r="T27" s="1"/>
      <c r="U27" s="1"/>
      <c r="V27" s="1"/>
      <c r="W27" s="1"/>
    </row>
    <row r="28" spans="2:23" ht="12.5">
      <c r="B28" s="7" t="str">
        <f t="shared" si="4"/>
        <v/>
      </c>
      <c r="C28" s="50">
        <f>IF(D11="","-",+C27+1)</f>
        <v>2018</v>
      </c>
      <c r="D28" s="151">
        <v>63080.986219092796</v>
      </c>
      <c r="E28" s="420">
        <v>1992.7073170731708</v>
      </c>
      <c r="F28" s="151">
        <v>61088.278902019629</v>
      </c>
      <c r="G28" s="420">
        <v>9883.2977496491349</v>
      </c>
      <c r="H28" s="421">
        <v>9883.2977496491349</v>
      </c>
      <c r="I28" s="52">
        <f t="shared" si="0"/>
        <v>0</v>
      </c>
      <c r="J28" s="52"/>
      <c r="K28" s="113">
        <f t="shared" si="10"/>
        <v>9883.2977496491349</v>
      </c>
      <c r="L28" s="54">
        <f t="shared" si="7"/>
        <v>0</v>
      </c>
      <c r="M28" s="113">
        <f t="shared" si="11"/>
        <v>9883.2977496491349</v>
      </c>
      <c r="N28" s="54">
        <f t="shared" si="8"/>
        <v>0</v>
      </c>
      <c r="O28" s="54">
        <f t="shared" si="9"/>
        <v>0</v>
      </c>
      <c r="P28" s="1"/>
      <c r="R28" s="1"/>
      <c r="S28" s="1"/>
      <c r="T28" s="1"/>
      <c r="U28" s="1"/>
      <c r="V28" s="1"/>
      <c r="W28" s="1"/>
    </row>
    <row r="29" spans="2:23" ht="12.5">
      <c r="B29" s="7" t="str">
        <f t="shared" si="4"/>
        <v/>
      </c>
      <c r="C29" s="50">
        <f>IF(D11="","-",+C28+1)</f>
        <v>2019</v>
      </c>
      <c r="D29" s="151">
        <v>61088.278902019629</v>
      </c>
      <c r="E29" s="420">
        <v>1992.7073170731708</v>
      </c>
      <c r="F29" s="151">
        <v>59095.571584946461</v>
      </c>
      <c r="G29" s="420">
        <v>9630.036408757971</v>
      </c>
      <c r="H29" s="421">
        <v>9630.036408757971</v>
      </c>
      <c r="I29" s="52">
        <f t="shared" si="0"/>
        <v>0</v>
      </c>
      <c r="J29" s="52"/>
      <c r="K29" s="113">
        <f t="shared" si="10"/>
        <v>9630.036408757971</v>
      </c>
      <c r="L29" s="54">
        <f t="shared" ref="L29" si="12">IF(K29&lt;&gt;0,+G29-K29,0)</f>
        <v>0</v>
      </c>
      <c r="M29" s="113">
        <f t="shared" si="11"/>
        <v>9630.036408757971</v>
      </c>
      <c r="N29" s="54">
        <f t="shared" ref="N29" si="13">IF(M29&lt;&gt;0,+H29-M29,0)</f>
        <v>0</v>
      </c>
      <c r="O29" s="54">
        <f t="shared" si="3"/>
        <v>0</v>
      </c>
      <c r="P29" s="1"/>
      <c r="R29" s="1"/>
      <c r="S29" s="1"/>
      <c r="T29" s="1"/>
      <c r="U29" s="1"/>
      <c r="V29" s="1"/>
      <c r="W29" s="1"/>
    </row>
    <row r="30" spans="2:23" ht="12.5">
      <c r="B30" s="7" t="str">
        <f t="shared" si="4"/>
        <v/>
      </c>
      <c r="C30" s="50">
        <f>IF(D11="","-",+C29+1)</f>
        <v>2020</v>
      </c>
      <c r="D30" s="151">
        <v>59095.571584946461</v>
      </c>
      <c r="E30" s="420">
        <v>1992.7073170731708</v>
      </c>
      <c r="F30" s="151">
        <v>57102.864267873294</v>
      </c>
      <c r="G30" s="420">
        <v>7938.3172353794334</v>
      </c>
      <c r="H30" s="421">
        <v>7938.3172353794334</v>
      </c>
      <c r="I30" s="52">
        <f t="shared" si="0"/>
        <v>0</v>
      </c>
      <c r="J30" s="52"/>
      <c r="K30" s="113">
        <f t="shared" si="10"/>
        <v>7938.3172353794334</v>
      </c>
      <c r="L30" s="54">
        <f t="shared" ref="L30" si="14">IF(K30&lt;&gt;0,+G30-K30,0)</f>
        <v>0</v>
      </c>
      <c r="M30" s="113">
        <f t="shared" si="11"/>
        <v>7938.3172353794334</v>
      </c>
      <c r="N30" s="54">
        <f t="shared" si="2"/>
        <v>0</v>
      </c>
      <c r="O30" s="54">
        <f t="shared" si="3"/>
        <v>0</v>
      </c>
      <c r="P30" s="1"/>
      <c r="R30" s="1"/>
      <c r="S30" s="1"/>
      <c r="T30" s="1"/>
      <c r="U30" s="1"/>
      <c r="V30" s="1"/>
      <c r="W30" s="1"/>
    </row>
    <row r="31" spans="2:23" ht="12.5">
      <c r="B31" s="7" t="str">
        <f t="shared" si="4"/>
        <v>IU</v>
      </c>
      <c r="C31" s="50">
        <f>IF(D11="","-",+C30+1)</f>
        <v>2021</v>
      </c>
      <c r="D31" s="151">
        <v>57195.548329132529</v>
      </c>
      <c r="E31" s="420">
        <v>1945.2619047619048</v>
      </c>
      <c r="F31" s="151">
        <v>55250.286424370621</v>
      </c>
      <c r="G31" s="420">
        <v>7905.1466822533876</v>
      </c>
      <c r="H31" s="421">
        <v>7905.1466822533876</v>
      </c>
      <c r="I31" s="52">
        <f t="shared" si="0"/>
        <v>0</v>
      </c>
      <c r="J31" s="52"/>
      <c r="K31" s="113">
        <f t="shared" si="10"/>
        <v>7905.1466822533876</v>
      </c>
      <c r="L31" s="54">
        <f t="shared" ref="L31" si="15">IF(K31&lt;&gt;0,+G31-K31,0)</f>
        <v>0</v>
      </c>
      <c r="M31" s="113">
        <f t="shared" si="11"/>
        <v>7905.1466822533876</v>
      </c>
      <c r="N31" s="54">
        <f t="shared" si="2"/>
        <v>0</v>
      </c>
      <c r="O31" s="54">
        <f t="shared" si="3"/>
        <v>0</v>
      </c>
      <c r="P31" s="1"/>
      <c r="R31" s="1"/>
      <c r="S31" s="1"/>
      <c r="T31" s="1"/>
      <c r="U31" s="1"/>
      <c r="V31" s="1"/>
      <c r="W31" s="1"/>
    </row>
    <row r="32" spans="2:23" ht="12.5">
      <c r="B32" s="7" t="str">
        <f t="shared" si="4"/>
        <v>IU</v>
      </c>
      <c r="C32" s="50">
        <f>IF(D11="","-",+C31+1)</f>
        <v>2022</v>
      </c>
      <c r="D32" s="151">
        <v>55157.602363111408</v>
      </c>
      <c r="E32" s="420">
        <v>1945.2619047619048</v>
      </c>
      <c r="F32" s="151">
        <v>53212.340458349499</v>
      </c>
      <c r="G32" s="420">
        <v>8038.0420796764802</v>
      </c>
      <c r="H32" s="421">
        <v>8038.0420796764802</v>
      </c>
      <c r="I32" s="52">
        <f t="shared" si="0"/>
        <v>0</v>
      </c>
      <c r="J32" s="52"/>
      <c r="K32" s="113">
        <f t="shared" ref="K32" si="16">G32</f>
        <v>8038.0420796764802</v>
      </c>
      <c r="L32" s="54">
        <f t="shared" ref="L32" si="17">IF(K32&lt;&gt;0,+G32-K32,0)</f>
        <v>0</v>
      </c>
      <c r="M32" s="113">
        <f t="shared" ref="M32" si="18">H32</f>
        <v>8038.0420796764802</v>
      </c>
      <c r="N32" s="54">
        <f t="shared" si="2"/>
        <v>0</v>
      </c>
      <c r="O32" s="54">
        <f t="shared" si="3"/>
        <v>0</v>
      </c>
      <c r="P32" s="1"/>
      <c r="R32" s="1"/>
      <c r="S32" s="1"/>
      <c r="T32" s="1"/>
      <c r="U32" s="1"/>
      <c r="V32" s="1"/>
      <c r="W32" s="1"/>
    </row>
    <row r="33" spans="2:23" ht="12.5">
      <c r="B33" s="401" t="str">
        <f t="shared" si="4"/>
        <v/>
      </c>
      <c r="C33" s="50">
        <f>IF(D11="","-",+C32+1)</f>
        <v>2023</v>
      </c>
      <c r="D33" s="151">
        <v>53212.340458349499</v>
      </c>
      <c r="E33" s="420">
        <v>1945.2619047619048</v>
      </c>
      <c r="F33" s="151">
        <v>51267.078553587591</v>
      </c>
      <c r="G33" s="420">
        <v>8544.5366116396999</v>
      </c>
      <c r="H33" s="421">
        <v>8544.5366116396999</v>
      </c>
      <c r="I33" s="52">
        <f t="shared" si="0"/>
        <v>0</v>
      </c>
      <c r="J33" s="52"/>
      <c r="K33" s="113">
        <f t="shared" ref="K33" si="19">G33</f>
        <v>8544.5366116396999</v>
      </c>
      <c r="L33" s="54">
        <f t="shared" ref="L33" si="20">IF(K33&lt;&gt;0,+G33-K33,0)</f>
        <v>0</v>
      </c>
      <c r="M33" s="113">
        <f t="shared" ref="M33" si="21">H33</f>
        <v>8544.5366116396999</v>
      </c>
      <c r="N33" s="54">
        <f t="shared" si="2"/>
        <v>0</v>
      </c>
      <c r="O33" s="54">
        <f t="shared" si="3"/>
        <v>0</v>
      </c>
      <c r="P33" s="1"/>
      <c r="R33" s="1"/>
      <c r="S33" s="1"/>
      <c r="T33" s="1"/>
      <c r="U33" s="1"/>
      <c r="V33" s="1"/>
      <c r="W33" s="1"/>
    </row>
    <row r="34" spans="2:23" ht="12.5">
      <c r="B34" s="7" t="str">
        <f t="shared" si="4"/>
        <v/>
      </c>
      <c r="C34" s="50">
        <f>IF(D11="","-",+C33+1)</f>
        <v>2024</v>
      </c>
      <c r="D34" s="151">
        <v>51267.078553587591</v>
      </c>
      <c r="E34" s="420">
        <v>1856.840909090909</v>
      </c>
      <c r="F34" s="151">
        <v>49410.237644496679</v>
      </c>
      <c r="G34" s="420">
        <v>7873.6763229825956</v>
      </c>
      <c r="H34" s="421">
        <v>7873.6763229825956</v>
      </c>
      <c r="I34" s="52">
        <f t="shared" si="0"/>
        <v>0</v>
      </c>
      <c r="J34" s="52"/>
      <c r="K34" s="113">
        <f t="shared" ref="K34" si="22">G34</f>
        <v>7873.6763229825956</v>
      </c>
      <c r="L34" s="54">
        <f t="shared" ref="L34" si="23">IF(K34&lt;&gt;0,+G34-K34,0)</f>
        <v>0</v>
      </c>
      <c r="M34" s="113">
        <f t="shared" ref="M34" si="24">H34</f>
        <v>7873.6763229825956</v>
      </c>
      <c r="N34" s="54">
        <f t="shared" ref="N34" si="25">IF(M34&lt;&gt;0,+H34-M34,0)</f>
        <v>0</v>
      </c>
      <c r="O34" s="54">
        <f t="shared" ref="O34" si="26">+N34-L34</f>
        <v>0</v>
      </c>
      <c r="P34" s="1"/>
      <c r="R34" s="1"/>
      <c r="S34" s="1"/>
      <c r="T34" s="1"/>
      <c r="U34" s="1"/>
      <c r="V34" s="1"/>
      <c r="W34" s="1"/>
    </row>
    <row r="35" spans="2:23" ht="12.5">
      <c r="B35" s="7" t="str">
        <f t="shared" si="4"/>
        <v/>
      </c>
      <c r="C35" s="50">
        <f>IF(D11="","-",+C34+1)</f>
        <v>2025</v>
      </c>
      <c r="D35" s="55">
        <f>IF(F34+SUM(E$17:E34)=D$10,F34,D$10-SUM(E$17:E34))</f>
        <v>49410.237644496679</v>
      </c>
      <c r="E35" s="378">
        <f>IF(+I14&lt;F34,I14,D35)</f>
        <v>1856.840909090909</v>
      </c>
      <c r="F35" s="55">
        <f t="shared" ref="F35:F48" si="27">+D35-E35</f>
        <v>47553.396735405768</v>
      </c>
      <c r="G35" s="379">
        <f t="shared" ref="G35:G72" si="28">+I$12*((D35+F35)/2)+E35</f>
        <v>7651.7334551810873</v>
      </c>
      <c r="H35" s="364">
        <f t="shared" ref="H35:H72" si="29">+I$13*((D35+F35)/2)+E35</f>
        <v>7651.7334551810873</v>
      </c>
      <c r="I35" s="52">
        <f t="shared" si="0"/>
        <v>0</v>
      </c>
      <c r="J35" s="52"/>
      <c r="K35" s="129"/>
      <c r="L35" s="54">
        <f t="shared" si="1"/>
        <v>0</v>
      </c>
      <c r="M35" s="129"/>
      <c r="N35" s="54">
        <f t="shared" si="2"/>
        <v>0</v>
      </c>
      <c r="O35" s="54">
        <f t="shared" si="3"/>
        <v>0</v>
      </c>
      <c r="P35" s="1"/>
      <c r="R35" s="1"/>
      <c r="S35" s="1"/>
      <c r="T35" s="1"/>
      <c r="U35" s="1"/>
      <c r="V35" s="1"/>
      <c r="W35" s="1"/>
    </row>
    <row r="36" spans="2:23" ht="12.5">
      <c r="B36" s="7" t="str">
        <f t="shared" si="4"/>
        <v/>
      </c>
      <c r="C36" s="50">
        <f>IF(D11="","-",+C35+1)</f>
        <v>2026</v>
      </c>
      <c r="D36" s="55">
        <f>IF(F35+SUM(E$17:E35)=D$10,F35,D$10-SUM(E$17:E35))</f>
        <v>47553.396735405768</v>
      </c>
      <c r="E36" s="378">
        <f>IF(+I14&lt;F35,I14,D36)</f>
        <v>1856.840909090909</v>
      </c>
      <c r="F36" s="55">
        <f t="shared" si="27"/>
        <v>45696.555826314856</v>
      </c>
      <c r="G36" s="379">
        <f t="shared" si="28"/>
        <v>7429.7905873795798</v>
      </c>
      <c r="H36" s="364">
        <f t="shared" si="29"/>
        <v>7429.7905873795798</v>
      </c>
      <c r="I36" s="52">
        <f t="shared" si="0"/>
        <v>0</v>
      </c>
      <c r="J36" s="52"/>
      <c r="K36" s="129"/>
      <c r="L36" s="54">
        <f t="shared" si="1"/>
        <v>0</v>
      </c>
      <c r="M36" s="129"/>
      <c r="N36" s="54">
        <f t="shared" si="2"/>
        <v>0</v>
      </c>
      <c r="O36" s="54">
        <f t="shared" si="3"/>
        <v>0</v>
      </c>
      <c r="P36" s="1"/>
      <c r="R36" s="1"/>
      <c r="S36" s="1"/>
      <c r="T36" s="1"/>
      <c r="U36" s="1"/>
      <c r="V36" s="1"/>
      <c r="W36" s="1"/>
    </row>
    <row r="37" spans="2:23" ht="12.5">
      <c r="B37" s="7" t="str">
        <f t="shared" si="4"/>
        <v/>
      </c>
      <c r="C37" s="50">
        <f>IF(D11="","-",+C36+1)</f>
        <v>2027</v>
      </c>
      <c r="D37" s="55">
        <f>IF(F36+SUM(E$17:E36)=D$10,F36,D$10-SUM(E$17:E36))</f>
        <v>45696.555826314856</v>
      </c>
      <c r="E37" s="378">
        <f>IF(+I14&lt;F36,I14,D37)</f>
        <v>1856.840909090909</v>
      </c>
      <c r="F37" s="55">
        <f t="shared" si="27"/>
        <v>43839.714917223944</v>
      </c>
      <c r="G37" s="379">
        <f t="shared" si="28"/>
        <v>7207.8477195780715</v>
      </c>
      <c r="H37" s="364">
        <f t="shared" si="29"/>
        <v>7207.8477195780715</v>
      </c>
      <c r="I37" s="52">
        <f t="shared" si="0"/>
        <v>0</v>
      </c>
      <c r="J37" s="52"/>
      <c r="K37" s="129"/>
      <c r="L37" s="54">
        <f t="shared" si="1"/>
        <v>0</v>
      </c>
      <c r="M37" s="129"/>
      <c r="N37" s="54">
        <f t="shared" si="2"/>
        <v>0</v>
      </c>
      <c r="O37" s="54">
        <f t="shared" si="3"/>
        <v>0</v>
      </c>
      <c r="P37" s="1"/>
      <c r="R37" s="1"/>
      <c r="S37" s="1"/>
      <c r="T37" s="1"/>
      <c r="U37" s="1"/>
      <c r="V37" s="1"/>
      <c r="W37" s="1"/>
    </row>
    <row r="38" spans="2:23" ht="12.5">
      <c r="B38" s="7" t="str">
        <f t="shared" si="4"/>
        <v/>
      </c>
      <c r="C38" s="50">
        <f>IF(D11="","-",+C37+1)</f>
        <v>2028</v>
      </c>
      <c r="D38" s="55">
        <f>IF(F37+SUM(E$17:E37)=D$10,F37,D$10-SUM(E$17:E37))</f>
        <v>43839.714917223944</v>
      </c>
      <c r="E38" s="378">
        <f>IF(+I14&lt;F37,I14,D38)</f>
        <v>1856.840909090909</v>
      </c>
      <c r="F38" s="55">
        <f t="shared" si="27"/>
        <v>41982.874008133032</v>
      </c>
      <c r="G38" s="379">
        <f t="shared" si="28"/>
        <v>6985.9048517765632</v>
      </c>
      <c r="H38" s="364">
        <f t="shared" si="29"/>
        <v>6985.9048517765632</v>
      </c>
      <c r="I38" s="52">
        <f t="shared" si="0"/>
        <v>0</v>
      </c>
      <c r="J38" s="52"/>
      <c r="K38" s="129"/>
      <c r="L38" s="54">
        <f t="shared" si="1"/>
        <v>0</v>
      </c>
      <c r="M38" s="129"/>
      <c r="N38" s="54">
        <f t="shared" si="2"/>
        <v>0</v>
      </c>
      <c r="O38" s="54">
        <f t="shared" si="3"/>
        <v>0</v>
      </c>
      <c r="P38" s="1"/>
      <c r="R38" s="1"/>
      <c r="S38" s="1"/>
      <c r="T38" s="1"/>
      <c r="U38" s="1"/>
      <c r="V38" s="1"/>
      <c r="W38" s="1"/>
    </row>
    <row r="39" spans="2:23" ht="12.5">
      <c r="B39" s="7" t="str">
        <f t="shared" si="4"/>
        <v/>
      </c>
      <c r="C39" s="50">
        <f>IF(D11="","-",+C38+1)</f>
        <v>2029</v>
      </c>
      <c r="D39" s="55">
        <f>IF(F38+SUM(E$17:E38)=D$10,F38,D$10-SUM(E$17:E38))</f>
        <v>41982.874008133032</v>
      </c>
      <c r="E39" s="378">
        <f>IF(+I14&lt;F38,I14,D39)</f>
        <v>1856.840909090909</v>
      </c>
      <c r="F39" s="55">
        <f t="shared" si="27"/>
        <v>40126.033099042121</v>
      </c>
      <c r="G39" s="379">
        <f t="shared" si="28"/>
        <v>6763.9619839750549</v>
      </c>
      <c r="H39" s="364">
        <f t="shared" si="29"/>
        <v>6763.9619839750549</v>
      </c>
      <c r="I39" s="52">
        <f t="shared" si="0"/>
        <v>0</v>
      </c>
      <c r="J39" s="52"/>
      <c r="K39" s="129"/>
      <c r="L39" s="54">
        <f t="shared" si="1"/>
        <v>0</v>
      </c>
      <c r="M39" s="129"/>
      <c r="N39" s="54">
        <f t="shared" si="2"/>
        <v>0</v>
      </c>
      <c r="O39" s="54">
        <f t="shared" si="3"/>
        <v>0</v>
      </c>
      <c r="P39" s="1"/>
      <c r="R39" s="1"/>
      <c r="S39" s="1"/>
      <c r="T39" s="1"/>
      <c r="U39" s="1"/>
      <c r="V39" s="1"/>
      <c r="W39" s="1"/>
    </row>
    <row r="40" spans="2:23" ht="12.5">
      <c r="B40" s="7" t="str">
        <f t="shared" si="4"/>
        <v/>
      </c>
      <c r="C40" s="50">
        <f>IF(D11="","-",+C39+1)</f>
        <v>2030</v>
      </c>
      <c r="D40" s="55">
        <f>IF(F39+SUM(E$17:E39)=D$10,F39,D$10-SUM(E$17:E39))</f>
        <v>40126.033099042121</v>
      </c>
      <c r="E40" s="378">
        <f>IF(+I14&lt;F39,I14,D40)</f>
        <v>1856.840909090909</v>
      </c>
      <c r="F40" s="55">
        <f t="shared" si="27"/>
        <v>38269.192189951209</v>
      </c>
      <c r="G40" s="379">
        <f t="shared" si="28"/>
        <v>6542.0191161735465</v>
      </c>
      <c r="H40" s="364">
        <f t="shared" si="29"/>
        <v>6542.0191161735465</v>
      </c>
      <c r="I40" s="52">
        <f t="shared" si="0"/>
        <v>0</v>
      </c>
      <c r="J40" s="52"/>
      <c r="K40" s="129"/>
      <c r="L40" s="54">
        <f t="shared" si="1"/>
        <v>0</v>
      </c>
      <c r="M40" s="129"/>
      <c r="N40" s="54">
        <f t="shared" si="2"/>
        <v>0</v>
      </c>
      <c r="O40" s="54">
        <f t="shared" si="3"/>
        <v>0</v>
      </c>
      <c r="P40" s="1"/>
      <c r="R40" s="1"/>
      <c r="S40" s="1"/>
      <c r="T40" s="1"/>
      <c r="U40" s="1"/>
      <c r="V40" s="1"/>
      <c r="W40" s="1"/>
    </row>
    <row r="41" spans="2:23" ht="12.5">
      <c r="B41" s="7" t="str">
        <f t="shared" si="4"/>
        <v/>
      </c>
      <c r="C41" s="50">
        <f>IF(D11="","-",+C40+1)</f>
        <v>2031</v>
      </c>
      <c r="D41" s="55">
        <f>IF(F40+SUM(E$17:E40)=D$10,F40,D$10-SUM(E$17:E40))</f>
        <v>38269.192189951209</v>
      </c>
      <c r="E41" s="378">
        <f>IF(+I14&lt;F40,I14,D41)</f>
        <v>1856.840909090909</v>
      </c>
      <c r="F41" s="55">
        <f t="shared" si="27"/>
        <v>36412.351280860297</v>
      </c>
      <c r="G41" s="379">
        <f t="shared" si="28"/>
        <v>6320.0762483720382</v>
      </c>
      <c r="H41" s="364">
        <f t="shared" si="29"/>
        <v>6320.0762483720382</v>
      </c>
      <c r="I41" s="52">
        <f t="shared" si="0"/>
        <v>0</v>
      </c>
      <c r="J41" s="52"/>
      <c r="K41" s="129"/>
      <c r="L41" s="54">
        <f t="shared" si="1"/>
        <v>0</v>
      </c>
      <c r="M41" s="129"/>
      <c r="N41" s="54">
        <f t="shared" si="2"/>
        <v>0</v>
      </c>
      <c r="O41" s="54">
        <f t="shared" si="3"/>
        <v>0</v>
      </c>
      <c r="P41" s="1"/>
      <c r="R41" s="1"/>
      <c r="S41" s="1"/>
      <c r="T41" s="1"/>
      <c r="U41" s="1"/>
      <c r="V41" s="1"/>
      <c r="W41" s="1"/>
    </row>
    <row r="42" spans="2:23" ht="12.5">
      <c r="B42" s="7" t="str">
        <f t="shared" si="4"/>
        <v/>
      </c>
      <c r="C42" s="50">
        <f>IF(D11="","-",+C41+1)</f>
        <v>2032</v>
      </c>
      <c r="D42" s="55">
        <f>IF(F41+SUM(E$17:E41)=D$10,F41,D$10-SUM(E$17:E41))</f>
        <v>36412.351280860297</v>
      </c>
      <c r="E42" s="378">
        <f>IF(+I14&lt;F41,I14,D42)</f>
        <v>1856.840909090909</v>
      </c>
      <c r="F42" s="55">
        <f t="shared" si="27"/>
        <v>34555.510371769386</v>
      </c>
      <c r="G42" s="379">
        <f t="shared" si="28"/>
        <v>6098.1333805705299</v>
      </c>
      <c r="H42" s="364">
        <f t="shared" si="29"/>
        <v>6098.1333805705299</v>
      </c>
      <c r="I42" s="52">
        <f t="shared" si="0"/>
        <v>0</v>
      </c>
      <c r="J42" s="52"/>
      <c r="K42" s="129"/>
      <c r="L42" s="54">
        <f t="shared" si="1"/>
        <v>0</v>
      </c>
      <c r="M42" s="129"/>
      <c r="N42" s="54">
        <f t="shared" si="2"/>
        <v>0</v>
      </c>
      <c r="O42" s="54">
        <f t="shared" si="3"/>
        <v>0</v>
      </c>
      <c r="P42" s="1"/>
      <c r="R42" s="1"/>
      <c r="S42" s="1"/>
      <c r="T42" s="1"/>
      <c r="U42" s="1"/>
      <c r="V42" s="1"/>
      <c r="W42" s="1"/>
    </row>
    <row r="43" spans="2:23" ht="12.5">
      <c r="B43" s="7" t="str">
        <f t="shared" si="4"/>
        <v/>
      </c>
      <c r="C43" s="50">
        <f>IF(D11="","-",+C42+1)</f>
        <v>2033</v>
      </c>
      <c r="D43" s="55">
        <f>IF(F42+SUM(E$17:E42)=D$10,F42,D$10-SUM(E$17:E42))</f>
        <v>34555.510371769386</v>
      </c>
      <c r="E43" s="378">
        <f>IF(+I14&lt;F42,I14,D43)</f>
        <v>1856.840909090909</v>
      </c>
      <c r="F43" s="55">
        <f t="shared" si="27"/>
        <v>32698.669462678477</v>
      </c>
      <c r="G43" s="379">
        <f t="shared" si="28"/>
        <v>5876.1905127690216</v>
      </c>
      <c r="H43" s="364">
        <f t="shared" si="29"/>
        <v>5876.1905127690216</v>
      </c>
      <c r="I43" s="52">
        <f t="shared" si="0"/>
        <v>0</v>
      </c>
      <c r="J43" s="52"/>
      <c r="K43" s="129"/>
      <c r="L43" s="54">
        <f t="shared" si="1"/>
        <v>0</v>
      </c>
      <c r="M43" s="129"/>
      <c r="N43" s="54">
        <f t="shared" si="2"/>
        <v>0</v>
      </c>
      <c r="O43" s="54">
        <f t="shared" si="3"/>
        <v>0</v>
      </c>
      <c r="P43" s="1"/>
      <c r="R43" s="1"/>
      <c r="S43" s="1"/>
      <c r="T43" s="1"/>
      <c r="U43" s="1"/>
      <c r="V43" s="1"/>
      <c r="W43" s="1"/>
    </row>
    <row r="44" spans="2:23" ht="12.5">
      <c r="B44" s="7" t="str">
        <f t="shared" si="4"/>
        <v/>
      </c>
      <c r="C44" s="50">
        <f>IF(D11="","-",+C43+1)</f>
        <v>2034</v>
      </c>
      <c r="D44" s="55">
        <f>IF(F43+SUM(E$17:E43)=D$10,F43,D$10-SUM(E$17:E43))</f>
        <v>32698.669462678477</v>
      </c>
      <c r="E44" s="378">
        <f>IF(+I14&lt;F43,I14,D44)</f>
        <v>1856.840909090909</v>
      </c>
      <c r="F44" s="55">
        <f t="shared" si="27"/>
        <v>30841.828553587569</v>
      </c>
      <c r="G44" s="379">
        <f t="shared" si="28"/>
        <v>5654.2476449675141</v>
      </c>
      <c r="H44" s="364">
        <f t="shared" si="29"/>
        <v>5654.2476449675141</v>
      </c>
      <c r="I44" s="52">
        <f t="shared" si="0"/>
        <v>0</v>
      </c>
      <c r="J44" s="52"/>
      <c r="K44" s="129"/>
      <c r="L44" s="54">
        <f t="shared" si="1"/>
        <v>0</v>
      </c>
      <c r="M44" s="129"/>
      <c r="N44" s="54">
        <f t="shared" si="2"/>
        <v>0</v>
      </c>
      <c r="O44" s="54">
        <f t="shared" si="3"/>
        <v>0</v>
      </c>
      <c r="P44" s="1"/>
      <c r="R44" s="1"/>
      <c r="S44" s="1"/>
      <c r="T44" s="1"/>
      <c r="U44" s="1"/>
      <c r="V44" s="1"/>
      <c r="W44" s="1"/>
    </row>
    <row r="45" spans="2:23" ht="12.5">
      <c r="B45" s="7" t="str">
        <f t="shared" si="4"/>
        <v/>
      </c>
      <c r="C45" s="50">
        <f>IF(D11="","-",+C44+1)</f>
        <v>2035</v>
      </c>
      <c r="D45" s="55">
        <f>IF(F44+SUM(E$17:E44)=D$10,F44,D$10-SUM(E$17:E44))</f>
        <v>30841.828553587569</v>
      </c>
      <c r="E45" s="378">
        <f>IF(+I14&lt;F44,I14,D45)</f>
        <v>1856.840909090909</v>
      </c>
      <c r="F45" s="55">
        <f t="shared" si="27"/>
        <v>28984.987644496661</v>
      </c>
      <c r="G45" s="379">
        <f t="shared" si="28"/>
        <v>5432.3047771660058</v>
      </c>
      <c r="H45" s="364">
        <f t="shared" si="29"/>
        <v>5432.3047771660058</v>
      </c>
      <c r="I45" s="52">
        <f t="shared" si="0"/>
        <v>0</v>
      </c>
      <c r="J45" s="52"/>
      <c r="K45" s="129"/>
      <c r="L45" s="54">
        <f t="shared" si="1"/>
        <v>0</v>
      </c>
      <c r="M45" s="129"/>
      <c r="N45" s="54">
        <f t="shared" si="2"/>
        <v>0</v>
      </c>
      <c r="O45" s="54">
        <f t="shared" si="3"/>
        <v>0</v>
      </c>
      <c r="P45" s="1"/>
      <c r="R45" s="1"/>
      <c r="S45" s="1"/>
      <c r="T45" s="1"/>
      <c r="U45" s="1"/>
      <c r="V45" s="1"/>
      <c r="W45" s="1"/>
    </row>
    <row r="46" spans="2:23" ht="12.5">
      <c r="B46" s="7" t="str">
        <f t="shared" si="4"/>
        <v/>
      </c>
      <c r="C46" s="50">
        <f>IF(D11="","-",+C45+1)</f>
        <v>2036</v>
      </c>
      <c r="D46" s="55">
        <f>IF(F45+SUM(E$17:E45)=D$10,F45,D$10-SUM(E$17:E45))</f>
        <v>28984.987644496661</v>
      </c>
      <c r="E46" s="378">
        <f>IF(+I14&lt;F45,I14,D46)</f>
        <v>1856.840909090909</v>
      </c>
      <c r="F46" s="55">
        <f t="shared" si="27"/>
        <v>27128.146735405753</v>
      </c>
      <c r="G46" s="379">
        <f t="shared" si="28"/>
        <v>5210.3619093644984</v>
      </c>
      <c r="H46" s="364">
        <f t="shared" si="29"/>
        <v>5210.3619093644984</v>
      </c>
      <c r="I46" s="52">
        <f t="shared" si="0"/>
        <v>0</v>
      </c>
      <c r="J46" s="52"/>
      <c r="K46" s="129"/>
      <c r="L46" s="54">
        <f t="shared" si="1"/>
        <v>0</v>
      </c>
      <c r="M46" s="129"/>
      <c r="N46" s="54">
        <f t="shared" si="2"/>
        <v>0</v>
      </c>
      <c r="O46" s="54">
        <f t="shared" si="3"/>
        <v>0</v>
      </c>
      <c r="P46" s="1"/>
      <c r="R46" s="1"/>
      <c r="S46" s="1"/>
      <c r="T46" s="1"/>
      <c r="U46" s="1"/>
      <c r="V46" s="1"/>
      <c r="W46" s="1"/>
    </row>
    <row r="47" spans="2:23" ht="12.5">
      <c r="B47" s="7" t="str">
        <f t="shared" si="4"/>
        <v/>
      </c>
      <c r="C47" s="50">
        <f>IF(D11="","-",+C46+1)</f>
        <v>2037</v>
      </c>
      <c r="D47" s="55">
        <f>IF(F46+SUM(E$17:E46)=D$10,F46,D$10-SUM(E$17:E46))</f>
        <v>27128.146735405753</v>
      </c>
      <c r="E47" s="378">
        <f>IF(+I14&lt;F46,I14,D47)</f>
        <v>1856.840909090909</v>
      </c>
      <c r="F47" s="55">
        <f t="shared" si="27"/>
        <v>25271.305826314845</v>
      </c>
      <c r="G47" s="379">
        <f t="shared" si="28"/>
        <v>4988.4190415629901</v>
      </c>
      <c r="H47" s="364">
        <f t="shared" si="29"/>
        <v>4988.4190415629901</v>
      </c>
      <c r="I47" s="52">
        <f t="shared" si="0"/>
        <v>0</v>
      </c>
      <c r="J47" s="52"/>
      <c r="K47" s="129"/>
      <c r="L47" s="54">
        <f t="shared" si="1"/>
        <v>0</v>
      </c>
      <c r="M47" s="129"/>
      <c r="N47" s="54">
        <f t="shared" si="2"/>
        <v>0</v>
      </c>
      <c r="O47" s="54">
        <f t="shared" si="3"/>
        <v>0</v>
      </c>
      <c r="P47" s="1"/>
      <c r="R47" s="1"/>
      <c r="S47" s="1"/>
      <c r="T47" s="1"/>
      <c r="U47" s="1"/>
      <c r="V47" s="1"/>
      <c r="W47" s="1"/>
    </row>
    <row r="48" spans="2:23" ht="12.5">
      <c r="B48" s="7" t="str">
        <f t="shared" si="4"/>
        <v/>
      </c>
      <c r="C48" s="50">
        <f>IF(D11="","-",+C47+1)</f>
        <v>2038</v>
      </c>
      <c r="D48" s="55">
        <f>IF(F47+SUM(E$17:E47)=D$10,F47,D$10-SUM(E$17:E47))</f>
        <v>25271.305826314845</v>
      </c>
      <c r="E48" s="378">
        <f>IF(+I14&lt;F47,I14,D48)</f>
        <v>1856.840909090909</v>
      </c>
      <c r="F48" s="55">
        <f t="shared" si="27"/>
        <v>23414.464917223937</v>
      </c>
      <c r="G48" s="379">
        <f t="shared" si="28"/>
        <v>4766.4761737614826</v>
      </c>
      <c r="H48" s="364">
        <f t="shared" si="29"/>
        <v>4766.4761737614826</v>
      </c>
      <c r="I48" s="52">
        <f t="shared" si="0"/>
        <v>0</v>
      </c>
      <c r="J48" s="52"/>
      <c r="K48" s="129"/>
      <c r="L48" s="54">
        <f t="shared" si="1"/>
        <v>0</v>
      </c>
      <c r="M48" s="129"/>
      <c r="N48" s="54">
        <f t="shared" si="2"/>
        <v>0</v>
      </c>
      <c r="O48" s="54">
        <f t="shared" si="3"/>
        <v>0</v>
      </c>
      <c r="P48" s="1"/>
      <c r="R48" s="1"/>
      <c r="S48" s="1"/>
      <c r="T48" s="1"/>
      <c r="U48" s="1"/>
      <c r="V48" s="1"/>
      <c r="W48" s="1"/>
    </row>
    <row r="49" spans="2:23" ht="12.5">
      <c r="B49" s="7" t="str">
        <f t="shared" si="4"/>
        <v/>
      </c>
      <c r="C49" s="50">
        <f>IF(D11="","-",+C48+1)</f>
        <v>2039</v>
      </c>
      <c r="D49" s="55">
        <f>IF(F48+SUM(E$17:E48)=D$10,F48,D$10-SUM(E$17:E48))</f>
        <v>23414.464917223937</v>
      </c>
      <c r="E49" s="378">
        <f>IF(+I14&lt;F48,I14,D49)</f>
        <v>1856.840909090909</v>
      </c>
      <c r="F49" s="55">
        <f t="shared" ref="F49:F72" si="30">+D49-E49</f>
        <v>21557.624008133029</v>
      </c>
      <c r="G49" s="379">
        <f t="shared" si="28"/>
        <v>4544.5333059599743</v>
      </c>
      <c r="H49" s="364">
        <f t="shared" si="29"/>
        <v>4544.5333059599743</v>
      </c>
      <c r="I49" s="52">
        <f t="shared" ref="I49:I72" si="31">H49-G49</f>
        <v>0</v>
      </c>
      <c r="J49" s="52"/>
      <c r="K49" s="129"/>
      <c r="L49" s="54">
        <f t="shared" ref="L49:L72" si="32">IF(K49&lt;&gt;0,+G49-K49,0)</f>
        <v>0</v>
      </c>
      <c r="M49" s="129"/>
      <c r="N49" s="54">
        <f t="shared" ref="N49:N72" si="33">IF(M49&lt;&gt;0,+H49-M49,0)</f>
        <v>0</v>
      </c>
      <c r="O49" s="54">
        <f t="shared" ref="O49:O72" si="34">+N49-L49</f>
        <v>0</v>
      </c>
      <c r="P49" s="1"/>
      <c r="R49" s="1"/>
      <c r="S49" s="1"/>
      <c r="T49" s="1"/>
      <c r="U49" s="1"/>
      <c r="V49" s="1"/>
      <c r="W49" s="1"/>
    </row>
    <row r="50" spans="2:23" ht="12.5">
      <c r="B50" s="7" t="str">
        <f t="shared" si="4"/>
        <v/>
      </c>
      <c r="C50" s="50">
        <f>IF(D11="","-",+C49+1)</f>
        <v>2040</v>
      </c>
      <c r="D50" s="55">
        <f>IF(F49+SUM(E$17:E49)=D$10,F49,D$10-SUM(E$17:E49))</f>
        <v>21557.624008133029</v>
      </c>
      <c r="E50" s="378">
        <f>IF(+I14&lt;F49,I14,D50)</f>
        <v>1856.840909090909</v>
      </c>
      <c r="F50" s="55">
        <f t="shared" si="30"/>
        <v>19700.783099042121</v>
      </c>
      <c r="G50" s="379">
        <f t="shared" si="28"/>
        <v>4322.5904381584678</v>
      </c>
      <c r="H50" s="364">
        <f t="shared" si="29"/>
        <v>4322.5904381584678</v>
      </c>
      <c r="I50" s="52">
        <f t="shared" si="31"/>
        <v>0</v>
      </c>
      <c r="J50" s="52"/>
      <c r="K50" s="129"/>
      <c r="L50" s="54">
        <f t="shared" si="32"/>
        <v>0</v>
      </c>
      <c r="M50" s="129"/>
      <c r="N50" s="54">
        <f t="shared" si="33"/>
        <v>0</v>
      </c>
      <c r="O50" s="54">
        <f t="shared" si="34"/>
        <v>0</v>
      </c>
      <c r="P50" s="1"/>
      <c r="R50" s="1"/>
      <c r="S50" s="1"/>
      <c r="T50" s="1"/>
      <c r="U50" s="1"/>
      <c r="V50" s="1"/>
      <c r="W50" s="1"/>
    </row>
    <row r="51" spans="2:23" ht="12.5">
      <c r="B51" s="7" t="str">
        <f t="shared" si="4"/>
        <v/>
      </c>
      <c r="C51" s="50">
        <f>IF(D11="","-",+C50+1)</f>
        <v>2041</v>
      </c>
      <c r="D51" s="55">
        <f>IF(F50+SUM(E$17:E50)=D$10,F50,D$10-SUM(E$17:E50))</f>
        <v>19700.783099042121</v>
      </c>
      <c r="E51" s="378">
        <f>IF(+I14&lt;F50,I14,D51)</f>
        <v>1856.840909090909</v>
      </c>
      <c r="F51" s="55">
        <f t="shared" si="30"/>
        <v>17843.942189951213</v>
      </c>
      <c r="G51" s="379">
        <f t="shared" si="28"/>
        <v>4100.6475703569595</v>
      </c>
      <c r="H51" s="364">
        <f t="shared" si="29"/>
        <v>4100.6475703569595</v>
      </c>
      <c r="I51" s="52">
        <f t="shared" si="31"/>
        <v>0</v>
      </c>
      <c r="J51" s="52"/>
      <c r="K51" s="129"/>
      <c r="L51" s="54">
        <f t="shared" si="32"/>
        <v>0</v>
      </c>
      <c r="M51" s="129"/>
      <c r="N51" s="54">
        <f t="shared" si="33"/>
        <v>0</v>
      </c>
      <c r="O51" s="54">
        <f t="shared" si="34"/>
        <v>0</v>
      </c>
      <c r="P51" s="1"/>
      <c r="R51" s="1"/>
      <c r="S51" s="1"/>
      <c r="T51" s="1"/>
      <c r="U51" s="1"/>
      <c r="V51" s="1"/>
      <c r="W51" s="1"/>
    </row>
    <row r="52" spans="2:23" ht="12.5">
      <c r="B52" s="7" t="str">
        <f t="shared" si="4"/>
        <v/>
      </c>
      <c r="C52" s="50">
        <f>IF(D11="","-",+C51+1)</f>
        <v>2042</v>
      </c>
      <c r="D52" s="55">
        <f>IF(F51+SUM(E$17:E51)=D$10,F51,D$10-SUM(E$17:E51))</f>
        <v>17843.942189951213</v>
      </c>
      <c r="E52" s="378">
        <f>IF(+I14&lt;F51,I14,D52)</f>
        <v>1856.840909090909</v>
      </c>
      <c r="F52" s="55">
        <f t="shared" si="30"/>
        <v>15987.101280860305</v>
      </c>
      <c r="G52" s="379">
        <f t="shared" si="28"/>
        <v>3878.7047025554511</v>
      </c>
      <c r="H52" s="364">
        <f t="shared" si="29"/>
        <v>3878.7047025554511</v>
      </c>
      <c r="I52" s="52">
        <f t="shared" si="31"/>
        <v>0</v>
      </c>
      <c r="J52" s="52"/>
      <c r="K52" s="129"/>
      <c r="L52" s="54">
        <f t="shared" si="32"/>
        <v>0</v>
      </c>
      <c r="M52" s="129"/>
      <c r="N52" s="54">
        <f t="shared" si="33"/>
        <v>0</v>
      </c>
      <c r="O52" s="54">
        <f t="shared" si="34"/>
        <v>0</v>
      </c>
      <c r="P52" s="1"/>
      <c r="R52" s="1"/>
      <c r="S52" s="1"/>
      <c r="T52" s="1"/>
      <c r="U52" s="1"/>
      <c r="V52" s="1"/>
      <c r="W52" s="1"/>
    </row>
    <row r="53" spans="2:23" ht="12.5">
      <c r="B53" s="7" t="str">
        <f t="shared" si="4"/>
        <v/>
      </c>
      <c r="C53" s="50">
        <f>IF(D11="","-",+C52+1)</f>
        <v>2043</v>
      </c>
      <c r="D53" s="55">
        <f>IF(F52+SUM(E$17:E52)=D$10,F52,D$10-SUM(E$17:E52))</f>
        <v>15987.101280860305</v>
      </c>
      <c r="E53" s="378">
        <f>IF(+I14&lt;F52,I14,D53)</f>
        <v>1856.840909090909</v>
      </c>
      <c r="F53" s="55">
        <f t="shared" si="30"/>
        <v>14130.260371769396</v>
      </c>
      <c r="G53" s="379">
        <f t="shared" si="28"/>
        <v>3656.7618347539437</v>
      </c>
      <c r="H53" s="364">
        <f t="shared" si="29"/>
        <v>3656.7618347539437</v>
      </c>
      <c r="I53" s="52">
        <f t="shared" si="31"/>
        <v>0</v>
      </c>
      <c r="J53" s="52"/>
      <c r="K53" s="129"/>
      <c r="L53" s="54">
        <f t="shared" si="32"/>
        <v>0</v>
      </c>
      <c r="M53" s="129"/>
      <c r="N53" s="54">
        <f t="shared" si="33"/>
        <v>0</v>
      </c>
      <c r="O53" s="54">
        <f t="shared" si="34"/>
        <v>0</v>
      </c>
      <c r="P53" s="1"/>
      <c r="R53" s="1"/>
      <c r="S53" s="1"/>
      <c r="T53" s="1"/>
      <c r="U53" s="1"/>
      <c r="V53" s="1"/>
      <c r="W53" s="1"/>
    </row>
    <row r="54" spans="2:23" ht="12.5">
      <c r="B54" s="7" t="str">
        <f t="shared" si="4"/>
        <v/>
      </c>
      <c r="C54" s="50">
        <f>IF(D11="","-",+C53+1)</f>
        <v>2044</v>
      </c>
      <c r="D54" s="55">
        <f>IF(F53+SUM(E$17:E53)=D$10,F53,D$10-SUM(E$17:E53))</f>
        <v>14130.260371769396</v>
      </c>
      <c r="E54" s="378">
        <f>IF(+I14&lt;F53,I14,D54)</f>
        <v>1856.840909090909</v>
      </c>
      <c r="F54" s="55">
        <f t="shared" si="30"/>
        <v>12273.419462678488</v>
      </c>
      <c r="G54" s="379">
        <f t="shared" si="28"/>
        <v>3434.8189669524354</v>
      </c>
      <c r="H54" s="364">
        <f t="shared" si="29"/>
        <v>3434.8189669524354</v>
      </c>
      <c r="I54" s="52">
        <f t="shared" si="31"/>
        <v>0</v>
      </c>
      <c r="J54" s="52"/>
      <c r="K54" s="129"/>
      <c r="L54" s="54">
        <f t="shared" si="32"/>
        <v>0</v>
      </c>
      <c r="M54" s="129"/>
      <c r="N54" s="54">
        <f t="shared" si="33"/>
        <v>0</v>
      </c>
      <c r="O54" s="54">
        <f t="shared" si="34"/>
        <v>0</v>
      </c>
      <c r="P54" s="1"/>
      <c r="R54" s="1"/>
      <c r="S54" s="1"/>
      <c r="T54" s="1"/>
      <c r="U54" s="1"/>
      <c r="V54" s="1"/>
      <c r="W54" s="1"/>
    </row>
    <row r="55" spans="2:23" ht="12.5">
      <c r="B55" s="7" t="str">
        <f t="shared" si="4"/>
        <v/>
      </c>
      <c r="C55" s="50">
        <f>IF(D11="","-",+C54+1)</f>
        <v>2045</v>
      </c>
      <c r="D55" s="55">
        <f>IF(F54+SUM(E$17:E54)=D$10,F54,D$10-SUM(E$17:E54))</f>
        <v>12273.419462678488</v>
      </c>
      <c r="E55" s="378">
        <f>IF(+I14&lt;F54,I14,D55)</f>
        <v>1856.840909090909</v>
      </c>
      <c r="F55" s="55">
        <f t="shared" si="30"/>
        <v>10416.57855358758</v>
      </c>
      <c r="G55" s="379">
        <f t="shared" si="28"/>
        <v>3212.876099150928</v>
      </c>
      <c r="H55" s="364">
        <f t="shared" si="29"/>
        <v>3212.876099150928</v>
      </c>
      <c r="I55" s="52">
        <f t="shared" si="31"/>
        <v>0</v>
      </c>
      <c r="J55" s="52"/>
      <c r="K55" s="129"/>
      <c r="L55" s="54">
        <f t="shared" si="32"/>
        <v>0</v>
      </c>
      <c r="M55" s="129"/>
      <c r="N55" s="54">
        <f t="shared" si="33"/>
        <v>0</v>
      </c>
      <c r="O55" s="54">
        <f t="shared" si="34"/>
        <v>0</v>
      </c>
      <c r="P55" s="1"/>
      <c r="R55" s="1"/>
      <c r="S55" s="1"/>
      <c r="T55" s="1"/>
      <c r="U55" s="1"/>
      <c r="V55" s="1"/>
      <c r="W55" s="1"/>
    </row>
    <row r="56" spans="2:23" ht="12.5">
      <c r="B56" s="7" t="str">
        <f t="shared" si="4"/>
        <v/>
      </c>
      <c r="C56" s="50">
        <f>IF(D11="","-",+C55+1)</f>
        <v>2046</v>
      </c>
      <c r="D56" s="55">
        <f>IF(F55+SUM(E$17:E55)=D$10,F55,D$10-SUM(E$17:E55))</f>
        <v>10416.57855358758</v>
      </c>
      <c r="E56" s="378">
        <f>IF(+I14&lt;F55,I14,D56)</f>
        <v>1856.840909090909</v>
      </c>
      <c r="F56" s="55">
        <f t="shared" si="30"/>
        <v>8559.7376444966721</v>
      </c>
      <c r="G56" s="379">
        <f t="shared" si="28"/>
        <v>2990.9332313494197</v>
      </c>
      <c r="H56" s="364">
        <f t="shared" si="29"/>
        <v>2990.9332313494197</v>
      </c>
      <c r="I56" s="52">
        <f t="shared" si="31"/>
        <v>0</v>
      </c>
      <c r="J56" s="52"/>
      <c r="K56" s="129"/>
      <c r="L56" s="54">
        <f t="shared" si="32"/>
        <v>0</v>
      </c>
      <c r="M56" s="129"/>
      <c r="N56" s="54">
        <f t="shared" si="33"/>
        <v>0</v>
      </c>
      <c r="O56" s="54">
        <f t="shared" si="34"/>
        <v>0</v>
      </c>
      <c r="P56" s="1"/>
      <c r="R56" s="1"/>
      <c r="S56" s="1"/>
      <c r="T56" s="1"/>
      <c r="U56" s="1"/>
      <c r="V56" s="1"/>
      <c r="W56" s="1"/>
    </row>
    <row r="57" spans="2:23" ht="12.5">
      <c r="B57" s="7" t="str">
        <f t="shared" si="4"/>
        <v/>
      </c>
      <c r="C57" s="50">
        <f>IF(D11="","-",+C56+1)</f>
        <v>2047</v>
      </c>
      <c r="D57" s="55">
        <f>IF(F56+SUM(E$17:E56)=D$10,F56,D$10-SUM(E$17:E56))</f>
        <v>8559.7376444966721</v>
      </c>
      <c r="E57" s="378">
        <f>IF(+I14&lt;F56,I14,D57)</f>
        <v>1856.840909090909</v>
      </c>
      <c r="F57" s="55">
        <f t="shared" si="30"/>
        <v>6702.8967354057631</v>
      </c>
      <c r="G57" s="379">
        <f t="shared" si="28"/>
        <v>2768.9903635479122</v>
      </c>
      <c r="H57" s="364">
        <f t="shared" si="29"/>
        <v>2768.9903635479122</v>
      </c>
      <c r="I57" s="52">
        <f t="shared" si="31"/>
        <v>0</v>
      </c>
      <c r="J57" s="52"/>
      <c r="K57" s="129"/>
      <c r="L57" s="54">
        <f t="shared" si="32"/>
        <v>0</v>
      </c>
      <c r="M57" s="129"/>
      <c r="N57" s="54">
        <f t="shared" si="33"/>
        <v>0</v>
      </c>
      <c r="O57" s="54">
        <f t="shared" si="34"/>
        <v>0</v>
      </c>
      <c r="P57" s="1"/>
      <c r="R57" s="1"/>
      <c r="S57" s="1"/>
      <c r="T57" s="1"/>
      <c r="U57" s="1"/>
      <c r="V57" s="1"/>
      <c r="W57" s="1"/>
    </row>
    <row r="58" spans="2:23" ht="12.5">
      <c r="B58" s="7" t="str">
        <f t="shared" si="4"/>
        <v/>
      </c>
      <c r="C58" s="50">
        <f>IF(D11="","-",+C57+1)</f>
        <v>2048</v>
      </c>
      <c r="D58" s="55">
        <f>IF(F57+SUM(E$17:E57)=D$10,F57,D$10-SUM(E$17:E57))</f>
        <v>6702.8967354057631</v>
      </c>
      <c r="E58" s="378">
        <f>IF(+I14&lt;F57,I14,D58)</f>
        <v>1856.840909090909</v>
      </c>
      <c r="F58" s="55">
        <f t="shared" si="30"/>
        <v>4846.0558263148541</v>
      </c>
      <c r="G58" s="379">
        <f t="shared" si="28"/>
        <v>2547.0474957464039</v>
      </c>
      <c r="H58" s="364">
        <f t="shared" si="29"/>
        <v>2547.0474957464039</v>
      </c>
      <c r="I58" s="52">
        <f t="shared" si="31"/>
        <v>0</v>
      </c>
      <c r="J58" s="52"/>
      <c r="K58" s="129"/>
      <c r="L58" s="54">
        <f t="shared" si="32"/>
        <v>0</v>
      </c>
      <c r="M58" s="129"/>
      <c r="N58" s="54">
        <f t="shared" si="33"/>
        <v>0</v>
      </c>
      <c r="O58" s="54">
        <f t="shared" si="34"/>
        <v>0</v>
      </c>
      <c r="P58" s="1"/>
      <c r="Q58" t="str">
        <f>IF(ROUND(Q57,0)=ROUND(SUM(Q18:Q56),0),"","Error -- check allocations above).")</f>
        <v/>
      </c>
      <c r="R58" s="1"/>
      <c r="S58" s="1"/>
      <c r="T58" s="1"/>
      <c r="U58" s="1"/>
      <c r="V58" s="1"/>
      <c r="W58" s="1"/>
    </row>
    <row r="59" spans="2:23" ht="12.5">
      <c r="B59" s="401" t="str">
        <f t="shared" si="4"/>
        <v/>
      </c>
      <c r="C59" s="50">
        <f>IF(D11="","-",+C58+1)</f>
        <v>2049</v>
      </c>
      <c r="D59" s="55">
        <f>IF(F58+SUM(E$17:E58)=D$10,F58,D$10-SUM(E$17:E58))</f>
        <v>4846.0558263148541</v>
      </c>
      <c r="E59" s="378">
        <f>IF(+I14&lt;F58,I14,D59)</f>
        <v>1856.840909090909</v>
      </c>
      <c r="F59" s="55">
        <f t="shared" si="30"/>
        <v>2989.2149172239451</v>
      </c>
      <c r="G59" s="379">
        <f t="shared" si="28"/>
        <v>2325.104627944896</v>
      </c>
      <c r="H59" s="364">
        <f t="shared" si="29"/>
        <v>2325.104627944896</v>
      </c>
      <c r="I59" s="52">
        <f t="shared" si="31"/>
        <v>0</v>
      </c>
      <c r="J59" s="52"/>
      <c r="K59" s="129"/>
      <c r="L59" s="54">
        <f t="shared" si="32"/>
        <v>0</v>
      </c>
      <c r="M59" s="129"/>
      <c r="N59" s="54">
        <f t="shared" si="33"/>
        <v>0</v>
      </c>
      <c r="O59" s="54">
        <f t="shared" si="34"/>
        <v>0</v>
      </c>
      <c r="P59" s="1"/>
      <c r="R59" s="1"/>
      <c r="S59" s="1"/>
      <c r="T59" s="1"/>
      <c r="U59" s="1"/>
      <c r="V59" s="1"/>
      <c r="W59" s="1"/>
    </row>
    <row r="60" spans="2:23" ht="12.5">
      <c r="B60" s="7" t="str">
        <f t="shared" si="4"/>
        <v/>
      </c>
      <c r="C60" s="50">
        <f>IF(D11="","-",+C59+1)</f>
        <v>2050</v>
      </c>
      <c r="D60" s="55">
        <f>IF(F59+SUM(E$17:E59)=D$10,F59,D$10-SUM(E$17:E59))</f>
        <v>2989.2149172239451</v>
      </c>
      <c r="E60" s="378">
        <f>IF(+I14&lt;F59,I14,D60)</f>
        <v>1856.840909090909</v>
      </c>
      <c r="F60" s="55">
        <f t="shared" si="30"/>
        <v>1132.3740081330361</v>
      </c>
      <c r="G60" s="379">
        <f t="shared" si="28"/>
        <v>2103.1617601433882</v>
      </c>
      <c r="H60" s="364">
        <f t="shared" si="29"/>
        <v>2103.1617601433882</v>
      </c>
      <c r="I60" s="52">
        <f t="shared" si="31"/>
        <v>0</v>
      </c>
      <c r="J60" s="52"/>
      <c r="K60" s="129"/>
      <c r="L60" s="54">
        <f t="shared" si="32"/>
        <v>0</v>
      </c>
      <c r="M60" s="129"/>
      <c r="N60" s="54">
        <f t="shared" si="33"/>
        <v>0</v>
      </c>
      <c r="O60" s="54">
        <f t="shared" si="34"/>
        <v>0</v>
      </c>
      <c r="P60" s="1"/>
      <c r="R60" s="1"/>
      <c r="S60" s="1"/>
      <c r="T60" s="1"/>
      <c r="U60" s="1"/>
      <c r="V60" s="1"/>
      <c r="W60" s="1"/>
    </row>
    <row r="61" spans="2:23" ht="12.5">
      <c r="B61" s="7" t="str">
        <f t="shared" si="4"/>
        <v/>
      </c>
      <c r="C61" s="50">
        <f>IF(D11="","-",+C60+1)</f>
        <v>2051</v>
      </c>
      <c r="D61" s="55">
        <f>IF(F60+SUM(E$17:E60)=D$10,F60,D$10-SUM(E$17:E60))</f>
        <v>1132.3740081330361</v>
      </c>
      <c r="E61" s="378">
        <f>IF(+I14&lt;F60,I14,D61)</f>
        <v>1132.3740081330361</v>
      </c>
      <c r="F61" s="55">
        <f t="shared" si="30"/>
        <v>0</v>
      </c>
      <c r="G61" s="379">
        <f t="shared" si="28"/>
        <v>1200.0487167088986</v>
      </c>
      <c r="H61" s="364">
        <f t="shared" si="29"/>
        <v>1200.0487167088986</v>
      </c>
      <c r="I61" s="52">
        <f t="shared" si="31"/>
        <v>0</v>
      </c>
      <c r="J61" s="52"/>
      <c r="K61" s="129"/>
      <c r="L61" s="54">
        <f t="shared" si="32"/>
        <v>0</v>
      </c>
      <c r="M61" s="129"/>
      <c r="N61" s="54">
        <f t="shared" si="33"/>
        <v>0</v>
      </c>
      <c r="O61" s="54">
        <f t="shared" si="34"/>
        <v>0</v>
      </c>
      <c r="P61" s="1"/>
      <c r="R61" s="1"/>
      <c r="S61" s="1"/>
      <c r="T61" s="1"/>
      <c r="U61" s="1"/>
      <c r="V61" s="1"/>
      <c r="W61" s="1"/>
    </row>
    <row r="62" spans="2:23" ht="12.5">
      <c r="B62" s="7" t="str">
        <f t="shared" si="4"/>
        <v/>
      </c>
      <c r="C62" s="50">
        <f>IF(D11="","-",+C61+1)</f>
        <v>2052</v>
      </c>
      <c r="D62" s="55">
        <f>IF(F61+SUM(E$17:E61)=D$10,F61,D$10-SUM(E$17:E61))</f>
        <v>0</v>
      </c>
      <c r="E62" s="378">
        <f>IF(+I14&lt;F61,I14,D62)</f>
        <v>0</v>
      </c>
      <c r="F62" s="55">
        <f t="shared" si="30"/>
        <v>0</v>
      </c>
      <c r="G62" s="379">
        <f t="shared" si="28"/>
        <v>0</v>
      </c>
      <c r="H62" s="364">
        <f t="shared" si="29"/>
        <v>0</v>
      </c>
      <c r="I62" s="52">
        <f t="shared" si="31"/>
        <v>0</v>
      </c>
      <c r="J62" s="52"/>
      <c r="K62" s="129"/>
      <c r="L62" s="54">
        <f t="shared" si="32"/>
        <v>0</v>
      </c>
      <c r="M62" s="129"/>
      <c r="N62" s="54">
        <f t="shared" si="33"/>
        <v>0</v>
      </c>
      <c r="O62" s="54">
        <f t="shared" si="34"/>
        <v>0</v>
      </c>
      <c r="P62" s="1"/>
      <c r="R62" s="1"/>
      <c r="S62" s="1"/>
      <c r="T62" s="1"/>
      <c r="U62" s="1"/>
      <c r="V62" s="1"/>
      <c r="W62" s="1"/>
    </row>
    <row r="63" spans="2:23" ht="12.5">
      <c r="B63" s="7" t="str">
        <f t="shared" si="4"/>
        <v/>
      </c>
      <c r="C63" s="50">
        <f>IF(D11="","-",+C62+1)</f>
        <v>2053</v>
      </c>
      <c r="D63" s="55">
        <f>IF(F62+SUM(E$17:E62)=D$10,F62,D$10-SUM(E$17:E62))</f>
        <v>0</v>
      </c>
      <c r="E63" s="378">
        <f>IF(+I14&lt;F62,I14,D63)</f>
        <v>0</v>
      </c>
      <c r="F63" s="55">
        <f t="shared" si="30"/>
        <v>0</v>
      </c>
      <c r="G63" s="379">
        <f t="shared" si="28"/>
        <v>0</v>
      </c>
      <c r="H63" s="364">
        <f t="shared" si="29"/>
        <v>0</v>
      </c>
      <c r="I63" s="52">
        <f t="shared" si="31"/>
        <v>0</v>
      </c>
      <c r="J63" s="52"/>
      <c r="K63" s="129"/>
      <c r="L63" s="54">
        <f t="shared" si="32"/>
        <v>0</v>
      </c>
      <c r="M63" s="129"/>
      <c r="N63" s="54">
        <f t="shared" si="33"/>
        <v>0</v>
      </c>
      <c r="O63" s="54">
        <f t="shared" si="34"/>
        <v>0</v>
      </c>
      <c r="P63" s="1"/>
      <c r="R63" s="1"/>
      <c r="S63" s="1"/>
      <c r="T63" s="1"/>
      <c r="U63" s="1"/>
      <c r="V63" s="1"/>
      <c r="W63" s="1"/>
    </row>
    <row r="64" spans="2:23" ht="12.5">
      <c r="B64" s="7" t="str">
        <f t="shared" si="4"/>
        <v/>
      </c>
      <c r="C64" s="50">
        <f>IF(D11="","-",+C63+1)</f>
        <v>2054</v>
      </c>
      <c r="D64" s="55">
        <f>IF(F63+SUM(E$17:E63)=D$10,F63,D$10-SUM(E$17:E63))</f>
        <v>0</v>
      </c>
      <c r="E64" s="378">
        <f>IF(+I14&lt;F63,I14,D64)</f>
        <v>0</v>
      </c>
      <c r="F64" s="55">
        <f t="shared" si="30"/>
        <v>0</v>
      </c>
      <c r="G64" s="379">
        <f t="shared" si="28"/>
        <v>0</v>
      </c>
      <c r="H64" s="364">
        <f t="shared" si="29"/>
        <v>0</v>
      </c>
      <c r="I64" s="52">
        <f t="shared" si="31"/>
        <v>0</v>
      </c>
      <c r="J64" s="52"/>
      <c r="K64" s="129"/>
      <c r="L64" s="54">
        <f t="shared" si="32"/>
        <v>0</v>
      </c>
      <c r="M64" s="129"/>
      <c r="N64" s="54">
        <f t="shared" si="33"/>
        <v>0</v>
      </c>
      <c r="O64" s="54">
        <f t="shared" si="34"/>
        <v>0</v>
      </c>
      <c r="P64" s="1"/>
      <c r="R64" s="1"/>
      <c r="S64" s="1"/>
      <c r="T64" s="1"/>
      <c r="U64" s="1"/>
      <c r="V64" s="1"/>
      <c r="W64" s="1"/>
    </row>
    <row r="65" spans="1:23" ht="12.5">
      <c r="B65" s="7" t="str">
        <f t="shared" si="4"/>
        <v/>
      </c>
      <c r="C65" s="50">
        <f>IF(D11="","-",+C64+1)</f>
        <v>2055</v>
      </c>
      <c r="D65" s="55">
        <f>IF(F64+SUM(E$17:E64)=D$10,F64,D$10-SUM(E$17:E64))</f>
        <v>0</v>
      </c>
      <c r="E65" s="378">
        <f>IF(+I14&lt;F64,I14,D65)</f>
        <v>0</v>
      </c>
      <c r="F65" s="55">
        <f t="shared" si="30"/>
        <v>0</v>
      </c>
      <c r="G65" s="379">
        <f t="shared" si="28"/>
        <v>0</v>
      </c>
      <c r="H65" s="364">
        <f t="shared" si="29"/>
        <v>0</v>
      </c>
      <c r="I65" s="52">
        <f t="shared" si="31"/>
        <v>0</v>
      </c>
      <c r="J65" s="52"/>
      <c r="K65" s="129"/>
      <c r="L65" s="54">
        <f t="shared" si="32"/>
        <v>0</v>
      </c>
      <c r="M65" s="129"/>
      <c r="N65" s="54">
        <f t="shared" si="33"/>
        <v>0</v>
      </c>
      <c r="O65" s="54">
        <f t="shared" si="34"/>
        <v>0</v>
      </c>
      <c r="P65" s="1"/>
      <c r="R65" s="1"/>
      <c r="S65" s="1"/>
      <c r="T65" s="1"/>
      <c r="U65" s="1"/>
      <c r="V65" s="1"/>
      <c r="W65" s="1"/>
    </row>
    <row r="66" spans="1:23" ht="12.5">
      <c r="B66" s="7" t="str">
        <f t="shared" si="4"/>
        <v/>
      </c>
      <c r="C66" s="50">
        <f>IF(D11="","-",+C65+1)</f>
        <v>2056</v>
      </c>
      <c r="D66" s="55">
        <f>IF(F65+SUM(E$17:E65)=D$10,F65,D$10-SUM(E$17:E65))</f>
        <v>0</v>
      </c>
      <c r="E66" s="378">
        <f>IF(+I14&lt;F65,I14,D66)</f>
        <v>0</v>
      </c>
      <c r="F66" s="55">
        <f t="shared" si="30"/>
        <v>0</v>
      </c>
      <c r="G66" s="379">
        <f t="shared" si="28"/>
        <v>0</v>
      </c>
      <c r="H66" s="364">
        <f t="shared" si="29"/>
        <v>0</v>
      </c>
      <c r="I66" s="52">
        <f t="shared" si="31"/>
        <v>0</v>
      </c>
      <c r="J66" s="52"/>
      <c r="K66" s="129"/>
      <c r="L66" s="54">
        <f t="shared" si="32"/>
        <v>0</v>
      </c>
      <c r="M66" s="129"/>
      <c r="N66" s="54">
        <f t="shared" si="33"/>
        <v>0</v>
      </c>
      <c r="O66" s="54">
        <f t="shared" si="34"/>
        <v>0</v>
      </c>
      <c r="P66" s="1"/>
      <c r="R66" s="1"/>
      <c r="S66" s="1"/>
      <c r="T66" s="1"/>
      <c r="U66" s="1"/>
      <c r="V66" s="1"/>
      <c r="W66" s="1"/>
    </row>
    <row r="67" spans="1:23" ht="12.5">
      <c r="B67" s="7" t="str">
        <f t="shared" si="4"/>
        <v/>
      </c>
      <c r="C67" s="50">
        <f>IF(D11="","-",+C66+1)</f>
        <v>2057</v>
      </c>
      <c r="D67" s="55">
        <f>IF(F66+SUM(E$17:E66)=D$10,F66,D$10-SUM(E$17:E66))</f>
        <v>0</v>
      </c>
      <c r="E67" s="378">
        <f>IF(+I14&lt;F66,I14,D67)</f>
        <v>0</v>
      </c>
      <c r="F67" s="55">
        <f t="shared" si="30"/>
        <v>0</v>
      </c>
      <c r="G67" s="379">
        <f t="shared" si="28"/>
        <v>0</v>
      </c>
      <c r="H67" s="364">
        <f t="shared" si="29"/>
        <v>0</v>
      </c>
      <c r="I67" s="52">
        <f t="shared" si="31"/>
        <v>0</v>
      </c>
      <c r="J67" s="52"/>
      <c r="K67" s="129"/>
      <c r="L67" s="54">
        <f t="shared" si="32"/>
        <v>0</v>
      </c>
      <c r="M67" s="129"/>
      <c r="N67" s="54">
        <f t="shared" si="33"/>
        <v>0</v>
      </c>
      <c r="O67" s="54">
        <f t="shared" si="34"/>
        <v>0</v>
      </c>
      <c r="P67" s="1"/>
      <c r="R67" s="1"/>
      <c r="S67" s="1"/>
      <c r="T67" s="1"/>
      <c r="U67" s="1"/>
      <c r="V67" s="1"/>
      <c r="W67" s="1"/>
    </row>
    <row r="68" spans="1:23" ht="12.5">
      <c r="B68" s="7" t="str">
        <f t="shared" si="4"/>
        <v/>
      </c>
      <c r="C68" s="50">
        <f>IF(D11="","-",+C67+1)</f>
        <v>2058</v>
      </c>
      <c r="D68" s="55">
        <f>IF(F67+SUM(E$17:E67)=D$10,F67,D$10-SUM(E$17:E67))</f>
        <v>0</v>
      </c>
      <c r="E68" s="378">
        <f>IF(+I14&lt;F67,I14,D68)</f>
        <v>0</v>
      </c>
      <c r="F68" s="55">
        <f t="shared" si="30"/>
        <v>0</v>
      </c>
      <c r="G68" s="379">
        <f t="shared" si="28"/>
        <v>0</v>
      </c>
      <c r="H68" s="364">
        <f t="shared" si="29"/>
        <v>0</v>
      </c>
      <c r="I68" s="52">
        <f t="shared" si="31"/>
        <v>0</v>
      </c>
      <c r="J68" s="52"/>
      <c r="K68" s="129"/>
      <c r="L68" s="54">
        <f t="shared" si="32"/>
        <v>0</v>
      </c>
      <c r="M68" s="129"/>
      <c r="N68" s="54">
        <f t="shared" si="33"/>
        <v>0</v>
      </c>
      <c r="O68" s="54">
        <f t="shared" si="34"/>
        <v>0</v>
      </c>
      <c r="P68" s="1"/>
      <c r="R68" s="1"/>
      <c r="S68" s="1"/>
      <c r="T68" s="1"/>
      <c r="U68" s="1"/>
      <c r="V68" s="1"/>
      <c r="W68" s="1"/>
    </row>
    <row r="69" spans="1:23" ht="12.5">
      <c r="B69" s="7" t="str">
        <f t="shared" si="4"/>
        <v/>
      </c>
      <c r="C69" s="50">
        <f>IF(D11="","-",+C68+1)</f>
        <v>2059</v>
      </c>
      <c r="D69" s="55">
        <f>IF(F68+SUM(E$17:E68)=D$10,F68,D$10-SUM(E$17:E68))</f>
        <v>0</v>
      </c>
      <c r="E69" s="378">
        <f>IF(+I14&lt;F68,I14,D69)</f>
        <v>0</v>
      </c>
      <c r="F69" s="55">
        <f t="shared" si="30"/>
        <v>0</v>
      </c>
      <c r="G69" s="379">
        <f t="shared" si="28"/>
        <v>0</v>
      </c>
      <c r="H69" s="364">
        <f t="shared" si="29"/>
        <v>0</v>
      </c>
      <c r="I69" s="52">
        <f t="shared" si="31"/>
        <v>0</v>
      </c>
      <c r="J69" s="52"/>
      <c r="K69" s="129"/>
      <c r="L69" s="54">
        <f t="shared" si="32"/>
        <v>0</v>
      </c>
      <c r="M69" s="129"/>
      <c r="N69" s="54">
        <f t="shared" si="33"/>
        <v>0</v>
      </c>
      <c r="O69" s="54">
        <f t="shared" si="34"/>
        <v>0</v>
      </c>
      <c r="P69" s="1"/>
      <c r="R69" s="1"/>
      <c r="S69" s="1"/>
      <c r="T69" s="1"/>
      <c r="U69" s="1"/>
      <c r="V69" s="1"/>
      <c r="W69" s="1"/>
    </row>
    <row r="70" spans="1:23" ht="12.5">
      <c r="B70" s="7" t="str">
        <f t="shared" si="4"/>
        <v/>
      </c>
      <c r="C70" s="50">
        <f>IF(D11="","-",+C69+1)</f>
        <v>2060</v>
      </c>
      <c r="D70" s="55">
        <f>IF(F69+SUM(E$17:E69)=D$10,F69,D$10-SUM(E$17:E69))</f>
        <v>0</v>
      </c>
      <c r="E70" s="378">
        <f>IF(+I14&lt;F69,I14,D70)</f>
        <v>0</v>
      </c>
      <c r="F70" s="55">
        <f t="shared" si="30"/>
        <v>0</v>
      </c>
      <c r="G70" s="379">
        <f t="shared" si="28"/>
        <v>0</v>
      </c>
      <c r="H70" s="364">
        <f t="shared" si="29"/>
        <v>0</v>
      </c>
      <c r="I70" s="52">
        <f t="shared" si="31"/>
        <v>0</v>
      </c>
      <c r="J70" s="52"/>
      <c r="K70" s="129"/>
      <c r="L70" s="54">
        <f t="shared" si="32"/>
        <v>0</v>
      </c>
      <c r="M70" s="129"/>
      <c r="N70" s="54">
        <f t="shared" si="33"/>
        <v>0</v>
      </c>
      <c r="O70" s="54">
        <f t="shared" si="34"/>
        <v>0</v>
      </c>
      <c r="P70" s="1"/>
      <c r="R70" s="1"/>
      <c r="S70" s="1"/>
      <c r="T70" s="1"/>
      <c r="U70" s="1"/>
      <c r="V70" s="1"/>
      <c r="W70" s="1"/>
    </row>
    <row r="71" spans="1:23" ht="12.5">
      <c r="B71" s="7" t="str">
        <f t="shared" si="4"/>
        <v/>
      </c>
      <c r="C71" s="50">
        <f>IF(D11="","-",+C70+1)</f>
        <v>2061</v>
      </c>
      <c r="D71" s="55">
        <f>IF(F70+SUM(E$17:E70)=D$10,F70,D$10-SUM(E$17:E70))</f>
        <v>0</v>
      </c>
      <c r="E71" s="378">
        <f>IF(+I14&lt;F70,I14,D71)</f>
        <v>0</v>
      </c>
      <c r="F71" s="55">
        <f t="shared" si="30"/>
        <v>0</v>
      </c>
      <c r="G71" s="379">
        <f t="shared" si="28"/>
        <v>0</v>
      </c>
      <c r="H71" s="364">
        <f t="shared" si="29"/>
        <v>0</v>
      </c>
      <c r="I71" s="52">
        <f t="shared" si="31"/>
        <v>0</v>
      </c>
      <c r="J71" s="52"/>
      <c r="K71" s="129"/>
      <c r="L71" s="54">
        <f t="shared" si="32"/>
        <v>0</v>
      </c>
      <c r="M71" s="129"/>
      <c r="N71" s="54">
        <f t="shared" si="33"/>
        <v>0</v>
      </c>
      <c r="O71" s="54">
        <f t="shared" si="34"/>
        <v>0</v>
      </c>
      <c r="P71" s="1"/>
      <c r="R71" s="1"/>
      <c r="S71" s="1"/>
      <c r="T71" s="1"/>
      <c r="U71" s="1"/>
      <c r="V71" s="1"/>
      <c r="W71" s="1"/>
    </row>
    <row r="72" spans="1:23" ht="13" thickBot="1">
      <c r="B72" s="7" t="str">
        <f t="shared" si="4"/>
        <v/>
      </c>
      <c r="C72" s="59">
        <f>IF(D11="","-",+C71+1)</f>
        <v>2062</v>
      </c>
      <c r="D72" s="60">
        <f>IF(F71+SUM(E$17:E71)=D$10,F71,D$10-SUM(E$17:E71))</f>
        <v>0</v>
      </c>
      <c r="E72" s="381">
        <f>IF(+I14&lt;F71,I14,D72)</f>
        <v>0</v>
      </c>
      <c r="F72" s="60">
        <f t="shared" si="30"/>
        <v>0</v>
      </c>
      <c r="G72" s="60">
        <f t="shared" si="28"/>
        <v>0</v>
      </c>
      <c r="H72" s="60">
        <f t="shared" si="29"/>
        <v>0</v>
      </c>
      <c r="I72" s="63">
        <f t="shared" si="31"/>
        <v>0</v>
      </c>
      <c r="J72" s="52"/>
      <c r="K72" s="130"/>
      <c r="L72" s="64">
        <f t="shared" si="32"/>
        <v>0</v>
      </c>
      <c r="M72" s="130"/>
      <c r="N72" s="64">
        <f t="shared" si="33"/>
        <v>0</v>
      </c>
      <c r="O72" s="64">
        <f t="shared" si="34"/>
        <v>0</v>
      </c>
      <c r="P72" s="1"/>
      <c r="R72" s="1"/>
      <c r="S72" s="1"/>
      <c r="T72" s="1"/>
      <c r="U72" s="1"/>
      <c r="V72" s="1"/>
      <c r="W72" s="1"/>
    </row>
    <row r="73" spans="1:23" ht="12.5">
      <c r="C73" s="12" t="s">
        <v>78</v>
      </c>
      <c r="D73" s="293"/>
      <c r="E73" s="293">
        <f>SUM(E17:E72)</f>
        <v>81701.000000000044</v>
      </c>
      <c r="F73" s="293"/>
      <c r="G73" s="293">
        <f>SUM(G17:G72)</f>
        <v>302924.38627399004</v>
      </c>
      <c r="H73" s="293">
        <f>SUM(H17:H72)</f>
        <v>302924.38627399004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  <c r="R73" s="1"/>
      <c r="S73" s="1"/>
      <c r="T73" s="1"/>
      <c r="U73" s="1"/>
      <c r="V73" s="1"/>
      <c r="W73" s="1"/>
    </row>
    <row r="74" spans="1:23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  <c r="R74" s="1"/>
      <c r="S74" s="1"/>
      <c r="T74" s="1"/>
      <c r="U74" s="1"/>
      <c r="V74" s="1"/>
      <c r="W74" s="1"/>
    </row>
    <row r="75" spans="1:23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  <c r="R75" s="1"/>
      <c r="S75" s="1"/>
      <c r="T75" s="1"/>
      <c r="U75" s="1"/>
      <c r="V75" s="1"/>
      <c r="W75" s="1"/>
    </row>
    <row r="76" spans="1:23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  <c r="R76" s="1"/>
      <c r="S76" s="1"/>
      <c r="T76" s="1"/>
      <c r="U76" s="1"/>
      <c r="V76" s="1"/>
      <c r="W76" s="1"/>
    </row>
    <row r="77" spans="1:23" ht="17.5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  <c r="R77" s="1"/>
      <c r="S77" s="1"/>
      <c r="T77" s="1"/>
      <c r="U77" s="1"/>
      <c r="V77" s="1"/>
      <c r="W77" s="1"/>
    </row>
    <row r="78" spans="1:23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  <c r="R78" s="1"/>
      <c r="S78" s="1"/>
      <c r="T78" s="1"/>
      <c r="U78" s="1"/>
      <c r="V78" s="1"/>
      <c r="W78" s="1"/>
    </row>
    <row r="79" spans="1:23" ht="15.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R79" s="1"/>
      <c r="S79" s="1"/>
      <c r="T79" s="1"/>
      <c r="U79" s="1"/>
      <c r="V79" s="1"/>
      <c r="W79" s="1"/>
    </row>
    <row r="80" spans="1:23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  <c r="R80" s="1"/>
      <c r="S80" s="1"/>
      <c r="T80" s="1"/>
      <c r="U80" s="1"/>
      <c r="V80" s="1"/>
      <c r="W80" s="1"/>
    </row>
    <row r="81" spans="1:23" ht="12.5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  <c r="R81" s="1"/>
      <c r="S81" s="1"/>
      <c r="T81" s="1"/>
      <c r="U81" s="1"/>
      <c r="V81" s="1"/>
      <c r="W81" s="1"/>
    </row>
    <row r="82" spans="1:23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14 of 77</v>
      </c>
      <c r="Q83" s="1"/>
      <c r="R83" s="1"/>
      <c r="S83" s="1"/>
      <c r="T83" s="1"/>
      <c r="U83" s="1"/>
      <c r="V83" s="1"/>
      <c r="W83" s="1"/>
    </row>
    <row r="84" spans="1:23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  <c r="R84" s="1"/>
      <c r="S84" s="1"/>
      <c r="T84" s="1"/>
      <c r="U84" s="1"/>
      <c r="V84" s="1"/>
      <c r="W84" s="1"/>
    </row>
    <row r="85" spans="1:23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  <c r="R85" s="1"/>
      <c r="S85" s="1"/>
      <c r="T85" s="1"/>
      <c r="U85" s="1"/>
      <c r="V85" s="1"/>
      <c r="W85" s="1"/>
    </row>
    <row r="86" spans="1:23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  <c r="Q86" s="1"/>
      <c r="R86" s="1"/>
      <c r="S86" s="1"/>
      <c r="T86" s="1"/>
      <c r="U86" s="1"/>
      <c r="V86" s="1"/>
      <c r="W86" s="1"/>
    </row>
    <row r="87" spans="1:23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7873.6763229825956</v>
      </c>
      <c r="N87" s="387">
        <f>IF(J92&lt;D11,0,VLOOKUP(J92,C17:O72,11))</f>
        <v>7873.6763229825956</v>
      </c>
      <c r="O87" s="69">
        <f>+N87-M87</f>
        <v>0</v>
      </c>
      <c r="P87" s="1"/>
      <c r="Q87" s="1"/>
      <c r="R87" s="1"/>
      <c r="S87" s="1"/>
      <c r="T87" s="1"/>
      <c r="U87" s="1"/>
      <c r="V87" s="1"/>
      <c r="W87" s="1"/>
    </row>
    <row r="88" spans="1:23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8173.557385163318</v>
      </c>
      <c r="N88" s="390">
        <f>IF(J92&lt;D11,0,VLOOKUP(J92,C99:P154,7))</f>
        <v>8173.557385163318</v>
      </c>
      <c r="O88" s="71">
        <f>+N88-M88</f>
        <v>0</v>
      </c>
      <c r="P88" s="1"/>
      <c r="Q88" s="1"/>
      <c r="R88" s="1"/>
      <c r="S88" s="1"/>
      <c r="T88" s="1"/>
      <c r="U88" s="1"/>
      <c r="V88" s="1"/>
      <c r="W88" s="1"/>
    </row>
    <row r="89" spans="1:23" ht="13.5" thickBot="1">
      <c r="C89" s="25" t="s">
        <v>84</v>
      </c>
      <c r="D89" s="103" t="str">
        <f>+D7</f>
        <v>NW Henderson - Oak Hill 138 kV line*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299.88106218072244</v>
      </c>
      <c r="N89" s="392">
        <f>+N88-N87</f>
        <v>299.88106218072244</v>
      </c>
      <c r="O89" s="393">
        <f>+O88-O87</f>
        <v>0</v>
      </c>
      <c r="P89" s="1"/>
      <c r="Q89" s="1"/>
      <c r="R89" s="1"/>
      <c r="S89" s="1"/>
      <c r="T89" s="1"/>
      <c r="U89" s="1"/>
      <c r="V89" s="1"/>
      <c r="W89" s="1"/>
    </row>
    <row r="90" spans="1:23" ht="13.5" thickBot="1">
      <c r="C90" s="29"/>
      <c r="D90" s="66" t="str">
        <f>D8</f>
        <v>DOES NOT MEET SPP $100,000 MINIMUM INVESTMENT FOR REGIONAL BPU SHARING.</v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  <c r="R90" s="1"/>
      <c r="S90" s="1"/>
      <c r="T90" s="1"/>
      <c r="U90" s="1"/>
      <c r="V90" s="1"/>
      <c r="W90" s="1"/>
    </row>
    <row r="91" spans="1:23" ht="13.5" thickBot="1">
      <c r="C91" s="75" t="s">
        <v>85</v>
      </c>
      <c r="D91" s="91" t="str">
        <f>+D9</f>
        <v>TP2006089</v>
      </c>
      <c r="E91" s="76" t="str">
        <f>E9</f>
        <v xml:space="preserve">SPP Project ID = </v>
      </c>
      <c r="F91" s="463">
        <f>F9</f>
        <v>48</v>
      </c>
      <c r="G91" s="76"/>
      <c r="H91" s="76"/>
      <c r="I91" s="76"/>
      <c r="J91" s="95"/>
      <c r="Q91" s="1"/>
      <c r="R91" s="1"/>
      <c r="S91" s="1"/>
      <c r="T91" s="1"/>
      <c r="U91" s="1"/>
      <c r="V91" s="1"/>
      <c r="W91" s="1"/>
    </row>
    <row r="92" spans="1:23" ht="13">
      <c r="C92" s="34" t="s">
        <v>51</v>
      </c>
      <c r="D92" s="363">
        <f>D10</f>
        <v>81701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  <c r="Q92" s="1"/>
      <c r="R92" s="1"/>
      <c r="S92" s="1"/>
      <c r="T92" s="1"/>
      <c r="U92" s="1"/>
      <c r="V92" s="1"/>
      <c r="W92" s="1"/>
    </row>
    <row r="93" spans="1:23" ht="12.5">
      <c r="C93" s="34" t="s">
        <v>54</v>
      </c>
      <c r="D93" s="88">
        <f>IF(D11=I10,"",D11)</f>
        <v>2007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  <c r="R93" s="1"/>
      <c r="S93" s="1"/>
      <c r="T93" s="1"/>
      <c r="U93" s="1"/>
      <c r="V93" s="1"/>
      <c r="W93" s="1"/>
    </row>
    <row r="94" spans="1:23" ht="12.5">
      <c r="C94" s="34" t="s">
        <v>56</v>
      </c>
      <c r="D94" s="394">
        <f>IF(D11=I10,"",D12)</f>
        <v>6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  <c r="R94" s="1"/>
      <c r="S94" s="1"/>
      <c r="T94" s="1"/>
      <c r="U94" s="1"/>
      <c r="V94" s="1"/>
      <c r="W94" s="1"/>
    </row>
    <row r="95" spans="1:23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  <c r="Q95" s="1"/>
      <c r="R95" s="1"/>
      <c r="S95" s="1"/>
      <c r="T95" s="1"/>
      <c r="U95" s="1"/>
      <c r="V95" s="1"/>
      <c r="W95" s="1"/>
    </row>
    <row r="96" spans="1:23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1856.840909090909</v>
      </c>
      <c r="K96" s="293"/>
      <c r="L96" s="293"/>
      <c r="M96" s="293"/>
      <c r="N96" s="293"/>
      <c r="O96" s="293"/>
      <c r="P96" s="1"/>
      <c r="Q96" s="1"/>
      <c r="R96" s="1"/>
      <c r="S96" s="1"/>
      <c r="T96" s="1"/>
      <c r="U96" s="1"/>
      <c r="V96" s="1"/>
      <c r="W96" s="1"/>
    </row>
    <row r="97" spans="1:23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  <c r="R97" s="1"/>
      <c r="S97" s="1"/>
      <c r="T97" s="1"/>
      <c r="U97" s="1"/>
      <c r="V97" s="1"/>
      <c r="W97" s="1"/>
    </row>
    <row r="98" spans="1:23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  <c r="R98" s="1"/>
      <c r="S98" s="1"/>
      <c r="T98" s="1"/>
      <c r="U98" s="1"/>
      <c r="V98" s="1"/>
      <c r="W98" s="1"/>
    </row>
    <row r="99" spans="1:23" ht="12.5">
      <c r="C99" s="50">
        <f>IF(D93= "","-",D93)</f>
        <v>2007</v>
      </c>
      <c r="D99" s="133">
        <f>IF(D93=C99,0,D92)</f>
        <v>0</v>
      </c>
      <c r="E99" s="376">
        <v>0</v>
      </c>
      <c r="F99" s="137">
        <v>54301</v>
      </c>
      <c r="G99" s="140">
        <v>27151</v>
      </c>
      <c r="H99" s="397">
        <v>4328</v>
      </c>
      <c r="I99" s="398">
        <v>4328</v>
      </c>
      <c r="J99" s="154">
        <f t="shared" ref="J99:J130" si="35">+I99-H99</f>
        <v>0</v>
      </c>
      <c r="K99" s="54"/>
      <c r="L99" s="112">
        <v>0</v>
      </c>
      <c r="M99" s="53">
        <f t="shared" ref="M99:M130" si="36">IF(L99&lt;&gt;0,+H99-L99,0)</f>
        <v>0</v>
      </c>
      <c r="N99" s="112">
        <v>0</v>
      </c>
      <c r="O99" s="53">
        <f t="shared" ref="O99:O130" si="37">IF(N99&lt;&gt;0,+I99-N99,0)</f>
        <v>0</v>
      </c>
      <c r="P99" s="53">
        <f t="shared" ref="P99:P130" si="38">+O99-M99</f>
        <v>0</v>
      </c>
      <c r="Q99" s="1"/>
      <c r="R99" s="12"/>
      <c r="S99" s="12"/>
      <c r="T99" s="12"/>
      <c r="U99" s="12"/>
      <c r="V99" s="12"/>
      <c r="W99" s="12">
        <f>ROUND(I99,0)</f>
        <v>4328</v>
      </c>
    </row>
    <row r="100" spans="1:23" ht="12.5">
      <c r="B100" s="7" t="str">
        <f>IF(D100=F99,"","IU")</f>
        <v/>
      </c>
      <c r="C100" s="50">
        <f>IF(D93="","-",+C99+1)</f>
        <v>2008</v>
      </c>
      <c r="D100" s="133">
        <v>54301</v>
      </c>
      <c r="E100" s="376">
        <v>1468</v>
      </c>
      <c r="F100" s="137">
        <v>52833</v>
      </c>
      <c r="G100" s="137">
        <v>53567</v>
      </c>
      <c r="H100" s="376">
        <v>10006</v>
      </c>
      <c r="I100" s="375">
        <v>10006</v>
      </c>
      <c r="J100" s="154">
        <f t="shared" si="35"/>
        <v>0</v>
      </c>
      <c r="K100" s="54"/>
      <c r="L100" s="113">
        <v>10006</v>
      </c>
      <c r="M100" s="54">
        <f t="shared" si="36"/>
        <v>0</v>
      </c>
      <c r="N100" s="113">
        <v>10006</v>
      </c>
      <c r="O100" s="54">
        <f t="shared" si="37"/>
        <v>0</v>
      </c>
      <c r="P100" s="54">
        <f t="shared" si="38"/>
        <v>0</v>
      </c>
      <c r="Q100" s="1"/>
      <c r="R100" s="12"/>
      <c r="S100" s="12"/>
      <c r="T100" s="12"/>
      <c r="U100" s="12"/>
      <c r="V100" s="12"/>
      <c r="W100" s="12">
        <f>ROUND(I100,0)</f>
        <v>10006</v>
      </c>
    </row>
    <row r="101" spans="1:23" ht="12.5">
      <c r="B101" s="7" t="str">
        <f t="shared" ref="B101:B154" si="39">IF(D101=F100,"","IU")</f>
        <v/>
      </c>
      <c r="C101" s="50">
        <f>IF(D93="","-",+C100+1)</f>
        <v>2009</v>
      </c>
      <c r="D101" s="133">
        <v>52833</v>
      </c>
      <c r="E101" s="376">
        <v>1428.9736842105262</v>
      </c>
      <c r="F101" s="137">
        <v>51404.026315789473</v>
      </c>
      <c r="G101" s="137">
        <v>52118.513157894733</v>
      </c>
      <c r="H101" s="376">
        <v>8972.4855002204786</v>
      </c>
      <c r="I101" s="375">
        <v>8972.4855002204786</v>
      </c>
      <c r="J101" s="154">
        <f t="shared" si="35"/>
        <v>0</v>
      </c>
      <c r="K101" s="54"/>
      <c r="L101" s="113">
        <f t="shared" ref="L101:L106" si="40">H101</f>
        <v>8972.4855002204786</v>
      </c>
      <c r="M101" s="54">
        <f t="shared" si="36"/>
        <v>0</v>
      </c>
      <c r="N101" s="113">
        <f t="shared" ref="N101:N106" si="41">I101</f>
        <v>8972.4855002204786</v>
      </c>
      <c r="O101" s="54">
        <f t="shared" si="37"/>
        <v>0</v>
      </c>
      <c r="P101" s="54">
        <f t="shared" si="38"/>
        <v>0</v>
      </c>
      <c r="Q101" s="1"/>
      <c r="R101" s="1"/>
      <c r="S101" s="1"/>
      <c r="T101" s="1"/>
      <c r="U101" s="1"/>
      <c r="V101" s="1"/>
      <c r="W101" s="1"/>
    </row>
    <row r="102" spans="1:23" ht="12.5">
      <c r="B102" s="7" t="str">
        <f t="shared" si="39"/>
        <v>IU</v>
      </c>
      <c r="C102" s="50">
        <f>IF(D93="","-",+C101+1)</f>
        <v>2010</v>
      </c>
      <c r="D102" s="133">
        <v>78804.026315789481</v>
      </c>
      <c r="E102" s="376">
        <v>1992.7073170731708</v>
      </c>
      <c r="F102" s="137">
        <v>76811.318998716306</v>
      </c>
      <c r="G102" s="137">
        <v>77807.672657252901</v>
      </c>
      <c r="H102" s="376">
        <v>14837.671154363743</v>
      </c>
      <c r="I102" s="375">
        <v>14837.671154363743</v>
      </c>
      <c r="J102" s="154">
        <f t="shared" si="35"/>
        <v>0</v>
      </c>
      <c r="K102" s="54"/>
      <c r="L102" s="113">
        <f t="shared" si="40"/>
        <v>14837.671154363743</v>
      </c>
      <c r="M102" s="54">
        <f t="shared" si="36"/>
        <v>0</v>
      </c>
      <c r="N102" s="113">
        <f t="shared" si="41"/>
        <v>14837.671154363743</v>
      </c>
      <c r="O102" s="54">
        <f t="shared" si="37"/>
        <v>0</v>
      </c>
      <c r="P102" s="54">
        <f t="shared" si="38"/>
        <v>0</v>
      </c>
      <c r="Q102" s="1"/>
      <c r="R102" s="1"/>
      <c r="S102" s="1"/>
      <c r="T102" s="1"/>
      <c r="U102" s="1"/>
      <c r="V102" s="1"/>
      <c r="W102" s="1"/>
    </row>
    <row r="103" spans="1:23" ht="12.5">
      <c r="B103" s="7" t="str">
        <f t="shared" si="39"/>
        <v/>
      </c>
      <c r="C103" s="50">
        <f>IF(D93="","-",+C102+1)</f>
        <v>2011</v>
      </c>
      <c r="D103" s="133">
        <v>76811.318998716306</v>
      </c>
      <c r="E103" s="377">
        <v>1945.2619047619048</v>
      </c>
      <c r="F103" s="137">
        <v>74866.057093954398</v>
      </c>
      <c r="G103" s="137">
        <v>75838.688046335359</v>
      </c>
      <c r="H103" s="376">
        <v>13349.876325445057</v>
      </c>
      <c r="I103" s="375">
        <v>13349.876325445057</v>
      </c>
      <c r="J103" s="154">
        <f t="shared" si="35"/>
        <v>0</v>
      </c>
      <c r="K103" s="54"/>
      <c r="L103" s="113">
        <f t="shared" si="40"/>
        <v>13349.876325445057</v>
      </c>
      <c r="M103" s="54">
        <f t="shared" si="36"/>
        <v>0</v>
      </c>
      <c r="N103" s="113">
        <f t="shared" si="41"/>
        <v>13349.876325445057</v>
      </c>
      <c r="O103" s="54">
        <f t="shared" si="37"/>
        <v>0</v>
      </c>
      <c r="P103" s="54">
        <f t="shared" si="38"/>
        <v>0</v>
      </c>
      <c r="Q103" s="1"/>
      <c r="R103" s="1"/>
      <c r="S103" s="1"/>
      <c r="T103" s="1"/>
      <c r="U103" s="1"/>
      <c r="V103" s="1"/>
      <c r="W103" s="1"/>
    </row>
    <row r="104" spans="1:23" ht="12.5">
      <c r="B104" s="7" t="str">
        <f t="shared" si="39"/>
        <v/>
      </c>
      <c r="C104" s="50">
        <f>IF(D93="","-",+C103+1)</f>
        <v>2012</v>
      </c>
      <c r="D104" s="133">
        <v>74866.057093954398</v>
      </c>
      <c r="E104" s="376">
        <v>1945.2619047619048</v>
      </c>
      <c r="F104" s="137">
        <v>72920.795189192489</v>
      </c>
      <c r="G104" s="137">
        <v>73893.426141573436</v>
      </c>
      <c r="H104" s="376">
        <v>12818.97009538296</v>
      </c>
      <c r="I104" s="375">
        <v>12818.97009538296</v>
      </c>
      <c r="J104" s="154">
        <f t="shared" si="35"/>
        <v>0</v>
      </c>
      <c r="K104" s="54"/>
      <c r="L104" s="113">
        <f t="shared" si="40"/>
        <v>12818.97009538296</v>
      </c>
      <c r="M104" s="54">
        <f t="shared" si="36"/>
        <v>0</v>
      </c>
      <c r="N104" s="113">
        <f t="shared" si="41"/>
        <v>12818.97009538296</v>
      </c>
      <c r="O104" s="54">
        <f t="shared" si="37"/>
        <v>0</v>
      </c>
      <c r="P104" s="54">
        <f t="shared" si="38"/>
        <v>0</v>
      </c>
      <c r="Q104" s="1"/>
      <c r="R104" s="1"/>
      <c r="S104" s="1"/>
      <c r="T104" s="1"/>
      <c r="U104" s="1"/>
      <c r="V104" s="1"/>
      <c r="W104" s="1"/>
    </row>
    <row r="105" spans="1:23" ht="12.5">
      <c r="B105" s="7" t="str">
        <f t="shared" si="39"/>
        <v/>
      </c>
      <c r="C105" s="50">
        <f>IF(D93="","-",+C104+1)</f>
        <v>2013</v>
      </c>
      <c r="D105" s="133">
        <v>72920.795189192489</v>
      </c>
      <c r="E105" s="376">
        <v>1945.2619047619048</v>
      </c>
      <c r="F105" s="137">
        <v>70975.533284430581</v>
      </c>
      <c r="G105" s="137">
        <v>71948.164236811543</v>
      </c>
      <c r="H105" s="376">
        <v>11679.251522399856</v>
      </c>
      <c r="I105" s="375">
        <v>11679.251522399856</v>
      </c>
      <c r="J105" s="154">
        <v>0</v>
      </c>
      <c r="K105" s="54"/>
      <c r="L105" s="113">
        <f t="shared" si="40"/>
        <v>11679.251522399856</v>
      </c>
      <c r="M105" s="54">
        <f t="shared" ref="M105:M110" si="42">IF(L105&lt;&gt;0,+H105-L105,0)</f>
        <v>0</v>
      </c>
      <c r="N105" s="113">
        <f t="shared" si="41"/>
        <v>11679.251522399856</v>
      </c>
      <c r="O105" s="54">
        <f t="shared" ref="O105:O110" si="43">IF(N105&lt;&gt;0,+I105-N105,0)</f>
        <v>0</v>
      </c>
      <c r="P105" s="54">
        <f t="shared" ref="P105:P110" si="44">+O105-M105</f>
        <v>0</v>
      </c>
      <c r="Q105" s="1"/>
      <c r="R105" s="1"/>
      <c r="S105" s="1"/>
      <c r="T105" s="1"/>
      <c r="U105" s="1"/>
      <c r="V105" s="1"/>
      <c r="W105" s="1"/>
    </row>
    <row r="106" spans="1:23" ht="12.5">
      <c r="B106" s="7" t="str">
        <f t="shared" si="39"/>
        <v/>
      </c>
      <c r="C106" s="50">
        <f>IF(D93="","-",+C105+1)</f>
        <v>2014</v>
      </c>
      <c r="D106" s="133">
        <v>70975.533284430581</v>
      </c>
      <c r="E106" s="376">
        <v>1945.2619047619048</v>
      </c>
      <c r="F106" s="137">
        <v>69030.271379668673</v>
      </c>
      <c r="G106" s="137">
        <v>70002.90233204962</v>
      </c>
      <c r="H106" s="376">
        <v>11460.298583288852</v>
      </c>
      <c r="I106" s="375">
        <v>11460.298583288852</v>
      </c>
      <c r="J106" s="54">
        <v>0</v>
      </c>
      <c r="K106" s="54"/>
      <c r="L106" s="113">
        <f t="shared" si="40"/>
        <v>11460.298583288852</v>
      </c>
      <c r="M106" s="54">
        <f t="shared" si="42"/>
        <v>0</v>
      </c>
      <c r="N106" s="113">
        <f t="shared" si="41"/>
        <v>11460.298583288852</v>
      </c>
      <c r="O106" s="54">
        <f t="shared" si="43"/>
        <v>0</v>
      </c>
      <c r="P106" s="54">
        <f t="shared" si="44"/>
        <v>0</v>
      </c>
      <c r="Q106" s="1"/>
      <c r="R106" s="1"/>
      <c r="S106" s="1"/>
      <c r="T106" s="1"/>
      <c r="U106" s="1"/>
      <c r="V106" s="1"/>
      <c r="W106" s="1"/>
    </row>
    <row r="107" spans="1:23" ht="12.5">
      <c r="B107" s="7" t="str">
        <f t="shared" si="39"/>
        <v/>
      </c>
      <c r="C107" s="50">
        <f>IF(D93="","-",+C106+1)</f>
        <v>2015</v>
      </c>
      <c r="D107" s="133">
        <v>69030.271379668673</v>
      </c>
      <c r="E107" s="376">
        <v>1945.2619047619048</v>
      </c>
      <c r="F107" s="137">
        <v>67085.009474906765</v>
      </c>
      <c r="G107" s="137">
        <v>68057.640427287726</v>
      </c>
      <c r="H107" s="376">
        <v>10913.140814685254</v>
      </c>
      <c r="I107" s="375">
        <v>10913.140814685254</v>
      </c>
      <c r="J107" s="54">
        <f t="shared" si="35"/>
        <v>0</v>
      </c>
      <c r="K107" s="54"/>
      <c r="L107" s="113">
        <f t="shared" ref="L107:L112" si="45">H107</f>
        <v>10913.140814685254</v>
      </c>
      <c r="M107" s="54">
        <f t="shared" si="42"/>
        <v>0</v>
      </c>
      <c r="N107" s="113">
        <f t="shared" ref="N107:N112" si="46">I107</f>
        <v>10913.140814685254</v>
      </c>
      <c r="O107" s="54">
        <f t="shared" si="43"/>
        <v>0</v>
      </c>
      <c r="P107" s="54">
        <f t="shared" si="44"/>
        <v>0</v>
      </c>
      <c r="Q107" s="1"/>
      <c r="R107" s="1"/>
      <c r="S107" s="1"/>
      <c r="T107" s="1"/>
      <c r="U107" s="1"/>
      <c r="V107" s="1"/>
      <c r="W107" s="1"/>
    </row>
    <row r="108" spans="1:23" ht="12.5">
      <c r="B108" s="7" t="str">
        <f t="shared" si="39"/>
        <v/>
      </c>
      <c r="C108" s="50">
        <f>IF(D93="","-",+C107+1)</f>
        <v>2016</v>
      </c>
      <c r="D108" s="133">
        <v>67085.009474906765</v>
      </c>
      <c r="E108" s="376">
        <v>1900.0232558139535</v>
      </c>
      <c r="F108" s="137">
        <v>65184.986219092811</v>
      </c>
      <c r="G108" s="137">
        <v>66134.997846999788</v>
      </c>
      <c r="H108" s="376">
        <v>10295.860457941419</v>
      </c>
      <c r="I108" s="375">
        <v>10295.860457941419</v>
      </c>
      <c r="J108" s="54">
        <f t="shared" si="35"/>
        <v>0</v>
      </c>
      <c r="K108" s="54"/>
      <c r="L108" s="113">
        <f t="shared" si="45"/>
        <v>10295.860457941419</v>
      </c>
      <c r="M108" s="54">
        <f t="shared" si="42"/>
        <v>0</v>
      </c>
      <c r="N108" s="113">
        <f t="shared" si="46"/>
        <v>10295.860457941419</v>
      </c>
      <c r="O108" s="54">
        <f t="shared" si="43"/>
        <v>0</v>
      </c>
      <c r="P108" s="54">
        <f t="shared" si="44"/>
        <v>0</v>
      </c>
      <c r="Q108" s="1"/>
      <c r="R108" s="1"/>
      <c r="S108" s="1"/>
      <c r="T108" s="1"/>
      <c r="U108" s="1"/>
      <c r="V108" s="1"/>
      <c r="W108" s="1"/>
    </row>
    <row r="109" spans="1:23" ht="12.5">
      <c r="B109" s="7" t="str">
        <f t="shared" si="39"/>
        <v/>
      </c>
      <c r="C109" s="50">
        <f>IF(D93="","-",+C108+1)</f>
        <v>2017</v>
      </c>
      <c r="D109" s="133">
        <v>65184.986219092811</v>
      </c>
      <c r="E109" s="376">
        <v>1945.2619047619048</v>
      </c>
      <c r="F109" s="137">
        <v>63239.724314330902</v>
      </c>
      <c r="G109" s="137">
        <v>64212.355266711857</v>
      </c>
      <c r="H109" s="376">
        <v>9745.2303003311172</v>
      </c>
      <c r="I109" s="375">
        <v>9745.2303003311172</v>
      </c>
      <c r="J109" s="54">
        <f t="shared" si="35"/>
        <v>0</v>
      </c>
      <c r="K109" s="54"/>
      <c r="L109" s="113">
        <f t="shared" si="45"/>
        <v>9745.2303003311172</v>
      </c>
      <c r="M109" s="54">
        <f t="shared" si="42"/>
        <v>0</v>
      </c>
      <c r="N109" s="113">
        <f t="shared" si="46"/>
        <v>9745.2303003311172</v>
      </c>
      <c r="O109" s="54">
        <f t="shared" si="43"/>
        <v>0</v>
      </c>
      <c r="P109" s="54">
        <f t="shared" si="44"/>
        <v>0</v>
      </c>
      <c r="Q109" s="1"/>
      <c r="R109" s="1"/>
      <c r="S109" s="1"/>
      <c r="T109" s="1"/>
      <c r="U109" s="1"/>
      <c r="V109" s="1"/>
      <c r="W109" s="1"/>
    </row>
    <row r="110" spans="1:23" ht="12.5">
      <c r="B110" s="7" t="str">
        <f t="shared" si="39"/>
        <v/>
      </c>
      <c r="C110" s="50">
        <f>IF(D93="","-",+C109+1)</f>
        <v>2018</v>
      </c>
      <c r="D110" s="133">
        <v>63239.724314330902</v>
      </c>
      <c r="E110" s="376">
        <v>1945.2619047619048</v>
      </c>
      <c r="F110" s="137">
        <v>61294.462409568994</v>
      </c>
      <c r="G110" s="137">
        <v>62267.093361949948</v>
      </c>
      <c r="H110" s="376">
        <v>8520.9525094527817</v>
      </c>
      <c r="I110" s="375">
        <v>8520.9525094527817</v>
      </c>
      <c r="J110" s="54">
        <f t="shared" si="35"/>
        <v>0</v>
      </c>
      <c r="K110" s="54"/>
      <c r="L110" s="113">
        <f t="shared" si="45"/>
        <v>8520.9525094527817</v>
      </c>
      <c r="M110" s="54">
        <f t="shared" si="42"/>
        <v>0</v>
      </c>
      <c r="N110" s="113">
        <f t="shared" si="46"/>
        <v>8520.9525094527817</v>
      </c>
      <c r="O110" s="54">
        <f t="shared" si="43"/>
        <v>0</v>
      </c>
      <c r="P110" s="54">
        <f t="shared" si="44"/>
        <v>0</v>
      </c>
      <c r="Q110" s="1"/>
      <c r="R110" s="1"/>
      <c r="S110" s="1"/>
      <c r="T110" s="1"/>
      <c r="U110" s="1"/>
      <c r="V110" s="1"/>
      <c r="W110" s="1"/>
    </row>
    <row r="111" spans="1:23" ht="12.5">
      <c r="B111" s="7" t="str">
        <f t="shared" si="39"/>
        <v/>
      </c>
      <c r="C111" s="50">
        <f>IF(D93="","-",+C110+1)</f>
        <v>2019</v>
      </c>
      <c r="D111" s="133">
        <v>61294.462409568994</v>
      </c>
      <c r="E111" s="376">
        <v>1900.0232558139535</v>
      </c>
      <c r="F111" s="137">
        <v>59394.43915375504</v>
      </c>
      <c r="G111" s="137">
        <v>60344.450781662017</v>
      </c>
      <c r="H111" s="376">
        <v>8359.3262482635964</v>
      </c>
      <c r="I111" s="375">
        <v>8359.3262482635964</v>
      </c>
      <c r="J111" s="54">
        <f t="shared" si="35"/>
        <v>0</v>
      </c>
      <c r="K111" s="54"/>
      <c r="L111" s="113">
        <f t="shared" si="45"/>
        <v>8359.3262482635964</v>
      </c>
      <c r="M111" s="54">
        <f t="shared" ref="M111" si="47">IF(L111&lt;&gt;0,+H111-L111,0)</f>
        <v>0</v>
      </c>
      <c r="N111" s="113">
        <f t="shared" si="46"/>
        <v>8359.3262482635964</v>
      </c>
      <c r="O111" s="54">
        <f t="shared" si="37"/>
        <v>0</v>
      </c>
      <c r="P111" s="54">
        <f t="shared" si="38"/>
        <v>0</v>
      </c>
      <c r="Q111" s="1"/>
      <c r="R111" s="1"/>
      <c r="S111" s="1"/>
      <c r="T111" s="1"/>
      <c r="U111" s="1"/>
      <c r="V111" s="1"/>
      <c r="W111" s="1"/>
    </row>
    <row r="112" spans="1:23" ht="12.5">
      <c r="B112" s="7" t="str">
        <f t="shared" si="39"/>
        <v/>
      </c>
      <c r="C112" s="50">
        <f>IF(D93="","-",+C111+1)</f>
        <v>2020</v>
      </c>
      <c r="D112" s="133">
        <v>59394.43915375504</v>
      </c>
      <c r="E112" s="376">
        <v>1945.2619047619048</v>
      </c>
      <c r="F112" s="137">
        <v>57449.177248993132</v>
      </c>
      <c r="G112" s="137">
        <v>58421.808201374086</v>
      </c>
      <c r="H112" s="376">
        <v>8229.9197146067363</v>
      </c>
      <c r="I112" s="375">
        <v>8229.9197146067363</v>
      </c>
      <c r="J112" s="54">
        <f t="shared" si="35"/>
        <v>0</v>
      </c>
      <c r="K112" s="54"/>
      <c r="L112" s="113">
        <f t="shared" si="45"/>
        <v>8229.9197146067363</v>
      </c>
      <c r="M112" s="54">
        <f t="shared" ref="M112" si="48">IF(L112&lt;&gt;0,+H112-L112,0)</f>
        <v>0</v>
      </c>
      <c r="N112" s="113">
        <f t="shared" si="46"/>
        <v>8229.9197146067363</v>
      </c>
      <c r="O112" s="54">
        <f t="shared" si="37"/>
        <v>0</v>
      </c>
      <c r="P112" s="54">
        <f t="shared" si="38"/>
        <v>0</v>
      </c>
      <c r="Q112" s="1"/>
      <c r="R112" s="1"/>
      <c r="S112" s="1"/>
      <c r="T112" s="1"/>
      <c r="U112" s="1"/>
      <c r="V112" s="1"/>
      <c r="W112" s="1"/>
    </row>
    <row r="113" spans="2:23" ht="12.5">
      <c r="B113" s="7" t="str">
        <f t="shared" si="39"/>
        <v/>
      </c>
      <c r="C113" s="50">
        <f>IF(D93="","-",+C112+1)</f>
        <v>2021</v>
      </c>
      <c r="D113" s="133">
        <v>57449.177248993132</v>
      </c>
      <c r="E113" s="376">
        <v>1992.7073170731708</v>
      </c>
      <c r="F113" s="137">
        <v>55456.469931919964</v>
      </c>
      <c r="G113" s="137">
        <v>56452.823590456552</v>
      </c>
      <c r="H113" s="376">
        <v>8400.9059134474937</v>
      </c>
      <c r="I113" s="375">
        <v>8400.9059134474937</v>
      </c>
      <c r="J113" s="54">
        <f t="shared" si="35"/>
        <v>0</v>
      </c>
      <c r="K113" s="54"/>
      <c r="L113" s="113">
        <f t="shared" ref="L113" si="49">H113</f>
        <v>8400.9059134474937</v>
      </c>
      <c r="M113" s="54">
        <f t="shared" ref="M113" si="50">IF(L113&lt;&gt;0,+H113-L113,0)</f>
        <v>0</v>
      </c>
      <c r="N113" s="113">
        <f t="shared" ref="N113" si="51">I113</f>
        <v>8400.9059134474937</v>
      </c>
      <c r="O113" s="54">
        <f t="shared" si="37"/>
        <v>0</v>
      </c>
      <c r="P113" s="54">
        <f t="shared" si="38"/>
        <v>0</v>
      </c>
      <c r="Q113" s="1"/>
      <c r="R113" s="1"/>
      <c r="S113" s="1"/>
      <c r="T113" s="1"/>
      <c r="U113" s="1"/>
      <c r="V113" s="1"/>
      <c r="W113" s="1"/>
    </row>
    <row r="114" spans="2:23" ht="12.5">
      <c r="B114" s="7" t="str">
        <f t="shared" si="39"/>
        <v/>
      </c>
      <c r="C114" s="50">
        <f>IF(D93="","-",+C113+1)</f>
        <v>2022</v>
      </c>
      <c r="D114" s="133">
        <v>55456.469931919964</v>
      </c>
      <c r="E114" s="376">
        <v>1945.2619047619048</v>
      </c>
      <c r="F114" s="137">
        <v>53511.208027158056</v>
      </c>
      <c r="G114" s="137">
        <v>54483.83897953901</v>
      </c>
      <c r="H114" s="376">
        <v>8344.8161119685956</v>
      </c>
      <c r="I114" s="375">
        <v>8344.8161119685956</v>
      </c>
      <c r="J114" s="54">
        <f t="shared" si="35"/>
        <v>0</v>
      </c>
      <c r="K114" s="54"/>
      <c r="L114" s="113">
        <f t="shared" ref="L114" si="52">H114</f>
        <v>8344.8161119685956</v>
      </c>
      <c r="M114" s="54">
        <f t="shared" ref="M114" si="53">IF(L114&lt;&gt;0,+H114-L114,0)</f>
        <v>0</v>
      </c>
      <c r="N114" s="113">
        <f t="shared" ref="N114" si="54">I114</f>
        <v>8344.8161119685956</v>
      </c>
      <c r="O114" s="54">
        <f t="shared" ref="O114" si="55">IF(N114&lt;&gt;0,+I114-N114,0)</f>
        <v>0</v>
      </c>
      <c r="P114" s="54">
        <f t="shared" ref="P114" si="56">+O114-M114</f>
        <v>0</v>
      </c>
      <c r="Q114" s="1"/>
      <c r="R114" s="1"/>
      <c r="S114" s="1"/>
      <c r="T114" s="1"/>
      <c r="U114" s="1"/>
      <c r="V114" s="1"/>
      <c r="W114" s="1"/>
    </row>
    <row r="115" spans="2:23" ht="12.5">
      <c r="B115" s="7" t="str">
        <f t="shared" si="39"/>
        <v/>
      </c>
      <c r="C115" s="50">
        <f>IF(D93="","-",+C114+1)</f>
        <v>2023</v>
      </c>
      <c r="D115" s="133">
        <v>53511.208027158056</v>
      </c>
      <c r="E115" s="376">
        <v>1856.840909090909</v>
      </c>
      <c r="F115" s="137">
        <v>51654.367118067144</v>
      </c>
      <c r="G115" s="137">
        <v>52582.7875726126</v>
      </c>
      <c r="H115" s="376">
        <v>8343.7194539321899</v>
      </c>
      <c r="I115" s="375">
        <v>8343.7194539321899</v>
      </c>
      <c r="J115" s="54">
        <f t="shared" si="35"/>
        <v>0</v>
      </c>
      <c r="K115" s="54"/>
      <c r="L115" s="113">
        <f t="shared" ref="L115" si="57">H115</f>
        <v>8343.7194539321899</v>
      </c>
      <c r="M115" s="54">
        <f t="shared" ref="M115" si="58">IF(L115&lt;&gt;0,+H115-L115,0)</f>
        <v>0</v>
      </c>
      <c r="N115" s="113">
        <f t="shared" ref="N115" si="59">I115</f>
        <v>8343.7194539321899</v>
      </c>
      <c r="O115" s="54">
        <f t="shared" ref="O115" si="60">IF(N115&lt;&gt;0,+I115-N115,0)</f>
        <v>0</v>
      </c>
      <c r="P115" s="54">
        <f t="shared" ref="P115" si="61">+O115-M115</f>
        <v>0</v>
      </c>
      <c r="Q115" s="1"/>
      <c r="R115" s="1"/>
      <c r="S115" s="1"/>
      <c r="T115" s="1"/>
      <c r="U115" s="1"/>
      <c r="V115" s="1"/>
      <c r="W115" s="1"/>
    </row>
    <row r="116" spans="2:23" ht="12.5">
      <c r="B116" s="7" t="str">
        <f t="shared" si="39"/>
        <v/>
      </c>
      <c r="C116" s="50">
        <f>IF(D93="","-",+C115+1)</f>
        <v>2024</v>
      </c>
      <c r="D116" s="12">
        <f>IF(F115+SUM(E$99:E115)=D$92,F115,D$92-SUM(E$99:E115))</f>
        <v>51654.367118067144</v>
      </c>
      <c r="E116" s="378">
        <f>IF(+J96&lt;F115,J96,D116)</f>
        <v>1856.840909090909</v>
      </c>
      <c r="F116" s="55">
        <f t="shared" ref="F116:F130" si="62">+D116-E116</f>
        <v>49797.526208976233</v>
      </c>
      <c r="G116" s="55">
        <f t="shared" ref="G116:G130" si="63">+(F116+D116)/2</f>
        <v>50725.946663521689</v>
      </c>
      <c r="H116" s="380">
        <f t="shared" ref="H116:H154" si="64">+J$94*G116+E116</f>
        <v>8173.557385163318</v>
      </c>
      <c r="I116" s="399">
        <f t="shared" ref="I116:I154" si="65">+J$95*G116+E116</f>
        <v>8173.557385163318</v>
      </c>
      <c r="J116" s="54">
        <f t="shared" si="35"/>
        <v>0</v>
      </c>
      <c r="K116" s="54"/>
      <c r="L116" s="129"/>
      <c r="M116" s="54">
        <f t="shared" si="36"/>
        <v>0</v>
      </c>
      <c r="N116" s="129"/>
      <c r="O116" s="54">
        <f t="shared" si="37"/>
        <v>0</v>
      </c>
      <c r="P116" s="54">
        <f t="shared" si="38"/>
        <v>0</v>
      </c>
      <c r="Q116" s="1"/>
      <c r="R116" s="1"/>
      <c r="S116" s="1"/>
      <c r="T116" s="1"/>
      <c r="U116" s="1"/>
      <c r="V116" s="1"/>
      <c r="W116" s="1"/>
    </row>
    <row r="117" spans="2:23" ht="12.5">
      <c r="B117" s="7" t="str">
        <f t="shared" si="39"/>
        <v/>
      </c>
      <c r="C117" s="50">
        <f>IF(D93="","-",+C116+1)</f>
        <v>2025</v>
      </c>
      <c r="D117" s="12">
        <f>IF(F116+SUM(E$99:E116)=D$92,F116,D$92-SUM(E$99:E116))</f>
        <v>49797.526208976233</v>
      </c>
      <c r="E117" s="378">
        <f>IF(+J96&lt;F116,J96,D117)</f>
        <v>1856.840909090909</v>
      </c>
      <c r="F117" s="55">
        <f t="shared" si="62"/>
        <v>47940.685299885321</v>
      </c>
      <c r="G117" s="55">
        <f t="shared" si="63"/>
        <v>48869.105754430777</v>
      </c>
      <c r="H117" s="380">
        <f t="shared" si="64"/>
        <v>7942.3317829739253</v>
      </c>
      <c r="I117" s="399">
        <f t="shared" si="65"/>
        <v>7942.3317829739253</v>
      </c>
      <c r="J117" s="54">
        <f t="shared" si="35"/>
        <v>0</v>
      </c>
      <c r="K117" s="54"/>
      <c r="L117" s="129"/>
      <c r="M117" s="54">
        <f t="shared" si="36"/>
        <v>0</v>
      </c>
      <c r="N117" s="129"/>
      <c r="O117" s="54">
        <f t="shared" si="37"/>
        <v>0</v>
      </c>
      <c r="P117" s="54">
        <f t="shared" si="38"/>
        <v>0</v>
      </c>
      <c r="Q117" s="1"/>
      <c r="R117" s="1"/>
      <c r="S117" s="1"/>
      <c r="T117" s="1"/>
      <c r="U117" s="1"/>
      <c r="V117" s="1"/>
      <c r="W117" s="1"/>
    </row>
    <row r="118" spans="2:23" ht="12.5">
      <c r="B118" s="7" t="str">
        <f t="shared" si="39"/>
        <v/>
      </c>
      <c r="C118" s="50">
        <f>IF(D93="","-",+C117+1)</f>
        <v>2026</v>
      </c>
      <c r="D118" s="12">
        <f>IF(F117+SUM(E$99:E117)=D$92,F117,D$92-SUM(E$99:E117))</f>
        <v>47940.685299885321</v>
      </c>
      <c r="E118" s="378">
        <f>IF(+J96&lt;F117,J96,D118)</f>
        <v>1856.840909090909</v>
      </c>
      <c r="F118" s="55">
        <f t="shared" si="62"/>
        <v>46083.844390794409</v>
      </c>
      <c r="G118" s="55">
        <f t="shared" si="63"/>
        <v>47012.264845339865</v>
      </c>
      <c r="H118" s="380">
        <f t="shared" si="64"/>
        <v>7711.1061807845326</v>
      </c>
      <c r="I118" s="399">
        <f t="shared" si="65"/>
        <v>7711.1061807845326</v>
      </c>
      <c r="J118" s="54">
        <f t="shared" si="35"/>
        <v>0</v>
      </c>
      <c r="K118" s="54"/>
      <c r="L118" s="129"/>
      <c r="M118" s="54">
        <f t="shared" si="36"/>
        <v>0</v>
      </c>
      <c r="N118" s="129"/>
      <c r="O118" s="54">
        <f t="shared" si="37"/>
        <v>0</v>
      </c>
      <c r="P118" s="54">
        <f t="shared" si="38"/>
        <v>0</v>
      </c>
      <c r="Q118" s="1"/>
      <c r="R118" s="1"/>
      <c r="S118" s="1"/>
      <c r="T118" s="1"/>
      <c r="U118" s="1"/>
      <c r="V118" s="1"/>
      <c r="W118" s="1"/>
    </row>
    <row r="119" spans="2:23" ht="12.5">
      <c r="B119" s="7" t="str">
        <f t="shared" si="39"/>
        <v/>
      </c>
      <c r="C119" s="50">
        <f>IF(D93="","-",+C118+1)</f>
        <v>2027</v>
      </c>
      <c r="D119" s="12">
        <f>IF(F118+SUM(E$99:E118)=D$92,F118,D$92-SUM(E$99:E118))</f>
        <v>46083.844390794409</v>
      </c>
      <c r="E119" s="378">
        <f>IF(+J96&lt;F118,J96,D119)</f>
        <v>1856.840909090909</v>
      </c>
      <c r="F119" s="55">
        <f t="shared" si="62"/>
        <v>44227.003481703498</v>
      </c>
      <c r="G119" s="55">
        <f t="shared" si="63"/>
        <v>45155.423936248953</v>
      </c>
      <c r="H119" s="380">
        <f t="shared" si="64"/>
        <v>7479.880578595139</v>
      </c>
      <c r="I119" s="399">
        <f t="shared" si="65"/>
        <v>7479.880578595139</v>
      </c>
      <c r="J119" s="54">
        <f t="shared" si="35"/>
        <v>0</v>
      </c>
      <c r="K119" s="54"/>
      <c r="L119" s="129"/>
      <c r="M119" s="54">
        <f t="shared" si="36"/>
        <v>0</v>
      </c>
      <c r="N119" s="129"/>
      <c r="O119" s="54">
        <f t="shared" si="37"/>
        <v>0</v>
      </c>
      <c r="P119" s="54">
        <f t="shared" si="38"/>
        <v>0</v>
      </c>
      <c r="Q119" s="1"/>
      <c r="R119" s="1"/>
      <c r="S119" s="1"/>
      <c r="T119" s="1"/>
      <c r="U119" s="1"/>
      <c r="V119" s="1"/>
      <c r="W119" s="1"/>
    </row>
    <row r="120" spans="2:23" ht="12.5">
      <c r="B120" s="7" t="str">
        <f t="shared" si="39"/>
        <v/>
      </c>
      <c r="C120" s="50">
        <f>IF(D93="","-",+C119+1)</f>
        <v>2028</v>
      </c>
      <c r="D120" s="12">
        <f>IF(F119+SUM(E$99:E119)=D$92,F119,D$92-SUM(E$99:E119))</f>
        <v>44227.003481703498</v>
      </c>
      <c r="E120" s="378">
        <f>IF(+J96&lt;F119,J96,D120)</f>
        <v>1856.840909090909</v>
      </c>
      <c r="F120" s="55">
        <f t="shared" si="62"/>
        <v>42370.162572612586</v>
      </c>
      <c r="G120" s="55">
        <f t="shared" si="63"/>
        <v>43298.583027158042</v>
      </c>
      <c r="H120" s="380">
        <f t="shared" si="64"/>
        <v>7248.6549764057463</v>
      </c>
      <c r="I120" s="399">
        <f t="shared" si="65"/>
        <v>7248.6549764057463</v>
      </c>
      <c r="J120" s="54">
        <f t="shared" si="35"/>
        <v>0</v>
      </c>
      <c r="K120" s="54"/>
      <c r="L120" s="129"/>
      <c r="M120" s="54">
        <f t="shared" si="36"/>
        <v>0</v>
      </c>
      <c r="N120" s="129"/>
      <c r="O120" s="54">
        <f t="shared" si="37"/>
        <v>0</v>
      </c>
      <c r="P120" s="54">
        <f t="shared" si="38"/>
        <v>0</v>
      </c>
      <c r="Q120" s="1"/>
      <c r="R120" s="1"/>
      <c r="S120" s="1"/>
      <c r="T120" s="1"/>
      <c r="U120" s="1"/>
      <c r="V120" s="1"/>
      <c r="W120" s="1"/>
    </row>
    <row r="121" spans="2:23" ht="12.5">
      <c r="B121" s="7" t="str">
        <f t="shared" si="39"/>
        <v/>
      </c>
      <c r="C121" s="50">
        <f>IF(D93="","-",+C120+1)</f>
        <v>2029</v>
      </c>
      <c r="D121" s="12">
        <f>IF(F120+SUM(E$99:E120)=D$92,F120,D$92-SUM(E$99:E120))</f>
        <v>42370.162572612586</v>
      </c>
      <c r="E121" s="378">
        <f>IF(+J96&lt;F120,J96,D121)</f>
        <v>1856.840909090909</v>
      </c>
      <c r="F121" s="55">
        <f t="shared" si="62"/>
        <v>40513.321663521674</v>
      </c>
      <c r="G121" s="55">
        <f t="shared" si="63"/>
        <v>41441.74211806713</v>
      </c>
      <c r="H121" s="380">
        <f t="shared" si="64"/>
        <v>7017.4293742163536</v>
      </c>
      <c r="I121" s="399">
        <f t="shared" si="65"/>
        <v>7017.4293742163536</v>
      </c>
      <c r="J121" s="54">
        <f t="shared" si="35"/>
        <v>0</v>
      </c>
      <c r="K121" s="54"/>
      <c r="L121" s="129"/>
      <c r="M121" s="54">
        <f t="shared" si="36"/>
        <v>0</v>
      </c>
      <c r="N121" s="129"/>
      <c r="O121" s="54">
        <f t="shared" si="37"/>
        <v>0</v>
      </c>
      <c r="P121" s="54">
        <f t="shared" si="38"/>
        <v>0</v>
      </c>
      <c r="Q121" s="1"/>
      <c r="R121" s="1"/>
      <c r="S121" s="1"/>
      <c r="T121" s="1"/>
      <c r="U121" s="1"/>
      <c r="V121" s="1"/>
      <c r="W121" s="1"/>
    </row>
    <row r="122" spans="2:23" ht="12.5">
      <c r="B122" s="7" t="str">
        <f t="shared" si="39"/>
        <v/>
      </c>
      <c r="C122" s="50">
        <f>IF(D93="","-",+C121+1)</f>
        <v>2030</v>
      </c>
      <c r="D122" s="12">
        <f>IF(F121+SUM(E$99:E121)=D$92,F121,D$92-SUM(E$99:E121))</f>
        <v>40513.321663521674</v>
      </c>
      <c r="E122" s="378">
        <f>IF(+J96&lt;F121,J96,D122)</f>
        <v>1856.840909090909</v>
      </c>
      <c r="F122" s="55">
        <f t="shared" si="62"/>
        <v>38656.480754430762</v>
      </c>
      <c r="G122" s="55">
        <f t="shared" si="63"/>
        <v>39584.901208976218</v>
      </c>
      <c r="H122" s="380">
        <f t="shared" si="64"/>
        <v>6786.20377202696</v>
      </c>
      <c r="I122" s="399">
        <f t="shared" si="65"/>
        <v>6786.20377202696</v>
      </c>
      <c r="J122" s="54">
        <f t="shared" si="35"/>
        <v>0</v>
      </c>
      <c r="K122" s="54"/>
      <c r="L122" s="129"/>
      <c r="M122" s="54">
        <f t="shared" si="36"/>
        <v>0</v>
      </c>
      <c r="N122" s="129"/>
      <c r="O122" s="54">
        <f t="shared" si="37"/>
        <v>0</v>
      </c>
      <c r="P122" s="54">
        <f t="shared" si="38"/>
        <v>0</v>
      </c>
      <c r="Q122" s="1"/>
      <c r="R122" s="1"/>
      <c r="S122" s="1"/>
      <c r="T122" s="1"/>
      <c r="U122" s="1"/>
      <c r="V122" s="1"/>
      <c r="W122" s="1"/>
    </row>
    <row r="123" spans="2:23" ht="12.5">
      <c r="B123" s="7" t="str">
        <f t="shared" si="39"/>
        <v/>
      </c>
      <c r="C123" s="50">
        <f>IF(D93="","-",+C122+1)</f>
        <v>2031</v>
      </c>
      <c r="D123" s="12">
        <f>IF(F122+SUM(E$99:E122)=D$92,F122,D$92-SUM(E$99:E122))</f>
        <v>38656.480754430762</v>
      </c>
      <c r="E123" s="378">
        <f>IF(+J96&lt;F122,J96,D123)</f>
        <v>1856.840909090909</v>
      </c>
      <c r="F123" s="55">
        <f t="shared" si="62"/>
        <v>36799.639845339851</v>
      </c>
      <c r="G123" s="55">
        <f t="shared" si="63"/>
        <v>37728.060299885306</v>
      </c>
      <c r="H123" s="380">
        <f t="shared" si="64"/>
        <v>6554.9781698375673</v>
      </c>
      <c r="I123" s="399">
        <f t="shared" si="65"/>
        <v>6554.9781698375673</v>
      </c>
      <c r="J123" s="54">
        <f t="shared" si="35"/>
        <v>0</v>
      </c>
      <c r="K123" s="54"/>
      <c r="L123" s="129"/>
      <c r="M123" s="54">
        <f t="shared" si="36"/>
        <v>0</v>
      </c>
      <c r="N123" s="129"/>
      <c r="O123" s="54">
        <f t="shared" si="37"/>
        <v>0</v>
      </c>
      <c r="P123" s="54">
        <f t="shared" si="38"/>
        <v>0</v>
      </c>
      <c r="Q123" s="1"/>
      <c r="R123" s="1"/>
      <c r="S123" s="1"/>
      <c r="T123" s="1"/>
      <c r="U123" s="1"/>
      <c r="V123" s="1"/>
      <c r="W123" s="1"/>
    </row>
    <row r="124" spans="2:23" ht="12.5">
      <c r="B124" s="7" t="str">
        <f t="shared" si="39"/>
        <v/>
      </c>
      <c r="C124" s="50">
        <f>IF(D93="","-",+C123+1)</f>
        <v>2032</v>
      </c>
      <c r="D124" s="12">
        <f>IF(F123+SUM(E$99:E123)=D$92,F123,D$92-SUM(E$99:E123))</f>
        <v>36799.639845339851</v>
      </c>
      <c r="E124" s="378">
        <f>IF(+J96&lt;F123,J96,D124)</f>
        <v>1856.840909090909</v>
      </c>
      <c r="F124" s="55">
        <f t="shared" si="62"/>
        <v>34942.798936248939</v>
      </c>
      <c r="G124" s="55">
        <f t="shared" si="63"/>
        <v>35871.219390794395</v>
      </c>
      <c r="H124" s="380">
        <f t="shared" si="64"/>
        <v>6323.7525676481746</v>
      </c>
      <c r="I124" s="399">
        <f t="shared" si="65"/>
        <v>6323.7525676481746</v>
      </c>
      <c r="J124" s="54">
        <f t="shared" si="35"/>
        <v>0</v>
      </c>
      <c r="K124" s="54"/>
      <c r="L124" s="129"/>
      <c r="M124" s="54">
        <f t="shared" si="36"/>
        <v>0</v>
      </c>
      <c r="N124" s="129"/>
      <c r="O124" s="54">
        <f t="shared" si="37"/>
        <v>0</v>
      </c>
      <c r="P124" s="54">
        <f t="shared" si="38"/>
        <v>0</v>
      </c>
      <c r="Q124" s="1"/>
      <c r="R124" s="1"/>
      <c r="S124" s="1"/>
      <c r="T124" s="1"/>
      <c r="U124" s="1"/>
      <c r="V124" s="1"/>
      <c r="W124" s="1"/>
    </row>
    <row r="125" spans="2:23" ht="12.5">
      <c r="B125" s="7" t="str">
        <f t="shared" si="39"/>
        <v/>
      </c>
      <c r="C125" s="50">
        <f>IF(D93="","-",+C124+1)</f>
        <v>2033</v>
      </c>
      <c r="D125" s="12">
        <f>IF(F124+SUM(E$99:E124)=D$92,F124,D$92-SUM(E$99:E124))</f>
        <v>34942.798936248939</v>
      </c>
      <c r="E125" s="378">
        <f>IF(+J96&lt;F124,J96,D125)</f>
        <v>1856.840909090909</v>
      </c>
      <c r="F125" s="55">
        <f t="shared" si="62"/>
        <v>33085.958027158027</v>
      </c>
      <c r="G125" s="55">
        <f t="shared" si="63"/>
        <v>34014.378481703483</v>
      </c>
      <c r="H125" s="380">
        <f t="shared" si="64"/>
        <v>6092.526965458781</v>
      </c>
      <c r="I125" s="399">
        <f t="shared" si="65"/>
        <v>6092.526965458781</v>
      </c>
      <c r="J125" s="54">
        <f t="shared" si="35"/>
        <v>0</v>
      </c>
      <c r="K125" s="54"/>
      <c r="L125" s="129"/>
      <c r="M125" s="54">
        <f t="shared" si="36"/>
        <v>0</v>
      </c>
      <c r="N125" s="129"/>
      <c r="O125" s="54">
        <f t="shared" si="37"/>
        <v>0</v>
      </c>
      <c r="P125" s="54">
        <f t="shared" si="38"/>
        <v>0</v>
      </c>
      <c r="Q125" s="1"/>
      <c r="R125" s="1"/>
      <c r="S125" s="1"/>
      <c r="T125" s="1"/>
      <c r="U125" s="1"/>
      <c r="V125" s="1"/>
      <c r="W125" s="1"/>
    </row>
    <row r="126" spans="2:23" ht="12.5">
      <c r="B126" s="7" t="str">
        <f t="shared" si="39"/>
        <v/>
      </c>
      <c r="C126" s="50">
        <f>IF(D93="","-",+C125+1)</f>
        <v>2034</v>
      </c>
      <c r="D126" s="12">
        <f>IF(F125+SUM(E$99:E125)=D$92,F125,D$92-SUM(E$99:E125))</f>
        <v>33085.958027158027</v>
      </c>
      <c r="E126" s="378">
        <f>IF(+J96&lt;F125,J96,D126)</f>
        <v>1856.840909090909</v>
      </c>
      <c r="F126" s="55">
        <f t="shared" si="62"/>
        <v>31229.117118067119</v>
      </c>
      <c r="G126" s="55">
        <f t="shared" si="63"/>
        <v>32157.537572612571</v>
      </c>
      <c r="H126" s="380">
        <f t="shared" si="64"/>
        <v>5861.3013632693883</v>
      </c>
      <c r="I126" s="399">
        <f t="shared" si="65"/>
        <v>5861.3013632693883</v>
      </c>
      <c r="J126" s="54">
        <f t="shared" si="35"/>
        <v>0</v>
      </c>
      <c r="K126" s="54"/>
      <c r="L126" s="129"/>
      <c r="M126" s="54">
        <f t="shared" si="36"/>
        <v>0</v>
      </c>
      <c r="N126" s="129"/>
      <c r="O126" s="54">
        <f t="shared" si="37"/>
        <v>0</v>
      </c>
      <c r="P126" s="54">
        <f t="shared" si="38"/>
        <v>0</v>
      </c>
      <c r="Q126" s="1"/>
      <c r="R126" s="1"/>
      <c r="S126" s="1"/>
      <c r="T126" s="1"/>
      <c r="U126" s="1"/>
      <c r="V126" s="1"/>
      <c r="W126" s="1"/>
    </row>
    <row r="127" spans="2:23" ht="12.5">
      <c r="B127" s="7" t="str">
        <f t="shared" si="39"/>
        <v/>
      </c>
      <c r="C127" s="50">
        <f>IF(D93="","-",+C126+1)</f>
        <v>2035</v>
      </c>
      <c r="D127" s="12">
        <f>IF(F126+SUM(E$99:E126)=D$92,F126,D$92-SUM(E$99:E126))</f>
        <v>31229.117118067119</v>
      </c>
      <c r="E127" s="378">
        <f>IF(+J96&lt;F126,J96,D127)</f>
        <v>1856.840909090909</v>
      </c>
      <c r="F127" s="55">
        <f t="shared" si="62"/>
        <v>29372.276208976211</v>
      </c>
      <c r="G127" s="55">
        <f t="shared" si="63"/>
        <v>30300.696663521667</v>
      </c>
      <c r="H127" s="380">
        <f t="shared" si="64"/>
        <v>5630.0757610799956</v>
      </c>
      <c r="I127" s="399">
        <f t="shared" si="65"/>
        <v>5630.0757610799956</v>
      </c>
      <c r="J127" s="54">
        <f t="shared" si="35"/>
        <v>0</v>
      </c>
      <c r="K127" s="54"/>
      <c r="L127" s="129"/>
      <c r="M127" s="54">
        <f t="shared" si="36"/>
        <v>0</v>
      </c>
      <c r="N127" s="129"/>
      <c r="O127" s="54">
        <f t="shared" si="37"/>
        <v>0</v>
      </c>
      <c r="P127" s="54">
        <f t="shared" si="38"/>
        <v>0</v>
      </c>
      <c r="Q127" s="1"/>
      <c r="R127" s="1"/>
      <c r="S127" s="1"/>
      <c r="T127" s="1"/>
      <c r="U127" s="1"/>
      <c r="V127" s="1"/>
      <c r="W127" s="1"/>
    </row>
    <row r="128" spans="2:23" ht="12.5">
      <c r="B128" s="7" t="str">
        <f t="shared" si="39"/>
        <v/>
      </c>
      <c r="C128" s="50">
        <f>IF(D93="","-",+C127+1)</f>
        <v>2036</v>
      </c>
      <c r="D128" s="12">
        <f>IF(F127+SUM(E$99:E127)=D$92,F127,D$92-SUM(E$99:E127))</f>
        <v>29372.276208976211</v>
      </c>
      <c r="E128" s="378">
        <f>IF(+J96&lt;F127,J96,D128)</f>
        <v>1856.840909090909</v>
      </c>
      <c r="F128" s="55">
        <f t="shared" si="62"/>
        <v>27515.435299885303</v>
      </c>
      <c r="G128" s="55">
        <f t="shared" si="63"/>
        <v>28443.855754430755</v>
      </c>
      <c r="H128" s="380">
        <f t="shared" si="64"/>
        <v>5398.8501588906038</v>
      </c>
      <c r="I128" s="399">
        <f t="shared" si="65"/>
        <v>5398.8501588906038</v>
      </c>
      <c r="J128" s="54">
        <f t="shared" si="35"/>
        <v>0</v>
      </c>
      <c r="K128" s="54"/>
      <c r="L128" s="129"/>
      <c r="M128" s="54">
        <f t="shared" si="36"/>
        <v>0</v>
      </c>
      <c r="N128" s="129"/>
      <c r="O128" s="54">
        <f t="shared" si="37"/>
        <v>0</v>
      </c>
      <c r="P128" s="54">
        <f t="shared" si="38"/>
        <v>0</v>
      </c>
      <c r="Q128" s="1"/>
      <c r="R128" s="1"/>
      <c r="S128" s="1"/>
      <c r="T128" s="1"/>
      <c r="U128" s="1"/>
      <c r="V128" s="1"/>
      <c r="W128" s="1"/>
    </row>
    <row r="129" spans="2:23" ht="12.5">
      <c r="B129" s="7" t="str">
        <f t="shared" si="39"/>
        <v/>
      </c>
      <c r="C129" s="50">
        <f>IF(D93="","-",+C128+1)</f>
        <v>2037</v>
      </c>
      <c r="D129" s="12">
        <f>IF(F128+SUM(E$99:E128)=D$92,F128,D$92-SUM(E$99:E128))</f>
        <v>27515.435299885303</v>
      </c>
      <c r="E129" s="378">
        <f>IF(+J96&lt;F128,J96,D129)</f>
        <v>1856.840909090909</v>
      </c>
      <c r="F129" s="55">
        <f t="shared" si="62"/>
        <v>25658.594390794395</v>
      </c>
      <c r="G129" s="55">
        <f t="shared" si="63"/>
        <v>26587.014845339851</v>
      </c>
      <c r="H129" s="380">
        <f t="shared" si="64"/>
        <v>5167.6245567012111</v>
      </c>
      <c r="I129" s="399">
        <f t="shared" si="65"/>
        <v>5167.6245567012111</v>
      </c>
      <c r="J129" s="54">
        <f t="shared" si="35"/>
        <v>0</v>
      </c>
      <c r="K129" s="54"/>
      <c r="L129" s="129"/>
      <c r="M129" s="54">
        <f t="shared" si="36"/>
        <v>0</v>
      </c>
      <c r="N129" s="129"/>
      <c r="O129" s="54">
        <f t="shared" si="37"/>
        <v>0</v>
      </c>
      <c r="P129" s="54">
        <f t="shared" si="38"/>
        <v>0</v>
      </c>
      <c r="Q129" s="1"/>
      <c r="R129" s="1"/>
      <c r="S129" s="1"/>
      <c r="T129" s="1"/>
      <c r="U129" s="1"/>
      <c r="V129" s="1"/>
      <c r="W129" s="1"/>
    </row>
    <row r="130" spans="2:23" ht="12.5">
      <c r="B130" s="7" t="str">
        <f t="shared" si="39"/>
        <v/>
      </c>
      <c r="C130" s="50">
        <f>IF(D93="","-",+C129+1)</f>
        <v>2038</v>
      </c>
      <c r="D130" s="12">
        <f>IF(F129+SUM(E$99:E129)=D$92,F129,D$92-SUM(E$99:E129))</f>
        <v>25658.594390794395</v>
      </c>
      <c r="E130" s="378">
        <f>IF(+J96&lt;F129,J96,D130)</f>
        <v>1856.840909090909</v>
      </c>
      <c r="F130" s="55">
        <f t="shared" si="62"/>
        <v>23801.753481703487</v>
      </c>
      <c r="G130" s="55">
        <f t="shared" si="63"/>
        <v>24730.173936248939</v>
      </c>
      <c r="H130" s="380">
        <f t="shared" si="64"/>
        <v>4936.3989545118184</v>
      </c>
      <c r="I130" s="399">
        <f t="shared" si="65"/>
        <v>4936.3989545118184</v>
      </c>
      <c r="J130" s="54">
        <f t="shared" si="35"/>
        <v>0</v>
      </c>
      <c r="K130" s="54"/>
      <c r="L130" s="129"/>
      <c r="M130" s="54">
        <f t="shared" si="36"/>
        <v>0</v>
      </c>
      <c r="N130" s="129"/>
      <c r="O130" s="54">
        <f t="shared" si="37"/>
        <v>0</v>
      </c>
      <c r="P130" s="54">
        <f t="shared" si="38"/>
        <v>0</v>
      </c>
      <c r="Q130" s="1"/>
      <c r="R130" s="1"/>
      <c r="S130" s="1"/>
      <c r="T130" s="1"/>
      <c r="U130" s="1"/>
      <c r="V130" s="1"/>
      <c r="W130" s="1"/>
    </row>
    <row r="131" spans="2:23" ht="12.5">
      <c r="B131" s="7" t="str">
        <f t="shared" si="39"/>
        <v/>
      </c>
      <c r="C131" s="50">
        <f>IF(D93="","-",+C130+1)</f>
        <v>2039</v>
      </c>
      <c r="D131" s="12">
        <f>IF(F130+SUM(E$99:E130)=D$92,F130,D$92-SUM(E$99:E130))</f>
        <v>23801.753481703487</v>
      </c>
      <c r="E131" s="378">
        <f>IF(+J96&lt;F130,J96,D131)</f>
        <v>1856.840909090909</v>
      </c>
      <c r="F131" s="55">
        <f t="shared" ref="F131:F154" si="66">+D131-E131</f>
        <v>21944.912572612579</v>
      </c>
      <c r="G131" s="55">
        <f t="shared" ref="G131:G154" si="67">+(F131+D131)/2</f>
        <v>22873.333027158034</v>
      </c>
      <c r="H131" s="380">
        <f t="shared" si="64"/>
        <v>4705.1733523224266</v>
      </c>
      <c r="I131" s="399">
        <f t="shared" si="65"/>
        <v>4705.1733523224266</v>
      </c>
      <c r="J131" s="54">
        <f t="shared" ref="J131:J154" si="68">+I131-H131</f>
        <v>0</v>
      </c>
      <c r="K131" s="54"/>
      <c r="L131" s="129"/>
      <c r="M131" s="54">
        <f t="shared" ref="M131:M154" si="69">IF(L131&lt;&gt;0,+H131-L131,0)</f>
        <v>0</v>
      </c>
      <c r="N131" s="129"/>
      <c r="O131" s="54">
        <f t="shared" ref="O131:O154" si="70">IF(N131&lt;&gt;0,+I131-N131,0)</f>
        <v>0</v>
      </c>
      <c r="P131" s="54">
        <f t="shared" ref="P131:P154" si="71">+O131-M131</f>
        <v>0</v>
      </c>
      <c r="Q131" s="1"/>
      <c r="R131" s="1"/>
      <c r="S131" s="1"/>
      <c r="T131" s="1"/>
      <c r="U131" s="1"/>
      <c r="V131" s="1"/>
      <c r="W131" s="1"/>
    </row>
    <row r="132" spans="2:23" ht="12.5">
      <c r="B132" s="7" t="str">
        <f t="shared" si="39"/>
        <v/>
      </c>
      <c r="C132" s="50">
        <f>IF(D93="","-",+C131+1)</f>
        <v>2040</v>
      </c>
      <c r="D132" s="12">
        <f>IF(F131+SUM(E$99:E131)=D$92,F131,D$92-SUM(E$99:E131))</f>
        <v>21944.912572612579</v>
      </c>
      <c r="E132" s="378">
        <f>IF(+J96&lt;F131,J96,D132)</f>
        <v>1856.840909090909</v>
      </c>
      <c r="F132" s="55">
        <f t="shared" si="66"/>
        <v>20088.07166352167</v>
      </c>
      <c r="G132" s="55">
        <f t="shared" si="67"/>
        <v>21016.492118067123</v>
      </c>
      <c r="H132" s="380">
        <f t="shared" si="64"/>
        <v>4473.947750133033</v>
      </c>
      <c r="I132" s="399">
        <f t="shared" si="65"/>
        <v>4473.947750133033</v>
      </c>
      <c r="J132" s="54">
        <f t="shared" si="68"/>
        <v>0</v>
      </c>
      <c r="K132" s="54"/>
      <c r="L132" s="129"/>
      <c r="M132" s="54">
        <f t="shared" si="69"/>
        <v>0</v>
      </c>
      <c r="N132" s="129"/>
      <c r="O132" s="54">
        <f t="shared" si="70"/>
        <v>0</v>
      </c>
      <c r="P132" s="54">
        <f t="shared" si="71"/>
        <v>0</v>
      </c>
      <c r="Q132" s="1"/>
      <c r="R132" s="1"/>
      <c r="S132" s="1"/>
      <c r="T132" s="1"/>
      <c r="U132" s="1"/>
      <c r="V132" s="1"/>
      <c r="W132" s="1"/>
    </row>
    <row r="133" spans="2:23" ht="12.5">
      <c r="B133" s="7" t="str">
        <f t="shared" si="39"/>
        <v/>
      </c>
      <c r="C133" s="50">
        <f>IF(D93="","-",+C132+1)</f>
        <v>2041</v>
      </c>
      <c r="D133" s="12">
        <f>IF(F132+SUM(E$99:E132)=D$92,F132,D$92-SUM(E$99:E132))</f>
        <v>20088.07166352167</v>
      </c>
      <c r="E133" s="378">
        <f>IF(+J96&lt;F132,J96,D133)</f>
        <v>1856.840909090909</v>
      </c>
      <c r="F133" s="55">
        <f t="shared" si="66"/>
        <v>18231.230754430762</v>
      </c>
      <c r="G133" s="55">
        <f t="shared" si="67"/>
        <v>19159.651208976218</v>
      </c>
      <c r="H133" s="380">
        <f t="shared" si="64"/>
        <v>4242.7221479436412</v>
      </c>
      <c r="I133" s="399">
        <f t="shared" si="65"/>
        <v>4242.7221479436412</v>
      </c>
      <c r="J133" s="54">
        <f t="shared" si="68"/>
        <v>0</v>
      </c>
      <c r="K133" s="54"/>
      <c r="L133" s="129"/>
      <c r="M133" s="54">
        <f t="shared" si="69"/>
        <v>0</v>
      </c>
      <c r="N133" s="129"/>
      <c r="O133" s="54">
        <f t="shared" si="70"/>
        <v>0</v>
      </c>
      <c r="P133" s="54">
        <f t="shared" si="71"/>
        <v>0</v>
      </c>
      <c r="Q133" s="1"/>
      <c r="R133" s="1"/>
      <c r="S133" s="1"/>
      <c r="T133" s="1"/>
      <c r="U133" s="1"/>
      <c r="V133" s="1"/>
      <c r="W133" s="1"/>
    </row>
    <row r="134" spans="2:23" ht="12.5">
      <c r="B134" s="7" t="str">
        <f t="shared" si="39"/>
        <v/>
      </c>
      <c r="C134" s="50">
        <f>IF(D93="","-",+C133+1)</f>
        <v>2042</v>
      </c>
      <c r="D134" s="12">
        <f>IF(F133+SUM(E$99:E133)=D$92,F133,D$92-SUM(E$99:E133))</f>
        <v>18231.230754430762</v>
      </c>
      <c r="E134" s="378">
        <f>IF(+J96&lt;F133,J96,D134)</f>
        <v>1856.840909090909</v>
      </c>
      <c r="F134" s="55">
        <f t="shared" si="66"/>
        <v>16374.389845339854</v>
      </c>
      <c r="G134" s="55">
        <f t="shared" si="67"/>
        <v>17302.810299885306</v>
      </c>
      <c r="H134" s="380">
        <f t="shared" si="64"/>
        <v>4011.496545754248</v>
      </c>
      <c r="I134" s="399">
        <f t="shared" si="65"/>
        <v>4011.496545754248</v>
      </c>
      <c r="J134" s="54">
        <f t="shared" si="68"/>
        <v>0</v>
      </c>
      <c r="K134" s="54"/>
      <c r="L134" s="129"/>
      <c r="M134" s="54">
        <f t="shared" si="69"/>
        <v>0</v>
      </c>
      <c r="N134" s="129"/>
      <c r="O134" s="54">
        <f t="shared" si="70"/>
        <v>0</v>
      </c>
      <c r="P134" s="54">
        <f t="shared" si="71"/>
        <v>0</v>
      </c>
      <c r="Q134" s="1"/>
      <c r="R134" s="1"/>
      <c r="S134" s="1"/>
      <c r="T134" s="1"/>
      <c r="U134" s="1"/>
      <c r="V134" s="1"/>
      <c r="W134" s="1"/>
    </row>
    <row r="135" spans="2:23" ht="12.5">
      <c r="B135" s="7" t="str">
        <f t="shared" si="39"/>
        <v/>
      </c>
      <c r="C135" s="50">
        <f>IF(D93="","-",+C134+1)</f>
        <v>2043</v>
      </c>
      <c r="D135" s="12">
        <f>IF(F134+SUM(E$99:E134)=D$92,F134,D$92-SUM(E$99:E134))</f>
        <v>16374.389845339854</v>
      </c>
      <c r="E135" s="378">
        <f>IF(+J96&lt;F134,J96,D135)</f>
        <v>1856.840909090909</v>
      </c>
      <c r="F135" s="55">
        <f t="shared" si="66"/>
        <v>14517.548936248946</v>
      </c>
      <c r="G135" s="55">
        <f t="shared" si="67"/>
        <v>15445.9693907944</v>
      </c>
      <c r="H135" s="380">
        <f t="shared" si="64"/>
        <v>3780.2709435648558</v>
      </c>
      <c r="I135" s="399">
        <f t="shared" si="65"/>
        <v>3780.2709435648558</v>
      </c>
      <c r="J135" s="54">
        <f t="shared" si="68"/>
        <v>0</v>
      </c>
      <c r="K135" s="54"/>
      <c r="L135" s="129"/>
      <c r="M135" s="54">
        <f t="shared" si="69"/>
        <v>0</v>
      </c>
      <c r="N135" s="129"/>
      <c r="O135" s="54">
        <f t="shared" si="70"/>
        <v>0</v>
      </c>
      <c r="P135" s="54">
        <f t="shared" si="71"/>
        <v>0</v>
      </c>
      <c r="Q135" s="1"/>
      <c r="R135" s="1"/>
      <c r="S135" s="1"/>
      <c r="T135" s="1"/>
      <c r="U135" s="1"/>
      <c r="V135" s="1"/>
      <c r="W135" s="1"/>
    </row>
    <row r="136" spans="2:23" ht="12.5">
      <c r="B136" s="7" t="str">
        <f t="shared" si="39"/>
        <v/>
      </c>
      <c r="C136" s="50">
        <f>IF(D93="","-",+C135+1)</f>
        <v>2044</v>
      </c>
      <c r="D136" s="12">
        <f>IF(F135+SUM(E$99:E135)=D$92,F135,D$92-SUM(E$99:E135))</f>
        <v>14517.548936248946</v>
      </c>
      <c r="E136" s="378">
        <f>IF(+J96&lt;F135,J96,D136)</f>
        <v>1856.840909090909</v>
      </c>
      <c r="F136" s="55">
        <f t="shared" si="66"/>
        <v>12660.708027158038</v>
      </c>
      <c r="G136" s="55">
        <f t="shared" si="67"/>
        <v>13589.128481703492</v>
      </c>
      <c r="H136" s="380">
        <f t="shared" si="64"/>
        <v>3549.0453413754631</v>
      </c>
      <c r="I136" s="399">
        <f t="shared" si="65"/>
        <v>3549.0453413754631</v>
      </c>
      <c r="J136" s="54">
        <f t="shared" si="68"/>
        <v>0</v>
      </c>
      <c r="K136" s="54"/>
      <c r="L136" s="129"/>
      <c r="M136" s="54">
        <f t="shared" si="69"/>
        <v>0</v>
      </c>
      <c r="N136" s="129"/>
      <c r="O136" s="54">
        <f t="shared" si="70"/>
        <v>0</v>
      </c>
      <c r="P136" s="54">
        <f t="shared" si="71"/>
        <v>0</v>
      </c>
      <c r="Q136" s="1"/>
      <c r="R136" s="1"/>
      <c r="S136" s="1"/>
      <c r="T136" s="1"/>
      <c r="U136" s="1"/>
      <c r="V136" s="1"/>
      <c r="W136" s="1"/>
    </row>
    <row r="137" spans="2:23" ht="12.5">
      <c r="B137" s="7" t="str">
        <f t="shared" si="39"/>
        <v/>
      </c>
      <c r="C137" s="50">
        <f>IF(D93="","-",+C136+1)</f>
        <v>2045</v>
      </c>
      <c r="D137" s="12">
        <f>IF(F136+SUM(E$99:E136)=D$92,F136,D$92-SUM(E$99:E136))</f>
        <v>12660.708027158038</v>
      </c>
      <c r="E137" s="378">
        <f>IF(+J96&lt;F136,J96,D137)</f>
        <v>1856.840909090909</v>
      </c>
      <c r="F137" s="55">
        <f t="shared" si="66"/>
        <v>10803.86711806713</v>
      </c>
      <c r="G137" s="55">
        <f t="shared" si="67"/>
        <v>11732.287572612584</v>
      </c>
      <c r="H137" s="380">
        <f t="shared" si="64"/>
        <v>3317.8197391860704</v>
      </c>
      <c r="I137" s="399">
        <f t="shared" si="65"/>
        <v>3317.8197391860704</v>
      </c>
      <c r="J137" s="54">
        <f t="shared" si="68"/>
        <v>0</v>
      </c>
      <c r="K137" s="54"/>
      <c r="L137" s="129"/>
      <c r="M137" s="54">
        <f t="shared" si="69"/>
        <v>0</v>
      </c>
      <c r="N137" s="129"/>
      <c r="O137" s="54">
        <f t="shared" si="70"/>
        <v>0</v>
      </c>
      <c r="P137" s="54">
        <f t="shared" si="71"/>
        <v>0</v>
      </c>
      <c r="Q137" s="1"/>
      <c r="R137" s="1"/>
      <c r="S137" s="1"/>
      <c r="T137" s="1"/>
      <c r="U137" s="1"/>
      <c r="V137" s="1"/>
      <c r="W137" s="1"/>
    </row>
    <row r="138" spans="2:23" ht="12.5">
      <c r="B138" s="7" t="str">
        <f t="shared" si="39"/>
        <v/>
      </c>
      <c r="C138" s="50">
        <f>IF(D93="","-",+C137+1)</f>
        <v>2046</v>
      </c>
      <c r="D138" s="12">
        <f>IF(F137+SUM(E$99:E137)=D$92,F137,D$92-SUM(E$99:E137))</f>
        <v>10803.86711806713</v>
      </c>
      <c r="E138" s="378">
        <f>IF(+J96&lt;F137,J96,D138)</f>
        <v>1856.840909090909</v>
      </c>
      <c r="F138" s="55">
        <f t="shared" si="66"/>
        <v>8947.0262089762218</v>
      </c>
      <c r="G138" s="55">
        <f t="shared" si="67"/>
        <v>9875.4466635216759</v>
      </c>
      <c r="H138" s="380">
        <f t="shared" si="64"/>
        <v>3086.5941369966781</v>
      </c>
      <c r="I138" s="399">
        <f t="shared" si="65"/>
        <v>3086.5941369966781</v>
      </c>
      <c r="J138" s="54">
        <f t="shared" si="68"/>
        <v>0</v>
      </c>
      <c r="K138" s="54"/>
      <c r="L138" s="129"/>
      <c r="M138" s="54">
        <f t="shared" si="69"/>
        <v>0</v>
      </c>
      <c r="N138" s="129"/>
      <c r="O138" s="54">
        <f t="shared" si="70"/>
        <v>0</v>
      </c>
      <c r="P138" s="54">
        <f t="shared" si="71"/>
        <v>0</v>
      </c>
      <c r="Q138" s="1"/>
      <c r="R138" s="1"/>
      <c r="S138" s="1"/>
      <c r="T138" s="1"/>
      <c r="U138" s="1"/>
      <c r="V138" s="1"/>
      <c r="W138" s="1"/>
    </row>
    <row r="139" spans="2:23" ht="12.5">
      <c r="B139" s="7" t="str">
        <f t="shared" si="39"/>
        <v/>
      </c>
      <c r="C139" s="50">
        <f>IF(D93="","-",+C138+1)</f>
        <v>2047</v>
      </c>
      <c r="D139" s="12">
        <f>IF(F138+SUM(E$99:E138)=D$92,F138,D$92-SUM(E$99:E138))</f>
        <v>8947.0262089762218</v>
      </c>
      <c r="E139" s="378">
        <f>IF(+J96&lt;F138,J96,D139)</f>
        <v>1856.840909090909</v>
      </c>
      <c r="F139" s="55">
        <f t="shared" si="66"/>
        <v>7090.1852998853128</v>
      </c>
      <c r="G139" s="55">
        <f t="shared" si="67"/>
        <v>8018.6057544307678</v>
      </c>
      <c r="H139" s="380">
        <f t="shared" si="64"/>
        <v>2855.3685348072854</v>
      </c>
      <c r="I139" s="399">
        <f t="shared" si="65"/>
        <v>2855.3685348072854</v>
      </c>
      <c r="J139" s="54">
        <f t="shared" si="68"/>
        <v>0</v>
      </c>
      <c r="K139" s="54"/>
      <c r="L139" s="129"/>
      <c r="M139" s="54">
        <f t="shared" si="69"/>
        <v>0</v>
      </c>
      <c r="N139" s="129"/>
      <c r="O139" s="54">
        <f t="shared" si="70"/>
        <v>0</v>
      </c>
      <c r="P139" s="54">
        <f t="shared" si="71"/>
        <v>0</v>
      </c>
      <c r="Q139" s="1"/>
      <c r="R139" s="1"/>
      <c r="S139" s="1"/>
      <c r="T139" s="1"/>
      <c r="U139" s="1"/>
      <c r="V139" s="1"/>
      <c r="W139" s="1"/>
    </row>
    <row r="140" spans="2:23" ht="12.5">
      <c r="B140" s="7" t="str">
        <f t="shared" si="39"/>
        <v/>
      </c>
      <c r="C140" s="50">
        <f>IF(D93="","-",+C139+1)</f>
        <v>2048</v>
      </c>
      <c r="D140" s="12">
        <f>IF(F139+SUM(E$99:E139)=D$92,F139,D$92-SUM(E$99:E139))</f>
        <v>7090.1852998853128</v>
      </c>
      <c r="E140" s="378">
        <f>IF(+J96&lt;F139,J96,D140)</f>
        <v>1856.840909090909</v>
      </c>
      <c r="F140" s="55">
        <f t="shared" si="66"/>
        <v>5233.3443907944038</v>
      </c>
      <c r="G140" s="55">
        <f t="shared" si="67"/>
        <v>6161.7648453398579</v>
      </c>
      <c r="H140" s="380">
        <f t="shared" si="64"/>
        <v>2624.1429326178927</v>
      </c>
      <c r="I140" s="399">
        <f t="shared" si="65"/>
        <v>2624.1429326178927</v>
      </c>
      <c r="J140" s="54">
        <f t="shared" si="68"/>
        <v>0</v>
      </c>
      <c r="K140" s="54"/>
      <c r="L140" s="129"/>
      <c r="M140" s="54">
        <f t="shared" si="69"/>
        <v>0</v>
      </c>
      <c r="N140" s="129"/>
      <c r="O140" s="54">
        <f t="shared" si="70"/>
        <v>0</v>
      </c>
      <c r="P140" s="54">
        <f t="shared" si="71"/>
        <v>0</v>
      </c>
      <c r="Q140" s="1"/>
      <c r="R140" s="1"/>
      <c r="S140" s="1"/>
      <c r="T140" s="1"/>
      <c r="U140" s="1"/>
      <c r="V140" s="1"/>
      <c r="W140" s="1"/>
    </row>
    <row r="141" spans="2:23" ht="12.5">
      <c r="B141" s="401" t="str">
        <f t="shared" si="39"/>
        <v/>
      </c>
      <c r="C141" s="50">
        <f>IF(D93="","-",+C140+1)</f>
        <v>2049</v>
      </c>
      <c r="D141" s="12">
        <f>IF(F140+SUM(E$99:E140)=D$92,F140,D$92-SUM(E$99:E140))</f>
        <v>5233.3443907944038</v>
      </c>
      <c r="E141" s="378">
        <f>IF(+J96&lt;F140,J96,D141)</f>
        <v>1856.840909090909</v>
      </c>
      <c r="F141" s="55">
        <f t="shared" si="66"/>
        <v>3376.5034817034948</v>
      </c>
      <c r="G141" s="55">
        <f t="shared" si="67"/>
        <v>4304.9239362489498</v>
      </c>
      <c r="H141" s="380">
        <f t="shared" si="64"/>
        <v>2392.9173304285005</v>
      </c>
      <c r="I141" s="399">
        <f t="shared" si="65"/>
        <v>2392.9173304285005</v>
      </c>
      <c r="J141" s="54">
        <f t="shared" si="68"/>
        <v>0</v>
      </c>
      <c r="K141" s="54"/>
      <c r="L141" s="129"/>
      <c r="M141" s="54">
        <f t="shared" si="69"/>
        <v>0</v>
      </c>
      <c r="N141" s="129"/>
      <c r="O141" s="54">
        <f t="shared" si="70"/>
        <v>0</v>
      </c>
      <c r="P141" s="54">
        <f t="shared" si="71"/>
        <v>0</v>
      </c>
      <c r="Q141" s="1"/>
      <c r="R141" s="1"/>
      <c r="S141" s="1"/>
      <c r="T141" s="1"/>
      <c r="U141" s="1"/>
      <c r="V141" s="1"/>
      <c r="W141" s="1"/>
    </row>
    <row r="142" spans="2:23" ht="12.5">
      <c r="B142" s="7" t="str">
        <f t="shared" si="39"/>
        <v/>
      </c>
      <c r="C142" s="50">
        <f>IF(D93="","-",+C141+1)</f>
        <v>2050</v>
      </c>
      <c r="D142" s="12">
        <f>IF(F141+SUM(E$99:E141)=D$92,F141,D$92-SUM(E$99:E141))</f>
        <v>3376.5034817034948</v>
      </c>
      <c r="E142" s="378">
        <f>IF(+J96&lt;F141,J96,D142)</f>
        <v>1856.840909090909</v>
      </c>
      <c r="F142" s="55">
        <f t="shared" si="66"/>
        <v>1519.6625726125858</v>
      </c>
      <c r="G142" s="55">
        <f t="shared" si="67"/>
        <v>2448.0830271580403</v>
      </c>
      <c r="H142" s="380">
        <f t="shared" si="64"/>
        <v>2161.6917282391073</v>
      </c>
      <c r="I142" s="399">
        <f t="shared" si="65"/>
        <v>2161.6917282391073</v>
      </c>
      <c r="J142" s="54">
        <f t="shared" si="68"/>
        <v>0</v>
      </c>
      <c r="K142" s="54"/>
      <c r="L142" s="129"/>
      <c r="M142" s="54">
        <f t="shared" si="69"/>
        <v>0</v>
      </c>
      <c r="N142" s="129"/>
      <c r="O142" s="54">
        <f t="shared" si="70"/>
        <v>0</v>
      </c>
      <c r="P142" s="54">
        <f t="shared" si="71"/>
        <v>0</v>
      </c>
      <c r="Q142" s="1"/>
      <c r="R142" s="1"/>
      <c r="S142" s="1"/>
      <c r="T142" s="1"/>
      <c r="U142" s="1"/>
      <c r="V142" s="1"/>
      <c r="W142" s="1"/>
    </row>
    <row r="143" spans="2:23" ht="12.5">
      <c r="B143" s="7" t="str">
        <f t="shared" si="39"/>
        <v/>
      </c>
      <c r="C143" s="50">
        <f>IF(D93="","-",+C142+1)</f>
        <v>2051</v>
      </c>
      <c r="D143" s="12">
        <f>IF(F142+SUM(E$99:E142)=D$92,F142,D$92-SUM(E$99:E142))</f>
        <v>1519.6625726125858</v>
      </c>
      <c r="E143" s="378">
        <f>IF(+J96&lt;F142,J96,D143)</f>
        <v>1519.6625726125858</v>
      </c>
      <c r="F143" s="55">
        <f t="shared" si="66"/>
        <v>0</v>
      </c>
      <c r="G143" s="55">
        <f t="shared" si="67"/>
        <v>759.8312863062929</v>
      </c>
      <c r="H143" s="380">
        <f t="shared" si="64"/>
        <v>1614.2815816393368</v>
      </c>
      <c r="I143" s="399">
        <f t="shared" si="65"/>
        <v>1614.2815816393368</v>
      </c>
      <c r="J143" s="54">
        <f t="shared" si="68"/>
        <v>0</v>
      </c>
      <c r="K143" s="54"/>
      <c r="L143" s="129"/>
      <c r="M143" s="54">
        <f t="shared" si="69"/>
        <v>0</v>
      </c>
      <c r="N143" s="129"/>
      <c r="O143" s="54">
        <f t="shared" si="70"/>
        <v>0</v>
      </c>
      <c r="P143" s="54">
        <f t="shared" si="71"/>
        <v>0</v>
      </c>
      <c r="Q143" s="1"/>
      <c r="R143" s="1"/>
      <c r="S143" s="1"/>
      <c r="T143" s="1"/>
      <c r="U143" s="1"/>
      <c r="V143" s="1"/>
      <c r="W143" s="1"/>
    </row>
    <row r="144" spans="2:23" ht="12.5">
      <c r="B144" s="7" t="str">
        <f t="shared" si="39"/>
        <v/>
      </c>
      <c r="C144" s="50">
        <f>IF(D93="","-",+C143+1)</f>
        <v>2052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66"/>
        <v>0</v>
      </c>
      <c r="G144" s="55">
        <f t="shared" si="67"/>
        <v>0</v>
      </c>
      <c r="H144" s="380">
        <f t="shared" si="64"/>
        <v>0</v>
      </c>
      <c r="I144" s="399">
        <f t="shared" si="65"/>
        <v>0</v>
      </c>
      <c r="J144" s="54">
        <f t="shared" si="68"/>
        <v>0</v>
      </c>
      <c r="K144" s="54"/>
      <c r="L144" s="129"/>
      <c r="M144" s="54">
        <f t="shared" si="69"/>
        <v>0</v>
      </c>
      <c r="N144" s="129"/>
      <c r="O144" s="54">
        <f t="shared" si="70"/>
        <v>0</v>
      </c>
      <c r="P144" s="54">
        <f t="shared" si="71"/>
        <v>0</v>
      </c>
      <c r="Q144" s="1"/>
      <c r="R144" s="1"/>
      <c r="S144" s="1"/>
      <c r="T144" s="1"/>
      <c r="U144" s="1"/>
      <c r="V144" s="1"/>
      <c r="W144" s="1"/>
    </row>
    <row r="145" spans="2:23" ht="12.5">
      <c r="B145" s="7" t="str">
        <f t="shared" si="39"/>
        <v/>
      </c>
      <c r="C145" s="50">
        <f>IF(D93="","-",+C144+1)</f>
        <v>2053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66"/>
        <v>0</v>
      </c>
      <c r="G145" s="55">
        <f t="shared" si="67"/>
        <v>0</v>
      </c>
      <c r="H145" s="380">
        <f t="shared" si="64"/>
        <v>0</v>
      </c>
      <c r="I145" s="399">
        <f t="shared" si="65"/>
        <v>0</v>
      </c>
      <c r="J145" s="54">
        <f t="shared" si="68"/>
        <v>0</v>
      </c>
      <c r="K145" s="54"/>
      <c r="L145" s="129"/>
      <c r="M145" s="54">
        <f t="shared" si="69"/>
        <v>0</v>
      </c>
      <c r="N145" s="129"/>
      <c r="O145" s="54">
        <f t="shared" si="70"/>
        <v>0</v>
      </c>
      <c r="P145" s="54">
        <f t="shared" si="71"/>
        <v>0</v>
      </c>
      <c r="Q145" s="1"/>
      <c r="R145" s="1"/>
      <c r="S145" s="1"/>
      <c r="T145" s="1"/>
      <c r="U145" s="1"/>
      <c r="V145" s="1"/>
      <c r="W145" s="1"/>
    </row>
    <row r="146" spans="2:23" ht="12.5">
      <c r="B146" s="7" t="str">
        <f t="shared" si="39"/>
        <v/>
      </c>
      <c r="C146" s="50">
        <f>IF(D93="","-",+C145+1)</f>
        <v>2054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66"/>
        <v>0</v>
      </c>
      <c r="G146" s="55">
        <f t="shared" si="67"/>
        <v>0</v>
      </c>
      <c r="H146" s="380">
        <f t="shared" si="64"/>
        <v>0</v>
      </c>
      <c r="I146" s="399">
        <f t="shared" si="65"/>
        <v>0</v>
      </c>
      <c r="J146" s="54">
        <f t="shared" si="68"/>
        <v>0</v>
      </c>
      <c r="K146" s="54"/>
      <c r="L146" s="129"/>
      <c r="M146" s="54">
        <f t="shared" si="69"/>
        <v>0</v>
      </c>
      <c r="N146" s="129"/>
      <c r="O146" s="54">
        <f t="shared" si="70"/>
        <v>0</v>
      </c>
      <c r="P146" s="54">
        <f t="shared" si="71"/>
        <v>0</v>
      </c>
      <c r="Q146" s="1"/>
      <c r="R146" s="1"/>
      <c r="S146" s="1"/>
      <c r="T146" s="1"/>
      <c r="U146" s="1"/>
      <c r="V146" s="1"/>
      <c r="W146" s="1"/>
    </row>
    <row r="147" spans="2:23" ht="12.5">
      <c r="B147" s="7" t="str">
        <f t="shared" si="39"/>
        <v/>
      </c>
      <c r="C147" s="50">
        <f>IF(D93="","-",+C146+1)</f>
        <v>2055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66"/>
        <v>0</v>
      </c>
      <c r="G147" s="55">
        <f t="shared" si="67"/>
        <v>0</v>
      </c>
      <c r="H147" s="380">
        <f t="shared" si="64"/>
        <v>0</v>
      </c>
      <c r="I147" s="399">
        <f t="shared" si="65"/>
        <v>0</v>
      </c>
      <c r="J147" s="54">
        <f t="shared" si="68"/>
        <v>0</v>
      </c>
      <c r="K147" s="54"/>
      <c r="L147" s="129"/>
      <c r="M147" s="54">
        <f t="shared" si="69"/>
        <v>0</v>
      </c>
      <c r="N147" s="129"/>
      <c r="O147" s="54">
        <f t="shared" si="70"/>
        <v>0</v>
      </c>
      <c r="P147" s="54">
        <f t="shared" si="71"/>
        <v>0</v>
      </c>
      <c r="Q147" s="1"/>
      <c r="R147" s="1"/>
      <c r="S147" s="1"/>
      <c r="T147" s="1"/>
      <c r="U147" s="1"/>
      <c r="V147" s="1"/>
      <c r="W147" s="1"/>
    </row>
    <row r="148" spans="2:23" ht="12.5">
      <c r="B148" s="7" t="str">
        <f t="shared" si="39"/>
        <v/>
      </c>
      <c r="C148" s="50">
        <f>IF(D93="","-",+C147+1)</f>
        <v>2056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66"/>
        <v>0</v>
      </c>
      <c r="G148" s="55">
        <f t="shared" si="67"/>
        <v>0</v>
      </c>
      <c r="H148" s="380">
        <f t="shared" si="64"/>
        <v>0</v>
      </c>
      <c r="I148" s="399">
        <f t="shared" si="65"/>
        <v>0</v>
      </c>
      <c r="J148" s="54">
        <f t="shared" si="68"/>
        <v>0</v>
      </c>
      <c r="K148" s="54"/>
      <c r="L148" s="129"/>
      <c r="M148" s="54">
        <f t="shared" si="69"/>
        <v>0</v>
      </c>
      <c r="N148" s="129"/>
      <c r="O148" s="54">
        <f t="shared" si="70"/>
        <v>0</v>
      </c>
      <c r="P148" s="54">
        <f t="shared" si="71"/>
        <v>0</v>
      </c>
      <c r="Q148" s="1"/>
      <c r="R148" s="1"/>
      <c r="S148" s="1"/>
      <c r="T148" s="1"/>
      <c r="U148" s="1"/>
      <c r="V148" s="1"/>
      <c r="W148" s="1"/>
    </row>
    <row r="149" spans="2:23" ht="12.5">
      <c r="B149" s="7" t="str">
        <f t="shared" si="39"/>
        <v/>
      </c>
      <c r="C149" s="50">
        <f>IF(D93="","-",+C148+1)</f>
        <v>2057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66"/>
        <v>0</v>
      </c>
      <c r="G149" s="55">
        <f t="shared" si="67"/>
        <v>0</v>
      </c>
      <c r="H149" s="380">
        <f t="shared" si="64"/>
        <v>0</v>
      </c>
      <c r="I149" s="399">
        <f t="shared" si="65"/>
        <v>0</v>
      </c>
      <c r="J149" s="54">
        <f t="shared" si="68"/>
        <v>0</v>
      </c>
      <c r="K149" s="54"/>
      <c r="L149" s="129"/>
      <c r="M149" s="54">
        <f t="shared" si="69"/>
        <v>0</v>
      </c>
      <c r="N149" s="129"/>
      <c r="O149" s="54">
        <f t="shared" si="70"/>
        <v>0</v>
      </c>
      <c r="P149" s="54">
        <f t="shared" si="71"/>
        <v>0</v>
      </c>
      <c r="Q149" s="1"/>
      <c r="R149" s="1"/>
      <c r="S149" s="1"/>
      <c r="T149" s="1"/>
      <c r="U149" s="1"/>
      <c r="V149" s="1"/>
      <c r="W149" s="1"/>
    </row>
    <row r="150" spans="2:23" ht="12.5">
      <c r="B150" s="7" t="str">
        <f t="shared" si="39"/>
        <v/>
      </c>
      <c r="C150" s="50">
        <f>IF(D93="","-",+C149+1)</f>
        <v>2058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66"/>
        <v>0</v>
      </c>
      <c r="G150" s="55">
        <f t="shared" si="67"/>
        <v>0</v>
      </c>
      <c r="H150" s="380">
        <f t="shared" si="64"/>
        <v>0</v>
      </c>
      <c r="I150" s="399">
        <f t="shared" si="65"/>
        <v>0</v>
      </c>
      <c r="J150" s="54">
        <f t="shared" si="68"/>
        <v>0</v>
      </c>
      <c r="K150" s="54"/>
      <c r="L150" s="129"/>
      <c r="M150" s="54">
        <f t="shared" si="69"/>
        <v>0</v>
      </c>
      <c r="N150" s="129"/>
      <c r="O150" s="54">
        <f t="shared" si="70"/>
        <v>0</v>
      </c>
      <c r="P150" s="54">
        <f t="shared" si="71"/>
        <v>0</v>
      </c>
      <c r="Q150" s="1"/>
      <c r="R150" s="1"/>
      <c r="S150" s="1"/>
      <c r="T150" s="1"/>
      <c r="U150" s="1"/>
      <c r="V150" s="1"/>
      <c r="W150" s="1"/>
    </row>
    <row r="151" spans="2:23" ht="12.5">
      <c r="B151" s="7" t="str">
        <f t="shared" si="39"/>
        <v/>
      </c>
      <c r="C151" s="50">
        <f>IF(D93="","-",+C150+1)</f>
        <v>2059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66"/>
        <v>0</v>
      </c>
      <c r="G151" s="55">
        <f t="shared" si="67"/>
        <v>0</v>
      </c>
      <c r="H151" s="380">
        <f t="shared" si="64"/>
        <v>0</v>
      </c>
      <c r="I151" s="399">
        <f t="shared" si="65"/>
        <v>0</v>
      </c>
      <c r="J151" s="54">
        <f t="shared" si="68"/>
        <v>0</v>
      </c>
      <c r="K151" s="54"/>
      <c r="L151" s="129"/>
      <c r="M151" s="54">
        <f t="shared" si="69"/>
        <v>0</v>
      </c>
      <c r="N151" s="129"/>
      <c r="O151" s="54">
        <f t="shared" si="70"/>
        <v>0</v>
      </c>
      <c r="P151" s="54">
        <f t="shared" si="71"/>
        <v>0</v>
      </c>
      <c r="Q151" s="1"/>
      <c r="R151" s="1"/>
      <c r="S151" s="1"/>
      <c r="T151" s="1"/>
      <c r="U151" s="1"/>
      <c r="V151" s="1"/>
      <c r="W151" s="1"/>
    </row>
    <row r="152" spans="2:23" ht="12.5">
      <c r="B152" s="7" t="str">
        <f t="shared" si="39"/>
        <v/>
      </c>
      <c r="C152" s="50">
        <f>IF(D93="","-",+C151+1)</f>
        <v>2060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66"/>
        <v>0</v>
      </c>
      <c r="G152" s="55">
        <f t="shared" si="67"/>
        <v>0</v>
      </c>
      <c r="H152" s="380">
        <f t="shared" si="64"/>
        <v>0</v>
      </c>
      <c r="I152" s="399">
        <f t="shared" si="65"/>
        <v>0</v>
      </c>
      <c r="J152" s="54">
        <f t="shared" si="68"/>
        <v>0</v>
      </c>
      <c r="K152" s="54"/>
      <c r="L152" s="129"/>
      <c r="M152" s="54">
        <f t="shared" si="69"/>
        <v>0</v>
      </c>
      <c r="N152" s="129"/>
      <c r="O152" s="54">
        <f t="shared" si="70"/>
        <v>0</v>
      </c>
      <c r="P152" s="54">
        <f t="shared" si="71"/>
        <v>0</v>
      </c>
      <c r="Q152" s="1"/>
      <c r="R152" s="1"/>
      <c r="S152" s="1"/>
      <c r="T152" s="1"/>
      <c r="U152" s="1"/>
      <c r="V152" s="1"/>
      <c r="W152" s="1"/>
    </row>
    <row r="153" spans="2:23" ht="12.5">
      <c r="B153" s="7" t="str">
        <f t="shared" si="39"/>
        <v/>
      </c>
      <c r="C153" s="50">
        <f>IF(D93="","-",+C152+1)</f>
        <v>2061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66"/>
        <v>0</v>
      </c>
      <c r="G153" s="55">
        <f t="shared" si="67"/>
        <v>0</v>
      </c>
      <c r="H153" s="380">
        <f t="shared" si="64"/>
        <v>0</v>
      </c>
      <c r="I153" s="399">
        <f t="shared" si="65"/>
        <v>0</v>
      </c>
      <c r="J153" s="54">
        <f t="shared" si="68"/>
        <v>0</v>
      </c>
      <c r="K153" s="54"/>
      <c r="L153" s="129"/>
      <c r="M153" s="54">
        <f t="shared" si="69"/>
        <v>0</v>
      </c>
      <c r="N153" s="129"/>
      <c r="O153" s="54">
        <f t="shared" si="70"/>
        <v>0</v>
      </c>
      <c r="P153" s="54">
        <f t="shared" si="71"/>
        <v>0</v>
      </c>
      <c r="Q153" s="1"/>
      <c r="R153" s="1"/>
      <c r="S153" s="1"/>
      <c r="T153" s="1"/>
      <c r="U153" s="1"/>
      <c r="V153" s="1"/>
      <c r="W153" s="1"/>
    </row>
    <row r="154" spans="2:23" ht="13" thickBot="1">
      <c r="B154" s="7" t="str">
        <f t="shared" si="39"/>
        <v/>
      </c>
      <c r="C154" s="59">
        <f>IF(D93="","-",+C153+1)</f>
        <v>2062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66"/>
        <v>0</v>
      </c>
      <c r="G154" s="60">
        <f t="shared" si="67"/>
        <v>0</v>
      </c>
      <c r="H154" s="382">
        <f t="shared" si="64"/>
        <v>0</v>
      </c>
      <c r="I154" s="400">
        <f t="shared" si="65"/>
        <v>0</v>
      </c>
      <c r="J154" s="64">
        <f t="shared" si="68"/>
        <v>0</v>
      </c>
      <c r="K154" s="54"/>
      <c r="L154" s="130"/>
      <c r="M154" s="64">
        <f t="shared" si="69"/>
        <v>0</v>
      </c>
      <c r="N154" s="130"/>
      <c r="O154" s="64">
        <f t="shared" si="70"/>
        <v>0</v>
      </c>
      <c r="P154" s="64">
        <f t="shared" si="71"/>
        <v>0</v>
      </c>
      <c r="Q154" s="1"/>
      <c r="R154" s="1"/>
      <c r="S154" s="1"/>
      <c r="T154" s="1"/>
      <c r="U154" s="1"/>
      <c r="V154" s="1"/>
      <c r="W154" s="1"/>
    </row>
    <row r="155" spans="2:23" ht="12.5">
      <c r="C155" s="12" t="s">
        <v>78</v>
      </c>
      <c r="D155" s="293"/>
      <c r="E155" s="293">
        <f>SUM(E99:E154)</f>
        <v>81701.000000000029</v>
      </c>
      <c r="F155" s="293"/>
      <c r="G155" s="293"/>
      <c r="H155" s="293">
        <f>SUM(H99:H154)</f>
        <v>309746.56931830221</v>
      </c>
      <c r="I155" s="293">
        <f>SUM(I99:I154)</f>
        <v>309746.56931830221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  <c r="R155" s="1"/>
      <c r="S155" s="1"/>
      <c r="T155" s="1"/>
      <c r="U155" s="1"/>
      <c r="V155" s="1"/>
      <c r="W155" s="1"/>
    </row>
    <row r="156" spans="2:23" ht="12.5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  <c r="R156" s="1"/>
      <c r="S156" s="1"/>
      <c r="T156" s="1"/>
      <c r="U156" s="1"/>
      <c r="V156" s="1"/>
      <c r="W156" s="1"/>
    </row>
    <row r="157" spans="2:23" ht="12.5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  <c r="R157" s="1"/>
      <c r="S157" s="1"/>
      <c r="T157" s="1"/>
      <c r="U157" s="1"/>
      <c r="V157" s="1"/>
      <c r="W157" s="1"/>
    </row>
    <row r="158" spans="2:23" ht="12.5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  <c r="R158" s="1"/>
      <c r="S158" s="1"/>
      <c r="T158" s="1"/>
      <c r="U158" s="1"/>
      <c r="V158" s="1"/>
      <c r="W158" s="1"/>
    </row>
    <row r="159" spans="2:23" ht="13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  <c r="R159" s="1"/>
      <c r="S159" s="1"/>
      <c r="T159" s="1"/>
      <c r="U159" s="1"/>
      <c r="V159" s="1"/>
      <c r="W159" s="1"/>
    </row>
    <row r="160" spans="2:23" ht="13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  <c r="R160" s="1"/>
      <c r="S160" s="1"/>
      <c r="T160" s="1"/>
      <c r="U160" s="1"/>
      <c r="V160" s="1"/>
      <c r="W160" s="1"/>
    </row>
    <row r="161" spans="3:23" ht="13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  <c r="R161" s="1"/>
      <c r="S161" s="1"/>
      <c r="T161" s="1"/>
      <c r="U161" s="1"/>
      <c r="V161" s="1"/>
      <c r="W161" s="1"/>
    </row>
    <row r="162" spans="3:23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  <c r="R162" s="1"/>
      <c r="S162" s="1"/>
      <c r="T162" s="1"/>
      <c r="U162" s="1"/>
      <c r="V162" s="1"/>
      <c r="W162" s="1"/>
    </row>
  </sheetData>
  <phoneticPr fontId="0" type="noConversion"/>
  <conditionalFormatting sqref="C17:C72">
    <cfRule type="cellIs" dxfId="129" priority="1" stopIfTrue="1" operator="equal">
      <formula>$I$10</formula>
    </cfRule>
  </conditionalFormatting>
  <conditionalFormatting sqref="C99:C154">
    <cfRule type="cellIs" dxfId="12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64"/>
  <dimension ref="A1:Q162"/>
  <sheetViews>
    <sheetView topLeftCell="A74" zoomScaleNormal="100" zoomScaleSheetLayoutView="75" workbookViewId="0">
      <selection activeCell="D34" sqref="D34:H34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15 of 77</v>
      </c>
      <c r="Q1" s="13"/>
    </row>
    <row r="2" spans="1:17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34602.180554888044</v>
      </c>
      <c r="P5" s="1"/>
    </row>
    <row r="6" spans="1:17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34602.180554888044</v>
      </c>
      <c r="O6" s="1"/>
      <c r="P6" s="1"/>
    </row>
    <row r="7" spans="1:17" ht="13.5" thickBot="1">
      <c r="C7" s="25" t="s">
        <v>48</v>
      </c>
      <c r="D7" s="127" t="s">
        <v>244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85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153</v>
      </c>
      <c r="E9" s="31" t="s">
        <v>496</v>
      </c>
      <c r="F9" s="462">
        <v>30000</v>
      </c>
      <c r="G9" s="31"/>
      <c r="H9" s="31"/>
      <c r="I9" s="32"/>
      <c r="J9" s="33"/>
      <c r="P9" s="1"/>
    </row>
    <row r="10" spans="1:17" ht="13">
      <c r="C10" s="34" t="s">
        <v>51</v>
      </c>
      <c r="D10" s="363">
        <v>372149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7" ht="12.5">
      <c r="C11" s="34" t="s">
        <v>54</v>
      </c>
      <c r="D11" s="37">
        <v>2007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3">
        <v>7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8457.931818181818</v>
      </c>
      <c r="J14" s="293"/>
      <c r="K14" s="293"/>
      <c r="L14" s="293"/>
      <c r="M14" s="293"/>
      <c r="N14" s="293"/>
      <c r="O14" s="1"/>
      <c r="P14" s="1"/>
    </row>
    <row r="15" spans="1:17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2007</v>
      </c>
      <c r="D17" s="133">
        <v>367119</v>
      </c>
      <c r="E17" s="374">
        <v>10058</v>
      </c>
      <c r="F17" s="133">
        <v>357061</v>
      </c>
      <c r="G17" s="374">
        <v>37924</v>
      </c>
      <c r="H17" s="375">
        <v>37924</v>
      </c>
      <c r="I17" s="153">
        <f t="shared" ref="I17:I48" si="0">H17-G17</f>
        <v>0</v>
      </c>
      <c r="J17" s="52"/>
      <c r="K17" s="112">
        <v>0</v>
      </c>
      <c r="L17" s="53">
        <f t="shared" ref="L17:L48" si="1">IF(K17&lt;&gt;0,+G17-K17,0)</f>
        <v>0</v>
      </c>
      <c r="M17" s="112">
        <v>0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2008</v>
      </c>
      <c r="D18" s="137">
        <v>357061</v>
      </c>
      <c r="E18" s="376">
        <v>10058</v>
      </c>
      <c r="F18" s="137">
        <v>347003</v>
      </c>
      <c r="G18" s="376">
        <v>63360</v>
      </c>
      <c r="H18" s="375">
        <v>63360</v>
      </c>
      <c r="I18" s="153">
        <f t="shared" si="0"/>
        <v>0</v>
      </c>
      <c r="J18" s="52"/>
      <c r="K18" s="113">
        <v>63360</v>
      </c>
      <c r="L18" s="54">
        <f t="shared" si="1"/>
        <v>0</v>
      </c>
      <c r="M18" s="113">
        <v>63360</v>
      </c>
      <c r="N18" s="54">
        <f t="shared" si="2"/>
        <v>0</v>
      </c>
      <c r="O18" s="54">
        <f t="shared" si="3"/>
        <v>0</v>
      </c>
      <c r="P18" s="1"/>
    </row>
    <row r="19" spans="2:16" ht="12.5">
      <c r="B19" s="7" t="str">
        <f>IF(D19=F18,"","IU")</f>
        <v>IU</v>
      </c>
      <c r="C19" s="50">
        <f>IF(D11="","-",+C18+1)</f>
        <v>2009</v>
      </c>
      <c r="D19" s="137">
        <v>238456</v>
      </c>
      <c r="E19" s="376">
        <v>6701</v>
      </c>
      <c r="F19" s="137">
        <v>231755</v>
      </c>
      <c r="G19" s="376">
        <v>42221</v>
      </c>
      <c r="H19" s="375">
        <v>42221</v>
      </c>
      <c r="I19" s="153">
        <f t="shared" si="0"/>
        <v>0</v>
      </c>
      <c r="J19" s="52"/>
      <c r="K19" s="113">
        <v>42221</v>
      </c>
      <c r="L19" s="54">
        <f t="shared" si="1"/>
        <v>0</v>
      </c>
      <c r="M19" s="113">
        <v>42221</v>
      </c>
      <c r="N19" s="54">
        <f t="shared" si="2"/>
        <v>0</v>
      </c>
      <c r="O19" s="54">
        <f t="shared" si="3"/>
        <v>0</v>
      </c>
      <c r="P19" s="1"/>
    </row>
    <row r="20" spans="2:16" ht="12.5">
      <c r="B20" s="7" t="str">
        <f t="shared" ref="B20:B72" si="4">IF(D20=F19,"","IU")</f>
        <v>IU</v>
      </c>
      <c r="C20" s="50">
        <f>IF(D11="","-",+C19+1)</f>
        <v>2010</v>
      </c>
      <c r="D20" s="137">
        <v>221133</v>
      </c>
      <c r="E20" s="376">
        <v>6525</v>
      </c>
      <c r="F20" s="137">
        <v>214608</v>
      </c>
      <c r="G20" s="376">
        <v>37378.118954636928</v>
      </c>
      <c r="H20" s="375">
        <v>37378.118954636928</v>
      </c>
      <c r="I20" s="141">
        <v>0</v>
      </c>
      <c r="J20" s="52"/>
      <c r="K20" s="113">
        <f t="shared" ref="K20:K25" si="5">G20</f>
        <v>37378.118954636928</v>
      </c>
      <c r="L20" s="54">
        <f t="shared" si="1"/>
        <v>0</v>
      </c>
      <c r="M20" s="113">
        <f t="shared" ref="M20:M25" si="6">H20</f>
        <v>37378.118954636928</v>
      </c>
      <c r="N20" s="54">
        <f t="shared" si="2"/>
        <v>0</v>
      </c>
      <c r="O20" s="54">
        <f t="shared" si="3"/>
        <v>0</v>
      </c>
      <c r="P20" s="1"/>
    </row>
    <row r="21" spans="2:16" ht="12.5">
      <c r="B21" s="7" t="str">
        <f t="shared" si="4"/>
        <v>IU</v>
      </c>
      <c r="C21" s="50">
        <f>IF(D12="","-",+C20+1)</f>
        <v>2011</v>
      </c>
      <c r="D21" s="137">
        <v>338807</v>
      </c>
      <c r="E21" s="376">
        <v>9076.8048780487807</v>
      </c>
      <c r="F21" s="137">
        <v>329730.19512195123</v>
      </c>
      <c r="G21" s="376">
        <v>60578.084314414227</v>
      </c>
      <c r="H21" s="375">
        <v>60578.084314414227</v>
      </c>
      <c r="I21" s="141">
        <v>0</v>
      </c>
      <c r="J21" s="52"/>
      <c r="K21" s="113">
        <f t="shared" si="5"/>
        <v>60578.084314414227</v>
      </c>
      <c r="L21" s="54">
        <f t="shared" si="1"/>
        <v>0</v>
      </c>
      <c r="M21" s="113">
        <f t="shared" si="6"/>
        <v>60578.084314414227</v>
      </c>
      <c r="N21" s="54">
        <f t="shared" si="2"/>
        <v>0</v>
      </c>
      <c r="O21" s="54">
        <f t="shared" si="3"/>
        <v>0</v>
      </c>
      <c r="P21" s="1"/>
    </row>
    <row r="22" spans="2:16" ht="12.5">
      <c r="B22" s="7" t="str">
        <f t="shared" si="4"/>
        <v/>
      </c>
      <c r="C22" s="50">
        <f>IF(D11="","-",+C21+1)</f>
        <v>2012</v>
      </c>
      <c r="D22" s="137">
        <v>329730.19512195123</v>
      </c>
      <c r="E22" s="377">
        <v>8860.6904761904771</v>
      </c>
      <c r="F22" s="137">
        <v>320869.50464576075</v>
      </c>
      <c r="G22" s="376">
        <v>56580.448150459459</v>
      </c>
      <c r="H22" s="375">
        <v>56580.448150459459</v>
      </c>
      <c r="I22" s="141">
        <v>0</v>
      </c>
      <c r="J22" s="52"/>
      <c r="K22" s="113">
        <f t="shared" si="5"/>
        <v>56580.448150459459</v>
      </c>
      <c r="L22" s="54">
        <f t="shared" si="1"/>
        <v>0</v>
      </c>
      <c r="M22" s="113">
        <f t="shared" si="6"/>
        <v>56580.448150459459</v>
      </c>
      <c r="N22" s="54">
        <f t="shared" si="2"/>
        <v>0</v>
      </c>
      <c r="O22" s="54">
        <f t="shared" si="3"/>
        <v>0</v>
      </c>
      <c r="P22" s="1"/>
    </row>
    <row r="23" spans="2:16" ht="12.5">
      <c r="B23" s="7" t="str">
        <f t="shared" si="4"/>
        <v/>
      </c>
      <c r="C23" s="50">
        <f>IF(D11="","-",+C22+1)</f>
        <v>2013</v>
      </c>
      <c r="D23" s="151">
        <v>320869.50464576075</v>
      </c>
      <c r="E23" s="420">
        <v>8860.6904761904771</v>
      </c>
      <c r="F23" s="151">
        <v>312008.81416957028</v>
      </c>
      <c r="G23" s="420">
        <v>52537.893953719817</v>
      </c>
      <c r="H23" s="421">
        <v>52537.893953719817</v>
      </c>
      <c r="I23" s="153">
        <v>0</v>
      </c>
      <c r="J23" s="52"/>
      <c r="K23" s="113">
        <f t="shared" si="5"/>
        <v>52537.893953719817</v>
      </c>
      <c r="L23" s="54">
        <f t="shared" ref="L23:L28" si="7">IF(K23&lt;&gt;0,+G23-K23,0)</f>
        <v>0</v>
      </c>
      <c r="M23" s="113">
        <f t="shared" si="6"/>
        <v>52537.893953719817</v>
      </c>
      <c r="N23" s="54">
        <f t="shared" ref="N23:N28" si="8">IF(M23&lt;&gt;0,+H23-M23,0)</f>
        <v>0</v>
      </c>
      <c r="O23" s="54">
        <f t="shared" ref="O23:O28" si="9">+N23-L23</f>
        <v>0</v>
      </c>
      <c r="P23" s="1"/>
    </row>
    <row r="24" spans="2:16" ht="12.5">
      <c r="B24" s="7" t="str">
        <f t="shared" si="4"/>
        <v/>
      </c>
      <c r="C24" s="50">
        <f>IF(D11="","-",+C23+1)</f>
        <v>2014</v>
      </c>
      <c r="D24" s="151">
        <v>312008.81416957028</v>
      </c>
      <c r="E24" s="420">
        <v>8860.6904761904771</v>
      </c>
      <c r="F24" s="151">
        <v>303148.12369337981</v>
      </c>
      <c r="G24" s="420">
        <v>49758.557918696577</v>
      </c>
      <c r="H24" s="421">
        <v>49758.557918696577</v>
      </c>
      <c r="I24" s="153">
        <v>0</v>
      </c>
      <c r="J24" s="52"/>
      <c r="K24" s="113">
        <f t="shared" si="5"/>
        <v>49758.557918696577</v>
      </c>
      <c r="L24" s="54">
        <f t="shared" si="7"/>
        <v>0</v>
      </c>
      <c r="M24" s="113">
        <f t="shared" si="6"/>
        <v>49758.557918696577</v>
      </c>
      <c r="N24" s="54">
        <f t="shared" si="8"/>
        <v>0</v>
      </c>
      <c r="O24" s="54">
        <f t="shared" si="9"/>
        <v>0</v>
      </c>
      <c r="P24" s="1"/>
    </row>
    <row r="25" spans="2:16" ht="12.5">
      <c r="B25" s="7" t="str">
        <f t="shared" si="4"/>
        <v/>
      </c>
      <c r="C25" s="50">
        <f>IF(D11="","-",+C24+1)</f>
        <v>2015</v>
      </c>
      <c r="D25" s="151">
        <v>303148.12369337981</v>
      </c>
      <c r="E25" s="420">
        <v>8860.6904761904771</v>
      </c>
      <c r="F25" s="151">
        <v>294287.43321718933</v>
      </c>
      <c r="G25" s="420">
        <v>47619.758297536755</v>
      </c>
      <c r="H25" s="421">
        <v>47619.758297536755</v>
      </c>
      <c r="I25" s="52">
        <v>0</v>
      </c>
      <c r="J25" s="52"/>
      <c r="K25" s="113">
        <f t="shared" si="5"/>
        <v>47619.758297536755</v>
      </c>
      <c r="L25" s="54">
        <f t="shared" si="7"/>
        <v>0</v>
      </c>
      <c r="M25" s="113">
        <f t="shared" si="6"/>
        <v>47619.758297536755</v>
      </c>
      <c r="N25" s="54">
        <f t="shared" si="8"/>
        <v>0</v>
      </c>
      <c r="O25" s="54">
        <f t="shared" si="9"/>
        <v>0</v>
      </c>
      <c r="P25" s="1"/>
    </row>
    <row r="26" spans="2:16" ht="12.5">
      <c r="B26" s="7" t="str">
        <f t="shared" si="4"/>
        <v/>
      </c>
      <c r="C26" s="50">
        <f>IF(D11="","-",+C25+1)</f>
        <v>2016</v>
      </c>
      <c r="D26" s="151">
        <v>294287.43321718933</v>
      </c>
      <c r="E26" s="420">
        <v>8860.6904761904771</v>
      </c>
      <c r="F26" s="151">
        <v>285426.74274099886</v>
      </c>
      <c r="G26" s="420">
        <v>45988.994041670856</v>
      </c>
      <c r="H26" s="421">
        <v>45988.994041670856</v>
      </c>
      <c r="I26" s="52">
        <f t="shared" si="0"/>
        <v>0</v>
      </c>
      <c r="J26" s="52"/>
      <c r="K26" s="113">
        <f t="shared" ref="K26:K31" si="10">G26</f>
        <v>45988.994041670856</v>
      </c>
      <c r="L26" s="54">
        <f t="shared" si="7"/>
        <v>0</v>
      </c>
      <c r="M26" s="113">
        <f t="shared" ref="M26:M31" si="11">H26</f>
        <v>45988.994041670856</v>
      </c>
      <c r="N26" s="54">
        <f t="shared" si="8"/>
        <v>0</v>
      </c>
      <c r="O26" s="54">
        <f t="shared" si="9"/>
        <v>0</v>
      </c>
      <c r="P26" s="1"/>
    </row>
    <row r="27" spans="2:16" ht="12.5">
      <c r="B27" s="7" t="str">
        <f t="shared" si="4"/>
        <v/>
      </c>
      <c r="C27" s="50">
        <f>IF(D11="","-",+C26+1)</f>
        <v>2017</v>
      </c>
      <c r="D27" s="151">
        <v>285426.74274099886</v>
      </c>
      <c r="E27" s="420">
        <v>8654.6279069767443</v>
      </c>
      <c r="F27" s="151">
        <v>276772.11483402213</v>
      </c>
      <c r="G27" s="420">
        <v>43480.748337588419</v>
      </c>
      <c r="H27" s="421">
        <v>43480.748337588419</v>
      </c>
      <c r="I27" s="52">
        <f t="shared" si="0"/>
        <v>0</v>
      </c>
      <c r="J27" s="52"/>
      <c r="K27" s="113">
        <f t="shared" si="10"/>
        <v>43480.748337588419</v>
      </c>
      <c r="L27" s="54">
        <f t="shared" si="7"/>
        <v>0</v>
      </c>
      <c r="M27" s="113">
        <f t="shared" si="11"/>
        <v>43480.748337588419</v>
      </c>
      <c r="N27" s="54">
        <f t="shared" si="8"/>
        <v>0</v>
      </c>
      <c r="O27" s="54">
        <f t="shared" si="9"/>
        <v>0</v>
      </c>
      <c r="P27" s="1"/>
    </row>
    <row r="28" spans="2:16" ht="12.5">
      <c r="B28" s="7" t="str">
        <f t="shared" si="4"/>
        <v/>
      </c>
      <c r="C28" s="50">
        <f>IF(D11="","-",+C27+1)</f>
        <v>2018</v>
      </c>
      <c r="D28" s="151">
        <v>276772.11483402213</v>
      </c>
      <c r="E28" s="420">
        <v>9076.8048780487807</v>
      </c>
      <c r="F28" s="151">
        <v>267695.30995597335</v>
      </c>
      <c r="G28" s="420">
        <v>43676.103252785928</v>
      </c>
      <c r="H28" s="421">
        <v>43676.103252785928</v>
      </c>
      <c r="I28" s="52">
        <f t="shared" si="0"/>
        <v>0</v>
      </c>
      <c r="J28" s="52"/>
      <c r="K28" s="113">
        <f t="shared" si="10"/>
        <v>43676.103252785928</v>
      </c>
      <c r="L28" s="54">
        <f t="shared" si="7"/>
        <v>0</v>
      </c>
      <c r="M28" s="113">
        <f t="shared" si="11"/>
        <v>43676.103252785928</v>
      </c>
      <c r="N28" s="54">
        <f t="shared" si="8"/>
        <v>0</v>
      </c>
      <c r="O28" s="54">
        <f t="shared" si="9"/>
        <v>0</v>
      </c>
      <c r="P28" s="1"/>
    </row>
    <row r="29" spans="2:16" ht="12.5">
      <c r="B29" s="7" t="str">
        <f t="shared" si="4"/>
        <v/>
      </c>
      <c r="C29" s="50">
        <f>IF(D11="","-",+C28+1)</f>
        <v>2019</v>
      </c>
      <c r="D29" s="151">
        <v>267695.30995597335</v>
      </c>
      <c r="E29" s="420">
        <v>9076.8048780487807</v>
      </c>
      <c r="F29" s="151">
        <v>258618.50507792458</v>
      </c>
      <c r="G29" s="420">
        <v>42522.494915662697</v>
      </c>
      <c r="H29" s="421">
        <v>42522.494915662697</v>
      </c>
      <c r="I29" s="52">
        <f t="shared" si="0"/>
        <v>0</v>
      </c>
      <c r="J29" s="52"/>
      <c r="K29" s="113">
        <f t="shared" si="10"/>
        <v>42522.494915662697</v>
      </c>
      <c r="L29" s="54">
        <f t="shared" ref="L29" si="12">IF(K29&lt;&gt;0,+G29-K29,0)</f>
        <v>0</v>
      </c>
      <c r="M29" s="113">
        <f t="shared" si="11"/>
        <v>42522.494915662697</v>
      </c>
      <c r="N29" s="54">
        <f t="shared" si="2"/>
        <v>0</v>
      </c>
      <c r="O29" s="54">
        <f t="shared" si="3"/>
        <v>0</v>
      </c>
      <c r="P29" s="1"/>
    </row>
    <row r="30" spans="2:16" ht="12.5">
      <c r="B30" s="7" t="str">
        <f t="shared" si="4"/>
        <v/>
      </c>
      <c r="C30" s="50">
        <f>IF(D11="","-",+C29+1)</f>
        <v>2020</v>
      </c>
      <c r="D30" s="151">
        <v>258618.50507792458</v>
      </c>
      <c r="E30" s="420">
        <v>9076.8048780487807</v>
      </c>
      <c r="F30" s="151">
        <v>249541.70019987581</v>
      </c>
      <c r="G30" s="420">
        <v>35078.207860917915</v>
      </c>
      <c r="H30" s="421">
        <v>35078.207860917915</v>
      </c>
      <c r="I30" s="52">
        <f t="shared" si="0"/>
        <v>0</v>
      </c>
      <c r="J30" s="52"/>
      <c r="K30" s="113">
        <f t="shared" si="10"/>
        <v>35078.207860917915</v>
      </c>
      <c r="L30" s="54">
        <f t="shared" ref="L30" si="13">IF(K30&lt;&gt;0,+G30-K30,0)</f>
        <v>0</v>
      </c>
      <c r="M30" s="113">
        <f t="shared" si="11"/>
        <v>35078.207860917915</v>
      </c>
      <c r="N30" s="54">
        <f t="shared" si="2"/>
        <v>0</v>
      </c>
      <c r="O30" s="54">
        <f t="shared" si="3"/>
        <v>0</v>
      </c>
      <c r="P30" s="1"/>
    </row>
    <row r="31" spans="2:16" ht="12.5">
      <c r="B31" s="7" t="str">
        <f t="shared" si="4"/>
        <v>IU</v>
      </c>
      <c r="C31" s="50">
        <f>IF(D11="","-",+C30+1)</f>
        <v>2021</v>
      </c>
      <c r="D31" s="151">
        <v>249963.87717094779</v>
      </c>
      <c r="E31" s="420">
        <v>8860.6904761904771</v>
      </c>
      <c r="F31" s="151">
        <v>241103.18669475731</v>
      </c>
      <c r="G31" s="420">
        <v>34888.360821440634</v>
      </c>
      <c r="H31" s="421">
        <v>34888.360821440634</v>
      </c>
      <c r="I31" s="52">
        <f t="shared" si="0"/>
        <v>0</v>
      </c>
      <c r="J31" s="52"/>
      <c r="K31" s="113">
        <f t="shared" si="10"/>
        <v>34888.360821440634</v>
      </c>
      <c r="L31" s="54">
        <f t="shared" ref="L31" si="14">IF(K31&lt;&gt;0,+G31-K31,0)</f>
        <v>0</v>
      </c>
      <c r="M31" s="113">
        <f t="shared" si="11"/>
        <v>34888.360821440634</v>
      </c>
      <c r="N31" s="54">
        <f t="shared" si="2"/>
        <v>0</v>
      </c>
      <c r="O31" s="54">
        <f t="shared" si="3"/>
        <v>0</v>
      </c>
      <c r="P31" s="1"/>
    </row>
    <row r="32" spans="2:16" ht="12.5">
      <c r="B32" s="7" t="str">
        <f t="shared" si="4"/>
        <v>IU</v>
      </c>
      <c r="C32" s="50">
        <f>IF(D11="","-",+C31+1)</f>
        <v>2022</v>
      </c>
      <c r="D32" s="151">
        <v>240681.0097236853</v>
      </c>
      <c r="E32" s="420">
        <v>8860.6904761904771</v>
      </c>
      <c r="F32" s="151">
        <v>231820.31924749483</v>
      </c>
      <c r="G32" s="420">
        <v>35425.683082297925</v>
      </c>
      <c r="H32" s="421">
        <v>35425.683082297925</v>
      </c>
      <c r="I32" s="52">
        <f t="shared" si="0"/>
        <v>0</v>
      </c>
      <c r="J32" s="52"/>
      <c r="K32" s="113">
        <f t="shared" ref="K32" si="15">G32</f>
        <v>35425.683082297925</v>
      </c>
      <c r="L32" s="54">
        <f t="shared" ref="L32" si="16">IF(K32&lt;&gt;0,+G32-K32,0)</f>
        <v>0</v>
      </c>
      <c r="M32" s="113">
        <f t="shared" ref="M32" si="17">H32</f>
        <v>35425.683082297925</v>
      </c>
      <c r="N32" s="54">
        <f t="shared" si="2"/>
        <v>0</v>
      </c>
      <c r="O32" s="54">
        <f t="shared" si="3"/>
        <v>0</v>
      </c>
      <c r="P32" s="1"/>
    </row>
    <row r="33" spans="2:16" ht="12.5">
      <c r="B33" s="7" t="str">
        <f t="shared" si="4"/>
        <v/>
      </c>
      <c r="C33" s="50">
        <f>IF(D11="","-",+C32+1)</f>
        <v>2023</v>
      </c>
      <c r="D33" s="151">
        <v>231820.31924749483</v>
      </c>
      <c r="E33" s="420">
        <v>8860.6904761904771</v>
      </c>
      <c r="F33" s="151">
        <v>222959.62877130436</v>
      </c>
      <c r="G33" s="420">
        <v>37586.135511568798</v>
      </c>
      <c r="H33" s="421">
        <v>37586.135511568798</v>
      </c>
      <c r="I33" s="52">
        <f t="shared" si="0"/>
        <v>0</v>
      </c>
      <c r="J33" s="52"/>
      <c r="K33" s="113">
        <f t="shared" ref="K33" si="18">G33</f>
        <v>37586.135511568798</v>
      </c>
      <c r="L33" s="54">
        <f t="shared" ref="L33" si="19">IF(K33&lt;&gt;0,+G33-K33,0)</f>
        <v>0</v>
      </c>
      <c r="M33" s="113">
        <f t="shared" ref="M33" si="20">H33</f>
        <v>37586.135511568798</v>
      </c>
      <c r="N33" s="54">
        <f t="shared" si="2"/>
        <v>0</v>
      </c>
      <c r="O33" s="54">
        <f t="shared" si="3"/>
        <v>0</v>
      </c>
      <c r="P33" s="1"/>
    </row>
    <row r="34" spans="2:16" ht="12.5">
      <c r="B34" s="7" t="str">
        <f t="shared" si="4"/>
        <v/>
      </c>
      <c r="C34" s="50">
        <f>IF(D11="","-",+C33+1)</f>
        <v>2024</v>
      </c>
      <c r="D34" s="151">
        <v>222959.62877130436</v>
      </c>
      <c r="E34" s="420">
        <v>8457.931818181818</v>
      </c>
      <c r="F34" s="151">
        <v>214501.69695312253</v>
      </c>
      <c r="G34" s="420">
        <v>34602.180554888044</v>
      </c>
      <c r="H34" s="421">
        <v>34602.180554888044</v>
      </c>
      <c r="I34" s="52">
        <f t="shared" si="0"/>
        <v>0</v>
      </c>
      <c r="J34" s="52"/>
      <c r="K34" s="113">
        <f t="shared" ref="K34" si="21">G34</f>
        <v>34602.180554888044</v>
      </c>
      <c r="L34" s="54">
        <f t="shared" ref="L34" si="22">IF(K34&lt;&gt;0,+G34-K34,0)</f>
        <v>0</v>
      </c>
      <c r="M34" s="113">
        <f t="shared" ref="M34" si="23">H34</f>
        <v>34602.180554888044</v>
      </c>
      <c r="N34" s="54">
        <f t="shared" ref="N34" si="24">IF(M34&lt;&gt;0,+H34-M34,0)</f>
        <v>0</v>
      </c>
      <c r="O34" s="54">
        <f t="shared" ref="O34" si="25">+N34-L34</f>
        <v>0</v>
      </c>
      <c r="P34" s="1"/>
    </row>
    <row r="35" spans="2:16" ht="12.5">
      <c r="B35" s="7" t="str">
        <f t="shared" si="4"/>
        <v/>
      </c>
      <c r="C35" s="50">
        <f>IF(D11="","-",+C34+1)</f>
        <v>2025</v>
      </c>
      <c r="D35" s="55">
        <f>IF(F34+SUM(E$17:E34)=D$10,F34,D$10-SUM(E$17:E34))</f>
        <v>214501.69695312253</v>
      </c>
      <c r="E35" s="378">
        <f>IF(+I14&lt;F34,I14,D35)</f>
        <v>8457.931818181818</v>
      </c>
      <c r="F35" s="55">
        <f t="shared" ref="F35:F48" si="26">+D35-E35</f>
        <v>206043.76513494071</v>
      </c>
      <c r="G35" s="379">
        <f t="shared" ref="G35:G72" si="27">+I$12*((D35+F35)/2)+E35</f>
        <v>33591.228224935374</v>
      </c>
      <c r="H35" s="364">
        <f t="shared" ref="H35:H72" si="28">+I$13*((D35+F35)/2)+E35</f>
        <v>33591.228224935374</v>
      </c>
      <c r="I35" s="52">
        <f t="shared" si="0"/>
        <v>0</v>
      </c>
      <c r="J35" s="52"/>
      <c r="K35" s="129"/>
      <c r="L35" s="54">
        <f t="shared" si="1"/>
        <v>0</v>
      </c>
      <c r="M35" s="129"/>
      <c r="N35" s="54">
        <f t="shared" si="2"/>
        <v>0</v>
      </c>
      <c r="O35" s="54">
        <f t="shared" si="3"/>
        <v>0</v>
      </c>
      <c r="P35" s="1"/>
    </row>
    <row r="36" spans="2:16" ht="12.5">
      <c r="B36" s="7" t="str">
        <f t="shared" si="4"/>
        <v/>
      </c>
      <c r="C36" s="50">
        <f>IF(D11="","-",+C35+1)</f>
        <v>2026</v>
      </c>
      <c r="D36" s="55">
        <f>IF(F35+SUM(E$17:E35)=D$10,F35,D$10-SUM(E$17:E35))</f>
        <v>206043.76513494071</v>
      </c>
      <c r="E36" s="378">
        <f>IF(+I14&lt;F35,I14,D36)</f>
        <v>8457.931818181818</v>
      </c>
      <c r="F36" s="55">
        <f t="shared" si="26"/>
        <v>197585.83331675889</v>
      </c>
      <c r="G36" s="379">
        <f t="shared" si="27"/>
        <v>32580.275894982697</v>
      </c>
      <c r="H36" s="364">
        <f t="shared" si="28"/>
        <v>32580.275894982697</v>
      </c>
      <c r="I36" s="52">
        <f t="shared" si="0"/>
        <v>0</v>
      </c>
      <c r="J36" s="52"/>
      <c r="K36" s="129"/>
      <c r="L36" s="54">
        <f t="shared" si="1"/>
        <v>0</v>
      </c>
      <c r="M36" s="129"/>
      <c r="N36" s="54">
        <f t="shared" si="2"/>
        <v>0</v>
      </c>
      <c r="O36" s="54">
        <f t="shared" si="3"/>
        <v>0</v>
      </c>
      <c r="P36" s="1"/>
    </row>
    <row r="37" spans="2:16" ht="12.5">
      <c r="B37" s="7" t="str">
        <f t="shared" si="4"/>
        <v/>
      </c>
      <c r="C37" s="50">
        <f>IF(D11="","-",+C36+1)</f>
        <v>2027</v>
      </c>
      <c r="D37" s="55">
        <f>IF(F36+SUM(E$17:E36)=D$10,F36,D$10-SUM(E$17:E36))</f>
        <v>197585.83331675889</v>
      </c>
      <c r="E37" s="378">
        <f>IF(+I14&lt;F36,I14,D37)</f>
        <v>8457.931818181818</v>
      </c>
      <c r="F37" s="55">
        <f t="shared" si="26"/>
        <v>189127.90149857706</v>
      </c>
      <c r="G37" s="379">
        <f t="shared" si="27"/>
        <v>31569.323565030027</v>
      </c>
      <c r="H37" s="364">
        <f t="shared" si="28"/>
        <v>31569.323565030027</v>
      </c>
      <c r="I37" s="52">
        <f t="shared" si="0"/>
        <v>0</v>
      </c>
      <c r="J37" s="52"/>
      <c r="K37" s="129"/>
      <c r="L37" s="54">
        <f t="shared" si="1"/>
        <v>0</v>
      </c>
      <c r="M37" s="129"/>
      <c r="N37" s="54">
        <f t="shared" si="2"/>
        <v>0</v>
      </c>
      <c r="O37" s="54">
        <f t="shared" si="3"/>
        <v>0</v>
      </c>
      <c r="P37" s="1"/>
    </row>
    <row r="38" spans="2:16" ht="12.5">
      <c r="B38" s="7" t="str">
        <f t="shared" si="4"/>
        <v/>
      </c>
      <c r="C38" s="50">
        <f>IF(D11="","-",+C37+1)</f>
        <v>2028</v>
      </c>
      <c r="D38" s="55">
        <f>IF(F37+SUM(E$17:E37)=D$10,F37,D$10-SUM(E$17:E37))</f>
        <v>189127.90149857706</v>
      </c>
      <c r="E38" s="378">
        <f>IF(+I14&lt;F37,I14,D38)</f>
        <v>8457.931818181818</v>
      </c>
      <c r="F38" s="55">
        <f t="shared" si="26"/>
        <v>180669.96968039524</v>
      </c>
      <c r="G38" s="379">
        <f t="shared" si="27"/>
        <v>30558.371235077349</v>
      </c>
      <c r="H38" s="364">
        <f t="shared" si="28"/>
        <v>30558.371235077349</v>
      </c>
      <c r="I38" s="52">
        <f t="shared" si="0"/>
        <v>0</v>
      </c>
      <c r="J38" s="52"/>
      <c r="K38" s="129"/>
      <c r="L38" s="54">
        <f t="shared" si="1"/>
        <v>0</v>
      </c>
      <c r="M38" s="129"/>
      <c r="N38" s="54">
        <f t="shared" si="2"/>
        <v>0</v>
      </c>
      <c r="O38" s="54">
        <f t="shared" si="3"/>
        <v>0</v>
      </c>
      <c r="P38" s="1"/>
    </row>
    <row r="39" spans="2:16" ht="12.5">
      <c r="B39" s="7" t="str">
        <f t="shared" si="4"/>
        <v/>
      </c>
      <c r="C39" s="50">
        <f>IF(D11="","-",+C38+1)</f>
        <v>2029</v>
      </c>
      <c r="D39" s="55">
        <f>IF(F38+SUM(E$17:E38)=D$10,F38,D$10-SUM(E$17:E38))</f>
        <v>180669.96968039524</v>
      </c>
      <c r="E39" s="378">
        <f>IF(+I14&lt;F38,I14,D39)</f>
        <v>8457.931818181818</v>
      </c>
      <c r="F39" s="55">
        <f t="shared" si="26"/>
        <v>172212.03786221342</v>
      </c>
      <c r="G39" s="379">
        <f t="shared" si="27"/>
        <v>29547.418905124672</v>
      </c>
      <c r="H39" s="364">
        <f t="shared" si="28"/>
        <v>29547.418905124672</v>
      </c>
      <c r="I39" s="52">
        <f t="shared" si="0"/>
        <v>0</v>
      </c>
      <c r="J39" s="52"/>
      <c r="K39" s="129"/>
      <c r="L39" s="54">
        <f t="shared" si="1"/>
        <v>0</v>
      </c>
      <c r="M39" s="129"/>
      <c r="N39" s="54">
        <f t="shared" si="2"/>
        <v>0</v>
      </c>
      <c r="O39" s="54">
        <f t="shared" si="3"/>
        <v>0</v>
      </c>
      <c r="P39" s="1"/>
    </row>
    <row r="40" spans="2:16" ht="12.5">
      <c r="B40" s="7" t="str">
        <f t="shared" si="4"/>
        <v/>
      </c>
      <c r="C40" s="50">
        <f>IF(D11="","-",+C39+1)</f>
        <v>2030</v>
      </c>
      <c r="D40" s="55">
        <f>IF(F39+SUM(E$17:E39)=D$10,F39,D$10-SUM(E$17:E39))</f>
        <v>172212.03786221342</v>
      </c>
      <c r="E40" s="378">
        <f>IF(+I14&lt;F39,I14,D40)</f>
        <v>8457.931818181818</v>
      </c>
      <c r="F40" s="55">
        <f t="shared" si="26"/>
        <v>163754.10604403159</v>
      </c>
      <c r="G40" s="379">
        <f t="shared" si="27"/>
        <v>28536.466575172002</v>
      </c>
      <c r="H40" s="364">
        <f t="shared" si="28"/>
        <v>28536.466575172002</v>
      </c>
      <c r="I40" s="52">
        <f t="shared" si="0"/>
        <v>0</v>
      </c>
      <c r="J40" s="52"/>
      <c r="K40" s="129"/>
      <c r="L40" s="54">
        <f t="shared" si="1"/>
        <v>0</v>
      </c>
      <c r="M40" s="129"/>
      <c r="N40" s="54">
        <f t="shared" si="2"/>
        <v>0</v>
      </c>
      <c r="O40" s="54">
        <f t="shared" si="3"/>
        <v>0</v>
      </c>
      <c r="P40" s="1"/>
    </row>
    <row r="41" spans="2:16" ht="12.5">
      <c r="B41" s="7" t="str">
        <f t="shared" si="4"/>
        <v/>
      </c>
      <c r="C41" s="50">
        <f>IF(D11="","-",+C40+1)</f>
        <v>2031</v>
      </c>
      <c r="D41" s="55">
        <f>IF(F40+SUM(E$17:E40)=D$10,F40,D$10-SUM(E$17:E40))</f>
        <v>163754.10604403159</v>
      </c>
      <c r="E41" s="378">
        <f>IF(+I14&lt;F40,I14,D41)</f>
        <v>8457.931818181818</v>
      </c>
      <c r="F41" s="55">
        <f t="shared" si="26"/>
        <v>155296.17422584977</v>
      </c>
      <c r="G41" s="379">
        <f t="shared" si="27"/>
        <v>27525.514245219325</v>
      </c>
      <c r="H41" s="364">
        <f t="shared" si="28"/>
        <v>27525.514245219325</v>
      </c>
      <c r="I41" s="52">
        <f t="shared" si="0"/>
        <v>0</v>
      </c>
      <c r="J41" s="52"/>
      <c r="K41" s="129"/>
      <c r="L41" s="54">
        <f t="shared" si="1"/>
        <v>0</v>
      </c>
      <c r="M41" s="129"/>
      <c r="N41" s="54">
        <f t="shared" si="2"/>
        <v>0</v>
      </c>
      <c r="O41" s="54">
        <f t="shared" si="3"/>
        <v>0</v>
      </c>
      <c r="P41" s="1"/>
    </row>
    <row r="42" spans="2:16" ht="12.5">
      <c r="B42" s="7" t="str">
        <f t="shared" si="4"/>
        <v/>
      </c>
      <c r="C42" s="50">
        <f>IF(D11="","-",+C41+1)</f>
        <v>2032</v>
      </c>
      <c r="D42" s="55">
        <f>IF(F41+SUM(E$17:E41)=D$10,F41,D$10-SUM(E$17:E41))</f>
        <v>155296.17422584977</v>
      </c>
      <c r="E42" s="378">
        <f>IF(+I14&lt;F41,I14,D42)</f>
        <v>8457.931818181818</v>
      </c>
      <c r="F42" s="55">
        <f t="shared" si="26"/>
        <v>146838.24240766795</v>
      </c>
      <c r="G42" s="379">
        <f t="shared" si="27"/>
        <v>26514.561915266655</v>
      </c>
      <c r="H42" s="364">
        <f t="shared" si="28"/>
        <v>26514.561915266655</v>
      </c>
      <c r="I42" s="52">
        <f t="shared" si="0"/>
        <v>0</v>
      </c>
      <c r="J42" s="52"/>
      <c r="K42" s="129"/>
      <c r="L42" s="54">
        <f t="shared" si="1"/>
        <v>0</v>
      </c>
      <c r="M42" s="129"/>
      <c r="N42" s="54">
        <f t="shared" si="2"/>
        <v>0</v>
      </c>
      <c r="O42" s="54">
        <f t="shared" si="3"/>
        <v>0</v>
      </c>
      <c r="P42" s="1"/>
    </row>
    <row r="43" spans="2:16" ht="12.5">
      <c r="B43" s="7" t="str">
        <f t="shared" si="4"/>
        <v/>
      </c>
      <c r="C43" s="50">
        <f>IF(D11="","-",+C42+1)</f>
        <v>2033</v>
      </c>
      <c r="D43" s="55">
        <f>IF(F42+SUM(E$17:E42)=D$10,F42,D$10-SUM(E$17:E42))</f>
        <v>146838.24240766795</v>
      </c>
      <c r="E43" s="378">
        <f>IF(+I14&lt;F42,I14,D43)</f>
        <v>8457.931818181818</v>
      </c>
      <c r="F43" s="55">
        <f t="shared" si="26"/>
        <v>138380.31058948612</v>
      </c>
      <c r="G43" s="379">
        <f t="shared" si="27"/>
        <v>25503.609585313978</v>
      </c>
      <c r="H43" s="364">
        <f t="shared" si="28"/>
        <v>25503.609585313978</v>
      </c>
      <c r="I43" s="52">
        <f t="shared" si="0"/>
        <v>0</v>
      </c>
      <c r="J43" s="52"/>
      <c r="K43" s="129"/>
      <c r="L43" s="54">
        <f t="shared" si="1"/>
        <v>0</v>
      </c>
      <c r="M43" s="129"/>
      <c r="N43" s="54">
        <f t="shared" si="2"/>
        <v>0</v>
      </c>
      <c r="O43" s="54">
        <f t="shared" si="3"/>
        <v>0</v>
      </c>
      <c r="P43" s="1"/>
    </row>
    <row r="44" spans="2:16" ht="12.5">
      <c r="B44" s="7" t="str">
        <f t="shared" si="4"/>
        <v/>
      </c>
      <c r="C44" s="50">
        <f>IF(D11="","-",+C43+1)</f>
        <v>2034</v>
      </c>
      <c r="D44" s="55">
        <f>IF(F43+SUM(E$17:E43)=D$10,F43,D$10-SUM(E$17:E43))</f>
        <v>138380.31058948612</v>
      </c>
      <c r="E44" s="378">
        <f>IF(+I14&lt;F43,I14,D44)</f>
        <v>8457.931818181818</v>
      </c>
      <c r="F44" s="55">
        <f t="shared" si="26"/>
        <v>129922.3787713043</v>
      </c>
      <c r="G44" s="379">
        <f t="shared" si="27"/>
        <v>24492.657255361304</v>
      </c>
      <c r="H44" s="364">
        <f t="shared" si="28"/>
        <v>24492.657255361304</v>
      </c>
      <c r="I44" s="52">
        <f t="shared" si="0"/>
        <v>0</v>
      </c>
      <c r="J44" s="52"/>
      <c r="K44" s="129"/>
      <c r="L44" s="54">
        <f t="shared" si="1"/>
        <v>0</v>
      </c>
      <c r="M44" s="129"/>
      <c r="N44" s="54">
        <f t="shared" si="2"/>
        <v>0</v>
      </c>
      <c r="O44" s="54">
        <f t="shared" si="3"/>
        <v>0</v>
      </c>
      <c r="P44" s="1"/>
    </row>
    <row r="45" spans="2:16" ht="12.5">
      <c r="B45" s="7" t="str">
        <f t="shared" si="4"/>
        <v/>
      </c>
      <c r="C45" s="50">
        <f>IF(D11="","-",+C44+1)</f>
        <v>2035</v>
      </c>
      <c r="D45" s="55">
        <f>IF(F44+SUM(E$17:E44)=D$10,F44,D$10-SUM(E$17:E44))</f>
        <v>129922.3787713043</v>
      </c>
      <c r="E45" s="378">
        <f>IF(+I14&lt;F44,I14,D45)</f>
        <v>8457.931818181818</v>
      </c>
      <c r="F45" s="55">
        <f t="shared" si="26"/>
        <v>121464.44695312247</v>
      </c>
      <c r="G45" s="379">
        <f t="shared" si="27"/>
        <v>23481.704925408631</v>
      </c>
      <c r="H45" s="364">
        <f t="shared" si="28"/>
        <v>23481.704925408631</v>
      </c>
      <c r="I45" s="52">
        <f t="shared" si="0"/>
        <v>0</v>
      </c>
      <c r="J45" s="52"/>
      <c r="K45" s="129"/>
      <c r="L45" s="54">
        <f t="shared" si="1"/>
        <v>0</v>
      </c>
      <c r="M45" s="129"/>
      <c r="N45" s="54">
        <f t="shared" si="2"/>
        <v>0</v>
      </c>
      <c r="O45" s="54">
        <f t="shared" si="3"/>
        <v>0</v>
      </c>
      <c r="P45" s="1"/>
    </row>
    <row r="46" spans="2:16" ht="12.5">
      <c r="B46" s="7" t="str">
        <f t="shared" si="4"/>
        <v/>
      </c>
      <c r="C46" s="50">
        <f>IF(D11="","-",+C45+1)</f>
        <v>2036</v>
      </c>
      <c r="D46" s="55">
        <f>IF(F45+SUM(E$17:E45)=D$10,F45,D$10-SUM(E$17:E45))</f>
        <v>121464.44695312247</v>
      </c>
      <c r="E46" s="378">
        <f>IF(+I14&lt;F45,I14,D46)</f>
        <v>8457.931818181818</v>
      </c>
      <c r="F46" s="55">
        <f t="shared" si="26"/>
        <v>113006.51513494065</v>
      </c>
      <c r="G46" s="379">
        <f t="shared" si="27"/>
        <v>22470.752595455953</v>
      </c>
      <c r="H46" s="364">
        <f t="shared" si="28"/>
        <v>22470.752595455953</v>
      </c>
      <c r="I46" s="52">
        <f t="shared" si="0"/>
        <v>0</v>
      </c>
      <c r="J46" s="52"/>
      <c r="K46" s="129"/>
      <c r="L46" s="54">
        <f t="shared" si="1"/>
        <v>0</v>
      </c>
      <c r="M46" s="129"/>
      <c r="N46" s="54">
        <f t="shared" si="2"/>
        <v>0</v>
      </c>
      <c r="O46" s="54">
        <f t="shared" si="3"/>
        <v>0</v>
      </c>
      <c r="P46" s="1"/>
    </row>
    <row r="47" spans="2:16" ht="12.5">
      <c r="B47" s="7" t="str">
        <f t="shared" si="4"/>
        <v/>
      </c>
      <c r="C47" s="50">
        <f>IF(D11="","-",+C46+1)</f>
        <v>2037</v>
      </c>
      <c r="D47" s="55">
        <f>IF(F46+SUM(E$17:E46)=D$10,F46,D$10-SUM(E$17:E46))</f>
        <v>113006.51513494065</v>
      </c>
      <c r="E47" s="378">
        <f>IF(+I14&lt;F46,I14,D47)</f>
        <v>8457.931818181818</v>
      </c>
      <c r="F47" s="55">
        <f t="shared" si="26"/>
        <v>104548.58331675883</v>
      </c>
      <c r="G47" s="379">
        <f t="shared" si="27"/>
        <v>21459.800265503283</v>
      </c>
      <c r="H47" s="364">
        <f t="shared" si="28"/>
        <v>21459.800265503283</v>
      </c>
      <c r="I47" s="52">
        <f t="shared" si="0"/>
        <v>0</v>
      </c>
      <c r="J47" s="52"/>
      <c r="K47" s="129"/>
      <c r="L47" s="54">
        <f t="shared" si="1"/>
        <v>0</v>
      </c>
      <c r="M47" s="129"/>
      <c r="N47" s="54">
        <f t="shared" si="2"/>
        <v>0</v>
      </c>
      <c r="O47" s="54">
        <f t="shared" si="3"/>
        <v>0</v>
      </c>
      <c r="P47" s="1"/>
    </row>
    <row r="48" spans="2:16" ht="12.5">
      <c r="B48" s="7" t="str">
        <f t="shared" si="4"/>
        <v/>
      </c>
      <c r="C48" s="50">
        <f>IF(D11="","-",+C47+1)</f>
        <v>2038</v>
      </c>
      <c r="D48" s="55">
        <f>IF(F47+SUM(E$17:E47)=D$10,F47,D$10-SUM(E$17:E47))</f>
        <v>104548.58331675883</v>
      </c>
      <c r="E48" s="378">
        <f>IF(+I14&lt;F47,I14,D48)</f>
        <v>8457.931818181818</v>
      </c>
      <c r="F48" s="55">
        <f t="shared" si="26"/>
        <v>96090.651498577005</v>
      </c>
      <c r="G48" s="379">
        <f t="shared" si="27"/>
        <v>20448.847935550606</v>
      </c>
      <c r="H48" s="364">
        <f t="shared" si="28"/>
        <v>20448.847935550606</v>
      </c>
      <c r="I48" s="52">
        <f t="shared" si="0"/>
        <v>0</v>
      </c>
      <c r="J48" s="52"/>
      <c r="K48" s="129"/>
      <c r="L48" s="54">
        <f t="shared" si="1"/>
        <v>0</v>
      </c>
      <c r="M48" s="129"/>
      <c r="N48" s="54">
        <f t="shared" si="2"/>
        <v>0</v>
      </c>
      <c r="O48" s="54">
        <f t="shared" si="3"/>
        <v>0</v>
      </c>
      <c r="P48" s="1"/>
    </row>
    <row r="49" spans="2:17" ht="12.5">
      <c r="B49" s="7" t="str">
        <f t="shared" si="4"/>
        <v/>
      </c>
      <c r="C49" s="50">
        <f>IF(D11="","-",+C48+1)</f>
        <v>2039</v>
      </c>
      <c r="D49" s="55">
        <f>IF(F48+SUM(E$17:E48)=D$10,F48,D$10-SUM(E$17:E48))</f>
        <v>96090.651498577005</v>
      </c>
      <c r="E49" s="378">
        <f>IF(+I14&lt;F48,I14,D49)</f>
        <v>8457.931818181818</v>
      </c>
      <c r="F49" s="55">
        <f t="shared" ref="F49:F72" si="29">+D49-E49</f>
        <v>87632.719680395181</v>
      </c>
      <c r="G49" s="379">
        <f t="shared" si="27"/>
        <v>19437.895605597932</v>
      </c>
      <c r="H49" s="364">
        <f t="shared" si="28"/>
        <v>19437.895605597932</v>
      </c>
      <c r="I49" s="52">
        <f t="shared" ref="I49:I72" si="30">H49-G49</f>
        <v>0</v>
      </c>
      <c r="J49" s="52"/>
      <c r="K49" s="129"/>
      <c r="L49" s="54">
        <f t="shared" ref="L49:L72" si="31">IF(K49&lt;&gt;0,+G49-K49,0)</f>
        <v>0</v>
      </c>
      <c r="M49" s="129"/>
      <c r="N49" s="54">
        <f t="shared" ref="N49:N72" si="32">IF(M49&lt;&gt;0,+H49-M49,0)</f>
        <v>0</v>
      </c>
      <c r="O49" s="54">
        <f t="shared" ref="O49:O72" si="33">+N49-L49</f>
        <v>0</v>
      </c>
      <c r="P49" s="1"/>
    </row>
    <row r="50" spans="2:17" ht="12.5">
      <c r="B50" s="7" t="str">
        <f t="shared" si="4"/>
        <v/>
      </c>
      <c r="C50" s="50">
        <f>IF(D11="","-",+C49+1)</f>
        <v>2040</v>
      </c>
      <c r="D50" s="55">
        <f>IF(F49+SUM(E$17:E49)=D$10,F49,D$10-SUM(E$17:E49))</f>
        <v>87632.719680395181</v>
      </c>
      <c r="E50" s="378">
        <f>IF(+I14&lt;F49,I14,D50)</f>
        <v>8457.931818181818</v>
      </c>
      <c r="F50" s="55">
        <f t="shared" si="29"/>
        <v>79174.787862213358</v>
      </c>
      <c r="G50" s="379">
        <f t="shared" si="27"/>
        <v>18426.943275645259</v>
      </c>
      <c r="H50" s="364">
        <f t="shared" si="28"/>
        <v>18426.943275645259</v>
      </c>
      <c r="I50" s="52">
        <f t="shared" si="30"/>
        <v>0</v>
      </c>
      <c r="J50" s="52"/>
      <c r="K50" s="129"/>
      <c r="L50" s="54">
        <f t="shared" si="31"/>
        <v>0</v>
      </c>
      <c r="M50" s="129"/>
      <c r="N50" s="54">
        <f t="shared" si="32"/>
        <v>0</v>
      </c>
      <c r="O50" s="54">
        <f t="shared" si="33"/>
        <v>0</v>
      </c>
      <c r="P50" s="1"/>
    </row>
    <row r="51" spans="2:17" ht="12.5">
      <c r="B51" s="7" t="str">
        <f t="shared" si="4"/>
        <v/>
      </c>
      <c r="C51" s="50">
        <f>IF(D11="","-",+C50+1)</f>
        <v>2041</v>
      </c>
      <c r="D51" s="55">
        <f>IF(F50+SUM(E$17:E50)=D$10,F50,D$10-SUM(E$17:E50))</f>
        <v>79174.787862213358</v>
      </c>
      <c r="E51" s="378">
        <f>IF(+I14&lt;F50,I14,D51)</f>
        <v>8457.931818181818</v>
      </c>
      <c r="F51" s="55">
        <f t="shared" si="29"/>
        <v>70716.856044031534</v>
      </c>
      <c r="G51" s="379">
        <f t="shared" si="27"/>
        <v>17415.990945692585</v>
      </c>
      <c r="H51" s="364">
        <f t="shared" si="28"/>
        <v>17415.990945692585</v>
      </c>
      <c r="I51" s="52">
        <f t="shared" si="30"/>
        <v>0</v>
      </c>
      <c r="J51" s="52"/>
      <c r="K51" s="129"/>
      <c r="L51" s="54">
        <f t="shared" si="31"/>
        <v>0</v>
      </c>
      <c r="M51" s="129"/>
      <c r="N51" s="54">
        <f t="shared" si="32"/>
        <v>0</v>
      </c>
      <c r="O51" s="54">
        <f t="shared" si="33"/>
        <v>0</v>
      </c>
      <c r="P51" s="1"/>
    </row>
    <row r="52" spans="2:17" ht="12.5">
      <c r="B52" s="7" t="str">
        <f t="shared" si="4"/>
        <v/>
      </c>
      <c r="C52" s="50">
        <f>IF(D11="","-",+C51+1)</f>
        <v>2042</v>
      </c>
      <c r="D52" s="55">
        <f>IF(F51+SUM(E$17:E51)=D$10,F51,D$10-SUM(E$17:E51))</f>
        <v>70716.856044031534</v>
      </c>
      <c r="E52" s="378">
        <f>IF(+I14&lt;F51,I14,D52)</f>
        <v>8457.931818181818</v>
      </c>
      <c r="F52" s="55">
        <f t="shared" si="29"/>
        <v>62258.924225849718</v>
      </c>
      <c r="G52" s="379">
        <f t="shared" si="27"/>
        <v>16405.038615739912</v>
      </c>
      <c r="H52" s="364">
        <f t="shared" si="28"/>
        <v>16405.038615739912</v>
      </c>
      <c r="I52" s="52">
        <f t="shared" si="30"/>
        <v>0</v>
      </c>
      <c r="J52" s="52"/>
      <c r="K52" s="129"/>
      <c r="L52" s="54">
        <f t="shared" si="31"/>
        <v>0</v>
      </c>
      <c r="M52" s="129"/>
      <c r="N52" s="54">
        <f t="shared" si="32"/>
        <v>0</v>
      </c>
      <c r="O52" s="54">
        <f t="shared" si="33"/>
        <v>0</v>
      </c>
      <c r="P52" s="1"/>
    </row>
    <row r="53" spans="2:17" ht="12.5">
      <c r="B53" s="7" t="str">
        <f t="shared" si="4"/>
        <v/>
      </c>
      <c r="C53" s="50">
        <f>IF(D11="","-",+C52+1)</f>
        <v>2043</v>
      </c>
      <c r="D53" s="55">
        <f>IF(F52+SUM(E$17:E52)=D$10,F52,D$10-SUM(E$17:E52))</f>
        <v>62258.924225849718</v>
      </c>
      <c r="E53" s="378">
        <f>IF(+I14&lt;F52,I14,D53)</f>
        <v>8457.931818181818</v>
      </c>
      <c r="F53" s="55">
        <f t="shared" si="29"/>
        <v>53800.992407667902</v>
      </c>
      <c r="G53" s="379">
        <f t="shared" si="27"/>
        <v>15394.086285787238</v>
      </c>
      <c r="H53" s="364">
        <f t="shared" si="28"/>
        <v>15394.086285787238</v>
      </c>
      <c r="I53" s="52">
        <f t="shared" si="30"/>
        <v>0</v>
      </c>
      <c r="J53" s="52"/>
      <c r="K53" s="129"/>
      <c r="L53" s="54">
        <f t="shared" si="31"/>
        <v>0</v>
      </c>
      <c r="M53" s="129"/>
      <c r="N53" s="54">
        <f t="shared" si="32"/>
        <v>0</v>
      </c>
      <c r="O53" s="54">
        <f t="shared" si="33"/>
        <v>0</v>
      </c>
      <c r="P53" s="1"/>
    </row>
    <row r="54" spans="2:17" ht="12.5">
      <c r="B54" s="7" t="str">
        <f t="shared" si="4"/>
        <v/>
      </c>
      <c r="C54" s="50">
        <f>IF(D11="","-",+C53+1)</f>
        <v>2044</v>
      </c>
      <c r="D54" s="55">
        <f>IF(F53+SUM(E$17:E53)=D$10,F53,D$10-SUM(E$17:E53))</f>
        <v>53800.992407667902</v>
      </c>
      <c r="E54" s="378">
        <f>IF(+I14&lt;F53,I14,D54)</f>
        <v>8457.931818181818</v>
      </c>
      <c r="F54" s="55">
        <f t="shared" si="29"/>
        <v>45343.060589486086</v>
      </c>
      <c r="G54" s="379">
        <f t="shared" si="27"/>
        <v>14383.133955834564</v>
      </c>
      <c r="H54" s="364">
        <f t="shared" si="28"/>
        <v>14383.133955834564</v>
      </c>
      <c r="I54" s="52">
        <f t="shared" si="30"/>
        <v>0</v>
      </c>
      <c r="J54" s="52"/>
      <c r="K54" s="129"/>
      <c r="L54" s="54">
        <f t="shared" si="31"/>
        <v>0</v>
      </c>
      <c r="M54" s="129"/>
      <c r="N54" s="54">
        <f t="shared" si="32"/>
        <v>0</v>
      </c>
      <c r="O54" s="54">
        <f t="shared" si="33"/>
        <v>0</v>
      </c>
      <c r="P54" s="1"/>
    </row>
    <row r="55" spans="2:17" ht="12.5">
      <c r="B55" s="7" t="str">
        <f t="shared" si="4"/>
        <v/>
      </c>
      <c r="C55" s="50">
        <f>IF(D11="","-",+C54+1)</f>
        <v>2045</v>
      </c>
      <c r="D55" s="55">
        <f>IF(F54+SUM(E$17:E54)=D$10,F54,D$10-SUM(E$17:E54))</f>
        <v>45343.060589486086</v>
      </c>
      <c r="E55" s="378">
        <f>IF(+I14&lt;F54,I14,D55)</f>
        <v>8457.931818181818</v>
      </c>
      <c r="F55" s="55">
        <f t="shared" si="29"/>
        <v>36885.128771304269</v>
      </c>
      <c r="G55" s="379">
        <f t="shared" si="27"/>
        <v>13372.181625881891</v>
      </c>
      <c r="H55" s="364">
        <f t="shared" si="28"/>
        <v>13372.181625881891</v>
      </c>
      <c r="I55" s="52">
        <f t="shared" si="30"/>
        <v>0</v>
      </c>
      <c r="J55" s="52"/>
      <c r="K55" s="129"/>
      <c r="L55" s="54">
        <f t="shared" si="31"/>
        <v>0</v>
      </c>
      <c r="M55" s="129"/>
      <c r="N55" s="54">
        <f t="shared" si="32"/>
        <v>0</v>
      </c>
      <c r="O55" s="54">
        <f t="shared" si="33"/>
        <v>0</v>
      </c>
      <c r="P55" s="1"/>
    </row>
    <row r="56" spans="2:17" ht="12.5">
      <c r="B56" s="7" t="str">
        <f t="shared" si="4"/>
        <v/>
      </c>
      <c r="C56" s="50">
        <f>IF(D11="","-",+C55+1)</f>
        <v>2046</v>
      </c>
      <c r="D56" s="55">
        <f>IF(F55+SUM(E$17:E55)=D$10,F55,D$10-SUM(E$17:E55))</f>
        <v>36885.128771304269</v>
      </c>
      <c r="E56" s="378">
        <f>IF(+I14&lt;F55,I14,D56)</f>
        <v>8457.931818181818</v>
      </c>
      <c r="F56" s="55">
        <f t="shared" si="29"/>
        <v>28427.196953122453</v>
      </c>
      <c r="G56" s="379">
        <f t="shared" si="27"/>
        <v>12361.229295929217</v>
      </c>
      <c r="H56" s="364">
        <f t="shared" si="28"/>
        <v>12361.229295929217</v>
      </c>
      <c r="I56" s="52">
        <f t="shared" si="30"/>
        <v>0</v>
      </c>
      <c r="J56" s="52"/>
      <c r="K56" s="129"/>
      <c r="L56" s="54">
        <f t="shared" si="31"/>
        <v>0</v>
      </c>
      <c r="M56" s="129"/>
      <c r="N56" s="54">
        <f t="shared" si="32"/>
        <v>0</v>
      </c>
      <c r="O56" s="54">
        <f t="shared" si="33"/>
        <v>0</v>
      </c>
      <c r="P56" s="1"/>
    </row>
    <row r="57" spans="2:17" ht="12.5">
      <c r="B57" s="7" t="str">
        <f t="shared" si="4"/>
        <v/>
      </c>
      <c r="C57" s="50">
        <f>IF(D11="","-",+C56+1)</f>
        <v>2047</v>
      </c>
      <c r="D57" s="55">
        <f>IF(F56+SUM(E$17:E56)=D$10,F56,D$10-SUM(E$17:E56))</f>
        <v>28427.196953122453</v>
      </c>
      <c r="E57" s="378">
        <f>IF(+I14&lt;F56,I14,D57)</f>
        <v>8457.931818181818</v>
      </c>
      <c r="F57" s="55">
        <f t="shared" si="29"/>
        <v>19969.265134940637</v>
      </c>
      <c r="G57" s="379">
        <f t="shared" si="27"/>
        <v>11350.276965976544</v>
      </c>
      <c r="H57" s="364">
        <f t="shared" si="28"/>
        <v>11350.276965976544</v>
      </c>
      <c r="I57" s="52">
        <f t="shared" si="30"/>
        <v>0</v>
      </c>
      <c r="J57" s="52"/>
      <c r="K57" s="129"/>
      <c r="L57" s="54">
        <f t="shared" si="31"/>
        <v>0</v>
      </c>
      <c r="M57" s="129"/>
      <c r="N57" s="54">
        <f t="shared" si="32"/>
        <v>0</v>
      </c>
      <c r="O57" s="54">
        <f t="shared" si="33"/>
        <v>0</v>
      </c>
      <c r="P57" s="1"/>
    </row>
    <row r="58" spans="2:17" ht="12.5">
      <c r="B58" s="7" t="str">
        <f t="shared" si="4"/>
        <v/>
      </c>
      <c r="C58" s="50">
        <f>IF(D11="","-",+C57+1)</f>
        <v>2048</v>
      </c>
      <c r="D58" s="55">
        <f>IF(F57+SUM(E$17:E57)=D$10,F57,D$10-SUM(E$17:E57))</f>
        <v>19969.265134940637</v>
      </c>
      <c r="E58" s="378">
        <f>IF(+I14&lt;F57,I14,D58)</f>
        <v>8457.931818181818</v>
      </c>
      <c r="F58" s="55">
        <f t="shared" si="29"/>
        <v>11511.333316758819</v>
      </c>
      <c r="G58" s="379">
        <f t="shared" si="27"/>
        <v>10339.32463602387</v>
      </c>
      <c r="H58" s="364">
        <f t="shared" si="28"/>
        <v>10339.32463602387</v>
      </c>
      <c r="I58" s="52">
        <f t="shared" si="30"/>
        <v>0</v>
      </c>
      <c r="J58" s="52"/>
      <c r="K58" s="129"/>
      <c r="L58" s="54">
        <f t="shared" si="31"/>
        <v>0</v>
      </c>
      <c r="M58" s="129"/>
      <c r="N58" s="54">
        <f t="shared" si="32"/>
        <v>0</v>
      </c>
      <c r="O58" s="54">
        <f t="shared" si="33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4"/>
        <v/>
      </c>
      <c r="C59" s="50">
        <f>IF(D11="","-",+C58+1)</f>
        <v>2049</v>
      </c>
      <c r="D59" s="55">
        <f>IF(F58+SUM(E$17:E58)=D$10,F58,D$10-SUM(E$17:E58))</f>
        <v>11511.333316758819</v>
      </c>
      <c r="E59" s="378">
        <f>IF(+I14&lt;F58,I14,D59)</f>
        <v>8457.931818181818</v>
      </c>
      <c r="F59" s="55">
        <f t="shared" si="29"/>
        <v>3053.4014985770009</v>
      </c>
      <c r="G59" s="379">
        <f t="shared" si="27"/>
        <v>9328.3723060711964</v>
      </c>
      <c r="H59" s="364">
        <f t="shared" si="28"/>
        <v>9328.3723060711964</v>
      </c>
      <c r="I59" s="52">
        <f t="shared" si="30"/>
        <v>0</v>
      </c>
      <c r="J59" s="52"/>
      <c r="K59" s="129"/>
      <c r="L59" s="54">
        <f t="shared" si="31"/>
        <v>0</v>
      </c>
      <c r="M59" s="129"/>
      <c r="N59" s="54">
        <f t="shared" si="32"/>
        <v>0</v>
      </c>
      <c r="O59" s="54">
        <f t="shared" si="33"/>
        <v>0</v>
      </c>
      <c r="P59" s="1"/>
    </row>
    <row r="60" spans="2:17" ht="12.5">
      <c r="B60" s="7" t="str">
        <f t="shared" si="4"/>
        <v/>
      </c>
      <c r="C60" s="50">
        <f>IF(D11="","-",+C59+1)</f>
        <v>2050</v>
      </c>
      <c r="D60" s="55">
        <f>IF(F59+SUM(E$17:E59)=D$10,F59,D$10-SUM(E$17:E59))</f>
        <v>3053.4014985770009</v>
      </c>
      <c r="E60" s="378">
        <f>IF(+I14&lt;F59,I14,D60)</f>
        <v>3053.4014985770009</v>
      </c>
      <c r="F60" s="55">
        <f t="shared" si="29"/>
        <v>0</v>
      </c>
      <c r="G60" s="379">
        <f t="shared" si="27"/>
        <v>3235.8836600335221</v>
      </c>
      <c r="H60" s="364">
        <f t="shared" si="28"/>
        <v>3235.8836600335221</v>
      </c>
      <c r="I60" s="52">
        <f t="shared" si="30"/>
        <v>0</v>
      </c>
      <c r="J60" s="52"/>
      <c r="K60" s="129"/>
      <c r="L60" s="54">
        <f t="shared" si="31"/>
        <v>0</v>
      </c>
      <c r="M60" s="129"/>
      <c r="N60" s="54">
        <f t="shared" si="32"/>
        <v>0</v>
      </c>
      <c r="O60" s="54">
        <f t="shared" si="33"/>
        <v>0</v>
      </c>
      <c r="P60" s="1"/>
    </row>
    <row r="61" spans="2:17" ht="12.5">
      <c r="B61" s="7" t="str">
        <f t="shared" si="4"/>
        <v/>
      </c>
      <c r="C61" s="50">
        <f>IF(D11="","-",+C60+1)</f>
        <v>2051</v>
      </c>
      <c r="D61" s="55">
        <f>IF(F60+SUM(E$17:E60)=D$10,F60,D$10-SUM(E$17:E60))</f>
        <v>0</v>
      </c>
      <c r="E61" s="378">
        <f>IF(+I14&lt;F60,I14,D61)</f>
        <v>0</v>
      </c>
      <c r="F61" s="55">
        <f t="shared" si="29"/>
        <v>0</v>
      </c>
      <c r="G61" s="380">
        <f t="shared" si="27"/>
        <v>0</v>
      </c>
      <c r="H61" s="364">
        <f t="shared" si="28"/>
        <v>0</v>
      </c>
      <c r="I61" s="52">
        <f t="shared" si="30"/>
        <v>0</v>
      </c>
      <c r="J61" s="52"/>
      <c r="K61" s="129"/>
      <c r="L61" s="54">
        <f t="shared" si="31"/>
        <v>0</v>
      </c>
      <c r="M61" s="129"/>
      <c r="N61" s="54">
        <f t="shared" si="32"/>
        <v>0</v>
      </c>
      <c r="O61" s="54">
        <f t="shared" si="33"/>
        <v>0</v>
      </c>
      <c r="P61" s="1"/>
    </row>
    <row r="62" spans="2:17" ht="12.5">
      <c r="B62" s="7" t="str">
        <f t="shared" si="4"/>
        <v/>
      </c>
      <c r="C62" s="50">
        <f>IF(D11="","-",+C61+1)</f>
        <v>2052</v>
      </c>
      <c r="D62" s="55">
        <f>IF(F61+SUM(E$17:E61)=D$10,F61,D$10-SUM(E$17:E61))</f>
        <v>0</v>
      </c>
      <c r="E62" s="378">
        <f>IF(+I14&lt;F61,I14,D62)</f>
        <v>0</v>
      </c>
      <c r="F62" s="55">
        <f t="shared" si="29"/>
        <v>0</v>
      </c>
      <c r="G62" s="380">
        <f t="shared" si="27"/>
        <v>0</v>
      </c>
      <c r="H62" s="364">
        <f t="shared" si="28"/>
        <v>0</v>
      </c>
      <c r="I62" s="52">
        <f t="shared" si="30"/>
        <v>0</v>
      </c>
      <c r="J62" s="52"/>
      <c r="K62" s="129"/>
      <c r="L62" s="54">
        <f t="shared" si="31"/>
        <v>0</v>
      </c>
      <c r="M62" s="129"/>
      <c r="N62" s="54">
        <f t="shared" si="32"/>
        <v>0</v>
      </c>
      <c r="O62" s="54">
        <f t="shared" si="33"/>
        <v>0</v>
      </c>
      <c r="P62" s="1"/>
    </row>
    <row r="63" spans="2:17" ht="12.5">
      <c r="B63" s="7" t="str">
        <f t="shared" si="4"/>
        <v/>
      </c>
      <c r="C63" s="50">
        <f>IF(D11="","-",+C62+1)</f>
        <v>2053</v>
      </c>
      <c r="D63" s="55">
        <f>IF(F62+SUM(E$17:E62)=D$10,F62,D$10-SUM(E$17:E62))</f>
        <v>0</v>
      </c>
      <c r="E63" s="378">
        <f>IF(+I14&lt;F62,I14,D63)</f>
        <v>0</v>
      </c>
      <c r="F63" s="55">
        <f t="shared" si="29"/>
        <v>0</v>
      </c>
      <c r="G63" s="380">
        <f t="shared" si="27"/>
        <v>0</v>
      </c>
      <c r="H63" s="364">
        <f t="shared" si="28"/>
        <v>0</v>
      </c>
      <c r="I63" s="52">
        <f t="shared" si="30"/>
        <v>0</v>
      </c>
      <c r="J63" s="52"/>
      <c r="K63" s="129"/>
      <c r="L63" s="54">
        <f t="shared" si="31"/>
        <v>0</v>
      </c>
      <c r="M63" s="129"/>
      <c r="N63" s="54">
        <f t="shared" si="32"/>
        <v>0</v>
      </c>
      <c r="O63" s="54">
        <f t="shared" si="33"/>
        <v>0</v>
      </c>
      <c r="P63" s="1"/>
    </row>
    <row r="64" spans="2:17" ht="12.5">
      <c r="B64" s="7" t="str">
        <f t="shared" si="4"/>
        <v/>
      </c>
      <c r="C64" s="50">
        <f>IF(D11="","-",+C63+1)</f>
        <v>2054</v>
      </c>
      <c r="D64" s="55">
        <f>IF(F63+SUM(E$17:E63)=D$10,F63,D$10-SUM(E$17:E63))</f>
        <v>0</v>
      </c>
      <c r="E64" s="378">
        <f>IF(+I14&lt;F63,I14,D64)</f>
        <v>0</v>
      </c>
      <c r="F64" s="55">
        <f t="shared" si="29"/>
        <v>0</v>
      </c>
      <c r="G64" s="380">
        <f t="shared" si="27"/>
        <v>0</v>
      </c>
      <c r="H64" s="364">
        <f t="shared" si="28"/>
        <v>0</v>
      </c>
      <c r="I64" s="52">
        <f t="shared" si="30"/>
        <v>0</v>
      </c>
      <c r="J64" s="52"/>
      <c r="K64" s="129"/>
      <c r="L64" s="54">
        <f t="shared" si="31"/>
        <v>0</v>
      </c>
      <c r="M64" s="129"/>
      <c r="N64" s="54">
        <f t="shared" si="32"/>
        <v>0</v>
      </c>
      <c r="O64" s="54">
        <f t="shared" si="33"/>
        <v>0</v>
      </c>
      <c r="P64" s="1"/>
    </row>
    <row r="65" spans="1:16" ht="12.5">
      <c r="B65" s="7" t="str">
        <f t="shared" si="4"/>
        <v/>
      </c>
      <c r="C65" s="50">
        <f>IF(D11="","-",+C64+1)</f>
        <v>2055</v>
      </c>
      <c r="D65" s="55">
        <f>IF(F64+SUM(E$17:E64)=D$10,F64,D$10-SUM(E$17:E64))</f>
        <v>0</v>
      </c>
      <c r="E65" s="378">
        <f>IF(+I14&lt;F64,I14,D65)</f>
        <v>0</v>
      </c>
      <c r="F65" s="55">
        <f t="shared" si="29"/>
        <v>0</v>
      </c>
      <c r="G65" s="380">
        <f t="shared" si="27"/>
        <v>0</v>
      </c>
      <c r="H65" s="364">
        <f t="shared" si="28"/>
        <v>0</v>
      </c>
      <c r="I65" s="52">
        <f t="shared" si="30"/>
        <v>0</v>
      </c>
      <c r="J65" s="52"/>
      <c r="K65" s="129"/>
      <c r="L65" s="54">
        <f t="shared" si="31"/>
        <v>0</v>
      </c>
      <c r="M65" s="129"/>
      <c r="N65" s="54">
        <f t="shared" si="32"/>
        <v>0</v>
      </c>
      <c r="O65" s="54">
        <f t="shared" si="33"/>
        <v>0</v>
      </c>
      <c r="P65" s="1"/>
    </row>
    <row r="66" spans="1:16" ht="12.5">
      <c r="B66" s="7" t="str">
        <f t="shared" si="4"/>
        <v/>
      </c>
      <c r="C66" s="50">
        <f>IF(D11="","-",+C65+1)</f>
        <v>2056</v>
      </c>
      <c r="D66" s="55">
        <f>IF(F65+SUM(E$17:E65)=D$10,F65,D$10-SUM(E$17:E65))</f>
        <v>0</v>
      </c>
      <c r="E66" s="378">
        <f>IF(+I14&lt;F65,I14,D66)</f>
        <v>0</v>
      </c>
      <c r="F66" s="55">
        <f t="shared" si="29"/>
        <v>0</v>
      </c>
      <c r="G66" s="380">
        <f t="shared" si="27"/>
        <v>0</v>
      </c>
      <c r="H66" s="364">
        <f t="shared" si="28"/>
        <v>0</v>
      </c>
      <c r="I66" s="52">
        <f t="shared" si="30"/>
        <v>0</v>
      </c>
      <c r="J66" s="52"/>
      <c r="K66" s="129"/>
      <c r="L66" s="54">
        <f t="shared" si="31"/>
        <v>0</v>
      </c>
      <c r="M66" s="129"/>
      <c r="N66" s="54">
        <f t="shared" si="32"/>
        <v>0</v>
      </c>
      <c r="O66" s="54">
        <f t="shared" si="33"/>
        <v>0</v>
      </c>
      <c r="P66" s="1"/>
    </row>
    <row r="67" spans="1:16" ht="12.5">
      <c r="B67" s="7" t="str">
        <f t="shared" si="4"/>
        <v/>
      </c>
      <c r="C67" s="50">
        <f>IF(D11="","-",+C66+1)</f>
        <v>2057</v>
      </c>
      <c r="D67" s="55">
        <f>IF(F66+SUM(E$17:E66)=D$10,F66,D$10-SUM(E$17:E66))</f>
        <v>0</v>
      </c>
      <c r="E67" s="378">
        <f>IF(+I14&lt;F66,I14,D67)</f>
        <v>0</v>
      </c>
      <c r="F67" s="55">
        <f t="shared" si="29"/>
        <v>0</v>
      </c>
      <c r="G67" s="380">
        <f t="shared" si="27"/>
        <v>0</v>
      </c>
      <c r="H67" s="364">
        <f t="shared" si="28"/>
        <v>0</v>
      </c>
      <c r="I67" s="52">
        <f t="shared" si="30"/>
        <v>0</v>
      </c>
      <c r="J67" s="52"/>
      <c r="K67" s="129"/>
      <c r="L67" s="54">
        <f t="shared" si="31"/>
        <v>0</v>
      </c>
      <c r="M67" s="129"/>
      <c r="N67" s="54">
        <f t="shared" si="32"/>
        <v>0</v>
      </c>
      <c r="O67" s="54">
        <f t="shared" si="33"/>
        <v>0</v>
      </c>
      <c r="P67" s="1"/>
    </row>
    <row r="68" spans="1:16" ht="12.5">
      <c r="B68" s="7" t="str">
        <f t="shared" si="4"/>
        <v/>
      </c>
      <c r="C68" s="50">
        <f>IF(D11="","-",+C67+1)</f>
        <v>2058</v>
      </c>
      <c r="D68" s="55">
        <f>IF(F67+SUM(E$17:E67)=D$10,F67,D$10-SUM(E$17:E67))</f>
        <v>0</v>
      </c>
      <c r="E68" s="378">
        <f>IF(+I14&lt;F67,I14,D68)</f>
        <v>0</v>
      </c>
      <c r="F68" s="55">
        <f t="shared" si="29"/>
        <v>0</v>
      </c>
      <c r="G68" s="380">
        <f t="shared" si="27"/>
        <v>0</v>
      </c>
      <c r="H68" s="364">
        <f t="shared" si="28"/>
        <v>0</v>
      </c>
      <c r="I68" s="52">
        <f t="shared" si="30"/>
        <v>0</v>
      </c>
      <c r="J68" s="52"/>
      <c r="K68" s="129"/>
      <c r="L68" s="54">
        <f t="shared" si="31"/>
        <v>0</v>
      </c>
      <c r="M68" s="129"/>
      <c r="N68" s="54">
        <f t="shared" si="32"/>
        <v>0</v>
      </c>
      <c r="O68" s="54">
        <f t="shared" si="33"/>
        <v>0</v>
      </c>
      <c r="P68" s="1"/>
    </row>
    <row r="69" spans="1:16" ht="12.5">
      <c r="B69" s="7" t="str">
        <f t="shared" si="4"/>
        <v/>
      </c>
      <c r="C69" s="50">
        <f>IF(D11="","-",+C68+1)</f>
        <v>2059</v>
      </c>
      <c r="D69" s="55">
        <f>IF(F68+SUM(E$17:E68)=D$10,F68,D$10-SUM(E$17:E68))</f>
        <v>0</v>
      </c>
      <c r="E69" s="378">
        <f>IF(+I14&lt;F68,I14,D69)</f>
        <v>0</v>
      </c>
      <c r="F69" s="55">
        <f t="shared" si="29"/>
        <v>0</v>
      </c>
      <c r="G69" s="380">
        <f t="shared" si="27"/>
        <v>0</v>
      </c>
      <c r="H69" s="364">
        <f t="shared" si="28"/>
        <v>0</v>
      </c>
      <c r="I69" s="52">
        <f t="shared" si="30"/>
        <v>0</v>
      </c>
      <c r="J69" s="52"/>
      <c r="K69" s="129"/>
      <c r="L69" s="54">
        <f t="shared" si="31"/>
        <v>0</v>
      </c>
      <c r="M69" s="129"/>
      <c r="N69" s="54">
        <f t="shared" si="32"/>
        <v>0</v>
      </c>
      <c r="O69" s="54">
        <f t="shared" si="33"/>
        <v>0</v>
      </c>
      <c r="P69" s="1"/>
    </row>
    <row r="70" spans="1:16" ht="12.5">
      <c r="B70" s="7" t="str">
        <f t="shared" si="4"/>
        <v/>
      </c>
      <c r="C70" s="50">
        <f>IF(D11="","-",+C69+1)</f>
        <v>2060</v>
      </c>
      <c r="D70" s="55">
        <f>IF(F69+SUM(E$17:E69)=D$10,F69,D$10-SUM(E$17:E69))</f>
        <v>0</v>
      </c>
      <c r="E70" s="378">
        <f>IF(+I14&lt;F69,I14,D70)</f>
        <v>0</v>
      </c>
      <c r="F70" s="55">
        <f t="shared" si="29"/>
        <v>0</v>
      </c>
      <c r="G70" s="380">
        <f t="shared" si="27"/>
        <v>0</v>
      </c>
      <c r="H70" s="364">
        <f t="shared" si="28"/>
        <v>0</v>
      </c>
      <c r="I70" s="52">
        <f t="shared" si="30"/>
        <v>0</v>
      </c>
      <c r="J70" s="52"/>
      <c r="K70" s="129"/>
      <c r="L70" s="54">
        <f t="shared" si="31"/>
        <v>0</v>
      </c>
      <c r="M70" s="129"/>
      <c r="N70" s="54">
        <f t="shared" si="32"/>
        <v>0</v>
      </c>
      <c r="O70" s="54">
        <f t="shared" si="33"/>
        <v>0</v>
      </c>
      <c r="P70" s="1"/>
    </row>
    <row r="71" spans="1:16" ht="12.5">
      <c r="B71" s="7" t="str">
        <f t="shared" si="4"/>
        <v/>
      </c>
      <c r="C71" s="50">
        <f>IF(D11="","-",+C70+1)</f>
        <v>2061</v>
      </c>
      <c r="D71" s="55">
        <f>IF(F70+SUM(E$17:E70)=D$10,F70,D$10-SUM(E$17:E70))</f>
        <v>0</v>
      </c>
      <c r="E71" s="378">
        <f>IF(+I14&lt;F70,I14,D71)</f>
        <v>0</v>
      </c>
      <c r="F71" s="55">
        <f t="shared" si="29"/>
        <v>0</v>
      </c>
      <c r="G71" s="380">
        <f t="shared" si="27"/>
        <v>0</v>
      </c>
      <c r="H71" s="364">
        <f t="shared" si="28"/>
        <v>0</v>
      </c>
      <c r="I71" s="52">
        <f t="shared" si="30"/>
        <v>0</v>
      </c>
      <c r="J71" s="52"/>
      <c r="K71" s="129"/>
      <c r="L71" s="54">
        <f t="shared" si="31"/>
        <v>0</v>
      </c>
      <c r="M71" s="129"/>
      <c r="N71" s="54">
        <f t="shared" si="32"/>
        <v>0</v>
      </c>
      <c r="O71" s="54">
        <f t="shared" si="33"/>
        <v>0</v>
      </c>
      <c r="P71" s="1"/>
    </row>
    <row r="72" spans="1:16" ht="13" thickBot="1">
      <c r="B72" s="7" t="str">
        <f t="shared" si="4"/>
        <v/>
      </c>
      <c r="C72" s="59">
        <f>IF(D11="","-",+C71+1)</f>
        <v>2062</v>
      </c>
      <c r="D72" s="60">
        <f>IF(F71+SUM(E$17:E71)=D$10,F71,D$10-SUM(E$17:E71))</f>
        <v>0</v>
      </c>
      <c r="E72" s="381">
        <f>IF(+I14&lt;F71,I14,D72)</f>
        <v>0</v>
      </c>
      <c r="F72" s="60">
        <f t="shared" si="29"/>
        <v>0</v>
      </c>
      <c r="G72" s="382">
        <f t="shared" si="27"/>
        <v>0</v>
      </c>
      <c r="H72" s="362">
        <f t="shared" si="28"/>
        <v>0</v>
      </c>
      <c r="I72" s="63">
        <f t="shared" si="30"/>
        <v>0</v>
      </c>
      <c r="J72" s="52"/>
      <c r="K72" s="130"/>
      <c r="L72" s="64">
        <f t="shared" si="31"/>
        <v>0</v>
      </c>
      <c r="M72" s="130"/>
      <c r="N72" s="64">
        <f t="shared" si="32"/>
        <v>0</v>
      </c>
      <c r="O72" s="64">
        <f t="shared" si="33"/>
        <v>0</v>
      </c>
      <c r="P72" s="1"/>
    </row>
    <row r="73" spans="1:16" ht="12.5">
      <c r="C73" s="12" t="s">
        <v>78</v>
      </c>
      <c r="D73" s="293"/>
      <c r="E73" s="293">
        <f>SUM(E17:E72)</f>
        <v>372149</v>
      </c>
      <c r="F73" s="293"/>
      <c r="G73" s="293">
        <f>SUM(G17:G72)</f>
        <v>1340937.6602659009</v>
      </c>
      <c r="H73" s="293">
        <f>SUM(H17:H72)</f>
        <v>1340937.6602659009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7.5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15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34602.180554888044</v>
      </c>
      <c r="N87" s="387">
        <f>IF(J92&lt;D11,0,VLOOKUP(J92,C17:O72,11))</f>
        <v>34602.180554888044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35567.394177555114</v>
      </c>
      <c r="N88" s="390">
        <f>IF(J92&lt;D11,0,VLOOKUP(J92,C99:P154,7))</f>
        <v>35567.394177555114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Arsenal Hill 138kV Device (Cap. Bank)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965.21362266707001</v>
      </c>
      <c r="N89" s="392">
        <f>+N88-N87</f>
        <v>965.21362266707001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TP2004148</v>
      </c>
      <c r="E91" s="76" t="str">
        <f>E9</f>
        <v>SPP Project ID =</v>
      </c>
      <c r="F91" s="463">
        <f>F9</f>
        <v>30000</v>
      </c>
      <c r="G91" s="76"/>
      <c r="H91" s="76"/>
      <c r="I91" s="76"/>
      <c r="J91" s="95"/>
      <c r="Q91" s="1"/>
    </row>
    <row r="92" spans="1:17" ht="13">
      <c r="C92" s="34" t="s">
        <v>51</v>
      </c>
      <c r="D92" s="363">
        <f>IF(D11=I10,0,D10)</f>
        <v>372149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  <c r="Q92" s="1"/>
    </row>
    <row r="93" spans="1:17" ht="12.5">
      <c r="C93" s="34" t="s">
        <v>54</v>
      </c>
      <c r="D93" s="88">
        <f>IF(D11=I10,"",D11)</f>
        <v>2007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4">
        <f>IF(D11=I10,"",D12)</f>
        <v>7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8457.931818181818</v>
      </c>
      <c r="K96" s="293"/>
      <c r="L96" s="293"/>
      <c r="M96" s="293"/>
      <c r="N96" s="293"/>
      <c r="O96" s="293"/>
      <c r="P96" s="1"/>
      <c r="Q96" s="1"/>
    </row>
    <row r="97" spans="1:17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 ht="12.5">
      <c r="C99" s="50">
        <f>IF(D93= "","-",D93)</f>
        <v>2007</v>
      </c>
      <c r="D99" s="133">
        <v>367119</v>
      </c>
      <c r="E99" s="376">
        <v>10058</v>
      </c>
      <c r="F99" s="137">
        <v>357061</v>
      </c>
      <c r="G99" s="140">
        <v>362090</v>
      </c>
      <c r="H99" s="397">
        <v>69474</v>
      </c>
      <c r="I99" s="398">
        <v>69474</v>
      </c>
      <c r="J99" s="154">
        <f t="shared" ref="J99:J130" si="34">+I99-H99</f>
        <v>0</v>
      </c>
      <c r="K99" s="54"/>
      <c r="L99" s="112">
        <v>0</v>
      </c>
      <c r="M99" s="53">
        <f t="shared" ref="M99:M130" si="35">IF(L99&lt;&gt;0,+H99-L99,0)</f>
        <v>0</v>
      </c>
      <c r="N99" s="112">
        <v>0</v>
      </c>
      <c r="O99" s="53">
        <f t="shared" ref="O99:O130" si="36">IF(N99&lt;&gt;0,+I99-N99,0)</f>
        <v>0</v>
      </c>
      <c r="P99" s="53">
        <f t="shared" ref="P99:P130" si="37">+O99-M99</f>
        <v>0</v>
      </c>
      <c r="Q99" s="1"/>
    </row>
    <row r="100" spans="1:17" ht="12.5">
      <c r="B100" s="7" t="str">
        <f>IF(D100=F99,"","IU")</f>
        <v>IU</v>
      </c>
      <c r="C100" s="50">
        <f>IF(D93="","-",+C99+1)</f>
        <v>2008</v>
      </c>
      <c r="D100" s="133">
        <v>245158</v>
      </c>
      <c r="E100" s="376">
        <v>6701</v>
      </c>
      <c r="F100" s="137">
        <v>238456</v>
      </c>
      <c r="G100" s="137">
        <v>241807</v>
      </c>
      <c r="H100" s="376">
        <v>45246</v>
      </c>
      <c r="I100" s="375">
        <v>45246</v>
      </c>
      <c r="J100" s="154">
        <f t="shared" si="34"/>
        <v>0</v>
      </c>
      <c r="K100" s="54"/>
      <c r="L100" s="113">
        <v>45246</v>
      </c>
      <c r="M100" s="54">
        <f t="shared" si="35"/>
        <v>0</v>
      </c>
      <c r="N100" s="113">
        <v>45246</v>
      </c>
      <c r="O100" s="54">
        <f t="shared" si="36"/>
        <v>0</v>
      </c>
      <c r="P100" s="54">
        <f t="shared" si="37"/>
        <v>0</v>
      </c>
      <c r="Q100" s="1"/>
    </row>
    <row r="101" spans="1:17" ht="12.5">
      <c r="B101" s="7" t="str">
        <f t="shared" ref="B101:B154" si="38">IF(D101=F100,"","IU")</f>
        <v>IU</v>
      </c>
      <c r="C101" s="50">
        <f>IF(D93="","-",+C100+1)</f>
        <v>2009</v>
      </c>
      <c r="D101" s="133">
        <v>355390</v>
      </c>
      <c r="E101" s="376">
        <v>9793.394736842105</v>
      </c>
      <c r="F101" s="137">
        <v>345596.60526315792</v>
      </c>
      <c r="G101" s="137">
        <v>350493.30263157899</v>
      </c>
      <c r="H101" s="376">
        <v>60522.976408209717</v>
      </c>
      <c r="I101" s="375">
        <v>60522.976408209717</v>
      </c>
      <c r="J101" s="154">
        <f t="shared" si="34"/>
        <v>0</v>
      </c>
      <c r="K101" s="54"/>
      <c r="L101" s="113">
        <f t="shared" ref="L101:L106" si="39">H101</f>
        <v>60522.976408209717</v>
      </c>
      <c r="M101" s="54">
        <f t="shared" si="35"/>
        <v>0</v>
      </c>
      <c r="N101" s="113">
        <f t="shared" ref="N101:N106" si="40">I101</f>
        <v>60522.976408209717</v>
      </c>
      <c r="O101" s="54">
        <f t="shared" si="36"/>
        <v>0</v>
      </c>
      <c r="P101" s="54">
        <f t="shared" si="37"/>
        <v>0</v>
      </c>
      <c r="Q101" s="1"/>
    </row>
    <row r="102" spans="1:17" ht="12.5">
      <c r="B102" s="7" t="str">
        <f t="shared" si="38"/>
        <v/>
      </c>
      <c r="C102" s="50">
        <f>IF(D93="","-",+C101+1)</f>
        <v>2010</v>
      </c>
      <c r="D102" s="133">
        <v>345596.60526315792</v>
      </c>
      <c r="E102" s="376">
        <v>9076.8048780487807</v>
      </c>
      <c r="F102" s="137">
        <v>336519.80038510915</v>
      </c>
      <c r="G102" s="137">
        <v>341058.20282413356</v>
      </c>
      <c r="H102" s="376">
        <v>65380.767354671472</v>
      </c>
      <c r="I102" s="375">
        <v>65380.767354671472</v>
      </c>
      <c r="J102" s="154">
        <f t="shared" si="34"/>
        <v>0</v>
      </c>
      <c r="K102" s="54"/>
      <c r="L102" s="113">
        <f t="shared" si="39"/>
        <v>65380.767354671472</v>
      </c>
      <c r="M102" s="54">
        <f t="shared" si="35"/>
        <v>0</v>
      </c>
      <c r="N102" s="113">
        <f t="shared" si="40"/>
        <v>65380.767354671472</v>
      </c>
      <c r="O102" s="54">
        <f t="shared" si="36"/>
        <v>0</v>
      </c>
      <c r="P102" s="54">
        <f t="shared" si="37"/>
        <v>0</v>
      </c>
      <c r="Q102" s="1"/>
    </row>
    <row r="103" spans="1:17" ht="12.5">
      <c r="B103" s="7" t="str">
        <f t="shared" si="38"/>
        <v/>
      </c>
      <c r="C103" s="50">
        <f>IF(D93="","-",+C102+1)</f>
        <v>2011</v>
      </c>
      <c r="D103" s="133">
        <v>336519.80038510915</v>
      </c>
      <c r="E103" s="377">
        <v>8860.6904761904771</v>
      </c>
      <c r="F103" s="137">
        <v>327659.10990891868</v>
      </c>
      <c r="G103" s="137">
        <v>332089.45514701388</v>
      </c>
      <c r="H103" s="376">
        <v>58800.269953257346</v>
      </c>
      <c r="I103" s="375">
        <v>58800.269953257346</v>
      </c>
      <c r="J103" s="154">
        <f t="shared" si="34"/>
        <v>0</v>
      </c>
      <c r="K103" s="54"/>
      <c r="L103" s="113">
        <f t="shared" si="39"/>
        <v>58800.269953257346</v>
      </c>
      <c r="M103" s="54">
        <f t="shared" si="35"/>
        <v>0</v>
      </c>
      <c r="N103" s="113">
        <f t="shared" si="40"/>
        <v>58800.269953257346</v>
      </c>
      <c r="O103" s="54">
        <f t="shared" si="36"/>
        <v>0</v>
      </c>
      <c r="P103" s="54">
        <f t="shared" si="37"/>
        <v>0</v>
      </c>
      <c r="Q103" s="1"/>
    </row>
    <row r="104" spans="1:17" ht="12.5">
      <c r="B104" s="7" t="str">
        <f t="shared" si="38"/>
        <v/>
      </c>
      <c r="C104" s="50">
        <f>IF(D93="","-",+C103+1)</f>
        <v>2012</v>
      </c>
      <c r="D104" s="133">
        <v>327659.10990891868</v>
      </c>
      <c r="E104" s="376">
        <v>8860.6904761904771</v>
      </c>
      <c r="F104" s="137">
        <v>318798.4194327282</v>
      </c>
      <c r="G104" s="137">
        <v>323228.76467082347</v>
      </c>
      <c r="H104" s="376">
        <v>56425.074067115129</v>
      </c>
      <c r="I104" s="375">
        <v>56425.074067115129</v>
      </c>
      <c r="J104" s="154">
        <f t="shared" si="34"/>
        <v>0</v>
      </c>
      <c r="K104" s="54"/>
      <c r="L104" s="113">
        <f t="shared" si="39"/>
        <v>56425.074067115129</v>
      </c>
      <c r="M104" s="54">
        <f t="shared" si="35"/>
        <v>0</v>
      </c>
      <c r="N104" s="113">
        <f t="shared" si="40"/>
        <v>56425.074067115129</v>
      </c>
      <c r="O104" s="54">
        <f t="shared" si="36"/>
        <v>0</v>
      </c>
      <c r="P104" s="54">
        <f t="shared" si="37"/>
        <v>0</v>
      </c>
      <c r="Q104" s="1"/>
    </row>
    <row r="105" spans="1:17" ht="12.5">
      <c r="B105" s="7" t="str">
        <f t="shared" si="38"/>
        <v/>
      </c>
      <c r="C105" s="50">
        <f>IF(D93="","-",+C104+1)</f>
        <v>2013</v>
      </c>
      <c r="D105" s="133">
        <v>318798.4194327282</v>
      </c>
      <c r="E105" s="376">
        <v>8860.6904761904771</v>
      </c>
      <c r="F105" s="137">
        <v>309937.72895653773</v>
      </c>
      <c r="G105" s="137">
        <v>314368.07419463294</v>
      </c>
      <c r="H105" s="376">
        <v>51392.082385725094</v>
      </c>
      <c r="I105" s="375">
        <v>51392.082385725094</v>
      </c>
      <c r="J105" s="154">
        <v>0</v>
      </c>
      <c r="K105" s="54"/>
      <c r="L105" s="113">
        <f t="shared" si="39"/>
        <v>51392.082385725094</v>
      </c>
      <c r="M105" s="54">
        <f t="shared" ref="M105:M110" si="41">IF(L105&lt;&gt;0,+H105-L105,0)</f>
        <v>0</v>
      </c>
      <c r="N105" s="113">
        <f t="shared" si="40"/>
        <v>51392.082385725094</v>
      </c>
      <c r="O105" s="54">
        <f t="shared" ref="O105:O110" si="42">IF(N105&lt;&gt;0,+I105-N105,0)</f>
        <v>0</v>
      </c>
      <c r="P105" s="54">
        <f t="shared" ref="P105:P110" si="43">+O105-M105</f>
        <v>0</v>
      </c>
      <c r="Q105" s="1"/>
    </row>
    <row r="106" spans="1:17" ht="12.5">
      <c r="B106" s="7" t="str">
        <f t="shared" si="38"/>
        <v/>
      </c>
      <c r="C106" s="50">
        <f>IF(D93="","-",+C105+1)</f>
        <v>2014</v>
      </c>
      <c r="D106" s="133">
        <v>309937.72895653773</v>
      </c>
      <c r="E106" s="376">
        <v>8860.6904761904771</v>
      </c>
      <c r="F106" s="137">
        <v>301077.03848034726</v>
      </c>
      <c r="G106" s="137">
        <v>305507.38371844252</v>
      </c>
      <c r="H106" s="376">
        <v>50386.311054794773</v>
      </c>
      <c r="I106" s="375">
        <v>50386.311054794773</v>
      </c>
      <c r="J106" s="54">
        <v>0</v>
      </c>
      <c r="K106" s="54"/>
      <c r="L106" s="113">
        <f t="shared" si="39"/>
        <v>50386.311054794773</v>
      </c>
      <c r="M106" s="54">
        <f t="shared" si="41"/>
        <v>0</v>
      </c>
      <c r="N106" s="113">
        <f t="shared" si="40"/>
        <v>50386.311054794773</v>
      </c>
      <c r="O106" s="54">
        <f t="shared" si="42"/>
        <v>0</v>
      </c>
      <c r="P106" s="54">
        <f t="shared" si="43"/>
        <v>0</v>
      </c>
      <c r="Q106" s="1"/>
    </row>
    <row r="107" spans="1:17" ht="12.5">
      <c r="B107" s="7" t="str">
        <f t="shared" si="38"/>
        <v/>
      </c>
      <c r="C107" s="50">
        <f>IF(D93="","-",+C106+1)</f>
        <v>2015</v>
      </c>
      <c r="D107" s="133">
        <v>301077.03848034726</v>
      </c>
      <c r="E107" s="376">
        <v>8860.6904761904771</v>
      </c>
      <c r="F107" s="137">
        <v>292216.34800415678</v>
      </c>
      <c r="G107" s="137">
        <v>296646.69324225199</v>
      </c>
      <c r="H107" s="376">
        <v>47949.4923700488</v>
      </c>
      <c r="I107" s="375">
        <v>47949.4923700488</v>
      </c>
      <c r="J107" s="54">
        <f t="shared" si="34"/>
        <v>0</v>
      </c>
      <c r="K107" s="54"/>
      <c r="L107" s="113">
        <f t="shared" ref="L107:L112" si="44">H107</f>
        <v>47949.4923700488</v>
      </c>
      <c r="M107" s="54">
        <f t="shared" si="41"/>
        <v>0</v>
      </c>
      <c r="N107" s="113">
        <f t="shared" ref="N107:N112" si="45">I107</f>
        <v>47949.4923700488</v>
      </c>
      <c r="O107" s="54">
        <f t="shared" si="42"/>
        <v>0</v>
      </c>
      <c r="P107" s="54">
        <f t="shared" si="43"/>
        <v>0</v>
      </c>
      <c r="Q107" s="1"/>
    </row>
    <row r="108" spans="1:17" ht="12.5">
      <c r="B108" s="7" t="str">
        <f t="shared" si="38"/>
        <v/>
      </c>
      <c r="C108" s="50">
        <f>IF(D93="","-",+C107+1)</f>
        <v>2016</v>
      </c>
      <c r="D108" s="133">
        <v>292216.34800415678</v>
      </c>
      <c r="E108" s="376">
        <v>8654.6279069767443</v>
      </c>
      <c r="F108" s="137">
        <v>283561.72009718005</v>
      </c>
      <c r="G108" s="137">
        <v>287889.03405066842</v>
      </c>
      <c r="H108" s="376">
        <v>45202.137408056922</v>
      </c>
      <c r="I108" s="375">
        <v>45202.137408056922</v>
      </c>
      <c r="J108" s="54">
        <f t="shared" si="34"/>
        <v>0</v>
      </c>
      <c r="K108" s="54"/>
      <c r="L108" s="113">
        <f t="shared" si="44"/>
        <v>45202.137408056922</v>
      </c>
      <c r="M108" s="54">
        <f t="shared" si="41"/>
        <v>0</v>
      </c>
      <c r="N108" s="113">
        <f t="shared" si="45"/>
        <v>45202.137408056922</v>
      </c>
      <c r="O108" s="54">
        <f t="shared" si="42"/>
        <v>0</v>
      </c>
      <c r="P108" s="54">
        <f t="shared" si="43"/>
        <v>0</v>
      </c>
      <c r="Q108" s="1"/>
    </row>
    <row r="109" spans="1:17" ht="12.5">
      <c r="B109" s="7" t="str">
        <f t="shared" si="38"/>
        <v/>
      </c>
      <c r="C109" s="50">
        <f>IF(D93="","-",+C108+1)</f>
        <v>2017</v>
      </c>
      <c r="D109" s="133">
        <v>283561.72009718005</v>
      </c>
      <c r="E109" s="376">
        <v>8860.6904761904771</v>
      </c>
      <c r="F109" s="137">
        <v>274701.02962098958</v>
      </c>
      <c r="G109" s="137">
        <v>279131.37485908484</v>
      </c>
      <c r="H109" s="376">
        <v>42767.185465657531</v>
      </c>
      <c r="I109" s="375">
        <v>42767.185465657531</v>
      </c>
      <c r="J109" s="54">
        <f t="shared" si="34"/>
        <v>0</v>
      </c>
      <c r="K109" s="54"/>
      <c r="L109" s="113">
        <f t="shared" si="44"/>
        <v>42767.185465657531</v>
      </c>
      <c r="M109" s="54">
        <f t="shared" si="41"/>
        <v>0</v>
      </c>
      <c r="N109" s="113">
        <f t="shared" si="45"/>
        <v>42767.185465657531</v>
      </c>
      <c r="O109" s="54">
        <f t="shared" si="42"/>
        <v>0</v>
      </c>
      <c r="P109" s="54">
        <f t="shared" si="43"/>
        <v>0</v>
      </c>
      <c r="Q109" s="1"/>
    </row>
    <row r="110" spans="1:17" ht="12.5">
      <c r="B110" s="7" t="str">
        <f t="shared" si="38"/>
        <v/>
      </c>
      <c r="C110" s="50">
        <f>IF(D93="","-",+C109+1)</f>
        <v>2018</v>
      </c>
      <c r="D110" s="133">
        <v>274701.02962098958</v>
      </c>
      <c r="E110" s="376">
        <v>8860.6904761904771</v>
      </c>
      <c r="F110" s="137">
        <v>265840.3391447991</v>
      </c>
      <c r="G110" s="137">
        <v>270270.68438289431</v>
      </c>
      <c r="H110" s="376">
        <v>37402.514159677034</v>
      </c>
      <c r="I110" s="375">
        <v>37402.514159677034</v>
      </c>
      <c r="J110" s="54">
        <f t="shared" si="34"/>
        <v>0</v>
      </c>
      <c r="K110" s="54"/>
      <c r="L110" s="113">
        <f t="shared" si="44"/>
        <v>37402.514159677034</v>
      </c>
      <c r="M110" s="54">
        <f t="shared" si="41"/>
        <v>0</v>
      </c>
      <c r="N110" s="113">
        <f t="shared" si="45"/>
        <v>37402.514159677034</v>
      </c>
      <c r="O110" s="54">
        <f t="shared" si="42"/>
        <v>0</v>
      </c>
      <c r="P110" s="54">
        <f t="shared" si="43"/>
        <v>0</v>
      </c>
      <c r="Q110" s="1"/>
    </row>
    <row r="111" spans="1:17" ht="12.5">
      <c r="B111" s="7" t="str">
        <f t="shared" si="38"/>
        <v/>
      </c>
      <c r="C111" s="50">
        <f>IF(D93="","-",+C110+1)</f>
        <v>2019</v>
      </c>
      <c r="D111" s="133">
        <v>265840.3391447991</v>
      </c>
      <c r="E111" s="376">
        <v>8654.6279069767443</v>
      </c>
      <c r="F111" s="137">
        <v>257185.71123782237</v>
      </c>
      <c r="G111" s="137">
        <v>261513.02519131073</v>
      </c>
      <c r="H111" s="376">
        <v>36647.12505132259</v>
      </c>
      <c r="I111" s="375">
        <v>36647.12505132259</v>
      </c>
      <c r="J111" s="54">
        <f t="shared" si="34"/>
        <v>0</v>
      </c>
      <c r="K111" s="54"/>
      <c r="L111" s="113">
        <f t="shared" si="44"/>
        <v>36647.12505132259</v>
      </c>
      <c r="M111" s="54">
        <f t="shared" ref="M111" si="46">IF(L111&lt;&gt;0,+H111-L111,0)</f>
        <v>0</v>
      </c>
      <c r="N111" s="113">
        <f t="shared" si="45"/>
        <v>36647.12505132259</v>
      </c>
      <c r="O111" s="54">
        <f t="shared" si="36"/>
        <v>0</v>
      </c>
      <c r="P111" s="54">
        <f t="shared" si="37"/>
        <v>0</v>
      </c>
      <c r="Q111" s="1"/>
    </row>
    <row r="112" spans="1:17" ht="12.5">
      <c r="B112" s="7" t="str">
        <f t="shared" si="38"/>
        <v/>
      </c>
      <c r="C112" s="50">
        <f>IF(D93="","-",+C111+1)</f>
        <v>2020</v>
      </c>
      <c r="D112" s="133">
        <v>257185.71123782237</v>
      </c>
      <c r="E112" s="376">
        <v>8860.6904761904771</v>
      </c>
      <c r="F112" s="137">
        <v>248325.02076163189</v>
      </c>
      <c r="G112" s="137">
        <v>252755.36599972713</v>
      </c>
      <c r="H112" s="376">
        <v>36050.553881907734</v>
      </c>
      <c r="I112" s="375">
        <v>36050.553881907734</v>
      </c>
      <c r="J112" s="54">
        <f t="shared" si="34"/>
        <v>0</v>
      </c>
      <c r="K112" s="54"/>
      <c r="L112" s="113">
        <f t="shared" si="44"/>
        <v>36050.553881907734</v>
      </c>
      <c r="M112" s="54">
        <f t="shared" ref="M112" si="47">IF(L112&lt;&gt;0,+H112-L112,0)</f>
        <v>0</v>
      </c>
      <c r="N112" s="113">
        <f t="shared" si="45"/>
        <v>36050.553881907734</v>
      </c>
      <c r="O112" s="54">
        <f t="shared" si="36"/>
        <v>0</v>
      </c>
      <c r="P112" s="54">
        <f t="shared" si="37"/>
        <v>0</v>
      </c>
      <c r="Q112" s="1"/>
    </row>
    <row r="113" spans="2:17" ht="12.5">
      <c r="B113" s="7" t="str">
        <f t="shared" si="38"/>
        <v/>
      </c>
      <c r="C113" s="50">
        <f>IF(D93="","-",+C112+1)</f>
        <v>2021</v>
      </c>
      <c r="D113" s="133">
        <v>248325.02076163189</v>
      </c>
      <c r="E113" s="376">
        <v>9076.8048780487807</v>
      </c>
      <c r="F113" s="137">
        <v>239248.21588358312</v>
      </c>
      <c r="G113" s="137">
        <v>243786.61832260751</v>
      </c>
      <c r="H113" s="376">
        <v>36750.054256736621</v>
      </c>
      <c r="I113" s="375">
        <v>36750.054256736621</v>
      </c>
      <c r="J113" s="54">
        <f t="shared" si="34"/>
        <v>0</v>
      </c>
      <c r="K113" s="54"/>
      <c r="L113" s="113">
        <f t="shared" ref="L113" si="48">H113</f>
        <v>36750.054256736621</v>
      </c>
      <c r="M113" s="54">
        <f t="shared" ref="M113" si="49">IF(L113&lt;&gt;0,+H113-L113,0)</f>
        <v>0</v>
      </c>
      <c r="N113" s="113">
        <f t="shared" ref="N113" si="50">I113</f>
        <v>36750.054256736621</v>
      </c>
      <c r="O113" s="54">
        <f t="shared" si="36"/>
        <v>0</v>
      </c>
      <c r="P113" s="54">
        <f t="shared" si="37"/>
        <v>0</v>
      </c>
      <c r="Q113" s="1"/>
    </row>
    <row r="114" spans="2:17" ht="12.5">
      <c r="B114" s="7" t="str">
        <f t="shared" si="38"/>
        <v/>
      </c>
      <c r="C114" s="50">
        <f>IF(D93="","-",+C113+1)</f>
        <v>2022</v>
      </c>
      <c r="D114" s="133">
        <v>239248.21588358312</v>
      </c>
      <c r="E114" s="376">
        <v>8860.6904761904771</v>
      </c>
      <c r="F114" s="137">
        <v>230387.52540739265</v>
      </c>
      <c r="G114" s="137">
        <v>234817.87064548788</v>
      </c>
      <c r="H114" s="376">
        <v>36441.891070021375</v>
      </c>
      <c r="I114" s="375">
        <v>36441.891070021375</v>
      </c>
      <c r="J114" s="54">
        <f t="shared" si="34"/>
        <v>0</v>
      </c>
      <c r="K114" s="54"/>
      <c r="L114" s="113">
        <f t="shared" ref="L114" si="51">H114</f>
        <v>36441.891070021375</v>
      </c>
      <c r="M114" s="54">
        <f t="shared" ref="M114" si="52">IF(L114&lt;&gt;0,+H114-L114,0)</f>
        <v>0</v>
      </c>
      <c r="N114" s="113">
        <f t="shared" ref="N114" si="53">I114</f>
        <v>36441.891070021375</v>
      </c>
      <c r="O114" s="54">
        <f t="shared" ref="O114" si="54">IF(N114&lt;&gt;0,+I114-N114,0)</f>
        <v>0</v>
      </c>
      <c r="P114" s="54">
        <f t="shared" ref="P114" si="55">+O114-M114</f>
        <v>0</v>
      </c>
      <c r="Q114" s="1"/>
    </row>
    <row r="115" spans="2:17" ht="12.5">
      <c r="B115" s="7" t="str">
        <f t="shared" si="38"/>
        <v/>
      </c>
      <c r="C115" s="50">
        <f>IF(D93="","-",+C114+1)</f>
        <v>2023</v>
      </c>
      <c r="D115" s="133">
        <v>230387.52540739265</v>
      </c>
      <c r="E115" s="376">
        <v>8457.931818181818</v>
      </c>
      <c r="F115" s="137">
        <v>221929.59358921082</v>
      </c>
      <c r="G115" s="137">
        <v>226158.55949830174</v>
      </c>
      <c r="H115" s="376">
        <v>36357.995224212696</v>
      </c>
      <c r="I115" s="375">
        <v>36357.995224212696</v>
      </c>
      <c r="J115" s="54">
        <f t="shared" si="34"/>
        <v>0</v>
      </c>
      <c r="K115" s="54"/>
      <c r="L115" s="113">
        <f t="shared" ref="L115" si="56">H115</f>
        <v>36357.995224212696</v>
      </c>
      <c r="M115" s="54">
        <f t="shared" ref="M115" si="57">IF(L115&lt;&gt;0,+H115-L115,0)</f>
        <v>0</v>
      </c>
      <c r="N115" s="113">
        <f t="shared" ref="N115" si="58">I115</f>
        <v>36357.995224212696</v>
      </c>
      <c r="O115" s="54">
        <f t="shared" ref="O115" si="59">IF(N115&lt;&gt;0,+I115-N115,0)</f>
        <v>0</v>
      </c>
      <c r="P115" s="54">
        <f t="shared" ref="P115" si="60">+O115-M115</f>
        <v>0</v>
      </c>
      <c r="Q115" s="1"/>
    </row>
    <row r="116" spans="2:17" ht="12.5">
      <c r="B116" s="7" t="str">
        <f t="shared" si="38"/>
        <v/>
      </c>
      <c r="C116" s="50">
        <f>IF(D93="","-",+C115+1)</f>
        <v>2024</v>
      </c>
      <c r="D116" s="12">
        <f>IF(F115+SUM(E$99:E115)=D$92,F115,D$92-SUM(E$99:E115))</f>
        <v>221929.59358921082</v>
      </c>
      <c r="E116" s="378">
        <f>IF(+J96&lt;F115,J96,D116)</f>
        <v>8457.931818181818</v>
      </c>
      <c r="F116" s="55">
        <f t="shared" ref="F116:F130" si="61">+D116-E116</f>
        <v>213471.661771029</v>
      </c>
      <c r="G116" s="55">
        <f t="shared" ref="G116:G130" si="62">+(F116+D116)/2</f>
        <v>217700.62768011991</v>
      </c>
      <c r="H116" s="380">
        <f t="shared" ref="H116:H154" si="63">+J$94*G116+E116</f>
        <v>35567.394177555114</v>
      </c>
      <c r="I116" s="399">
        <f t="shared" ref="I116:I154" si="64">+J$95*G116+E116</f>
        <v>35567.394177555114</v>
      </c>
      <c r="J116" s="54">
        <f t="shared" si="34"/>
        <v>0</v>
      </c>
      <c r="K116" s="54"/>
      <c r="L116" s="129"/>
      <c r="M116" s="54">
        <f t="shared" si="35"/>
        <v>0</v>
      </c>
      <c r="N116" s="129"/>
      <c r="O116" s="54">
        <f t="shared" si="36"/>
        <v>0</v>
      </c>
      <c r="P116" s="54">
        <f t="shared" si="37"/>
        <v>0</v>
      </c>
      <c r="Q116" s="1"/>
    </row>
    <row r="117" spans="2:17" ht="12.5">
      <c r="B117" s="7" t="str">
        <f t="shared" si="38"/>
        <v/>
      </c>
      <c r="C117" s="50">
        <f>IF(D93="","-",+C116+1)</f>
        <v>2025</v>
      </c>
      <c r="D117" s="12">
        <f>IF(F116+SUM(E$99:E116)=D$92,F116,D$92-SUM(E$99:E116))</f>
        <v>213471.661771029</v>
      </c>
      <c r="E117" s="378">
        <f>IF(+J96&lt;F116,J96,D117)</f>
        <v>8457.931818181818</v>
      </c>
      <c r="F117" s="55">
        <f t="shared" si="61"/>
        <v>205013.72995284718</v>
      </c>
      <c r="G117" s="55">
        <f t="shared" si="62"/>
        <v>209242.69586193809</v>
      </c>
      <c r="H117" s="380">
        <f t="shared" si="63"/>
        <v>34514.158885096265</v>
      </c>
      <c r="I117" s="399">
        <f t="shared" si="64"/>
        <v>34514.158885096265</v>
      </c>
      <c r="J117" s="54">
        <f t="shared" si="34"/>
        <v>0</v>
      </c>
      <c r="K117" s="54"/>
      <c r="L117" s="129"/>
      <c r="M117" s="54">
        <f t="shared" si="35"/>
        <v>0</v>
      </c>
      <c r="N117" s="129"/>
      <c r="O117" s="54">
        <f t="shared" si="36"/>
        <v>0</v>
      </c>
      <c r="P117" s="54">
        <f t="shared" si="37"/>
        <v>0</v>
      </c>
      <c r="Q117" s="1"/>
    </row>
    <row r="118" spans="2:17" ht="12.5">
      <c r="B118" s="7" t="str">
        <f t="shared" si="38"/>
        <v/>
      </c>
      <c r="C118" s="50">
        <f>IF(D93="","-",+C117+1)</f>
        <v>2026</v>
      </c>
      <c r="D118" s="12">
        <f>IF(F117+SUM(E$99:E117)=D$92,F117,D$92-SUM(E$99:E117))</f>
        <v>205013.72995284718</v>
      </c>
      <c r="E118" s="378">
        <f>IF(+J96&lt;F117,J96,D118)</f>
        <v>8457.931818181818</v>
      </c>
      <c r="F118" s="55">
        <f t="shared" si="61"/>
        <v>196555.79813466535</v>
      </c>
      <c r="G118" s="55">
        <f t="shared" si="62"/>
        <v>200784.76404375627</v>
      </c>
      <c r="H118" s="380">
        <f t="shared" si="63"/>
        <v>33460.923592637417</v>
      </c>
      <c r="I118" s="399">
        <f t="shared" si="64"/>
        <v>33460.923592637417</v>
      </c>
      <c r="J118" s="54">
        <f t="shared" si="34"/>
        <v>0</v>
      </c>
      <c r="K118" s="54"/>
      <c r="L118" s="129"/>
      <c r="M118" s="54">
        <f t="shared" si="35"/>
        <v>0</v>
      </c>
      <c r="N118" s="129"/>
      <c r="O118" s="54">
        <f t="shared" si="36"/>
        <v>0</v>
      </c>
      <c r="P118" s="54">
        <f t="shared" si="37"/>
        <v>0</v>
      </c>
      <c r="Q118" s="1"/>
    </row>
    <row r="119" spans="2:17" ht="12.5">
      <c r="B119" s="7" t="str">
        <f t="shared" si="38"/>
        <v/>
      </c>
      <c r="C119" s="50">
        <f>IF(D93="","-",+C118+1)</f>
        <v>2027</v>
      </c>
      <c r="D119" s="12">
        <f>IF(F118+SUM(E$99:E118)=D$92,F118,D$92-SUM(E$99:E118))</f>
        <v>196555.79813466535</v>
      </c>
      <c r="E119" s="378">
        <f>IF(+J96&lt;F118,J96,D119)</f>
        <v>8457.931818181818</v>
      </c>
      <c r="F119" s="55">
        <f t="shared" si="61"/>
        <v>188097.86631648353</v>
      </c>
      <c r="G119" s="55">
        <f t="shared" si="62"/>
        <v>192326.83222557444</v>
      </c>
      <c r="H119" s="380">
        <f t="shared" si="63"/>
        <v>32407.688300178568</v>
      </c>
      <c r="I119" s="399">
        <f t="shared" si="64"/>
        <v>32407.688300178568</v>
      </c>
      <c r="J119" s="54">
        <f t="shared" si="34"/>
        <v>0</v>
      </c>
      <c r="K119" s="54"/>
      <c r="L119" s="129"/>
      <c r="M119" s="54">
        <f t="shared" si="35"/>
        <v>0</v>
      </c>
      <c r="N119" s="129"/>
      <c r="O119" s="54">
        <f t="shared" si="36"/>
        <v>0</v>
      </c>
      <c r="P119" s="54">
        <f t="shared" si="37"/>
        <v>0</v>
      </c>
      <c r="Q119" s="1"/>
    </row>
    <row r="120" spans="2:17" ht="12.5">
      <c r="B120" s="7" t="str">
        <f t="shared" si="38"/>
        <v/>
      </c>
      <c r="C120" s="50">
        <f>IF(D93="","-",+C119+1)</f>
        <v>2028</v>
      </c>
      <c r="D120" s="12">
        <f>IF(F119+SUM(E$99:E119)=D$92,F119,D$92-SUM(E$99:E119))</f>
        <v>188097.86631648353</v>
      </c>
      <c r="E120" s="378">
        <f>IF(+J96&lt;F119,J96,D120)</f>
        <v>8457.931818181818</v>
      </c>
      <c r="F120" s="55">
        <f t="shared" si="61"/>
        <v>179639.93449830171</v>
      </c>
      <c r="G120" s="55">
        <f t="shared" si="62"/>
        <v>183868.90040739262</v>
      </c>
      <c r="H120" s="380">
        <f t="shared" si="63"/>
        <v>31354.45300771972</v>
      </c>
      <c r="I120" s="399">
        <f t="shared" si="64"/>
        <v>31354.45300771972</v>
      </c>
      <c r="J120" s="54">
        <f t="shared" si="34"/>
        <v>0</v>
      </c>
      <c r="K120" s="54"/>
      <c r="L120" s="129"/>
      <c r="M120" s="54">
        <f t="shared" si="35"/>
        <v>0</v>
      </c>
      <c r="N120" s="129"/>
      <c r="O120" s="54">
        <f t="shared" si="36"/>
        <v>0</v>
      </c>
      <c r="P120" s="54">
        <f t="shared" si="37"/>
        <v>0</v>
      </c>
      <c r="Q120" s="1"/>
    </row>
    <row r="121" spans="2:17" ht="12.5">
      <c r="B121" s="7" t="str">
        <f t="shared" si="38"/>
        <v/>
      </c>
      <c r="C121" s="50">
        <f>IF(D93="","-",+C120+1)</f>
        <v>2029</v>
      </c>
      <c r="D121" s="12">
        <f>IF(F120+SUM(E$99:E120)=D$92,F120,D$92-SUM(E$99:E120))</f>
        <v>179639.93449830171</v>
      </c>
      <c r="E121" s="378">
        <f>IF(+J96&lt;F120,J96,D121)</f>
        <v>8457.931818181818</v>
      </c>
      <c r="F121" s="55">
        <f t="shared" si="61"/>
        <v>171182.00268011988</v>
      </c>
      <c r="G121" s="55">
        <f t="shared" si="62"/>
        <v>175410.9685892108</v>
      </c>
      <c r="H121" s="380">
        <f t="shared" si="63"/>
        <v>30301.217715260871</v>
      </c>
      <c r="I121" s="399">
        <f t="shared" si="64"/>
        <v>30301.217715260871</v>
      </c>
      <c r="J121" s="54">
        <f t="shared" si="34"/>
        <v>0</v>
      </c>
      <c r="K121" s="54"/>
      <c r="L121" s="129"/>
      <c r="M121" s="54">
        <f t="shared" si="35"/>
        <v>0</v>
      </c>
      <c r="N121" s="129"/>
      <c r="O121" s="54">
        <f t="shared" si="36"/>
        <v>0</v>
      </c>
      <c r="P121" s="54">
        <f t="shared" si="37"/>
        <v>0</v>
      </c>
      <c r="Q121" s="1"/>
    </row>
    <row r="122" spans="2:17" ht="12.5">
      <c r="B122" s="7" t="str">
        <f t="shared" si="38"/>
        <v/>
      </c>
      <c r="C122" s="50">
        <f>IF(D93="","-",+C121+1)</f>
        <v>2030</v>
      </c>
      <c r="D122" s="12">
        <f>IF(F121+SUM(E$99:E121)=D$92,F121,D$92-SUM(E$99:E121))</f>
        <v>171182.00268011988</v>
      </c>
      <c r="E122" s="378">
        <f>IF(+J96&lt;F121,J96,D122)</f>
        <v>8457.931818181818</v>
      </c>
      <c r="F122" s="55">
        <f t="shared" si="61"/>
        <v>162724.07086193806</v>
      </c>
      <c r="G122" s="55">
        <f t="shared" si="62"/>
        <v>166953.03677102897</v>
      </c>
      <c r="H122" s="380">
        <f t="shared" si="63"/>
        <v>29247.982422802022</v>
      </c>
      <c r="I122" s="399">
        <f t="shared" si="64"/>
        <v>29247.982422802022</v>
      </c>
      <c r="J122" s="54">
        <f t="shared" si="34"/>
        <v>0</v>
      </c>
      <c r="K122" s="54"/>
      <c r="L122" s="129"/>
      <c r="M122" s="54">
        <f t="shared" si="35"/>
        <v>0</v>
      </c>
      <c r="N122" s="129"/>
      <c r="O122" s="54">
        <f t="shared" si="36"/>
        <v>0</v>
      </c>
      <c r="P122" s="54">
        <f t="shared" si="37"/>
        <v>0</v>
      </c>
      <c r="Q122" s="1"/>
    </row>
    <row r="123" spans="2:17" ht="12.5">
      <c r="B123" s="7" t="str">
        <f t="shared" si="38"/>
        <v/>
      </c>
      <c r="C123" s="50">
        <f>IF(D93="","-",+C122+1)</f>
        <v>2031</v>
      </c>
      <c r="D123" s="12">
        <f>IF(F122+SUM(E$99:E122)=D$92,F122,D$92-SUM(E$99:E122))</f>
        <v>162724.07086193806</v>
      </c>
      <c r="E123" s="378">
        <f>IF(+J96&lt;F122,J96,D123)</f>
        <v>8457.931818181818</v>
      </c>
      <c r="F123" s="55">
        <f t="shared" si="61"/>
        <v>154266.13904375624</v>
      </c>
      <c r="G123" s="55">
        <f t="shared" si="62"/>
        <v>158495.10495284715</v>
      </c>
      <c r="H123" s="380">
        <f t="shared" si="63"/>
        <v>28194.747130343181</v>
      </c>
      <c r="I123" s="399">
        <f t="shared" si="64"/>
        <v>28194.747130343181</v>
      </c>
      <c r="J123" s="54">
        <f t="shared" si="34"/>
        <v>0</v>
      </c>
      <c r="K123" s="54"/>
      <c r="L123" s="129"/>
      <c r="M123" s="54">
        <f t="shared" si="35"/>
        <v>0</v>
      </c>
      <c r="N123" s="129"/>
      <c r="O123" s="54">
        <f t="shared" si="36"/>
        <v>0</v>
      </c>
      <c r="P123" s="54">
        <f t="shared" si="37"/>
        <v>0</v>
      </c>
      <c r="Q123" s="1"/>
    </row>
    <row r="124" spans="2:17" ht="12.5">
      <c r="B124" s="7" t="str">
        <f t="shared" si="38"/>
        <v/>
      </c>
      <c r="C124" s="50">
        <f>IF(D93="","-",+C123+1)</f>
        <v>2032</v>
      </c>
      <c r="D124" s="12">
        <f>IF(F123+SUM(E$99:E123)=D$92,F123,D$92-SUM(E$99:E123))</f>
        <v>154266.13904375624</v>
      </c>
      <c r="E124" s="378">
        <f>IF(+J96&lt;F123,J96,D124)</f>
        <v>8457.931818181818</v>
      </c>
      <c r="F124" s="55">
        <f t="shared" si="61"/>
        <v>145808.20722557441</v>
      </c>
      <c r="G124" s="55">
        <f t="shared" si="62"/>
        <v>150037.17313466533</v>
      </c>
      <c r="H124" s="380">
        <f t="shared" si="63"/>
        <v>27141.511837884333</v>
      </c>
      <c r="I124" s="399">
        <f t="shared" si="64"/>
        <v>27141.511837884333</v>
      </c>
      <c r="J124" s="54">
        <f t="shared" si="34"/>
        <v>0</v>
      </c>
      <c r="K124" s="54"/>
      <c r="L124" s="129"/>
      <c r="M124" s="54">
        <f t="shared" si="35"/>
        <v>0</v>
      </c>
      <c r="N124" s="129"/>
      <c r="O124" s="54">
        <f t="shared" si="36"/>
        <v>0</v>
      </c>
      <c r="P124" s="54">
        <f t="shared" si="37"/>
        <v>0</v>
      </c>
      <c r="Q124" s="1"/>
    </row>
    <row r="125" spans="2:17" ht="12.5">
      <c r="B125" s="7" t="str">
        <f t="shared" si="38"/>
        <v/>
      </c>
      <c r="C125" s="50">
        <f>IF(D93="","-",+C124+1)</f>
        <v>2033</v>
      </c>
      <c r="D125" s="12">
        <f>IF(F124+SUM(E$99:E124)=D$92,F124,D$92-SUM(E$99:E124))</f>
        <v>145808.20722557441</v>
      </c>
      <c r="E125" s="378">
        <f>IF(+J96&lt;F124,J96,D125)</f>
        <v>8457.931818181818</v>
      </c>
      <c r="F125" s="55">
        <f t="shared" si="61"/>
        <v>137350.27540739259</v>
      </c>
      <c r="G125" s="55">
        <f t="shared" si="62"/>
        <v>141579.2413164835</v>
      </c>
      <c r="H125" s="380">
        <f t="shared" si="63"/>
        <v>26088.276545425484</v>
      </c>
      <c r="I125" s="399">
        <f t="shared" si="64"/>
        <v>26088.276545425484</v>
      </c>
      <c r="J125" s="54">
        <f t="shared" si="34"/>
        <v>0</v>
      </c>
      <c r="K125" s="54"/>
      <c r="L125" s="129"/>
      <c r="M125" s="54">
        <f t="shared" si="35"/>
        <v>0</v>
      </c>
      <c r="N125" s="129"/>
      <c r="O125" s="54">
        <f t="shared" si="36"/>
        <v>0</v>
      </c>
      <c r="P125" s="54">
        <f t="shared" si="37"/>
        <v>0</v>
      </c>
      <c r="Q125" s="1"/>
    </row>
    <row r="126" spans="2:17" ht="12.5">
      <c r="B126" s="7" t="str">
        <f t="shared" si="38"/>
        <v/>
      </c>
      <c r="C126" s="50">
        <f>IF(D93="","-",+C125+1)</f>
        <v>2034</v>
      </c>
      <c r="D126" s="12">
        <f>IF(F125+SUM(E$99:E125)=D$92,F125,D$92-SUM(E$99:E125))</f>
        <v>137350.27540739259</v>
      </c>
      <c r="E126" s="378">
        <f>IF(+J96&lt;F125,J96,D126)</f>
        <v>8457.931818181818</v>
      </c>
      <c r="F126" s="55">
        <f t="shared" si="61"/>
        <v>128892.34358921077</v>
      </c>
      <c r="G126" s="55">
        <f t="shared" si="62"/>
        <v>133121.30949830168</v>
      </c>
      <c r="H126" s="380">
        <f t="shared" si="63"/>
        <v>25035.041252966636</v>
      </c>
      <c r="I126" s="399">
        <f t="shared" si="64"/>
        <v>25035.041252966636</v>
      </c>
      <c r="J126" s="54">
        <f t="shared" si="34"/>
        <v>0</v>
      </c>
      <c r="K126" s="54"/>
      <c r="L126" s="129"/>
      <c r="M126" s="54">
        <f t="shared" si="35"/>
        <v>0</v>
      </c>
      <c r="N126" s="129"/>
      <c r="O126" s="54">
        <f t="shared" si="36"/>
        <v>0</v>
      </c>
      <c r="P126" s="54">
        <f t="shared" si="37"/>
        <v>0</v>
      </c>
      <c r="Q126" s="1"/>
    </row>
    <row r="127" spans="2:17" ht="12.5">
      <c r="B127" s="7" t="str">
        <f t="shared" si="38"/>
        <v/>
      </c>
      <c r="C127" s="50">
        <f>IF(D93="","-",+C126+1)</f>
        <v>2035</v>
      </c>
      <c r="D127" s="12">
        <f>IF(F126+SUM(E$99:E126)=D$92,F126,D$92-SUM(E$99:E126))</f>
        <v>128892.34358921077</v>
      </c>
      <c r="E127" s="378">
        <f>IF(+J96&lt;F126,J96,D127)</f>
        <v>8457.931818181818</v>
      </c>
      <c r="F127" s="55">
        <f t="shared" si="61"/>
        <v>120434.41177102894</v>
      </c>
      <c r="G127" s="55">
        <f t="shared" si="62"/>
        <v>124663.37768011985</v>
      </c>
      <c r="H127" s="380">
        <f t="shared" si="63"/>
        <v>23981.805960507787</v>
      </c>
      <c r="I127" s="399">
        <f t="shared" si="64"/>
        <v>23981.805960507787</v>
      </c>
      <c r="J127" s="54">
        <f t="shared" si="34"/>
        <v>0</v>
      </c>
      <c r="K127" s="54"/>
      <c r="L127" s="129"/>
      <c r="M127" s="54">
        <f t="shared" si="35"/>
        <v>0</v>
      </c>
      <c r="N127" s="129"/>
      <c r="O127" s="54">
        <f t="shared" si="36"/>
        <v>0</v>
      </c>
      <c r="P127" s="54">
        <f t="shared" si="37"/>
        <v>0</v>
      </c>
      <c r="Q127" s="1"/>
    </row>
    <row r="128" spans="2:17" ht="12.5">
      <c r="B128" s="7" t="str">
        <f t="shared" si="38"/>
        <v/>
      </c>
      <c r="C128" s="50">
        <f>IF(D93="","-",+C127+1)</f>
        <v>2036</v>
      </c>
      <c r="D128" s="12">
        <f>IF(F127+SUM(E$99:E127)=D$92,F127,D$92-SUM(E$99:E127))</f>
        <v>120434.41177102894</v>
      </c>
      <c r="E128" s="378">
        <f>IF(+J96&lt;F127,J96,D128)</f>
        <v>8457.931818181818</v>
      </c>
      <c r="F128" s="55">
        <f t="shared" si="61"/>
        <v>111976.47995284712</v>
      </c>
      <c r="G128" s="55">
        <f t="shared" si="62"/>
        <v>116205.44586193803</v>
      </c>
      <c r="H128" s="380">
        <f t="shared" si="63"/>
        <v>22928.570668048938</v>
      </c>
      <c r="I128" s="399">
        <f t="shared" si="64"/>
        <v>22928.570668048938</v>
      </c>
      <c r="J128" s="54">
        <f t="shared" si="34"/>
        <v>0</v>
      </c>
      <c r="K128" s="54"/>
      <c r="L128" s="129"/>
      <c r="M128" s="54">
        <f t="shared" si="35"/>
        <v>0</v>
      </c>
      <c r="N128" s="129"/>
      <c r="O128" s="54">
        <f t="shared" si="36"/>
        <v>0</v>
      </c>
      <c r="P128" s="54">
        <f t="shared" si="37"/>
        <v>0</v>
      </c>
      <c r="Q128" s="1"/>
    </row>
    <row r="129" spans="2:17" ht="12.5">
      <c r="B129" s="7" t="str">
        <f t="shared" si="38"/>
        <v/>
      </c>
      <c r="C129" s="50">
        <f>IF(D93="","-",+C128+1)</f>
        <v>2037</v>
      </c>
      <c r="D129" s="12">
        <f>IF(F128+SUM(E$99:E128)=D$92,F128,D$92-SUM(E$99:E128))</f>
        <v>111976.47995284712</v>
      </c>
      <c r="E129" s="378">
        <f>IF(+J96&lt;F128,J96,D129)</f>
        <v>8457.931818181818</v>
      </c>
      <c r="F129" s="55">
        <f t="shared" si="61"/>
        <v>103518.5481346653</v>
      </c>
      <c r="G129" s="55">
        <f t="shared" si="62"/>
        <v>107747.51404375621</v>
      </c>
      <c r="H129" s="380">
        <f t="shared" si="63"/>
        <v>21875.33537559009</v>
      </c>
      <c r="I129" s="399">
        <f t="shared" si="64"/>
        <v>21875.33537559009</v>
      </c>
      <c r="J129" s="54">
        <f t="shared" si="34"/>
        <v>0</v>
      </c>
      <c r="K129" s="54"/>
      <c r="L129" s="129"/>
      <c r="M129" s="54">
        <f t="shared" si="35"/>
        <v>0</v>
      </c>
      <c r="N129" s="129"/>
      <c r="O129" s="54">
        <f t="shared" si="36"/>
        <v>0</v>
      </c>
      <c r="P129" s="54">
        <f t="shared" si="37"/>
        <v>0</v>
      </c>
      <c r="Q129" s="1"/>
    </row>
    <row r="130" spans="2:17" ht="12.5">
      <c r="B130" s="7" t="str">
        <f t="shared" si="38"/>
        <v/>
      </c>
      <c r="C130" s="50">
        <f>IF(D93="","-",+C129+1)</f>
        <v>2038</v>
      </c>
      <c r="D130" s="12">
        <f>IF(F129+SUM(E$99:E129)=D$92,F129,D$92-SUM(E$99:E129))</f>
        <v>103518.5481346653</v>
      </c>
      <c r="E130" s="378">
        <f>IF(+J96&lt;F129,J96,D130)</f>
        <v>8457.931818181818</v>
      </c>
      <c r="F130" s="55">
        <f t="shared" si="61"/>
        <v>95060.616316483472</v>
      </c>
      <c r="G130" s="55">
        <f t="shared" si="62"/>
        <v>99289.582225574384</v>
      </c>
      <c r="H130" s="380">
        <f t="shared" si="63"/>
        <v>20822.100083131241</v>
      </c>
      <c r="I130" s="399">
        <f t="shared" si="64"/>
        <v>20822.100083131241</v>
      </c>
      <c r="J130" s="54">
        <f t="shared" si="34"/>
        <v>0</v>
      </c>
      <c r="K130" s="54"/>
      <c r="L130" s="129"/>
      <c r="M130" s="54">
        <f t="shared" si="35"/>
        <v>0</v>
      </c>
      <c r="N130" s="129"/>
      <c r="O130" s="54">
        <f t="shared" si="36"/>
        <v>0</v>
      </c>
      <c r="P130" s="54">
        <f t="shared" si="37"/>
        <v>0</v>
      </c>
      <c r="Q130" s="1"/>
    </row>
    <row r="131" spans="2:17" ht="12.5">
      <c r="B131" s="7" t="str">
        <f t="shared" si="38"/>
        <v/>
      </c>
      <c r="C131" s="50">
        <f>IF(D93="","-",+C130+1)</f>
        <v>2039</v>
      </c>
      <c r="D131" s="12">
        <f>IF(F130+SUM(E$99:E130)=D$92,F130,D$92-SUM(E$99:E130))</f>
        <v>95060.616316483472</v>
      </c>
      <c r="E131" s="378">
        <f>IF(+J96&lt;F130,J96,D131)</f>
        <v>8457.931818181818</v>
      </c>
      <c r="F131" s="55">
        <f t="shared" ref="F131:F154" si="65">+D131-E131</f>
        <v>86602.684498301649</v>
      </c>
      <c r="G131" s="55">
        <f t="shared" ref="G131:G154" si="66">+(F131+D131)/2</f>
        <v>90831.650407392561</v>
      </c>
      <c r="H131" s="380">
        <f t="shared" si="63"/>
        <v>19768.864790672393</v>
      </c>
      <c r="I131" s="399">
        <f t="shared" si="64"/>
        <v>19768.864790672393</v>
      </c>
      <c r="J131" s="54">
        <f t="shared" ref="J131:J154" si="67">+I131-H131</f>
        <v>0</v>
      </c>
      <c r="K131" s="54"/>
      <c r="L131" s="129"/>
      <c r="M131" s="54">
        <f t="shared" ref="M131:M154" si="68">IF(L131&lt;&gt;0,+H131-L131,0)</f>
        <v>0</v>
      </c>
      <c r="N131" s="129"/>
      <c r="O131" s="54">
        <f t="shared" ref="O131:O154" si="69">IF(N131&lt;&gt;0,+I131-N131,0)</f>
        <v>0</v>
      </c>
      <c r="P131" s="54">
        <f t="shared" ref="P131:P154" si="70">+O131-M131</f>
        <v>0</v>
      </c>
      <c r="Q131" s="1"/>
    </row>
    <row r="132" spans="2:17" ht="12.5">
      <c r="B132" s="7" t="str">
        <f t="shared" si="38"/>
        <v/>
      </c>
      <c r="C132" s="50">
        <f>IF(D93="","-",+C131+1)</f>
        <v>2040</v>
      </c>
      <c r="D132" s="12">
        <f>IF(F131+SUM(E$99:E131)=D$92,F131,D$92-SUM(E$99:E131))</f>
        <v>86602.684498301649</v>
      </c>
      <c r="E132" s="378">
        <f>IF(+J96&lt;F131,J96,D132)</f>
        <v>8457.931818181818</v>
      </c>
      <c r="F132" s="55">
        <f t="shared" si="65"/>
        <v>78144.752680119826</v>
      </c>
      <c r="G132" s="55">
        <f t="shared" si="66"/>
        <v>82373.718589210737</v>
      </c>
      <c r="H132" s="380">
        <f t="shared" si="63"/>
        <v>18715.629498213544</v>
      </c>
      <c r="I132" s="399">
        <f t="shared" si="64"/>
        <v>18715.629498213544</v>
      </c>
      <c r="J132" s="54">
        <f t="shared" si="67"/>
        <v>0</v>
      </c>
      <c r="K132" s="54"/>
      <c r="L132" s="129"/>
      <c r="M132" s="54">
        <f t="shared" si="68"/>
        <v>0</v>
      </c>
      <c r="N132" s="129"/>
      <c r="O132" s="54">
        <f t="shared" si="69"/>
        <v>0</v>
      </c>
      <c r="P132" s="54">
        <f t="shared" si="70"/>
        <v>0</v>
      </c>
      <c r="Q132" s="1"/>
    </row>
    <row r="133" spans="2:17" ht="12.5">
      <c r="B133" s="7" t="str">
        <f t="shared" si="38"/>
        <v/>
      </c>
      <c r="C133" s="50">
        <f>IF(D93="","-",+C132+1)</f>
        <v>2041</v>
      </c>
      <c r="D133" s="12">
        <f>IF(F132+SUM(E$99:E132)=D$92,F132,D$92-SUM(E$99:E132))</f>
        <v>78144.752680119826</v>
      </c>
      <c r="E133" s="378">
        <f>IF(+J96&lt;F132,J96,D133)</f>
        <v>8457.931818181818</v>
      </c>
      <c r="F133" s="55">
        <f t="shared" si="65"/>
        <v>69686.820861938002</v>
      </c>
      <c r="G133" s="55">
        <f t="shared" si="66"/>
        <v>73915.786771028914</v>
      </c>
      <c r="H133" s="380">
        <f t="shared" si="63"/>
        <v>17662.394205754696</v>
      </c>
      <c r="I133" s="399">
        <f t="shared" si="64"/>
        <v>17662.394205754696</v>
      </c>
      <c r="J133" s="54">
        <f t="shared" si="67"/>
        <v>0</v>
      </c>
      <c r="K133" s="54"/>
      <c r="L133" s="129"/>
      <c r="M133" s="54">
        <f t="shared" si="68"/>
        <v>0</v>
      </c>
      <c r="N133" s="129"/>
      <c r="O133" s="54">
        <f t="shared" si="69"/>
        <v>0</v>
      </c>
      <c r="P133" s="54">
        <f t="shared" si="70"/>
        <v>0</v>
      </c>
      <c r="Q133" s="1"/>
    </row>
    <row r="134" spans="2:17" ht="12.5">
      <c r="B134" s="7" t="str">
        <f t="shared" si="38"/>
        <v/>
      </c>
      <c r="C134" s="50">
        <f>IF(D93="","-",+C133+1)</f>
        <v>2042</v>
      </c>
      <c r="D134" s="12">
        <f>IF(F133+SUM(E$99:E133)=D$92,F133,D$92-SUM(E$99:E133))</f>
        <v>69686.820861938002</v>
      </c>
      <c r="E134" s="378">
        <f>IF(+J96&lt;F133,J96,D134)</f>
        <v>8457.931818181818</v>
      </c>
      <c r="F134" s="55">
        <f t="shared" si="65"/>
        <v>61228.889043756186</v>
      </c>
      <c r="G134" s="55">
        <f t="shared" si="66"/>
        <v>65457.85495284709</v>
      </c>
      <c r="H134" s="380">
        <f t="shared" si="63"/>
        <v>16609.158913295847</v>
      </c>
      <c r="I134" s="399">
        <f t="shared" si="64"/>
        <v>16609.158913295847</v>
      </c>
      <c r="J134" s="54">
        <f t="shared" si="67"/>
        <v>0</v>
      </c>
      <c r="K134" s="54"/>
      <c r="L134" s="129"/>
      <c r="M134" s="54">
        <f t="shared" si="68"/>
        <v>0</v>
      </c>
      <c r="N134" s="129"/>
      <c r="O134" s="54">
        <f t="shared" si="69"/>
        <v>0</v>
      </c>
      <c r="P134" s="54">
        <f t="shared" si="70"/>
        <v>0</v>
      </c>
      <c r="Q134" s="1"/>
    </row>
    <row r="135" spans="2:17" ht="12.5">
      <c r="B135" s="7" t="str">
        <f t="shared" si="38"/>
        <v/>
      </c>
      <c r="C135" s="50">
        <f>IF(D93="","-",+C134+1)</f>
        <v>2043</v>
      </c>
      <c r="D135" s="12">
        <f>IF(F134+SUM(E$99:E134)=D$92,F134,D$92-SUM(E$99:E134))</f>
        <v>61228.889043756186</v>
      </c>
      <c r="E135" s="378">
        <f>IF(+J96&lt;F134,J96,D135)</f>
        <v>8457.931818181818</v>
      </c>
      <c r="F135" s="55">
        <f t="shared" si="65"/>
        <v>52770.95722557437</v>
      </c>
      <c r="G135" s="55">
        <f t="shared" si="66"/>
        <v>56999.923134665281</v>
      </c>
      <c r="H135" s="380">
        <f t="shared" si="63"/>
        <v>15555.923620837002</v>
      </c>
      <c r="I135" s="399">
        <f t="shared" si="64"/>
        <v>15555.923620837002</v>
      </c>
      <c r="J135" s="54">
        <f t="shared" si="67"/>
        <v>0</v>
      </c>
      <c r="K135" s="54"/>
      <c r="L135" s="129"/>
      <c r="M135" s="54">
        <f t="shared" si="68"/>
        <v>0</v>
      </c>
      <c r="N135" s="129"/>
      <c r="O135" s="54">
        <f t="shared" si="69"/>
        <v>0</v>
      </c>
      <c r="P135" s="54">
        <f t="shared" si="70"/>
        <v>0</v>
      </c>
      <c r="Q135" s="1"/>
    </row>
    <row r="136" spans="2:17" ht="12.5">
      <c r="B136" s="7" t="str">
        <f t="shared" si="38"/>
        <v/>
      </c>
      <c r="C136" s="50">
        <f>IF(D93="","-",+C135+1)</f>
        <v>2044</v>
      </c>
      <c r="D136" s="12">
        <f>IF(F135+SUM(E$99:E135)=D$92,F135,D$92-SUM(E$99:E135))</f>
        <v>52770.95722557437</v>
      </c>
      <c r="E136" s="378">
        <f>IF(+J96&lt;F135,J96,D136)</f>
        <v>8457.931818181818</v>
      </c>
      <c r="F136" s="55">
        <f t="shared" si="65"/>
        <v>44313.025407392553</v>
      </c>
      <c r="G136" s="55">
        <f t="shared" si="66"/>
        <v>48541.991316483458</v>
      </c>
      <c r="H136" s="380">
        <f t="shared" si="63"/>
        <v>14502.688328378154</v>
      </c>
      <c r="I136" s="399">
        <f t="shared" si="64"/>
        <v>14502.688328378154</v>
      </c>
      <c r="J136" s="54">
        <f t="shared" si="67"/>
        <v>0</v>
      </c>
      <c r="K136" s="54"/>
      <c r="L136" s="129"/>
      <c r="M136" s="54">
        <f t="shared" si="68"/>
        <v>0</v>
      </c>
      <c r="N136" s="129"/>
      <c r="O136" s="54">
        <f t="shared" si="69"/>
        <v>0</v>
      </c>
      <c r="P136" s="54">
        <f t="shared" si="70"/>
        <v>0</v>
      </c>
      <c r="Q136" s="1"/>
    </row>
    <row r="137" spans="2:17" ht="12.5">
      <c r="B137" s="7" t="str">
        <f t="shared" si="38"/>
        <v/>
      </c>
      <c r="C137" s="50">
        <f>IF(D93="","-",+C136+1)</f>
        <v>2045</v>
      </c>
      <c r="D137" s="12">
        <f>IF(F136+SUM(E$99:E136)=D$92,F136,D$92-SUM(E$99:E136))</f>
        <v>44313.025407392553</v>
      </c>
      <c r="E137" s="378">
        <f>IF(+J96&lt;F136,J96,D137)</f>
        <v>8457.931818181818</v>
      </c>
      <c r="F137" s="55">
        <f t="shared" si="65"/>
        <v>35855.093589210737</v>
      </c>
      <c r="G137" s="55">
        <f t="shared" si="66"/>
        <v>40084.059498301649</v>
      </c>
      <c r="H137" s="380">
        <f t="shared" si="63"/>
        <v>13449.453035919309</v>
      </c>
      <c r="I137" s="399">
        <f t="shared" si="64"/>
        <v>13449.453035919309</v>
      </c>
      <c r="J137" s="54">
        <f t="shared" si="67"/>
        <v>0</v>
      </c>
      <c r="K137" s="54"/>
      <c r="L137" s="129"/>
      <c r="M137" s="54">
        <f t="shared" si="68"/>
        <v>0</v>
      </c>
      <c r="N137" s="129"/>
      <c r="O137" s="54">
        <f t="shared" si="69"/>
        <v>0</v>
      </c>
      <c r="P137" s="54">
        <f t="shared" si="70"/>
        <v>0</v>
      </c>
      <c r="Q137" s="1"/>
    </row>
    <row r="138" spans="2:17" ht="12.5">
      <c r="B138" s="7" t="str">
        <f t="shared" si="38"/>
        <v/>
      </c>
      <c r="C138" s="50">
        <f>IF(D93="","-",+C137+1)</f>
        <v>2046</v>
      </c>
      <c r="D138" s="12">
        <f>IF(F137+SUM(E$99:E137)=D$92,F137,D$92-SUM(E$99:E137))</f>
        <v>35855.093589210737</v>
      </c>
      <c r="E138" s="378">
        <f>IF(+J96&lt;F137,J96,D138)</f>
        <v>8457.931818181818</v>
      </c>
      <c r="F138" s="55">
        <f t="shared" si="65"/>
        <v>27397.161771028921</v>
      </c>
      <c r="G138" s="55">
        <f t="shared" si="66"/>
        <v>31626.127680119829</v>
      </c>
      <c r="H138" s="380">
        <f t="shared" si="63"/>
        <v>12396.21774346046</v>
      </c>
      <c r="I138" s="399">
        <f t="shared" si="64"/>
        <v>12396.21774346046</v>
      </c>
      <c r="J138" s="54">
        <f t="shared" si="67"/>
        <v>0</v>
      </c>
      <c r="K138" s="54"/>
      <c r="L138" s="129"/>
      <c r="M138" s="54">
        <f t="shared" si="68"/>
        <v>0</v>
      </c>
      <c r="N138" s="129"/>
      <c r="O138" s="54">
        <f t="shared" si="69"/>
        <v>0</v>
      </c>
      <c r="P138" s="54">
        <f t="shared" si="70"/>
        <v>0</v>
      </c>
      <c r="Q138" s="1"/>
    </row>
    <row r="139" spans="2:17" ht="12.5">
      <c r="B139" s="7" t="str">
        <f t="shared" si="38"/>
        <v/>
      </c>
      <c r="C139" s="50">
        <f>IF(D93="","-",+C138+1)</f>
        <v>2047</v>
      </c>
      <c r="D139" s="12">
        <f>IF(F138+SUM(E$99:E138)=D$92,F138,D$92-SUM(E$99:E138))</f>
        <v>27397.161771028921</v>
      </c>
      <c r="E139" s="378">
        <f>IF(+J96&lt;F138,J96,D139)</f>
        <v>8457.931818181818</v>
      </c>
      <c r="F139" s="55">
        <f t="shared" si="65"/>
        <v>18939.229952847105</v>
      </c>
      <c r="G139" s="55">
        <f t="shared" si="66"/>
        <v>23168.195861938013</v>
      </c>
      <c r="H139" s="380">
        <f t="shared" si="63"/>
        <v>11342.982451001613</v>
      </c>
      <c r="I139" s="399">
        <f t="shared" si="64"/>
        <v>11342.982451001613</v>
      </c>
      <c r="J139" s="54">
        <f t="shared" si="67"/>
        <v>0</v>
      </c>
      <c r="K139" s="54"/>
      <c r="L139" s="129"/>
      <c r="M139" s="54">
        <f t="shared" si="68"/>
        <v>0</v>
      </c>
      <c r="N139" s="129"/>
      <c r="O139" s="54">
        <f t="shared" si="69"/>
        <v>0</v>
      </c>
      <c r="P139" s="54">
        <f t="shared" si="70"/>
        <v>0</v>
      </c>
      <c r="Q139" s="1"/>
    </row>
    <row r="140" spans="2:17" ht="12.5">
      <c r="B140" s="7" t="str">
        <f t="shared" si="38"/>
        <v/>
      </c>
      <c r="C140" s="50">
        <f>IF(D93="","-",+C139+1)</f>
        <v>2048</v>
      </c>
      <c r="D140" s="12">
        <f>IF(F139+SUM(E$99:E139)=D$92,F139,D$92-SUM(E$99:E139))</f>
        <v>18939.229952847105</v>
      </c>
      <c r="E140" s="378">
        <f>IF(+J96&lt;F139,J96,D140)</f>
        <v>8457.931818181818</v>
      </c>
      <c r="F140" s="55">
        <f t="shared" si="65"/>
        <v>10481.298134665287</v>
      </c>
      <c r="G140" s="55">
        <f t="shared" si="66"/>
        <v>14710.264043756197</v>
      </c>
      <c r="H140" s="380">
        <f t="shared" si="63"/>
        <v>10289.747158542767</v>
      </c>
      <c r="I140" s="399">
        <f t="shared" si="64"/>
        <v>10289.747158542767</v>
      </c>
      <c r="J140" s="54">
        <f t="shared" si="67"/>
        <v>0</v>
      </c>
      <c r="K140" s="54"/>
      <c r="L140" s="129"/>
      <c r="M140" s="54">
        <f t="shared" si="68"/>
        <v>0</v>
      </c>
      <c r="N140" s="129"/>
      <c r="O140" s="54">
        <f t="shared" si="69"/>
        <v>0</v>
      </c>
      <c r="P140" s="54">
        <f t="shared" si="70"/>
        <v>0</v>
      </c>
      <c r="Q140" s="1"/>
    </row>
    <row r="141" spans="2:17" ht="12.5">
      <c r="B141" s="7" t="str">
        <f t="shared" si="38"/>
        <v/>
      </c>
      <c r="C141" s="50">
        <f>IF(D93="","-",+C140+1)</f>
        <v>2049</v>
      </c>
      <c r="D141" s="12">
        <f>IF(F140+SUM(E$99:E140)=D$92,F140,D$92-SUM(E$99:E140))</f>
        <v>10481.298134665287</v>
      </c>
      <c r="E141" s="378">
        <f>IF(+J96&lt;F140,J96,D141)</f>
        <v>8457.931818181818</v>
      </c>
      <c r="F141" s="55">
        <f t="shared" si="65"/>
        <v>2023.3663164834688</v>
      </c>
      <c r="G141" s="55">
        <f t="shared" si="66"/>
        <v>6252.3322255743778</v>
      </c>
      <c r="H141" s="380">
        <f t="shared" si="63"/>
        <v>9236.5118660839198</v>
      </c>
      <c r="I141" s="399">
        <f t="shared" si="64"/>
        <v>9236.5118660839198</v>
      </c>
      <c r="J141" s="54">
        <f t="shared" si="67"/>
        <v>0</v>
      </c>
      <c r="K141" s="54"/>
      <c r="L141" s="129"/>
      <c r="M141" s="54">
        <f t="shared" si="68"/>
        <v>0</v>
      </c>
      <c r="N141" s="129"/>
      <c r="O141" s="54">
        <f t="shared" si="69"/>
        <v>0</v>
      </c>
      <c r="P141" s="54">
        <f t="shared" si="70"/>
        <v>0</v>
      </c>
      <c r="Q141" s="1"/>
    </row>
    <row r="142" spans="2:17" ht="12.5">
      <c r="B142" s="7" t="str">
        <f t="shared" si="38"/>
        <v/>
      </c>
      <c r="C142" s="50">
        <f>IF(D93="","-",+C141+1)</f>
        <v>2050</v>
      </c>
      <c r="D142" s="12">
        <f>IF(F141+SUM(E$99:E141)=D$92,F141,D$92-SUM(E$99:E141))</f>
        <v>2023.3663164834688</v>
      </c>
      <c r="E142" s="378">
        <f>IF(+J96&lt;F141,J96,D142)</f>
        <v>2023.3663164834688</v>
      </c>
      <c r="F142" s="55">
        <f t="shared" si="65"/>
        <v>0</v>
      </c>
      <c r="G142" s="55">
        <f t="shared" si="66"/>
        <v>1011.6831582417344</v>
      </c>
      <c r="H142" s="380">
        <f t="shared" si="63"/>
        <v>2149.3475173198076</v>
      </c>
      <c r="I142" s="399">
        <f t="shared" si="64"/>
        <v>2149.3475173198076</v>
      </c>
      <c r="J142" s="54">
        <f t="shared" si="67"/>
        <v>0</v>
      </c>
      <c r="K142" s="54"/>
      <c r="L142" s="129"/>
      <c r="M142" s="54">
        <f t="shared" si="68"/>
        <v>0</v>
      </c>
      <c r="N142" s="129"/>
      <c r="O142" s="54">
        <f t="shared" si="69"/>
        <v>0</v>
      </c>
      <c r="P142" s="54">
        <f t="shared" si="70"/>
        <v>0</v>
      </c>
      <c r="Q142" s="1"/>
    </row>
    <row r="143" spans="2:17" ht="12.5">
      <c r="B143" s="7" t="str">
        <f t="shared" si="38"/>
        <v/>
      </c>
      <c r="C143" s="50">
        <f>IF(D93="","-",+C142+1)</f>
        <v>2051</v>
      </c>
      <c r="D143" s="12">
        <f>IF(F142+SUM(E$99:E142)=D$92,F142,D$92-SUM(E$99:E142))</f>
        <v>0</v>
      </c>
      <c r="E143" s="378">
        <f>IF(+J96&lt;F142,J96,D143)</f>
        <v>0</v>
      </c>
      <c r="F143" s="55">
        <f t="shared" si="65"/>
        <v>0</v>
      </c>
      <c r="G143" s="55">
        <f t="shared" si="66"/>
        <v>0</v>
      </c>
      <c r="H143" s="380">
        <f t="shared" si="63"/>
        <v>0</v>
      </c>
      <c r="I143" s="399">
        <f t="shared" si="64"/>
        <v>0</v>
      </c>
      <c r="J143" s="54">
        <f t="shared" si="67"/>
        <v>0</v>
      </c>
      <c r="K143" s="54"/>
      <c r="L143" s="129"/>
      <c r="M143" s="54">
        <f t="shared" si="68"/>
        <v>0</v>
      </c>
      <c r="N143" s="129"/>
      <c r="O143" s="54">
        <f t="shared" si="69"/>
        <v>0</v>
      </c>
      <c r="P143" s="54">
        <f t="shared" si="70"/>
        <v>0</v>
      </c>
      <c r="Q143" s="1"/>
    </row>
    <row r="144" spans="2:17" ht="12.5">
      <c r="B144" s="7" t="str">
        <f t="shared" si="38"/>
        <v/>
      </c>
      <c r="C144" s="50">
        <f>IF(D93="","-",+C143+1)</f>
        <v>2052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65"/>
        <v>0</v>
      </c>
      <c r="G144" s="55">
        <f t="shared" si="66"/>
        <v>0</v>
      </c>
      <c r="H144" s="380">
        <f t="shared" si="63"/>
        <v>0</v>
      </c>
      <c r="I144" s="399">
        <f t="shared" si="64"/>
        <v>0</v>
      </c>
      <c r="J144" s="54">
        <f t="shared" si="67"/>
        <v>0</v>
      </c>
      <c r="K144" s="54"/>
      <c r="L144" s="129"/>
      <c r="M144" s="54">
        <f t="shared" si="68"/>
        <v>0</v>
      </c>
      <c r="N144" s="129"/>
      <c r="O144" s="54">
        <f t="shared" si="69"/>
        <v>0</v>
      </c>
      <c r="P144" s="54">
        <f t="shared" si="70"/>
        <v>0</v>
      </c>
      <c r="Q144" s="1"/>
    </row>
    <row r="145" spans="2:17" ht="12.5">
      <c r="B145" s="7" t="str">
        <f t="shared" si="38"/>
        <v/>
      </c>
      <c r="C145" s="50">
        <f>IF(D93="","-",+C144+1)</f>
        <v>2053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65"/>
        <v>0</v>
      </c>
      <c r="G145" s="55">
        <f t="shared" si="66"/>
        <v>0</v>
      </c>
      <c r="H145" s="380">
        <f t="shared" si="63"/>
        <v>0</v>
      </c>
      <c r="I145" s="399">
        <f t="shared" si="64"/>
        <v>0</v>
      </c>
      <c r="J145" s="54">
        <f t="shared" si="67"/>
        <v>0</v>
      </c>
      <c r="K145" s="54"/>
      <c r="L145" s="129"/>
      <c r="M145" s="54">
        <f t="shared" si="68"/>
        <v>0</v>
      </c>
      <c r="N145" s="129"/>
      <c r="O145" s="54">
        <f t="shared" si="69"/>
        <v>0</v>
      </c>
      <c r="P145" s="54">
        <f t="shared" si="70"/>
        <v>0</v>
      </c>
      <c r="Q145" s="1"/>
    </row>
    <row r="146" spans="2:17" ht="12.5">
      <c r="B146" s="7" t="str">
        <f t="shared" si="38"/>
        <v/>
      </c>
      <c r="C146" s="50">
        <f>IF(D93="","-",+C145+1)</f>
        <v>2054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65"/>
        <v>0</v>
      </c>
      <c r="G146" s="55">
        <f t="shared" si="66"/>
        <v>0</v>
      </c>
      <c r="H146" s="380">
        <f t="shared" si="63"/>
        <v>0</v>
      </c>
      <c r="I146" s="399">
        <f t="shared" si="64"/>
        <v>0</v>
      </c>
      <c r="J146" s="54">
        <f t="shared" si="67"/>
        <v>0</v>
      </c>
      <c r="K146" s="54"/>
      <c r="L146" s="129"/>
      <c r="M146" s="54">
        <f t="shared" si="68"/>
        <v>0</v>
      </c>
      <c r="N146" s="129"/>
      <c r="O146" s="54">
        <f t="shared" si="69"/>
        <v>0</v>
      </c>
      <c r="P146" s="54">
        <f t="shared" si="70"/>
        <v>0</v>
      </c>
      <c r="Q146" s="1"/>
    </row>
    <row r="147" spans="2:17" ht="12.5">
      <c r="B147" s="7" t="str">
        <f t="shared" si="38"/>
        <v/>
      </c>
      <c r="C147" s="50">
        <f>IF(D93="","-",+C146+1)</f>
        <v>2055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65"/>
        <v>0</v>
      </c>
      <c r="G147" s="55">
        <f t="shared" si="66"/>
        <v>0</v>
      </c>
      <c r="H147" s="380">
        <f t="shared" si="63"/>
        <v>0</v>
      </c>
      <c r="I147" s="399">
        <f t="shared" si="64"/>
        <v>0</v>
      </c>
      <c r="J147" s="54">
        <f t="shared" si="67"/>
        <v>0</v>
      </c>
      <c r="K147" s="54"/>
      <c r="L147" s="129"/>
      <c r="M147" s="54">
        <f t="shared" si="68"/>
        <v>0</v>
      </c>
      <c r="N147" s="129"/>
      <c r="O147" s="54">
        <f t="shared" si="69"/>
        <v>0</v>
      </c>
      <c r="P147" s="54">
        <f t="shared" si="70"/>
        <v>0</v>
      </c>
      <c r="Q147" s="1"/>
    </row>
    <row r="148" spans="2:17" ht="12.5">
      <c r="B148" s="7" t="str">
        <f t="shared" si="38"/>
        <v/>
      </c>
      <c r="C148" s="50">
        <f>IF(D93="","-",+C147+1)</f>
        <v>2056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65"/>
        <v>0</v>
      </c>
      <c r="G148" s="55">
        <f t="shared" si="66"/>
        <v>0</v>
      </c>
      <c r="H148" s="380">
        <f t="shared" si="63"/>
        <v>0</v>
      </c>
      <c r="I148" s="399">
        <f t="shared" si="64"/>
        <v>0</v>
      </c>
      <c r="J148" s="54">
        <f t="shared" si="67"/>
        <v>0</v>
      </c>
      <c r="K148" s="54"/>
      <c r="L148" s="129"/>
      <c r="M148" s="54">
        <f t="shared" si="68"/>
        <v>0</v>
      </c>
      <c r="N148" s="129"/>
      <c r="O148" s="54">
        <f t="shared" si="69"/>
        <v>0</v>
      </c>
      <c r="P148" s="54">
        <f t="shared" si="70"/>
        <v>0</v>
      </c>
      <c r="Q148" s="1"/>
    </row>
    <row r="149" spans="2:17" ht="12.5">
      <c r="B149" s="7" t="str">
        <f t="shared" si="38"/>
        <v/>
      </c>
      <c r="C149" s="50">
        <f>IF(D93="","-",+C148+1)</f>
        <v>2057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65"/>
        <v>0</v>
      </c>
      <c r="G149" s="55">
        <f t="shared" si="66"/>
        <v>0</v>
      </c>
      <c r="H149" s="380">
        <f t="shared" si="63"/>
        <v>0</v>
      </c>
      <c r="I149" s="399">
        <f t="shared" si="64"/>
        <v>0</v>
      </c>
      <c r="J149" s="54">
        <f t="shared" si="67"/>
        <v>0</v>
      </c>
      <c r="K149" s="54"/>
      <c r="L149" s="129"/>
      <c r="M149" s="54">
        <f t="shared" si="68"/>
        <v>0</v>
      </c>
      <c r="N149" s="129"/>
      <c r="O149" s="54">
        <f t="shared" si="69"/>
        <v>0</v>
      </c>
      <c r="P149" s="54">
        <f t="shared" si="70"/>
        <v>0</v>
      </c>
      <c r="Q149" s="1"/>
    </row>
    <row r="150" spans="2:17" ht="12.5">
      <c r="B150" s="7" t="str">
        <f t="shared" si="38"/>
        <v/>
      </c>
      <c r="C150" s="50">
        <f>IF(D93="","-",+C149+1)</f>
        <v>2058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65"/>
        <v>0</v>
      </c>
      <c r="G150" s="55">
        <f t="shared" si="66"/>
        <v>0</v>
      </c>
      <c r="H150" s="380">
        <f t="shared" si="63"/>
        <v>0</v>
      </c>
      <c r="I150" s="399">
        <f t="shared" si="64"/>
        <v>0</v>
      </c>
      <c r="J150" s="54">
        <f t="shared" si="67"/>
        <v>0</v>
      </c>
      <c r="K150" s="54"/>
      <c r="L150" s="129"/>
      <c r="M150" s="54">
        <f t="shared" si="68"/>
        <v>0</v>
      </c>
      <c r="N150" s="129"/>
      <c r="O150" s="54">
        <f t="shared" si="69"/>
        <v>0</v>
      </c>
      <c r="P150" s="54">
        <f t="shared" si="70"/>
        <v>0</v>
      </c>
      <c r="Q150" s="1"/>
    </row>
    <row r="151" spans="2:17" ht="12.5">
      <c r="B151" s="7" t="str">
        <f t="shared" si="38"/>
        <v/>
      </c>
      <c r="C151" s="50">
        <f>IF(D93="","-",+C150+1)</f>
        <v>2059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65"/>
        <v>0</v>
      </c>
      <c r="G151" s="55">
        <f t="shared" si="66"/>
        <v>0</v>
      </c>
      <c r="H151" s="380">
        <f t="shared" si="63"/>
        <v>0</v>
      </c>
      <c r="I151" s="399">
        <f t="shared" si="64"/>
        <v>0</v>
      </c>
      <c r="J151" s="54">
        <f t="shared" si="67"/>
        <v>0</v>
      </c>
      <c r="K151" s="54"/>
      <c r="L151" s="129"/>
      <c r="M151" s="54">
        <f t="shared" si="68"/>
        <v>0</v>
      </c>
      <c r="N151" s="129"/>
      <c r="O151" s="54">
        <f t="shared" si="69"/>
        <v>0</v>
      </c>
      <c r="P151" s="54">
        <f t="shared" si="70"/>
        <v>0</v>
      </c>
      <c r="Q151" s="1"/>
    </row>
    <row r="152" spans="2:17" ht="12.5">
      <c r="B152" s="7" t="str">
        <f t="shared" si="38"/>
        <v/>
      </c>
      <c r="C152" s="50">
        <f>IF(D93="","-",+C151+1)</f>
        <v>2060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65"/>
        <v>0</v>
      </c>
      <c r="G152" s="55">
        <f t="shared" si="66"/>
        <v>0</v>
      </c>
      <c r="H152" s="380">
        <f t="shared" si="63"/>
        <v>0</v>
      </c>
      <c r="I152" s="399">
        <f t="shared" si="64"/>
        <v>0</v>
      </c>
      <c r="J152" s="54">
        <f t="shared" si="67"/>
        <v>0</v>
      </c>
      <c r="K152" s="54"/>
      <c r="L152" s="129"/>
      <c r="M152" s="54">
        <f t="shared" si="68"/>
        <v>0</v>
      </c>
      <c r="N152" s="129"/>
      <c r="O152" s="54">
        <f t="shared" si="69"/>
        <v>0</v>
      </c>
      <c r="P152" s="54">
        <f t="shared" si="70"/>
        <v>0</v>
      </c>
      <c r="Q152" s="1"/>
    </row>
    <row r="153" spans="2:17" ht="12.5">
      <c r="B153" s="7" t="str">
        <f t="shared" si="38"/>
        <v/>
      </c>
      <c r="C153" s="50">
        <f>IF(D93="","-",+C152+1)</f>
        <v>2061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65"/>
        <v>0</v>
      </c>
      <c r="G153" s="55">
        <f t="shared" si="66"/>
        <v>0</v>
      </c>
      <c r="H153" s="380">
        <f t="shared" si="63"/>
        <v>0</v>
      </c>
      <c r="I153" s="399">
        <f t="shared" si="64"/>
        <v>0</v>
      </c>
      <c r="J153" s="54">
        <f t="shared" si="67"/>
        <v>0</v>
      </c>
      <c r="K153" s="54"/>
      <c r="L153" s="129"/>
      <c r="M153" s="54">
        <f t="shared" si="68"/>
        <v>0</v>
      </c>
      <c r="N153" s="129"/>
      <c r="O153" s="54">
        <f t="shared" si="69"/>
        <v>0</v>
      </c>
      <c r="P153" s="54">
        <f t="shared" si="70"/>
        <v>0</v>
      </c>
      <c r="Q153" s="1"/>
    </row>
    <row r="154" spans="2:17" ht="13" thickBot="1">
      <c r="B154" s="7" t="str">
        <f t="shared" si="38"/>
        <v/>
      </c>
      <c r="C154" s="59">
        <f>IF(D93="","-",+C153+1)</f>
        <v>2062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65"/>
        <v>0</v>
      </c>
      <c r="G154" s="60">
        <f t="shared" si="66"/>
        <v>0</v>
      </c>
      <c r="H154" s="382">
        <f t="shared" si="63"/>
        <v>0</v>
      </c>
      <c r="I154" s="400">
        <f t="shared" si="64"/>
        <v>0</v>
      </c>
      <c r="J154" s="64">
        <f t="shared" si="67"/>
        <v>0</v>
      </c>
      <c r="K154" s="54"/>
      <c r="L154" s="130"/>
      <c r="M154" s="64">
        <f t="shared" si="68"/>
        <v>0</v>
      </c>
      <c r="N154" s="130"/>
      <c r="O154" s="64">
        <f t="shared" si="69"/>
        <v>0</v>
      </c>
      <c r="P154" s="64">
        <f t="shared" si="70"/>
        <v>0</v>
      </c>
      <c r="Q154" s="1"/>
    </row>
    <row r="155" spans="2:17" ht="12.5">
      <c r="C155" s="12" t="s">
        <v>78</v>
      </c>
      <c r="D155" s="293"/>
      <c r="E155" s="293">
        <f>SUM(E99:E154)</f>
        <v>372149.00000000012</v>
      </c>
      <c r="F155" s="293"/>
      <c r="G155" s="293"/>
      <c r="H155" s="293">
        <f>SUM(H99:H154)</f>
        <v>1397796.5561960421</v>
      </c>
      <c r="I155" s="293">
        <f>SUM(I99:I154)</f>
        <v>1397796.5561960421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 ht="12.5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 ht="12.5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27" priority="1" stopIfTrue="1" operator="equal">
      <formula>$I$10</formula>
    </cfRule>
  </conditionalFormatting>
  <conditionalFormatting sqref="C99:C154">
    <cfRule type="cellIs" dxfId="12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65"/>
  <dimension ref="A1:Q162"/>
  <sheetViews>
    <sheetView topLeftCell="C80" zoomScaleNormal="100" zoomScaleSheetLayoutView="75" workbookViewId="0">
      <selection activeCell="D33" sqref="D33:H33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18" max="18" width="9.179687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16 of 77</v>
      </c>
      <c r="Q1" s="13"/>
    </row>
    <row r="2" spans="1:17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38414.184048676834</v>
      </c>
      <c r="P5" s="1"/>
    </row>
    <row r="6" spans="1:17" ht="15.5">
      <c r="C6" s="6"/>
      <c r="D6" s="104" t="s">
        <v>272</v>
      </c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38414.184048676834</v>
      </c>
      <c r="O6" s="1"/>
      <c r="P6" s="1"/>
    </row>
    <row r="7" spans="1:17" ht="13.5" thickBot="1">
      <c r="C7" s="25" t="s">
        <v>48</v>
      </c>
      <c r="D7" s="127" t="s">
        <v>237</v>
      </c>
      <c r="E7" s="1"/>
      <c r="F7" s="1"/>
      <c r="G7" s="1"/>
      <c r="H7" s="422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104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162</v>
      </c>
      <c r="E9" s="31" t="s">
        <v>494</v>
      </c>
      <c r="F9" s="462">
        <v>227</v>
      </c>
      <c r="G9" s="31"/>
      <c r="H9" s="31"/>
      <c r="I9" s="32"/>
      <c r="J9" s="33"/>
      <c r="P9" s="1"/>
    </row>
    <row r="10" spans="1:17" ht="13">
      <c r="C10" s="34" t="s">
        <v>51</v>
      </c>
      <c r="D10" s="363">
        <v>389326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7" ht="12.5">
      <c r="C11" s="34" t="s">
        <v>54</v>
      </c>
      <c r="D11" s="37">
        <v>2008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3">
        <v>12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8848.318181818182</v>
      </c>
      <c r="J14" s="293"/>
      <c r="K14" s="293"/>
      <c r="L14" s="293"/>
      <c r="M14" s="293"/>
      <c r="N14" s="293"/>
      <c r="O14" s="1"/>
      <c r="P14" s="1"/>
    </row>
    <row r="15" spans="1:17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2008</v>
      </c>
      <c r="D17" s="133">
        <v>310667</v>
      </c>
      <c r="E17" s="374">
        <v>0</v>
      </c>
      <c r="F17" s="133">
        <v>310667</v>
      </c>
      <c r="G17" s="374">
        <v>44663</v>
      </c>
      <c r="H17" s="375">
        <v>44663</v>
      </c>
      <c r="I17" s="423">
        <f t="shared" ref="I17:I48" si="0">H17-G17</f>
        <v>0</v>
      </c>
      <c r="J17" s="52"/>
      <c r="K17" s="112">
        <v>0</v>
      </c>
      <c r="L17" s="53">
        <f t="shared" ref="L17:L48" si="1">IF(K17&lt;&gt;0,+G17-K17,0)</f>
        <v>0</v>
      </c>
      <c r="M17" s="112">
        <v>0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2009</v>
      </c>
      <c r="D18" s="137">
        <v>310667</v>
      </c>
      <c r="E18" s="376">
        <v>8175</v>
      </c>
      <c r="F18" s="137">
        <v>302492</v>
      </c>
      <c r="G18" s="376">
        <v>51663</v>
      </c>
      <c r="H18" s="375">
        <v>51663</v>
      </c>
      <c r="I18" s="423">
        <f t="shared" si="0"/>
        <v>0</v>
      </c>
      <c r="J18" s="52"/>
      <c r="K18" s="113">
        <v>0</v>
      </c>
      <c r="L18" s="54">
        <f t="shared" si="1"/>
        <v>0</v>
      </c>
      <c r="M18" s="113">
        <v>0</v>
      </c>
      <c r="N18" s="54">
        <f t="shared" si="2"/>
        <v>0</v>
      </c>
      <c r="O18" s="54">
        <f t="shared" si="3"/>
        <v>0</v>
      </c>
      <c r="P18" s="1"/>
    </row>
    <row r="19" spans="2:16" ht="12.5">
      <c r="B19" s="7" t="str">
        <f>IF(D19=F18,"","IU")</f>
        <v/>
      </c>
      <c r="C19" s="50">
        <f>IF(D11="","-",+C18+1)</f>
        <v>2010</v>
      </c>
      <c r="D19" s="137">
        <v>302492</v>
      </c>
      <c r="E19" s="376">
        <v>8175.4473684210525</v>
      </c>
      <c r="F19" s="137">
        <v>294316.55263157893</v>
      </c>
      <c r="G19" s="376">
        <v>50487.866330718665</v>
      </c>
      <c r="H19" s="375">
        <v>50487.866330718665</v>
      </c>
      <c r="I19" s="423">
        <v>0</v>
      </c>
      <c r="J19" s="52"/>
      <c r="K19" s="113">
        <f t="shared" ref="K19:K24" si="4">G19</f>
        <v>50487.866330718665</v>
      </c>
      <c r="L19" s="54">
        <f t="shared" si="1"/>
        <v>0</v>
      </c>
      <c r="M19" s="113">
        <f t="shared" ref="M19:M24" si="5">H19</f>
        <v>50487.866330718665</v>
      </c>
      <c r="N19" s="54">
        <f t="shared" si="2"/>
        <v>0</v>
      </c>
      <c r="O19" s="54">
        <f t="shared" si="3"/>
        <v>0</v>
      </c>
      <c r="P19" s="1"/>
    </row>
    <row r="20" spans="2:16" ht="12.5">
      <c r="B20" s="7" t="str">
        <f t="shared" ref="B20:B72" si="6">IF(D20=F19,"","IU")</f>
        <v>IU</v>
      </c>
      <c r="C20" s="50">
        <f>IF(D11="","-",+C19+1)</f>
        <v>2011</v>
      </c>
      <c r="D20" s="137">
        <v>372975.55263157893</v>
      </c>
      <c r="E20" s="376">
        <v>9495.7560975609758</v>
      </c>
      <c r="F20" s="137">
        <v>363479.79653401795</v>
      </c>
      <c r="G20" s="376">
        <v>66268.459500863828</v>
      </c>
      <c r="H20" s="375">
        <v>66268.459500863828</v>
      </c>
      <c r="I20" s="141">
        <v>0</v>
      </c>
      <c r="J20" s="52"/>
      <c r="K20" s="113">
        <f t="shared" si="4"/>
        <v>66268.459500863828</v>
      </c>
      <c r="L20" s="54">
        <f t="shared" si="1"/>
        <v>0</v>
      </c>
      <c r="M20" s="113">
        <f t="shared" si="5"/>
        <v>66268.459500863828</v>
      </c>
      <c r="N20" s="54">
        <f t="shared" si="2"/>
        <v>0</v>
      </c>
      <c r="O20" s="54">
        <f t="shared" si="3"/>
        <v>0</v>
      </c>
      <c r="P20" s="1"/>
    </row>
    <row r="21" spans="2:16" ht="12.5">
      <c r="B21" s="7" t="str">
        <f t="shared" si="6"/>
        <v/>
      </c>
      <c r="C21" s="50">
        <f>IF(D12="","-",+C20+1)</f>
        <v>2012</v>
      </c>
      <c r="D21" s="137">
        <v>363479.79653401795</v>
      </c>
      <c r="E21" s="377">
        <v>9269.6666666666661</v>
      </c>
      <c r="F21" s="137">
        <v>354210.12986735126</v>
      </c>
      <c r="G21" s="376">
        <v>61947.846793824669</v>
      </c>
      <c r="H21" s="375">
        <v>61947.846793824669</v>
      </c>
      <c r="I21" s="141">
        <v>0</v>
      </c>
      <c r="J21" s="52"/>
      <c r="K21" s="113">
        <f t="shared" si="4"/>
        <v>61947.846793824669</v>
      </c>
      <c r="L21" s="54">
        <f t="shared" si="1"/>
        <v>0</v>
      </c>
      <c r="M21" s="113">
        <f t="shared" si="5"/>
        <v>61947.846793824669</v>
      </c>
      <c r="N21" s="54">
        <f t="shared" si="2"/>
        <v>0</v>
      </c>
      <c r="O21" s="54">
        <f t="shared" si="3"/>
        <v>0</v>
      </c>
      <c r="P21" s="1"/>
    </row>
    <row r="22" spans="2:16" ht="12.5">
      <c r="B22" s="7" t="str">
        <f t="shared" si="6"/>
        <v/>
      </c>
      <c r="C22" s="50">
        <f>IF(D11="","-",+C21+1)</f>
        <v>2013</v>
      </c>
      <c r="D22" s="151">
        <v>354210.12986735126</v>
      </c>
      <c r="E22" s="420">
        <v>9269.6666666666661</v>
      </c>
      <c r="F22" s="151">
        <v>344940.46320068458</v>
      </c>
      <c r="G22" s="420">
        <v>57556.875600006118</v>
      </c>
      <c r="H22" s="421">
        <v>57556.875600006118</v>
      </c>
      <c r="I22" s="153">
        <v>0</v>
      </c>
      <c r="J22" s="52"/>
      <c r="K22" s="113">
        <f t="shared" si="4"/>
        <v>57556.875600006118</v>
      </c>
      <c r="L22" s="54">
        <f t="shared" ref="L22:L27" si="7">IF(K22&lt;&gt;0,+G22-K22,0)</f>
        <v>0</v>
      </c>
      <c r="M22" s="113">
        <f t="shared" si="5"/>
        <v>57556.875600006118</v>
      </c>
      <c r="N22" s="54">
        <f t="shared" ref="N22:N27" si="8">IF(M22&lt;&gt;0,+H22-M22,0)</f>
        <v>0</v>
      </c>
      <c r="O22" s="54">
        <f t="shared" ref="O22:O27" si="9">+N22-L22</f>
        <v>0</v>
      </c>
      <c r="P22" s="1"/>
    </row>
    <row r="23" spans="2:16" ht="12.5">
      <c r="B23" s="7" t="str">
        <f t="shared" si="6"/>
        <v/>
      </c>
      <c r="C23" s="50">
        <f>IF(D11="","-",+C22+1)</f>
        <v>2014</v>
      </c>
      <c r="D23" s="151">
        <v>344940.46320068458</v>
      </c>
      <c r="E23" s="420">
        <v>9269.6666666666661</v>
      </c>
      <c r="F23" s="151">
        <v>335670.79653401789</v>
      </c>
      <c r="G23" s="420">
        <v>54555.18443175155</v>
      </c>
      <c r="H23" s="421">
        <v>54555.18443175155</v>
      </c>
      <c r="I23" s="153">
        <v>0</v>
      </c>
      <c r="J23" s="52"/>
      <c r="K23" s="113">
        <f t="shared" si="4"/>
        <v>54555.18443175155</v>
      </c>
      <c r="L23" s="54">
        <f t="shared" si="7"/>
        <v>0</v>
      </c>
      <c r="M23" s="113">
        <f t="shared" si="5"/>
        <v>54555.18443175155</v>
      </c>
      <c r="N23" s="54">
        <f t="shared" si="8"/>
        <v>0</v>
      </c>
      <c r="O23" s="54">
        <f t="shared" si="9"/>
        <v>0</v>
      </c>
      <c r="P23" s="1"/>
    </row>
    <row r="24" spans="2:16" ht="12.5">
      <c r="B24" s="7" t="str">
        <f t="shared" si="6"/>
        <v/>
      </c>
      <c r="C24" s="50">
        <f>IF(D11="","-",+C23+1)</f>
        <v>2015</v>
      </c>
      <c r="D24" s="151">
        <v>335670.79653401789</v>
      </c>
      <c r="E24" s="420">
        <v>9269.6666666666661</v>
      </c>
      <c r="F24" s="151">
        <v>326401.12986735121</v>
      </c>
      <c r="G24" s="420">
        <v>52258.262513897615</v>
      </c>
      <c r="H24" s="421">
        <v>52258.262513897615</v>
      </c>
      <c r="I24" s="52">
        <v>0</v>
      </c>
      <c r="J24" s="52"/>
      <c r="K24" s="113">
        <f t="shared" si="4"/>
        <v>52258.262513897615</v>
      </c>
      <c r="L24" s="54">
        <f t="shared" si="7"/>
        <v>0</v>
      </c>
      <c r="M24" s="113">
        <f t="shared" si="5"/>
        <v>52258.262513897615</v>
      </c>
      <c r="N24" s="54">
        <f t="shared" si="8"/>
        <v>0</v>
      </c>
      <c r="O24" s="54">
        <f t="shared" si="9"/>
        <v>0</v>
      </c>
      <c r="P24" s="1"/>
    </row>
    <row r="25" spans="2:16" ht="12.5">
      <c r="B25" s="7" t="str">
        <f t="shared" si="6"/>
        <v/>
      </c>
      <c r="C25" s="50">
        <f>IF(D11="","-",+C24+1)</f>
        <v>2016</v>
      </c>
      <c r="D25" s="151">
        <v>326401.12986735121</v>
      </c>
      <c r="E25" s="420">
        <v>9269.6666666666661</v>
      </c>
      <c r="F25" s="151">
        <v>317131.46320068452</v>
      </c>
      <c r="G25" s="420">
        <v>50522.11947752475</v>
      </c>
      <c r="H25" s="421">
        <v>50522.11947752475</v>
      </c>
      <c r="I25" s="52">
        <f t="shared" si="0"/>
        <v>0</v>
      </c>
      <c r="J25" s="52"/>
      <c r="K25" s="113">
        <f t="shared" ref="K25:K30" si="10">G25</f>
        <v>50522.11947752475</v>
      </c>
      <c r="L25" s="54">
        <f t="shared" si="7"/>
        <v>0</v>
      </c>
      <c r="M25" s="113">
        <f t="shared" ref="M25:M30" si="11">H25</f>
        <v>50522.11947752475</v>
      </c>
      <c r="N25" s="54">
        <f t="shared" si="8"/>
        <v>0</v>
      </c>
      <c r="O25" s="54">
        <f t="shared" si="9"/>
        <v>0</v>
      </c>
      <c r="P25" s="1"/>
    </row>
    <row r="26" spans="2:16" ht="12.5">
      <c r="B26" s="7" t="str">
        <f t="shared" si="6"/>
        <v/>
      </c>
      <c r="C26" s="50">
        <f>IF(D11="","-",+C25+1)</f>
        <v>2017</v>
      </c>
      <c r="D26" s="151">
        <v>317131.46320068452</v>
      </c>
      <c r="E26" s="420">
        <v>9054.0930232558148</v>
      </c>
      <c r="F26" s="151">
        <v>308077.3701774287</v>
      </c>
      <c r="G26" s="420">
        <v>47783.446226544533</v>
      </c>
      <c r="H26" s="421">
        <v>47783.446226544533</v>
      </c>
      <c r="I26" s="52">
        <f t="shared" si="0"/>
        <v>0</v>
      </c>
      <c r="J26" s="52"/>
      <c r="K26" s="113">
        <f t="shared" si="10"/>
        <v>47783.446226544533</v>
      </c>
      <c r="L26" s="54">
        <f t="shared" si="7"/>
        <v>0</v>
      </c>
      <c r="M26" s="113">
        <f t="shared" si="11"/>
        <v>47783.446226544533</v>
      </c>
      <c r="N26" s="54">
        <f t="shared" si="8"/>
        <v>0</v>
      </c>
      <c r="O26" s="54">
        <f t="shared" si="9"/>
        <v>0</v>
      </c>
      <c r="P26" s="1"/>
    </row>
    <row r="27" spans="2:16" ht="12.5">
      <c r="B27" s="7" t="str">
        <f t="shared" si="6"/>
        <v/>
      </c>
      <c r="C27" s="50">
        <f>IF(D11="","-",+C26+1)</f>
        <v>2018</v>
      </c>
      <c r="D27" s="151">
        <v>308077.3701774287</v>
      </c>
      <c r="E27" s="420">
        <v>9495.7560975609758</v>
      </c>
      <c r="F27" s="151">
        <v>298581.61407986772</v>
      </c>
      <c r="G27" s="420">
        <v>48047.144578018066</v>
      </c>
      <c r="H27" s="421">
        <v>48047.144578018066</v>
      </c>
      <c r="I27" s="52">
        <f t="shared" si="0"/>
        <v>0</v>
      </c>
      <c r="J27" s="52"/>
      <c r="K27" s="113">
        <f t="shared" si="10"/>
        <v>48047.144578018066</v>
      </c>
      <c r="L27" s="54">
        <f t="shared" si="7"/>
        <v>0</v>
      </c>
      <c r="M27" s="113">
        <f t="shared" si="11"/>
        <v>48047.144578018066</v>
      </c>
      <c r="N27" s="54">
        <f t="shared" si="8"/>
        <v>0</v>
      </c>
      <c r="O27" s="54">
        <f t="shared" si="9"/>
        <v>0</v>
      </c>
      <c r="P27" s="1"/>
    </row>
    <row r="28" spans="2:16" ht="12.5">
      <c r="B28" s="7" t="str">
        <f t="shared" si="6"/>
        <v/>
      </c>
      <c r="C28" s="50">
        <f>IF(D11="","-",+C27+1)</f>
        <v>2019</v>
      </c>
      <c r="D28" s="151">
        <v>298581.61407986772</v>
      </c>
      <c r="E28" s="420">
        <v>9495.7560975609758</v>
      </c>
      <c r="F28" s="151">
        <v>289085.85798230674</v>
      </c>
      <c r="G28" s="420">
        <v>46840.290013156024</v>
      </c>
      <c r="H28" s="421">
        <v>46840.290013156024</v>
      </c>
      <c r="I28" s="52">
        <f t="shared" si="0"/>
        <v>0</v>
      </c>
      <c r="J28" s="52"/>
      <c r="K28" s="113">
        <f t="shared" si="10"/>
        <v>46840.290013156024</v>
      </c>
      <c r="L28" s="54">
        <f t="shared" ref="L28" si="12">IF(K28&lt;&gt;0,+G28-K28,0)</f>
        <v>0</v>
      </c>
      <c r="M28" s="113">
        <f t="shared" si="11"/>
        <v>46840.290013156024</v>
      </c>
      <c r="N28" s="54">
        <f t="shared" si="2"/>
        <v>0</v>
      </c>
      <c r="O28" s="54">
        <f t="shared" si="3"/>
        <v>0</v>
      </c>
      <c r="P28" s="1"/>
    </row>
    <row r="29" spans="2:16" ht="12.5">
      <c r="B29" s="7" t="str">
        <f t="shared" si="6"/>
        <v/>
      </c>
      <c r="C29" s="50">
        <f>IF(D11="","-",+C28+1)</f>
        <v>2020</v>
      </c>
      <c r="D29" s="151">
        <v>289085.85798230674</v>
      </c>
      <c r="E29" s="420">
        <v>9495.7560975609758</v>
      </c>
      <c r="F29" s="151">
        <v>279590.10188474576</v>
      </c>
      <c r="G29" s="420">
        <v>38593.612729387853</v>
      </c>
      <c r="H29" s="421">
        <v>38593.612729387853</v>
      </c>
      <c r="I29" s="52">
        <f t="shared" si="0"/>
        <v>0</v>
      </c>
      <c r="J29" s="52"/>
      <c r="K29" s="113">
        <f t="shared" si="10"/>
        <v>38593.612729387853</v>
      </c>
      <c r="L29" s="54">
        <f t="shared" ref="L29" si="13">IF(K29&lt;&gt;0,+G29-K29,0)</f>
        <v>0</v>
      </c>
      <c r="M29" s="113">
        <f t="shared" si="11"/>
        <v>38593.612729387853</v>
      </c>
      <c r="N29" s="54">
        <f t="shared" si="2"/>
        <v>0</v>
      </c>
      <c r="O29" s="54">
        <f t="shared" si="3"/>
        <v>0</v>
      </c>
      <c r="P29" s="1"/>
    </row>
    <row r="30" spans="2:16" ht="12.5">
      <c r="B30" s="7" t="str">
        <f t="shared" si="6"/>
        <v>IU</v>
      </c>
      <c r="C30" s="50">
        <f>IF(D11="","-",+C29+1)</f>
        <v>2021</v>
      </c>
      <c r="D30" s="151">
        <v>280031.76495905104</v>
      </c>
      <c r="E30" s="420">
        <v>9269.6666666666661</v>
      </c>
      <c r="F30" s="151">
        <v>270762.09829238435</v>
      </c>
      <c r="G30" s="420">
        <v>38462.993109784969</v>
      </c>
      <c r="H30" s="421">
        <v>38462.993109784969</v>
      </c>
      <c r="I30" s="52">
        <f t="shared" si="0"/>
        <v>0</v>
      </c>
      <c r="J30" s="52"/>
      <c r="K30" s="113">
        <f t="shared" si="10"/>
        <v>38462.993109784969</v>
      </c>
      <c r="L30" s="54">
        <f t="shared" ref="L30" si="14">IF(K30&lt;&gt;0,+G30-K30,0)</f>
        <v>0</v>
      </c>
      <c r="M30" s="113">
        <f t="shared" si="11"/>
        <v>38462.993109784969</v>
      </c>
      <c r="N30" s="54">
        <f t="shared" si="2"/>
        <v>0</v>
      </c>
      <c r="O30" s="54">
        <f t="shared" si="3"/>
        <v>0</v>
      </c>
      <c r="P30" s="1"/>
    </row>
    <row r="31" spans="2:16" ht="12.5">
      <c r="B31" s="7" t="str">
        <f t="shared" si="6"/>
        <v>IU</v>
      </c>
      <c r="C31" s="50">
        <f>IF(D11="","-",+C30+1)</f>
        <v>2022</v>
      </c>
      <c r="D31" s="151">
        <v>270320.43521807925</v>
      </c>
      <c r="E31" s="420">
        <v>9269.6666666666661</v>
      </c>
      <c r="F31" s="151">
        <v>261050.76855141259</v>
      </c>
      <c r="G31" s="420">
        <v>39144.444225431915</v>
      </c>
      <c r="H31" s="421">
        <v>39144.444225431915</v>
      </c>
      <c r="I31" s="52">
        <f t="shared" si="0"/>
        <v>0</v>
      </c>
      <c r="J31" s="52"/>
      <c r="K31" s="113">
        <f t="shared" ref="K31" si="15">G31</f>
        <v>39144.444225431915</v>
      </c>
      <c r="L31" s="54">
        <f t="shared" ref="L31" si="16">IF(K31&lt;&gt;0,+G31-K31,0)</f>
        <v>0</v>
      </c>
      <c r="M31" s="113">
        <f t="shared" ref="M31" si="17">H31</f>
        <v>39144.444225431915</v>
      </c>
      <c r="N31" s="54">
        <f t="shared" si="2"/>
        <v>0</v>
      </c>
      <c r="O31" s="54">
        <f t="shared" si="3"/>
        <v>0</v>
      </c>
      <c r="P31" s="1"/>
    </row>
    <row r="32" spans="2:16" ht="12.5">
      <c r="B32" s="7" t="str">
        <f t="shared" si="6"/>
        <v/>
      </c>
      <c r="C32" s="50">
        <f>IF(D11="","-",+C31+1)</f>
        <v>2023</v>
      </c>
      <c r="D32" s="151">
        <v>261050.76855141259</v>
      </c>
      <c r="E32" s="420">
        <v>9269.6666666666661</v>
      </c>
      <c r="F32" s="151">
        <v>251781.10188474593</v>
      </c>
      <c r="G32" s="420">
        <v>41661.868149558737</v>
      </c>
      <c r="H32" s="421">
        <v>41661.868149558737</v>
      </c>
      <c r="I32" s="52">
        <f t="shared" si="0"/>
        <v>0</v>
      </c>
      <c r="J32" s="52"/>
      <c r="K32" s="113">
        <f t="shared" ref="K32" si="18">G32</f>
        <v>41661.868149558737</v>
      </c>
      <c r="L32" s="54">
        <f t="shared" ref="L32" si="19">IF(K32&lt;&gt;0,+G32-K32,0)</f>
        <v>0</v>
      </c>
      <c r="M32" s="113">
        <f t="shared" ref="M32" si="20">H32</f>
        <v>41661.868149558737</v>
      </c>
      <c r="N32" s="54">
        <f t="shared" si="2"/>
        <v>0</v>
      </c>
      <c r="O32" s="54">
        <f t="shared" si="3"/>
        <v>0</v>
      </c>
      <c r="P32" s="1"/>
    </row>
    <row r="33" spans="2:16" ht="12.5">
      <c r="B33" s="7" t="str">
        <f t="shared" si="6"/>
        <v/>
      </c>
      <c r="C33" s="50">
        <f>IF(D11="","-",+C32+1)</f>
        <v>2024</v>
      </c>
      <c r="D33" s="151">
        <v>251781.10188474593</v>
      </c>
      <c r="E33" s="420">
        <v>8848.318181818182</v>
      </c>
      <c r="F33" s="151">
        <v>242932.78370292776</v>
      </c>
      <c r="G33" s="420">
        <v>38414.184048676834</v>
      </c>
      <c r="H33" s="421">
        <v>38414.184048676834</v>
      </c>
      <c r="I33" s="52">
        <f t="shared" si="0"/>
        <v>0</v>
      </c>
      <c r="J33" s="52"/>
      <c r="K33" s="113">
        <f t="shared" ref="K33" si="21">G33</f>
        <v>38414.184048676834</v>
      </c>
      <c r="L33" s="54">
        <f t="shared" ref="L33" si="22">IF(K33&lt;&gt;0,+G33-K33,0)</f>
        <v>0</v>
      </c>
      <c r="M33" s="113">
        <f t="shared" ref="M33" si="23">H33</f>
        <v>38414.184048676834</v>
      </c>
      <c r="N33" s="54">
        <f t="shared" ref="N33" si="24">IF(M33&lt;&gt;0,+H33-M33,0)</f>
        <v>0</v>
      </c>
      <c r="O33" s="54">
        <f t="shared" ref="O33" si="25">+N33-L33</f>
        <v>0</v>
      </c>
      <c r="P33" s="1"/>
    </row>
    <row r="34" spans="2:16" ht="12.5">
      <c r="B34" s="7" t="str">
        <f t="shared" si="6"/>
        <v/>
      </c>
      <c r="C34" s="50">
        <f>IF(D11="","-",+C33+1)</f>
        <v>2025</v>
      </c>
      <c r="D34" s="55">
        <f>IF(F33+SUM(E$17:E33)=D$10,F33,D$10-SUM(E$17:E33))</f>
        <v>242932.78370292776</v>
      </c>
      <c r="E34" s="378">
        <f>IF(+I14&lt;F33,I14,D34)</f>
        <v>8848.318181818182</v>
      </c>
      <c r="F34" s="55">
        <f t="shared" ref="F34:F48" si="26">+D34-E34</f>
        <v>234084.46552110958</v>
      </c>
      <c r="G34" s="379">
        <f t="shared" ref="G34:G72" si="27">+I$12*((D34+F34)/2)+E34</f>
        <v>37356.569956441854</v>
      </c>
      <c r="H34" s="364">
        <f t="shared" ref="H34:H72" si="28">+I$13*((D34+F34)/2)+E34</f>
        <v>37356.569956441854</v>
      </c>
      <c r="I34" s="52">
        <f t="shared" si="0"/>
        <v>0</v>
      </c>
      <c r="J34" s="52"/>
      <c r="K34" s="129"/>
      <c r="L34" s="54">
        <f t="shared" si="1"/>
        <v>0</v>
      </c>
      <c r="M34" s="129"/>
      <c r="N34" s="54">
        <f t="shared" si="2"/>
        <v>0</v>
      </c>
      <c r="O34" s="54">
        <f t="shared" si="3"/>
        <v>0</v>
      </c>
      <c r="P34" s="1"/>
    </row>
    <row r="35" spans="2:16" ht="12.5">
      <c r="B35" s="7" t="str">
        <f t="shared" si="6"/>
        <v/>
      </c>
      <c r="C35" s="50">
        <f>IF(D11="","-",+C34+1)</f>
        <v>2026</v>
      </c>
      <c r="D35" s="55">
        <f>IF(F34+SUM(E$17:E34)=D$10,F34,D$10-SUM(E$17:E34))</f>
        <v>234084.46552110958</v>
      </c>
      <c r="E35" s="378">
        <f>IF(+I14&lt;F34,I14,D35)</f>
        <v>8848.318181818182</v>
      </c>
      <c r="F35" s="55">
        <f t="shared" si="26"/>
        <v>225236.1473392914</v>
      </c>
      <c r="G35" s="379">
        <f t="shared" si="27"/>
        <v>36298.955864206881</v>
      </c>
      <c r="H35" s="364">
        <f t="shared" si="28"/>
        <v>36298.955864206881</v>
      </c>
      <c r="I35" s="52">
        <f t="shared" si="0"/>
        <v>0</v>
      </c>
      <c r="J35" s="52"/>
      <c r="K35" s="129"/>
      <c r="L35" s="54">
        <f t="shared" si="1"/>
        <v>0</v>
      </c>
      <c r="M35" s="129"/>
      <c r="N35" s="54">
        <f t="shared" si="2"/>
        <v>0</v>
      </c>
      <c r="O35" s="54">
        <f t="shared" si="3"/>
        <v>0</v>
      </c>
      <c r="P35" s="1"/>
    </row>
    <row r="36" spans="2:16" ht="12.5">
      <c r="B36" s="7" t="str">
        <f t="shared" si="6"/>
        <v/>
      </c>
      <c r="C36" s="50">
        <f>IF(D11="","-",+C35+1)</f>
        <v>2027</v>
      </c>
      <c r="D36" s="55">
        <f>IF(F35+SUM(E$17:E35)=D$10,F35,D$10-SUM(E$17:E35))</f>
        <v>225236.1473392914</v>
      </c>
      <c r="E36" s="378">
        <f>IF(+I14&lt;F35,I14,D36)</f>
        <v>8848.318181818182</v>
      </c>
      <c r="F36" s="55">
        <f t="shared" si="26"/>
        <v>216387.82915747323</v>
      </c>
      <c r="G36" s="379">
        <f t="shared" si="27"/>
        <v>35241.3417719719</v>
      </c>
      <c r="H36" s="364">
        <f t="shared" si="28"/>
        <v>35241.3417719719</v>
      </c>
      <c r="I36" s="52">
        <f t="shared" si="0"/>
        <v>0</v>
      </c>
      <c r="J36" s="52"/>
      <c r="K36" s="129"/>
      <c r="L36" s="54">
        <f t="shared" si="1"/>
        <v>0</v>
      </c>
      <c r="M36" s="129"/>
      <c r="N36" s="54">
        <f t="shared" si="2"/>
        <v>0</v>
      </c>
      <c r="O36" s="54">
        <f t="shared" si="3"/>
        <v>0</v>
      </c>
      <c r="P36" s="1"/>
    </row>
    <row r="37" spans="2:16" ht="12.5">
      <c r="B37" s="7" t="str">
        <f t="shared" si="6"/>
        <v/>
      </c>
      <c r="C37" s="50">
        <f>IF(D11="","-",+C36+1)</f>
        <v>2028</v>
      </c>
      <c r="D37" s="55">
        <f>IF(F36+SUM(E$17:E36)=D$10,F36,D$10-SUM(E$17:E36))</f>
        <v>216387.82915747323</v>
      </c>
      <c r="E37" s="378">
        <f>IF(+I14&lt;F36,I14,D37)</f>
        <v>8848.318181818182</v>
      </c>
      <c r="F37" s="55">
        <f t="shared" si="26"/>
        <v>207539.51097565505</v>
      </c>
      <c r="G37" s="379">
        <f t="shared" si="27"/>
        <v>34183.727679736927</v>
      </c>
      <c r="H37" s="364">
        <f t="shared" si="28"/>
        <v>34183.727679736927</v>
      </c>
      <c r="I37" s="52">
        <f t="shared" si="0"/>
        <v>0</v>
      </c>
      <c r="J37" s="52"/>
      <c r="K37" s="129"/>
      <c r="L37" s="54">
        <f t="shared" si="1"/>
        <v>0</v>
      </c>
      <c r="M37" s="129"/>
      <c r="N37" s="54">
        <f t="shared" si="2"/>
        <v>0</v>
      </c>
      <c r="O37" s="54">
        <f t="shared" si="3"/>
        <v>0</v>
      </c>
      <c r="P37" s="1"/>
    </row>
    <row r="38" spans="2:16" ht="12.5">
      <c r="B38" s="7" t="str">
        <f t="shared" si="6"/>
        <v/>
      </c>
      <c r="C38" s="50">
        <f>IF(D11="","-",+C37+1)</f>
        <v>2029</v>
      </c>
      <c r="D38" s="55">
        <f>IF(F37+SUM(E$17:E37)=D$10,F37,D$10-SUM(E$17:E37))</f>
        <v>207539.51097565505</v>
      </c>
      <c r="E38" s="378">
        <f>IF(+I14&lt;F37,I14,D38)</f>
        <v>8848.318181818182</v>
      </c>
      <c r="F38" s="55">
        <f t="shared" si="26"/>
        <v>198691.19279383688</v>
      </c>
      <c r="G38" s="379">
        <f t="shared" si="27"/>
        <v>33126.113587501946</v>
      </c>
      <c r="H38" s="364">
        <f t="shared" si="28"/>
        <v>33126.113587501946</v>
      </c>
      <c r="I38" s="52">
        <f t="shared" si="0"/>
        <v>0</v>
      </c>
      <c r="J38" s="52"/>
      <c r="K38" s="129"/>
      <c r="L38" s="54">
        <f t="shared" si="1"/>
        <v>0</v>
      </c>
      <c r="M38" s="129"/>
      <c r="N38" s="54">
        <f t="shared" si="2"/>
        <v>0</v>
      </c>
      <c r="O38" s="54">
        <f t="shared" si="3"/>
        <v>0</v>
      </c>
      <c r="P38" s="1"/>
    </row>
    <row r="39" spans="2:16" ht="12.5">
      <c r="B39" s="7" t="str">
        <f t="shared" si="6"/>
        <v/>
      </c>
      <c r="C39" s="50">
        <f>IF(D11="","-",+C38+1)</f>
        <v>2030</v>
      </c>
      <c r="D39" s="55">
        <f>IF(F38+SUM(E$17:E38)=D$10,F38,D$10-SUM(E$17:E38))</f>
        <v>198691.19279383688</v>
      </c>
      <c r="E39" s="378">
        <f>IF(+I14&lt;F38,I14,D39)</f>
        <v>8848.318181818182</v>
      </c>
      <c r="F39" s="55">
        <f t="shared" si="26"/>
        <v>189842.8746120187</v>
      </c>
      <c r="G39" s="379">
        <f t="shared" si="27"/>
        <v>32068.499495266973</v>
      </c>
      <c r="H39" s="364">
        <f t="shared" si="28"/>
        <v>32068.499495266973</v>
      </c>
      <c r="I39" s="52">
        <f t="shared" si="0"/>
        <v>0</v>
      </c>
      <c r="J39" s="52"/>
      <c r="K39" s="129"/>
      <c r="L39" s="54">
        <f t="shared" si="1"/>
        <v>0</v>
      </c>
      <c r="M39" s="129"/>
      <c r="N39" s="54">
        <f t="shared" si="2"/>
        <v>0</v>
      </c>
      <c r="O39" s="54">
        <f t="shared" si="3"/>
        <v>0</v>
      </c>
      <c r="P39" s="1"/>
    </row>
    <row r="40" spans="2:16" ht="12.5">
      <c r="B40" s="7" t="str">
        <f t="shared" si="6"/>
        <v/>
      </c>
      <c r="C40" s="50">
        <f>IF(D11="","-",+C39+1)</f>
        <v>2031</v>
      </c>
      <c r="D40" s="55">
        <f>IF(F39+SUM(E$17:E39)=D$10,F39,D$10-SUM(E$17:E39))</f>
        <v>189842.8746120187</v>
      </c>
      <c r="E40" s="378">
        <f>IF(+I14&lt;F39,I14,D40)</f>
        <v>8848.318181818182</v>
      </c>
      <c r="F40" s="55">
        <f t="shared" si="26"/>
        <v>180994.55643020052</v>
      </c>
      <c r="G40" s="379">
        <f t="shared" si="27"/>
        <v>31010.885403031993</v>
      </c>
      <c r="H40" s="364">
        <f t="shared" si="28"/>
        <v>31010.885403031993</v>
      </c>
      <c r="I40" s="52">
        <f t="shared" si="0"/>
        <v>0</v>
      </c>
      <c r="J40" s="52"/>
      <c r="K40" s="129"/>
      <c r="L40" s="54">
        <f t="shared" si="1"/>
        <v>0</v>
      </c>
      <c r="M40" s="129"/>
      <c r="N40" s="54">
        <f t="shared" si="2"/>
        <v>0</v>
      </c>
      <c r="O40" s="54">
        <f t="shared" si="3"/>
        <v>0</v>
      </c>
      <c r="P40" s="1"/>
    </row>
    <row r="41" spans="2:16" ht="12.5">
      <c r="B41" s="7" t="str">
        <f t="shared" si="6"/>
        <v/>
      </c>
      <c r="C41" s="50">
        <f>IF(D11="","-",+C40+1)</f>
        <v>2032</v>
      </c>
      <c r="D41" s="55">
        <f>IF(F40+SUM(E$17:E40)=D$10,F40,D$10-SUM(E$17:E40))</f>
        <v>180994.55643020052</v>
      </c>
      <c r="E41" s="378">
        <f>IF(+I14&lt;F40,I14,D41)</f>
        <v>8848.318181818182</v>
      </c>
      <c r="F41" s="55">
        <f t="shared" si="26"/>
        <v>172146.23824838235</v>
      </c>
      <c r="G41" s="379">
        <f t="shared" si="27"/>
        <v>29953.271310797019</v>
      </c>
      <c r="H41" s="364">
        <f t="shared" si="28"/>
        <v>29953.271310797019</v>
      </c>
      <c r="I41" s="52">
        <f t="shared" si="0"/>
        <v>0</v>
      </c>
      <c r="J41" s="52"/>
      <c r="K41" s="129"/>
      <c r="L41" s="54">
        <f t="shared" si="1"/>
        <v>0</v>
      </c>
      <c r="M41" s="129"/>
      <c r="N41" s="54">
        <f t="shared" si="2"/>
        <v>0</v>
      </c>
      <c r="O41" s="54">
        <f t="shared" si="3"/>
        <v>0</v>
      </c>
      <c r="P41" s="1"/>
    </row>
    <row r="42" spans="2:16" ht="12.5">
      <c r="B42" s="7" t="str">
        <f t="shared" si="6"/>
        <v/>
      </c>
      <c r="C42" s="50">
        <f>IF(D11="","-",+C41+1)</f>
        <v>2033</v>
      </c>
      <c r="D42" s="55">
        <f>IF(F41+SUM(E$17:E41)=D$10,F41,D$10-SUM(E$17:E41))</f>
        <v>172146.23824838235</v>
      </c>
      <c r="E42" s="378">
        <f>IF(+I14&lt;F41,I14,D42)</f>
        <v>8848.318181818182</v>
      </c>
      <c r="F42" s="55">
        <f t="shared" si="26"/>
        <v>163297.92006656417</v>
      </c>
      <c r="G42" s="379">
        <f t="shared" si="27"/>
        <v>28895.657218562039</v>
      </c>
      <c r="H42" s="364">
        <f t="shared" si="28"/>
        <v>28895.657218562039</v>
      </c>
      <c r="I42" s="52">
        <f t="shared" si="0"/>
        <v>0</v>
      </c>
      <c r="J42" s="52"/>
      <c r="K42" s="129"/>
      <c r="L42" s="54">
        <f t="shared" si="1"/>
        <v>0</v>
      </c>
      <c r="M42" s="129"/>
      <c r="N42" s="54">
        <f t="shared" si="2"/>
        <v>0</v>
      </c>
      <c r="O42" s="54">
        <f t="shared" si="3"/>
        <v>0</v>
      </c>
      <c r="P42" s="1"/>
    </row>
    <row r="43" spans="2:16" ht="12.5">
      <c r="B43" s="7" t="str">
        <f t="shared" si="6"/>
        <v/>
      </c>
      <c r="C43" s="50">
        <f>IF(D11="","-",+C42+1)</f>
        <v>2034</v>
      </c>
      <c r="D43" s="55">
        <f>IF(F42+SUM(E$17:E42)=D$10,F42,D$10-SUM(E$17:E42))</f>
        <v>163297.92006656417</v>
      </c>
      <c r="E43" s="378">
        <f>IF(+I14&lt;F42,I14,D43)</f>
        <v>8848.318181818182</v>
      </c>
      <c r="F43" s="55">
        <f t="shared" si="26"/>
        <v>154449.60188474599</v>
      </c>
      <c r="G43" s="379">
        <f t="shared" si="27"/>
        <v>27838.043126327066</v>
      </c>
      <c r="H43" s="364">
        <f t="shared" si="28"/>
        <v>27838.043126327066</v>
      </c>
      <c r="I43" s="52">
        <f t="shared" si="0"/>
        <v>0</v>
      </c>
      <c r="J43" s="52"/>
      <c r="K43" s="129"/>
      <c r="L43" s="54">
        <f t="shared" si="1"/>
        <v>0</v>
      </c>
      <c r="M43" s="129"/>
      <c r="N43" s="54">
        <f t="shared" si="2"/>
        <v>0</v>
      </c>
      <c r="O43" s="54">
        <f t="shared" si="3"/>
        <v>0</v>
      </c>
      <c r="P43" s="1"/>
    </row>
    <row r="44" spans="2:16" ht="12.5">
      <c r="B44" s="7" t="str">
        <f t="shared" si="6"/>
        <v/>
      </c>
      <c r="C44" s="50">
        <f>IF(D11="","-",+C43+1)</f>
        <v>2035</v>
      </c>
      <c r="D44" s="55">
        <f>IF(F43+SUM(E$17:E43)=D$10,F43,D$10-SUM(E$17:E43))</f>
        <v>154449.60188474599</v>
      </c>
      <c r="E44" s="378">
        <f>IF(+I14&lt;F43,I14,D44)</f>
        <v>8848.318181818182</v>
      </c>
      <c r="F44" s="55">
        <f t="shared" si="26"/>
        <v>145601.28370292782</v>
      </c>
      <c r="G44" s="379">
        <f t="shared" si="27"/>
        <v>26780.429034092092</v>
      </c>
      <c r="H44" s="364">
        <f t="shared" si="28"/>
        <v>26780.429034092092</v>
      </c>
      <c r="I44" s="52">
        <f t="shared" si="0"/>
        <v>0</v>
      </c>
      <c r="J44" s="52"/>
      <c r="K44" s="129"/>
      <c r="L44" s="54">
        <f t="shared" si="1"/>
        <v>0</v>
      </c>
      <c r="M44" s="129"/>
      <c r="N44" s="54">
        <f t="shared" si="2"/>
        <v>0</v>
      </c>
      <c r="O44" s="54">
        <f t="shared" si="3"/>
        <v>0</v>
      </c>
      <c r="P44" s="1"/>
    </row>
    <row r="45" spans="2:16" ht="12.5">
      <c r="B45" s="7" t="str">
        <f t="shared" si="6"/>
        <v/>
      </c>
      <c r="C45" s="50">
        <f>IF(D11="","-",+C44+1)</f>
        <v>2036</v>
      </c>
      <c r="D45" s="55">
        <f>IF(F44+SUM(E$17:E44)=D$10,F44,D$10-SUM(E$17:E44))</f>
        <v>145601.28370292782</v>
      </c>
      <c r="E45" s="378">
        <f>IF(+I14&lt;F44,I14,D45)</f>
        <v>8848.318181818182</v>
      </c>
      <c r="F45" s="55">
        <f t="shared" si="26"/>
        <v>136752.96552110964</v>
      </c>
      <c r="G45" s="379">
        <f t="shared" si="27"/>
        <v>25722.814941857112</v>
      </c>
      <c r="H45" s="364">
        <f t="shared" si="28"/>
        <v>25722.814941857112</v>
      </c>
      <c r="I45" s="52">
        <f t="shared" si="0"/>
        <v>0</v>
      </c>
      <c r="J45" s="52"/>
      <c r="K45" s="129"/>
      <c r="L45" s="54">
        <f t="shared" si="1"/>
        <v>0</v>
      </c>
      <c r="M45" s="129"/>
      <c r="N45" s="54">
        <f t="shared" si="2"/>
        <v>0</v>
      </c>
      <c r="O45" s="54">
        <f t="shared" si="3"/>
        <v>0</v>
      </c>
      <c r="P45" s="1"/>
    </row>
    <row r="46" spans="2:16" ht="12.5">
      <c r="B46" s="7" t="str">
        <f t="shared" si="6"/>
        <v/>
      </c>
      <c r="C46" s="50">
        <f>IF(D11="","-",+C45+1)</f>
        <v>2037</v>
      </c>
      <c r="D46" s="55">
        <f>IF(F45+SUM(E$17:E45)=D$10,F45,D$10-SUM(E$17:E45))</f>
        <v>136752.96552110964</v>
      </c>
      <c r="E46" s="378">
        <f>IF(+I14&lt;F45,I14,D46)</f>
        <v>8848.318181818182</v>
      </c>
      <c r="F46" s="55">
        <f t="shared" si="26"/>
        <v>127904.64733929146</v>
      </c>
      <c r="G46" s="379">
        <f t="shared" si="27"/>
        <v>24665.200849622135</v>
      </c>
      <c r="H46" s="364">
        <f t="shared" si="28"/>
        <v>24665.200849622135</v>
      </c>
      <c r="I46" s="52">
        <f t="shared" si="0"/>
        <v>0</v>
      </c>
      <c r="J46" s="52"/>
      <c r="K46" s="129"/>
      <c r="L46" s="54">
        <f t="shared" si="1"/>
        <v>0</v>
      </c>
      <c r="M46" s="129"/>
      <c r="N46" s="54">
        <f t="shared" si="2"/>
        <v>0</v>
      </c>
      <c r="O46" s="54">
        <f t="shared" si="3"/>
        <v>0</v>
      </c>
      <c r="P46" s="1"/>
    </row>
    <row r="47" spans="2:16" ht="12.5">
      <c r="B47" s="7" t="str">
        <f t="shared" si="6"/>
        <v/>
      </c>
      <c r="C47" s="50">
        <f>IF(D11="","-",+C46+1)</f>
        <v>2038</v>
      </c>
      <c r="D47" s="55">
        <f>IF(F46+SUM(E$17:E46)=D$10,F46,D$10-SUM(E$17:E46))</f>
        <v>127904.64733929146</v>
      </c>
      <c r="E47" s="378">
        <f>IF(+I14&lt;F46,I14,D47)</f>
        <v>8848.318181818182</v>
      </c>
      <c r="F47" s="55">
        <f t="shared" si="26"/>
        <v>119056.32915747329</v>
      </c>
      <c r="G47" s="379">
        <f t="shared" si="27"/>
        <v>23607.586757387158</v>
      </c>
      <c r="H47" s="364">
        <f t="shared" si="28"/>
        <v>23607.586757387158</v>
      </c>
      <c r="I47" s="52">
        <f t="shared" si="0"/>
        <v>0</v>
      </c>
      <c r="J47" s="52"/>
      <c r="K47" s="129"/>
      <c r="L47" s="54">
        <f t="shared" si="1"/>
        <v>0</v>
      </c>
      <c r="M47" s="129"/>
      <c r="N47" s="54">
        <f t="shared" si="2"/>
        <v>0</v>
      </c>
      <c r="O47" s="54">
        <f t="shared" si="3"/>
        <v>0</v>
      </c>
      <c r="P47" s="1"/>
    </row>
    <row r="48" spans="2:16" ht="12.5">
      <c r="B48" s="7" t="str">
        <f t="shared" si="6"/>
        <v/>
      </c>
      <c r="C48" s="50">
        <f>IF(D11="","-",+C47+1)</f>
        <v>2039</v>
      </c>
      <c r="D48" s="55">
        <f>IF(F47+SUM(E$17:E47)=D$10,F47,D$10-SUM(E$17:E47))</f>
        <v>119056.32915747329</v>
      </c>
      <c r="E48" s="378">
        <f>IF(+I14&lt;F47,I14,D48)</f>
        <v>8848.318181818182</v>
      </c>
      <c r="F48" s="55">
        <f t="shared" si="26"/>
        <v>110208.01097565511</v>
      </c>
      <c r="G48" s="379">
        <f t="shared" si="27"/>
        <v>22549.972665152181</v>
      </c>
      <c r="H48" s="364">
        <f t="shared" si="28"/>
        <v>22549.972665152181</v>
      </c>
      <c r="I48" s="52">
        <f t="shared" si="0"/>
        <v>0</v>
      </c>
      <c r="J48" s="52"/>
      <c r="K48" s="129"/>
      <c r="L48" s="54">
        <f t="shared" si="1"/>
        <v>0</v>
      </c>
      <c r="M48" s="129"/>
      <c r="N48" s="54">
        <f t="shared" si="2"/>
        <v>0</v>
      </c>
      <c r="O48" s="54">
        <f t="shared" si="3"/>
        <v>0</v>
      </c>
      <c r="P48" s="1"/>
    </row>
    <row r="49" spans="2:17" ht="12.5">
      <c r="B49" s="7" t="str">
        <f t="shared" si="6"/>
        <v/>
      </c>
      <c r="C49" s="50">
        <f>IF(D11="","-",+C48+1)</f>
        <v>2040</v>
      </c>
      <c r="D49" s="55">
        <f>IF(F48+SUM(E$17:E48)=D$10,F48,D$10-SUM(E$17:E48))</f>
        <v>110208.01097565511</v>
      </c>
      <c r="E49" s="378">
        <f>IF(+I14&lt;F48,I14,D49)</f>
        <v>8848.318181818182</v>
      </c>
      <c r="F49" s="55">
        <f t="shared" ref="F49:F72" si="29">+D49-E49</f>
        <v>101359.69279383693</v>
      </c>
      <c r="G49" s="379">
        <f t="shared" si="27"/>
        <v>21492.358572917205</v>
      </c>
      <c r="H49" s="364">
        <f t="shared" si="28"/>
        <v>21492.358572917205</v>
      </c>
      <c r="I49" s="52">
        <f t="shared" ref="I49:I72" si="30">H49-G49</f>
        <v>0</v>
      </c>
      <c r="J49" s="52"/>
      <c r="K49" s="129"/>
      <c r="L49" s="54">
        <f t="shared" ref="L49:L72" si="31">IF(K49&lt;&gt;0,+G49-K49,0)</f>
        <v>0</v>
      </c>
      <c r="M49" s="129"/>
      <c r="N49" s="54">
        <f t="shared" ref="N49:N72" si="32">IF(M49&lt;&gt;0,+H49-M49,0)</f>
        <v>0</v>
      </c>
      <c r="O49" s="54">
        <f t="shared" ref="O49:O72" si="33">+N49-L49</f>
        <v>0</v>
      </c>
      <c r="P49" s="1"/>
    </row>
    <row r="50" spans="2:17" ht="12.5">
      <c r="B50" s="7" t="str">
        <f t="shared" si="6"/>
        <v/>
      </c>
      <c r="C50" s="50">
        <f>IF(D11="","-",+C49+1)</f>
        <v>2041</v>
      </c>
      <c r="D50" s="55">
        <f>IF(F49+SUM(E$17:E49)=D$10,F49,D$10-SUM(E$17:E49))</f>
        <v>101359.69279383693</v>
      </c>
      <c r="E50" s="378">
        <f>IF(+I14&lt;F49,I14,D50)</f>
        <v>8848.318181818182</v>
      </c>
      <c r="F50" s="55">
        <f t="shared" si="29"/>
        <v>92511.374612018757</v>
      </c>
      <c r="G50" s="379">
        <f t="shared" si="27"/>
        <v>20434.744480682228</v>
      </c>
      <c r="H50" s="364">
        <f t="shared" si="28"/>
        <v>20434.744480682228</v>
      </c>
      <c r="I50" s="52">
        <f t="shared" si="30"/>
        <v>0</v>
      </c>
      <c r="J50" s="52"/>
      <c r="K50" s="129"/>
      <c r="L50" s="54">
        <f t="shared" si="31"/>
        <v>0</v>
      </c>
      <c r="M50" s="129"/>
      <c r="N50" s="54">
        <f t="shared" si="32"/>
        <v>0</v>
      </c>
      <c r="O50" s="54">
        <f t="shared" si="33"/>
        <v>0</v>
      </c>
      <c r="P50" s="1"/>
    </row>
    <row r="51" spans="2:17" ht="12.5">
      <c r="B51" s="7" t="str">
        <f t="shared" si="6"/>
        <v/>
      </c>
      <c r="C51" s="50">
        <f>IF(D11="","-",+C50+1)</f>
        <v>2042</v>
      </c>
      <c r="D51" s="55">
        <f>IF(F50+SUM(E$17:E50)=D$10,F50,D$10-SUM(E$17:E50))</f>
        <v>92511.374612018757</v>
      </c>
      <c r="E51" s="378">
        <f>IF(+I14&lt;F50,I14,D51)</f>
        <v>8848.318181818182</v>
      </c>
      <c r="F51" s="55">
        <f t="shared" si="29"/>
        <v>83663.056430200581</v>
      </c>
      <c r="G51" s="379">
        <f t="shared" si="27"/>
        <v>19377.130388447251</v>
      </c>
      <c r="H51" s="364">
        <f t="shared" si="28"/>
        <v>19377.130388447251</v>
      </c>
      <c r="I51" s="52">
        <f t="shared" si="30"/>
        <v>0</v>
      </c>
      <c r="J51" s="52"/>
      <c r="K51" s="129"/>
      <c r="L51" s="54">
        <f t="shared" si="31"/>
        <v>0</v>
      </c>
      <c r="M51" s="129"/>
      <c r="N51" s="54">
        <f t="shared" si="32"/>
        <v>0</v>
      </c>
      <c r="O51" s="54">
        <f t="shared" si="33"/>
        <v>0</v>
      </c>
      <c r="P51" s="1"/>
    </row>
    <row r="52" spans="2:17" ht="12.5">
      <c r="B52" s="7" t="str">
        <f t="shared" si="6"/>
        <v/>
      </c>
      <c r="C52" s="50">
        <f>IF(D11="","-",+C51+1)</f>
        <v>2043</v>
      </c>
      <c r="D52" s="55">
        <f>IF(F51+SUM(E$17:E51)=D$10,F51,D$10-SUM(E$17:E51))</f>
        <v>83663.056430200581</v>
      </c>
      <c r="E52" s="378">
        <f>IF(+I14&lt;F51,I14,D52)</f>
        <v>8848.318181818182</v>
      </c>
      <c r="F52" s="55">
        <f t="shared" si="29"/>
        <v>74814.738248382404</v>
      </c>
      <c r="G52" s="379">
        <f t="shared" si="27"/>
        <v>18319.516296212278</v>
      </c>
      <c r="H52" s="364">
        <f t="shared" si="28"/>
        <v>18319.516296212278</v>
      </c>
      <c r="I52" s="52">
        <f t="shared" si="30"/>
        <v>0</v>
      </c>
      <c r="J52" s="52"/>
      <c r="K52" s="129"/>
      <c r="L52" s="54">
        <f t="shared" si="31"/>
        <v>0</v>
      </c>
      <c r="M52" s="129"/>
      <c r="N52" s="54">
        <f t="shared" si="32"/>
        <v>0</v>
      </c>
      <c r="O52" s="54">
        <f t="shared" si="33"/>
        <v>0</v>
      </c>
      <c r="P52" s="1"/>
    </row>
    <row r="53" spans="2:17" ht="12.5">
      <c r="B53" s="7" t="str">
        <f t="shared" si="6"/>
        <v/>
      </c>
      <c r="C53" s="50">
        <f>IF(D11="","-",+C52+1)</f>
        <v>2044</v>
      </c>
      <c r="D53" s="55">
        <f>IF(F52+SUM(E$17:E52)=D$10,F52,D$10-SUM(E$17:E52))</f>
        <v>74814.738248382404</v>
      </c>
      <c r="E53" s="378">
        <f>IF(+I14&lt;F52,I14,D53)</f>
        <v>8848.318181818182</v>
      </c>
      <c r="F53" s="55">
        <f t="shared" si="29"/>
        <v>65966.420066564227</v>
      </c>
      <c r="G53" s="379">
        <f t="shared" si="27"/>
        <v>17261.902203977297</v>
      </c>
      <c r="H53" s="364">
        <f t="shared" si="28"/>
        <v>17261.902203977297</v>
      </c>
      <c r="I53" s="52">
        <f t="shared" si="30"/>
        <v>0</v>
      </c>
      <c r="J53" s="52"/>
      <c r="K53" s="129"/>
      <c r="L53" s="54">
        <f t="shared" si="31"/>
        <v>0</v>
      </c>
      <c r="M53" s="129"/>
      <c r="N53" s="54">
        <f t="shared" si="32"/>
        <v>0</v>
      </c>
      <c r="O53" s="54">
        <f t="shared" si="33"/>
        <v>0</v>
      </c>
      <c r="P53" s="1"/>
    </row>
    <row r="54" spans="2:17" ht="12.5">
      <c r="B54" s="7" t="str">
        <f t="shared" si="6"/>
        <v/>
      </c>
      <c r="C54" s="50">
        <f>IF(D11="","-",+C53+1)</f>
        <v>2045</v>
      </c>
      <c r="D54" s="55">
        <f>IF(F53+SUM(E$17:E53)=D$10,F53,D$10-SUM(E$17:E53))</f>
        <v>65966.420066564227</v>
      </c>
      <c r="E54" s="378">
        <f>IF(+I14&lt;F53,I14,D54)</f>
        <v>8848.318181818182</v>
      </c>
      <c r="F54" s="55">
        <f t="shared" si="29"/>
        <v>57118.101884746044</v>
      </c>
      <c r="G54" s="379">
        <f t="shared" si="27"/>
        <v>16204.288111742322</v>
      </c>
      <c r="H54" s="364">
        <f t="shared" si="28"/>
        <v>16204.288111742322</v>
      </c>
      <c r="I54" s="52">
        <f t="shared" si="30"/>
        <v>0</v>
      </c>
      <c r="J54" s="52"/>
      <c r="K54" s="129"/>
      <c r="L54" s="54">
        <f t="shared" si="31"/>
        <v>0</v>
      </c>
      <c r="M54" s="129"/>
      <c r="N54" s="54">
        <f t="shared" si="32"/>
        <v>0</v>
      </c>
      <c r="O54" s="54">
        <f t="shared" si="33"/>
        <v>0</v>
      </c>
      <c r="P54" s="1"/>
    </row>
    <row r="55" spans="2:17" ht="12.5">
      <c r="B55" s="7" t="str">
        <f t="shared" si="6"/>
        <v/>
      </c>
      <c r="C55" s="50">
        <f>IF(D11="","-",+C54+1)</f>
        <v>2046</v>
      </c>
      <c r="D55" s="55">
        <f>IF(F54+SUM(E$17:E54)=D$10,F54,D$10-SUM(E$17:E54))</f>
        <v>57118.101884746044</v>
      </c>
      <c r="E55" s="378">
        <f>IF(+I14&lt;F54,I14,D55)</f>
        <v>8848.318181818182</v>
      </c>
      <c r="F55" s="55">
        <f t="shared" si="29"/>
        <v>48269.78370292786</v>
      </c>
      <c r="G55" s="379">
        <f t="shared" si="27"/>
        <v>15146.674019507343</v>
      </c>
      <c r="H55" s="364">
        <f t="shared" si="28"/>
        <v>15146.674019507343</v>
      </c>
      <c r="I55" s="52">
        <f t="shared" si="30"/>
        <v>0</v>
      </c>
      <c r="J55" s="52"/>
      <c r="K55" s="129"/>
      <c r="L55" s="54">
        <f t="shared" si="31"/>
        <v>0</v>
      </c>
      <c r="M55" s="129"/>
      <c r="N55" s="54">
        <f t="shared" si="32"/>
        <v>0</v>
      </c>
      <c r="O55" s="54">
        <f t="shared" si="33"/>
        <v>0</v>
      </c>
      <c r="P55" s="1"/>
    </row>
    <row r="56" spans="2:17" ht="12.5">
      <c r="B56" s="7" t="str">
        <f t="shared" si="6"/>
        <v/>
      </c>
      <c r="C56" s="50">
        <f>IF(D11="","-",+C55+1)</f>
        <v>2047</v>
      </c>
      <c r="D56" s="55">
        <f>IF(F55+SUM(E$17:E55)=D$10,F55,D$10-SUM(E$17:E55))</f>
        <v>48269.78370292786</v>
      </c>
      <c r="E56" s="378">
        <f>IF(+I14&lt;F55,I14,D56)</f>
        <v>8848.318181818182</v>
      </c>
      <c r="F56" s="55">
        <f t="shared" si="29"/>
        <v>39421.465521109676</v>
      </c>
      <c r="G56" s="379">
        <f t="shared" si="27"/>
        <v>14089.059927272367</v>
      </c>
      <c r="H56" s="364">
        <f t="shared" si="28"/>
        <v>14089.059927272367</v>
      </c>
      <c r="I56" s="52">
        <f t="shared" si="30"/>
        <v>0</v>
      </c>
      <c r="J56" s="52"/>
      <c r="K56" s="129"/>
      <c r="L56" s="54">
        <f t="shared" si="31"/>
        <v>0</v>
      </c>
      <c r="M56" s="129"/>
      <c r="N56" s="54">
        <f t="shared" si="32"/>
        <v>0</v>
      </c>
      <c r="O56" s="54">
        <f t="shared" si="33"/>
        <v>0</v>
      </c>
      <c r="P56" s="1"/>
    </row>
    <row r="57" spans="2:17" ht="12.5">
      <c r="B57" s="7" t="str">
        <f t="shared" si="6"/>
        <v/>
      </c>
      <c r="C57" s="50">
        <f>IF(D11="","-",+C56+1)</f>
        <v>2048</v>
      </c>
      <c r="D57" s="55">
        <f>IF(F56+SUM(E$17:E56)=D$10,F56,D$10-SUM(E$17:E56))</f>
        <v>39421.465521109676</v>
      </c>
      <c r="E57" s="378">
        <f>IF(+I14&lt;F56,I14,D57)</f>
        <v>8848.318181818182</v>
      </c>
      <c r="F57" s="55">
        <f t="shared" si="29"/>
        <v>30573.147339291492</v>
      </c>
      <c r="G57" s="379">
        <f t="shared" si="27"/>
        <v>13031.445835037388</v>
      </c>
      <c r="H57" s="364">
        <f t="shared" si="28"/>
        <v>13031.445835037388</v>
      </c>
      <c r="I57" s="52">
        <f t="shared" si="30"/>
        <v>0</v>
      </c>
      <c r="J57" s="52"/>
      <c r="K57" s="129"/>
      <c r="L57" s="54">
        <f t="shared" si="31"/>
        <v>0</v>
      </c>
      <c r="M57" s="129"/>
      <c r="N57" s="54">
        <f t="shared" si="32"/>
        <v>0</v>
      </c>
      <c r="O57" s="54">
        <f t="shared" si="33"/>
        <v>0</v>
      </c>
      <c r="P57" s="1"/>
    </row>
    <row r="58" spans="2:17" ht="12.5">
      <c r="B58" s="7" t="str">
        <f t="shared" si="6"/>
        <v/>
      </c>
      <c r="C58" s="50">
        <f>IF(D11="","-",+C57+1)</f>
        <v>2049</v>
      </c>
      <c r="D58" s="55">
        <f>IF(F57+SUM(E$17:E57)=D$10,F57,D$10-SUM(E$17:E57))</f>
        <v>30573.147339291492</v>
      </c>
      <c r="E58" s="378">
        <f>IF(+I14&lt;F57,I14,D58)</f>
        <v>8848.318181818182</v>
      </c>
      <c r="F58" s="55">
        <f t="shared" si="29"/>
        <v>21724.829157473308</v>
      </c>
      <c r="G58" s="379">
        <f t="shared" si="27"/>
        <v>11973.831742802411</v>
      </c>
      <c r="H58" s="364">
        <f t="shared" si="28"/>
        <v>11973.831742802411</v>
      </c>
      <c r="I58" s="52">
        <f t="shared" si="30"/>
        <v>0</v>
      </c>
      <c r="J58" s="52"/>
      <c r="K58" s="129"/>
      <c r="L58" s="54">
        <f t="shared" si="31"/>
        <v>0</v>
      </c>
      <c r="M58" s="129"/>
      <c r="N58" s="54">
        <f t="shared" si="32"/>
        <v>0</v>
      </c>
      <c r="O58" s="54">
        <f t="shared" si="33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6"/>
        <v/>
      </c>
      <c r="C59" s="50">
        <f>IF(D11="","-",+C58+1)</f>
        <v>2050</v>
      </c>
      <c r="D59" s="55">
        <f>IF(F58+SUM(E$17:E58)=D$10,F58,D$10-SUM(E$17:E58))</f>
        <v>21724.829157473308</v>
      </c>
      <c r="E59" s="378">
        <f>IF(+I14&lt;F58,I14,D59)</f>
        <v>8848.318181818182</v>
      </c>
      <c r="F59" s="55">
        <f t="shared" si="29"/>
        <v>12876.510975655126</v>
      </c>
      <c r="G59" s="379">
        <f t="shared" si="27"/>
        <v>10916.217650567432</v>
      </c>
      <c r="H59" s="364">
        <f t="shared" si="28"/>
        <v>10916.217650567432</v>
      </c>
      <c r="I59" s="52">
        <f t="shared" si="30"/>
        <v>0</v>
      </c>
      <c r="J59" s="52"/>
      <c r="K59" s="129"/>
      <c r="L59" s="54">
        <f t="shared" si="31"/>
        <v>0</v>
      </c>
      <c r="M59" s="129"/>
      <c r="N59" s="54">
        <f t="shared" si="32"/>
        <v>0</v>
      </c>
      <c r="O59" s="54">
        <f t="shared" si="33"/>
        <v>0</v>
      </c>
      <c r="P59" s="1"/>
    </row>
    <row r="60" spans="2:17" ht="12.5">
      <c r="B60" s="7" t="str">
        <f t="shared" si="6"/>
        <v/>
      </c>
      <c r="C60" s="50">
        <f>IF(D11="","-",+C59+1)</f>
        <v>2051</v>
      </c>
      <c r="D60" s="55">
        <f>IF(F59+SUM(E$17:E59)=D$10,F59,D$10-SUM(E$17:E59))</f>
        <v>12876.510975655126</v>
      </c>
      <c r="E60" s="378">
        <f>IF(+I14&lt;F59,I14,D60)</f>
        <v>8848.318181818182</v>
      </c>
      <c r="F60" s="55">
        <f t="shared" si="29"/>
        <v>4028.1927938369445</v>
      </c>
      <c r="G60" s="379">
        <f t="shared" si="27"/>
        <v>9858.6035583324556</v>
      </c>
      <c r="H60" s="364">
        <f t="shared" si="28"/>
        <v>9858.6035583324556</v>
      </c>
      <c r="I60" s="52">
        <f t="shared" si="30"/>
        <v>0</v>
      </c>
      <c r="J60" s="52"/>
      <c r="K60" s="129"/>
      <c r="L60" s="54">
        <f t="shared" si="31"/>
        <v>0</v>
      </c>
      <c r="M60" s="129"/>
      <c r="N60" s="54">
        <f t="shared" si="32"/>
        <v>0</v>
      </c>
      <c r="O60" s="54">
        <f t="shared" si="33"/>
        <v>0</v>
      </c>
      <c r="P60" s="1"/>
    </row>
    <row r="61" spans="2:17" ht="12.5">
      <c r="B61" s="7" t="str">
        <f t="shared" si="6"/>
        <v/>
      </c>
      <c r="C61" s="50">
        <f>IF(D11="","-",+C60+1)</f>
        <v>2052</v>
      </c>
      <c r="D61" s="55">
        <f>IF(F60+SUM(E$17:E60)=D$10,F60,D$10-SUM(E$17:E60))</f>
        <v>4028.1927938369445</v>
      </c>
      <c r="E61" s="378">
        <f>IF(+I14&lt;F60,I14,D61)</f>
        <v>4028.1927938369445</v>
      </c>
      <c r="F61" s="55">
        <f t="shared" si="29"/>
        <v>0</v>
      </c>
      <c r="G61" s="380">
        <f t="shared" si="27"/>
        <v>4268.9319590353371</v>
      </c>
      <c r="H61" s="364">
        <f t="shared" si="28"/>
        <v>4268.9319590353371</v>
      </c>
      <c r="I61" s="52">
        <f t="shared" si="30"/>
        <v>0</v>
      </c>
      <c r="J61" s="52"/>
      <c r="K61" s="129"/>
      <c r="L61" s="54">
        <f t="shared" si="31"/>
        <v>0</v>
      </c>
      <c r="M61" s="129"/>
      <c r="N61" s="54">
        <f t="shared" si="32"/>
        <v>0</v>
      </c>
      <c r="O61" s="54">
        <f t="shared" si="33"/>
        <v>0</v>
      </c>
      <c r="P61" s="1"/>
    </row>
    <row r="62" spans="2:17" ht="12.5">
      <c r="B62" s="7" t="str">
        <f t="shared" si="6"/>
        <v/>
      </c>
      <c r="C62" s="50">
        <f>IF(D11="","-",+C61+1)</f>
        <v>2053</v>
      </c>
      <c r="D62" s="55">
        <f>IF(F61+SUM(E$17:E61)=D$10,F61,D$10-SUM(E$17:E61))</f>
        <v>0</v>
      </c>
      <c r="E62" s="378">
        <f>IF(+I14&lt;F61,I14,D62)</f>
        <v>0</v>
      </c>
      <c r="F62" s="55">
        <f t="shared" si="29"/>
        <v>0</v>
      </c>
      <c r="G62" s="380">
        <f t="shared" si="27"/>
        <v>0</v>
      </c>
      <c r="H62" s="364">
        <f t="shared" si="28"/>
        <v>0</v>
      </c>
      <c r="I62" s="52">
        <f t="shared" si="30"/>
        <v>0</v>
      </c>
      <c r="J62" s="52"/>
      <c r="K62" s="129"/>
      <c r="L62" s="54">
        <f t="shared" si="31"/>
        <v>0</v>
      </c>
      <c r="M62" s="129"/>
      <c r="N62" s="54">
        <f t="shared" si="32"/>
        <v>0</v>
      </c>
      <c r="O62" s="54">
        <f t="shared" si="33"/>
        <v>0</v>
      </c>
      <c r="P62" s="1"/>
    </row>
    <row r="63" spans="2:17" ht="12.5">
      <c r="B63" s="7" t="str">
        <f t="shared" si="6"/>
        <v/>
      </c>
      <c r="C63" s="50">
        <f>IF(D11="","-",+C62+1)</f>
        <v>2054</v>
      </c>
      <c r="D63" s="55">
        <f>IF(F62+SUM(E$17:E62)=D$10,F62,D$10-SUM(E$17:E62))</f>
        <v>0</v>
      </c>
      <c r="E63" s="378">
        <f>IF(+I14&lt;F62,I14,D63)</f>
        <v>0</v>
      </c>
      <c r="F63" s="55">
        <f t="shared" si="29"/>
        <v>0</v>
      </c>
      <c r="G63" s="380">
        <f t="shared" si="27"/>
        <v>0</v>
      </c>
      <c r="H63" s="364">
        <f t="shared" si="28"/>
        <v>0</v>
      </c>
      <c r="I63" s="52">
        <f t="shared" si="30"/>
        <v>0</v>
      </c>
      <c r="J63" s="52"/>
      <c r="K63" s="129"/>
      <c r="L63" s="54">
        <f t="shared" si="31"/>
        <v>0</v>
      </c>
      <c r="M63" s="129"/>
      <c r="N63" s="54">
        <f t="shared" si="32"/>
        <v>0</v>
      </c>
      <c r="O63" s="54">
        <f t="shared" si="33"/>
        <v>0</v>
      </c>
      <c r="P63" s="1"/>
    </row>
    <row r="64" spans="2:17" ht="12.5">
      <c r="B64" s="7" t="str">
        <f t="shared" si="6"/>
        <v/>
      </c>
      <c r="C64" s="50">
        <f>IF(D11="","-",+C63+1)</f>
        <v>2055</v>
      </c>
      <c r="D64" s="55">
        <f>IF(F63+SUM(E$17:E63)=D$10,F63,D$10-SUM(E$17:E63))</f>
        <v>0</v>
      </c>
      <c r="E64" s="378">
        <f>IF(+I14&lt;F63,I14,D64)</f>
        <v>0</v>
      </c>
      <c r="F64" s="55">
        <f t="shared" si="29"/>
        <v>0</v>
      </c>
      <c r="G64" s="380">
        <f t="shared" si="27"/>
        <v>0</v>
      </c>
      <c r="H64" s="364">
        <f t="shared" si="28"/>
        <v>0</v>
      </c>
      <c r="I64" s="52">
        <f t="shared" si="30"/>
        <v>0</v>
      </c>
      <c r="J64" s="52"/>
      <c r="K64" s="129"/>
      <c r="L64" s="54">
        <f t="shared" si="31"/>
        <v>0</v>
      </c>
      <c r="M64" s="129"/>
      <c r="N64" s="54">
        <f t="shared" si="32"/>
        <v>0</v>
      </c>
      <c r="O64" s="54">
        <f t="shared" si="33"/>
        <v>0</v>
      </c>
      <c r="P64" s="1"/>
    </row>
    <row r="65" spans="1:16" ht="12.5">
      <c r="B65" s="7" t="str">
        <f t="shared" si="6"/>
        <v/>
      </c>
      <c r="C65" s="50">
        <f>IF(D11="","-",+C64+1)</f>
        <v>2056</v>
      </c>
      <c r="D65" s="55">
        <f>IF(F64+SUM(E$17:E64)=D$10,F64,D$10-SUM(E$17:E64))</f>
        <v>0</v>
      </c>
      <c r="E65" s="378">
        <f>IF(+I14&lt;F64,I14,D65)</f>
        <v>0</v>
      </c>
      <c r="F65" s="55">
        <f t="shared" si="29"/>
        <v>0</v>
      </c>
      <c r="G65" s="380">
        <f t="shared" si="27"/>
        <v>0</v>
      </c>
      <c r="H65" s="364">
        <f t="shared" si="28"/>
        <v>0</v>
      </c>
      <c r="I65" s="52">
        <f t="shared" si="30"/>
        <v>0</v>
      </c>
      <c r="J65" s="52"/>
      <c r="K65" s="129"/>
      <c r="L65" s="54">
        <f t="shared" si="31"/>
        <v>0</v>
      </c>
      <c r="M65" s="129"/>
      <c r="N65" s="54">
        <f t="shared" si="32"/>
        <v>0</v>
      </c>
      <c r="O65" s="54">
        <f t="shared" si="33"/>
        <v>0</v>
      </c>
      <c r="P65" s="1"/>
    </row>
    <row r="66" spans="1:16" ht="12.5">
      <c r="B66" s="7" t="str">
        <f t="shared" si="6"/>
        <v/>
      </c>
      <c r="C66" s="50">
        <f>IF(D11="","-",+C65+1)</f>
        <v>2057</v>
      </c>
      <c r="D66" s="55">
        <f>IF(F65+SUM(E$17:E65)=D$10,F65,D$10-SUM(E$17:E65))</f>
        <v>0</v>
      </c>
      <c r="E66" s="378">
        <f>IF(+I14&lt;F65,I14,D66)</f>
        <v>0</v>
      </c>
      <c r="F66" s="55">
        <f t="shared" si="29"/>
        <v>0</v>
      </c>
      <c r="G66" s="380">
        <f t="shared" si="27"/>
        <v>0</v>
      </c>
      <c r="H66" s="364">
        <f t="shared" si="28"/>
        <v>0</v>
      </c>
      <c r="I66" s="52">
        <f t="shared" si="30"/>
        <v>0</v>
      </c>
      <c r="J66" s="52"/>
      <c r="K66" s="129"/>
      <c r="L66" s="54">
        <f t="shared" si="31"/>
        <v>0</v>
      </c>
      <c r="M66" s="129"/>
      <c r="N66" s="54">
        <f t="shared" si="32"/>
        <v>0</v>
      </c>
      <c r="O66" s="54">
        <f t="shared" si="33"/>
        <v>0</v>
      </c>
      <c r="P66" s="1"/>
    </row>
    <row r="67" spans="1:16" ht="12.5">
      <c r="B67" s="7" t="str">
        <f t="shared" si="6"/>
        <v/>
      </c>
      <c r="C67" s="50">
        <f>IF(D11="","-",+C66+1)</f>
        <v>2058</v>
      </c>
      <c r="D67" s="55">
        <f>IF(F66+SUM(E$17:E66)=D$10,F66,D$10-SUM(E$17:E66))</f>
        <v>0</v>
      </c>
      <c r="E67" s="378">
        <f>IF(+I14&lt;F66,I14,D67)</f>
        <v>0</v>
      </c>
      <c r="F67" s="55">
        <f t="shared" si="29"/>
        <v>0</v>
      </c>
      <c r="G67" s="380">
        <f t="shared" si="27"/>
        <v>0</v>
      </c>
      <c r="H67" s="364">
        <f t="shared" si="28"/>
        <v>0</v>
      </c>
      <c r="I67" s="52">
        <f t="shared" si="30"/>
        <v>0</v>
      </c>
      <c r="J67" s="52"/>
      <c r="K67" s="129"/>
      <c r="L67" s="54">
        <f t="shared" si="31"/>
        <v>0</v>
      </c>
      <c r="M67" s="129"/>
      <c r="N67" s="54">
        <f t="shared" si="32"/>
        <v>0</v>
      </c>
      <c r="O67" s="54">
        <f t="shared" si="33"/>
        <v>0</v>
      </c>
      <c r="P67" s="1"/>
    </row>
    <row r="68" spans="1:16" ht="12.5">
      <c r="B68" s="7" t="str">
        <f t="shared" si="6"/>
        <v/>
      </c>
      <c r="C68" s="50">
        <f>IF(D11="","-",+C67+1)</f>
        <v>2059</v>
      </c>
      <c r="D68" s="55">
        <f>IF(F67+SUM(E$17:E67)=D$10,F67,D$10-SUM(E$17:E67))</f>
        <v>0</v>
      </c>
      <c r="E68" s="378">
        <f>IF(+I14&lt;F67,I14,D68)</f>
        <v>0</v>
      </c>
      <c r="F68" s="55">
        <f t="shared" si="29"/>
        <v>0</v>
      </c>
      <c r="G68" s="380">
        <f t="shared" si="27"/>
        <v>0</v>
      </c>
      <c r="H68" s="364">
        <f t="shared" si="28"/>
        <v>0</v>
      </c>
      <c r="I68" s="52">
        <f t="shared" si="30"/>
        <v>0</v>
      </c>
      <c r="J68" s="52"/>
      <c r="K68" s="129"/>
      <c r="L68" s="54">
        <f t="shared" si="31"/>
        <v>0</v>
      </c>
      <c r="M68" s="129"/>
      <c r="N68" s="54">
        <f t="shared" si="32"/>
        <v>0</v>
      </c>
      <c r="O68" s="54">
        <f t="shared" si="33"/>
        <v>0</v>
      </c>
      <c r="P68" s="1"/>
    </row>
    <row r="69" spans="1:16" ht="12.5">
      <c r="B69" s="7" t="str">
        <f t="shared" si="6"/>
        <v/>
      </c>
      <c r="C69" s="50">
        <f>IF(D11="","-",+C68+1)</f>
        <v>2060</v>
      </c>
      <c r="D69" s="55">
        <f>IF(F68+SUM(E$17:E68)=D$10,F68,D$10-SUM(E$17:E68))</f>
        <v>0</v>
      </c>
      <c r="E69" s="378">
        <f>IF(+I14&lt;F68,I14,D69)</f>
        <v>0</v>
      </c>
      <c r="F69" s="55">
        <f t="shared" si="29"/>
        <v>0</v>
      </c>
      <c r="G69" s="380">
        <f t="shared" si="27"/>
        <v>0</v>
      </c>
      <c r="H69" s="364">
        <f t="shared" si="28"/>
        <v>0</v>
      </c>
      <c r="I69" s="52">
        <f t="shared" si="30"/>
        <v>0</v>
      </c>
      <c r="J69" s="52"/>
      <c r="K69" s="129"/>
      <c r="L69" s="54">
        <f t="shared" si="31"/>
        <v>0</v>
      </c>
      <c r="M69" s="129"/>
      <c r="N69" s="54">
        <f t="shared" si="32"/>
        <v>0</v>
      </c>
      <c r="O69" s="54">
        <f t="shared" si="33"/>
        <v>0</v>
      </c>
      <c r="P69" s="1"/>
    </row>
    <row r="70" spans="1:16" ht="12.5">
      <c r="B70" s="7" t="str">
        <f t="shared" si="6"/>
        <v/>
      </c>
      <c r="C70" s="50">
        <f>IF(D11="","-",+C69+1)</f>
        <v>2061</v>
      </c>
      <c r="D70" s="55">
        <f>IF(F69+SUM(E$17:E69)=D$10,F69,D$10-SUM(E$17:E69))</f>
        <v>0</v>
      </c>
      <c r="E70" s="378">
        <f>IF(+I14&lt;F69,I14,D70)</f>
        <v>0</v>
      </c>
      <c r="F70" s="55">
        <f t="shared" si="29"/>
        <v>0</v>
      </c>
      <c r="G70" s="380">
        <f t="shared" si="27"/>
        <v>0</v>
      </c>
      <c r="H70" s="364">
        <f t="shared" si="28"/>
        <v>0</v>
      </c>
      <c r="I70" s="52">
        <f t="shared" si="30"/>
        <v>0</v>
      </c>
      <c r="J70" s="52"/>
      <c r="K70" s="129"/>
      <c r="L70" s="54">
        <f t="shared" si="31"/>
        <v>0</v>
      </c>
      <c r="M70" s="129"/>
      <c r="N70" s="54">
        <f t="shared" si="32"/>
        <v>0</v>
      </c>
      <c r="O70" s="54">
        <f t="shared" si="33"/>
        <v>0</v>
      </c>
      <c r="P70" s="1"/>
    </row>
    <row r="71" spans="1:16" ht="12.5">
      <c r="B71" s="7" t="str">
        <f t="shared" si="6"/>
        <v/>
      </c>
      <c r="C71" s="50">
        <f>IF(D11="","-",+C70+1)</f>
        <v>2062</v>
      </c>
      <c r="D71" s="55">
        <f>IF(F70+SUM(E$17:E70)=D$10,F70,D$10-SUM(E$17:E70))</f>
        <v>0</v>
      </c>
      <c r="E71" s="378">
        <f>IF(+I14&lt;F70,I14,D71)</f>
        <v>0</v>
      </c>
      <c r="F71" s="55">
        <f t="shared" si="29"/>
        <v>0</v>
      </c>
      <c r="G71" s="380">
        <f t="shared" si="27"/>
        <v>0</v>
      </c>
      <c r="H71" s="364">
        <f t="shared" si="28"/>
        <v>0</v>
      </c>
      <c r="I71" s="52">
        <f t="shared" si="30"/>
        <v>0</v>
      </c>
      <c r="J71" s="52"/>
      <c r="K71" s="129"/>
      <c r="L71" s="54">
        <f t="shared" si="31"/>
        <v>0</v>
      </c>
      <c r="M71" s="129"/>
      <c r="N71" s="54">
        <f t="shared" si="32"/>
        <v>0</v>
      </c>
      <c r="O71" s="54">
        <f t="shared" si="33"/>
        <v>0</v>
      </c>
      <c r="P71" s="1"/>
    </row>
    <row r="72" spans="1:16" ht="13" thickBot="1">
      <c r="B72" s="7" t="str">
        <f t="shared" si="6"/>
        <v/>
      </c>
      <c r="C72" s="59">
        <f>IF(D11="","-",+C71+1)</f>
        <v>2063</v>
      </c>
      <c r="D72" s="60">
        <f>IF(F71+SUM(E$17:E71)=D$10,F71,D$10-SUM(E$17:E71))</f>
        <v>0</v>
      </c>
      <c r="E72" s="381">
        <f>IF(+I14&lt;F71,I14,D72)</f>
        <v>0</v>
      </c>
      <c r="F72" s="60">
        <f t="shared" si="29"/>
        <v>0</v>
      </c>
      <c r="G72" s="382">
        <f t="shared" si="27"/>
        <v>0</v>
      </c>
      <c r="H72" s="362">
        <f t="shared" si="28"/>
        <v>0</v>
      </c>
      <c r="I72" s="63">
        <f t="shared" si="30"/>
        <v>0</v>
      </c>
      <c r="J72" s="52"/>
      <c r="K72" s="130"/>
      <c r="L72" s="64">
        <f t="shared" si="31"/>
        <v>0</v>
      </c>
      <c r="M72" s="130"/>
      <c r="N72" s="64">
        <f t="shared" si="32"/>
        <v>0</v>
      </c>
      <c r="O72" s="64">
        <f t="shared" si="33"/>
        <v>0</v>
      </c>
      <c r="P72" s="1"/>
    </row>
    <row r="73" spans="1:16" ht="12.5">
      <c r="C73" s="12" t="s">
        <v>78</v>
      </c>
      <c r="D73" s="293"/>
      <c r="E73" s="293">
        <f>SUM(E17:E72)</f>
        <v>389326</v>
      </c>
      <c r="F73" s="293"/>
      <c r="G73" s="293">
        <f>SUM(G17:G72)</f>
        <v>1470544.3721376348</v>
      </c>
      <c r="H73" s="293">
        <f>SUM(H17:H72)</f>
        <v>1470544.3721376348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7.5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16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38414.184048676834</v>
      </c>
      <c r="N87" s="387">
        <f>IF(J92&lt;D11,0,VLOOKUP(J92,C17:O72,11))</f>
        <v>38414.184048676834</v>
      </c>
      <c r="O87" s="69">
        <f>+N87-M87</f>
        <v>0</v>
      </c>
      <c r="P87" s="1"/>
      <c r="Q87" s="1"/>
    </row>
    <row r="88" spans="1:17" ht="15.5">
      <c r="C88" s="6"/>
      <c r="D88" s="104" t="s">
        <v>271</v>
      </c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40574.837780930859</v>
      </c>
      <c r="N88" s="390">
        <f>IF(J92&lt;D11,0,VLOOKUP(J92,C99:P154,7))</f>
        <v>40574.837780930859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Daingerfield - Jenkins REC 69 kV CB Repl**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2160.6537322540244</v>
      </c>
      <c r="N89" s="392">
        <f>+N88-N87</f>
        <v>2160.6537322540244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TP2008017</v>
      </c>
      <c r="E91" s="76" t="str">
        <f>E9</f>
        <v xml:space="preserve">SPP Project ID = </v>
      </c>
      <c r="F91" s="463">
        <f>F9</f>
        <v>227</v>
      </c>
      <c r="G91" s="76"/>
      <c r="H91" s="76"/>
      <c r="I91" s="76"/>
      <c r="J91" s="95"/>
      <c r="Q91" s="1"/>
    </row>
    <row r="92" spans="1:17" ht="13">
      <c r="C92" s="34" t="s">
        <v>51</v>
      </c>
      <c r="D92" s="363">
        <f>IF(D11=I10,0,D10)</f>
        <v>389326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  <c r="Q92" s="1"/>
    </row>
    <row r="93" spans="1:17" ht="12.5">
      <c r="C93" s="34" t="s">
        <v>54</v>
      </c>
      <c r="D93" s="88">
        <f>IF(D11=I10,"",D11)</f>
        <v>2008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4">
        <f>IF(D11=I10,"",D12)</f>
        <v>12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8848.318181818182</v>
      </c>
      <c r="K96" s="293"/>
      <c r="L96" s="293"/>
      <c r="M96" s="293"/>
      <c r="N96" s="293"/>
      <c r="O96" s="293"/>
      <c r="P96" s="1"/>
      <c r="Q96" s="1"/>
    </row>
    <row r="97" spans="1:17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 ht="12.5">
      <c r="C99" s="50">
        <f>IF(D93= "","-",D93)</f>
        <v>2008</v>
      </c>
      <c r="D99" s="133">
        <v>0</v>
      </c>
      <c r="E99" s="376">
        <v>0</v>
      </c>
      <c r="F99" s="137">
        <v>0</v>
      </c>
      <c r="G99" s="140">
        <v>0</v>
      </c>
      <c r="H99" s="397">
        <v>0</v>
      </c>
      <c r="I99" s="398">
        <v>0</v>
      </c>
      <c r="J99" s="154">
        <f t="shared" ref="J99:J130" si="34">+I99-H99</f>
        <v>0</v>
      </c>
      <c r="K99" s="54"/>
      <c r="L99" s="112">
        <v>0</v>
      </c>
      <c r="M99" s="53">
        <f t="shared" ref="M99:M130" si="35">IF(L99&lt;&gt;0,+H99-L99,0)</f>
        <v>0</v>
      </c>
      <c r="N99" s="112">
        <v>0</v>
      </c>
      <c r="O99" s="53">
        <f t="shared" ref="O99:O130" si="36">IF(N99&lt;&gt;0,+I99-N99,0)</f>
        <v>0</v>
      </c>
      <c r="P99" s="53">
        <f t="shared" ref="P99:P130" si="37">+O99-M99</f>
        <v>0</v>
      </c>
      <c r="Q99" s="1"/>
    </row>
    <row r="100" spans="1:17" ht="12.5">
      <c r="B100" s="7" t="str">
        <f>IF(D100=F99,"","IU")</f>
        <v/>
      </c>
      <c r="C100" s="50">
        <f>IF(D93="","-",+C99+1)</f>
        <v>2009</v>
      </c>
      <c r="D100" s="133">
        <v>0</v>
      </c>
      <c r="E100" s="376">
        <v>0</v>
      </c>
      <c r="F100" s="137">
        <v>0</v>
      </c>
      <c r="G100" s="137">
        <v>0</v>
      </c>
      <c r="H100" s="376">
        <v>0</v>
      </c>
      <c r="I100" s="375">
        <v>0</v>
      </c>
      <c r="J100" s="154">
        <f t="shared" si="34"/>
        <v>0</v>
      </c>
      <c r="K100" s="54"/>
      <c r="L100" s="113">
        <f t="shared" ref="L100:L105" si="38">H100</f>
        <v>0</v>
      </c>
      <c r="M100" s="54">
        <f t="shared" si="35"/>
        <v>0</v>
      </c>
      <c r="N100" s="113">
        <f t="shared" ref="N100:N105" si="39">I100</f>
        <v>0</v>
      </c>
      <c r="O100" s="54">
        <f t="shared" si="36"/>
        <v>0</v>
      </c>
      <c r="P100" s="54">
        <f t="shared" si="37"/>
        <v>0</v>
      </c>
      <c r="Q100" s="1"/>
    </row>
    <row r="101" spans="1:17" ht="12.5">
      <c r="B101" s="7" t="str">
        <f t="shared" ref="B101:B154" si="40">IF(D101=F100,"","IU")</f>
        <v>IU</v>
      </c>
      <c r="C101" s="50">
        <f>IF(D93="","-",+C100+1)</f>
        <v>2010</v>
      </c>
      <c r="D101" s="133">
        <v>389326</v>
      </c>
      <c r="E101" s="376">
        <v>10245</v>
      </c>
      <c r="F101" s="137">
        <v>379081</v>
      </c>
      <c r="G101" s="137">
        <v>384203.5</v>
      </c>
      <c r="H101" s="376">
        <v>73671.650548973092</v>
      </c>
      <c r="I101" s="375">
        <v>73671.650548973092</v>
      </c>
      <c r="J101" s="154">
        <f t="shared" si="34"/>
        <v>0</v>
      </c>
      <c r="K101" s="54"/>
      <c r="L101" s="113">
        <f t="shared" si="38"/>
        <v>73671.650548973092</v>
      </c>
      <c r="M101" s="54">
        <f t="shared" si="35"/>
        <v>0</v>
      </c>
      <c r="N101" s="113">
        <f t="shared" si="39"/>
        <v>73671.650548973092</v>
      </c>
      <c r="O101" s="54">
        <f t="shared" si="36"/>
        <v>0</v>
      </c>
      <c r="P101" s="54">
        <f t="shared" si="37"/>
        <v>0</v>
      </c>
      <c r="Q101" s="1"/>
    </row>
    <row r="102" spans="1:17" ht="12.5">
      <c r="B102" s="7" t="str">
        <f t="shared" si="40"/>
        <v/>
      </c>
      <c r="C102" s="50">
        <f>IF(D93="","-",+C101+1)</f>
        <v>2011</v>
      </c>
      <c r="D102" s="133">
        <v>379081</v>
      </c>
      <c r="E102" s="377">
        <v>9269.6666666666661</v>
      </c>
      <c r="F102" s="137">
        <v>369811.33333333331</v>
      </c>
      <c r="G102" s="137">
        <v>374446.16666666663</v>
      </c>
      <c r="H102" s="376">
        <v>65578.844240085236</v>
      </c>
      <c r="I102" s="375">
        <v>65578.844240085236</v>
      </c>
      <c r="J102" s="154">
        <f t="shared" si="34"/>
        <v>0</v>
      </c>
      <c r="K102" s="54"/>
      <c r="L102" s="113">
        <f t="shared" si="38"/>
        <v>65578.844240085236</v>
      </c>
      <c r="M102" s="54">
        <f t="shared" si="35"/>
        <v>0</v>
      </c>
      <c r="N102" s="113">
        <f t="shared" si="39"/>
        <v>65578.844240085236</v>
      </c>
      <c r="O102" s="54">
        <f t="shared" si="36"/>
        <v>0</v>
      </c>
      <c r="P102" s="54">
        <f t="shared" si="37"/>
        <v>0</v>
      </c>
      <c r="Q102" s="1"/>
    </row>
    <row r="103" spans="1:17" ht="12.5">
      <c r="B103" s="7" t="str">
        <f t="shared" si="40"/>
        <v/>
      </c>
      <c r="C103" s="50">
        <f>IF(D93="","-",+C102+1)</f>
        <v>2012</v>
      </c>
      <c r="D103" s="133">
        <v>369811.33333333331</v>
      </c>
      <c r="E103" s="376">
        <v>9269.6666666666661</v>
      </c>
      <c r="F103" s="137">
        <v>360541.66666666663</v>
      </c>
      <c r="G103" s="137">
        <v>365176.5</v>
      </c>
      <c r="H103" s="376">
        <v>63006.82444122398</v>
      </c>
      <c r="I103" s="375">
        <v>63006.82444122398</v>
      </c>
      <c r="J103" s="154">
        <f t="shared" si="34"/>
        <v>0</v>
      </c>
      <c r="K103" s="54"/>
      <c r="L103" s="113">
        <f t="shared" si="38"/>
        <v>63006.82444122398</v>
      </c>
      <c r="M103" s="54">
        <f t="shared" si="35"/>
        <v>0</v>
      </c>
      <c r="N103" s="113">
        <f t="shared" si="39"/>
        <v>63006.82444122398</v>
      </c>
      <c r="O103" s="54">
        <f t="shared" si="36"/>
        <v>0</v>
      </c>
      <c r="P103" s="54">
        <f t="shared" si="37"/>
        <v>0</v>
      </c>
      <c r="Q103" s="1"/>
    </row>
    <row r="104" spans="1:17" ht="12.5">
      <c r="B104" s="7" t="str">
        <f t="shared" si="40"/>
        <v/>
      </c>
      <c r="C104" s="50">
        <f>IF(D93="","-",+C103+1)</f>
        <v>2013</v>
      </c>
      <c r="D104" s="133">
        <v>360541.66666666663</v>
      </c>
      <c r="E104" s="376">
        <v>9269.6666666666661</v>
      </c>
      <c r="F104" s="137">
        <v>351271.99999999994</v>
      </c>
      <c r="G104" s="137">
        <v>355906.83333333326</v>
      </c>
      <c r="H104" s="376">
        <v>57420.908011898166</v>
      </c>
      <c r="I104" s="375">
        <v>57420.908011898166</v>
      </c>
      <c r="J104" s="154">
        <v>0</v>
      </c>
      <c r="K104" s="54"/>
      <c r="L104" s="113">
        <f t="shared" si="38"/>
        <v>57420.908011898166</v>
      </c>
      <c r="M104" s="54">
        <f t="shared" ref="M104:M109" si="41">IF(L104&lt;&gt;0,+H104-L104,0)</f>
        <v>0</v>
      </c>
      <c r="N104" s="113">
        <f t="shared" si="39"/>
        <v>57420.908011898166</v>
      </c>
      <c r="O104" s="54">
        <f t="shared" ref="O104:O109" si="42">IF(N104&lt;&gt;0,+I104-N104,0)</f>
        <v>0</v>
      </c>
      <c r="P104" s="54">
        <f t="shared" ref="P104:P109" si="43">+O104-M104</f>
        <v>0</v>
      </c>
      <c r="Q104" s="1"/>
    </row>
    <row r="105" spans="1:17" ht="12.5">
      <c r="B105" s="7" t="str">
        <f t="shared" si="40"/>
        <v/>
      </c>
      <c r="C105" s="50">
        <f>IF(D93="","-",+C104+1)</f>
        <v>2014</v>
      </c>
      <c r="D105" s="133">
        <v>351271.99999999994</v>
      </c>
      <c r="E105" s="376">
        <v>9269.6666666666661</v>
      </c>
      <c r="F105" s="137">
        <v>342002.33333333326</v>
      </c>
      <c r="G105" s="137">
        <v>346637.16666666663</v>
      </c>
      <c r="H105" s="376">
        <v>56385.789642955569</v>
      </c>
      <c r="I105" s="375">
        <v>56385.789642955569</v>
      </c>
      <c r="J105" s="54">
        <v>0</v>
      </c>
      <c r="K105" s="54"/>
      <c r="L105" s="113">
        <f t="shared" si="38"/>
        <v>56385.789642955569</v>
      </c>
      <c r="M105" s="54">
        <f t="shared" si="41"/>
        <v>0</v>
      </c>
      <c r="N105" s="113">
        <f t="shared" si="39"/>
        <v>56385.789642955569</v>
      </c>
      <c r="O105" s="54">
        <f t="shared" si="42"/>
        <v>0</v>
      </c>
      <c r="P105" s="54">
        <f t="shared" si="43"/>
        <v>0</v>
      </c>
      <c r="Q105" s="1"/>
    </row>
    <row r="106" spans="1:17" ht="12.5">
      <c r="B106" s="7" t="str">
        <f t="shared" si="40"/>
        <v/>
      </c>
      <c r="C106" s="50">
        <f>IF(D93="","-",+C105+1)</f>
        <v>2015</v>
      </c>
      <c r="D106" s="133">
        <v>342002.33333333326</v>
      </c>
      <c r="E106" s="376">
        <v>9269.6666666666661</v>
      </c>
      <c r="F106" s="137">
        <v>332732.66666666657</v>
      </c>
      <c r="G106" s="137">
        <v>337367.49999999988</v>
      </c>
      <c r="H106" s="376">
        <v>53724.203573157785</v>
      </c>
      <c r="I106" s="375">
        <v>53724.203573157785</v>
      </c>
      <c r="J106" s="54">
        <f t="shared" si="34"/>
        <v>0</v>
      </c>
      <c r="K106" s="54"/>
      <c r="L106" s="113">
        <f t="shared" ref="L106:L111" si="44">H106</f>
        <v>53724.203573157785</v>
      </c>
      <c r="M106" s="54">
        <f t="shared" si="41"/>
        <v>0</v>
      </c>
      <c r="N106" s="113">
        <f t="shared" ref="N106:N111" si="45">I106</f>
        <v>53724.203573157785</v>
      </c>
      <c r="O106" s="54">
        <f t="shared" si="42"/>
        <v>0</v>
      </c>
      <c r="P106" s="54">
        <f t="shared" si="43"/>
        <v>0</v>
      </c>
      <c r="Q106" s="1"/>
    </row>
    <row r="107" spans="1:17" ht="12.5">
      <c r="B107" s="7" t="str">
        <f t="shared" si="40"/>
        <v/>
      </c>
      <c r="C107" s="50">
        <f>IF(D93="","-",+C106+1)</f>
        <v>2016</v>
      </c>
      <c r="D107" s="133">
        <v>332732.66666666657</v>
      </c>
      <c r="E107" s="376">
        <v>9054.0930232558148</v>
      </c>
      <c r="F107" s="137">
        <v>323678.57364341075</v>
      </c>
      <c r="G107" s="137">
        <v>328205.62015503866</v>
      </c>
      <c r="H107" s="376">
        <v>50719.792658112536</v>
      </c>
      <c r="I107" s="375">
        <v>50719.792658112536</v>
      </c>
      <c r="J107" s="54">
        <f t="shared" si="34"/>
        <v>0</v>
      </c>
      <c r="K107" s="54"/>
      <c r="L107" s="113">
        <f t="shared" si="44"/>
        <v>50719.792658112536</v>
      </c>
      <c r="M107" s="54">
        <f t="shared" si="41"/>
        <v>0</v>
      </c>
      <c r="N107" s="113">
        <f t="shared" si="45"/>
        <v>50719.792658112536</v>
      </c>
      <c r="O107" s="54">
        <f t="shared" si="42"/>
        <v>0</v>
      </c>
      <c r="P107" s="54">
        <f t="shared" si="43"/>
        <v>0</v>
      </c>
      <c r="Q107" s="1"/>
    </row>
    <row r="108" spans="1:17" ht="12.5">
      <c r="B108" s="7" t="str">
        <f t="shared" si="40"/>
        <v/>
      </c>
      <c r="C108" s="50">
        <f>IF(D93="","-",+C107+1)</f>
        <v>2017</v>
      </c>
      <c r="D108" s="133">
        <v>323678.57364341075</v>
      </c>
      <c r="E108" s="376">
        <v>9269.6666666666661</v>
      </c>
      <c r="F108" s="137">
        <v>314408.90697674407</v>
      </c>
      <c r="G108" s="137">
        <v>319043.74031007744</v>
      </c>
      <c r="H108" s="376">
        <v>48024.374867081598</v>
      </c>
      <c r="I108" s="375">
        <v>48024.374867081598</v>
      </c>
      <c r="J108" s="54">
        <f t="shared" si="34"/>
        <v>0</v>
      </c>
      <c r="K108" s="54"/>
      <c r="L108" s="113">
        <f t="shared" si="44"/>
        <v>48024.374867081598</v>
      </c>
      <c r="M108" s="54">
        <f t="shared" si="41"/>
        <v>0</v>
      </c>
      <c r="N108" s="113">
        <f t="shared" si="45"/>
        <v>48024.374867081598</v>
      </c>
      <c r="O108" s="54">
        <f t="shared" si="42"/>
        <v>0</v>
      </c>
      <c r="P108" s="54">
        <f t="shared" si="43"/>
        <v>0</v>
      </c>
      <c r="Q108" s="1"/>
    </row>
    <row r="109" spans="1:17" ht="12.5">
      <c r="B109" s="7" t="str">
        <f t="shared" si="40"/>
        <v/>
      </c>
      <c r="C109" s="50">
        <f>IF(D93="","-",+C108+1)</f>
        <v>2018</v>
      </c>
      <c r="D109" s="133">
        <v>314408.90697674407</v>
      </c>
      <c r="E109" s="376">
        <v>9269.6666666666661</v>
      </c>
      <c r="F109" s="137">
        <v>305139.24031007738</v>
      </c>
      <c r="G109" s="137">
        <v>309774.07364341069</v>
      </c>
      <c r="H109" s="376">
        <v>41983.22941148797</v>
      </c>
      <c r="I109" s="375">
        <v>41983.22941148797</v>
      </c>
      <c r="J109" s="54">
        <f t="shared" si="34"/>
        <v>0</v>
      </c>
      <c r="K109" s="54"/>
      <c r="L109" s="113">
        <f t="shared" si="44"/>
        <v>41983.22941148797</v>
      </c>
      <c r="M109" s="54">
        <f t="shared" si="41"/>
        <v>0</v>
      </c>
      <c r="N109" s="113">
        <f t="shared" si="45"/>
        <v>41983.22941148797</v>
      </c>
      <c r="O109" s="54">
        <f t="shared" si="42"/>
        <v>0</v>
      </c>
      <c r="P109" s="54">
        <f t="shared" si="43"/>
        <v>0</v>
      </c>
      <c r="Q109" s="1"/>
    </row>
    <row r="110" spans="1:17" ht="12.5">
      <c r="B110" s="7" t="str">
        <f t="shared" si="40"/>
        <v/>
      </c>
      <c r="C110" s="50">
        <f>IF(D93="","-",+C109+1)</f>
        <v>2019</v>
      </c>
      <c r="D110" s="133">
        <v>305139.24031007738</v>
      </c>
      <c r="E110" s="376">
        <v>9054.0930232558148</v>
      </c>
      <c r="F110" s="137">
        <v>296085.14728682156</v>
      </c>
      <c r="G110" s="137">
        <v>300612.19379844947</v>
      </c>
      <c r="H110" s="376">
        <v>41231.786544650007</v>
      </c>
      <c r="I110" s="375">
        <v>41231.786544650007</v>
      </c>
      <c r="J110" s="54">
        <f t="shared" si="34"/>
        <v>0</v>
      </c>
      <c r="K110" s="54"/>
      <c r="L110" s="113">
        <f t="shared" si="44"/>
        <v>41231.786544650007</v>
      </c>
      <c r="M110" s="54">
        <f t="shared" ref="M110" si="46">IF(L110&lt;&gt;0,+H110-L110,0)</f>
        <v>0</v>
      </c>
      <c r="N110" s="113">
        <f t="shared" si="45"/>
        <v>41231.786544650007</v>
      </c>
      <c r="O110" s="54">
        <f t="shared" si="36"/>
        <v>0</v>
      </c>
      <c r="P110" s="54">
        <f t="shared" si="37"/>
        <v>0</v>
      </c>
      <c r="Q110" s="1"/>
    </row>
    <row r="111" spans="1:17" ht="12.5">
      <c r="B111" s="7" t="str">
        <f t="shared" si="40"/>
        <v/>
      </c>
      <c r="C111" s="50">
        <f>IF(D93="","-",+C110+1)</f>
        <v>2020</v>
      </c>
      <c r="D111" s="133">
        <v>296085.14728682156</v>
      </c>
      <c r="E111" s="376">
        <v>9269.6666666666661</v>
      </c>
      <c r="F111" s="137">
        <v>286815.48062015488</v>
      </c>
      <c r="G111" s="137">
        <v>291450.31395348825</v>
      </c>
      <c r="H111" s="376">
        <v>40622.093922186577</v>
      </c>
      <c r="I111" s="375">
        <v>40622.093922186577</v>
      </c>
      <c r="J111" s="54">
        <f t="shared" si="34"/>
        <v>0</v>
      </c>
      <c r="K111" s="54"/>
      <c r="L111" s="113">
        <f t="shared" si="44"/>
        <v>40622.093922186577</v>
      </c>
      <c r="M111" s="54">
        <f t="shared" ref="M111" si="47">IF(L111&lt;&gt;0,+H111-L111,0)</f>
        <v>0</v>
      </c>
      <c r="N111" s="113">
        <f t="shared" si="45"/>
        <v>40622.093922186577</v>
      </c>
      <c r="O111" s="54">
        <f t="shared" si="36"/>
        <v>0</v>
      </c>
      <c r="P111" s="54">
        <f t="shared" si="37"/>
        <v>0</v>
      </c>
      <c r="Q111" s="1"/>
    </row>
    <row r="112" spans="1:17" ht="12.5">
      <c r="B112" s="7" t="str">
        <f t="shared" si="40"/>
        <v/>
      </c>
      <c r="C112" s="50">
        <f>IF(D93="","-",+C111+1)</f>
        <v>2021</v>
      </c>
      <c r="D112" s="133">
        <v>286815.48062015488</v>
      </c>
      <c r="E112" s="376">
        <v>9495.7560975609758</v>
      </c>
      <c r="F112" s="137">
        <v>277319.7245225939</v>
      </c>
      <c r="G112" s="137">
        <v>282067.60257137439</v>
      </c>
      <c r="H112" s="376">
        <v>41514.441787998621</v>
      </c>
      <c r="I112" s="375">
        <v>41514.441787998621</v>
      </c>
      <c r="J112" s="54">
        <f t="shared" si="34"/>
        <v>0</v>
      </c>
      <c r="K112" s="54"/>
      <c r="L112" s="113">
        <f t="shared" ref="L112" si="48">H112</f>
        <v>41514.441787998621</v>
      </c>
      <c r="M112" s="54">
        <f t="shared" ref="M112" si="49">IF(L112&lt;&gt;0,+H112-L112,0)</f>
        <v>0</v>
      </c>
      <c r="N112" s="113">
        <f t="shared" ref="N112" si="50">I112</f>
        <v>41514.441787998621</v>
      </c>
      <c r="O112" s="54">
        <f t="shared" si="36"/>
        <v>0</v>
      </c>
      <c r="P112" s="54">
        <f t="shared" si="37"/>
        <v>0</v>
      </c>
      <c r="Q112" s="1"/>
    </row>
    <row r="113" spans="2:17" ht="12.5">
      <c r="B113" s="7" t="str">
        <f t="shared" si="40"/>
        <v/>
      </c>
      <c r="C113" s="50">
        <f>IF(D93="","-",+C112+1)</f>
        <v>2022</v>
      </c>
      <c r="D113" s="133">
        <v>277319.7245225939</v>
      </c>
      <c r="E113" s="376">
        <v>9269.6666666666661</v>
      </c>
      <c r="F113" s="137">
        <v>268050.05785592721</v>
      </c>
      <c r="G113" s="137">
        <v>272684.89118926052</v>
      </c>
      <c r="H113" s="376">
        <v>41298.645816011769</v>
      </c>
      <c r="I113" s="375">
        <v>41298.645816011769</v>
      </c>
      <c r="J113" s="54">
        <f t="shared" si="34"/>
        <v>0</v>
      </c>
      <c r="K113" s="54"/>
      <c r="L113" s="113">
        <f t="shared" ref="L113" si="51">H113</f>
        <v>41298.645816011769</v>
      </c>
      <c r="M113" s="54">
        <f t="shared" ref="M113" si="52">IF(L113&lt;&gt;0,+H113-L113,0)</f>
        <v>0</v>
      </c>
      <c r="N113" s="113">
        <f t="shared" ref="N113" si="53">I113</f>
        <v>41298.645816011769</v>
      </c>
      <c r="O113" s="54">
        <f t="shared" ref="O113" si="54">IF(N113&lt;&gt;0,+I113-N113,0)</f>
        <v>0</v>
      </c>
      <c r="P113" s="54">
        <f t="shared" ref="P113" si="55">+O113-M113</f>
        <v>0</v>
      </c>
      <c r="Q113" s="1"/>
    </row>
    <row r="114" spans="2:17" ht="12.5">
      <c r="B114" s="7" t="str">
        <f t="shared" si="40"/>
        <v/>
      </c>
      <c r="C114" s="50">
        <f>IF(D93="","-",+C113+1)</f>
        <v>2023</v>
      </c>
      <c r="D114" s="133">
        <v>268050.05785592721</v>
      </c>
      <c r="E114" s="376">
        <v>8848.318181818182</v>
      </c>
      <c r="F114" s="137">
        <v>259201.73967410903</v>
      </c>
      <c r="G114" s="137">
        <v>263625.89876501809</v>
      </c>
      <c r="H114" s="376">
        <v>41370.542002717222</v>
      </c>
      <c r="I114" s="375">
        <v>41370.542002717222</v>
      </c>
      <c r="J114" s="54">
        <f t="shared" si="34"/>
        <v>0</v>
      </c>
      <c r="K114" s="54"/>
      <c r="L114" s="113">
        <f t="shared" ref="L114" si="56">H114</f>
        <v>41370.542002717222</v>
      </c>
      <c r="M114" s="54">
        <f t="shared" ref="M114" si="57">IF(L114&lt;&gt;0,+H114-L114,0)</f>
        <v>0</v>
      </c>
      <c r="N114" s="113">
        <f t="shared" ref="N114" si="58">I114</f>
        <v>41370.542002717222</v>
      </c>
      <c r="O114" s="54">
        <f t="shared" ref="O114" si="59">IF(N114&lt;&gt;0,+I114-N114,0)</f>
        <v>0</v>
      </c>
      <c r="P114" s="54">
        <f t="shared" ref="P114" si="60">+O114-M114</f>
        <v>0</v>
      </c>
      <c r="Q114" s="1"/>
    </row>
    <row r="115" spans="2:17" ht="12.5">
      <c r="B115" s="7" t="str">
        <f t="shared" si="40"/>
        <v/>
      </c>
      <c r="C115" s="50">
        <f>IF(D93="","-",+C114+1)</f>
        <v>2024</v>
      </c>
      <c r="D115" s="12">
        <f>IF(F114+SUM(E$99:E114)=D$92,F114,D$92-SUM(E$99:E114))</f>
        <v>259201.73967410903</v>
      </c>
      <c r="E115" s="378">
        <f>IF(+J96&lt;F114,J96,D115)</f>
        <v>8848.318181818182</v>
      </c>
      <c r="F115" s="55">
        <f t="shared" ref="F115:F130" si="61">+D115-E115</f>
        <v>250353.42149229086</v>
      </c>
      <c r="G115" s="55">
        <f t="shared" ref="G115:G130" si="62">+(F115+D115)/2</f>
        <v>254777.58058319995</v>
      </c>
      <c r="H115" s="380">
        <f t="shared" ref="H115:H154" si="63">+J$94*G115+E115</f>
        <v>40574.837780930859</v>
      </c>
      <c r="I115" s="399">
        <f t="shared" ref="I115:I154" si="64">+J$95*G115+E115</f>
        <v>40574.837780930859</v>
      </c>
      <c r="J115" s="54">
        <f t="shared" si="34"/>
        <v>0</v>
      </c>
      <c r="K115" s="54"/>
      <c r="L115" s="129"/>
      <c r="M115" s="54">
        <f t="shared" si="35"/>
        <v>0</v>
      </c>
      <c r="N115" s="129"/>
      <c r="O115" s="54">
        <f t="shared" si="36"/>
        <v>0</v>
      </c>
      <c r="P115" s="54">
        <f t="shared" si="37"/>
        <v>0</v>
      </c>
      <c r="Q115" s="1"/>
    </row>
    <row r="116" spans="2:17" ht="12.5">
      <c r="B116" s="7" t="str">
        <f t="shared" si="40"/>
        <v/>
      </c>
      <c r="C116" s="50">
        <f>IF(D93="","-",+C115+1)</f>
        <v>2025</v>
      </c>
      <c r="D116" s="12">
        <f>IF(F115+SUM(E$99:E115)=D$92,F115,D$92-SUM(E$99:E115))</f>
        <v>250353.42149229086</v>
      </c>
      <c r="E116" s="378">
        <f>IF(+J96&lt;F115,J96,D116)</f>
        <v>8848.318181818182</v>
      </c>
      <c r="F116" s="55">
        <f t="shared" si="61"/>
        <v>241505.10331047268</v>
      </c>
      <c r="G116" s="55">
        <f t="shared" si="62"/>
        <v>245929.26240138177</v>
      </c>
      <c r="H116" s="380">
        <f t="shared" si="63"/>
        <v>39472.989103460721</v>
      </c>
      <c r="I116" s="399">
        <f t="shared" si="64"/>
        <v>39472.989103460721</v>
      </c>
      <c r="J116" s="54">
        <f t="shared" si="34"/>
        <v>0</v>
      </c>
      <c r="K116" s="54"/>
      <c r="L116" s="129"/>
      <c r="M116" s="54">
        <f t="shared" si="35"/>
        <v>0</v>
      </c>
      <c r="N116" s="129"/>
      <c r="O116" s="54">
        <f t="shared" si="36"/>
        <v>0</v>
      </c>
      <c r="P116" s="54">
        <f t="shared" si="37"/>
        <v>0</v>
      </c>
      <c r="Q116" s="1"/>
    </row>
    <row r="117" spans="2:17" ht="12.5">
      <c r="B117" s="7" t="str">
        <f t="shared" si="40"/>
        <v/>
      </c>
      <c r="C117" s="50">
        <f>IF(D93="","-",+C116+1)</f>
        <v>2026</v>
      </c>
      <c r="D117" s="12">
        <f>IF(F116+SUM(E$99:E116)=D$92,F116,D$92-SUM(E$99:E116))</f>
        <v>241505.10331047268</v>
      </c>
      <c r="E117" s="378">
        <f>IF(+J96&lt;F116,J96,D117)</f>
        <v>8848.318181818182</v>
      </c>
      <c r="F117" s="55">
        <f t="shared" si="61"/>
        <v>232656.7851286545</v>
      </c>
      <c r="G117" s="55">
        <f t="shared" si="62"/>
        <v>237080.94421956359</v>
      </c>
      <c r="H117" s="380">
        <f t="shared" si="63"/>
        <v>38371.14042599059</v>
      </c>
      <c r="I117" s="399">
        <f t="shared" si="64"/>
        <v>38371.14042599059</v>
      </c>
      <c r="J117" s="54">
        <f t="shared" si="34"/>
        <v>0</v>
      </c>
      <c r="K117" s="54"/>
      <c r="L117" s="129"/>
      <c r="M117" s="54">
        <f t="shared" si="35"/>
        <v>0</v>
      </c>
      <c r="N117" s="129"/>
      <c r="O117" s="54">
        <f t="shared" si="36"/>
        <v>0</v>
      </c>
      <c r="P117" s="54">
        <f t="shared" si="37"/>
        <v>0</v>
      </c>
      <c r="Q117" s="1"/>
    </row>
    <row r="118" spans="2:17" ht="12.5">
      <c r="B118" s="7" t="str">
        <f t="shared" si="40"/>
        <v/>
      </c>
      <c r="C118" s="50">
        <f>IF(D93="","-",+C117+1)</f>
        <v>2027</v>
      </c>
      <c r="D118" s="12">
        <f>IF(F117+SUM(E$99:E117)=D$92,F117,D$92-SUM(E$99:E117))</f>
        <v>232656.7851286545</v>
      </c>
      <c r="E118" s="378">
        <f>IF(+J96&lt;F117,J96,D118)</f>
        <v>8848.318181818182</v>
      </c>
      <c r="F118" s="55">
        <f t="shared" si="61"/>
        <v>223808.46694683633</v>
      </c>
      <c r="G118" s="55">
        <f t="shared" si="62"/>
        <v>228232.62603774542</v>
      </c>
      <c r="H118" s="380">
        <f t="shared" si="63"/>
        <v>37269.291748520453</v>
      </c>
      <c r="I118" s="399">
        <f t="shared" si="64"/>
        <v>37269.291748520453</v>
      </c>
      <c r="J118" s="54">
        <f t="shared" si="34"/>
        <v>0</v>
      </c>
      <c r="K118" s="54"/>
      <c r="L118" s="129"/>
      <c r="M118" s="54">
        <f t="shared" si="35"/>
        <v>0</v>
      </c>
      <c r="N118" s="129"/>
      <c r="O118" s="54">
        <f t="shared" si="36"/>
        <v>0</v>
      </c>
      <c r="P118" s="54">
        <f t="shared" si="37"/>
        <v>0</v>
      </c>
      <c r="Q118" s="1"/>
    </row>
    <row r="119" spans="2:17" ht="12.5">
      <c r="B119" s="7" t="str">
        <f t="shared" si="40"/>
        <v/>
      </c>
      <c r="C119" s="50">
        <f>IF(D93="","-",+C118+1)</f>
        <v>2028</v>
      </c>
      <c r="D119" s="12">
        <f>IF(F118+SUM(E$99:E118)=D$92,F118,D$92-SUM(E$99:E118))</f>
        <v>223808.46694683633</v>
      </c>
      <c r="E119" s="378">
        <f>IF(+J96&lt;F118,J96,D119)</f>
        <v>8848.318181818182</v>
      </c>
      <c r="F119" s="55">
        <f t="shared" si="61"/>
        <v>214960.14876501815</v>
      </c>
      <c r="G119" s="55">
        <f t="shared" si="62"/>
        <v>219384.30785592724</v>
      </c>
      <c r="H119" s="380">
        <f t="shared" si="63"/>
        <v>36167.443071050322</v>
      </c>
      <c r="I119" s="399">
        <f t="shared" si="64"/>
        <v>36167.443071050322</v>
      </c>
      <c r="J119" s="54">
        <f t="shared" si="34"/>
        <v>0</v>
      </c>
      <c r="K119" s="54"/>
      <c r="L119" s="129"/>
      <c r="M119" s="54">
        <f t="shared" si="35"/>
        <v>0</v>
      </c>
      <c r="N119" s="129"/>
      <c r="O119" s="54">
        <f t="shared" si="36"/>
        <v>0</v>
      </c>
      <c r="P119" s="54">
        <f t="shared" si="37"/>
        <v>0</v>
      </c>
      <c r="Q119" s="1"/>
    </row>
    <row r="120" spans="2:17" ht="12.5">
      <c r="B120" s="7" t="str">
        <f t="shared" si="40"/>
        <v/>
      </c>
      <c r="C120" s="50">
        <f>IF(D93="","-",+C119+1)</f>
        <v>2029</v>
      </c>
      <c r="D120" s="12">
        <f>IF(F119+SUM(E$99:E119)=D$92,F119,D$92-SUM(E$99:E119))</f>
        <v>214960.14876501815</v>
      </c>
      <c r="E120" s="378">
        <f>IF(+J96&lt;F119,J96,D120)</f>
        <v>8848.318181818182</v>
      </c>
      <c r="F120" s="55">
        <f t="shared" si="61"/>
        <v>206111.83058319998</v>
      </c>
      <c r="G120" s="55">
        <f t="shared" si="62"/>
        <v>210535.98967410906</v>
      </c>
      <c r="H120" s="380">
        <f t="shared" si="63"/>
        <v>35065.594393580184</v>
      </c>
      <c r="I120" s="399">
        <f t="shared" si="64"/>
        <v>35065.594393580184</v>
      </c>
      <c r="J120" s="54">
        <f t="shared" si="34"/>
        <v>0</v>
      </c>
      <c r="K120" s="54"/>
      <c r="L120" s="129"/>
      <c r="M120" s="54">
        <f t="shared" si="35"/>
        <v>0</v>
      </c>
      <c r="N120" s="129"/>
      <c r="O120" s="54">
        <f t="shared" si="36"/>
        <v>0</v>
      </c>
      <c r="P120" s="54">
        <f t="shared" si="37"/>
        <v>0</v>
      </c>
      <c r="Q120" s="1"/>
    </row>
    <row r="121" spans="2:17" ht="12.5">
      <c r="B121" s="7" t="str">
        <f t="shared" si="40"/>
        <v/>
      </c>
      <c r="C121" s="50">
        <f>IF(D93="","-",+C120+1)</f>
        <v>2030</v>
      </c>
      <c r="D121" s="12">
        <f>IF(F120+SUM(E$99:E120)=D$92,F120,D$92-SUM(E$99:E120))</f>
        <v>206111.83058319998</v>
      </c>
      <c r="E121" s="378">
        <f>IF(+J96&lt;F120,J96,D121)</f>
        <v>8848.318181818182</v>
      </c>
      <c r="F121" s="55">
        <f t="shared" si="61"/>
        <v>197263.5124013818</v>
      </c>
      <c r="G121" s="55">
        <f t="shared" si="62"/>
        <v>201687.67149229089</v>
      </c>
      <c r="H121" s="380">
        <f t="shared" si="63"/>
        <v>33963.745716110054</v>
      </c>
      <c r="I121" s="399">
        <f t="shared" si="64"/>
        <v>33963.745716110054</v>
      </c>
      <c r="J121" s="54">
        <f t="shared" si="34"/>
        <v>0</v>
      </c>
      <c r="K121" s="54"/>
      <c r="L121" s="129"/>
      <c r="M121" s="54">
        <f t="shared" si="35"/>
        <v>0</v>
      </c>
      <c r="N121" s="129"/>
      <c r="O121" s="54">
        <f t="shared" si="36"/>
        <v>0</v>
      </c>
      <c r="P121" s="54">
        <f t="shared" si="37"/>
        <v>0</v>
      </c>
      <c r="Q121" s="1"/>
    </row>
    <row r="122" spans="2:17" ht="12.5">
      <c r="B122" s="7" t="str">
        <f t="shared" si="40"/>
        <v/>
      </c>
      <c r="C122" s="50">
        <f>IF(D93="","-",+C121+1)</f>
        <v>2031</v>
      </c>
      <c r="D122" s="12">
        <f>IF(F121+SUM(E$99:E121)=D$92,F121,D$92-SUM(E$99:E121))</f>
        <v>197263.5124013818</v>
      </c>
      <c r="E122" s="378">
        <f>IF(+J96&lt;F121,J96,D122)</f>
        <v>8848.318181818182</v>
      </c>
      <c r="F122" s="55">
        <f t="shared" si="61"/>
        <v>188415.19421956362</v>
      </c>
      <c r="G122" s="55">
        <f t="shared" si="62"/>
        <v>192839.35331047271</v>
      </c>
      <c r="H122" s="380">
        <f t="shared" si="63"/>
        <v>32861.897038639916</v>
      </c>
      <c r="I122" s="399">
        <f t="shared" si="64"/>
        <v>32861.897038639916</v>
      </c>
      <c r="J122" s="54">
        <f t="shared" si="34"/>
        <v>0</v>
      </c>
      <c r="K122" s="54"/>
      <c r="L122" s="129"/>
      <c r="M122" s="54">
        <f t="shared" si="35"/>
        <v>0</v>
      </c>
      <c r="N122" s="129"/>
      <c r="O122" s="54">
        <f t="shared" si="36"/>
        <v>0</v>
      </c>
      <c r="P122" s="54">
        <f t="shared" si="37"/>
        <v>0</v>
      </c>
      <c r="Q122" s="1"/>
    </row>
    <row r="123" spans="2:17" ht="12.5">
      <c r="B123" s="7" t="str">
        <f t="shared" si="40"/>
        <v/>
      </c>
      <c r="C123" s="50">
        <f>IF(D93="","-",+C122+1)</f>
        <v>2032</v>
      </c>
      <c r="D123" s="12">
        <f>IF(F122+SUM(E$99:E122)=D$92,F122,D$92-SUM(E$99:E122))</f>
        <v>188415.19421956362</v>
      </c>
      <c r="E123" s="378">
        <f>IF(+J96&lt;F122,J96,D123)</f>
        <v>8848.318181818182</v>
      </c>
      <c r="F123" s="55">
        <f t="shared" si="61"/>
        <v>179566.87603774545</v>
      </c>
      <c r="G123" s="55">
        <f t="shared" si="62"/>
        <v>183991.03512865453</v>
      </c>
      <c r="H123" s="380">
        <f t="shared" si="63"/>
        <v>31760.048361169785</v>
      </c>
      <c r="I123" s="399">
        <f t="shared" si="64"/>
        <v>31760.048361169785</v>
      </c>
      <c r="J123" s="54">
        <f t="shared" si="34"/>
        <v>0</v>
      </c>
      <c r="K123" s="54"/>
      <c r="L123" s="129"/>
      <c r="M123" s="54">
        <f t="shared" si="35"/>
        <v>0</v>
      </c>
      <c r="N123" s="129"/>
      <c r="O123" s="54">
        <f t="shared" si="36"/>
        <v>0</v>
      </c>
      <c r="P123" s="54">
        <f t="shared" si="37"/>
        <v>0</v>
      </c>
      <c r="Q123" s="1"/>
    </row>
    <row r="124" spans="2:17" ht="12.5">
      <c r="B124" s="7" t="str">
        <f t="shared" si="40"/>
        <v/>
      </c>
      <c r="C124" s="50">
        <f>IF(D93="","-",+C123+1)</f>
        <v>2033</v>
      </c>
      <c r="D124" s="12">
        <f>IF(F123+SUM(E$99:E123)=D$92,F123,D$92-SUM(E$99:E123))</f>
        <v>179566.87603774545</v>
      </c>
      <c r="E124" s="378">
        <f>IF(+J96&lt;F123,J96,D124)</f>
        <v>8848.318181818182</v>
      </c>
      <c r="F124" s="55">
        <f t="shared" si="61"/>
        <v>170718.55785592727</v>
      </c>
      <c r="G124" s="55">
        <f t="shared" si="62"/>
        <v>175142.71694683636</v>
      </c>
      <c r="H124" s="380">
        <f t="shared" si="63"/>
        <v>30658.199683699648</v>
      </c>
      <c r="I124" s="399">
        <f t="shared" si="64"/>
        <v>30658.199683699648</v>
      </c>
      <c r="J124" s="54">
        <f t="shared" si="34"/>
        <v>0</v>
      </c>
      <c r="K124" s="54"/>
      <c r="L124" s="129"/>
      <c r="M124" s="54">
        <f t="shared" si="35"/>
        <v>0</v>
      </c>
      <c r="N124" s="129"/>
      <c r="O124" s="54">
        <f t="shared" si="36"/>
        <v>0</v>
      </c>
      <c r="P124" s="54">
        <f t="shared" si="37"/>
        <v>0</v>
      </c>
      <c r="Q124" s="1"/>
    </row>
    <row r="125" spans="2:17" ht="12.5">
      <c r="B125" s="7" t="str">
        <f t="shared" si="40"/>
        <v/>
      </c>
      <c r="C125" s="50">
        <f>IF(D93="","-",+C124+1)</f>
        <v>2034</v>
      </c>
      <c r="D125" s="12">
        <f>IF(F124+SUM(E$99:E124)=D$92,F124,D$92-SUM(E$99:E124))</f>
        <v>170718.55785592727</v>
      </c>
      <c r="E125" s="378">
        <f>IF(+J96&lt;F124,J96,D125)</f>
        <v>8848.318181818182</v>
      </c>
      <c r="F125" s="55">
        <f t="shared" si="61"/>
        <v>161870.23967410909</v>
      </c>
      <c r="G125" s="55">
        <f t="shared" si="62"/>
        <v>166294.39876501818</v>
      </c>
      <c r="H125" s="380">
        <f t="shared" si="63"/>
        <v>29556.351006229517</v>
      </c>
      <c r="I125" s="399">
        <f t="shared" si="64"/>
        <v>29556.351006229517</v>
      </c>
      <c r="J125" s="54">
        <f t="shared" si="34"/>
        <v>0</v>
      </c>
      <c r="K125" s="54"/>
      <c r="L125" s="129"/>
      <c r="M125" s="54">
        <f t="shared" si="35"/>
        <v>0</v>
      </c>
      <c r="N125" s="129"/>
      <c r="O125" s="54">
        <f t="shared" si="36"/>
        <v>0</v>
      </c>
      <c r="P125" s="54">
        <f t="shared" si="37"/>
        <v>0</v>
      </c>
      <c r="Q125" s="1"/>
    </row>
    <row r="126" spans="2:17" ht="12.5">
      <c r="B126" s="7" t="str">
        <f t="shared" si="40"/>
        <v/>
      </c>
      <c r="C126" s="50">
        <f>IF(D93="","-",+C125+1)</f>
        <v>2035</v>
      </c>
      <c r="D126" s="12">
        <f>IF(F125+SUM(E$99:E125)=D$92,F125,D$92-SUM(E$99:E125))</f>
        <v>161870.23967410909</v>
      </c>
      <c r="E126" s="378">
        <f>IF(+J96&lt;F125,J96,D126)</f>
        <v>8848.318181818182</v>
      </c>
      <c r="F126" s="55">
        <f t="shared" si="61"/>
        <v>153021.92149229092</v>
      </c>
      <c r="G126" s="55">
        <f t="shared" si="62"/>
        <v>157446.0805832</v>
      </c>
      <c r="H126" s="380">
        <f t="shared" si="63"/>
        <v>28454.502328759379</v>
      </c>
      <c r="I126" s="399">
        <f t="shared" si="64"/>
        <v>28454.502328759379</v>
      </c>
      <c r="J126" s="54">
        <f t="shared" si="34"/>
        <v>0</v>
      </c>
      <c r="K126" s="54"/>
      <c r="L126" s="129"/>
      <c r="M126" s="54">
        <f t="shared" si="35"/>
        <v>0</v>
      </c>
      <c r="N126" s="129"/>
      <c r="O126" s="54">
        <f t="shared" si="36"/>
        <v>0</v>
      </c>
      <c r="P126" s="54">
        <f t="shared" si="37"/>
        <v>0</v>
      </c>
      <c r="Q126" s="1"/>
    </row>
    <row r="127" spans="2:17" ht="12.5">
      <c r="B127" s="7" t="str">
        <f t="shared" si="40"/>
        <v/>
      </c>
      <c r="C127" s="50">
        <f>IF(D93="","-",+C126+1)</f>
        <v>2036</v>
      </c>
      <c r="D127" s="12">
        <f>IF(F126+SUM(E$99:E126)=D$92,F126,D$92-SUM(E$99:E126))</f>
        <v>153021.92149229092</v>
      </c>
      <c r="E127" s="378">
        <f>IF(+J96&lt;F126,J96,D127)</f>
        <v>8848.318181818182</v>
      </c>
      <c r="F127" s="55">
        <f t="shared" si="61"/>
        <v>144173.60331047274</v>
      </c>
      <c r="G127" s="55">
        <f t="shared" si="62"/>
        <v>148597.76240138183</v>
      </c>
      <c r="H127" s="380">
        <f t="shared" si="63"/>
        <v>27352.653651289249</v>
      </c>
      <c r="I127" s="399">
        <f t="shared" si="64"/>
        <v>27352.653651289249</v>
      </c>
      <c r="J127" s="54">
        <f t="shared" si="34"/>
        <v>0</v>
      </c>
      <c r="K127" s="54"/>
      <c r="L127" s="129"/>
      <c r="M127" s="54">
        <f t="shared" si="35"/>
        <v>0</v>
      </c>
      <c r="N127" s="129"/>
      <c r="O127" s="54">
        <f t="shared" si="36"/>
        <v>0</v>
      </c>
      <c r="P127" s="54">
        <f t="shared" si="37"/>
        <v>0</v>
      </c>
      <c r="Q127" s="1"/>
    </row>
    <row r="128" spans="2:17" ht="12.5">
      <c r="B128" s="7" t="str">
        <f t="shared" si="40"/>
        <v/>
      </c>
      <c r="C128" s="50">
        <f>IF(D93="","-",+C127+1)</f>
        <v>2037</v>
      </c>
      <c r="D128" s="12">
        <f>IF(F127+SUM(E$99:E127)=D$92,F127,D$92-SUM(E$99:E127))</f>
        <v>144173.60331047274</v>
      </c>
      <c r="E128" s="378">
        <f>IF(+J96&lt;F127,J96,D128)</f>
        <v>8848.318181818182</v>
      </c>
      <c r="F128" s="55">
        <f t="shared" si="61"/>
        <v>135325.28512865456</v>
      </c>
      <c r="G128" s="55">
        <f t="shared" si="62"/>
        <v>139749.44421956365</v>
      </c>
      <c r="H128" s="380">
        <f t="shared" si="63"/>
        <v>26250.804973819111</v>
      </c>
      <c r="I128" s="399">
        <f t="shared" si="64"/>
        <v>26250.804973819111</v>
      </c>
      <c r="J128" s="54">
        <f t="shared" si="34"/>
        <v>0</v>
      </c>
      <c r="K128" s="54"/>
      <c r="L128" s="129"/>
      <c r="M128" s="54">
        <f t="shared" si="35"/>
        <v>0</v>
      </c>
      <c r="N128" s="129"/>
      <c r="O128" s="54">
        <f t="shared" si="36"/>
        <v>0</v>
      </c>
      <c r="P128" s="54">
        <f t="shared" si="37"/>
        <v>0</v>
      </c>
      <c r="Q128" s="1"/>
    </row>
    <row r="129" spans="2:17" ht="12.5">
      <c r="B129" s="7" t="str">
        <f t="shared" si="40"/>
        <v/>
      </c>
      <c r="C129" s="50">
        <f>IF(D93="","-",+C128+1)</f>
        <v>2038</v>
      </c>
      <c r="D129" s="12">
        <f>IF(F128+SUM(E$99:E128)=D$92,F128,D$92-SUM(E$99:E128))</f>
        <v>135325.28512865456</v>
      </c>
      <c r="E129" s="378">
        <f>IF(+J96&lt;F128,J96,D129)</f>
        <v>8848.318181818182</v>
      </c>
      <c r="F129" s="55">
        <f t="shared" si="61"/>
        <v>126476.96694683639</v>
      </c>
      <c r="G129" s="55">
        <f t="shared" si="62"/>
        <v>130901.12603774547</v>
      </c>
      <c r="H129" s="380">
        <f t="shared" si="63"/>
        <v>25148.956296348977</v>
      </c>
      <c r="I129" s="399">
        <f t="shared" si="64"/>
        <v>25148.956296348977</v>
      </c>
      <c r="J129" s="54">
        <f t="shared" si="34"/>
        <v>0</v>
      </c>
      <c r="K129" s="54"/>
      <c r="L129" s="129"/>
      <c r="M129" s="54">
        <f t="shared" si="35"/>
        <v>0</v>
      </c>
      <c r="N129" s="129"/>
      <c r="O129" s="54">
        <f t="shared" si="36"/>
        <v>0</v>
      </c>
      <c r="P129" s="54">
        <f t="shared" si="37"/>
        <v>0</v>
      </c>
      <c r="Q129" s="1"/>
    </row>
    <row r="130" spans="2:17" ht="12.5">
      <c r="B130" s="7" t="str">
        <f t="shared" si="40"/>
        <v/>
      </c>
      <c r="C130" s="50">
        <f>IF(D93="","-",+C129+1)</f>
        <v>2039</v>
      </c>
      <c r="D130" s="12">
        <f>IF(F129+SUM(E$99:E129)=D$92,F129,D$92-SUM(E$99:E129))</f>
        <v>126476.96694683639</v>
      </c>
      <c r="E130" s="378">
        <f>IF(+J96&lt;F129,J96,D130)</f>
        <v>8848.318181818182</v>
      </c>
      <c r="F130" s="55">
        <f t="shared" si="61"/>
        <v>117628.64876501821</v>
      </c>
      <c r="G130" s="55">
        <f t="shared" si="62"/>
        <v>122052.8078559273</v>
      </c>
      <c r="H130" s="380">
        <f t="shared" si="63"/>
        <v>24047.107618878843</v>
      </c>
      <c r="I130" s="399">
        <f t="shared" si="64"/>
        <v>24047.107618878843</v>
      </c>
      <c r="J130" s="54">
        <f t="shared" si="34"/>
        <v>0</v>
      </c>
      <c r="K130" s="54"/>
      <c r="L130" s="129"/>
      <c r="M130" s="54">
        <f t="shared" si="35"/>
        <v>0</v>
      </c>
      <c r="N130" s="129"/>
      <c r="O130" s="54">
        <f t="shared" si="36"/>
        <v>0</v>
      </c>
      <c r="P130" s="54">
        <f t="shared" si="37"/>
        <v>0</v>
      </c>
      <c r="Q130" s="1"/>
    </row>
    <row r="131" spans="2:17" ht="12.5">
      <c r="B131" s="7" t="str">
        <f t="shared" si="40"/>
        <v/>
      </c>
      <c r="C131" s="50">
        <f>IF(D93="","-",+C130+1)</f>
        <v>2040</v>
      </c>
      <c r="D131" s="12">
        <f>IF(F130+SUM(E$99:E130)=D$92,F130,D$92-SUM(E$99:E130))</f>
        <v>117628.64876501821</v>
      </c>
      <c r="E131" s="378">
        <f>IF(+J96&lt;F130,J96,D131)</f>
        <v>8848.318181818182</v>
      </c>
      <c r="F131" s="55">
        <f t="shared" ref="F131:F154" si="65">+D131-E131</f>
        <v>108780.33058320003</v>
      </c>
      <c r="G131" s="55">
        <f t="shared" ref="G131:G154" si="66">+(F131+D131)/2</f>
        <v>113204.48967410912</v>
      </c>
      <c r="H131" s="380">
        <f t="shared" si="63"/>
        <v>22945.258941408709</v>
      </c>
      <c r="I131" s="399">
        <f t="shared" si="64"/>
        <v>22945.258941408709</v>
      </c>
      <c r="J131" s="54">
        <f t="shared" ref="J131:J154" si="67">+I131-H131</f>
        <v>0</v>
      </c>
      <c r="K131" s="54"/>
      <c r="L131" s="129"/>
      <c r="M131" s="54">
        <f t="shared" ref="M131:M154" si="68">IF(L131&lt;&gt;0,+H131-L131,0)</f>
        <v>0</v>
      </c>
      <c r="N131" s="129"/>
      <c r="O131" s="54">
        <f t="shared" ref="O131:O154" si="69">IF(N131&lt;&gt;0,+I131-N131,0)</f>
        <v>0</v>
      </c>
      <c r="P131" s="54">
        <f t="shared" ref="P131:P154" si="70">+O131-M131</f>
        <v>0</v>
      </c>
      <c r="Q131" s="1"/>
    </row>
    <row r="132" spans="2:17" ht="12.5">
      <c r="B132" s="7" t="str">
        <f t="shared" si="40"/>
        <v/>
      </c>
      <c r="C132" s="50">
        <f>IF(D93="","-",+C131+1)</f>
        <v>2041</v>
      </c>
      <c r="D132" s="12">
        <f>IF(F131+SUM(E$99:E131)=D$92,F131,D$92-SUM(E$99:E131))</f>
        <v>108780.33058320003</v>
      </c>
      <c r="E132" s="378">
        <f>IF(+J96&lt;F131,J96,D132)</f>
        <v>8848.318181818182</v>
      </c>
      <c r="F132" s="55">
        <f t="shared" si="65"/>
        <v>99932.012401381857</v>
      </c>
      <c r="G132" s="55">
        <f t="shared" si="66"/>
        <v>104356.17149229095</v>
      </c>
      <c r="H132" s="380">
        <f t="shared" si="63"/>
        <v>21843.410263938575</v>
      </c>
      <c r="I132" s="399">
        <f t="shared" si="64"/>
        <v>21843.410263938575</v>
      </c>
      <c r="J132" s="54">
        <f t="shared" si="67"/>
        <v>0</v>
      </c>
      <c r="K132" s="54"/>
      <c r="L132" s="129"/>
      <c r="M132" s="54">
        <f t="shared" si="68"/>
        <v>0</v>
      </c>
      <c r="N132" s="129"/>
      <c r="O132" s="54">
        <f t="shared" si="69"/>
        <v>0</v>
      </c>
      <c r="P132" s="54">
        <f t="shared" si="70"/>
        <v>0</v>
      </c>
      <c r="Q132" s="1"/>
    </row>
    <row r="133" spans="2:17" ht="12.5">
      <c r="B133" s="7" t="str">
        <f t="shared" si="40"/>
        <v/>
      </c>
      <c r="C133" s="50">
        <f>IF(D93="","-",+C132+1)</f>
        <v>2042</v>
      </c>
      <c r="D133" s="12">
        <f>IF(F132+SUM(E$99:E132)=D$92,F132,D$92-SUM(E$99:E132))</f>
        <v>99932.012401381857</v>
      </c>
      <c r="E133" s="378">
        <f>IF(+J96&lt;F132,J96,D133)</f>
        <v>8848.318181818182</v>
      </c>
      <c r="F133" s="55">
        <f t="shared" si="65"/>
        <v>91083.69421956368</v>
      </c>
      <c r="G133" s="55">
        <f t="shared" si="66"/>
        <v>95507.853310472768</v>
      </c>
      <c r="H133" s="380">
        <f t="shared" si="63"/>
        <v>20741.561586468441</v>
      </c>
      <c r="I133" s="399">
        <f t="shared" si="64"/>
        <v>20741.561586468441</v>
      </c>
      <c r="J133" s="54">
        <f t="shared" si="67"/>
        <v>0</v>
      </c>
      <c r="K133" s="54"/>
      <c r="L133" s="129"/>
      <c r="M133" s="54">
        <f t="shared" si="68"/>
        <v>0</v>
      </c>
      <c r="N133" s="129"/>
      <c r="O133" s="54">
        <f t="shared" si="69"/>
        <v>0</v>
      </c>
      <c r="P133" s="54">
        <f t="shared" si="70"/>
        <v>0</v>
      </c>
      <c r="Q133" s="1"/>
    </row>
    <row r="134" spans="2:17" ht="12.5">
      <c r="B134" s="7" t="str">
        <f t="shared" si="40"/>
        <v/>
      </c>
      <c r="C134" s="50">
        <f>IF(D93="","-",+C133+1)</f>
        <v>2043</v>
      </c>
      <c r="D134" s="12">
        <f>IF(F133+SUM(E$99:E133)=D$92,F133,D$92-SUM(E$99:E133))</f>
        <v>91083.69421956368</v>
      </c>
      <c r="E134" s="378">
        <f>IF(+J96&lt;F133,J96,D134)</f>
        <v>8848.318181818182</v>
      </c>
      <c r="F134" s="55">
        <f t="shared" si="65"/>
        <v>82235.376037745504</v>
      </c>
      <c r="G134" s="55">
        <f t="shared" si="66"/>
        <v>86659.535128654592</v>
      </c>
      <c r="H134" s="380">
        <f t="shared" si="63"/>
        <v>19639.712908998306</v>
      </c>
      <c r="I134" s="399">
        <f t="shared" si="64"/>
        <v>19639.712908998306</v>
      </c>
      <c r="J134" s="54">
        <f t="shared" si="67"/>
        <v>0</v>
      </c>
      <c r="K134" s="54"/>
      <c r="L134" s="129"/>
      <c r="M134" s="54">
        <f t="shared" si="68"/>
        <v>0</v>
      </c>
      <c r="N134" s="129"/>
      <c r="O134" s="54">
        <f t="shared" si="69"/>
        <v>0</v>
      </c>
      <c r="P134" s="54">
        <f t="shared" si="70"/>
        <v>0</v>
      </c>
      <c r="Q134" s="1"/>
    </row>
    <row r="135" spans="2:17" ht="12.5">
      <c r="B135" s="7" t="str">
        <f t="shared" si="40"/>
        <v/>
      </c>
      <c r="C135" s="50">
        <f>IF(D93="","-",+C134+1)</f>
        <v>2044</v>
      </c>
      <c r="D135" s="12">
        <f>IF(F134+SUM(E$99:E134)=D$92,F134,D$92-SUM(E$99:E134))</f>
        <v>82235.376037745504</v>
      </c>
      <c r="E135" s="378">
        <f>IF(+J96&lt;F134,J96,D135)</f>
        <v>8848.318181818182</v>
      </c>
      <c r="F135" s="55">
        <f t="shared" si="65"/>
        <v>73387.057855927327</v>
      </c>
      <c r="G135" s="55">
        <f t="shared" si="66"/>
        <v>77811.216946836415</v>
      </c>
      <c r="H135" s="380">
        <f t="shared" si="63"/>
        <v>18537.864231528172</v>
      </c>
      <c r="I135" s="399">
        <f t="shared" si="64"/>
        <v>18537.864231528172</v>
      </c>
      <c r="J135" s="54">
        <f t="shared" si="67"/>
        <v>0</v>
      </c>
      <c r="K135" s="54"/>
      <c r="L135" s="129"/>
      <c r="M135" s="54">
        <f t="shared" si="68"/>
        <v>0</v>
      </c>
      <c r="N135" s="129"/>
      <c r="O135" s="54">
        <f t="shared" si="69"/>
        <v>0</v>
      </c>
      <c r="P135" s="54">
        <f t="shared" si="70"/>
        <v>0</v>
      </c>
      <c r="Q135" s="1"/>
    </row>
    <row r="136" spans="2:17" ht="12.5">
      <c r="B136" s="7" t="str">
        <f t="shared" si="40"/>
        <v/>
      </c>
      <c r="C136" s="50">
        <f>IF(D93="","-",+C135+1)</f>
        <v>2045</v>
      </c>
      <c r="D136" s="12">
        <f>IF(F135+SUM(E$99:E135)=D$92,F135,D$92-SUM(E$99:E135))</f>
        <v>73387.057855927327</v>
      </c>
      <c r="E136" s="378">
        <f>IF(+J96&lt;F135,J96,D136)</f>
        <v>8848.318181818182</v>
      </c>
      <c r="F136" s="55">
        <f t="shared" si="65"/>
        <v>64538.739674109143</v>
      </c>
      <c r="G136" s="55">
        <f t="shared" si="66"/>
        <v>68962.898765018239</v>
      </c>
      <c r="H136" s="380">
        <f t="shared" si="63"/>
        <v>17436.015554058038</v>
      </c>
      <c r="I136" s="399">
        <f t="shared" si="64"/>
        <v>17436.015554058038</v>
      </c>
      <c r="J136" s="54">
        <f t="shared" si="67"/>
        <v>0</v>
      </c>
      <c r="K136" s="54"/>
      <c r="L136" s="129"/>
      <c r="M136" s="54">
        <f t="shared" si="68"/>
        <v>0</v>
      </c>
      <c r="N136" s="129"/>
      <c r="O136" s="54">
        <f t="shared" si="69"/>
        <v>0</v>
      </c>
      <c r="P136" s="54">
        <f t="shared" si="70"/>
        <v>0</v>
      </c>
      <c r="Q136" s="1"/>
    </row>
    <row r="137" spans="2:17" ht="12.5">
      <c r="B137" s="7" t="str">
        <f t="shared" si="40"/>
        <v/>
      </c>
      <c r="C137" s="50">
        <f>IF(D93="","-",+C136+1)</f>
        <v>2046</v>
      </c>
      <c r="D137" s="12">
        <f>IF(F136+SUM(E$99:E136)=D$92,F136,D$92-SUM(E$99:E136))</f>
        <v>64538.739674109143</v>
      </c>
      <c r="E137" s="378">
        <f>IF(+J96&lt;F136,J96,D137)</f>
        <v>8848.318181818182</v>
      </c>
      <c r="F137" s="55">
        <f t="shared" si="65"/>
        <v>55690.42149229096</v>
      </c>
      <c r="G137" s="55">
        <f t="shared" si="66"/>
        <v>60114.580583200048</v>
      </c>
      <c r="H137" s="380">
        <f t="shared" si="63"/>
        <v>16334.166876587902</v>
      </c>
      <c r="I137" s="399">
        <f t="shared" si="64"/>
        <v>16334.166876587902</v>
      </c>
      <c r="J137" s="54">
        <f t="shared" si="67"/>
        <v>0</v>
      </c>
      <c r="K137" s="54"/>
      <c r="L137" s="129"/>
      <c r="M137" s="54">
        <f t="shared" si="68"/>
        <v>0</v>
      </c>
      <c r="N137" s="129"/>
      <c r="O137" s="54">
        <f t="shared" si="69"/>
        <v>0</v>
      </c>
      <c r="P137" s="54">
        <f t="shared" si="70"/>
        <v>0</v>
      </c>
      <c r="Q137" s="1"/>
    </row>
    <row r="138" spans="2:17" ht="12.5">
      <c r="B138" s="7" t="str">
        <f t="shared" si="40"/>
        <v/>
      </c>
      <c r="C138" s="50">
        <f>IF(D93="","-",+C137+1)</f>
        <v>2047</v>
      </c>
      <c r="D138" s="12">
        <f>IF(F137+SUM(E$99:E137)=D$92,F137,D$92-SUM(E$99:E137))</f>
        <v>55690.42149229096</v>
      </c>
      <c r="E138" s="378">
        <f>IF(+J96&lt;F137,J96,D138)</f>
        <v>8848.318181818182</v>
      </c>
      <c r="F138" s="55">
        <f t="shared" si="65"/>
        <v>46842.103310472776</v>
      </c>
      <c r="G138" s="55">
        <f t="shared" si="66"/>
        <v>51266.262401381871</v>
      </c>
      <c r="H138" s="380">
        <f t="shared" si="63"/>
        <v>15232.318199117768</v>
      </c>
      <c r="I138" s="399">
        <f t="shared" si="64"/>
        <v>15232.318199117768</v>
      </c>
      <c r="J138" s="54">
        <f t="shared" si="67"/>
        <v>0</v>
      </c>
      <c r="K138" s="54"/>
      <c r="L138" s="129"/>
      <c r="M138" s="54">
        <f t="shared" si="68"/>
        <v>0</v>
      </c>
      <c r="N138" s="129"/>
      <c r="O138" s="54">
        <f t="shared" si="69"/>
        <v>0</v>
      </c>
      <c r="P138" s="54">
        <f t="shared" si="70"/>
        <v>0</v>
      </c>
      <c r="Q138" s="1"/>
    </row>
    <row r="139" spans="2:17" ht="12.5">
      <c r="B139" s="7" t="str">
        <f t="shared" si="40"/>
        <v/>
      </c>
      <c r="C139" s="50">
        <f>IF(D93="","-",+C138+1)</f>
        <v>2048</v>
      </c>
      <c r="D139" s="12">
        <f>IF(F138+SUM(E$99:E138)=D$92,F138,D$92-SUM(E$99:E138))</f>
        <v>46842.103310472776</v>
      </c>
      <c r="E139" s="378">
        <f>IF(+J96&lt;F138,J96,D139)</f>
        <v>8848.318181818182</v>
      </c>
      <c r="F139" s="55">
        <f t="shared" si="65"/>
        <v>37993.785128654592</v>
      </c>
      <c r="G139" s="55">
        <f t="shared" si="66"/>
        <v>42417.94421956368</v>
      </c>
      <c r="H139" s="380">
        <f t="shared" si="63"/>
        <v>14130.469521647632</v>
      </c>
      <c r="I139" s="399">
        <f t="shared" si="64"/>
        <v>14130.469521647632</v>
      </c>
      <c r="J139" s="54">
        <f t="shared" si="67"/>
        <v>0</v>
      </c>
      <c r="K139" s="54"/>
      <c r="L139" s="129"/>
      <c r="M139" s="54">
        <f t="shared" si="68"/>
        <v>0</v>
      </c>
      <c r="N139" s="129"/>
      <c r="O139" s="54">
        <f t="shared" si="69"/>
        <v>0</v>
      </c>
      <c r="P139" s="54">
        <f t="shared" si="70"/>
        <v>0</v>
      </c>
      <c r="Q139" s="1"/>
    </row>
    <row r="140" spans="2:17" ht="12.5">
      <c r="B140" s="7" t="str">
        <f t="shared" si="40"/>
        <v/>
      </c>
      <c r="C140" s="50">
        <f>IF(D93="","-",+C139+1)</f>
        <v>2049</v>
      </c>
      <c r="D140" s="12">
        <f>IF(F139+SUM(E$99:E139)=D$92,F139,D$92-SUM(E$99:E139))</f>
        <v>37993.785128654592</v>
      </c>
      <c r="E140" s="378">
        <f>IF(+J96&lt;F139,J96,D140)</f>
        <v>8848.318181818182</v>
      </c>
      <c r="F140" s="55">
        <f t="shared" si="65"/>
        <v>29145.466946836408</v>
      </c>
      <c r="G140" s="55">
        <f t="shared" si="66"/>
        <v>33569.626037745504</v>
      </c>
      <c r="H140" s="380">
        <f t="shared" si="63"/>
        <v>13028.620844177498</v>
      </c>
      <c r="I140" s="399">
        <f t="shared" si="64"/>
        <v>13028.620844177498</v>
      </c>
      <c r="J140" s="54">
        <f t="shared" si="67"/>
        <v>0</v>
      </c>
      <c r="K140" s="54"/>
      <c r="L140" s="129"/>
      <c r="M140" s="54">
        <f t="shared" si="68"/>
        <v>0</v>
      </c>
      <c r="N140" s="129"/>
      <c r="O140" s="54">
        <f t="shared" si="69"/>
        <v>0</v>
      </c>
      <c r="P140" s="54">
        <f t="shared" si="70"/>
        <v>0</v>
      </c>
      <c r="Q140" s="1"/>
    </row>
    <row r="141" spans="2:17" ht="12.5">
      <c r="B141" s="7" t="str">
        <f t="shared" si="40"/>
        <v/>
      </c>
      <c r="C141" s="50">
        <f>IF(D93="","-",+C140+1)</f>
        <v>2050</v>
      </c>
      <c r="D141" s="12">
        <f>IF(F140+SUM(E$99:E140)=D$92,F140,D$92-SUM(E$99:E140))</f>
        <v>29145.466946836408</v>
      </c>
      <c r="E141" s="378">
        <f>IF(+J96&lt;F140,J96,D141)</f>
        <v>8848.318181818182</v>
      </c>
      <c r="F141" s="55">
        <f t="shared" si="65"/>
        <v>20297.148765018224</v>
      </c>
      <c r="G141" s="55">
        <f t="shared" si="66"/>
        <v>24721.307855927316</v>
      </c>
      <c r="H141" s="380">
        <f t="shared" si="63"/>
        <v>11926.772166707362</v>
      </c>
      <c r="I141" s="399">
        <f t="shared" si="64"/>
        <v>11926.772166707362</v>
      </c>
      <c r="J141" s="54">
        <f t="shared" si="67"/>
        <v>0</v>
      </c>
      <c r="K141" s="54"/>
      <c r="L141" s="129"/>
      <c r="M141" s="54">
        <f t="shared" si="68"/>
        <v>0</v>
      </c>
      <c r="N141" s="129"/>
      <c r="O141" s="54">
        <f t="shared" si="69"/>
        <v>0</v>
      </c>
      <c r="P141" s="54">
        <f t="shared" si="70"/>
        <v>0</v>
      </c>
      <c r="Q141" s="1"/>
    </row>
    <row r="142" spans="2:17" ht="12.5">
      <c r="B142" s="7" t="str">
        <f t="shared" si="40"/>
        <v/>
      </c>
      <c r="C142" s="50">
        <f>IF(D93="","-",+C141+1)</f>
        <v>2051</v>
      </c>
      <c r="D142" s="12">
        <f>IF(F141+SUM(E$99:E141)=D$92,F141,D$92-SUM(E$99:E141))</f>
        <v>20297.148765018224</v>
      </c>
      <c r="E142" s="378">
        <f>IF(+J96&lt;F141,J96,D142)</f>
        <v>8848.318181818182</v>
      </c>
      <c r="F142" s="55">
        <f t="shared" si="65"/>
        <v>11448.830583200042</v>
      </c>
      <c r="G142" s="55">
        <f t="shared" si="66"/>
        <v>15872.989674109132</v>
      </c>
      <c r="H142" s="380">
        <f t="shared" si="63"/>
        <v>10824.923489237228</v>
      </c>
      <c r="I142" s="399">
        <f t="shared" si="64"/>
        <v>10824.923489237228</v>
      </c>
      <c r="J142" s="54">
        <f t="shared" si="67"/>
        <v>0</v>
      </c>
      <c r="K142" s="54"/>
      <c r="L142" s="129"/>
      <c r="M142" s="54">
        <f t="shared" si="68"/>
        <v>0</v>
      </c>
      <c r="N142" s="129"/>
      <c r="O142" s="54">
        <f t="shared" si="69"/>
        <v>0</v>
      </c>
      <c r="P142" s="54">
        <f t="shared" si="70"/>
        <v>0</v>
      </c>
      <c r="Q142" s="1"/>
    </row>
    <row r="143" spans="2:17" ht="12.5">
      <c r="B143" s="7" t="str">
        <f t="shared" si="40"/>
        <v/>
      </c>
      <c r="C143" s="50">
        <f>IF(D93="","-",+C142+1)</f>
        <v>2052</v>
      </c>
      <c r="D143" s="12">
        <f>IF(F142+SUM(E$99:E142)=D$92,F142,D$92-SUM(E$99:E142))</f>
        <v>11448.830583200042</v>
      </c>
      <c r="E143" s="378">
        <f>IF(+J96&lt;F142,J96,D143)</f>
        <v>8848.318181818182</v>
      </c>
      <c r="F143" s="55">
        <f t="shared" si="65"/>
        <v>2600.5124013818604</v>
      </c>
      <c r="G143" s="55">
        <f t="shared" si="66"/>
        <v>7024.6714922909514</v>
      </c>
      <c r="H143" s="380">
        <f t="shared" si="63"/>
        <v>9723.0748117670919</v>
      </c>
      <c r="I143" s="399">
        <f t="shared" si="64"/>
        <v>9723.0748117670919</v>
      </c>
      <c r="J143" s="54">
        <f t="shared" si="67"/>
        <v>0</v>
      </c>
      <c r="K143" s="54"/>
      <c r="L143" s="129"/>
      <c r="M143" s="54">
        <f t="shared" si="68"/>
        <v>0</v>
      </c>
      <c r="N143" s="129"/>
      <c r="O143" s="54">
        <f t="shared" si="69"/>
        <v>0</v>
      </c>
      <c r="P143" s="54">
        <f t="shared" si="70"/>
        <v>0</v>
      </c>
      <c r="Q143" s="1"/>
    </row>
    <row r="144" spans="2:17" ht="12.5">
      <c r="B144" s="7" t="str">
        <f t="shared" si="40"/>
        <v/>
      </c>
      <c r="C144" s="50">
        <f>IF(D93="","-",+C143+1)</f>
        <v>2053</v>
      </c>
      <c r="D144" s="12">
        <f>IF(F143+SUM(E$99:E143)=D$92,F143,D$92-SUM(E$99:E143))</f>
        <v>2600.5124013818604</v>
      </c>
      <c r="E144" s="378">
        <f>IF(+J96&lt;F143,J96,D144)</f>
        <v>2600.5124013818604</v>
      </c>
      <c r="F144" s="55">
        <f t="shared" si="65"/>
        <v>0</v>
      </c>
      <c r="G144" s="55">
        <f t="shared" si="66"/>
        <v>1300.2562006909302</v>
      </c>
      <c r="H144" s="380">
        <f t="shared" si="63"/>
        <v>2762.4285469887818</v>
      </c>
      <c r="I144" s="399">
        <f t="shared" si="64"/>
        <v>2762.4285469887818</v>
      </c>
      <c r="J144" s="54">
        <f t="shared" si="67"/>
        <v>0</v>
      </c>
      <c r="K144" s="54"/>
      <c r="L144" s="129"/>
      <c r="M144" s="54">
        <f t="shared" si="68"/>
        <v>0</v>
      </c>
      <c r="N144" s="129"/>
      <c r="O144" s="54">
        <f t="shared" si="69"/>
        <v>0</v>
      </c>
      <c r="P144" s="54">
        <f t="shared" si="70"/>
        <v>0</v>
      </c>
      <c r="Q144" s="1"/>
    </row>
    <row r="145" spans="2:17" ht="12.5">
      <c r="B145" s="7" t="str">
        <f t="shared" si="40"/>
        <v/>
      </c>
      <c r="C145" s="50">
        <f>IF(D93="","-",+C144+1)</f>
        <v>2054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65"/>
        <v>0</v>
      </c>
      <c r="G145" s="55">
        <f t="shared" si="66"/>
        <v>0</v>
      </c>
      <c r="H145" s="380">
        <f t="shared" si="63"/>
        <v>0</v>
      </c>
      <c r="I145" s="399">
        <f t="shared" si="64"/>
        <v>0</v>
      </c>
      <c r="J145" s="54">
        <f t="shared" si="67"/>
        <v>0</v>
      </c>
      <c r="K145" s="54"/>
      <c r="L145" s="129"/>
      <c r="M145" s="54">
        <f t="shared" si="68"/>
        <v>0</v>
      </c>
      <c r="N145" s="129"/>
      <c r="O145" s="54">
        <f t="shared" si="69"/>
        <v>0</v>
      </c>
      <c r="P145" s="54">
        <f t="shared" si="70"/>
        <v>0</v>
      </c>
      <c r="Q145" s="1"/>
    </row>
    <row r="146" spans="2:17" ht="12.5">
      <c r="B146" s="7" t="str">
        <f t="shared" si="40"/>
        <v/>
      </c>
      <c r="C146" s="50">
        <f>IF(D93="","-",+C145+1)</f>
        <v>2055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65"/>
        <v>0</v>
      </c>
      <c r="G146" s="55">
        <f t="shared" si="66"/>
        <v>0</v>
      </c>
      <c r="H146" s="380">
        <f t="shared" si="63"/>
        <v>0</v>
      </c>
      <c r="I146" s="399">
        <f t="shared" si="64"/>
        <v>0</v>
      </c>
      <c r="J146" s="54">
        <f t="shared" si="67"/>
        <v>0</v>
      </c>
      <c r="K146" s="54"/>
      <c r="L146" s="129"/>
      <c r="M146" s="54">
        <f t="shared" si="68"/>
        <v>0</v>
      </c>
      <c r="N146" s="129"/>
      <c r="O146" s="54">
        <f t="shared" si="69"/>
        <v>0</v>
      </c>
      <c r="P146" s="54">
        <f t="shared" si="70"/>
        <v>0</v>
      </c>
      <c r="Q146" s="1"/>
    </row>
    <row r="147" spans="2:17" ht="12.5">
      <c r="B147" s="7" t="str">
        <f t="shared" si="40"/>
        <v/>
      </c>
      <c r="C147" s="50">
        <f>IF(D93="","-",+C146+1)</f>
        <v>2056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65"/>
        <v>0</v>
      </c>
      <c r="G147" s="55">
        <f t="shared" si="66"/>
        <v>0</v>
      </c>
      <c r="H147" s="380">
        <f t="shared" si="63"/>
        <v>0</v>
      </c>
      <c r="I147" s="399">
        <f t="shared" si="64"/>
        <v>0</v>
      </c>
      <c r="J147" s="54">
        <f t="shared" si="67"/>
        <v>0</v>
      </c>
      <c r="K147" s="54"/>
      <c r="L147" s="129"/>
      <c r="M147" s="54">
        <f t="shared" si="68"/>
        <v>0</v>
      </c>
      <c r="N147" s="129"/>
      <c r="O147" s="54">
        <f t="shared" si="69"/>
        <v>0</v>
      </c>
      <c r="P147" s="54">
        <f t="shared" si="70"/>
        <v>0</v>
      </c>
      <c r="Q147" s="1"/>
    </row>
    <row r="148" spans="2:17" ht="12.5">
      <c r="B148" s="7" t="str">
        <f t="shared" si="40"/>
        <v/>
      </c>
      <c r="C148" s="50">
        <f>IF(D93="","-",+C147+1)</f>
        <v>2057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65"/>
        <v>0</v>
      </c>
      <c r="G148" s="55">
        <f t="shared" si="66"/>
        <v>0</v>
      </c>
      <c r="H148" s="380">
        <f t="shared" si="63"/>
        <v>0</v>
      </c>
      <c r="I148" s="399">
        <f t="shared" si="64"/>
        <v>0</v>
      </c>
      <c r="J148" s="54">
        <f t="shared" si="67"/>
        <v>0</v>
      </c>
      <c r="K148" s="54"/>
      <c r="L148" s="129"/>
      <c r="M148" s="54">
        <f t="shared" si="68"/>
        <v>0</v>
      </c>
      <c r="N148" s="129"/>
      <c r="O148" s="54">
        <f t="shared" si="69"/>
        <v>0</v>
      </c>
      <c r="P148" s="54">
        <f t="shared" si="70"/>
        <v>0</v>
      </c>
      <c r="Q148" s="1"/>
    </row>
    <row r="149" spans="2:17" ht="12.5">
      <c r="B149" s="7" t="str">
        <f t="shared" si="40"/>
        <v/>
      </c>
      <c r="C149" s="50">
        <f>IF(D93="","-",+C148+1)</f>
        <v>2058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65"/>
        <v>0</v>
      </c>
      <c r="G149" s="55">
        <f t="shared" si="66"/>
        <v>0</v>
      </c>
      <c r="H149" s="380">
        <f t="shared" si="63"/>
        <v>0</v>
      </c>
      <c r="I149" s="399">
        <f t="shared" si="64"/>
        <v>0</v>
      </c>
      <c r="J149" s="54">
        <f t="shared" si="67"/>
        <v>0</v>
      </c>
      <c r="K149" s="54"/>
      <c r="L149" s="129"/>
      <c r="M149" s="54">
        <f t="shared" si="68"/>
        <v>0</v>
      </c>
      <c r="N149" s="129"/>
      <c r="O149" s="54">
        <f t="shared" si="69"/>
        <v>0</v>
      </c>
      <c r="P149" s="54">
        <f t="shared" si="70"/>
        <v>0</v>
      </c>
      <c r="Q149" s="1"/>
    </row>
    <row r="150" spans="2:17" ht="12.5">
      <c r="B150" s="7" t="str">
        <f t="shared" si="40"/>
        <v/>
      </c>
      <c r="C150" s="50">
        <f>IF(D93="","-",+C149+1)</f>
        <v>2059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65"/>
        <v>0</v>
      </c>
      <c r="G150" s="55">
        <f t="shared" si="66"/>
        <v>0</v>
      </c>
      <c r="H150" s="380">
        <f t="shared" si="63"/>
        <v>0</v>
      </c>
      <c r="I150" s="399">
        <f t="shared" si="64"/>
        <v>0</v>
      </c>
      <c r="J150" s="54">
        <f t="shared" si="67"/>
        <v>0</v>
      </c>
      <c r="K150" s="54"/>
      <c r="L150" s="129"/>
      <c r="M150" s="54">
        <f t="shared" si="68"/>
        <v>0</v>
      </c>
      <c r="N150" s="129"/>
      <c r="O150" s="54">
        <f t="shared" si="69"/>
        <v>0</v>
      </c>
      <c r="P150" s="54">
        <f t="shared" si="70"/>
        <v>0</v>
      </c>
      <c r="Q150" s="1"/>
    </row>
    <row r="151" spans="2:17" ht="12.5">
      <c r="B151" s="7" t="str">
        <f t="shared" si="40"/>
        <v/>
      </c>
      <c r="C151" s="50">
        <f>IF(D93="","-",+C150+1)</f>
        <v>2060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65"/>
        <v>0</v>
      </c>
      <c r="G151" s="55">
        <f t="shared" si="66"/>
        <v>0</v>
      </c>
      <c r="H151" s="380">
        <f t="shared" si="63"/>
        <v>0</v>
      </c>
      <c r="I151" s="399">
        <f t="shared" si="64"/>
        <v>0</v>
      </c>
      <c r="J151" s="54">
        <f t="shared" si="67"/>
        <v>0</v>
      </c>
      <c r="K151" s="54"/>
      <c r="L151" s="129"/>
      <c r="M151" s="54">
        <f t="shared" si="68"/>
        <v>0</v>
      </c>
      <c r="N151" s="129"/>
      <c r="O151" s="54">
        <f t="shared" si="69"/>
        <v>0</v>
      </c>
      <c r="P151" s="54">
        <f t="shared" si="70"/>
        <v>0</v>
      </c>
      <c r="Q151" s="1"/>
    </row>
    <row r="152" spans="2:17" ht="12.5">
      <c r="B152" s="7" t="str">
        <f t="shared" si="40"/>
        <v/>
      </c>
      <c r="C152" s="50">
        <f>IF(D93="","-",+C151+1)</f>
        <v>2061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65"/>
        <v>0</v>
      </c>
      <c r="G152" s="55">
        <f t="shared" si="66"/>
        <v>0</v>
      </c>
      <c r="H152" s="380">
        <f t="shared" si="63"/>
        <v>0</v>
      </c>
      <c r="I152" s="399">
        <f t="shared" si="64"/>
        <v>0</v>
      </c>
      <c r="J152" s="54">
        <f t="shared" si="67"/>
        <v>0</v>
      </c>
      <c r="K152" s="54"/>
      <c r="L152" s="129"/>
      <c r="M152" s="54">
        <f t="shared" si="68"/>
        <v>0</v>
      </c>
      <c r="N152" s="129"/>
      <c r="O152" s="54">
        <f t="shared" si="69"/>
        <v>0</v>
      </c>
      <c r="P152" s="54">
        <f t="shared" si="70"/>
        <v>0</v>
      </c>
      <c r="Q152" s="1"/>
    </row>
    <row r="153" spans="2:17" ht="12.5">
      <c r="B153" s="7" t="str">
        <f t="shared" si="40"/>
        <v/>
      </c>
      <c r="C153" s="50">
        <f>IF(D93="","-",+C152+1)</f>
        <v>2062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65"/>
        <v>0</v>
      </c>
      <c r="G153" s="55">
        <f t="shared" si="66"/>
        <v>0</v>
      </c>
      <c r="H153" s="380">
        <f t="shared" si="63"/>
        <v>0</v>
      </c>
      <c r="I153" s="399">
        <f t="shared" si="64"/>
        <v>0</v>
      </c>
      <c r="J153" s="54">
        <f t="shared" si="67"/>
        <v>0</v>
      </c>
      <c r="K153" s="54"/>
      <c r="L153" s="129"/>
      <c r="M153" s="54">
        <f t="shared" si="68"/>
        <v>0</v>
      </c>
      <c r="N153" s="129"/>
      <c r="O153" s="54">
        <f t="shared" si="69"/>
        <v>0</v>
      </c>
      <c r="P153" s="54">
        <f t="shared" si="70"/>
        <v>0</v>
      </c>
      <c r="Q153" s="1"/>
    </row>
    <row r="154" spans="2:17" ht="13" thickBot="1">
      <c r="B154" s="7" t="str">
        <f t="shared" si="40"/>
        <v/>
      </c>
      <c r="C154" s="59">
        <f>IF(D93="","-",+C153+1)</f>
        <v>2063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65"/>
        <v>0</v>
      </c>
      <c r="G154" s="60">
        <f t="shared" si="66"/>
        <v>0</v>
      </c>
      <c r="H154" s="382">
        <f t="shared" si="63"/>
        <v>0</v>
      </c>
      <c r="I154" s="400">
        <f t="shared" si="64"/>
        <v>0</v>
      </c>
      <c r="J154" s="64">
        <f t="shared" si="67"/>
        <v>0</v>
      </c>
      <c r="K154" s="54"/>
      <c r="L154" s="130"/>
      <c r="M154" s="64">
        <f t="shared" si="68"/>
        <v>0</v>
      </c>
      <c r="N154" s="130"/>
      <c r="O154" s="64">
        <f t="shared" si="69"/>
        <v>0</v>
      </c>
      <c r="P154" s="64">
        <f t="shared" si="70"/>
        <v>0</v>
      </c>
      <c r="Q154" s="1"/>
    </row>
    <row r="155" spans="2:17" ht="12.5">
      <c r="C155" s="12" t="s">
        <v>78</v>
      </c>
      <c r="D155" s="293"/>
      <c r="E155" s="293">
        <f>SUM(E99:E154)</f>
        <v>389325.99999999977</v>
      </c>
      <c r="F155" s="293"/>
      <c r="G155" s="293"/>
      <c r="H155" s="293">
        <f>SUM(H99:H154)</f>
        <v>1448635.2886096493</v>
      </c>
      <c r="I155" s="293">
        <f>SUM(I99:I154)</f>
        <v>1448635.2886096493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 ht="12.5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 ht="12.5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25" priority="1" stopIfTrue="1" operator="equal">
      <formula>$I$10</formula>
    </cfRule>
  </conditionalFormatting>
  <conditionalFormatting sqref="C99:C154">
    <cfRule type="cellIs" dxfId="12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8"/>
  <dimension ref="A1:S137"/>
  <sheetViews>
    <sheetView topLeftCell="D1" zoomScale="70" zoomScaleNormal="70" zoomScaleSheetLayoutView="70" workbookViewId="0">
      <selection activeCell="R115" sqref="R115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16.1796875" customWidth="1"/>
    <col min="10" max="10" width="2.179687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3.54296875" bestFit="1" customWidth="1"/>
    <col min="17" max="17" width="4.7265625" customWidth="1"/>
    <col min="18" max="18" width="15.453125" customWidth="1"/>
    <col min="19" max="19" width="81.81640625" bestFit="1" customWidth="1"/>
    <col min="23" max="23" width="9.1796875" customWidth="1"/>
  </cols>
  <sheetData>
    <row r="1" spans="1:18" ht="17.5">
      <c r="A1" s="477" t="s">
        <v>110</v>
      </c>
      <c r="B1" s="478"/>
      <c r="C1" s="478"/>
      <c r="D1" s="478"/>
      <c r="E1" s="478"/>
      <c r="F1" s="478"/>
      <c r="G1" s="478"/>
      <c r="H1" s="478"/>
      <c r="I1" s="478"/>
      <c r="J1" s="478"/>
    </row>
    <row r="2" spans="1:18" ht="17.5">
      <c r="A2" s="479" t="str">
        <f>L19&amp;" Cost of Service Formula Rate Projected on "&amp;L19&amp;" FF1 Balances"</f>
        <v>2024 Cost of Service Formula Rate Projected on 2024 FF1 Balances</v>
      </c>
      <c r="B2" s="479"/>
      <c r="C2" s="479"/>
      <c r="D2" s="479"/>
      <c r="E2" s="479"/>
      <c r="F2" s="479"/>
      <c r="G2" s="479"/>
      <c r="H2" s="479"/>
      <c r="I2" s="479"/>
      <c r="J2" s="479"/>
    </row>
    <row r="3" spans="1:18" ht="18">
      <c r="A3" s="480" t="s">
        <v>125</v>
      </c>
      <c r="B3" s="479"/>
      <c r="C3" s="479"/>
      <c r="D3" s="479"/>
      <c r="E3" s="479"/>
      <c r="F3" s="479"/>
      <c r="G3" s="479"/>
      <c r="H3" s="479"/>
      <c r="I3" s="479"/>
      <c r="J3" s="479"/>
      <c r="Q3" s="93" t="s">
        <v>111</v>
      </c>
    </row>
    <row r="4" spans="1:18" ht="17.5">
      <c r="A4" s="479" t="str">
        <f>"Based on a Carrying Charge Derived from ""Historic"" "&amp;L19&amp;" Data"</f>
        <v>Based on a Carrying Charge Derived from "Historic" 2024 Data</v>
      </c>
      <c r="B4" s="479"/>
      <c r="C4" s="479"/>
      <c r="D4" s="479"/>
      <c r="E4" s="479"/>
      <c r="F4" s="479"/>
      <c r="G4" s="479"/>
      <c r="H4" s="479"/>
      <c r="I4" s="479"/>
      <c r="J4" s="479"/>
    </row>
    <row r="5" spans="1:18" ht="18">
      <c r="A5" s="481" t="s">
        <v>135</v>
      </c>
      <c r="B5" s="482"/>
      <c r="C5" s="482"/>
      <c r="D5" s="482"/>
      <c r="E5" s="482"/>
      <c r="F5" s="482"/>
      <c r="G5" s="482"/>
      <c r="H5" s="482"/>
      <c r="I5" s="482"/>
      <c r="J5" s="482"/>
      <c r="R5" s="228"/>
    </row>
    <row r="6" spans="1:18" ht="12.5">
      <c r="A6" s="1"/>
      <c r="B6" s="1"/>
      <c r="C6" s="1"/>
      <c r="D6" s="2"/>
      <c r="E6" s="1"/>
      <c r="F6" s="1"/>
      <c r="G6" s="1"/>
      <c r="H6" s="229"/>
      <c r="I6" s="1"/>
      <c r="J6" s="1"/>
    </row>
    <row r="7" spans="1:18" ht="12.5">
      <c r="D7" s="7"/>
      <c r="H7" s="210"/>
    </row>
    <row r="8" spans="1:18" ht="17.5">
      <c r="B8" s="4" t="s">
        <v>0</v>
      </c>
      <c r="C8" s="475" t="str">
        <f>"Calculate Return and Income Taxes with "&amp;F13&amp;" basis point ROE increase for Projects Qualified for Incentive."</f>
        <v>Calculate Return and Income Taxes with 0 basis point ROE increase for Projects Qualified for Incentive.</v>
      </c>
      <c r="D8" s="476"/>
      <c r="E8" s="476"/>
      <c r="F8" s="476"/>
      <c r="G8" s="476"/>
      <c r="H8" s="476"/>
    </row>
    <row r="9" spans="1:18" ht="12.5">
      <c r="D9" s="7"/>
      <c r="H9" s="210"/>
    </row>
    <row r="10" spans="1:18" ht="15.5">
      <c r="C10" s="6" t="str">
        <f>"A.   Determine 'R' with hypothetical "&amp;F13&amp;" basis point increase in ROE for Identified Projects"</f>
        <v>A.   Determine 'R' with hypothetical 0 basis point increase in ROE for Identified Projects</v>
      </c>
      <c r="D10" s="7"/>
      <c r="H10" s="210"/>
      <c r="K10" s="230"/>
      <c r="L10" s="231"/>
    </row>
    <row r="11" spans="1:18" ht="12.5">
      <c r="D11" s="7"/>
      <c r="H11" s="210"/>
    </row>
    <row r="12" spans="1:18" ht="12.5">
      <c r="C12" s="232" t="str">
        <f>S105</f>
        <v xml:space="preserve">   ROE w/o incentives  (Projected TCOS, ln 148)</v>
      </c>
      <c r="D12" s="7"/>
      <c r="E12" s="233"/>
      <c r="F12" s="234">
        <f>+R105</f>
        <v>0.105</v>
      </c>
      <c r="G12" s="235"/>
      <c r="H12" s="236"/>
      <c r="I12" s="237"/>
      <c r="J12" s="237"/>
      <c r="K12" s="237"/>
      <c r="L12" s="237"/>
      <c r="M12" s="237"/>
      <c r="N12" s="237"/>
      <c r="O12" s="233"/>
      <c r="P12" s="237"/>
      <c r="Q12" s="1"/>
    </row>
    <row r="13" spans="1:18" ht="12.5">
      <c r="C13" s="232" t="s">
        <v>1</v>
      </c>
      <c r="D13" s="7"/>
      <c r="E13" s="233"/>
      <c r="F13" s="238">
        <f>+R106</f>
        <v>0</v>
      </c>
      <c r="G13" t="s">
        <v>155</v>
      </c>
      <c r="K13" s="237"/>
      <c r="L13" s="237"/>
      <c r="M13" s="237"/>
      <c r="N13" s="237"/>
      <c r="O13" s="233"/>
      <c r="P13" s="237"/>
      <c r="Q13" s="1"/>
    </row>
    <row r="14" spans="1:18" ht="13.5" thickBot="1">
      <c r="C14" s="232" t="str">
        <f>"   ROE with additional "&amp;F13&amp;" basis point incentive"</f>
        <v xml:space="preserve">   ROE with additional 0 basis point incentive</v>
      </c>
      <c r="D14" s="233"/>
      <c r="E14" s="233"/>
      <c r="F14" s="239">
        <f>IF((F12+(F13/10000)&gt;0.1245),"ERROR",F12+(F13/10000))</f>
        <v>0.105</v>
      </c>
      <c r="G14" s="240" t="s">
        <v>2</v>
      </c>
      <c r="H14" s="237"/>
      <c r="I14" s="237"/>
      <c r="J14" s="237"/>
      <c r="K14" s="237"/>
      <c r="L14" s="237"/>
      <c r="M14" s="237"/>
      <c r="N14" s="237"/>
      <c r="O14" s="233"/>
      <c r="P14" s="237"/>
      <c r="Q14" s="1"/>
    </row>
    <row r="15" spans="1:18" ht="12.5">
      <c r="C15" s="232" t="s">
        <v>3</v>
      </c>
      <c r="D15" s="7"/>
      <c r="E15" s="233"/>
      <c r="F15" s="239"/>
      <c r="G15" s="233"/>
      <c r="H15" s="237"/>
      <c r="I15" s="237"/>
      <c r="J15" s="237"/>
      <c r="K15" s="469" t="s">
        <v>4</v>
      </c>
      <c r="L15" s="470"/>
      <c r="M15" s="470"/>
      <c r="N15" s="470"/>
      <c r="O15" s="471"/>
      <c r="P15" s="237"/>
      <c r="Q15" s="1"/>
    </row>
    <row r="16" spans="1:18" ht="12.5">
      <c r="C16" s="237"/>
      <c r="D16" s="241" t="s">
        <v>5</v>
      </c>
      <c r="E16" s="241" t="s">
        <v>6</v>
      </c>
      <c r="F16" s="242" t="s">
        <v>7</v>
      </c>
      <c r="G16" s="233"/>
      <c r="H16" s="237"/>
      <c r="I16" s="237"/>
      <c r="J16" s="237"/>
      <c r="K16" s="472"/>
      <c r="L16" s="473"/>
      <c r="M16" s="473"/>
      <c r="N16" s="473"/>
      <c r="O16" s="474"/>
      <c r="P16" s="237"/>
      <c r="Q16" s="1"/>
    </row>
    <row r="17" spans="3:17" ht="12.5">
      <c r="C17" s="243" t="s">
        <v>8</v>
      </c>
      <c r="D17" s="244">
        <f>+R107</f>
        <v>0.49562326074845731</v>
      </c>
      <c r="E17" s="245">
        <f>+R108</f>
        <v>4.253997333266353E-2</v>
      </c>
      <c r="F17" s="246">
        <f>E17*D17</f>
        <v>2.1083800295287117E-2</v>
      </c>
      <c r="G17" s="233"/>
      <c r="H17" s="237"/>
      <c r="I17" s="247"/>
      <c r="J17" s="247"/>
      <c r="K17" s="248"/>
      <c r="L17" s="249"/>
      <c r="M17" s="237" t="s">
        <v>9</v>
      </c>
      <c r="N17" s="237" t="s">
        <v>10</v>
      </c>
      <c r="O17" s="250" t="s">
        <v>11</v>
      </c>
      <c r="P17" s="237"/>
      <c r="Q17" s="1"/>
    </row>
    <row r="18" spans="3:17" ht="12.5">
      <c r="C18" s="243" t="s">
        <v>12</v>
      </c>
      <c r="D18" s="244">
        <f>+R109</f>
        <v>0</v>
      </c>
      <c r="E18" s="245">
        <f>+R110</f>
        <v>0</v>
      </c>
      <c r="F18" s="246">
        <f>E18*D18</f>
        <v>0</v>
      </c>
      <c r="G18" s="251"/>
      <c r="H18" s="251"/>
      <c r="I18" s="252"/>
      <c r="J18" s="252"/>
      <c r="K18" s="253"/>
      <c r="O18" s="254"/>
      <c r="P18" s="251"/>
      <c r="Q18" s="1"/>
    </row>
    <row r="19" spans="3:17" ht="13" thickBot="1">
      <c r="C19" s="243" t="s">
        <v>13</v>
      </c>
      <c r="D19" s="244">
        <f>+R111</f>
        <v>0.50437673925154269</v>
      </c>
      <c r="E19" s="245">
        <f>+F14</f>
        <v>0.105</v>
      </c>
      <c r="F19" s="255">
        <f>E19*D19</f>
        <v>5.2959557621411982E-2</v>
      </c>
      <c r="G19" s="251"/>
      <c r="H19" s="251"/>
      <c r="I19" s="239"/>
      <c r="J19" s="252"/>
      <c r="K19" s="256" t="s">
        <v>14</v>
      </c>
      <c r="L19" s="257">
        <f>R104</f>
        <v>2024</v>
      </c>
      <c r="M19" s="258">
        <f>SUM(S.001:S.075!N5)</f>
        <v>80862461.290840074</v>
      </c>
      <c r="N19" s="258">
        <f>SUM(S.001:S.075!N6)</f>
        <v>80862461.290840074</v>
      </c>
      <c r="O19" s="259">
        <f>+N19-M19</f>
        <v>0</v>
      </c>
      <c r="P19" s="252"/>
      <c r="Q19" s="1"/>
    </row>
    <row r="20" spans="3:17" ht="12.5">
      <c r="C20" s="232"/>
      <c r="D20" s="233"/>
      <c r="E20" s="260" t="s">
        <v>15</v>
      </c>
      <c r="F20" s="246">
        <f>SUM(F17:F19)</f>
        <v>7.4043357916699096E-2</v>
      </c>
      <c r="G20" s="251"/>
      <c r="H20" s="251"/>
      <c r="I20" s="252"/>
      <c r="J20" s="252"/>
      <c r="M20" s="261" t="str">
        <f>IF(M19=SUM(S.001:S.075!N5),"","ERROR")</f>
        <v/>
      </c>
      <c r="N20" s="261" t="str">
        <f>IF(N19=SUM(S.001:S.075!N6),"","ERROR")</f>
        <v/>
      </c>
      <c r="O20" s="261" t="str">
        <f>IF(O19=SUM(S.001:S.075!N7),"","ERROR")</f>
        <v/>
      </c>
      <c r="P20" s="251"/>
      <c r="Q20" s="1"/>
    </row>
    <row r="21" spans="3:17" ht="13">
      <c r="D21" s="262"/>
      <c r="E21" s="262"/>
      <c r="F21" s="251"/>
      <c r="G21" s="251"/>
      <c r="H21" s="251"/>
      <c r="I21" s="251"/>
      <c r="J21" s="251"/>
      <c r="K21" s="25" t="s">
        <v>16</v>
      </c>
      <c r="P21" s="251"/>
      <c r="Q21" s="1"/>
    </row>
    <row r="22" spans="3:17" ht="15.5">
      <c r="C22" s="6" t="str">
        <f>"B.   Determine Return using 'R' with hypothetical "&amp;F13&amp;" basis point ROE increase for Identified Projects."</f>
        <v>B.   Determine Return using 'R' with hypothetical 0 basis point ROE increase for Identified Projects.</v>
      </c>
      <c r="D22" s="262"/>
      <c r="E22" s="262"/>
      <c r="F22" s="251"/>
      <c r="G22" s="251"/>
      <c r="H22" s="233"/>
      <c r="I22" s="251"/>
      <c r="J22" s="251"/>
      <c r="K22" t="s">
        <v>17</v>
      </c>
      <c r="P22" s="251"/>
      <c r="Q22" s="1"/>
    </row>
    <row r="23" spans="3:17" ht="12.5">
      <c r="C23" s="237"/>
      <c r="D23" s="262"/>
      <c r="E23" s="262"/>
      <c r="F23" s="251"/>
      <c r="G23" s="251"/>
      <c r="H23" s="251"/>
      <c r="I23" s="251"/>
      <c r="J23" s="251"/>
      <c r="K23" s="252"/>
      <c r="L23" s="249"/>
      <c r="M23" s="212"/>
      <c r="N23" s="252"/>
      <c r="O23" s="251"/>
      <c r="P23" s="251"/>
      <c r="Q23" s="1"/>
    </row>
    <row r="24" spans="3:17" ht="12.5">
      <c r="C24" s="232" t="str">
        <f>+S112</f>
        <v xml:space="preserve">   Rate Base  (TCOS, ln 62)</v>
      </c>
      <c r="D24" s="233"/>
      <c r="E24" s="263">
        <f>+R112</f>
        <v>1842574536.7079628</v>
      </c>
      <c r="F24" s="264"/>
      <c r="G24" s="251"/>
      <c r="H24" s="251"/>
      <c r="I24" s="251"/>
      <c r="J24" s="251"/>
      <c r="K24" s="251"/>
      <c r="L24" s="251"/>
      <c r="M24" s="251"/>
      <c r="N24" s="251"/>
      <c r="O24" s="251"/>
      <c r="P24" s="264"/>
      <c r="Q24" s="1"/>
    </row>
    <row r="25" spans="3:17" ht="12.5">
      <c r="C25" s="237" t="s">
        <v>18</v>
      </c>
      <c r="D25" s="235"/>
      <c r="E25" s="265">
        <f>F20</f>
        <v>7.4043357916699096E-2</v>
      </c>
      <c r="F25" s="251"/>
      <c r="G25" s="251"/>
      <c r="H25" s="251"/>
      <c r="I25" s="251"/>
      <c r="J25" s="251"/>
      <c r="K25" s="251"/>
      <c r="L25" s="251"/>
      <c r="M25" s="251"/>
      <c r="N25" s="251"/>
      <c r="O25" s="251"/>
      <c r="P25" s="251"/>
      <c r="Q25" s="1"/>
    </row>
    <row r="26" spans="3:17" ht="12.5">
      <c r="C26" s="266" t="s">
        <v>19</v>
      </c>
      <c r="D26" s="266"/>
      <c r="E26" s="252">
        <f>E24*E25</f>
        <v>136430405.90966371</v>
      </c>
      <c r="F26" s="251"/>
      <c r="G26" s="251"/>
      <c r="H26" s="251"/>
      <c r="I26" s="252"/>
      <c r="J26" s="252"/>
      <c r="K26" s="252"/>
      <c r="L26" s="252"/>
      <c r="M26" s="252"/>
      <c r="N26" s="252"/>
      <c r="O26" s="251"/>
      <c r="P26" s="251"/>
      <c r="Q26" s="1"/>
    </row>
    <row r="27" spans="3:17" ht="12.5">
      <c r="C27" s="266"/>
      <c r="D27" s="237"/>
      <c r="E27" s="237"/>
      <c r="F27" s="251"/>
      <c r="G27" s="251"/>
      <c r="H27" s="251"/>
      <c r="I27" s="252"/>
      <c r="J27" s="252"/>
      <c r="K27" s="252"/>
      <c r="L27" s="252"/>
      <c r="M27" s="252"/>
      <c r="N27" s="252"/>
      <c r="O27" s="251"/>
      <c r="P27" s="251"/>
      <c r="Q27" s="1"/>
    </row>
    <row r="28" spans="3:17" ht="15.5">
      <c r="C28" s="6" t="str">
        <f>"C.   Determine Income Taxes using Return with hypothetical "&amp;F13&amp;" basis point ROE increase for Identified Projects."</f>
        <v>C.   Determine Income Taxes using Return with hypothetical 0 basis point ROE increase for Identified Projects.</v>
      </c>
      <c r="D28" s="267"/>
      <c r="E28" s="267"/>
      <c r="F28" s="268"/>
      <c r="G28" s="268"/>
      <c r="H28" s="268"/>
      <c r="I28" s="269"/>
      <c r="J28" s="269"/>
      <c r="K28" s="269"/>
      <c r="L28" s="269"/>
      <c r="M28" s="269"/>
      <c r="N28" s="269"/>
      <c r="O28" s="268"/>
      <c r="P28" s="268"/>
      <c r="Q28" s="1"/>
    </row>
    <row r="29" spans="3:17" ht="12.5">
      <c r="C29" s="232"/>
      <c r="D29" s="237"/>
      <c r="E29" s="237"/>
      <c r="F29" s="251"/>
      <c r="G29" s="251"/>
      <c r="H29" s="251"/>
      <c r="I29" s="252"/>
      <c r="J29" s="252"/>
      <c r="K29" s="252"/>
      <c r="L29" s="252"/>
      <c r="M29" s="252"/>
      <c r="N29" s="252"/>
      <c r="O29" s="251"/>
      <c r="P29" s="251"/>
      <c r="Q29" s="1"/>
    </row>
    <row r="30" spans="3:17" ht="12.5">
      <c r="C30" s="237" t="s">
        <v>20</v>
      </c>
      <c r="D30" s="260"/>
      <c r="E30" s="264">
        <f>E26</f>
        <v>136430405.90966371</v>
      </c>
      <c r="F30" s="251"/>
      <c r="G30" s="251"/>
      <c r="H30" s="251"/>
      <c r="I30" s="251"/>
      <c r="J30" s="251"/>
      <c r="K30" s="251"/>
      <c r="L30" s="251"/>
      <c r="M30" s="251"/>
      <c r="N30" s="251"/>
      <c r="O30" s="251"/>
      <c r="P30" s="251"/>
      <c r="Q30" s="1"/>
    </row>
    <row r="31" spans="3:17" ht="12.5">
      <c r="C31" s="232" t="str">
        <f>+S113</f>
        <v xml:space="preserve">   Tax Rate  (TCOS, ln 97)</v>
      </c>
      <c r="D31" s="260"/>
      <c r="E31" s="8">
        <f>+R113</f>
        <v>0.24278499999999992</v>
      </c>
      <c r="F31" s="251"/>
      <c r="G31" s="251"/>
      <c r="H31" s="251"/>
      <c r="I31" s="251"/>
      <c r="J31" s="251"/>
      <c r="K31" s="251"/>
      <c r="L31" s="251"/>
      <c r="M31" s="251"/>
      <c r="N31" s="251"/>
      <c r="O31" s="251"/>
      <c r="P31" s="251"/>
      <c r="Q31" s="1"/>
    </row>
    <row r="32" spans="3:17" ht="12.5">
      <c r="C32" s="237" t="s">
        <v>21</v>
      </c>
      <c r="D32" s="2"/>
      <c r="E32" s="239">
        <f>IF(F17&gt;0,($E31/(1-$E31))*(1-$F17/$F20),0)</f>
        <v>0.22933000754166397</v>
      </c>
      <c r="F32" s="1"/>
      <c r="G32" s="239"/>
      <c r="H32" s="229"/>
      <c r="I32" s="1"/>
      <c r="J32" s="1"/>
      <c r="K32" s="1"/>
      <c r="L32" s="1"/>
      <c r="M32" s="1"/>
      <c r="N32" s="1"/>
      <c r="O32" s="1"/>
      <c r="P32" s="1"/>
      <c r="Q32" s="1"/>
    </row>
    <row r="33" spans="2:19" ht="12.5">
      <c r="C33" s="266" t="s">
        <v>22</v>
      </c>
      <c r="D33" s="2"/>
      <c r="E33" s="270">
        <f>E30*E32</f>
        <v>31287586.016175453</v>
      </c>
      <c r="F33" s="270"/>
      <c r="G33" s="1"/>
      <c r="H33" s="229"/>
      <c r="I33" s="1"/>
      <c r="J33" s="1"/>
      <c r="K33" s="1"/>
      <c r="L33" s="1"/>
      <c r="M33" s="1"/>
      <c r="N33" s="1"/>
      <c r="O33" s="1"/>
      <c r="P33" s="1"/>
      <c r="Q33" s="1"/>
    </row>
    <row r="34" spans="2:19" ht="15.5">
      <c r="C34" s="232" t="str">
        <f>+S114</f>
        <v xml:space="preserve">   ITC Adjustment  (TCOS, ln 106)</v>
      </c>
      <c r="D34" s="271"/>
      <c r="E34" s="251">
        <f>+R114</f>
        <v>-186082.76315122988</v>
      </c>
      <c r="F34" s="271"/>
      <c r="G34" s="271"/>
      <c r="H34" s="271"/>
      <c r="I34" s="271"/>
      <c r="J34" s="271"/>
      <c r="K34" s="271"/>
      <c r="L34" s="271"/>
      <c r="M34" s="271"/>
      <c r="N34" s="271"/>
      <c r="O34" s="271"/>
      <c r="P34" s="272"/>
      <c r="Q34" s="271"/>
    </row>
    <row r="35" spans="2:19" ht="15.5">
      <c r="C35" s="232" t="str">
        <f>+S115</f>
        <v xml:space="preserve">   Excess DFIT Adjustment  (TCOS, ln 107)</v>
      </c>
      <c r="D35" s="271"/>
      <c r="E35" s="251">
        <f>+R115</f>
        <v>-601214.01727575471</v>
      </c>
      <c r="F35" s="271"/>
      <c r="G35" s="271"/>
      <c r="H35" s="271"/>
      <c r="I35" s="271"/>
      <c r="J35" s="271"/>
      <c r="K35" s="271"/>
      <c r="L35" s="271"/>
      <c r="M35" s="271"/>
      <c r="N35" s="271"/>
      <c r="O35" s="271"/>
      <c r="P35" s="272"/>
      <c r="Q35" s="271"/>
    </row>
    <row r="36" spans="2:19" ht="15.5">
      <c r="C36" s="232" t="str">
        <f>+S116</f>
        <v xml:space="preserve">   Tax Effect of Permanent and Flow Through Differences  (TCOS, ln 108)</v>
      </c>
      <c r="D36" s="271"/>
      <c r="E36" s="251">
        <f>+R116</f>
        <v>226004.69760900139</v>
      </c>
      <c r="F36" s="271"/>
      <c r="G36" s="271"/>
      <c r="H36" s="271"/>
      <c r="I36" s="271"/>
      <c r="J36" s="271"/>
      <c r="K36" s="271"/>
      <c r="L36" s="271"/>
      <c r="M36" s="271"/>
      <c r="N36" s="271"/>
      <c r="O36" s="271"/>
      <c r="P36" s="272"/>
      <c r="Q36" s="271"/>
    </row>
    <row r="37" spans="2:19" ht="15.5">
      <c r="C37" s="266" t="s">
        <v>23</v>
      </c>
      <c r="D37" s="271"/>
      <c r="E37" s="251">
        <f>E33+E34+E35+E36</f>
        <v>30726293.93335747</v>
      </c>
      <c r="F37" s="271"/>
      <c r="G37" s="271"/>
      <c r="H37" s="271"/>
      <c r="I37" s="271"/>
      <c r="J37" s="271"/>
      <c r="K37" s="271"/>
      <c r="L37" s="271"/>
      <c r="M37" s="271"/>
      <c r="N37" s="271"/>
      <c r="O37" s="271"/>
      <c r="P37" s="273"/>
      <c r="Q37" s="271"/>
    </row>
    <row r="38" spans="2:19" ht="12.75" customHeight="1">
      <c r="C38" s="274"/>
      <c r="D38" s="271"/>
      <c r="E38" s="271"/>
      <c r="F38" s="271"/>
      <c r="G38" s="271"/>
      <c r="H38" s="271"/>
      <c r="I38" s="271"/>
      <c r="J38" s="271"/>
      <c r="K38" s="271"/>
      <c r="L38" s="271"/>
      <c r="M38" s="271"/>
      <c r="N38" s="271"/>
      <c r="O38" s="271"/>
      <c r="P38" s="273"/>
      <c r="Q38" s="271"/>
      <c r="R38" s="1"/>
      <c r="S38" s="1"/>
    </row>
    <row r="39" spans="2:19" ht="18">
      <c r="B39" s="4" t="s">
        <v>24</v>
      </c>
      <c r="C39" s="10" t="str">
        <f>"Calculate Net Plant Carrying Charge Rate (Fixed Charge Rate or FCR) with hypothetical "&amp;F13&amp;" basis point"</f>
        <v>Calculate Net Plant Carrying Charge Rate (Fixed Charge Rate or FCR) with hypothetical 0 basis point</v>
      </c>
      <c r="D39" s="271"/>
      <c r="E39" s="271"/>
      <c r="F39" s="271"/>
      <c r="G39" s="271"/>
      <c r="H39" s="271"/>
      <c r="I39" s="271"/>
      <c r="J39" s="271"/>
      <c r="K39" s="271"/>
      <c r="L39" s="271"/>
      <c r="M39" s="271"/>
      <c r="N39" s="271"/>
      <c r="O39" s="271"/>
      <c r="P39" s="273"/>
      <c r="Q39" s="271"/>
      <c r="R39" s="1"/>
      <c r="S39" s="1"/>
    </row>
    <row r="40" spans="2:19" ht="15.75" customHeight="1">
      <c r="B40" s="4"/>
      <c r="C40" s="10" t="str">
        <f>"ROE increase."</f>
        <v>ROE increase.</v>
      </c>
      <c r="D40" s="271"/>
      <c r="E40" s="271"/>
      <c r="F40" s="271"/>
      <c r="G40" s="271"/>
      <c r="H40" s="271"/>
      <c r="I40" s="271"/>
      <c r="J40" s="271"/>
      <c r="K40" s="271"/>
      <c r="L40" s="271"/>
      <c r="M40" s="271"/>
      <c r="N40" s="271"/>
      <c r="O40" s="271"/>
      <c r="P40" s="273"/>
      <c r="Q40" s="271"/>
      <c r="R40" s="1"/>
      <c r="S40" s="1"/>
    </row>
    <row r="41" spans="2:19" ht="12.75" customHeight="1">
      <c r="C41" s="274"/>
      <c r="D41" s="271"/>
      <c r="E41" s="271"/>
      <c r="F41" s="271"/>
      <c r="G41" s="271"/>
      <c r="H41" s="271"/>
      <c r="I41" s="271"/>
      <c r="J41" s="271"/>
      <c r="K41" s="271"/>
      <c r="L41" s="271"/>
      <c r="M41" s="271"/>
      <c r="N41" s="271"/>
      <c r="O41" s="271"/>
      <c r="P41" s="273"/>
      <c r="Q41" s="271"/>
      <c r="R41" s="1"/>
      <c r="S41" s="1"/>
    </row>
    <row r="42" spans="2:19" ht="15.5">
      <c r="C42" s="6" t="s">
        <v>25</v>
      </c>
      <c r="D42" s="271"/>
      <c r="E42" s="271"/>
      <c r="F42" s="274"/>
      <c r="G42" s="271"/>
      <c r="H42" s="271"/>
      <c r="I42" s="271"/>
      <c r="J42" s="271"/>
      <c r="K42" s="271"/>
      <c r="L42" s="271"/>
      <c r="M42" s="271"/>
      <c r="N42" s="271"/>
      <c r="O42" s="271"/>
      <c r="P42" s="273"/>
      <c r="Q42" s="271"/>
      <c r="R42" s="1"/>
      <c r="S42" s="1"/>
    </row>
    <row r="43" spans="2:19" ht="12.5">
      <c r="B43" s="1"/>
      <c r="C43" s="232"/>
      <c r="D43" s="233"/>
      <c r="E43" s="233"/>
      <c r="F43" s="233"/>
      <c r="G43" s="233"/>
      <c r="H43" s="233"/>
      <c r="I43" s="233"/>
      <c r="J43" s="233"/>
      <c r="K43" s="233"/>
      <c r="L43" s="233"/>
      <c r="M43" s="233"/>
      <c r="N43" s="233"/>
      <c r="O43" s="233"/>
      <c r="P43" s="251"/>
      <c r="Q43" s="233"/>
      <c r="R43" s="1"/>
      <c r="S43" s="1"/>
    </row>
    <row r="44" spans="2:19" ht="12.75" customHeight="1">
      <c r="B44" s="1"/>
      <c r="C44" s="232" t="str">
        <f>+S117</f>
        <v xml:space="preserve">   Net Revenue Requirement  (TCOS, ln 115)</v>
      </c>
      <c r="D44" s="233"/>
      <c r="E44" s="233"/>
      <c r="F44" s="251">
        <f>+R117</f>
        <v>303351471.94286269</v>
      </c>
      <c r="G44" s="233"/>
      <c r="H44" s="233"/>
      <c r="I44" s="233"/>
      <c r="J44" s="233"/>
      <c r="K44" s="233"/>
      <c r="L44" s="233"/>
      <c r="M44" s="233"/>
      <c r="N44" s="233"/>
      <c r="O44" s="233"/>
      <c r="P44" s="251"/>
      <c r="Q44" s="233"/>
      <c r="R44" s="1"/>
      <c r="S44" s="1"/>
    </row>
    <row r="45" spans="2:19" ht="12.5">
      <c r="B45" s="1"/>
      <c r="C45" s="232" t="str">
        <f>+S118</f>
        <v xml:space="preserve">   Return  (TCOS, ln 110)</v>
      </c>
      <c r="D45" s="233"/>
      <c r="E45" s="233"/>
      <c r="F45" s="252">
        <f>+R118</f>
        <v>136430405.90966371</v>
      </c>
      <c r="G45" s="232"/>
      <c r="H45" s="232"/>
      <c r="I45" s="232"/>
      <c r="J45" s="232"/>
      <c r="K45" s="232"/>
      <c r="L45" s="232"/>
      <c r="M45" s="232"/>
      <c r="N45" s="232"/>
      <c r="O45" s="232"/>
      <c r="P45" s="251"/>
      <c r="Q45" s="233"/>
      <c r="R45" s="1"/>
      <c r="S45" s="1"/>
    </row>
    <row r="46" spans="2:19" ht="12.5">
      <c r="B46" s="1"/>
      <c r="C46" s="232" t="str">
        <f>+S119</f>
        <v xml:space="preserve">   Income Taxes  (TCOS, ln 109)</v>
      </c>
      <c r="D46" s="233"/>
      <c r="E46" s="233"/>
      <c r="F46" s="251">
        <f>+R119</f>
        <v>30726293.93335747</v>
      </c>
      <c r="G46" s="233"/>
      <c r="H46" s="233"/>
      <c r="I46" s="275"/>
      <c r="J46" s="275"/>
      <c r="K46" s="275"/>
      <c r="L46" s="275"/>
      <c r="M46" s="275"/>
      <c r="N46" s="275"/>
      <c r="O46" s="233"/>
      <c r="P46" s="233"/>
      <c r="Q46" s="233"/>
      <c r="R46" s="1"/>
      <c r="S46" s="1"/>
    </row>
    <row r="47" spans="2:19" ht="12.5">
      <c r="B47" s="1"/>
      <c r="C47" s="232" t="str">
        <f>+S120</f>
        <v xml:space="preserve">  Gross Margin Taxes  (TCOS, ln 114)</v>
      </c>
      <c r="D47" s="233"/>
      <c r="E47" s="233"/>
      <c r="F47" s="276">
        <f>+R120</f>
        <v>136681.70445528976</v>
      </c>
      <c r="G47" s="233"/>
      <c r="H47" s="233"/>
      <c r="I47" s="275"/>
      <c r="J47" s="275"/>
      <c r="K47" s="275"/>
      <c r="L47" s="275"/>
      <c r="M47" s="275"/>
      <c r="N47" s="275"/>
      <c r="O47" s="233"/>
      <c r="P47" s="233"/>
      <c r="Q47" s="233"/>
      <c r="R47" s="1"/>
      <c r="S47" s="1"/>
    </row>
    <row r="48" spans="2:19" ht="12.5">
      <c r="B48" s="1"/>
      <c r="C48" s="1" t="s">
        <v>26</v>
      </c>
      <c r="D48" s="233"/>
      <c r="E48" s="233"/>
      <c r="F48" s="252">
        <f>F44-F45-F46-F47</f>
        <v>136058090.39538622</v>
      </c>
      <c r="G48" s="249"/>
      <c r="H48" s="233"/>
      <c r="I48" s="249"/>
      <c r="J48" s="249"/>
      <c r="K48" s="249"/>
      <c r="L48" s="249"/>
      <c r="M48" s="249"/>
      <c r="N48" s="249"/>
      <c r="O48" s="233"/>
      <c r="P48" s="249"/>
      <c r="Q48" s="233"/>
      <c r="R48" s="1"/>
      <c r="S48" s="1"/>
    </row>
    <row r="49" spans="2:19" ht="12.5">
      <c r="B49" s="1"/>
      <c r="C49" s="232"/>
      <c r="D49" s="233"/>
      <c r="E49" s="233"/>
      <c r="F49" s="251"/>
      <c r="G49" s="234"/>
      <c r="H49" s="246"/>
      <c r="I49" s="246"/>
      <c r="J49" s="246"/>
      <c r="K49" s="246"/>
      <c r="L49" s="246"/>
      <c r="M49" s="246"/>
      <c r="N49" s="246"/>
      <c r="O49" s="237"/>
      <c r="P49" s="246"/>
      <c r="Q49" s="277"/>
      <c r="R49" s="1"/>
      <c r="S49" s="1"/>
    </row>
    <row r="50" spans="2:19" ht="15.5">
      <c r="B50" s="1"/>
      <c r="C50" s="6" t="str">
        <f>"B.   Determine Net Revenue Requirement with hypothetical "&amp;F13&amp;" basis point increase in ROE."</f>
        <v>B.   Determine Net Revenue Requirement with hypothetical 0 basis point increase in ROE.</v>
      </c>
      <c r="D50" s="237"/>
      <c r="E50" s="237"/>
      <c r="F50" s="251"/>
      <c r="G50" s="234"/>
      <c r="H50" s="246"/>
      <c r="I50" s="246"/>
      <c r="J50" s="246"/>
      <c r="K50" s="246"/>
      <c r="L50" s="246"/>
      <c r="M50" s="246"/>
      <c r="N50" s="246"/>
      <c r="O50" s="237"/>
      <c r="P50" s="246"/>
      <c r="Q50" s="233"/>
    </row>
    <row r="51" spans="2:19" ht="12.5">
      <c r="B51" s="1"/>
      <c r="C51" s="232"/>
      <c r="D51" s="237"/>
      <c r="E51" s="237"/>
      <c r="F51" s="251"/>
      <c r="G51" s="234"/>
      <c r="H51" s="246"/>
      <c r="I51" s="246"/>
      <c r="J51" s="246"/>
      <c r="K51" s="246"/>
      <c r="L51" s="246"/>
      <c r="M51" s="246"/>
      <c r="N51" s="246"/>
      <c r="O51" s="237"/>
      <c r="P51" s="246"/>
      <c r="Q51" s="233"/>
    </row>
    <row r="52" spans="2:19" ht="13">
      <c r="B52" s="1"/>
      <c r="C52" s="232" t="str">
        <f>C48</f>
        <v xml:space="preserve">   Net Revenue Requirement, Less Return and Taxes</v>
      </c>
      <c r="D52" s="237"/>
      <c r="E52" s="237"/>
      <c r="F52" s="251">
        <f>F48</f>
        <v>136058090.39538622</v>
      </c>
      <c r="G52" s="233"/>
      <c r="H52" s="233"/>
      <c r="I52" s="233"/>
      <c r="J52" s="233"/>
      <c r="K52" s="233"/>
      <c r="L52" s="233"/>
      <c r="M52" s="233"/>
      <c r="N52" s="233"/>
      <c r="O52" s="278"/>
      <c r="P52" s="279"/>
      <c r="Q52" s="280"/>
    </row>
    <row r="53" spans="2:19" ht="13">
      <c r="B53" s="1"/>
      <c r="C53" s="237" t="s">
        <v>93</v>
      </c>
      <c r="D53" s="2"/>
      <c r="E53" s="1"/>
      <c r="F53" s="270">
        <f>E26</f>
        <v>136430405.90966371</v>
      </c>
      <c r="G53" s="1"/>
      <c r="H53" s="281"/>
      <c r="I53" s="1"/>
      <c r="J53" s="1"/>
      <c r="K53" s="1"/>
      <c r="L53" s="1"/>
      <c r="M53" s="1"/>
      <c r="N53" s="1"/>
      <c r="O53" s="1"/>
      <c r="P53" s="1"/>
      <c r="Q53" s="1"/>
    </row>
    <row r="54" spans="2:19" ht="12.75" customHeight="1">
      <c r="B54" s="1"/>
      <c r="C54" s="232" t="s">
        <v>27</v>
      </c>
      <c r="D54" s="233"/>
      <c r="E54" s="233"/>
      <c r="F54" s="282">
        <f>E37</f>
        <v>30726293.93335747</v>
      </c>
      <c r="G54" s="1"/>
      <c r="H54" s="229"/>
      <c r="I54" s="1"/>
      <c r="J54" s="1"/>
      <c r="K54" s="1"/>
      <c r="L54" s="1"/>
      <c r="M54" s="1"/>
      <c r="N54" s="1"/>
      <c r="O54" s="1"/>
      <c r="P54" s="1"/>
      <c r="Q54" s="1"/>
    </row>
    <row r="55" spans="2:19" ht="12.5">
      <c r="B55" s="1"/>
      <c r="C55" s="1" t="str">
        <f>"   Net Revenue Requirement, with "&amp;F13&amp;" Basis Point ROE increase"</f>
        <v xml:space="preserve">   Net Revenue Requirement, with 0 Basis Point ROE increase</v>
      </c>
      <c r="D55" s="2"/>
      <c r="E55" s="1"/>
      <c r="F55" s="270">
        <f>SUM(F52:F54)</f>
        <v>303214790.23840737</v>
      </c>
      <c r="G55" s="1"/>
      <c r="H55" s="229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2:19" ht="12.5">
      <c r="B56" s="1"/>
      <c r="C56" s="1" t="str">
        <f>"   Gross Margin Tax with "&amp;F13&amp;" Basis Point ROE Increase (II C. below)"</f>
        <v xml:space="preserve">   Gross Margin Tax with 0 Basis Point ROE Increase (II C. below)</v>
      </c>
      <c r="F56" s="283">
        <f>+F71</f>
        <v>295004.06060197059</v>
      </c>
      <c r="G56" s="1"/>
      <c r="H56" s="229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2:19" ht="12.5">
      <c r="B57" s="1"/>
      <c r="C57" s="1" t="s">
        <v>28</v>
      </c>
      <c r="D57" s="2"/>
      <c r="E57" s="1"/>
      <c r="F57" s="270">
        <f>+F55+F56</f>
        <v>303509794.29900932</v>
      </c>
      <c r="G57" s="1"/>
      <c r="H57" s="229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2:19" ht="12.5">
      <c r="B58" s="1"/>
      <c r="C58" s="232" t="str">
        <f>+S121</f>
        <v xml:space="preserve">   Less: Depreciation  (TCOS, ln 84)</v>
      </c>
      <c r="D58" s="2"/>
      <c r="E58" s="1"/>
      <c r="F58" s="284">
        <f>+R121</f>
        <v>61993630.053569101</v>
      </c>
      <c r="G58" s="1"/>
      <c r="H58" s="229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2:19" ht="12.5">
      <c r="B59" s="1"/>
      <c r="C59" s="1" t="str">
        <f>"   Net Rev. Req, w/"&amp;F13&amp;" Basis Point ROE increase, less Depreciation"</f>
        <v xml:space="preserve">   Net Rev. Req, w/0 Basis Point ROE increase, less Depreciation</v>
      </c>
      <c r="D59" s="2"/>
      <c r="E59" s="1"/>
      <c r="F59" s="270">
        <f>F57-F58</f>
        <v>241516164.24544021</v>
      </c>
      <c r="G59" s="1"/>
      <c r="H59" s="229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2:19" ht="12.5">
      <c r="B60" s="1"/>
      <c r="C60" s="1"/>
      <c r="D60" s="2"/>
      <c r="E60" s="1"/>
      <c r="F60" s="1"/>
      <c r="G60" s="1"/>
      <c r="H60" s="229"/>
      <c r="I60" s="1"/>
      <c r="J60" s="1"/>
      <c r="K60" s="1"/>
      <c r="L60" s="1"/>
      <c r="M60" s="1"/>
      <c r="N60" s="1"/>
      <c r="O60" s="1"/>
      <c r="P60" s="1"/>
      <c r="Q60" s="1" t="str">
        <f>IF(ROUND(Q59,0)=ROUND(SUM(Q18:Q58),0),"","Error -- check allocations above).")</f>
        <v/>
      </c>
      <c r="R60" s="1"/>
      <c r="S60" s="1"/>
    </row>
    <row r="61" spans="2:19" ht="15.5">
      <c r="B61" s="1"/>
      <c r="C61" s="6" t="str">
        <f>"C.   Determine Gross Margin Tax with hypothetical "&amp;F13&amp;" basis point increase in ROE."</f>
        <v>C.   Determine Gross Margin Tax with hypothetical 0 basis point increase in ROE.</v>
      </c>
      <c r="F61" s="270"/>
      <c r="G61" s="1"/>
      <c r="H61" s="285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2:19" ht="12.5">
      <c r="B62" s="1"/>
      <c r="C62" s="1" t="str">
        <f>"   Net Revenue Requirement before Gross Margin Taxes, with "&amp;F13&amp;" "</f>
        <v xml:space="preserve">   Net Revenue Requirement before Gross Margin Taxes, with 0 </v>
      </c>
      <c r="F62" s="270">
        <f>+F55</f>
        <v>303214790.23840737</v>
      </c>
      <c r="G62" s="1"/>
      <c r="H62" s="285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2:19" ht="12.5">
      <c r="B63" s="1"/>
      <c r="C63" s="1" t="s">
        <v>29</v>
      </c>
      <c r="F63" s="270"/>
      <c r="G63" s="1"/>
      <c r="H63" s="285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2:19" ht="12.5">
      <c r="B64" s="1"/>
      <c r="C64" s="1" t="str">
        <f>+S122</f>
        <v xml:space="preserve">       Apportionment Factor to Texas (Worksheet K, ln 12)</v>
      </c>
      <c r="D64" s="2"/>
      <c r="E64" s="1"/>
      <c r="F64" s="286">
        <f>+R122</f>
        <v>0.44180361742045854</v>
      </c>
      <c r="G64" s="1"/>
      <c r="H64" s="285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2:19" ht="12.5">
      <c r="B65" s="1"/>
      <c r="C65" s="1" t="s">
        <v>30</v>
      </c>
      <c r="D65" s="2"/>
      <c r="E65" s="1"/>
      <c r="F65" s="270">
        <f>+F62*F64</f>
        <v>133961391.18271391</v>
      </c>
      <c r="G65" s="1"/>
      <c r="H65" s="285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2:19" ht="12.5">
      <c r="B66" s="1"/>
      <c r="C66" s="1" t="s">
        <v>396</v>
      </c>
      <c r="D66" s="2"/>
      <c r="E66" s="1"/>
      <c r="F66" s="287">
        <v>0.22</v>
      </c>
      <c r="G66" s="1"/>
      <c r="H66" s="285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2:19" ht="12.5">
      <c r="B67" s="1"/>
      <c r="C67" s="1" t="s">
        <v>31</v>
      </c>
      <c r="D67" s="2"/>
      <c r="E67" s="1"/>
      <c r="F67" s="270">
        <f>+F65*F66</f>
        <v>29471506.060197059</v>
      </c>
      <c r="G67" s="1"/>
      <c r="H67" s="285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2:19" ht="12.5">
      <c r="B68" s="1"/>
      <c r="C68" s="1" t="s">
        <v>32</v>
      </c>
      <c r="D68" s="2"/>
      <c r="E68" s="1"/>
      <c r="F68" s="287">
        <v>0.01</v>
      </c>
      <c r="G68" s="1"/>
      <c r="H68" s="285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2:19" ht="12.5">
      <c r="B69" s="1"/>
      <c r="C69" s="1" t="s">
        <v>33</v>
      </c>
      <c r="D69" s="2"/>
      <c r="E69" s="1"/>
      <c r="F69" s="270">
        <f>+F67*F68</f>
        <v>294715.06060197059</v>
      </c>
      <c r="G69" s="1"/>
      <c r="H69" s="285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2:19" ht="12.5">
      <c r="B70" s="1"/>
      <c r="C70" s="1" t="s">
        <v>34</v>
      </c>
      <c r="D70" s="2"/>
      <c r="E70" s="1"/>
      <c r="F70" s="288">
        <f>+ROUND((F69*F66*F64)/(1-F68)*F68,0)</f>
        <v>289</v>
      </c>
      <c r="G70" s="1"/>
      <c r="H70" s="285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2:19" ht="12.5">
      <c r="B71" s="1"/>
      <c r="C71" s="1" t="s">
        <v>35</v>
      </c>
      <c r="D71" s="2"/>
      <c r="E71" s="1"/>
      <c r="F71" s="270">
        <f>+F69+F70</f>
        <v>295004.06060197059</v>
      </c>
      <c r="G71" s="1"/>
      <c r="H71" s="285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2:19" ht="12.5">
      <c r="B72" s="1"/>
      <c r="C72" s="1"/>
      <c r="D72" s="2"/>
      <c r="E72" s="1"/>
      <c r="F72" s="1"/>
      <c r="G72" s="1"/>
      <c r="H72" s="229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2:19" ht="15.5">
      <c r="B73" s="1"/>
      <c r="C73" s="6" t="str">
        <f>"D.   Determine FCR with hypothetical "&amp;F13&amp;" basis point ROE increase."</f>
        <v>D.   Determine FCR with hypothetical 0 basis point ROE increase.</v>
      </c>
      <c r="D73" s="2"/>
      <c r="E73" s="1"/>
      <c r="F73" s="1"/>
      <c r="G73" s="1"/>
      <c r="H73" s="229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2:19" ht="12.5">
      <c r="B74" s="1"/>
      <c r="C74" s="1"/>
      <c r="D74" s="2"/>
      <c r="E74" s="1"/>
      <c r="F74" s="1"/>
      <c r="G74" s="1"/>
      <c r="H74" s="229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2:19" ht="12.5">
      <c r="B75" s="1"/>
      <c r="C75" s="232" t="str">
        <f>+S123</f>
        <v xml:space="preserve">   Net Transmission Plant  (TCOS, ln 37)</v>
      </c>
      <c r="D75" s="2"/>
      <c r="E75" s="1"/>
      <c r="F75" s="270">
        <f>+R123</f>
        <v>2019272432.5376625</v>
      </c>
      <c r="G75" s="230"/>
      <c r="H75" s="210"/>
      <c r="P75" s="1"/>
      <c r="Q75" s="1"/>
      <c r="R75" s="1"/>
      <c r="S75" s="1"/>
    </row>
    <row r="76" spans="2:19" ht="12.5">
      <c r="B76" s="1"/>
      <c r="C76" s="1" t="str">
        <f>"   Net Revenue Requirement, with "&amp;F13&amp;" Basis Point ROE increase"</f>
        <v xml:space="preserve">   Net Revenue Requirement, with 0 Basis Point ROE increase</v>
      </c>
      <c r="D76" s="2"/>
      <c r="E76" s="1"/>
      <c r="F76" s="283">
        <f>F55</f>
        <v>303214790.23840737</v>
      </c>
      <c r="H76" s="210"/>
      <c r="P76" s="1"/>
      <c r="Q76" s="1"/>
      <c r="R76" s="1"/>
      <c r="S76" s="1"/>
    </row>
    <row r="77" spans="2:19" ht="12.5">
      <c r="B77" s="1"/>
      <c r="C77" s="1" t="str">
        <f>"   FCR with "&amp;F13&amp;" Basis Point increase in ROE"</f>
        <v xml:space="preserve">   FCR with 0 Basis Point increase in ROE</v>
      </c>
      <c r="D77" s="2"/>
      <c r="E77" s="1"/>
      <c r="F77" s="8">
        <f>IF(F75=0,0,F76/F75)</f>
        <v>0.15016041686725298</v>
      </c>
      <c r="H77" s="210"/>
      <c r="P77" s="1"/>
      <c r="Q77" s="1"/>
      <c r="R77" s="1"/>
      <c r="S77" s="1"/>
    </row>
    <row r="78" spans="2:19" ht="12.5">
      <c r="B78" s="1"/>
      <c r="D78" s="2"/>
      <c r="E78" s="1"/>
      <c r="F78" s="1"/>
      <c r="H78" s="210"/>
      <c r="P78" s="1"/>
      <c r="Q78" s="1"/>
      <c r="R78" s="1"/>
      <c r="S78" s="1"/>
    </row>
    <row r="79" spans="2:19" ht="12.5">
      <c r="B79" s="1"/>
      <c r="C79" s="1" t="str">
        <f>"   Net Rev. Req, w / "&amp;F13&amp;" Basis Point ROE increase, less Dep."</f>
        <v xml:space="preserve">   Net Rev. Req, w / 0 Basis Point ROE increase, less Dep.</v>
      </c>
      <c r="D79" s="2"/>
      <c r="E79" s="1"/>
      <c r="F79" s="270">
        <f>F59</f>
        <v>241516164.24544021</v>
      </c>
      <c r="G79" s="230"/>
      <c r="H79" s="210"/>
      <c r="P79" s="1"/>
      <c r="Q79" s="1"/>
      <c r="R79" s="1"/>
      <c r="S79" s="1"/>
    </row>
    <row r="80" spans="2:19" ht="12.5">
      <c r="B80" s="1"/>
      <c r="C80" s="1" t="str">
        <f>"   FCR with "&amp;F13&amp;" Basis Point ROE increase, less Depreciation"</f>
        <v xml:space="preserve">   FCR with 0 Basis Point ROE increase, less Depreciation</v>
      </c>
      <c r="D80" s="2"/>
      <c r="E80" s="1"/>
      <c r="F80" s="8">
        <f>IF(F75=0,0,F79/F75)</f>
        <v>0.11960553729836332</v>
      </c>
      <c r="G80" s="8"/>
      <c r="H80" s="210"/>
      <c r="P80" s="1"/>
      <c r="Q80" s="1"/>
      <c r="R80" s="1"/>
      <c r="S80" s="1"/>
    </row>
    <row r="81" spans="2:19" ht="12.5">
      <c r="B81" s="1"/>
      <c r="C81" s="232" t="str">
        <f>+S124</f>
        <v xml:space="preserve">   FCR less Depreciation  (TCOS, ln 10)</v>
      </c>
      <c r="D81" s="2"/>
      <c r="E81" s="1"/>
      <c r="F81" s="289">
        <f>+R124</f>
        <v>0.11952713165403545</v>
      </c>
      <c r="H81" s="210"/>
      <c r="P81" s="1"/>
      <c r="Q81" s="1"/>
      <c r="R81" s="1"/>
      <c r="S81" s="1"/>
    </row>
    <row r="82" spans="2:19" ht="12.5">
      <c r="B82" s="1"/>
      <c r="C82" s="473" t="str">
        <f>"   Incremental FCR with "&amp;F13&amp;" Basis Point ROE increase, less Depreciation"</f>
        <v xml:space="preserve">   Incremental FCR with 0 Basis Point ROE increase, less Depreciation</v>
      </c>
      <c r="D82" s="476"/>
      <c r="E82" s="476"/>
      <c r="F82" s="8">
        <f>F80-F81</f>
        <v>7.8405644327872448E-5</v>
      </c>
      <c r="H82" s="210"/>
      <c r="P82" s="1"/>
      <c r="Q82" s="1"/>
      <c r="R82" s="1"/>
      <c r="S82" s="1"/>
    </row>
    <row r="83" spans="2:19" ht="12.5">
      <c r="B83" s="1"/>
      <c r="C83" s="476"/>
      <c r="D83" s="476"/>
      <c r="E83" s="476"/>
      <c r="F83" s="8"/>
      <c r="G83" s="1"/>
      <c r="H83" s="229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2:19" ht="18">
      <c r="B84" s="4" t="s">
        <v>36</v>
      </c>
      <c r="C84" s="10" t="s">
        <v>37</v>
      </c>
      <c r="D84" s="2"/>
      <c r="E84" s="1"/>
      <c r="F84" s="8"/>
      <c r="G84" s="1"/>
      <c r="H84" s="229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2:19" ht="12.75" customHeight="1">
      <c r="B85" s="4"/>
      <c r="C85" s="10"/>
      <c r="D85" s="2"/>
      <c r="E85" s="1"/>
      <c r="F85" s="8"/>
      <c r="G85" s="1"/>
      <c r="H85" s="229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2:19" ht="12.75" customHeight="1">
      <c r="B86" s="4"/>
      <c r="C86" s="1" t="s">
        <v>38</v>
      </c>
      <c r="D86" s="2"/>
      <c r="F86" s="285">
        <f>+R125</f>
        <v>2668092993.9039097</v>
      </c>
      <c r="G86" s="1" t="s">
        <v>39</v>
      </c>
      <c r="H86" s="229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2:19" ht="12.75" customHeight="1">
      <c r="B87" s="4"/>
      <c r="C87" s="1" t="s">
        <v>40</v>
      </c>
      <c r="D87" s="2"/>
      <c r="F87" s="290">
        <f>R126</f>
        <v>2970701633.5158801</v>
      </c>
      <c r="G87" s="1" t="s">
        <v>39</v>
      </c>
      <c r="H87" s="229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2:19" ht="12.5">
      <c r="B88" s="1"/>
      <c r="C88" s="1"/>
      <c r="D88" s="2"/>
      <c r="F88" s="229">
        <f>+F87+F86</f>
        <v>5638794627.4197903</v>
      </c>
      <c r="G88" s="270"/>
      <c r="H88" s="229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2:19" ht="12.5">
      <c r="B89" s="1"/>
      <c r="C89" s="1" t="str">
        <f>S127</f>
        <v xml:space="preserve">Transmission Plant Average Balance for 2017 </v>
      </c>
      <c r="D89" s="2"/>
      <c r="F89" s="281">
        <f>+F88/2</f>
        <v>2819397313.7098951</v>
      </c>
      <c r="G89" s="291"/>
      <c r="H89" s="229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2:19" ht="12.5">
      <c r="B90" s="1"/>
      <c r="C90" s="232" t="str">
        <f>S128</f>
        <v>Annual Depreciation Expense  (Historic TCOS, ln 244)</v>
      </c>
      <c r="D90" s="2"/>
      <c r="E90" s="1"/>
      <c r="F90" s="281">
        <f>R128</f>
        <v>64680383.276527703</v>
      </c>
      <c r="G90" s="1"/>
      <c r="H90" s="229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2:19" ht="12.5">
      <c r="B91" s="1"/>
      <c r="C91" s="1" t="s">
        <v>41</v>
      </c>
      <c r="D91" s="2"/>
      <c r="E91" s="1"/>
      <c r="F91" s="8">
        <f>IF(F89=0,0,F90/F89)</f>
        <v>2.2941209088199854E-2</v>
      </c>
      <c r="G91" s="1"/>
      <c r="H91" s="292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2:19" ht="12.5">
      <c r="B92" s="1"/>
      <c r="C92" s="1" t="s">
        <v>42</v>
      </c>
      <c r="D92" s="2"/>
      <c r="E92" s="1"/>
      <c r="F92" s="292">
        <f>IF(F91=0,0,1/F91)</f>
        <v>43.589681614225142</v>
      </c>
      <c r="H92" s="229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2:19" ht="12.5">
      <c r="B93" s="1"/>
      <c r="C93" s="1" t="s">
        <v>43</v>
      </c>
      <c r="D93" s="2"/>
      <c r="E93" s="1"/>
      <c r="F93" s="12">
        <f>ROUND(F92,0)</f>
        <v>44</v>
      </c>
      <c r="G93" s="1"/>
      <c r="H93" s="229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2:19" ht="12.5">
      <c r="C94" s="2"/>
      <c r="D94" s="12"/>
      <c r="E94" s="12"/>
      <c r="F94" s="12"/>
      <c r="G94" s="293"/>
      <c r="H94" s="293"/>
      <c r="I94" s="65"/>
      <c r="J94" s="65"/>
      <c r="K94" s="65"/>
      <c r="L94" s="65"/>
      <c r="M94" s="65"/>
      <c r="N94" s="65"/>
      <c r="O94" s="1"/>
      <c r="P94" s="1"/>
      <c r="Q94" s="1"/>
      <c r="R94" s="1"/>
      <c r="S94" s="1"/>
    </row>
    <row r="95" spans="2:19" ht="12.5">
      <c r="C95" s="2"/>
      <c r="D95" s="12"/>
      <c r="E95" s="12"/>
      <c r="F95" s="12"/>
      <c r="G95" s="293"/>
      <c r="H95" s="293"/>
      <c r="I95" s="65"/>
      <c r="J95" s="65"/>
      <c r="K95" s="65"/>
      <c r="L95" s="65"/>
      <c r="M95" s="65"/>
      <c r="N95" s="65"/>
      <c r="O95" s="1"/>
      <c r="P95" s="1"/>
      <c r="Q95" s="1"/>
      <c r="R95" s="1"/>
      <c r="S95" s="1"/>
    </row>
    <row r="96" spans="2:19" ht="12.5">
      <c r="P96" s="1"/>
      <c r="Q96" s="1"/>
      <c r="R96" s="1"/>
      <c r="S96" s="1"/>
    </row>
    <row r="97" spans="3:19" ht="13">
      <c r="P97" s="1"/>
      <c r="Q97" s="1"/>
      <c r="R97" s="294" t="s">
        <v>112</v>
      </c>
      <c r="S97" t="s">
        <v>113</v>
      </c>
    </row>
    <row r="98" spans="3:19" ht="12.5">
      <c r="P98" s="1"/>
      <c r="Q98" s="1"/>
    </row>
    <row r="99" spans="3:19" ht="13">
      <c r="C99" s="93" t="s">
        <v>109</v>
      </c>
      <c r="L99" s="93" t="s">
        <v>108</v>
      </c>
      <c r="P99" s="1"/>
      <c r="Q99" s="1"/>
    </row>
    <row r="100" spans="3:19" ht="12.5">
      <c r="P100" s="1"/>
      <c r="Q100" s="1"/>
      <c r="S100" s="223" t="s">
        <v>106</v>
      </c>
    </row>
    <row r="101" spans="3:19" ht="13">
      <c r="P101" s="1"/>
      <c r="Q101" s="1"/>
      <c r="R101" s="294" t="s">
        <v>103</v>
      </c>
      <c r="S101" s="199" t="s">
        <v>107</v>
      </c>
    </row>
    <row r="102" spans="3:19" ht="13.5" thickBot="1">
      <c r="P102" s="1"/>
      <c r="Q102" s="1"/>
      <c r="R102" s="295" t="s">
        <v>137</v>
      </c>
    </row>
    <row r="103" spans="3:19" ht="12.5">
      <c r="P103" s="1"/>
      <c r="Q103" s="1"/>
      <c r="R103" s="296" t="s">
        <v>397</v>
      </c>
      <c r="S103" s="297" t="s">
        <v>127</v>
      </c>
    </row>
    <row r="104" spans="3:19" ht="12.5">
      <c r="P104" s="1"/>
      <c r="Q104" s="1"/>
      <c r="R104" s="298">
        <v>2024</v>
      </c>
      <c r="S104" s="299" t="s">
        <v>14</v>
      </c>
    </row>
    <row r="105" spans="3:19" ht="12.5">
      <c r="P105" s="1"/>
      <c r="Q105" s="1"/>
      <c r="R105" s="300">
        <v>0.105</v>
      </c>
      <c r="S105" s="299" t="s">
        <v>438</v>
      </c>
    </row>
    <row r="106" spans="3:19" ht="12.5">
      <c r="P106" s="1"/>
      <c r="Q106" s="1"/>
      <c r="R106" s="301">
        <v>0</v>
      </c>
      <c r="S106" s="299" t="s">
        <v>1</v>
      </c>
    </row>
    <row r="107" spans="3:19" ht="12.5">
      <c r="P107" s="1"/>
      <c r="Q107" s="1"/>
      <c r="R107" s="300">
        <v>0.49562326074845731</v>
      </c>
      <c r="S107" s="302" t="s">
        <v>98</v>
      </c>
    </row>
    <row r="108" spans="3:19" ht="12.5">
      <c r="P108" s="1"/>
      <c r="Q108" s="1"/>
      <c r="R108" s="303">
        <v>4.253997333266353E-2</v>
      </c>
      <c r="S108" s="302" t="s">
        <v>99</v>
      </c>
    </row>
    <row r="109" spans="3:19" ht="12.5">
      <c r="P109" s="1"/>
      <c r="Q109" s="1"/>
      <c r="R109" s="300">
        <v>0</v>
      </c>
      <c r="S109" s="302" t="s">
        <v>100</v>
      </c>
    </row>
    <row r="110" spans="3:19" ht="12.5">
      <c r="P110" s="1"/>
      <c r="Q110" s="1"/>
      <c r="R110" s="303">
        <v>0</v>
      </c>
      <c r="S110" s="302" t="s">
        <v>101</v>
      </c>
    </row>
    <row r="111" spans="3:19" ht="12.5">
      <c r="P111" s="1"/>
      <c r="Q111" s="1"/>
      <c r="R111" s="300">
        <v>0.50437673925154269</v>
      </c>
      <c r="S111" s="304" t="s">
        <v>102</v>
      </c>
    </row>
    <row r="112" spans="3:19" ht="12.5">
      <c r="P112" s="1"/>
      <c r="Q112" s="1"/>
      <c r="R112" s="305">
        <v>1842574536.7079628</v>
      </c>
      <c r="S112" s="306" t="s">
        <v>443</v>
      </c>
    </row>
    <row r="113" spans="3:19" ht="12.5">
      <c r="P113" s="1"/>
      <c r="Q113" s="1"/>
      <c r="R113" s="307">
        <v>0.24278499999999992</v>
      </c>
      <c r="S113" s="308" t="s">
        <v>444</v>
      </c>
    </row>
    <row r="114" spans="3:19" ht="12.5">
      <c r="P114" s="1"/>
      <c r="Q114" s="1"/>
      <c r="R114" s="309">
        <v>-186082.76315122988</v>
      </c>
      <c r="S114" s="308" t="s">
        <v>445</v>
      </c>
    </row>
    <row r="115" spans="3:19" ht="12.5">
      <c r="P115" s="1"/>
      <c r="Q115" s="1"/>
      <c r="R115" s="309">
        <v>-601214.01727575471</v>
      </c>
      <c r="S115" s="308" t="s">
        <v>446</v>
      </c>
    </row>
    <row r="116" spans="3:19" ht="12.5">
      <c r="P116" s="1"/>
      <c r="Q116" s="1"/>
      <c r="R116" s="309">
        <v>226004.69760900139</v>
      </c>
      <c r="S116" s="308" t="s">
        <v>447</v>
      </c>
    </row>
    <row r="117" spans="3:19" ht="12.5">
      <c r="C117" s="1"/>
      <c r="D117" s="2"/>
      <c r="E117" s="1"/>
      <c r="F117" s="1"/>
      <c r="G117" s="1"/>
      <c r="H117" s="229"/>
      <c r="I117" s="1"/>
      <c r="J117" s="1"/>
      <c r="K117" s="1"/>
      <c r="L117" s="1"/>
      <c r="M117" s="1"/>
      <c r="N117" s="1"/>
      <c r="P117" s="1"/>
      <c r="Q117" s="1"/>
      <c r="R117" s="309">
        <v>303351471.94286269</v>
      </c>
      <c r="S117" s="308" t="s">
        <v>448</v>
      </c>
    </row>
    <row r="118" spans="3:19" ht="12.5">
      <c r="C118" s="1"/>
      <c r="D118" s="2"/>
      <c r="E118" s="1"/>
      <c r="F118" s="1"/>
      <c r="G118" s="1"/>
      <c r="H118" s="229"/>
      <c r="I118" s="1"/>
      <c r="J118" s="1"/>
      <c r="K118" s="1"/>
      <c r="L118" s="1"/>
      <c r="M118" s="1"/>
      <c r="N118" s="1"/>
      <c r="P118" s="1"/>
      <c r="Q118" s="1"/>
      <c r="R118" s="309">
        <v>136430405.90966371</v>
      </c>
      <c r="S118" s="308" t="s">
        <v>449</v>
      </c>
    </row>
    <row r="119" spans="3:19" ht="12.5">
      <c r="C119" s="1"/>
      <c r="D119" s="2"/>
      <c r="E119" s="1"/>
      <c r="F119" s="1"/>
      <c r="G119" s="1"/>
      <c r="H119" s="229"/>
      <c r="I119" s="1"/>
      <c r="J119" s="1"/>
      <c r="K119" s="1"/>
      <c r="L119" s="1"/>
      <c r="M119" s="1"/>
      <c r="N119" s="1"/>
      <c r="P119" s="1"/>
      <c r="Q119" s="1"/>
      <c r="R119" s="309">
        <v>30726293.93335747</v>
      </c>
      <c r="S119" s="308" t="s">
        <v>450</v>
      </c>
    </row>
    <row r="120" spans="3:19" ht="12.5">
      <c r="C120" s="1"/>
      <c r="D120" s="2"/>
      <c r="E120" s="1"/>
      <c r="F120" s="1"/>
      <c r="G120" s="1"/>
      <c r="H120" s="229"/>
      <c r="I120" s="1"/>
      <c r="J120" s="1"/>
      <c r="K120" s="1"/>
      <c r="L120" s="1"/>
      <c r="M120" s="1"/>
      <c r="N120" s="1"/>
      <c r="P120" s="1"/>
      <c r="Q120" s="1"/>
      <c r="R120" s="309">
        <v>136681.70445528976</v>
      </c>
      <c r="S120" s="308" t="s">
        <v>451</v>
      </c>
    </row>
    <row r="121" spans="3:19" ht="12.5">
      <c r="C121" s="1"/>
      <c r="D121" s="2"/>
      <c r="E121" s="1"/>
      <c r="F121" s="1"/>
      <c r="G121" s="1"/>
      <c r="H121" s="229"/>
      <c r="I121" s="1"/>
      <c r="J121" s="1"/>
      <c r="K121" s="1"/>
      <c r="L121" s="1"/>
      <c r="M121" s="1"/>
      <c r="N121" s="1"/>
      <c r="P121" s="1"/>
      <c r="Q121" s="1"/>
      <c r="R121" s="309">
        <v>61993630.053569101</v>
      </c>
      <c r="S121" s="308" t="s">
        <v>452</v>
      </c>
    </row>
    <row r="122" spans="3:19" ht="12.5">
      <c r="C122" s="1"/>
      <c r="D122" s="2"/>
      <c r="E122" s="1"/>
      <c r="F122" s="1"/>
      <c r="G122" s="1"/>
      <c r="H122" s="229"/>
      <c r="I122" s="1"/>
      <c r="J122" s="1"/>
      <c r="K122" s="1"/>
      <c r="L122" s="1"/>
      <c r="M122" s="1"/>
      <c r="N122" s="1"/>
      <c r="P122" s="1"/>
      <c r="Q122" s="1"/>
      <c r="R122" s="307">
        <v>0.44180361742045854</v>
      </c>
      <c r="S122" s="308" t="s">
        <v>105</v>
      </c>
    </row>
    <row r="123" spans="3:19" ht="12.5">
      <c r="C123" s="1"/>
      <c r="D123" s="2"/>
      <c r="E123" s="1"/>
      <c r="F123" s="1"/>
      <c r="G123" s="1"/>
      <c r="H123" s="229"/>
      <c r="I123" s="1"/>
      <c r="J123" s="1"/>
      <c r="K123" s="1"/>
      <c r="L123" s="1"/>
      <c r="M123" s="1"/>
      <c r="N123" s="1"/>
      <c r="P123" s="1"/>
      <c r="Q123" s="1"/>
      <c r="R123" s="309">
        <v>2019272432.5376625</v>
      </c>
      <c r="S123" s="308" t="s">
        <v>453</v>
      </c>
    </row>
    <row r="124" spans="3:19" ht="12.5">
      <c r="C124" s="1"/>
      <c r="D124" s="2"/>
      <c r="E124" s="1"/>
      <c r="F124" s="1"/>
      <c r="G124" s="1"/>
      <c r="H124" s="229"/>
      <c r="I124" s="1"/>
      <c r="J124" s="1"/>
      <c r="K124" s="1"/>
      <c r="L124" s="1"/>
      <c r="M124" s="1"/>
      <c r="N124" s="1"/>
      <c r="P124" s="1"/>
      <c r="Q124" s="1"/>
      <c r="R124" s="456">
        <v>0.11952713165403545</v>
      </c>
      <c r="S124" s="310" t="s">
        <v>454</v>
      </c>
    </row>
    <row r="125" spans="3:19" ht="12.5">
      <c r="C125" s="1"/>
      <c r="D125" s="2"/>
      <c r="E125" s="1"/>
      <c r="F125" s="1"/>
      <c r="G125" s="1"/>
      <c r="H125" s="229"/>
      <c r="I125" s="1"/>
      <c r="J125" s="1"/>
      <c r="K125" s="1"/>
      <c r="L125" s="1"/>
      <c r="M125" s="1"/>
      <c r="N125" s="1"/>
      <c r="P125" s="1"/>
      <c r="Q125" s="1"/>
      <c r="R125" s="311">
        <v>2668092993.9039097</v>
      </c>
      <c r="S125" s="302" t="s">
        <v>38</v>
      </c>
    </row>
    <row r="126" spans="3:19" ht="12.5">
      <c r="C126" s="1"/>
      <c r="D126" s="2"/>
      <c r="E126" s="1"/>
      <c r="F126" s="1"/>
      <c r="G126" s="1"/>
      <c r="H126" s="229"/>
      <c r="I126" s="1"/>
      <c r="J126" s="1"/>
      <c r="K126" s="1"/>
      <c r="L126" s="1"/>
      <c r="M126" s="1"/>
      <c r="N126" s="1"/>
      <c r="P126" s="1"/>
      <c r="Q126" s="1"/>
      <c r="R126" s="311">
        <v>2970701633.5158801</v>
      </c>
      <c r="S126" s="304" t="s">
        <v>40</v>
      </c>
    </row>
    <row r="127" spans="3:19" ht="12.5">
      <c r="C127" s="1"/>
      <c r="D127" s="2"/>
      <c r="E127" s="1"/>
      <c r="F127" s="1"/>
      <c r="G127" s="1"/>
      <c r="H127" s="229"/>
      <c r="I127" s="1"/>
      <c r="J127" s="1"/>
      <c r="K127" s="1"/>
      <c r="L127" s="1"/>
      <c r="M127" s="1"/>
      <c r="N127" s="1"/>
      <c r="P127" s="1"/>
      <c r="Q127" s="1"/>
      <c r="R127" s="311">
        <v>2774115269.2523141</v>
      </c>
      <c r="S127" s="312" t="s">
        <v>437</v>
      </c>
    </row>
    <row r="128" spans="3:19" ht="13" thickBot="1">
      <c r="C128" s="1"/>
      <c r="D128" s="2"/>
      <c r="E128" s="1"/>
      <c r="F128" s="1"/>
      <c r="G128" s="1"/>
      <c r="H128" s="229"/>
      <c r="I128" s="1"/>
      <c r="J128" s="1"/>
      <c r="K128" s="1"/>
      <c r="L128" s="1"/>
      <c r="M128" s="1"/>
      <c r="N128" s="1"/>
      <c r="P128" s="1"/>
      <c r="Q128" s="1"/>
      <c r="R128" s="12">
        <v>64680383.276527703</v>
      </c>
      <c r="S128" s="313" t="s">
        <v>439</v>
      </c>
    </row>
    <row r="129" spans="3:19" ht="12.5">
      <c r="C129" s="1"/>
      <c r="D129" s="2"/>
      <c r="E129" s="1"/>
      <c r="F129" s="1"/>
      <c r="G129" s="1"/>
      <c r="H129" s="229"/>
      <c r="I129" s="1"/>
      <c r="J129" s="1"/>
      <c r="K129" s="1"/>
      <c r="L129" s="1"/>
      <c r="M129" s="1"/>
      <c r="N129" s="1"/>
      <c r="P129" s="1"/>
      <c r="Q129" s="1"/>
      <c r="R129" s="1"/>
      <c r="S129" s="1"/>
    </row>
    <row r="130" spans="3:19" ht="13">
      <c r="C130" s="1"/>
      <c r="D130" s="2"/>
      <c r="E130" s="1"/>
      <c r="F130" s="1"/>
      <c r="G130" s="1"/>
      <c r="H130" s="229"/>
      <c r="I130" s="1"/>
      <c r="J130" s="1"/>
      <c r="K130" s="1"/>
      <c r="L130" s="1"/>
      <c r="M130" s="1"/>
      <c r="N130" s="1"/>
      <c r="P130" s="1"/>
      <c r="Q130" s="1"/>
      <c r="R130" s="294" t="s">
        <v>104</v>
      </c>
      <c r="S130" s="1" t="s">
        <v>116</v>
      </c>
    </row>
    <row r="131" spans="3:19" ht="13.5" thickBot="1">
      <c r="C131" s="1"/>
      <c r="D131" s="2"/>
      <c r="E131" s="1"/>
      <c r="F131" s="1"/>
      <c r="G131" s="1"/>
      <c r="H131" s="281"/>
      <c r="I131" s="1"/>
      <c r="J131" s="1"/>
      <c r="K131" s="1"/>
      <c r="L131" s="1"/>
      <c r="M131" s="1"/>
      <c r="N131" s="1"/>
      <c r="P131" s="1"/>
      <c r="Q131" s="1"/>
      <c r="R131" s="295" t="s">
        <v>136</v>
      </c>
      <c r="S131" s="1"/>
    </row>
    <row r="132" spans="3:19" ht="12.5">
      <c r="C132" s="1"/>
      <c r="D132" s="2"/>
      <c r="E132" s="1"/>
      <c r="F132" s="1"/>
      <c r="G132" s="1"/>
      <c r="H132" s="281"/>
      <c r="I132" s="1"/>
      <c r="J132" s="1"/>
      <c r="K132" s="1"/>
      <c r="L132" s="1"/>
      <c r="M132" s="1"/>
      <c r="N132" s="1"/>
      <c r="P132" s="1"/>
      <c r="Q132" s="1"/>
      <c r="R132" s="314">
        <f>+M19</f>
        <v>80862461.290840074</v>
      </c>
      <c r="S132" s="1" t="str">
        <f>+K19&amp;" "&amp;M17</f>
        <v>PROJECTED YEAR Rev Require</v>
      </c>
    </row>
    <row r="133" spans="3:19" ht="12.5">
      <c r="C133" s="1"/>
      <c r="D133" s="2"/>
      <c r="E133" s="1"/>
      <c r="F133" s="1"/>
      <c r="G133" s="1"/>
      <c r="H133" s="281"/>
      <c r="I133" s="1"/>
      <c r="J133" s="1"/>
      <c r="K133" s="1"/>
      <c r="L133" s="1"/>
      <c r="M133" s="1"/>
      <c r="N133" s="1"/>
      <c r="O133" s="1"/>
      <c r="P133" s="1"/>
      <c r="Q133" s="1"/>
      <c r="R133" s="315">
        <f>+N19</f>
        <v>80862461.290840074</v>
      </c>
      <c r="S133" s="1" t="str">
        <f>K19&amp;" "&amp;N17</f>
        <v>PROJECTED YEAR  W Incentives</v>
      </c>
    </row>
    <row r="134" spans="3:19" ht="13" thickBot="1">
      <c r="C134" s="1"/>
      <c r="D134" s="2"/>
      <c r="E134" s="1"/>
      <c r="F134" s="1"/>
      <c r="G134" s="1"/>
      <c r="H134" s="281"/>
      <c r="I134" s="1"/>
      <c r="J134" s="1"/>
      <c r="K134" s="1"/>
      <c r="L134" s="1"/>
      <c r="M134" s="1"/>
      <c r="N134" s="1"/>
      <c r="O134" s="1"/>
      <c r="P134" s="1"/>
      <c r="Q134" s="1"/>
      <c r="R134" s="316">
        <f>+O19</f>
        <v>0</v>
      </c>
      <c r="S134" s="1" t="str">
        <f>K19&amp;" "&amp;O17</f>
        <v>PROJECTED YEAR Incentive Amounts</v>
      </c>
    </row>
    <row r="135" spans="3:19" ht="12.5">
      <c r="C135" s="1"/>
      <c r="D135" s="2"/>
      <c r="E135" s="1"/>
      <c r="F135" s="1"/>
      <c r="G135" s="1"/>
      <c r="H135" s="28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3:19" ht="12.75" customHeight="1">
      <c r="R136" s="1"/>
      <c r="S136" s="1"/>
    </row>
    <row r="137" spans="3:19" ht="12.75" customHeight="1">
      <c r="R137" s="294" t="s">
        <v>114</v>
      </c>
      <c r="S137" s="223" t="s">
        <v>115</v>
      </c>
    </row>
  </sheetData>
  <mergeCells count="8">
    <mergeCell ref="K15:O16"/>
    <mergeCell ref="C8:H8"/>
    <mergeCell ref="C82:E83"/>
    <mergeCell ref="A1:J1"/>
    <mergeCell ref="A2:J2"/>
    <mergeCell ref="A3:J3"/>
    <mergeCell ref="A5:J5"/>
    <mergeCell ref="A4:J4"/>
  </mergeCells>
  <phoneticPr fontId="0" type="noConversion"/>
  <printOptions horizontalCentered="1"/>
  <pageMargins left="0.25" right="0.25" top="0.75" bottom="0.25" header="0.25" footer="0.5"/>
  <pageSetup scale="41" fitToHeight="2" orientation="landscape" horizontalDpi="1200" verticalDpi="1200" r:id="rId1"/>
  <headerFooter alignWithMargins="0">
    <oddHeader xml:space="preserve">&amp;R&amp;16AEP - SPP Formula Rate
SWEPCO TCOS - WS F
Page: &amp;P of &amp;N
</oddHeader>
    <oddFooter>&amp;L&amp;A</oddFooter>
  </headerFooter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66"/>
  <dimension ref="A1:Q162"/>
  <sheetViews>
    <sheetView topLeftCell="D82" zoomScaleNormal="100" zoomScaleSheetLayoutView="75" workbookViewId="0">
      <selection activeCell="D33" sqref="D33:H33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17 of 77</v>
      </c>
      <c r="Q1" s="13"/>
    </row>
    <row r="2" spans="1:17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189740.54209168235</v>
      </c>
      <c r="P5" s="1"/>
    </row>
    <row r="6" spans="1:17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189740.54209168235</v>
      </c>
      <c r="O6" s="1"/>
      <c r="P6" s="1"/>
    </row>
    <row r="7" spans="1:17" ht="13.5" thickBot="1">
      <c r="C7" s="25" t="s">
        <v>48</v>
      </c>
      <c r="D7" s="127" t="s">
        <v>238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104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163</v>
      </c>
      <c r="E9" s="31" t="s">
        <v>496</v>
      </c>
      <c r="F9" s="462">
        <v>120</v>
      </c>
      <c r="G9" s="31"/>
      <c r="H9" s="31"/>
      <c r="I9" s="32"/>
      <c r="J9" s="33"/>
      <c r="P9" s="1"/>
    </row>
    <row r="10" spans="1:17" ht="13">
      <c r="C10" s="34" t="s">
        <v>51</v>
      </c>
      <c r="D10" s="363">
        <v>1949836.51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7" ht="12.5">
      <c r="C11" s="34" t="s">
        <v>54</v>
      </c>
      <c r="D11" s="37">
        <v>2008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3">
        <v>6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44314.466136363633</v>
      </c>
      <c r="J14" s="293"/>
      <c r="K14" s="293"/>
      <c r="L14" s="293"/>
      <c r="M14" s="293"/>
      <c r="N14" s="293"/>
      <c r="O14" s="1"/>
      <c r="P14" s="1"/>
    </row>
    <row r="15" spans="1:17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2008</v>
      </c>
      <c r="D17" s="133">
        <v>1300389</v>
      </c>
      <c r="E17" s="374">
        <v>17573</v>
      </c>
      <c r="F17" s="133">
        <v>1282816</v>
      </c>
      <c r="G17" s="374">
        <v>132261</v>
      </c>
      <c r="H17" s="375">
        <v>132261</v>
      </c>
      <c r="I17" s="52">
        <f t="shared" ref="I17:I48" si="0">H17-G17</f>
        <v>0</v>
      </c>
      <c r="J17" s="52"/>
      <c r="K17" s="112">
        <v>0</v>
      </c>
      <c r="L17" s="53">
        <f t="shared" ref="L17:L48" si="1">IF(K17&lt;&gt;0,+G17-K17,0)</f>
        <v>0</v>
      </c>
      <c r="M17" s="112">
        <v>0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2009</v>
      </c>
      <c r="D18" s="137">
        <v>1282816</v>
      </c>
      <c r="E18" s="376">
        <v>35146</v>
      </c>
      <c r="F18" s="137">
        <v>1247671</v>
      </c>
      <c r="G18" s="376">
        <v>226367</v>
      </c>
      <c r="H18" s="375">
        <v>226367</v>
      </c>
      <c r="I18" s="52">
        <f t="shared" si="0"/>
        <v>0</v>
      </c>
      <c r="J18" s="52"/>
      <c r="K18" s="113">
        <v>226367</v>
      </c>
      <c r="L18" s="54">
        <f t="shared" si="1"/>
        <v>0</v>
      </c>
      <c r="M18" s="113">
        <v>226367</v>
      </c>
      <c r="N18" s="54">
        <f t="shared" si="2"/>
        <v>0</v>
      </c>
      <c r="O18" s="54">
        <f t="shared" si="3"/>
        <v>0</v>
      </c>
      <c r="P18" s="1"/>
    </row>
    <row r="19" spans="2:16" ht="12.5">
      <c r="B19" s="7" t="str">
        <f>IF(D19=F18,"","IU")</f>
        <v>IU</v>
      </c>
      <c r="C19" s="50">
        <f>IF(D11="","-",+C18+1)</f>
        <v>2010</v>
      </c>
      <c r="D19" s="137">
        <v>1897117.51</v>
      </c>
      <c r="E19" s="376">
        <v>51311.487105263157</v>
      </c>
      <c r="F19" s="137">
        <v>1845806.0228947368</v>
      </c>
      <c r="G19" s="376">
        <v>316673.78856446606</v>
      </c>
      <c r="H19" s="375">
        <v>316673.78856446606</v>
      </c>
      <c r="I19" s="141">
        <v>0</v>
      </c>
      <c r="J19" s="52"/>
      <c r="K19" s="113">
        <f t="shared" ref="K19:K24" si="4">G19</f>
        <v>316673.78856446606</v>
      </c>
      <c r="L19" s="54">
        <f t="shared" si="1"/>
        <v>0</v>
      </c>
      <c r="M19" s="113">
        <f t="shared" ref="M19:M24" si="5">H19</f>
        <v>316673.78856446606</v>
      </c>
      <c r="N19" s="54">
        <f t="shared" si="2"/>
        <v>0</v>
      </c>
      <c r="O19" s="54">
        <f t="shared" si="3"/>
        <v>0</v>
      </c>
      <c r="P19" s="1"/>
    </row>
    <row r="20" spans="2:16" ht="12.5">
      <c r="B20" s="7" t="str">
        <f t="shared" ref="B20:B72" si="6">IF(D20=F19,"","IU")</f>
        <v/>
      </c>
      <c r="C20" s="50">
        <f>IF(D11="","-",+C19+1)</f>
        <v>2011</v>
      </c>
      <c r="D20" s="137">
        <v>1845806.0228947368</v>
      </c>
      <c r="E20" s="376">
        <v>47556.988048780491</v>
      </c>
      <c r="F20" s="137">
        <v>1798249.0348459564</v>
      </c>
      <c r="G20" s="376">
        <v>328429.43288363499</v>
      </c>
      <c r="H20" s="375">
        <v>328429.43288363499</v>
      </c>
      <c r="I20" s="141">
        <v>0</v>
      </c>
      <c r="J20" s="52"/>
      <c r="K20" s="113">
        <f t="shared" si="4"/>
        <v>328429.43288363499</v>
      </c>
      <c r="L20" s="54">
        <f t="shared" si="1"/>
        <v>0</v>
      </c>
      <c r="M20" s="113">
        <f t="shared" si="5"/>
        <v>328429.43288363499</v>
      </c>
      <c r="N20" s="54">
        <f t="shared" si="2"/>
        <v>0</v>
      </c>
      <c r="O20" s="54">
        <f t="shared" si="3"/>
        <v>0</v>
      </c>
      <c r="P20" s="1"/>
    </row>
    <row r="21" spans="2:16" ht="12.5">
      <c r="B21" s="7" t="str">
        <f t="shared" si="6"/>
        <v/>
      </c>
      <c r="C21" s="50">
        <f>IF(D12="","-",+C20+1)</f>
        <v>2012</v>
      </c>
      <c r="D21" s="137">
        <v>1798249.0348459564</v>
      </c>
      <c r="E21" s="377">
        <v>46424.678809523808</v>
      </c>
      <c r="F21" s="137">
        <v>1751824.3560364326</v>
      </c>
      <c r="G21" s="376">
        <v>306956.24241271312</v>
      </c>
      <c r="H21" s="375">
        <v>306956.24241271312</v>
      </c>
      <c r="I21" s="141">
        <v>0</v>
      </c>
      <c r="J21" s="52"/>
      <c r="K21" s="113">
        <f t="shared" si="4"/>
        <v>306956.24241271312</v>
      </c>
      <c r="L21" s="54">
        <f t="shared" si="1"/>
        <v>0</v>
      </c>
      <c r="M21" s="113">
        <f t="shared" si="5"/>
        <v>306956.24241271312</v>
      </c>
      <c r="N21" s="54">
        <f t="shared" si="2"/>
        <v>0</v>
      </c>
      <c r="O21" s="54">
        <f t="shared" si="3"/>
        <v>0</v>
      </c>
      <c r="P21" s="1"/>
    </row>
    <row r="22" spans="2:16" ht="12.5">
      <c r="B22" s="7" t="str">
        <f t="shared" si="6"/>
        <v/>
      </c>
      <c r="C22" s="50">
        <f>IF(D11="","-",+C21+1)</f>
        <v>2013</v>
      </c>
      <c r="D22" s="151">
        <v>1751824.3560364326</v>
      </c>
      <c r="E22" s="420">
        <v>46424.678809523808</v>
      </c>
      <c r="F22" s="151">
        <v>1705399.6772269087</v>
      </c>
      <c r="G22" s="420">
        <v>285158.60339753365</v>
      </c>
      <c r="H22" s="421">
        <v>285158.60339753365</v>
      </c>
      <c r="I22" s="153">
        <v>0</v>
      </c>
      <c r="J22" s="52"/>
      <c r="K22" s="113">
        <f t="shared" si="4"/>
        <v>285158.60339753365</v>
      </c>
      <c r="L22" s="54">
        <f t="shared" ref="L22:L27" si="7">IF(K22&lt;&gt;0,+G22-K22,0)</f>
        <v>0</v>
      </c>
      <c r="M22" s="113">
        <f t="shared" si="5"/>
        <v>285158.60339753365</v>
      </c>
      <c r="N22" s="54">
        <f t="shared" ref="N22:N27" si="8">IF(M22&lt;&gt;0,+H22-M22,0)</f>
        <v>0</v>
      </c>
      <c r="O22" s="54">
        <f t="shared" ref="O22:O27" si="9">+N22-L22</f>
        <v>0</v>
      </c>
      <c r="P22" s="1"/>
    </row>
    <row r="23" spans="2:16" ht="12.5">
      <c r="B23" s="7" t="str">
        <f t="shared" si="6"/>
        <v/>
      </c>
      <c r="C23" s="50">
        <f>IF(D11="","-",+C22+1)</f>
        <v>2014</v>
      </c>
      <c r="D23" s="151">
        <v>1705399.6772269087</v>
      </c>
      <c r="E23" s="420">
        <v>46424.678809523808</v>
      </c>
      <c r="F23" s="151">
        <v>1658974.9984173849</v>
      </c>
      <c r="G23" s="420">
        <v>270237.83902004722</v>
      </c>
      <c r="H23" s="421">
        <v>270237.83902004722</v>
      </c>
      <c r="I23" s="153">
        <v>0</v>
      </c>
      <c r="J23" s="52"/>
      <c r="K23" s="113">
        <f t="shared" si="4"/>
        <v>270237.83902004722</v>
      </c>
      <c r="L23" s="54">
        <f t="shared" si="7"/>
        <v>0</v>
      </c>
      <c r="M23" s="113">
        <f t="shared" si="5"/>
        <v>270237.83902004722</v>
      </c>
      <c r="N23" s="54">
        <f t="shared" si="8"/>
        <v>0</v>
      </c>
      <c r="O23" s="54">
        <f t="shared" si="9"/>
        <v>0</v>
      </c>
      <c r="P23" s="1"/>
    </row>
    <row r="24" spans="2:16" ht="12.5">
      <c r="B24" s="7" t="str">
        <f t="shared" si="6"/>
        <v/>
      </c>
      <c r="C24" s="50">
        <f>IF(D11="","-",+C23+1)</f>
        <v>2015</v>
      </c>
      <c r="D24" s="151">
        <v>1658974.9984173849</v>
      </c>
      <c r="E24" s="420">
        <v>46424.678809523808</v>
      </c>
      <c r="F24" s="151">
        <v>1612550.3196078611</v>
      </c>
      <c r="G24" s="420">
        <v>258805.29771582928</v>
      </c>
      <c r="H24" s="421">
        <v>258805.29771582928</v>
      </c>
      <c r="I24" s="52">
        <v>0</v>
      </c>
      <c r="J24" s="52"/>
      <c r="K24" s="113">
        <f t="shared" si="4"/>
        <v>258805.29771582928</v>
      </c>
      <c r="L24" s="54">
        <f t="shared" si="7"/>
        <v>0</v>
      </c>
      <c r="M24" s="113">
        <f t="shared" si="5"/>
        <v>258805.29771582928</v>
      </c>
      <c r="N24" s="54">
        <f t="shared" si="8"/>
        <v>0</v>
      </c>
      <c r="O24" s="54">
        <f t="shared" si="9"/>
        <v>0</v>
      </c>
      <c r="P24" s="1"/>
    </row>
    <row r="25" spans="2:16" ht="12.5">
      <c r="B25" s="7" t="str">
        <f t="shared" si="6"/>
        <v/>
      </c>
      <c r="C25" s="50">
        <f>IF(D11="","-",+C24+1)</f>
        <v>2016</v>
      </c>
      <c r="D25" s="151">
        <v>1612550.3196078611</v>
      </c>
      <c r="E25" s="420">
        <v>46424.678809523808</v>
      </c>
      <c r="F25" s="151">
        <v>1566125.6407983373</v>
      </c>
      <c r="G25" s="420">
        <v>250146.26304105911</v>
      </c>
      <c r="H25" s="421">
        <v>250146.26304105911</v>
      </c>
      <c r="I25" s="52">
        <f t="shared" si="0"/>
        <v>0</v>
      </c>
      <c r="J25" s="52"/>
      <c r="K25" s="113">
        <f t="shared" ref="K25:K30" si="10">G25</f>
        <v>250146.26304105911</v>
      </c>
      <c r="L25" s="54">
        <f t="shared" si="7"/>
        <v>0</v>
      </c>
      <c r="M25" s="113">
        <f t="shared" ref="M25:M30" si="11">H25</f>
        <v>250146.26304105911</v>
      </c>
      <c r="N25" s="54">
        <f t="shared" si="8"/>
        <v>0</v>
      </c>
      <c r="O25" s="54">
        <f t="shared" si="9"/>
        <v>0</v>
      </c>
      <c r="P25" s="1"/>
    </row>
    <row r="26" spans="2:16" ht="12.5">
      <c r="B26" s="7" t="str">
        <f t="shared" si="6"/>
        <v/>
      </c>
      <c r="C26" s="50">
        <f>IF(D11="","-",+C25+1)</f>
        <v>2017</v>
      </c>
      <c r="D26" s="151">
        <v>1566125.6407983373</v>
      </c>
      <c r="E26" s="420">
        <v>45345.035116279068</v>
      </c>
      <c r="F26" s="151">
        <v>1520780.6056820583</v>
      </c>
      <c r="G26" s="420">
        <v>236567.35307267582</v>
      </c>
      <c r="H26" s="421">
        <v>236567.35307267582</v>
      </c>
      <c r="I26" s="52">
        <f t="shared" si="0"/>
        <v>0</v>
      </c>
      <c r="J26" s="52"/>
      <c r="K26" s="113">
        <f t="shared" si="10"/>
        <v>236567.35307267582</v>
      </c>
      <c r="L26" s="54">
        <f t="shared" si="7"/>
        <v>0</v>
      </c>
      <c r="M26" s="113">
        <f t="shared" si="11"/>
        <v>236567.35307267582</v>
      </c>
      <c r="N26" s="54">
        <f t="shared" si="8"/>
        <v>0</v>
      </c>
      <c r="O26" s="54">
        <f t="shared" si="9"/>
        <v>0</v>
      </c>
      <c r="P26" s="1"/>
    </row>
    <row r="27" spans="2:16" ht="12.5">
      <c r="B27" s="7" t="str">
        <f t="shared" si="6"/>
        <v/>
      </c>
      <c r="C27" s="50">
        <f>IF(D11="","-",+C26+1)</f>
        <v>2018</v>
      </c>
      <c r="D27" s="151">
        <v>1520780.6056820583</v>
      </c>
      <c r="E27" s="420">
        <v>47556.988048780491</v>
      </c>
      <c r="F27" s="151">
        <v>1473223.6176332778</v>
      </c>
      <c r="G27" s="420">
        <v>237817.12252361333</v>
      </c>
      <c r="H27" s="421">
        <v>237817.12252361333</v>
      </c>
      <c r="I27" s="52">
        <f t="shared" si="0"/>
        <v>0</v>
      </c>
      <c r="J27" s="52"/>
      <c r="K27" s="113">
        <f t="shared" si="10"/>
        <v>237817.12252361333</v>
      </c>
      <c r="L27" s="54">
        <f t="shared" si="7"/>
        <v>0</v>
      </c>
      <c r="M27" s="113">
        <f t="shared" si="11"/>
        <v>237817.12252361333</v>
      </c>
      <c r="N27" s="54">
        <f t="shared" si="8"/>
        <v>0</v>
      </c>
      <c r="O27" s="54">
        <f t="shared" si="9"/>
        <v>0</v>
      </c>
      <c r="P27" s="1"/>
    </row>
    <row r="28" spans="2:16" ht="12.5">
      <c r="B28" s="7" t="str">
        <f t="shared" si="6"/>
        <v/>
      </c>
      <c r="C28" s="50">
        <f>IF(D11="","-",+C27+1)</f>
        <v>2019</v>
      </c>
      <c r="D28" s="151">
        <v>1473223.6176332778</v>
      </c>
      <c r="E28" s="420">
        <v>47556.988048780491</v>
      </c>
      <c r="F28" s="151">
        <v>1425666.6295844973</v>
      </c>
      <c r="G28" s="420">
        <v>231772.90997981158</v>
      </c>
      <c r="H28" s="421">
        <v>231772.90997981158</v>
      </c>
      <c r="I28" s="52">
        <f t="shared" si="0"/>
        <v>0</v>
      </c>
      <c r="J28" s="52"/>
      <c r="K28" s="113">
        <f t="shared" si="10"/>
        <v>231772.90997981158</v>
      </c>
      <c r="L28" s="54">
        <f t="shared" ref="L28" si="12">IF(K28&lt;&gt;0,+G28-K28,0)</f>
        <v>0</v>
      </c>
      <c r="M28" s="113">
        <f t="shared" si="11"/>
        <v>231772.90997981158</v>
      </c>
      <c r="N28" s="54">
        <f t="shared" si="2"/>
        <v>0</v>
      </c>
      <c r="O28" s="54">
        <f t="shared" si="3"/>
        <v>0</v>
      </c>
      <c r="P28" s="1"/>
    </row>
    <row r="29" spans="2:16" ht="12.5">
      <c r="B29" s="7" t="str">
        <f t="shared" si="6"/>
        <v/>
      </c>
      <c r="C29" s="50">
        <f>IF(D11="","-",+C28+1)</f>
        <v>2020</v>
      </c>
      <c r="D29" s="151">
        <v>1425666.6295844973</v>
      </c>
      <c r="E29" s="420">
        <v>47556.988048780491</v>
      </c>
      <c r="F29" s="151">
        <v>1378109.6415357168</v>
      </c>
      <c r="G29" s="420">
        <v>191019.8486624895</v>
      </c>
      <c r="H29" s="421">
        <v>191019.8486624895</v>
      </c>
      <c r="I29" s="52">
        <f t="shared" si="0"/>
        <v>0</v>
      </c>
      <c r="J29" s="52"/>
      <c r="K29" s="113">
        <f t="shared" si="10"/>
        <v>191019.8486624895</v>
      </c>
      <c r="L29" s="54">
        <f t="shared" ref="L29" si="13">IF(K29&lt;&gt;0,+G29-K29,0)</f>
        <v>0</v>
      </c>
      <c r="M29" s="113">
        <f t="shared" si="11"/>
        <v>191019.8486624895</v>
      </c>
      <c r="N29" s="54">
        <f t="shared" si="2"/>
        <v>0</v>
      </c>
      <c r="O29" s="54">
        <f t="shared" si="3"/>
        <v>0</v>
      </c>
      <c r="P29" s="1"/>
    </row>
    <row r="30" spans="2:16" ht="12.5">
      <c r="B30" s="7" t="str">
        <f t="shared" si="6"/>
        <v>IU</v>
      </c>
      <c r="C30" s="50">
        <f>IF(D11="","-",+C29+1)</f>
        <v>2021</v>
      </c>
      <c r="D30" s="151">
        <v>1380321.5944682183</v>
      </c>
      <c r="E30" s="420">
        <v>46424.678809523808</v>
      </c>
      <c r="F30" s="151">
        <v>1333896.9156586945</v>
      </c>
      <c r="G30" s="420">
        <v>190284.42796565729</v>
      </c>
      <c r="H30" s="421">
        <v>190284.42796565729</v>
      </c>
      <c r="I30" s="52">
        <f t="shared" si="0"/>
        <v>0</v>
      </c>
      <c r="J30" s="52"/>
      <c r="K30" s="113">
        <f t="shared" si="10"/>
        <v>190284.42796565729</v>
      </c>
      <c r="L30" s="54">
        <f t="shared" ref="L30" si="14">IF(K30&lt;&gt;0,+G30-K30,0)</f>
        <v>0</v>
      </c>
      <c r="M30" s="113">
        <f t="shared" si="11"/>
        <v>190284.42796565729</v>
      </c>
      <c r="N30" s="54">
        <f t="shared" si="2"/>
        <v>0</v>
      </c>
      <c r="O30" s="54">
        <f t="shared" si="3"/>
        <v>0</v>
      </c>
      <c r="P30" s="1"/>
    </row>
    <row r="31" spans="2:16" ht="12.5">
      <c r="B31" s="7" t="str">
        <f t="shared" si="6"/>
        <v>IU</v>
      </c>
      <c r="C31" s="50">
        <f>IF(D11="","-",+C30+1)</f>
        <v>2022</v>
      </c>
      <c r="D31" s="151">
        <v>1331684.962726193</v>
      </c>
      <c r="E31" s="420">
        <v>46424.678809523808</v>
      </c>
      <c r="F31" s="151">
        <v>1285260.2839166692</v>
      </c>
      <c r="G31" s="420">
        <v>193554.70123512414</v>
      </c>
      <c r="H31" s="421">
        <v>193554.70123512414</v>
      </c>
      <c r="I31" s="52">
        <f t="shared" si="0"/>
        <v>0</v>
      </c>
      <c r="J31" s="52"/>
      <c r="K31" s="113">
        <f t="shared" ref="K31" si="15">G31</f>
        <v>193554.70123512414</v>
      </c>
      <c r="L31" s="54">
        <f t="shared" ref="L31" si="16">IF(K31&lt;&gt;0,+G31-K31,0)</f>
        <v>0</v>
      </c>
      <c r="M31" s="113">
        <f t="shared" ref="M31" si="17">H31</f>
        <v>193554.70123512414</v>
      </c>
      <c r="N31" s="54">
        <f t="shared" si="2"/>
        <v>0</v>
      </c>
      <c r="O31" s="54">
        <f t="shared" si="3"/>
        <v>0</v>
      </c>
      <c r="P31" s="1"/>
    </row>
    <row r="32" spans="2:16" ht="12.5">
      <c r="B32" s="7" t="str">
        <f t="shared" si="6"/>
        <v/>
      </c>
      <c r="C32" s="50">
        <f>IF(D11="","-",+C31+1)</f>
        <v>2023</v>
      </c>
      <c r="D32" s="151">
        <v>1285260.2839166692</v>
      </c>
      <c r="E32" s="420">
        <v>46424.678809523808</v>
      </c>
      <c r="F32" s="151">
        <v>1238835.6051071454</v>
      </c>
      <c r="G32" s="420">
        <v>205855.1419160036</v>
      </c>
      <c r="H32" s="421">
        <v>205855.1419160036</v>
      </c>
      <c r="I32" s="52">
        <f t="shared" si="0"/>
        <v>0</v>
      </c>
      <c r="J32" s="52"/>
      <c r="K32" s="113">
        <f t="shared" ref="K32" si="18">G32</f>
        <v>205855.1419160036</v>
      </c>
      <c r="L32" s="54">
        <f t="shared" ref="L32" si="19">IF(K32&lt;&gt;0,+G32-K32,0)</f>
        <v>0</v>
      </c>
      <c r="M32" s="113">
        <f t="shared" ref="M32" si="20">H32</f>
        <v>205855.1419160036</v>
      </c>
      <c r="N32" s="54">
        <f t="shared" si="2"/>
        <v>0</v>
      </c>
      <c r="O32" s="54">
        <f t="shared" si="3"/>
        <v>0</v>
      </c>
      <c r="P32" s="1"/>
    </row>
    <row r="33" spans="2:16" ht="12.5">
      <c r="B33" s="7" t="str">
        <f t="shared" si="6"/>
        <v/>
      </c>
      <c r="C33" s="50">
        <f>IF(D11="","-",+C32+1)</f>
        <v>2024</v>
      </c>
      <c r="D33" s="151">
        <v>1238835.6051071454</v>
      </c>
      <c r="E33" s="420">
        <v>44314.466136363633</v>
      </c>
      <c r="F33" s="151">
        <v>1194521.1389707818</v>
      </c>
      <c r="G33" s="420">
        <v>189740.54209168235</v>
      </c>
      <c r="H33" s="421">
        <v>189740.54209168235</v>
      </c>
      <c r="I33" s="52">
        <f t="shared" si="0"/>
        <v>0</v>
      </c>
      <c r="J33" s="52"/>
      <c r="K33" s="113">
        <f t="shared" ref="K33" si="21">G33</f>
        <v>189740.54209168235</v>
      </c>
      <c r="L33" s="54">
        <f t="shared" ref="L33" si="22">IF(K33&lt;&gt;0,+G33-K33,0)</f>
        <v>0</v>
      </c>
      <c r="M33" s="113">
        <f t="shared" ref="M33" si="23">H33</f>
        <v>189740.54209168235</v>
      </c>
      <c r="N33" s="54">
        <f t="shared" ref="N33" si="24">IF(M33&lt;&gt;0,+H33-M33,0)</f>
        <v>0</v>
      </c>
      <c r="O33" s="54">
        <f t="shared" ref="O33" si="25">+N33-L33</f>
        <v>0</v>
      </c>
      <c r="P33" s="1"/>
    </row>
    <row r="34" spans="2:16" ht="12.5">
      <c r="B34" s="7" t="str">
        <f t="shared" si="6"/>
        <v/>
      </c>
      <c r="C34" s="50">
        <f>IF(D11="","-",+C33+1)</f>
        <v>2025</v>
      </c>
      <c r="D34" s="55">
        <f>IF(F33+SUM(E$17:E33)=D$10,F33,D$10-SUM(E$17:E33))</f>
        <v>1194521.1389707818</v>
      </c>
      <c r="E34" s="378">
        <f>IF(+I14&lt;F33,I14,D34)</f>
        <v>44314.466136363633</v>
      </c>
      <c r="F34" s="55">
        <f t="shared" ref="F34:F48" si="26">+D34-E34</f>
        <v>1150206.6728344182</v>
      </c>
      <c r="G34" s="379">
        <f t="shared" ref="G34:G72" si="27">+I$12*((D34+F34)/2)+E34</f>
        <v>184443.76106362292</v>
      </c>
      <c r="H34" s="364">
        <f t="shared" ref="H34:H72" si="28">+I$13*((D34+F34)/2)+E34</f>
        <v>184443.76106362292</v>
      </c>
      <c r="I34" s="52">
        <f t="shared" si="0"/>
        <v>0</v>
      </c>
      <c r="J34" s="52"/>
      <c r="K34" s="129"/>
      <c r="L34" s="54">
        <f t="shared" si="1"/>
        <v>0</v>
      </c>
      <c r="M34" s="129"/>
      <c r="N34" s="54">
        <f t="shared" si="2"/>
        <v>0</v>
      </c>
      <c r="O34" s="54">
        <f t="shared" si="3"/>
        <v>0</v>
      </c>
      <c r="P34" s="1"/>
    </row>
    <row r="35" spans="2:16" ht="12.5">
      <c r="B35" s="7" t="str">
        <f t="shared" si="6"/>
        <v/>
      </c>
      <c r="C35" s="50">
        <f>IF(D11="","-",+C34+1)</f>
        <v>2026</v>
      </c>
      <c r="D35" s="55">
        <f>IF(F34+SUM(E$17:E34)=D$10,F34,D$10-SUM(E$17:E34))</f>
        <v>1150206.6728344182</v>
      </c>
      <c r="E35" s="378">
        <f>IF(+I14&lt;F34,I14,D35)</f>
        <v>44314.466136363633</v>
      </c>
      <c r="F35" s="55">
        <f t="shared" si="26"/>
        <v>1105892.2066980547</v>
      </c>
      <c r="G35" s="379">
        <f t="shared" si="27"/>
        <v>179146.98003556352</v>
      </c>
      <c r="H35" s="364">
        <f t="shared" si="28"/>
        <v>179146.98003556352</v>
      </c>
      <c r="I35" s="52">
        <f t="shared" si="0"/>
        <v>0</v>
      </c>
      <c r="J35" s="52"/>
      <c r="K35" s="129"/>
      <c r="L35" s="54">
        <f t="shared" si="1"/>
        <v>0</v>
      </c>
      <c r="M35" s="129"/>
      <c r="N35" s="54">
        <f t="shared" si="2"/>
        <v>0</v>
      </c>
      <c r="O35" s="54">
        <f t="shared" si="3"/>
        <v>0</v>
      </c>
      <c r="P35" s="1"/>
    </row>
    <row r="36" spans="2:16" ht="12.5">
      <c r="B36" s="7" t="str">
        <f t="shared" si="6"/>
        <v/>
      </c>
      <c r="C36" s="50">
        <f>IF(D11="","-",+C35+1)</f>
        <v>2027</v>
      </c>
      <c r="D36" s="55">
        <f>IF(F35+SUM(E$17:E35)=D$10,F35,D$10-SUM(E$17:E35))</f>
        <v>1105892.2066980547</v>
      </c>
      <c r="E36" s="378">
        <f>IF(+I14&lt;F35,I14,D36)</f>
        <v>44314.466136363633</v>
      </c>
      <c r="F36" s="55">
        <f t="shared" si="26"/>
        <v>1061577.7405616911</v>
      </c>
      <c r="G36" s="379">
        <f t="shared" si="27"/>
        <v>173850.19900750407</v>
      </c>
      <c r="H36" s="364">
        <f t="shared" si="28"/>
        <v>173850.19900750407</v>
      </c>
      <c r="I36" s="52">
        <f t="shared" si="0"/>
        <v>0</v>
      </c>
      <c r="J36" s="52"/>
      <c r="K36" s="129"/>
      <c r="L36" s="54">
        <f t="shared" si="1"/>
        <v>0</v>
      </c>
      <c r="M36" s="129"/>
      <c r="N36" s="54">
        <f t="shared" si="2"/>
        <v>0</v>
      </c>
      <c r="O36" s="54">
        <f t="shared" si="3"/>
        <v>0</v>
      </c>
      <c r="P36" s="1"/>
    </row>
    <row r="37" spans="2:16" ht="12.5">
      <c r="B37" s="7" t="str">
        <f t="shared" si="6"/>
        <v/>
      </c>
      <c r="C37" s="50">
        <f>IF(D11="","-",+C36+1)</f>
        <v>2028</v>
      </c>
      <c r="D37" s="55">
        <f>IF(F36+SUM(E$17:E36)=D$10,F36,D$10-SUM(E$17:E36))</f>
        <v>1061577.7405616911</v>
      </c>
      <c r="E37" s="378">
        <f>IF(+I14&lt;F36,I14,D37)</f>
        <v>44314.466136363633</v>
      </c>
      <c r="F37" s="55">
        <f t="shared" si="26"/>
        <v>1017263.2744253274</v>
      </c>
      <c r="G37" s="379">
        <f t="shared" si="27"/>
        <v>168553.41797944464</v>
      </c>
      <c r="H37" s="364">
        <f t="shared" si="28"/>
        <v>168553.41797944464</v>
      </c>
      <c r="I37" s="52">
        <f t="shared" si="0"/>
        <v>0</v>
      </c>
      <c r="J37" s="52"/>
      <c r="K37" s="129"/>
      <c r="L37" s="54">
        <f t="shared" si="1"/>
        <v>0</v>
      </c>
      <c r="M37" s="129"/>
      <c r="N37" s="54">
        <f t="shared" si="2"/>
        <v>0</v>
      </c>
      <c r="O37" s="54">
        <f t="shared" si="3"/>
        <v>0</v>
      </c>
      <c r="P37" s="1"/>
    </row>
    <row r="38" spans="2:16" ht="12.5">
      <c r="B38" s="7" t="str">
        <f t="shared" si="6"/>
        <v/>
      </c>
      <c r="C38" s="50">
        <f>IF(D11="","-",+C37+1)</f>
        <v>2029</v>
      </c>
      <c r="D38" s="55">
        <f>IF(F37+SUM(E$17:E37)=D$10,F37,D$10-SUM(E$17:E37))</f>
        <v>1017263.2744253274</v>
      </c>
      <c r="E38" s="378">
        <f>IF(+I14&lt;F37,I14,D38)</f>
        <v>44314.466136363633</v>
      </c>
      <c r="F38" s="55">
        <f t="shared" si="26"/>
        <v>972948.80828896374</v>
      </c>
      <c r="G38" s="379">
        <f t="shared" si="27"/>
        <v>163256.63695138521</v>
      </c>
      <c r="H38" s="364">
        <f t="shared" si="28"/>
        <v>163256.63695138521</v>
      </c>
      <c r="I38" s="52">
        <f t="shared" si="0"/>
        <v>0</v>
      </c>
      <c r="J38" s="52"/>
      <c r="K38" s="129"/>
      <c r="L38" s="54">
        <f t="shared" si="1"/>
        <v>0</v>
      </c>
      <c r="M38" s="129"/>
      <c r="N38" s="54">
        <f t="shared" si="2"/>
        <v>0</v>
      </c>
      <c r="O38" s="54">
        <f t="shared" si="3"/>
        <v>0</v>
      </c>
      <c r="P38" s="1"/>
    </row>
    <row r="39" spans="2:16" ht="12.5">
      <c r="B39" s="7" t="str">
        <f t="shared" si="6"/>
        <v/>
      </c>
      <c r="C39" s="50">
        <f>IF(D11="","-",+C38+1)</f>
        <v>2030</v>
      </c>
      <c r="D39" s="55">
        <f>IF(F38+SUM(E$17:E38)=D$10,F38,D$10-SUM(E$17:E38))</f>
        <v>972948.80828896374</v>
      </c>
      <c r="E39" s="378">
        <f>IF(+I14&lt;F38,I14,D39)</f>
        <v>44314.466136363633</v>
      </c>
      <c r="F39" s="55">
        <f t="shared" si="26"/>
        <v>928634.34215260006</v>
      </c>
      <c r="G39" s="379">
        <f t="shared" si="27"/>
        <v>157959.85592332578</v>
      </c>
      <c r="H39" s="364">
        <f t="shared" si="28"/>
        <v>157959.85592332578</v>
      </c>
      <c r="I39" s="52">
        <f t="shared" si="0"/>
        <v>0</v>
      </c>
      <c r="J39" s="52"/>
      <c r="K39" s="129"/>
      <c r="L39" s="54">
        <f t="shared" si="1"/>
        <v>0</v>
      </c>
      <c r="M39" s="129"/>
      <c r="N39" s="54">
        <f t="shared" si="2"/>
        <v>0</v>
      </c>
      <c r="O39" s="54">
        <f t="shared" si="3"/>
        <v>0</v>
      </c>
      <c r="P39" s="1"/>
    </row>
    <row r="40" spans="2:16" ht="12.5">
      <c r="B40" s="7" t="str">
        <f t="shared" si="6"/>
        <v/>
      </c>
      <c r="C40" s="50">
        <f>IF(D11="","-",+C39+1)</f>
        <v>2031</v>
      </c>
      <c r="D40" s="55">
        <f>IF(F39+SUM(E$17:E39)=D$10,F39,D$10-SUM(E$17:E39))</f>
        <v>928634.34215260006</v>
      </c>
      <c r="E40" s="378">
        <f>IF(+I14&lt;F39,I14,D40)</f>
        <v>44314.466136363633</v>
      </c>
      <c r="F40" s="55">
        <f t="shared" si="26"/>
        <v>884319.87601623638</v>
      </c>
      <c r="G40" s="379">
        <f t="shared" si="27"/>
        <v>152663.07489526636</v>
      </c>
      <c r="H40" s="364">
        <f t="shared" si="28"/>
        <v>152663.07489526636</v>
      </c>
      <c r="I40" s="52">
        <f t="shared" si="0"/>
        <v>0</v>
      </c>
      <c r="J40" s="52"/>
      <c r="K40" s="129"/>
      <c r="L40" s="54">
        <f t="shared" si="1"/>
        <v>0</v>
      </c>
      <c r="M40" s="129"/>
      <c r="N40" s="54">
        <f t="shared" si="2"/>
        <v>0</v>
      </c>
      <c r="O40" s="54">
        <f t="shared" si="3"/>
        <v>0</v>
      </c>
      <c r="P40" s="1"/>
    </row>
    <row r="41" spans="2:16" ht="12.5">
      <c r="B41" s="7" t="str">
        <f t="shared" si="6"/>
        <v/>
      </c>
      <c r="C41" s="50">
        <f>IF(D11="","-",+C40+1)</f>
        <v>2032</v>
      </c>
      <c r="D41" s="55">
        <f>IF(F40+SUM(E$17:E40)=D$10,F40,D$10-SUM(E$17:E40))</f>
        <v>884319.87601623638</v>
      </c>
      <c r="E41" s="378">
        <f>IF(+I14&lt;F40,I14,D41)</f>
        <v>44314.466136363633</v>
      </c>
      <c r="F41" s="55">
        <f t="shared" si="26"/>
        <v>840005.40987987269</v>
      </c>
      <c r="G41" s="379">
        <f t="shared" si="27"/>
        <v>147366.2938672069</v>
      </c>
      <c r="H41" s="364">
        <f t="shared" si="28"/>
        <v>147366.2938672069</v>
      </c>
      <c r="I41" s="52">
        <f t="shared" si="0"/>
        <v>0</v>
      </c>
      <c r="J41" s="52"/>
      <c r="K41" s="129"/>
      <c r="L41" s="54">
        <f t="shared" si="1"/>
        <v>0</v>
      </c>
      <c r="M41" s="129"/>
      <c r="N41" s="54">
        <f t="shared" si="2"/>
        <v>0</v>
      </c>
      <c r="O41" s="54">
        <f t="shared" si="3"/>
        <v>0</v>
      </c>
      <c r="P41" s="1"/>
    </row>
    <row r="42" spans="2:16" ht="12.5">
      <c r="B42" s="7" t="str">
        <f t="shared" si="6"/>
        <v/>
      </c>
      <c r="C42" s="50">
        <f>IF(D11="","-",+C41+1)</f>
        <v>2033</v>
      </c>
      <c r="D42" s="55">
        <f>IF(F41+SUM(E$17:E41)=D$10,F41,D$10-SUM(E$17:E41))</f>
        <v>840005.40987987269</v>
      </c>
      <c r="E42" s="378">
        <f>IF(+I14&lt;F41,I14,D42)</f>
        <v>44314.466136363633</v>
      </c>
      <c r="F42" s="55">
        <f t="shared" si="26"/>
        <v>795690.94374350901</v>
      </c>
      <c r="G42" s="379">
        <f t="shared" si="27"/>
        <v>142069.51283914747</v>
      </c>
      <c r="H42" s="364">
        <f t="shared" si="28"/>
        <v>142069.51283914747</v>
      </c>
      <c r="I42" s="52">
        <f t="shared" si="0"/>
        <v>0</v>
      </c>
      <c r="J42" s="52"/>
      <c r="K42" s="129"/>
      <c r="L42" s="54">
        <f t="shared" si="1"/>
        <v>0</v>
      </c>
      <c r="M42" s="129"/>
      <c r="N42" s="54">
        <f t="shared" si="2"/>
        <v>0</v>
      </c>
      <c r="O42" s="54">
        <f t="shared" si="3"/>
        <v>0</v>
      </c>
      <c r="P42" s="1"/>
    </row>
    <row r="43" spans="2:16" ht="12.5">
      <c r="B43" s="7" t="str">
        <f t="shared" si="6"/>
        <v/>
      </c>
      <c r="C43" s="50">
        <f>IF(D11="","-",+C42+1)</f>
        <v>2034</v>
      </c>
      <c r="D43" s="55">
        <f>IF(F42+SUM(E$17:E42)=D$10,F42,D$10-SUM(E$17:E42))</f>
        <v>795690.94374350901</v>
      </c>
      <c r="E43" s="378">
        <f>IF(+I14&lt;F42,I14,D43)</f>
        <v>44314.466136363633</v>
      </c>
      <c r="F43" s="55">
        <f t="shared" si="26"/>
        <v>751376.47760714532</v>
      </c>
      <c r="G43" s="379">
        <f t="shared" si="27"/>
        <v>136772.73181108802</v>
      </c>
      <c r="H43" s="364">
        <f t="shared" si="28"/>
        <v>136772.73181108802</v>
      </c>
      <c r="I43" s="52">
        <f t="shared" si="0"/>
        <v>0</v>
      </c>
      <c r="J43" s="52"/>
      <c r="K43" s="129"/>
      <c r="L43" s="54">
        <f t="shared" si="1"/>
        <v>0</v>
      </c>
      <c r="M43" s="129"/>
      <c r="N43" s="54">
        <f t="shared" si="2"/>
        <v>0</v>
      </c>
      <c r="O43" s="54">
        <f t="shared" si="3"/>
        <v>0</v>
      </c>
      <c r="P43" s="1"/>
    </row>
    <row r="44" spans="2:16" ht="12.5">
      <c r="B44" s="7" t="str">
        <f t="shared" si="6"/>
        <v/>
      </c>
      <c r="C44" s="50">
        <f>IF(D11="","-",+C43+1)</f>
        <v>2035</v>
      </c>
      <c r="D44" s="55">
        <f>IF(F43+SUM(E$17:E43)=D$10,F43,D$10-SUM(E$17:E43))</f>
        <v>751376.47760714532</v>
      </c>
      <c r="E44" s="378">
        <f>IF(+I14&lt;F43,I14,D44)</f>
        <v>44314.466136363633</v>
      </c>
      <c r="F44" s="55">
        <f t="shared" si="26"/>
        <v>707062.01147078164</v>
      </c>
      <c r="G44" s="379">
        <f t="shared" si="27"/>
        <v>131475.95078302859</v>
      </c>
      <c r="H44" s="364">
        <f t="shared" si="28"/>
        <v>131475.95078302859</v>
      </c>
      <c r="I44" s="52">
        <f t="shared" si="0"/>
        <v>0</v>
      </c>
      <c r="J44" s="52"/>
      <c r="K44" s="129"/>
      <c r="L44" s="54">
        <f t="shared" si="1"/>
        <v>0</v>
      </c>
      <c r="M44" s="129"/>
      <c r="N44" s="54">
        <f t="shared" si="2"/>
        <v>0</v>
      </c>
      <c r="O44" s="54">
        <f t="shared" si="3"/>
        <v>0</v>
      </c>
      <c r="P44" s="1"/>
    </row>
    <row r="45" spans="2:16" ht="12.5">
      <c r="B45" s="7" t="str">
        <f t="shared" si="6"/>
        <v/>
      </c>
      <c r="C45" s="50">
        <f>IF(D11="","-",+C44+1)</f>
        <v>2036</v>
      </c>
      <c r="D45" s="55">
        <f>IF(F44+SUM(E$17:E44)=D$10,F44,D$10-SUM(E$17:E44))</f>
        <v>707062.01147078164</v>
      </c>
      <c r="E45" s="378">
        <f>IF(+I14&lt;F44,I14,D45)</f>
        <v>44314.466136363633</v>
      </c>
      <c r="F45" s="55">
        <f t="shared" si="26"/>
        <v>662747.54533441796</v>
      </c>
      <c r="G45" s="379">
        <f t="shared" si="27"/>
        <v>126179.16975496913</v>
      </c>
      <c r="H45" s="364">
        <f t="shared" si="28"/>
        <v>126179.16975496913</v>
      </c>
      <c r="I45" s="52">
        <f t="shared" si="0"/>
        <v>0</v>
      </c>
      <c r="J45" s="52"/>
      <c r="K45" s="129"/>
      <c r="L45" s="54">
        <f t="shared" si="1"/>
        <v>0</v>
      </c>
      <c r="M45" s="129"/>
      <c r="N45" s="54">
        <f t="shared" si="2"/>
        <v>0</v>
      </c>
      <c r="O45" s="54">
        <f t="shared" si="3"/>
        <v>0</v>
      </c>
      <c r="P45" s="1"/>
    </row>
    <row r="46" spans="2:16" ht="12.5">
      <c r="B46" s="7" t="str">
        <f t="shared" si="6"/>
        <v/>
      </c>
      <c r="C46" s="50">
        <f>IF(D11="","-",+C45+1)</f>
        <v>2037</v>
      </c>
      <c r="D46" s="55">
        <f>IF(F45+SUM(E$17:E45)=D$10,F45,D$10-SUM(E$17:E45))</f>
        <v>662747.54533441796</v>
      </c>
      <c r="E46" s="378">
        <f>IF(+I14&lt;F45,I14,D46)</f>
        <v>44314.466136363633</v>
      </c>
      <c r="F46" s="55">
        <f t="shared" si="26"/>
        <v>618433.07919805427</v>
      </c>
      <c r="G46" s="379">
        <f t="shared" si="27"/>
        <v>120882.38872690973</v>
      </c>
      <c r="H46" s="364">
        <f t="shared" si="28"/>
        <v>120882.38872690973</v>
      </c>
      <c r="I46" s="52">
        <f t="shared" si="0"/>
        <v>0</v>
      </c>
      <c r="J46" s="52"/>
      <c r="K46" s="129"/>
      <c r="L46" s="54">
        <f t="shared" si="1"/>
        <v>0</v>
      </c>
      <c r="M46" s="129"/>
      <c r="N46" s="54">
        <f t="shared" si="2"/>
        <v>0</v>
      </c>
      <c r="O46" s="54">
        <f t="shared" si="3"/>
        <v>0</v>
      </c>
      <c r="P46" s="1"/>
    </row>
    <row r="47" spans="2:16" ht="12.5">
      <c r="B47" s="7" t="str">
        <f t="shared" si="6"/>
        <v/>
      </c>
      <c r="C47" s="50">
        <f>IF(D11="","-",+C46+1)</f>
        <v>2038</v>
      </c>
      <c r="D47" s="55">
        <f>IF(F46+SUM(E$17:E46)=D$10,F46,D$10-SUM(E$17:E46))</f>
        <v>618433.07919805427</v>
      </c>
      <c r="E47" s="378">
        <f>IF(+I14&lt;F46,I14,D47)</f>
        <v>44314.466136363633</v>
      </c>
      <c r="F47" s="55">
        <f t="shared" si="26"/>
        <v>574118.61306169059</v>
      </c>
      <c r="G47" s="379">
        <f t="shared" si="27"/>
        <v>115585.60769885028</v>
      </c>
      <c r="H47" s="364">
        <f t="shared" si="28"/>
        <v>115585.60769885028</v>
      </c>
      <c r="I47" s="52">
        <f t="shared" si="0"/>
        <v>0</v>
      </c>
      <c r="J47" s="52"/>
      <c r="K47" s="129"/>
      <c r="L47" s="54">
        <f t="shared" si="1"/>
        <v>0</v>
      </c>
      <c r="M47" s="129"/>
      <c r="N47" s="54">
        <f t="shared" si="2"/>
        <v>0</v>
      </c>
      <c r="O47" s="54">
        <f t="shared" si="3"/>
        <v>0</v>
      </c>
      <c r="P47" s="1"/>
    </row>
    <row r="48" spans="2:16" ht="12.5">
      <c r="B48" s="7" t="str">
        <f t="shared" si="6"/>
        <v/>
      </c>
      <c r="C48" s="50">
        <f>IF(D11="","-",+C47+1)</f>
        <v>2039</v>
      </c>
      <c r="D48" s="55">
        <f>IF(F47+SUM(E$17:E47)=D$10,F47,D$10-SUM(E$17:E47))</f>
        <v>574118.61306169059</v>
      </c>
      <c r="E48" s="378">
        <f>IF(+I14&lt;F47,I14,D48)</f>
        <v>44314.466136363633</v>
      </c>
      <c r="F48" s="55">
        <f t="shared" si="26"/>
        <v>529804.1469253269</v>
      </c>
      <c r="G48" s="379">
        <f t="shared" si="27"/>
        <v>110288.82667079085</v>
      </c>
      <c r="H48" s="364">
        <f t="shared" si="28"/>
        <v>110288.82667079085</v>
      </c>
      <c r="I48" s="52">
        <f t="shared" si="0"/>
        <v>0</v>
      </c>
      <c r="J48" s="52"/>
      <c r="K48" s="129"/>
      <c r="L48" s="54">
        <f t="shared" si="1"/>
        <v>0</v>
      </c>
      <c r="M48" s="129"/>
      <c r="N48" s="54">
        <f t="shared" si="2"/>
        <v>0</v>
      </c>
      <c r="O48" s="54">
        <f t="shared" si="3"/>
        <v>0</v>
      </c>
      <c r="P48" s="1"/>
    </row>
    <row r="49" spans="2:17" ht="12.5">
      <c r="B49" s="7" t="str">
        <f t="shared" si="6"/>
        <v/>
      </c>
      <c r="C49" s="50">
        <f>IF(D11="","-",+C48+1)</f>
        <v>2040</v>
      </c>
      <c r="D49" s="55">
        <f>IF(F48+SUM(E$17:E48)=D$10,F48,D$10-SUM(E$17:E48))</f>
        <v>529804.1469253269</v>
      </c>
      <c r="E49" s="378">
        <f>IF(+I14&lt;F48,I14,D49)</f>
        <v>44314.466136363633</v>
      </c>
      <c r="F49" s="55">
        <f t="shared" ref="F49:F72" si="29">+D49-E49</f>
        <v>485489.68078896328</v>
      </c>
      <c r="G49" s="379">
        <f t="shared" si="27"/>
        <v>104992.04564273141</v>
      </c>
      <c r="H49" s="364">
        <f t="shared" si="28"/>
        <v>104992.04564273141</v>
      </c>
      <c r="I49" s="52">
        <f t="shared" ref="I49:I72" si="30">H49-G49</f>
        <v>0</v>
      </c>
      <c r="J49" s="52"/>
      <c r="K49" s="129"/>
      <c r="L49" s="54">
        <f t="shared" ref="L49:L72" si="31">IF(K49&lt;&gt;0,+G49-K49,0)</f>
        <v>0</v>
      </c>
      <c r="M49" s="129"/>
      <c r="N49" s="54">
        <f t="shared" ref="N49:N72" si="32">IF(M49&lt;&gt;0,+H49-M49,0)</f>
        <v>0</v>
      </c>
      <c r="O49" s="54">
        <f t="shared" ref="O49:O72" si="33">+N49-L49</f>
        <v>0</v>
      </c>
      <c r="P49" s="1"/>
    </row>
    <row r="50" spans="2:17" ht="12.5">
      <c r="B50" s="7" t="str">
        <f t="shared" si="6"/>
        <v/>
      </c>
      <c r="C50" s="50">
        <f>IF(D11="","-",+C49+1)</f>
        <v>2041</v>
      </c>
      <c r="D50" s="55">
        <f>IF(F49+SUM(E$17:E49)=D$10,F49,D$10-SUM(E$17:E49))</f>
        <v>485489.68078896328</v>
      </c>
      <c r="E50" s="378">
        <f>IF(+I14&lt;F49,I14,D50)</f>
        <v>44314.466136363633</v>
      </c>
      <c r="F50" s="55">
        <f t="shared" si="29"/>
        <v>441175.21465259965</v>
      </c>
      <c r="G50" s="379">
        <f t="shared" si="27"/>
        <v>99695.264614671963</v>
      </c>
      <c r="H50" s="364">
        <f t="shared" si="28"/>
        <v>99695.264614671963</v>
      </c>
      <c r="I50" s="52">
        <f t="shared" si="30"/>
        <v>0</v>
      </c>
      <c r="J50" s="52"/>
      <c r="K50" s="129"/>
      <c r="L50" s="54">
        <f t="shared" si="31"/>
        <v>0</v>
      </c>
      <c r="M50" s="129"/>
      <c r="N50" s="54">
        <f t="shared" si="32"/>
        <v>0</v>
      </c>
      <c r="O50" s="54">
        <f t="shared" si="33"/>
        <v>0</v>
      </c>
      <c r="P50" s="1"/>
    </row>
    <row r="51" spans="2:17" ht="12.5">
      <c r="B51" s="7" t="str">
        <f t="shared" si="6"/>
        <v/>
      </c>
      <c r="C51" s="50">
        <f>IF(D11="","-",+C50+1)</f>
        <v>2042</v>
      </c>
      <c r="D51" s="55">
        <f>IF(F50+SUM(E$17:E50)=D$10,F50,D$10-SUM(E$17:E50))</f>
        <v>441175.21465259965</v>
      </c>
      <c r="E51" s="378">
        <f>IF(+I14&lt;F50,I14,D51)</f>
        <v>44314.466136363633</v>
      </c>
      <c r="F51" s="55">
        <f t="shared" si="29"/>
        <v>396860.74851623602</v>
      </c>
      <c r="G51" s="379">
        <f t="shared" si="27"/>
        <v>94398.48358661255</v>
      </c>
      <c r="H51" s="364">
        <f t="shared" si="28"/>
        <v>94398.48358661255</v>
      </c>
      <c r="I51" s="52">
        <f t="shared" si="30"/>
        <v>0</v>
      </c>
      <c r="J51" s="52"/>
      <c r="K51" s="129"/>
      <c r="L51" s="54">
        <f t="shared" si="31"/>
        <v>0</v>
      </c>
      <c r="M51" s="129"/>
      <c r="N51" s="54">
        <f t="shared" si="32"/>
        <v>0</v>
      </c>
      <c r="O51" s="54">
        <f t="shared" si="33"/>
        <v>0</v>
      </c>
      <c r="P51" s="1"/>
    </row>
    <row r="52" spans="2:17" ht="12.5">
      <c r="B52" s="7" t="str">
        <f t="shared" si="6"/>
        <v/>
      </c>
      <c r="C52" s="50">
        <f>IF(D11="","-",+C51+1)</f>
        <v>2043</v>
      </c>
      <c r="D52" s="55">
        <f>IF(F51+SUM(E$17:E51)=D$10,F51,D$10-SUM(E$17:E51))</f>
        <v>396860.74851623602</v>
      </c>
      <c r="E52" s="378">
        <f>IF(+I14&lt;F51,I14,D52)</f>
        <v>44314.466136363633</v>
      </c>
      <c r="F52" s="55">
        <f t="shared" si="29"/>
        <v>352546.2823798724</v>
      </c>
      <c r="G52" s="379">
        <f t="shared" si="27"/>
        <v>89101.702558553108</v>
      </c>
      <c r="H52" s="364">
        <f t="shared" si="28"/>
        <v>89101.702558553108</v>
      </c>
      <c r="I52" s="52">
        <f t="shared" si="30"/>
        <v>0</v>
      </c>
      <c r="J52" s="52"/>
      <c r="K52" s="129"/>
      <c r="L52" s="54">
        <f t="shared" si="31"/>
        <v>0</v>
      </c>
      <c r="M52" s="129"/>
      <c r="N52" s="54">
        <f t="shared" si="32"/>
        <v>0</v>
      </c>
      <c r="O52" s="54">
        <f t="shared" si="33"/>
        <v>0</v>
      </c>
      <c r="P52" s="1"/>
    </row>
    <row r="53" spans="2:17" ht="12.5">
      <c r="B53" s="7" t="str">
        <f t="shared" si="6"/>
        <v/>
      </c>
      <c r="C53" s="50">
        <f>IF(D11="","-",+C52+1)</f>
        <v>2044</v>
      </c>
      <c r="D53" s="55">
        <f>IF(F52+SUM(E$17:E52)=D$10,F52,D$10-SUM(E$17:E52))</f>
        <v>352546.2823798724</v>
      </c>
      <c r="E53" s="378">
        <f>IF(+I14&lt;F52,I14,D53)</f>
        <v>44314.466136363633</v>
      </c>
      <c r="F53" s="55">
        <f t="shared" si="29"/>
        <v>308231.81624350877</v>
      </c>
      <c r="G53" s="379">
        <f t="shared" si="27"/>
        <v>83804.921530493681</v>
      </c>
      <c r="H53" s="364">
        <f t="shared" si="28"/>
        <v>83804.921530493681</v>
      </c>
      <c r="I53" s="52">
        <f t="shared" si="30"/>
        <v>0</v>
      </c>
      <c r="J53" s="52"/>
      <c r="K53" s="129"/>
      <c r="L53" s="54">
        <f t="shared" si="31"/>
        <v>0</v>
      </c>
      <c r="M53" s="129"/>
      <c r="N53" s="54">
        <f t="shared" si="32"/>
        <v>0</v>
      </c>
      <c r="O53" s="54">
        <f t="shared" si="33"/>
        <v>0</v>
      </c>
      <c r="P53" s="1"/>
    </row>
    <row r="54" spans="2:17" ht="12.5">
      <c r="B54" s="7" t="str">
        <f t="shared" si="6"/>
        <v/>
      </c>
      <c r="C54" s="50">
        <f>IF(D11="","-",+C53+1)</f>
        <v>2045</v>
      </c>
      <c r="D54" s="55">
        <f>IF(F53+SUM(E$17:E53)=D$10,F53,D$10-SUM(E$17:E53))</f>
        <v>308231.81624350877</v>
      </c>
      <c r="E54" s="378">
        <f>IF(+I14&lt;F53,I14,D54)</f>
        <v>44314.466136363633</v>
      </c>
      <c r="F54" s="55">
        <f t="shared" si="29"/>
        <v>263917.35010714515</v>
      </c>
      <c r="G54" s="379">
        <f t="shared" si="27"/>
        <v>78508.140502434253</v>
      </c>
      <c r="H54" s="364">
        <f t="shared" si="28"/>
        <v>78508.140502434253</v>
      </c>
      <c r="I54" s="52">
        <f t="shared" si="30"/>
        <v>0</v>
      </c>
      <c r="J54" s="52"/>
      <c r="K54" s="129"/>
      <c r="L54" s="54">
        <f t="shared" si="31"/>
        <v>0</v>
      </c>
      <c r="M54" s="129"/>
      <c r="N54" s="54">
        <f t="shared" si="32"/>
        <v>0</v>
      </c>
      <c r="O54" s="54">
        <f t="shared" si="33"/>
        <v>0</v>
      </c>
      <c r="P54" s="1"/>
    </row>
    <row r="55" spans="2:17" ht="12.5">
      <c r="B55" s="7" t="str">
        <f t="shared" si="6"/>
        <v/>
      </c>
      <c r="C55" s="50">
        <f>IF(D11="","-",+C54+1)</f>
        <v>2046</v>
      </c>
      <c r="D55" s="55">
        <f>IF(F54+SUM(E$17:E54)=D$10,F54,D$10-SUM(E$17:E54))</f>
        <v>263917.35010714515</v>
      </c>
      <c r="E55" s="378">
        <f>IF(+I14&lt;F54,I14,D55)</f>
        <v>44314.466136363633</v>
      </c>
      <c r="F55" s="55">
        <f t="shared" si="29"/>
        <v>219602.88397078152</v>
      </c>
      <c r="G55" s="379">
        <f t="shared" si="27"/>
        <v>73211.359474374825</v>
      </c>
      <c r="H55" s="364">
        <f t="shared" si="28"/>
        <v>73211.359474374825</v>
      </c>
      <c r="I55" s="52">
        <f t="shared" si="30"/>
        <v>0</v>
      </c>
      <c r="J55" s="52"/>
      <c r="K55" s="129"/>
      <c r="L55" s="54">
        <f t="shared" si="31"/>
        <v>0</v>
      </c>
      <c r="M55" s="129"/>
      <c r="N55" s="54">
        <f t="shared" si="32"/>
        <v>0</v>
      </c>
      <c r="O55" s="54">
        <f t="shared" si="33"/>
        <v>0</v>
      </c>
      <c r="P55" s="1"/>
    </row>
    <row r="56" spans="2:17" ht="12.5">
      <c r="B56" s="7" t="str">
        <f t="shared" si="6"/>
        <v/>
      </c>
      <c r="C56" s="50">
        <f>IF(D11="","-",+C55+1)</f>
        <v>2047</v>
      </c>
      <c r="D56" s="55">
        <f>IF(F55+SUM(E$17:E55)=D$10,F55,D$10-SUM(E$17:E55))</f>
        <v>219602.88397078152</v>
      </c>
      <c r="E56" s="378">
        <f>IF(+I14&lt;F55,I14,D56)</f>
        <v>44314.466136363633</v>
      </c>
      <c r="F56" s="55">
        <f t="shared" si="29"/>
        <v>175288.41783441789</v>
      </c>
      <c r="G56" s="379">
        <f t="shared" si="27"/>
        <v>67914.578446315398</v>
      </c>
      <c r="H56" s="364">
        <f t="shared" si="28"/>
        <v>67914.578446315398</v>
      </c>
      <c r="I56" s="52">
        <f t="shared" si="30"/>
        <v>0</v>
      </c>
      <c r="J56" s="52"/>
      <c r="K56" s="129"/>
      <c r="L56" s="54">
        <f t="shared" si="31"/>
        <v>0</v>
      </c>
      <c r="M56" s="129"/>
      <c r="N56" s="54">
        <f t="shared" si="32"/>
        <v>0</v>
      </c>
      <c r="O56" s="54">
        <f t="shared" si="33"/>
        <v>0</v>
      </c>
      <c r="P56" s="1"/>
    </row>
    <row r="57" spans="2:17" ht="12.5">
      <c r="B57" s="7" t="str">
        <f t="shared" si="6"/>
        <v/>
      </c>
      <c r="C57" s="50">
        <f>IF(D11="","-",+C56+1)</f>
        <v>2048</v>
      </c>
      <c r="D57" s="55">
        <f>IF(F56+SUM(E$17:E56)=D$10,F56,D$10-SUM(E$17:E56))</f>
        <v>175288.41783441789</v>
      </c>
      <c r="E57" s="378">
        <f>IF(+I14&lt;F56,I14,D57)</f>
        <v>44314.466136363633</v>
      </c>
      <c r="F57" s="55">
        <f t="shared" si="29"/>
        <v>130973.95169805427</v>
      </c>
      <c r="G57" s="379">
        <f t="shared" si="27"/>
        <v>62617.797418255956</v>
      </c>
      <c r="H57" s="364">
        <f t="shared" si="28"/>
        <v>62617.797418255956</v>
      </c>
      <c r="I57" s="52">
        <f t="shared" si="30"/>
        <v>0</v>
      </c>
      <c r="J57" s="52"/>
      <c r="K57" s="129"/>
      <c r="L57" s="54">
        <f t="shared" si="31"/>
        <v>0</v>
      </c>
      <c r="M57" s="129"/>
      <c r="N57" s="54">
        <f t="shared" si="32"/>
        <v>0</v>
      </c>
      <c r="O57" s="54">
        <f t="shared" si="33"/>
        <v>0</v>
      </c>
      <c r="P57" s="1"/>
    </row>
    <row r="58" spans="2:17" ht="12.5">
      <c r="B58" s="7" t="str">
        <f t="shared" si="6"/>
        <v/>
      </c>
      <c r="C58" s="50">
        <f>IF(D11="","-",+C57+1)</f>
        <v>2049</v>
      </c>
      <c r="D58" s="55">
        <f>IF(F57+SUM(E$17:E57)=D$10,F57,D$10-SUM(E$17:E57))</f>
        <v>130973.95169805427</v>
      </c>
      <c r="E58" s="378">
        <f>IF(+I14&lt;F57,I14,D58)</f>
        <v>44314.466136363633</v>
      </c>
      <c r="F58" s="55">
        <f t="shared" si="29"/>
        <v>86659.485561690642</v>
      </c>
      <c r="G58" s="379">
        <f t="shared" si="27"/>
        <v>57321.016390196528</v>
      </c>
      <c r="H58" s="364">
        <f t="shared" si="28"/>
        <v>57321.016390196528</v>
      </c>
      <c r="I58" s="52">
        <f t="shared" si="30"/>
        <v>0</v>
      </c>
      <c r="J58" s="52"/>
      <c r="K58" s="129"/>
      <c r="L58" s="54">
        <f t="shared" si="31"/>
        <v>0</v>
      </c>
      <c r="M58" s="129"/>
      <c r="N58" s="54">
        <f t="shared" si="32"/>
        <v>0</v>
      </c>
      <c r="O58" s="54">
        <f t="shared" si="33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6"/>
        <v/>
      </c>
      <c r="C59" s="50">
        <f>IF(D11="","-",+C58+1)</f>
        <v>2050</v>
      </c>
      <c r="D59" s="55">
        <f>IF(F58+SUM(E$17:E58)=D$10,F58,D$10-SUM(E$17:E58))</f>
        <v>86659.485561690642</v>
      </c>
      <c r="E59" s="378">
        <f>IF(+I14&lt;F58,I14,D59)</f>
        <v>44314.466136363633</v>
      </c>
      <c r="F59" s="55">
        <f t="shared" si="29"/>
        <v>42345.019425327009</v>
      </c>
      <c r="G59" s="379">
        <f t="shared" si="27"/>
        <v>52024.2353621371</v>
      </c>
      <c r="H59" s="364">
        <f t="shared" si="28"/>
        <v>52024.2353621371</v>
      </c>
      <c r="I59" s="52">
        <f t="shared" si="30"/>
        <v>0</v>
      </c>
      <c r="J59" s="52"/>
      <c r="K59" s="129"/>
      <c r="L59" s="54">
        <f t="shared" si="31"/>
        <v>0</v>
      </c>
      <c r="M59" s="129"/>
      <c r="N59" s="54">
        <f t="shared" si="32"/>
        <v>0</v>
      </c>
      <c r="O59" s="54">
        <f t="shared" si="33"/>
        <v>0</v>
      </c>
      <c r="P59" s="1"/>
    </row>
    <row r="60" spans="2:17" ht="12.5">
      <c r="B60" s="7" t="str">
        <f t="shared" si="6"/>
        <v/>
      </c>
      <c r="C60" s="50">
        <f>IF(D11="","-",+C59+1)</f>
        <v>2051</v>
      </c>
      <c r="D60" s="55">
        <f>IF(F59+SUM(E$17:E59)=D$10,F59,D$10-SUM(E$17:E59))</f>
        <v>42345.019425327009</v>
      </c>
      <c r="E60" s="378">
        <f>IF(+I14&lt;F59,I14,D60)</f>
        <v>42345.019425327009</v>
      </c>
      <c r="F60" s="55">
        <f t="shared" si="29"/>
        <v>0</v>
      </c>
      <c r="G60" s="379">
        <f t="shared" si="27"/>
        <v>44875.708781198882</v>
      </c>
      <c r="H60" s="364">
        <f t="shared" si="28"/>
        <v>44875.708781198882</v>
      </c>
      <c r="I60" s="52">
        <f t="shared" si="30"/>
        <v>0</v>
      </c>
      <c r="J60" s="52"/>
      <c r="K60" s="129"/>
      <c r="L60" s="54">
        <f t="shared" si="31"/>
        <v>0</v>
      </c>
      <c r="M60" s="129"/>
      <c r="N60" s="54">
        <f t="shared" si="32"/>
        <v>0</v>
      </c>
      <c r="O60" s="54">
        <f t="shared" si="33"/>
        <v>0</v>
      </c>
      <c r="P60" s="1"/>
    </row>
    <row r="61" spans="2:17" ht="12.5">
      <c r="B61" s="7" t="str">
        <f t="shared" si="6"/>
        <v/>
      </c>
      <c r="C61" s="50">
        <f>IF(D11="","-",+C60+1)</f>
        <v>2052</v>
      </c>
      <c r="D61" s="55">
        <f>IF(F60+SUM(E$17:E60)=D$10,F60,D$10-SUM(E$17:E60))</f>
        <v>0</v>
      </c>
      <c r="E61" s="378">
        <f>IF(+I14&lt;F60,I14,D61)</f>
        <v>0</v>
      </c>
      <c r="F61" s="55">
        <f t="shared" si="29"/>
        <v>0</v>
      </c>
      <c r="G61" s="380">
        <f t="shared" si="27"/>
        <v>0</v>
      </c>
      <c r="H61" s="364">
        <f t="shared" si="28"/>
        <v>0</v>
      </c>
      <c r="I61" s="52">
        <f t="shared" si="30"/>
        <v>0</v>
      </c>
      <c r="J61" s="52"/>
      <c r="K61" s="129"/>
      <c r="L61" s="54">
        <f t="shared" si="31"/>
        <v>0</v>
      </c>
      <c r="M61" s="129"/>
      <c r="N61" s="54">
        <f t="shared" si="32"/>
        <v>0</v>
      </c>
      <c r="O61" s="54">
        <f t="shared" si="33"/>
        <v>0</v>
      </c>
      <c r="P61" s="1"/>
    </row>
    <row r="62" spans="2:17" ht="12.5">
      <c r="B62" s="7" t="str">
        <f t="shared" si="6"/>
        <v/>
      </c>
      <c r="C62" s="50">
        <f>IF(D11="","-",+C61+1)</f>
        <v>2053</v>
      </c>
      <c r="D62" s="55">
        <f>IF(F61+SUM(E$17:E61)=D$10,F61,D$10-SUM(E$17:E61))</f>
        <v>0</v>
      </c>
      <c r="E62" s="378">
        <f>IF(+I14&lt;F61,I14,D62)</f>
        <v>0</v>
      </c>
      <c r="F62" s="55">
        <f t="shared" si="29"/>
        <v>0</v>
      </c>
      <c r="G62" s="380">
        <f t="shared" si="27"/>
        <v>0</v>
      </c>
      <c r="H62" s="364">
        <f t="shared" si="28"/>
        <v>0</v>
      </c>
      <c r="I62" s="52">
        <f t="shared" si="30"/>
        <v>0</v>
      </c>
      <c r="J62" s="52"/>
      <c r="K62" s="129"/>
      <c r="L62" s="54">
        <f t="shared" si="31"/>
        <v>0</v>
      </c>
      <c r="M62" s="129"/>
      <c r="N62" s="54">
        <f t="shared" si="32"/>
        <v>0</v>
      </c>
      <c r="O62" s="54">
        <f t="shared" si="33"/>
        <v>0</v>
      </c>
      <c r="P62" s="1"/>
    </row>
    <row r="63" spans="2:17" ht="12.5">
      <c r="B63" s="7" t="str">
        <f t="shared" si="6"/>
        <v/>
      </c>
      <c r="C63" s="50">
        <f>IF(D11="","-",+C62+1)</f>
        <v>2054</v>
      </c>
      <c r="D63" s="55">
        <f>IF(F62+SUM(E$17:E62)=D$10,F62,D$10-SUM(E$17:E62))</f>
        <v>0</v>
      </c>
      <c r="E63" s="378">
        <f>IF(+I14&lt;F62,I14,D63)</f>
        <v>0</v>
      </c>
      <c r="F63" s="55">
        <f t="shared" si="29"/>
        <v>0</v>
      </c>
      <c r="G63" s="380">
        <f t="shared" si="27"/>
        <v>0</v>
      </c>
      <c r="H63" s="364">
        <f t="shared" si="28"/>
        <v>0</v>
      </c>
      <c r="I63" s="52">
        <f t="shared" si="30"/>
        <v>0</v>
      </c>
      <c r="J63" s="52"/>
      <c r="K63" s="129"/>
      <c r="L63" s="54">
        <f t="shared" si="31"/>
        <v>0</v>
      </c>
      <c r="M63" s="129"/>
      <c r="N63" s="54">
        <f t="shared" si="32"/>
        <v>0</v>
      </c>
      <c r="O63" s="54">
        <f t="shared" si="33"/>
        <v>0</v>
      </c>
      <c r="P63" s="1"/>
    </row>
    <row r="64" spans="2:17" ht="12.5">
      <c r="B64" s="7" t="str">
        <f t="shared" si="6"/>
        <v/>
      </c>
      <c r="C64" s="50">
        <f>IF(D11="","-",+C63+1)</f>
        <v>2055</v>
      </c>
      <c r="D64" s="55">
        <f>IF(F63+SUM(E$17:E63)=D$10,F63,D$10-SUM(E$17:E63))</f>
        <v>0</v>
      </c>
      <c r="E64" s="378">
        <f>IF(+I14&lt;F63,I14,D64)</f>
        <v>0</v>
      </c>
      <c r="F64" s="55">
        <f t="shared" si="29"/>
        <v>0</v>
      </c>
      <c r="G64" s="380">
        <f t="shared" si="27"/>
        <v>0</v>
      </c>
      <c r="H64" s="364">
        <f t="shared" si="28"/>
        <v>0</v>
      </c>
      <c r="I64" s="52">
        <f t="shared" si="30"/>
        <v>0</v>
      </c>
      <c r="J64" s="52"/>
      <c r="K64" s="129"/>
      <c r="L64" s="54">
        <f t="shared" si="31"/>
        <v>0</v>
      </c>
      <c r="M64" s="129"/>
      <c r="N64" s="54">
        <f t="shared" si="32"/>
        <v>0</v>
      </c>
      <c r="O64" s="54">
        <f t="shared" si="33"/>
        <v>0</v>
      </c>
      <c r="P64" s="1"/>
    </row>
    <row r="65" spans="1:16" ht="12.5">
      <c r="B65" s="7" t="str">
        <f t="shared" si="6"/>
        <v/>
      </c>
      <c r="C65" s="50">
        <f>IF(D11="","-",+C64+1)</f>
        <v>2056</v>
      </c>
      <c r="D65" s="55">
        <f>IF(F64+SUM(E$17:E64)=D$10,F64,D$10-SUM(E$17:E64))</f>
        <v>0</v>
      </c>
      <c r="E65" s="378">
        <f>IF(+I14&lt;F64,I14,D65)</f>
        <v>0</v>
      </c>
      <c r="F65" s="55">
        <f t="shared" si="29"/>
        <v>0</v>
      </c>
      <c r="G65" s="380">
        <f t="shared" si="27"/>
        <v>0</v>
      </c>
      <c r="H65" s="364">
        <f t="shared" si="28"/>
        <v>0</v>
      </c>
      <c r="I65" s="52">
        <f t="shared" si="30"/>
        <v>0</v>
      </c>
      <c r="J65" s="52"/>
      <c r="K65" s="129"/>
      <c r="L65" s="54">
        <f t="shared" si="31"/>
        <v>0</v>
      </c>
      <c r="M65" s="129"/>
      <c r="N65" s="54">
        <f t="shared" si="32"/>
        <v>0</v>
      </c>
      <c r="O65" s="54">
        <f t="shared" si="33"/>
        <v>0</v>
      </c>
      <c r="P65" s="1"/>
    </row>
    <row r="66" spans="1:16" ht="12.5">
      <c r="B66" s="7" t="str">
        <f t="shared" si="6"/>
        <v/>
      </c>
      <c r="C66" s="50">
        <f>IF(D11="","-",+C65+1)</f>
        <v>2057</v>
      </c>
      <c r="D66" s="55">
        <f>IF(F65+SUM(E$17:E65)=D$10,F65,D$10-SUM(E$17:E65))</f>
        <v>0</v>
      </c>
      <c r="E66" s="378">
        <f>IF(+I14&lt;F65,I14,D66)</f>
        <v>0</v>
      </c>
      <c r="F66" s="55">
        <f t="shared" si="29"/>
        <v>0</v>
      </c>
      <c r="G66" s="380">
        <f t="shared" si="27"/>
        <v>0</v>
      </c>
      <c r="H66" s="364">
        <f t="shared" si="28"/>
        <v>0</v>
      </c>
      <c r="I66" s="52">
        <f t="shared" si="30"/>
        <v>0</v>
      </c>
      <c r="J66" s="52"/>
      <c r="K66" s="129"/>
      <c r="L66" s="54">
        <f t="shared" si="31"/>
        <v>0</v>
      </c>
      <c r="M66" s="129"/>
      <c r="N66" s="54">
        <f t="shared" si="32"/>
        <v>0</v>
      </c>
      <c r="O66" s="54">
        <f t="shared" si="33"/>
        <v>0</v>
      </c>
      <c r="P66" s="1"/>
    </row>
    <row r="67" spans="1:16" ht="12.5">
      <c r="B67" s="7" t="str">
        <f t="shared" si="6"/>
        <v/>
      </c>
      <c r="C67" s="50">
        <f>IF(D11="","-",+C66+1)</f>
        <v>2058</v>
      </c>
      <c r="D67" s="55">
        <f>IF(F66+SUM(E$17:E66)=D$10,F66,D$10-SUM(E$17:E66))</f>
        <v>0</v>
      </c>
      <c r="E67" s="378">
        <f>IF(+I14&lt;F66,I14,D67)</f>
        <v>0</v>
      </c>
      <c r="F67" s="55">
        <f t="shared" si="29"/>
        <v>0</v>
      </c>
      <c r="G67" s="380">
        <f t="shared" si="27"/>
        <v>0</v>
      </c>
      <c r="H67" s="364">
        <f t="shared" si="28"/>
        <v>0</v>
      </c>
      <c r="I67" s="52">
        <f t="shared" si="30"/>
        <v>0</v>
      </c>
      <c r="J67" s="52"/>
      <c r="K67" s="129"/>
      <c r="L67" s="54">
        <f t="shared" si="31"/>
        <v>0</v>
      </c>
      <c r="M67" s="129"/>
      <c r="N67" s="54">
        <f t="shared" si="32"/>
        <v>0</v>
      </c>
      <c r="O67" s="54">
        <f t="shared" si="33"/>
        <v>0</v>
      </c>
      <c r="P67" s="1"/>
    </row>
    <row r="68" spans="1:16" ht="12.5">
      <c r="B68" s="7" t="str">
        <f t="shared" si="6"/>
        <v/>
      </c>
      <c r="C68" s="50">
        <f>IF(D11="","-",+C67+1)</f>
        <v>2059</v>
      </c>
      <c r="D68" s="55">
        <f>IF(F67+SUM(E$17:E67)=D$10,F67,D$10-SUM(E$17:E67))</f>
        <v>0</v>
      </c>
      <c r="E68" s="378">
        <f>IF(+I14&lt;F67,I14,D68)</f>
        <v>0</v>
      </c>
      <c r="F68" s="55">
        <f t="shared" si="29"/>
        <v>0</v>
      </c>
      <c r="G68" s="380">
        <f t="shared" si="27"/>
        <v>0</v>
      </c>
      <c r="H68" s="364">
        <f t="shared" si="28"/>
        <v>0</v>
      </c>
      <c r="I68" s="52">
        <f t="shared" si="30"/>
        <v>0</v>
      </c>
      <c r="J68" s="52"/>
      <c r="K68" s="129"/>
      <c r="L68" s="54">
        <f t="shared" si="31"/>
        <v>0</v>
      </c>
      <c r="M68" s="129"/>
      <c r="N68" s="54">
        <f t="shared" si="32"/>
        <v>0</v>
      </c>
      <c r="O68" s="54">
        <f t="shared" si="33"/>
        <v>0</v>
      </c>
      <c r="P68" s="1"/>
    </row>
    <row r="69" spans="1:16" ht="12.5">
      <c r="B69" s="7" t="str">
        <f t="shared" si="6"/>
        <v/>
      </c>
      <c r="C69" s="50">
        <f>IF(D11="","-",+C68+1)</f>
        <v>2060</v>
      </c>
      <c r="D69" s="55">
        <f>IF(F68+SUM(E$17:E68)=D$10,F68,D$10-SUM(E$17:E68))</f>
        <v>0</v>
      </c>
      <c r="E69" s="378">
        <f>IF(+I14&lt;F68,I14,D69)</f>
        <v>0</v>
      </c>
      <c r="F69" s="55">
        <f t="shared" si="29"/>
        <v>0</v>
      </c>
      <c r="G69" s="380">
        <f t="shared" si="27"/>
        <v>0</v>
      </c>
      <c r="H69" s="364">
        <f t="shared" si="28"/>
        <v>0</v>
      </c>
      <c r="I69" s="52">
        <f t="shared" si="30"/>
        <v>0</v>
      </c>
      <c r="J69" s="52"/>
      <c r="K69" s="129"/>
      <c r="L69" s="54">
        <f t="shared" si="31"/>
        <v>0</v>
      </c>
      <c r="M69" s="129"/>
      <c r="N69" s="54">
        <f t="shared" si="32"/>
        <v>0</v>
      </c>
      <c r="O69" s="54">
        <f t="shared" si="33"/>
        <v>0</v>
      </c>
      <c r="P69" s="1"/>
    </row>
    <row r="70" spans="1:16" ht="12.5">
      <c r="B70" s="7" t="str">
        <f t="shared" si="6"/>
        <v/>
      </c>
      <c r="C70" s="50">
        <f>IF(D11="","-",+C69+1)</f>
        <v>2061</v>
      </c>
      <c r="D70" s="55">
        <f>IF(F69+SUM(E$17:E69)=D$10,F69,D$10-SUM(E$17:E69))</f>
        <v>0</v>
      </c>
      <c r="E70" s="378">
        <f>IF(+I14&lt;F69,I14,D70)</f>
        <v>0</v>
      </c>
      <c r="F70" s="55">
        <f t="shared" si="29"/>
        <v>0</v>
      </c>
      <c r="G70" s="380">
        <f t="shared" si="27"/>
        <v>0</v>
      </c>
      <c r="H70" s="364">
        <f t="shared" si="28"/>
        <v>0</v>
      </c>
      <c r="I70" s="52">
        <f t="shared" si="30"/>
        <v>0</v>
      </c>
      <c r="J70" s="52"/>
      <c r="K70" s="129"/>
      <c r="L70" s="54">
        <f t="shared" si="31"/>
        <v>0</v>
      </c>
      <c r="M70" s="129"/>
      <c r="N70" s="54">
        <f t="shared" si="32"/>
        <v>0</v>
      </c>
      <c r="O70" s="54">
        <f t="shared" si="33"/>
        <v>0</v>
      </c>
      <c r="P70" s="1"/>
    </row>
    <row r="71" spans="1:16" ht="12.5">
      <c r="B71" s="7" t="str">
        <f t="shared" si="6"/>
        <v/>
      </c>
      <c r="C71" s="50">
        <f>IF(D11="","-",+C70+1)</f>
        <v>2062</v>
      </c>
      <c r="D71" s="55">
        <f>IF(F70+SUM(E$17:E70)=D$10,F70,D$10-SUM(E$17:E70))</f>
        <v>0</v>
      </c>
      <c r="E71" s="378">
        <f>IF(+I14&lt;F70,I14,D71)</f>
        <v>0</v>
      </c>
      <c r="F71" s="55">
        <f t="shared" si="29"/>
        <v>0</v>
      </c>
      <c r="G71" s="380">
        <f t="shared" si="27"/>
        <v>0</v>
      </c>
      <c r="H71" s="364">
        <f t="shared" si="28"/>
        <v>0</v>
      </c>
      <c r="I71" s="52">
        <f t="shared" si="30"/>
        <v>0</v>
      </c>
      <c r="J71" s="52"/>
      <c r="K71" s="129"/>
      <c r="L71" s="54">
        <f t="shared" si="31"/>
        <v>0</v>
      </c>
      <c r="M71" s="129"/>
      <c r="N71" s="54">
        <f t="shared" si="32"/>
        <v>0</v>
      </c>
      <c r="O71" s="54">
        <f t="shared" si="33"/>
        <v>0</v>
      </c>
      <c r="P71" s="1"/>
    </row>
    <row r="72" spans="1:16" ht="13" thickBot="1">
      <c r="B72" s="7" t="str">
        <f t="shared" si="6"/>
        <v/>
      </c>
      <c r="C72" s="59">
        <f>IF(D11="","-",+C71+1)</f>
        <v>2063</v>
      </c>
      <c r="D72" s="60">
        <f>IF(F71+SUM(E$17:E71)=D$10,F71,D$10-SUM(E$17:E71))</f>
        <v>0</v>
      </c>
      <c r="E72" s="381">
        <f>IF(+I14&lt;F71,I14,D72)</f>
        <v>0</v>
      </c>
      <c r="F72" s="60">
        <f t="shared" si="29"/>
        <v>0</v>
      </c>
      <c r="G72" s="382">
        <f t="shared" si="27"/>
        <v>0</v>
      </c>
      <c r="H72" s="362">
        <f t="shared" si="28"/>
        <v>0</v>
      </c>
      <c r="I72" s="63">
        <f t="shared" si="30"/>
        <v>0</v>
      </c>
      <c r="J72" s="52"/>
      <c r="K72" s="130"/>
      <c r="L72" s="64">
        <f t="shared" si="31"/>
        <v>0</v>
      </c>
      <c r="M72" s="130"/>
      <c r="N72" s="64">
        <f t="shared" si="32"/>
        <v>0</v>
      </c>
      <c r="O72" s="64">
        <f t="shared" si="33"/>
        <v>0</v>
      </c>
      <c r="P72" s="1"/>
    </row>
    <row r="73" spans="1:16" ht="12.5">
      <c r="C73" s="12" t="s">
        <v>78</v>
      </c>
      <c r="D73" s="293"/>
      <c r="E73" s="293">
        <f>SUM(E17:E72)</f>
        <v>1949836.5099999988</v>
      </c>
      <c r="F73" s="293"/>
      <c r="G73" s="293">
        <f>SUM(G17:G72)</f>
        <v>7170607.17679842</v>
      </c>
      <c r="H73" s="293">
        <f>SUM(H17:H72)</f>
        <v>7170607.17679842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7.5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17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189740.54209168235</v>
      </c>
      <c r="N87" s="387">
        <f>IF(J92&lt;D11,0,VLOOKUP(J92,C17:O72,11))</f>
        <v>189740.54209168235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195097.70384174422</v>
      </c>
      <c r="N88" s="390">
        <f>IF(J92&lt;D11,0,VLOOKUP(J92,C99:P154,7))</f>
        <v>195097.70384174422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Linwood-McWillie 138 kV Rebuild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5357.161750061874</v>
      </c>
      <c r="N89" s="392">
        <f>+N88-N87</f>
        <v>5357.161750061874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TP2007019</v>
      </c>
      <c r="E91" s="76" t="str">
        <f>E9</f>
        <v>SPP Project ID =</v>
      </c>
      <c r="F91" s="463">
        <f>F9</f>
        <v>120</v>
      </c>
      <c r="G91" s="76"/>
      <c r="H91" s="76"/>
      <c r="I91" s="76"/>
      <c r="J91" s="95"/>
      <c r="Q91" s="1"/>
    </row>
    <row r="92" spans="1:17" ht="13">
      <c r="C92" s="34" t="s">
        <v>51</v>
      </c>
      <c r="D92" s="363">
        <f>D10</f>
        <v>1949836.51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  <c r="Q92" s="1"/>
    </row>
    <row r="93" spans="1:17" ht="12.5">
      <c r="C93" s="34" t="s">
        <v>54</v>
      </c>
      <c r="D93" s="88">
        <f>IF(D11=I10,"",D11)</f>
        <v>2008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4">
        <f>IF(D11=I10,"",D12)</f>
        <v>6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44314.466136363633</v>
      </c>
      <c r="K96" s="293"/>
      <c r="L96" s="293"/>
      <c r="M96" s="293"/>
      <c r="N96" s="293"/>
      <c r="O96" s="293"/>
      <c r="P96" s="1"/>
      <c r="Q96" s="1"/>
    </row>
    <row r="97" spans="1:17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 ht="12.5">
      <c r="C99" s="50">
        <f>IF(D93= "","-",D93)</f>
        <v>2008</v>
      </c>
      <c r="D99" s="133">
        <v>0</v>
      </c>
      <c r="E99" s="376">
        <v>17573</v>
      </c>
      <c r="F99" s="137">
        <v>1282816</v>
      </c>
      <c r="G99" s="140">
        <v>641408</v>
      </c>
      <c r="H99" s="397">
        <v>119814</v>
      </c>
      <c r="I99" s="398">
        <v>119814</v>
      </c>
      <c r="J99" s="154">
        <f t="shared" ref="J99:J130" si="34">+I99-H99</f>
        <v>0</v>
      </c>
      <c r="K99" s="54"/>
      <c r="L99" s="112">
        <v>119814</v>
      </c>
      <c r="M99" s="53">
        <f t="shared" ref="M99:M130" si="35">IF(L99&lt;&gt;0,+H99-L99,0)</f>
        <v>0</v>
      </c>
      <c r="N99" s="112">
        <v>119814</v>
      </c>
      <c r="O99" s="53">
        <f t="shared" ref="O99:O130" si="36">IF(N99&lt;&gt;0,+I99-N99,0)</f>
        <v>0</v>
      </c>
      <c r="P99" s="53">
        <f t="shared" ref="P99:P130" si="37">+O99-M99</f>
        <v>0</v>
      </c>
      <c r="Q99" s="1"/>
    </row>
    <row r="100" spans="1:17" ht="12.5">
      <c r="B100" s="7" t="str">
        <f>IF(D100=F99,"","IU")</f>
        <v>IU</v>
      </c>
      <c r="C100" s="50">
        <f>IF(D93="","-",+C99+1)</f>
        <v>2009</v>
      </c>
      <c r="D100" s="133">
        <v>1932263.51</v>
      </c>
      <c r="E100" s="376">
        <v>51311.487105263157</v>
      </c>
      <c r="F100" s="137">
        <v>1880952.0228947368</v>
      </c>
      <c r="G100" s="137">
        <v>1906607.7664473685</v>
      </c>
      <c r="H100" s="376">
        <v>327269.44030165928</v>
      </c>
      <c r="I100" s="375">
        <v>327269.44030165928</v>
      </c>
      <c r="J100" s="154">
        <f t="shared" si="34"/>
        <v>0</v>
      </c>
      <c r="K100" s="54"/>
      <c r="L100" s="113">
        <f t="shared" ref="L100:L105" si="38">H100</f>
        <v>327269.44030165928</v>
      </c>
      <c r="M100" s="54">
        <f t="shared" si="35"/>
        <v>0</v>
      </c>
      <c r="N100" s="113">
        <f t="shared" ref="N100:N105" si="39">I100</f>
        <v>327269.44030165928</v>
      </c>
      <c r="O100" s="54">
        <f t="shared" si="36"/>
        <v>0</v>
      </c>
      <c r="P100" s="54">
        <f t="shared" si="37"/>
        <v>0</v>
      </c>
      <c r="Q100" s="1"/>
    </row>
    <row r="101" spans="1:17" ht="12.5">
      <c r="B101" s="7" t="str">
        <f t="shared" ref="B101:B154" si="40">IF(D101=F100,"","IU")</f>
        <v/>
      </c>
      <c r="C101" s="50">
        <f>IF(D93="","-",+C100+1)</f>
        <v>2010</v>
      </c>
      <c r="D101" s="133">
        <v>1880952.0228947368</v>
      </c>
      <c r="E101" s="376">
        <v>47556.988048780491</v>
      </c>
      <c r="F101" s="137">
        <v>1833395.0348459564</v>
      </c>
      <c r="G101" s="137">
        <v>1857173.5288703465</v>
      </c>
      <c r="H101" s="376">
        <v>354150.48973333737</v>
      </c>
      <c r="I101" s="375">
        <v>354150.48973333737</v>
      </c>
      <c r="J101" s="154">
        <f t="shared" si="34"/>
        <v>0</v>
      </c>
      <c r="K101" s="54"/>
      <c r="L101" s="113">
        <f t="shared" si="38"/>
        <v>354150.48973333737</v>
      </c>
      <c r="M101" s="54">
        <f t="shared" si="35"/>
        <v>0</v>
      </c>
      <c r="N101" s="113">
        <f t="shared" si="39"/>
        <v>354150.48973333737</v>
      </c>
      <c r="O101" s="54">
        <f t="shared" si="36"/>
        <v>0</v>
      </c>
      <c r="P101" s="54">
        <f t="shared" si="37"/>
        <v>0</v>
      </c>
      <c r="Q101" s="1"/>
    </row>
    <row r="102" spans="1:17" ht="12.5">
      <c r="B102" s="7" t="str">
        <f t="shared" si="40"/>
        <v/>
      </c>
      <c r="C102" s="50">
        <f>IF(D93="","-",+C101+1)</f>
        <v>2011</v>
      </c>
      <c r="D102" s="133">
        <v>1833395.0348459564</v>
      </c>
      <c r="E102" s="377">
        <v>46424.678809523808</v>
      </c>
      <c r="F102" s="137">
        <v>1786970.3560364326</v>
      </c>
      <c r="G102" s="137">
        <v>1810182.6954411943</v>
      </c>
      <c r="H102" s="376">
        <v>318639.77382654941</v>
      </c>
      <c r="I102" s="375">
        <v>318639.77382654941</v>
      </c>
      <c r="J102" s="154">
        <f t="shared" si="34"/>
        <v>0</v>
      </c>
      <c r="K102" s="54"/>
      <c r="L102" s="113">
        <f t="shared" si="38"/>
        <v>318639.77382654941</v>
      </c>
      <c r="M102" s="54">
        <f t="shared" si="35"/>
        <v>0</v>
      </c>
      <c r="N102" s="113">
        <f t="shared" si="39"/>
        <v>318639.77382654941</v>
      </c>
      <c r="O102" s="54">
        <f t="shared" si="36"/>
        <v>0</v>
      </c>
      <c r="P102" s="54">
        <f t="shared" si="37"/>
        <v>0</v>
      </c>
      <c r="Q102" s="1"/>
    </row>
    <row r="103" spans="1:17" ht="12.5">
      <c r="B103" s="7" t="str">
        <f t="shared" si="40"/>
        <v/>
      </c>
      <c r="C103" s="50">
        <f>IF(D93="","-",+C102+1)</f>
        <v>2012</v>
      </c>
      <c r="D103" s="133">
        <v>1786970.3560364326</v>
      </c>
      <c r="E103" s="376">
        <v>46424.678809523808</v>
      </c>
      <c r="F103" s="137">
        <v>1740545.6772269087</v>
      </c>
      <c r="G103" s="137">
        <v>1763758.0166316708</v>
      </c>
      <c r="H103" s="376">
        <v>305968.60569385614</v>
      </c>
      <c r="I103" s="375">
        <v>305968.60569385614</v>
      </c>
      <c r="J103" s="154">
        <f t="shared" si="34"/>
        <v>0</v>
      </c>
      <c r="K103" s="54"/>
      <c r="L103" s="113">
        <f t="shared" si="38"/>
        <v>305968.60569385614</v>
      </c>
      <c r="M103" s="54">
        <f t="shared" si="35"/>
        <v>0</v>
      </c>
      <c r="N103" s="113">
        <f t="shared" si="39"/>
        <v>305968.60569385614</v>
      </c>
      <c r="O103" s="54">
        <f t="shared" si="36"/>
        <v>0</v>
      </c>
      <c r="P103" s="54">
        <f t="shared" si="37"/>
        <v>0</v>
      </c>
      <c r="Q103" s="1"/>
    </row>
    <row r="104" spans="1:17" ht="12.5">
      <c r="B104" s="7" t="str">
        <f t="shared" si="40"/>
        <v/>
      </c>
      <c r="C104" s="50">
        <f>IF(D93="","-",+C103+1)</f>
        <v>2013</v>
      </c>
      <c r="D104" s="133">
        <v>1740545.6772269087</v>
      </c>
      <c r="E104" s="376">
        <v>46424.678809523808</v>
      </c>
      <c r="F104" s="137">
        <v>1694120.9984173849</v>
      </c>
      <c r="G104" s="137">
        <v>1717333.3378221467</v>
      </c>
      <c r="H104" s="376">
        <v>278765.62951624766</v>
      </c>
      <c r="I104" s="375">
        <v>278765.62951624766</v>
      </c>
      <c r="J104" s="154">
        <v>0</v>
      </c>
      <c r="K104" s="54"/>
      <c r="L104" s="113">
        <f t="shared" si="38"/>
        <v>278765.62951624766</v>
      </c>
      <c r="M104" s="54">
        <f t="shared" ref="M104:M109" si="41">IF(L104&lt;&gt;0,+H104-L104,0)</f>
        <v>0</v>
      </c>
      <c r="N104" s="113">
        <f t="shared" si="39"/>
        <v>278765.62951624766</v>
      </c>
      <c r="O104" s="54">
        <f t="shared" ref="O104:O109" si="42">IF(N104&lt;&gt;0,+I104-N104,0)</f>
        <v>0</v>
      </c>
      <c r="P104" s="54">
        <f t="shared" ref="P104:P109" si="43">+O104-M104</f>
        <v>0</v>
      </c>
      <c r="Q104" s="1"/>
    </row>
    <row r="105" spans="1:17" ht="12.5">
      <c r="B105" s="7" t="str">
        <f t="shared" si="40"/>
        <v/>
      </c>
      <c r="C105" s="50">
        <f>IF(D93="","-",+C104+1)</f>
        <v>2014</v>
      </c>
      <c r="D105" s="133">
        <v>1694120.9984173849</v>
      </c>
      <c r="E105" s="376">
        <v>46424.678809523808</v>
      </c>
      <c r="F105" s="137">
        <v>1647696.3196078611</v>
      </c>
      <c r="G105" s="137">
        <v>1670908.6590126231</v>
      </c>
      <c r="H105" s="376">
        <v>273540.36469294201</v>
      </c>
      <c r="I105" s="375">
        <v>273540.36469294201</v>
      </c>
      <c r="J105" s="54">
        <v>0</v>
      </c>
      <c r="K105" s="54"/>
      <c r="L105" s="113">
        <f t="shared" si="38"/>
        <v>273540.36469294201</v>
      </c>
      <c r="M105" s="54">
        <f t="shared" si="41"/>
        <v>0</v>
      </c>
      <c r="N105" s="113">
        <f t="shared" si="39"/>
        <v>273540.36469294201</v>
      </c>
      <c r="O105" s="54">
        <f t="shared" si="42"/>
        <v>0</v>
      </c>
      <c r="P105" s="54">
        <f t="shared" si="43"/>
        <v>0</v>
      </c>
      <c r="Q105" s="1"/>
    </row>
    <row r="106" spans="1:17" ht="12.5">
      <c r="B106" s="7" t="str">
        <f t="shared" si="40"/>
        <v/>
      </c>
      <c r="C106" s="50">
        <f>IF(D93="","-",+C105+1)</f>
        <v>2015</v>
      </c>
      <c r="D106" s="133">
        <v>1647696.3196078611</v>
      </c>
      <c r="E106" s="376">
        <v>46424.678809523808</v>
      </c>
      <c r="F106" s="137">
        <v>1601271.6407983373</v>
      </c>
      <c r="G106" s="137">
        <v>1624483.9802030991</v>
      </c>
      <c r="H106" s="376">
        <v>260481.11000678584</v>
      </c>
      <c r="I106" s="375">
        <v>260481.11000678584</v>
      </c>
      <c r="J106" s="54">
        <f t="shared" si="34"/>
        <v>0</v>
      </c>
      <c r="K106" s="54"/>
      <c r="L106" s="113">
        <f t="shared" ref="L106:L111" si="44">H106</f>
        <v>260481.11000678584</v>
      </c>
      <c r="M106" s="54">
        <f t="shared" si="41"/>
        <v>0</v>
      </c>
      <c r="N106" s="113">
        <f t="shared" ref="N106:N111" si="45">I106</f>
        <v>260481.11000678584</v>
      </c>
      <c r="O106" s="54">
        <f t="shared" si="42"/>
        <v>0</v>
      </c>
      <c r="P106" s="54">
        <f t="shared" si="43"/>
        <v>0</v>
      </c>
      <c r="Q106" s="1"/>
    </row>
    <row r="107" spans="1:17" ht="12.5">
      <c r="B107" s="7" t="str">
        <f t="shared" si="40"/>
        <v/>
      </c>
      <c r="C107" s="50">
        <f>IF(D93="","-",+C106+1)</f>
        <v>2016</v>
      </c>
      <c r="D107" s="133">
        <v>1601271.6407983373</v>
      </c>
      <c r="E107" s="376">
        <v>45345.035116279068</v>
      </c>
      <c r="F107" s="137">
        <v>1555926.6056820583</v>
      </c>
      <c r="G107" s="137">
        <v>1578599.1232401978</v>
      </c>
      <c r="H107" s="376">
        <v>245748.17532364058</v>
      </c>
      <c r="I107" s="375">
        <v>245748.17532364058</v>
      </c>
      <c r="J107" s="54">
        <f t="shared" si="34"/>
        <v>0</v>
      </c>
      <c r="K107" s="54"/>
      <c r="L107" s="113">
        <f t="shared" si="44"/>
        <v>245748.17532364058</v>
      </c>
      <c r="M107" s="54">
        <f t="shared" si="41"/>
        <v>0</v>
      </c>
      <c r="N107" s="113">
        <f t="shared" si="45"/>
        <v>245748.17532364058</v>
      </c>
      <c r="O107" s="54">
        <f t="shared" si="42"/>
        <v>0</v>
      </c>
      <c r="P107" s="54">
        <f t="shared" si="43"/>
        <v>0</v>
      </c>
      <c r="Q107" s="1"/>
    </row>
    <row r="108" spans="1:17" ht="12.5">
      <c r="B108" s="7" t="str">
        <f t="shared" si="40"/>
        <v/>
      </c>
      <c r="C108" s="50">
        <f>IF(D93="","-",+C107+1)</f>
        <v>2017</v>
      </c>
      <c r="D108" s="133">
        <v>1555926.6056820583</v>
      </c>
      <c r="E108" s="376">
        <v>46424.678809523808</v>
      </c>
      <c r="F108" s="137">
        <v>1509501.9268725344</v>
      </c>
      <c r="G108" s="137">
        <v>1532714.2662772965</v>
      </c>
      <c r="H108" s="376">
        <v>232605.71494726205</v>
      </c>
      <c r="I108" s="375">
        <v>232605.71494726205</v>
      </c>
      <c r="J108" s="54">
        <f t="shared" si="34"/>
        <v>0</v>
      </c>
      <c r="K108" s="54"/>
      <c r="L108" s="113">
        <f t="shared" si="44"/>
        <v>232605.71494726205</v>
      </c>
      <c r="M108" s="54">
        <f t="shared" si="41"/>
        <v>0</v>
      </c>
      <c r="N108" s="113">
        <f t="shared" si="45"/>
        <v>232605.71494726205</v>
      </c>
      <c r="O108" s="54">
        <f t="shared" si="42"/>
        <v>0</v>
      </c>
      <c r="P108" s="54">
        <f t="shared" si="43"/>
        <v>0</v>
      </c>
      <c r="Q108" s="1"/>
    </row>
    <row r="109" spans="1:17" ht="12.5">
      <c r="B109" s="7" t="str">
        <f t="shared" si="40"/>
        <v/>
      </c>
      <c r="C109" s="50">
        <f>IF(D93="","-",+C108+1)</f>
        <v>2018</v>
      </c>
      <c r="D109" s="133">
        <v>1509501.9268725344</v>
      </c>
      <c r="E109" s="376">
        <v>46424.678809523808</v>
      </c>
      <c r="F109" s="137">
        <v>1463077.2480630106</v>
      </c>
      <c r="G109" s="137">
        <v>1486289.5874677724</v>
      </c>
      <c r="H109" s="376">
        <v>203383.67510232344</v>
      </c>
      <c r="I109" s="375">
        <v>203383.67510232344</v>
      </c>
      <c r="J109" s="54">
        <f t="shared" si="34"/>
        <v>0</v>
      </c>
      <c r="K109" s="54"/>
      <c r="L109" s="113">
        <f t="shared" si="44"/>
        <v>203383.67510232344</v>
      </c>
      <c r="M109" s="54">
        <f t="shared" si="41"/>
        <v>0</v>
      </c>
      <c r="N109" s="113">
        <f t="shared" si="45"/>
        <v>203383.67510232344</v>
      </c>
      <c r="O109" s="54">
        <f t="shared" si="42"/>
        <v>0</v>
      </c>
      <c r="P109" s="54">
        <f t="shared" si="43"/>
        <v>0</v>
      </c>
      <c r="Q109" s="1"/>
    </row>
    <row r="110" spans="1:17" ht="12.5">
      <c r="B110" s="7" t="str">
        <f t="shared" si="40"/>
        <v/>
      </c>
      <c r="C110" s="50">
        <f>IF(D93="","-",+C109+1)</f>
        <v>2019</v>
      </c>
      <c r="D110" s="133">
        <v>1463077.2480630106</v>
      </c>
      <c r="E110" s="376">
        <v>45345.035116279068</v>
      </c>
      <c r="F110" s="137">
        <v>1417732.2129467316</v>
      </c>
      <c r="G110" s="137">
        <v>1440404.7305048711</v>
      </c>
      <c r="H110" s="376">
        <v>199526.74471129151</v>
      </c>
      <c r="I110" s="375">
        <v>199526.74471129151</v>
      </c>
      <c r="J110" s="54">
        <f t="shared" si="34"/>
        <v>0</v>
      </c>
      <c r="K110" s="54"/>
      <c r="L110" s="113">
        <f t="shared" si="44"/>
        <v>199526.74471129151</v>
      </c>
      <c r="M110" s="54">
        <f t="shared" ref="M110" si="46">IF(L110&lt;&gt;0,+H110-L110,0)</f>
        <v>0</v>
      </c>
      <c r="N110" s="113">
        <f t="shared" si="45"/>
        <v>199526.74471129151</v>
      </c>
      <c r="O110" s="54">
        <f t="shared" si="36"/>
        <v>0</v>
      </c>
      <c r="P110" s="54">
        <f t="shared" si="37"/>
        <v>0</v>
      </c>
      <c r="Q110" s="1"/>
    </row>
    <row r="111" spans="1:17" ht="12.5">
      <c r="B111" s="7" t="str">
        <f t="shared" si="40"/>
        <v/>
      </c>
      <c r="C111" s="50">
        <f>IF(D93="","-",+C110+1)</f>
        <v>2020</v>
      </c>
      <c r="D111" s="133">
        <v>1417732.2129467316</v>
      </c>
      <c r="E111" s="376">
        <v>46424.678809523808</v>
      </c>
      <c r="F111" s="137">
        <v>1371307.5341372078</v>
      </c>
      <c r="G111" s="137">
        <v>1394519.8735419698</v>
      </c>
      <c r="H111" s="376">
        <v>196438.52610487738</v>
      </c>
      <c r="I111" s="375">
        <v>196438.52610487738</v>
      </c>
      <c r="J111" s="54">
        <f t="shared" si="34"/>
        <v>0</v>
      </c>
      <c r="K111" s="54"/>
      <c r="L111" s="113">
        <f t="shared" si="44"/>
        <v>196438.52610487738</v>
      </c>
      <c r="M111" s="54">
        <f t="shared" ref="M111" si="47">IF(L111&lt;&gt;0,+H111-L111,0)</f>
        <v>0</v>
      </c>
      <c r="N111" s="113">
        <f t="shared" si="45"/>
        <v>196438.52610487738</v>
      </c>
      <c r="O111" s="54">
        <f t="shared" si="36"/>
        <v>0</v>
      </c>
      <c r="P111" s="54">
        <f t="shared" si="37"/>
        <v>0</v>
      </c>
      <c r="Q111" s="1"/>
    </row>
    <row r="112" spans="1:17" ht="12.5">
      <c r="B112" s="7" t="str">
        <f t="shared" si="40"/>
        <v/>
      </c>
      <c r="C112" s="50">
        <f>IF(D93="","-",+C111+1)</f>
        <v>2021</v>
      </c>
      <c r="D112" s="133">
        <v>1371307.5341372078</v>
      </c>
      <c r="E112" s="376">
        <v>47556.988048780491</v>
      </c>
      <c r="F112" s="137">
        <v>1323750.5460884273</v>
      </c>
      <c r="G112" s="137">
        <v>1347529.0401128177</v>
      </c>
      <c r="H112" s="376">
        <v>200520.70455071999</v>
      </c>
      <c r="I112" s="375">
        <v>200520.70455071999</v>
      </c>
      <c r="J112" s="54">
        <f t="shared" si="34"/>
        <v>0</v>
      </c>
      <c r="K112" s="54"/>
      <c r="L112" s="113">
        <f t="shared" ref="L112" si="48">H112</f>
        <v>200520.70455071999</v>
      </c>
      <c r="M112" s="54">
        <f t="shared" ref="M112" si="49">IF(L112&lt;&gt;0,+H112-L112,0)</f>
        <v>0</v>
      </c>
      <c r="N112" s="113">
        <f t="shared" ref="N112" si="50">I112</f>
        <v>200520.70455071999</v>
      </c>
      <c r="O112" s="54">
        <f t="shared" si="36"/>
        <v>0</v>
      </c>
      <c r="P112" s="54">
        <f t="shared" si="37"/>
        <v>0</v>
      </c>
      <c r="Q112" s="1"/>
    </row>
    <row r="113" spans="2:17" ht="12.5">
      <c r="B113" s="7" t="str">
        <f t="shared" si="40"/>
        <v/>
      </c>
      <c r="C113" s="50">
        <f>IF(D93="","-",+C112+1)</f>
        <v>2022</v>
      </c>
      <c r="D113" s="133">
        <v>1323750.5460884273</v>
      </c>
      <c r="E113" s="376">
        <v>46424.678809523808</v>
      </c>
      <c r="F113" s="137">
        <v>1277325.8672789035</v>
      </c>
      <c r="G113" s="137">
        <v>1300538.2066836655</v>
      </c>
      <c r="H113" s="376">
        <v>199183.09136083254</v>
      </c>
      <c r="I113" s="375">
        <v>199183.09136083254</v>
      </c>
      <c r="J113" s="54">
        <f t="shared" si="34"/>
        <v>0</v>
      </c>
      <c r="K113" s="54"/>
      <c r="L113" s="113">
        <f t="shared" ref="L113" si="51">H113</f>
        <v>199183.09136083254</v>
      </c>
      <c r="M113" s="54">
        <f t="shared" ref="M113" si="52">IF(L113&lt;&gt;0,+H113-L113,0)</f>
        <v>0</v>
      </c>
      <c r="N113" s="113">
        <f t="shared" ref="N113" si="53">I113</f>
        <v>199183.09136083254</v>
      </c>
      <c r="O113" s="54">
        <f t="shared" ref="O113" si="54">IF(N113&lt;&gt;0,+I113-N113,0)</f>
        <v>0</v>
      </c>
      <c r="P113" s="54">
        <f t="shared" ref="P113" si="55">+O113-M113</f>
        <v>0</v>
      </c>
      <c r="Q113" s="1"/>
    </row>
    <row r="114" spans="2:17" ht="12.5">
      <c r="B114" s="7" t="str">
        <f t="shared" si="40"/>
        <v/>
      </c>
      <c r="C114" s="50">
        <f>IF(D93="","-",+C113+1)</f>
        <v>2023</v>
      </c>
      <c r="D114" s="133">
        <v>1277325.8672789035</v>
      </c>
      <c r="E114" s="376">
        <v>44314.466136363633</v>
      </c>
      <c r="F114" s="137">
        <v>1233011.4011425399</v>
      </c>
      <c r="G114" s="137">
        <v>1255168.6342107216</v>
      </c>
      <c r="H114" s="376">
        <v>199158.41525518207</v>
      </c>
      <c r="I114" s="375">
        <v>199158.41525518207</v>
      </c>
      <c r="J114" s="54">
        <f t="shared" si="34"/>
        <v>0</v>
      </c>
      <c r="K114" s="54"/>
      <c r="L114" s="113">
        <f t="shared" ref="L114" si="56">H114</f>
        <v>199158.41525518207</v>
      </c>
      <c r="M114" s="54">
        <f t="shared" ref="M114" si="57">IF(L114&lt;&gt;0,+H114-L114,0)</f>
        <v>0</v>
      </c>
      <c r="N114" s="113">
        <f t="shared" ref="N114" si="58">I114</f>
        <v>199158.41525518207</v>
      </c>
      <c r="O114" s="54">
        <f t="shared" ref="O114" si="59">IF(N114&lt;&gt;0,+I114-N114,0)</f>
        <v>0</v>
      </c>
      <c r="P114" s="54">
        <f t="shared" ref="P114" si="60">+O114-M114</f>
        <v>0</v>
      </c>
      <c r="Q114" s="1"/>
    </row>
    <row r="115" spans="2:17" ht="12.5">
      <c r="B115" s="7" t="str">
        <f t="shared" si="40"/>
        <v/>
      </c>
      <c r="C115" s="50">
        <f>IF(D93="","-",+C114+1)</f>
        <v>2024</v>
      </c>
      <c r="D115" s="12">
        <f>IF(F114+SUM(E$99:E114)=D$92,F114,D$92-SUM(E$99:E114))</f>
        <v>1233011.4011425399</v>
      </c>
      <c r="E115" s="378">
        <f>IF(+J96&lt;F114,J96,D115)</f>
        <v>44314.466136363633</v>
      </c>
      <c r="F115" s="55">
        <f t="shared" ref="F115:F130" si="61">+D115-E115</f>
        <v>1188696.9350061764</v>
      </c>
      <c r="G115" s="55">
        <f t="shared" ref="G115:G130" si="62">+(F115+D115)/2</f>
        <v>1210854.1680743583</v>
      </c>
      <c r="H115" s="380">
        <f t="shared" ref="H115:H154" si="63">+J$94*G115+E115</f>
        <v>195097.70384174422</v>
      </c>
      <c r="I115" s="399">
        <f t="shared" ref="I115:I154" si="64">+J$95*G115+E115</f>
        <v>195097.70384174422</v>
      </c>
      <c r="J115" s="54">
        <f t="shared" si="34"/>
        <v>0</v>
      </c>
      <c r="K115" s="54"/>
      <c r="L115" s="129"/>
      <c r="M115" s="54">
        <f t="shared" si="35"/>
        <v>0</v>
      </c>
      <c r="N115" s="129"/>
      <c r="O115" s="54">
        <f t="shared" si="36"/>
        <v>0</v>
      </c>
      <c r="P115" s="54">
        <f t="shared" si="37"/>
        <v>0</v>
      </c>
      <c r="Q115" s="1"/>
    </row>
    <row r="116" spans="2:17" ht="12.5">
      <c r="B116" s="7" t="str">
        <f t="shared" si="40"/>
        <v/>
      </c>
      <c r="C116" s="50">
        <f>IF(D93="","-",+C115+1)</f>
        <v>2025</v>
      </c>
      <c r="D116" s="12">
        <f>IF(F115+SUM(E$99:E115)=D$92,F115,D$92-SUM(E$99:E115))</f>
        <v>1188696.9350061764</v>
      </c>
      <c r="E116" s="378">
        <f>IF(+J96&lt;F115,J96,D116)</f>
        <v>44314.466136363633</v>
      </c>
      <c r="F116" s="55">
        <f t="shared" si="61"/>
        <v>1144382.4688698128</v>
      </c>
      <c r="G116" s="55">
        <f t="shared" si="62"/>
        <v>1166539.7019379945</v>
      </c>
      <c r="H116" s="380">
        <f t="shared" si="63"/>
        <v>189579.38556907175</v>
      </c>
      <c r="I116" s="399">
        <f t="shared" si="64"/>
        <v>189579.38556907175</v>
      </c>
      <c r="J116" s="54">
        <f t="shared" si="34"/>
        <v>0</v>
      </c>
      <c r="K116" s="54"/>
      <c r="L116" s="129"/>
      <c r="M116" s="54">
        <f t="shared" si="35"/>
        <v>0</v>
      </c>
      <c r="N116" s="129"/>
      <c r="O116" s="54">
        <f t="shared" si="36"/>
        <v>0</v>
      </c>
      <c r="P116" s="54">
        <f t="shared" si="37"/>
        <v>0</v>
      </c>
      <c r="Q116" s="1"/>
    </row>
    <row r="117" spans="2:17" ht="12.5">
      <c r="B117" s="7" t="str">
        <f t="shared" si="40"/>
        <v/>
      </c>
      <c r="C117" s="50">
        <f>IF(D93="","-",+C116+1)</f>
        <v>2026</v>
      </c>
      <c r="D117" s="12">
        <f>IF(F116+SUM(E$99:E116)=D$92,F116,D$92-SUM(E$99:E116))</f>
        <v>1144382.4688698128</v>
      </c>
      <c r="E117" s="378">
        <f>IF(+J96&lt;F116,J96,D117)</f>
        <v>44314.466136363633</v>
      </c>
      <c r="F117" s="55">
        <f t="shared" si="61"/>
        <v>1100068.0027334492</v>
      </c>
      <c r="G117" s="55">
        <f t="shared" si="62"/>
        <v>1122225.2358016311</v>
      </c>
      <c r="H117" s="380">
        <f t="shared" si="63"/>
        <v>184061.0672963993</v>
      </c>
      <c r="I117" s="399">
        <f t="shared" si="64"/>
        <v>184061.0672963993</v>
      </c>
      <c r="J117" s="54">
        <f t="shared" si="34"/>
        <v>0</v>
      </c>
      <c r="K117" s="54"/>
      <c r="L117" s="129"/>
      <c r="M117" s="54">
        <f t="shared" si="35"/>
        <v>0</v>
      </c>
      <c r="N117" s="129"/>
      <c r="O117" s="54">
        <f t="shared" si="36"/>
        <v>0</v>
      </c>
      <c r="P117" s="54">
        <f t="shared" si="37"/>
        <v>0</v>
      </c>
      <c r="Q117" s="1"/>
    </row>
    <row r="118" spans="2:17" ht="12.5">
      <c r="B118" s="7" t="str">
        <f t="shared" si="40"/>
        <v/>
      </c>
      <c r="C118" s="50">
        <f>IF(D93="","-",+C117+1)</f>
        <v>2027</v>
      </c>
      <c r="D118" s="12">
        <f>IF(F117+SUM(E$99:E117)=D$92,F117,D$92-SUM(E$99:E117))</f>
        <v>1100068.0027334492</v>
      </c>
      <c r="E118" s="378">
        <f>IF(+J96&lt;F117,J96,D118)</f>
        <v>44314.466136363633</v>
      </c>
      <c r="F118" s="55">
        <f t="shared" si="61"/>
        <v>1055753.5365970857</v>
      </c>
      <c r="G118" s="55">
        <f t="shared" si="62"/>
        <v>1077910.7696652673</v>
      </c>
      <c r="H118" s="380">
        <f t="shared" si="63"/>
        <v>178542.74902372682</v>
      </c>
      <c r="I118" s="399">
        <f t="shared" si="64"/>
        <v>178542.74902372682</v>
      </c>
      <c r="J118" s="54">
        <f t="shared" si="34"/>
        <v>0</v>
      </c>
      <c r="K118" s="54"/>
      <c r="L118" s="129"/>
      <c r="M118" s="54">
        <f t="shared" si="35"/>
        <v>0</v>
      </c>
      <c r="N118" s="129"/>
      <c r="O118" s="54">
        <f t="shared" si="36"/>
        <v>0</v>
      </c>
      <c r="P118" s="54">
        <f t="shared" si="37"/>
        <v>0</v>
      </c>
      <c r="Q118" s="1"/>
    </row>
    <row r="119" spans="2:17" ht="12.5">
      <c r="B119" s="7" t="str">
        <f t="shared" si="40"/>
        <v/>
      </c>
      <c r="C119" s="50">
        <f>IF(D93="","-",+C118+1)</f>
        <v>2028</v>
      </c>
      <c r="D119" s="12">
        <f>IF(F118+SUM(E$99:E118)=D$92,F118,D$92-SUM(E$99:E118))</f>
        <v>1055753.5365970857</v>
      </c>
      <c r="E119" s="378">
        <f>IF(+J96&lt;F118,J96,D119)</f>
        <v>44314.466136363633</v>
      </c>
      <c r="F119" s="55">
        <f t="shared" si="61"/>
        <v>1011439.070460722</v>
      </c>
      <c r="G119" s="55">
        <f t="shared" si="62"/>
        <v>1033596.3035289038</v>
      </c>
      <c r="H119" s="380">
        <f t="shared" si="63"/>
        <v>173024.43075105434</v>
      </c>
      <c r="I119" s="399">
        <f t="shared" si="64"/>
        <v>173024.43075105434</v>
      </c>
      <c r="J119" s="54">
        <f t="shared" si="34"/>
        <v>0</v>
      </c>
      <c r="K119" s="54"/>
      <c r="L119" s="129"/>
      <c r="M119" s="54">
        <f t="shared" si="35"/>
        <v>0</v>
      </c>
      <c r="N119" s="129"/>
      <c r="O119" s="54">
        <f t="shared" si="36"/>
        <v>0</v>
      </c>
      <c r="P119" s="54">
        <f t="shared" si="37"/>
        <v>0</v>
      </c>
      <c r="Q119" s="1"/>
    </row>
    <row r="120" spans="2:17" ht="12.5">
      <c r="B120" s="7" t="str">
        <f t="shared" si="40"/>
        <v/>
      </c>
      <c r="C120" s="50">
        <f>IF(D93="","-",+C119+1)</f>
        <v>2029</v>
      </c>
      <c r="D120" s="12">
        <f>IF(F119+SUM(E$99:E119)=D$92,F119,D$92-SUM(E$99:E119))</f>
        <v>1011439.070460722</v>
      </c>
      <c r="E120" s="378">
        <f>IF(+J96&lt;F119,J96,D120)</f>
        <v>44314.466136363633</v>
      </c>
      <c r="F120" s="55">
        <f t="shared" si="61"/>
        <v>967124.60432435828</v>
      </c>
      <c r="G120" s="55">
        <f t="shared" si="62"/>
        <v>989281.83739254018</v>
      </c>
      <c r="H120" s="380">
        <f t="shared" si="63"/>
        <v>167506.1124783819</v>
      </c>
      <c r="I120" s="399">
        <f t="shared" si="64"/>
        <v>167506.1124783819</v>
      </c>
      <c r="J120" s="54">
        <f t="shared" si="34"/>
        <v>0</v>
      </c>
      <c r="K120" s="54"/>
      <c r="L120" s="129"/>
      <c r="M120" s="54">
        <f t="shared" si="35"/>
        <v>0</v>
      </c>
      <c r="N120" s="129"/>
      <c r="O120" s="54">
        <f t="shared" si="36"/>
        <v>0</v>
      </c>
      <c r="P120" s="54">
        <f t="shared" si="37"/>
        <v>0</v>
      </c>
      <c r="Q120" s="1"/>
    </row>
    <row r="121" spans="2:17" ht="12.5">
      <c r="B121" s="7" t="str">
        <f t="shared" si="40"/>
        <v/>
      </c>
      <c r="C121" s="50">
        <f>IF(D93="","-",+C120+1)</f>
        <v>2030</v>
      </c>
      <c r="D121" s="12">
        <f>IF(F120+SUM(E$99:E120)=D$92,F120,D$92-SUM(E$99:E120))</f>
        <v>967124.60432435828</v>
      </c>
      <c r="E121" s="378">
        <f>IF(+J96&lt;F120,J96,D121)</f>
        <v>44314.466136363633</v>
      </c>
      <c r="F121" s="55">
        <f t="shared" si="61"/>
        <v>922810.1381879946</v>
      </c>
      <c r="G121" s="55">
        <f t="shared" si="62"/>
        <v>944967.37125617638</v>
      </c>
      <c r="H121" s="380">
        <f t="shared" si="63"/>
        <v>161987.79420570939</v>
      </c>
      <c r="I121" s="399">
        <f t="shared" si="64"/>
        <v>161987.79420570939</v>
      </c>
      <c r="J121" s="54">
        <f t="shared" si="34"/>
        <v>0</v>
      </c>
      <c r="K121" s="54"/>
      <c r="L121" s="129"/>
      <c r="M121" s="54">
        <f t="shared" si="35"/>
        <v>0</v>
      </c>
      <c r="N121" s="129"/>
      <c r="O121" s="54">
        <f t="shared" si="36"/>
        <v>0</v>
      </c>
      <c r="P121" s="54">
        <f t="shared" si="37"/>
        <v>0</v>
      </c>
      <c r="Q121" s="1"/>
    </row>
    <row r="122" spans="2:17" ht="12.5">
      <c r="B122" s="7" t="str">
        <f t="shared" si="40"/>
        <v/>
      </c>
      <c r="C122" s="50">
        <f>IF(D93="","-",+C121+1)</f>
        <v>2031</v>
      </c>
      <c r="D122" s="12">
        <f>IF(F121+SUM(E$99:E121)=D$92,F121,D$92-SUM(E$99:E121))</f>
        <v>922810.1381879946</v>
      </c>
      <c r="E122" s="378">
        <f>IF(+J96&lt;F121,J96,D122)</f>
        <v>44314.466136363633</v>
      </c>
      <c r="F122" s="55">
        <f t="shared" si="61"/>
        <v>878495.67205163091</v>
      </c>
      <c r="G122" s="55">
        <f t="shared" si="62"/>
        <v>900652.90511981281</v>
      </c>
      <c r="H122" s="380">
        <f t="shared" si="63"/>
        <v>156469.47593303691</v>
      </c>
      <c r="I122" s="399">
        <f t="shared" si="64"/>
        <v>156469.47593303691</v>
      </c>
      <c r="J122" s="54">
        <f t="shared" si="34"/>
        <v>0</v>
      </c>
      <c r="K122" s="54"/>
      <c r="L122" s="129"/>
      <c r="M122" s="54">
        <f t="shared" si="35"/>
        <v>0</v>
      </c>
      <c r="N122" s="129"/>
      <c r="O122" s="54">
        <f t="shared" si="36"/>
        <v>0</v>
      </c>
      <c r="P122" s="54">
        <f t="shared" si="37"/>
        <v>0</v>
      </c>
      <c r="Q122" s="1"/>
    </row>
    <row r="123" spans="2:17" ht="12.5">
      <c r="B123" s="7" t="str">
        <f t="shared" si="40"/>
        <v/>
      </c>
      <c r="C123" s="50">
        <f>IF(D93="","-",+C122+1)</f>
        <v>2032</v>
      </c>
      <c r="D123" s="12">
        <f>IF(F122+SUM(E$99:E122)=D$92,F122,D$92-SUM(E$99:E122))</f>
        <v>878495.67205163091</v>
      </c>
      <c r="E123" s="378">
        <f>IF(+J96&lt;F122,J96,D123)</f>
        <v>44314.466136363633</v>
      </c>
      <c r="F123" s="55">
        <f t="shared" si="61"/>
        <v>834181.20591526723</v>
      </c>
      <c r="G123" s="55">
        <f t="shared" si="62"/>
        <v>856338.43898344901</v>
      </c>
      <c r="H123" s="380">
        <f t="shared" si="63"/>
        <v>150951.15766036444</v>
      </c>
      <c r="I123" s="399">
        <f t="shared" si="64"/>
        <v>150951.15766036444</v>
      </c>
      <c r="J123" s="54">
        <f t="shared" si="34"/>
        <v>0</v>
      </c>
      <c r="K123" s="54"/>
      <c r="L123" s="129"/>
      <c r="M123" s="54">
        <f t="shared" si="35"/>
        <v>0</v>
      </c>
      <c r="N123" s="129"/>
      <c r="O123" s="54">
        <f t="shared" si="36"/>
        <v>0</v>
      </c>
      <c r="P123" s="54">
        <f t="shared" si="37"/>
        <v>0</v>
      </c>
      <c r="Q123" s="1"/>
    </row>
    <row r="124" spans="2:17" ht="12.5">
      <c r="B124" s="7" t="str">
        <f t="shared" si="40"/>
        <v/>
      </c>
      <c r="C124" s="50">
        <f>IF(D93="","-",+C123+1)</f>
        <v>2033</v>
      </c>
      <c r="D124" s="12">
        <f>IF(F123+SUM(E$99:E123)=D$92,F123,D$92-SUM(E$99:E123))</f>
        <v>834181.20591526723</v>
      </c>
      <c r="E124" s="378">
        <f>IF(+J96&lt;F123,J96,D124)</f>
        <v>44314.466136363633</v>
      </c>
      <c r="F124" s="55">
        <f t="shared" si="61"/>
        <v>789866.73977890355</v>
      </c>
      <c r="G124" s="55">
        <f t="shared" si="62"/>
        <v>812023.97284708545</v>
      </c>
      <c r="H124" s="380">
        <f t="shared" si="63"/>
        <v>145432.83938769196</v>
      </c>
      <c r="I124" s="399">
        <f t="shared" si="64"/>
        <v>145432.83938769196</v>
      </c>
      <c r="J124" s="54">
        <f t="shared" si="34"/>
        <v>0</v>
      </c>
      <c r="K124" s="54"/>
      <c r="L124" s="129"/>
      <c r="M124" s="54">
        <f t="shared" si="35"/>
        <v>0</v>
      </c>
      <c r="N124" s="129"/>
      <c r="O124" s="54">
        <f t="shared" si="36"/>
        <v>0</v>
      </c>
      <c r="P124" s="54">
        <f t="shared" si="37"/>
        <v>0</v>
      </c>
      <c r="Q124" s="1"/>
    </row>
    <row r="125" spans="2:17" ht="12.5">
      <c r="B125" s="7" t="str">
        <f t="shared" si="40"/>
        <v/>
      </c>
      <c r="C125" s="50">
        <f>IF(D93="","-",+C124+1)</f>
        <v>2034</v>
      </c>
      <c r="D125" s="12">
        <f>IF(F124+SUM(E$99:E124)=D$92,F124,D$92-SUM(E$99:E124))</f>
        <v>789866.73977890355</v>
      </c>
      <c r="E125" s="378">
        <f>IF(+J96&lt;F124,J96,D125)</f>
        <v>44314.466136363633</v>
      </c>
      <c r="F125" s="55">
        <f t="shared" si="61"/>
        <v>745552.27364253986</v>
      </c>
      <c r="G125" s="55">
        <f t="shared" si="62"/>
        <v>767709.50671072165</v>
      </c>
      <c r="H125" s="380">
        <f t="shared" si="63"/>
        <v>139914.52111501948</v>
      </c>
      <c r="I125" s="399">
        <f t="shared" si="64"/>
        <v>139914.52111501948</v>
      </c>
      <c r="J125" s="54">
        <f t="shared" si="34"/>
        <v>0</v>
      </c>
      <c r="K125" s="54"/>
      <c r="L125" s="129"/>
      <c r="M125" s="54">
        <f t="shared" si="35"/>
        <v>0</v>
      </c>
      <c r="N125" s="129"/>
      <c r="O125" s="54">
        <f t="shared" si="36"/>
        <v>0</v>
      </c>
      <c r="P125" s="54">
        <f t="shared" si="37"/>
        <v>0</v>
      </c>
      <c r="Q125" s="1"/>
    </row>
    <row r="126" spans="2:17" ht="12.5">
      <c r="B126" s="7" t="str">
        <f t="shared" si="40"/>
        <v/>
      </c>
      <c r="C126" s="50">
        <f>IF(D93="","-",+C125+1)</f>
        <v>2035</v>
      </c>
      <c r="D126" s="12">
        <f>IF(F125+SUM(E$99:E125)=D$92,F125,D$92-SUM(E$99:E125))</f>
        <v>745552.27364253986</v>
      </c>
      <c r="E126" s="378">
        <f>IF(+J96&lt;F125,J96,D126)</f>
        <v>44314.466136363633</v>
      </c>
      <c r="F126" s="55">
        <f t="shared" si="61"/>
        <v>701237.80750617618</v>
      </c>
      <c r="G126" s="55">
        <f t="shared" si="62"/>
        <v>723395.04057435808</v>
      </c>
      <c r="H126" s="380">
        <f t="shared" si="63"/>
        <v>134396.202842347</v>
      </c>
      <c r="I126" s="399">
        <f t="shared" si="64"/>
        <v>134396.202842347</v>
      </c>
      <c r="J126" s="54">
        <f t="shared" si="34"/>
        <v>0</v>
      </c>
      <c r="K126" s="54"/>
      <c r="L126" s="129"/>
      <c r="M126" s="54">
        <f t="shared" si="35"/>
        <v>0</v>
      </c>
      <c r="N126" s="129"/>
      <c r="O126" s="54">
        <f t="shared" si="36"/>
        <v>0</v>
      </c>
      <c r="P126" s="54">
        <f t="shared" si="37"/>
        <v>0</v>
      </c>
      <c r="Q126" s="1"/>
    </row>
    <row r="127" spans="2:17" ht="12.5">
      <c r="B127" s="7" t="str">
        <f t="shared" si="40"/>
        <v/>
      </c>
      <c r="C127" s="50">
        <f>IF(D93="","-",+C126+1)</f>
        <v>2036</v>
      </c>
      <c r="D127" s="12">
        <f>IF(F126+SUM(E$99:E126)=D$92,F126,D$92-SUM(E$99:E126))</f>
        <v>701237.80750617618</v>
      </c>
      <c r="E127" s="378">
        <f>IF(+J96&lt;F126,J96,D127)</f>
        <v>44314.466136363633</v>
      </c>
      <c r="F127" s="55">
        <f t="shared" si="61"/>
        <v>656923.34136981249</v>
      </c>
      <c r="G127" s="55">
        <f t="shared" si="62"/>
        <v>679080.57443799428</v>
      </c>
      <c r="H127" s="380">
        <f t="shared" si="63"/>
        <v>128877.88456967453</v>
      </c>
      <c r="I127" s="399">
        <f t="shared" si="64"/>
        <v>128877.88456967453</v>
      </c>
      <c r="J127" s="54">
        <f t="shared" si="34"/>
        <v>0</v>
      </c>
      <c r="K127" s="54"/>
      <c r="L127" s="129"/>
      <c r="M127" s="54">
        <f t="shared" si="35"/>
        <v>0</v>
      </c>
      <c r="N127" s="129"/>
      <c r="O127" s="54">
        <f t="shared" si="36"/>
        <v>0</v>
      </c>
      <c r="P127" s="54">
        <f t="shared" si="37"/>
        <v>0</v>
      </c>
      <c r="Q127" s="1"/>
    </row>
    <row r="128" spans="2:17" ht="12.5">
      <c r="B128" s="7" t="str">
        <f t="shared" si="40"/>
        <v/>
      </c>
      <c r="C128" s="50">
        <f>IF(D93="","-",+C127+1)</f>
        <v>2037</v>
      </c>
      <c r="D128" s="12">
        <f>IF(F127+SUM(E$99:E127)=D$92,F127,D$92-SUM(E$99:E127))</f>
        <v>656923.34136981249</v>
      </c>
      <c r="E128" s="378">
        <f>IF(+J96&lt;F127,J96,D128)</f>
        <v>44314.466136363633</v>
      </c>
      <c r="F128" s="55">
        <f t="shared" si="61"/>
        <v>612608.87523344881</v>
      </c>
      <c r="G128" s="55">
        <f t="shared" si="62"/>
        <v>634766.10830163071</v>
      </c>
      <c r="H128" s="380">
        <f t="shared" si="63"/>
        <v>123359.56629700205</v>
      </c>
      <c r="I128" s="399">
        <f t="shared" si="64"/>
        <v>123359.56629700205</v>
      </c>
      <c r="J128" s="54">
        <f t="shared" si="34"/>
        <v>0</v>
      </c>
      <c r="K128" s="54"/>
      <c r="L128" s="129"/>
      <c r="M128" s="54">
        <f t="shared" si="35"/>
        <v>0</v>
      </c>
      <c r="N128" s="129"/>
      <c r="O128" s="54">
        <f t="shared" si="36"/>
        <v>0</v>
      </c>
      <c r="P128" s="54">
        <f t="shared" si="37"/>
        <v>0</v>
      </c>
      <c r="Q128" s="1"/>
    </row>
    <row r="129" spans="2:17" ht="12.5">
      <c r="B129" s="7" t="str">
        <f t="shared" si="40"/>
        <v/>
      </c>
      <c r="C129" s="50">
        <f>IF(D93="","-",+C128+1)</f>
        <v>2038</v>
      </c>
      <c r="D129" s="12">
        <f>IF(F128+SUM(E$99:E128)=D$92,F128,D$92-SUM(E$99:E128))</f>
        <v>612608.87523344881</v>
      </c>
      <c r="E129" s="378">
        <f>IF(+J96&lt;F128,J96,D129)</f>
        <v>44314.466136363633</v>
      </c>
      <c r="F129" s="55">
        <f t="shared" si="61"/>
        <v>568294.40909708512</v>
      </c>
      <c r="G129" s="55">
        <f t="shared" si="62"/>
        <v>590451.64216526691</v>
      </c>
      <c r="H129" s="380">
        <f t="shared" si="63"/>
        <v>117841.24802432954</v>
      </c>
      <c r="I129" s="399">
        <f t="shared" si="64"/>
        <v>117841.24802432954</v>
      </c>
      <c r="J129" s="54">
        <f t="shared" si="34"/>
        <v>0</v>
      </c>
      <c r="K129" s="54"/>
      <c r="L129" s="129"/>
      <c r="M129" s="54">
        <f t="shared" si="35"/>
        <v>0</v>
      </c>
      <c r="N129" s="129"/>
      <c r="O129" s="54">
        <f t="shared" si="36"/>
        <v>0</v>
      </c>
      <c r="P129" s="54">
        <f t="shared" si="37"/>
        <v>0</v>
      </c>
      <c r="Q129" s="1"/>
    </row>
    <row r="130" spans="2:17" ht="12.5">
      <c r="B130" s="7" t="str">
        <f t="shared" si="40"/>
        <v/>
      </c>
      <c r="C130" s="50">
        <f>IF(D93="","-",+C129+1)</f>
        <v>2039</v>
      </c>
      <c r="D130" s="12">
        <f>IF(F129+SUM(E$99:E129)=D$92,F129,D$92-SUM(E$99:E129))</f>
        <v>568294.40909708512</v>
      </c>
      <c r="E130" s="378">
        <f>IF(+J96&lt;F129,J96,D130)</f>
        <v>44314.466136363633</v>
      </c>
      <c r="F130" s="55">
        <f t="shared" si="61"/>
        <v>523979.9429607215</v>
      </c>
      <c r="G130" s="55">
        <f t="shared" si="62"/>
        <v>546137.17602890334</v>
      </c>
      <c r="H130" s="380">
        <f t="shared" si="63"/>
        <v>112322.9297516571</v>
      </c>
      <c r="I130" s="399">
        <f t="shared" si="64"/>
        <v>112322.9297516571</v>
      </c>
      <c r="J130" s="54">
        <f t="shared" si="34"/>
        <v>0</v>
      </c>
      <c r="K130" s="54"/>
      <c r="L130" s="129"/>
      <c r="M130" s="54">
        <f t="shared" si="35"/>
        <v>0</v>
      </c>
      <c r="N130" s="129"/>
      <c r="O130" s="54">
        <f t="shared" si="36"/>
        <v>0</v>
      </c>
      <c r="P130" s="54">
        <f t="shared" si="37"/>
        <v>0</v>
      </c>
      <c r="Q130" s="1"/>
    </row>
    <row r="131" spans="2:17" ht="12.5">
      <c r="B131" s="7" t="str">
        <f t="shared" si="40"/>
        <v/>
      </c>
      <c r="C131" s="50">
        <f>IF(D93="","-",+C130+1)</f>
        <v>2040</v>
      </c>
      <c r="D131" s="12">
        <f>IF(F130+SUM(E$99:E130)=D$92,F130,D$92-SUM(E$99:E130))</f>
        <v>523979.9429607215</v>
      </c>
      <c r="E131" s="378">
        <f>IF(+J96&lt;F130,J96,D131)</f>
        <v>44314.466136363633</v>
      </c>
      <c r="F131" s="55">
        <f t="shared" ref="F131:F154" si="65">+D131-E131</f>
        <v>479665.47682435787</v>
      </c>
      <c r="G131" s="55">
        <f t="shared" ref="G131:G154" si="66">+(F131+D131)/2</f>
        <v>501822.70989253966</v>
      </c>
      <c r="H131" s="380">
        <f t="shared" si="63"/>
        <v>106804.61147898462</v>
      </c>
      <c r="I131" s="399">
        <f t="shared" si="64"/>
        <v>106804.61147898462</v>
      </c>
      <c r="J131" s="54">
        <f t="shared" ref="J131:J154" si="67">+I131-H131</f>
        <v>0</v>
      </c>
      <c r="K131" s="54"/>
      <c r="L131" s="129"/>
      <c r="M131" s="54">
        <f t="shared" ref="M131:M154" si="68">IF(L131&lt;&gt;0,+H131-L131,0)</f>
        <v>0</v>
      </c>
      <c r="N131" s="129"/>
      <c r="O131" s="54">
        <f t="shared" ref="O131:O154" si="69">IF(N131&lt;&gt;0,+I131-N131,0)</f>
        <v>0</v>
      </c>
      <c r="P131" s="54">
        <f t="shared" ref="P131:P154" si="70">+O131-M131</f>
        <v>0</v>
      </c>
      <c r="Q131" s="1"/>
    </row>
    <row r="132" spans="2:17" ht="12.5">
      <c r="B132" s="7" t="str">
        <f t="shared" si="40"/>
        <v/>
      </c>
      <c r="C132" s="50">
        <f>IF(D93="","-",+C131+1)</f>
        <v>2041</v>
      </c>
      <c r="D132" s="12">
        <f>IF(F131+SUM(E$99:E131)=D$92,F131,D$92-SUM(E$99:E131))</f>
        <v>479665.47682435787</v>
      </c>
      <c r="E132" s="378">
        <f>IF(+J96&lt;F131,J96,D132)</f>
        <v>44314.466136363633</v>
      </c>
      <c r="F132" s="55">
        <f t="shared" si="65"/>
        <v>435351.01068799425</v>
      </c>
      <c r="G132" s="55">
        <f t="shared" si="66"/>
        <v>457508.24375617609</v>
      </c>
      <c r="H132" s="380">
        <f t="shared" si="63"/>
        <v>101286.29320631214</v>
      </c>
      <c r="I132" s="399">
        <f t="shared" si="64"/>
        <v>101286.29320631214</v>
      </c>
      <c r="J132" s="54">
        <f t="shared" si="67"/>
        <v>0</v>
      </c>
      <c r="K132" s="54"/>
      <c r="L132" s="129"/>
      <c r="M132" s="54">
        <f t="shared" si="68"/>
        <v>0</v>
      </c>
      <c r="N132" s="129"/>
      <c r="O132" s="54">
        <f t="shared" si="69"/>
        <v>0</v>
      </c>
      <c r="P132" s="54">
        <f t="shared" si="70"/>
        <v>0</v>
      </c>
      <c r="Q132" s="1"/>
    </row>
    <row r="133" spans="2:17" ht="12.5">
      <c r="B133" s="7" t="str">
        <f t="shared" si="40"/>
        <v/>
      </c>
      <c r="C133" s="50">
        <f>IF(D93="","-",+C132+1)</f>
        <v>2042</v>
      </c>
      <c r="D133" s="12">
        <f>IF(F132+SUM(E$99:E132)=D$92,F132,D$92-SUM(E$99:E132))</f>
        <v>435351.01068799425</v>
      </c>
      <c r="E133" s="378">
        <f>IF(+J96&lt;F132,J96,D133)</f>
        <v>44314.466136363633</v>
      </c>
      <c r="F133" s="55">
        <f t="shared" si="65"/>
        <v>391036.54455163062</v>
      </c>
      <c r="G133" s="55">
        <f t="shared" si="66"/>
        <v>413193.7776198124</v>
      </c>
      <c r="H133" s="380">
        <f t="shared" si="63"/>
        <v>95767.974933639664</v>
      </c>
      <c r="I133" s="399">
        <f t="shared" si="64"/>
        <v>95767.974933639664</v>
      </c>
      <c r="J133" s="54">
        <f t="shared" si="67"/>
        <v>0</v>
      </c>
      <c r="K133" s="54"/>
      <c r="L133" s="129"/>
      <c r="M133" s="54">
        <f t="shared" si="68"/>
        <v>0</v>
      </c>
      <c r="N133" s="129"/>
      <c r="O133" s="54">
        <f t="shared" si="69"/>
        <v>0</v>
      </c>
      <c r="P133" s="54">
        <f t="shared" si="70"/>
        <v>0</v>
      </c>
      <c r="Q133" s="1"/>
    </row>
    <row r="134" spans="2:17" ht="12.5">
      <c r="B134" s="7" t="str">
        <f t="shared" si="40"/>
        <v/>
      </c>
      <c r="C134" s="50">
        <f>IF(D93="","-",+C133+1)</f>
        <v>2043</v>
      </c>
      <c r="D134" s="12">
        <f>IF(F133+SUM(E$99:E133)=D$92,F133,D$92-SUM(E$99:E133))</f>
        <v>391036.54455163062</v>
      </c>
      <c r="E134" s="378">
        <f>IF(+J96&lt;F133,J96,D134)</f>
        <v>44314.466136363633</v>
      </c>
      <c r="F134" s="55">
        <f t="shared" si="65"/>
        <v>346722.07841526699</v>
      </c>
      <c r="G134" s="55">
        <f t="shared" si="66"/>
        <v>368879.31148344884</v>
      </c>
      <c r="H134" s="380">
        <f t="shared" si="63"/>
        <v>90249.656660967201</v>
      </c>
      <c r="I134" s="399">
        <f t="shared" si="64"/>
        <v>90249.656660967201</v>
      </c>
      <c r="J134" s="54">
        <f t="shared" si="67"/>
        <v>0</v>
      </c>
      <c r="K134" s="54"/>
      <c r="L134" s="129"/>
      <c r="M134" s="54">
        <f t="shared" si="68"/>
        <v>0</v>
      </c>
      <c r="N134" s="129"/>
      <c r="O134" s="54">
        <f t="shared" si="69"/>
        <v>0</v>
      </c>
      <c r="P134" s="54">
        <f t="shared" si="70"/>
        <v>0</v>
      </c>
      <c r="Q134" s="1"/>
    </row>
    <row r="135" spans="2:17" ht="12.5">
      <c r="B135" s="7" t="str">
        <f t="shared" si="40"/>
        <v/>
      </c>
      <c r="C135" s="50">
        <f>IF(D93="","-",+C134+1)</f>
        <v>2044</v>
      </c>
      <c r="D135" s="12">
        <f>IF(F134+SUM(E$99:E134)=D$92,F134,D$92-SUM(E$99:E134))</f>
        <v>346722.07841526699</v>
      </c>
      <c r="E135" s="378">
        <f>IF(+J96&lt;F134,J96,D135)</f>
        <v>44314.466136363633</v>
      </c>
      <c r="F135" s="55">
        <f t="shared" si="65"/>
        <v>302407.61227890337</v>
      </c>
      <c r="G135" s="55">
        <f t="shared" si="66"/>
        <v>324564.84534708515</v>
      </c>
      <c r="H135" s="380">
        <f t="shared" si="63"/>
        <v>84731.338388294724</v>
      </c>
      <c r="I135" s="399">
        <f t="shared" si="64"/>
        <v>84731.338388294724</v>
      </c>
      <c r="J135" s="54">
        <f t="shared" si="67"/>
        <v>0</v>
      </c>
      <c r="K135" s="54"/>
      <c r="L135" s="129"/>
      <c r="M135" s="54">
        <f t="shared" si="68"/>
        <v>0</v>
      </c>
      <c r="N135" s="129"/>
      <c r="O135" s="54">
        <f t="shared" si="69"/>
        <v>0</v>
      </c>
      <c r="P135" s="54">
        <f t="shared" si="70"/>
        <v>0</v>
      </c>
      <c r="Q135" s="1"/>
    </row>
    <row r="136" spans="2:17" ht="12.5">
      <c r="B136" s="7" t="str">
        <f t="shared" si="40"/>
        <v/>
      </c>
      <c r="C136" s="50">
        <f>IF(D93="","-",+C135+1)</f>
        <v>2045</v>
      </c>
      <c r="D136" s="12">
        <f>IF(F135+SUM(E$99:E135)=D$92,F135,D$92-SUM(E$99:E135))</f>
        <v>302407.61227890337</v>
      </c>
      <c r="E136" s="378">
        <f>IF(+J96&lt;F135,J96,D136)</f>
        <v>44314.466136363633</v>
      </c>
      <c r="F136" s="55">
        <f t="shared" si="65"/>
        <v>258093.14614253974</v>
      </c>
      <c r="G136" s="55">
        <f t="shared" si="66"/>
        <v>280250.37921072158</v>
      </c>
      <c r="H136" s="380">
        <f t="shared" si="63"/>
        <v>79213.020115622261</v>
      </c>
      <c r="I136" s="399">
        <f t="shared" si="64"/>
        <v>79213.020115622261</v>
      </c>
      <c r="J136" s="54">
        <f t="shared" si="67"/>
        <v>0</v>
      </c>
      <c r="K136" s="54"/>
      <c r="L136" s="129"/>
      <c r="M136" s="54">
        <f t="shared" si="68"/>
        <v>0</v>
      </c>
      <c r="N136" s="129"/>
      <c r="O136" s="54">
        <f t="shared" si="69"/>
        <v>0</v>
      </c>
      <c r="P136" s="54">
        <f t="shared" si="70"/>
        <v>0</v>
      </c>
      <c r="Q136" s="1"/>
    </row>
    <row r="137" spans="2:17" ht="12.5">
      <c r="B137" s="7" t="str">
        <f t="shared" si="40"/>
        <v/>
      </c>
      <c r="C137" s="50">
        <f>IF(D93="","-",+C136+1)</f>
        <v>2046</v>
      </c>
      <c r="D137" s="12">
        <f>IF(F136+SUM(E$99:E136)=D$92,F136,D$92-SUM(E$99:E136))</f>
        <v>258093.14614253974</v>
      </c>
      <c r="E137" s="378">
        <f>IF(+J96&lt;F136,J96,D137)</f>
        <v>44314.466136363633</v>
      </c>
      <c r="F137" s="55">
        <f t="shared" si="65"/>
        <v>213778.68000617612</v>
      </c>
      <c r="G137" s="55">
        <f t="shared" si="66"/>
        <v>235935.91307435793</v>
      </c>
      <c r="H137" s="380">
        <f t="shared" si="63"/>
        <v>73694.701842949784</v>
      </c>
      <c r="I137" s="399">
        <f t="shared" si="64"/>
        <v>73694.701842949784</v>
      </c>
      <c r="J137" s="54">
        <f t="shared" si="67"/>
        <v>0</v>
      </c>
      <c r="K137" s="54"/>
      <c r="L137" s="129"/>
      <c r="M137" s="54">
        <f t="shared" si="68"/>
        <v>0</v>
      </c>
      <c r="N137" s="129"/>
      <c r="O137" s="54">
        <f t="shared" si="69"/>
        <v>0</v>
      </c>
      <c r="P137" s="54">
        <f t="shared" si="70"/>
        <v>0</v>
      </c>
      <c r="Q137" s="1"/>
    </row>
    <row r="138" spans="2:17" ht="12.5">
      <c r="B138" s="7" t="str">
        <f t="shared" si="40"/>
        <v/>
      </c>
      <c r="C138" s="50">
        <f>IF(D93="","-",+C137+1)</f>
        <v>2047</v>
      </c>
      <c r="D138" s="12">
        <f>IF(F137+SUM(E$99:E137)=D$92,F137,D$92-SUM(E$99:E137))</f>
        <v>213778.68000617612</v>
      </c>
      <c r="E138" s="378">
        <f>IF(+J96&lt;F137,J96,D138)</f>
        <v>44314.466136363633</v>
      </c>
      <c r="F138" s="55">
        <f t="shared" si="65"/>
        <v>169464.21386981249</v>
      </c>
      <c r="G138" s="55">
        <f t="shared" si="66"/>
        <v>191621.4469379943</v>
      </c>
      <c r="H138" s="380">
        <f t="shared" si="63"/>
        <v>68176.383570277307</v>
      </c>
      <c r="I138" s="399">
        <f t="shared" si="64"/>
        <v>68176.383570277307</v>
      </c>
      <c r="J138" s="54">
        <f t="shared" si="67"/>
        <v>0</v>
      </c>
      <c r="K138" s="54"/>
      <c r="L138" s="129"/>
      <c r="M138" s="54">
        <f t="shared" si="68"/>
        <v>0</v>
      </c>
      <c r="N138" s="129"/>
      <c r="O138" s="54">
        <f t="shared" si="69"/>
        <v>0</v>
      </c>
      <c r="P138" s="54">
        <f t="shared" si="70"/>
        <v>0</v>
      </c>
      <c r="Q138" s="1"/>
    </row>
    <row r="139" spans="2:17" ht="12.5">
      <c r="B139" s="7" t="str">
        <f t="shared" si="40"/>
        <v/>
      </c>
      <c r="C139" s="50">
        <f>IF(D93="","-",+C138+1)</f>
        <v>2048</v>
      </c>
      <c r="D139" s="12">
        <f>IF(F138+SUM(E$99:E138)=D$92,F138,D$92-SUM(E$99:E138))</f>
        <v>169464.21386981249</v>
      </c>
      <c r="E139" s="378">
        <f>IF(+J96&lt;F138,J96,D139)</f>
        <v>44314.466136363633</v>
      </c>
      <c r="F139" s="55">
        <f t="shared" si="65"/>
        <v>125149.74773344886</v>
      </c>
      <c r="G139" s="55">
        <f t="shared" si="66"/>
        <v>147306.98080163068</v>
      </c>
      <c r="H139" s="380">
        <f t="shared" si="63"/>
        <v>62658.065297604844</v>
      </c>
      <c r="I139" s="399">
        <f t="shared" si="64"/>
        <v>62658.065297604844</v>
      </c>
      <c r="J139" s="54">
        <f t="shared" si="67"/>
        <v>0</v>
      </c>
      <c r="K139" s="54"/>
      <c r="L139" s="129"/>
      <c r="M139" s="54">
        <f t="shared" si="68"/>
        <v>0</v>
      </c>
      <c r="N139" s="129"/>
      <c r="O139" s="54">
        <f t="shared" si="69"/>
        <v>0</v>
      </c>
      <c r="P139" s="54">
        <f t="shared" si="70"/>
        <v>0</v>
      </c>
      <c r="Q139" s="1"/>
    </row>
    <row r="140" spans="2:17" ht="12.5">
      <c r="B140" s="7" t="str">
        <f t="shared" si="40"/>
        <v/>
      </c>
      <c r="C140" s="50">
        <f>IF(D93="","-",+C139+1)</f>
        <v>2049</v>
      </c>
      <c r="D140" s="12">
        <f>IF(F139+SUM(E$99:E139)=D$92,F139,D$92-SUM(E$99:E139))</f>
        <v>125149.74773344886</v>
      </c>
      <c r="E140" s="378">
        <f>IF(+J96&lt;F139,J96,D140)</f>
        <v>44314.466136363633</v>
      </c>
      <c r="F140" s="55">
        <f t="shared" si="65"/>
        <v>80835.281597085239</v>
      </c>
      <c r="G140" s="55">
        <f t="shared" si="66"/>
        <v>102992.51466526705</v>
      </c>
      <c r="H140" s="380">
        <f t="shared" si="63"/>
        <v>57139.747024932367</v>
      </c>
      <c r="I140" s="399">
        <f t="shared" si="64"/>
        <v>57139.747024932367</v>
      </c>
      <c r="J140" s="54">
        <f t="shared" si="67"/>
        <v>0</v>
      </c>
      <c r="K140" s="54"/>
      <c r="L140" s="129"/>
      <c r="M140" s="54">
        <f t="shared" si="68"/>
        <v>0</v>
      </c>
      <c r="N140" s="129"/>
      <c r="O140" s="54">
        <f t="shared" si="69"/>
        <v>0</v>
      </c>
      <c r="P140" s="54">
        <f t="shared" si="70"/>
        <v>0</v>
      </c>
      <c r="Q140" s="1"/>
    </row>
    <row r="141" spans="2:17" ht="12.5">
      <c r="B141" s="7" t="str">
        <f t="shared" si="40"/>
        <v/>
      </c>
      <c r="C141" s="50">
        <f>IF(D93="","-",+C140+1)</f>
        <v>2050</v>
      </c>
      <c r="D141" s="12">
        <f>IF(F140+SUM(E$99:E140)=D$92,F140,D$92-SUM(E$99:E140))</f>
        <v>80835.281597085239</v>
      </c>
      <c r="E141" s="378">
        <f>IF(+J96&lt;F140,J96,D141)</f>
        <v>44314.466136363633</v>
      </c>
      <c r="F141" s="55">
        <f t="shared" si="65"/>
        <v>36520.815460721606</v>
      </c>
      <c r="G141" s="55">
        <f t="shared" si="66"/>
        <v>58678.048528903426</v>
      </c>
      <c r="H141" s="380">
        <f t="shared" si="63"/>
        <v>51621.428752259897</v>
      </c>
      <c r="I141" s="399">
        <f t="shared" si="64"/>
        <v>51621.428752259897</v>
      </c>
      <c r="J141" s="54">
        <f t="shared" si="67"/>
        <v>0</v>
      </c>
      <c r="K141" s="54"/>
      <c r="L141" s="129"/>
      <c r="M141" s="54">
        <f t="shared" si="68"/>
        <v>0</v>
      </c>
      <c r="N141" s="129"/>
      <c r="O141" s="54">
        <f t="shared" si="69"/>
        <v>0</v>
      </c>
      <c r="P141" s="54">
        <f t="shared" si="70"/>
        <v>0</v>
      </c>
      <c r="Q141" s="1"/>
    </row>
    <row r="142" spans="2:17" ht="12.5">
      <c r="B142" s="7" t="str">
        <f t="shared" si="40"/>
        <v/>
      </c>
      <c r="C142" s="50">
        <f>IF(D93="","-",+C141+1)</f>
        <v>2051</v>
      </c>
      <c r="D142" s="12">
        <f>IF(F141+SUM(E$99:E141)=D$92,F141,D$92-SUM(E$99:E141))</f>
        <v>36520.815460721606</v>
      </c>
      <c r="E142" s="378">
        <f>IF(+J96&lt;F141,J96,D142)</f>
        <v>36520.815460721606</v>
      </c>
      <c r="F142" s="55">
        <f t="shared" si="65"/>
        <v>0</v>
      </c>
      <c r="G142" s="55">
        <f t="shared" si="66"/>
        <v>18260.407730360803</v>
      </c>
      <c r="H142" s="380">
        <f t="shared" si="63"/>
        <v>38794.717200501618</v>
      </c>
      <c r="I142" s="399">
        <f t="shared" si="64"/>
        <v>38794.717200501618</v>
      </c>
      <c r="J142" s="54">
        <f t="shared" si="67"/>
        <v>0</v>
      </c>
      <c r="K142" s="54"/>
      <c r="L142" s="129"/>
      <c r="M142" s="54">
        <f t="shared" si="68"/>
        <v>0</v>
      </c>
      <c r="N142" s="129"/>
      <c r="O142" s="54">
        <f t="shared" si="69"/>
        <v>0</v>
      </c>
      <c r="P142" s="54">
        <f t="shared" si="70"/>
        <v>0</v>
      </c>
      <c r="Q142" s="1"/>
    </row>
    <row r="143" spans="2:17" ht="12.5">
      <c r="B143" s="7" t="str">
        <f t="shared" si="40"/>
        <v/>
      </c>
      <c r="C143" s="50">
        <f>IF(D93="","-",+C142+1)</f>
        <v>2052</v>
      </c>
      <c r="D143" s="12">
        <f>IF(F142+SUM(E$99:E142)=D$92,F142,D$92-SUM(E$99:E142))</f>
        <v>0</v>
      </c>
      <c r="E143" s="378">
        <f>IF(+J96&lt;F142,J96,D143)</f>
        <v>0</v>
      </c>
      <c r="F143" s="55">
        <f t="shared" si="65"/>
        <v>0</v>
      </c>
      <c r="G143" s="55">
        <f t="shared" si="66"/>
        <v>0</v>
      </c>
      <c r="H143" s="380">
        <f t="shared" si="63"/>
        <v>0</v>
      </c>
      <c r="I143" s="399">
        <f t="shared" si="64"/>
        <v>0</v>
      </c>
      <c r="J143" s="54">
        <f t="shared" si="67"/>
        <v>0</v>
      </c>
      <c r="K143" s="54"/>
      <c r="L143" s="129"/>
      <c r="M143" s="54">
        <f t="shared" si="68"/>
        <v>0</v>
      </c>
      <c r="N143" s="129"/>
      <c r="O143" s="54">
        <f t="shared" si="69"/>
        <v>0</v>
      </c>
      <c r="P143" s="54">
        <f t="shared" si="70"/>
        <v>0</v>
      </c>
      <c r="Q143" s="1"/>
    </row>
    <row r="144" spans="2:17" ht="12.5">
      <c r="B144" s="7" t="str">
        <f t="shared" si="40"/>
        <v/>
      </c>
      <c r="C144" s="50">
        <f>IF(D93="","-",+C143+1)</f>
        <v>2053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65"/>
        <v>0</v>
      </c>
      <c r="G144" s="55">
        <f t="shared" si="66"/>
        <v>0</v>
      </c>
      <c r="H144" s="380">
        <f t="shared" si="63"/>
        <v>0</v>
      </c>
      <c r="I144" s="399">
        <f t="shared" si="64"/>
        <v>0</v>
      </c>
      <c r="J144" s="54">
        <f t="shared" si="67"/>
        <v>0</v>
      </c>
      <c r="K144" s="54"/>
      <c r="L144" s="129"/>
      <c r="M144" s="54">
        <f t="shared" si="68"/>
        <v>0</v>
      </c>
      <c r="N144" s="129"/>
      <c r="O144" s="54">
        <f t="shared" si="69"/>
        <v>0</v>
      </c>
      <c r="P144" s="54">
        <f t="shared" si="70"/>
        <v>0</v>
      </c>
      <c r="Q144" s="1"/>
    </row>
    <row r="145" spans="2:17" ht="12.5">
      <c r="B145" s="7" t="str">
        <f t="shared" si="40"/>
        <v/>
      </c>
      <c r="C145" s="50">
        <f>IF(D93="","-",+C144+1)</f>
        <v>2054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65"/>
        <v>0</v>
      </c>
      <c r="G145" s="55">
        <f t="shared" si="66"/>
        <v>0</v>
      </c>
      <c r="H145" s="380">
        <f t="shared" si="63"/>
        <v>0</v>
      </c>
      <c r="I145" s="399">
        <f t="shared" si="64"/>
        <v>0</v>
      </c>
      <c r="J145" s="54">
        <f t="shared" si="67"/>
        <v>0</v>
      </c>
      <c r="K145" s="54"/>
      <c r="L145" s="129"/>
      <c r="M145" s="54">
        <f t="shared" si="68"/>
        <v>0</v>
      </c>
      <c r="N145" s="129"/>
      <c r="O145" s="54">
        <f t="shared" si="69"/>
        <v>0</v>
      </c>
      <c r="P145" s="54">
        <f t="shared" si="70"/>
        <v>0</v>
      </c>
      <c r="Q145" s="1"/>
    </row>
    <row r="146" spans="2:17" ht="12.5">
      <c r="B146" s="7" t="str">
        <f t="shared" si="40"/>
        <v/>
      </c>
      <c r="C146" s="50">
        <f>IF(D93="","-",+C145+1)</f>
        <v>2055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65"/>
        <v>0</v>
      </c>
      <c r="G146" s="55">
        <f t="shared" si="66"/>
        <v>0</v>
      </c>
      <c r="H146" s="380">
        <f t="shared" si="63"/>
        <v>0</v>
      </c>
      <c r="I146" s="399">
        <f t="shared" si="64"/>
        <v>0</v>
      </c>
      <c r="J146" s="54">
        <f t="shared" si="67"/>
        <v>0</v>
      </c>
      <c r="K146" s="54"/>
      <c r="L146" s="129"/>
      <c r="M146" s="54">
        <f t="shared" si="68"/>
        <v>0</v>
      </c>
      <c r="N146" s="129"/>
      <c r="O146" s="54">
        <f t="shared" si="69"/>
        <v>0</v>
      </c>
      <c r="P146" s="54">
        <f t="shared" si="70"/>
        <v>0</v>
      </c>
      <c r="Q146" s="1"/>
    </row>
    <row r="147" spans="2:17" ht="12.5">
      <c r="B147" s="7" t="str">
        <f t="shared" si="40"/>
        <v/>
      </c>
      <c r="C147" s="50">
        <f>IF(D93="","-",+C146+1)</f>
        <v>2056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65"/>
        <v>0</v>
      </c>
      <c r="G147" s="55">
        <f t="shared" si="66"/>
        <v>0</v>
      </c>
      <c r="H147" s="380">
        <f t="shared" si="63"/>
        <v>0</v>
      </c>
      <c r="I147" s="399">
        <f t="shared" si="64"/>
        <v>0</v>
      </c>
      <c r="J147" s="54">
        <f t="shared" si="67"/>
        <v>0</v>
      </c>
      <c r="K147" s="54"/>
      <c r="L147" s="129"/>
      <c r="M147" s="54">
        <f t="shared" si="68"/>
        <v>0</v>
      </c>
      <c r="N147" s="129"/>
      <c r="O147" s="54">
        <f t="shared" si="69"/>
        <v>0</v>
      </c>
      <c r="P147" s="54">
        <f t="shared" si="70"/>
        <v>0</v>
      </c>
      <c r="Q147" s="1"/>
    </row>
    <row r="148" spans="2:17" ht="12.5">
      <c r="B148" s="7" t="str">
        <f t="shared" si="40"/>
        <v/>
      </c>
      <c r="C148" s="50">
        <f>IF(D93="","-",+C147+1)</f>
        <v>2057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65"/>
        <v>0</v>
      </c>
      <c r="G148" s="55">
        <f t="shared" si="66"/>
        <v>0</v>
      </c>
      <c r="H148" s="380">
        <f t="shared" si="63"/>
        <v>0</v>
      </c>
      <c r="I148" s="399">
        <f t="shared" si="64"/>
        <v>0</v>
      </c>
      <c r="J148" s="54">
        <f t="shared" si="67"/>
        <v>0</v>
      </c>
      <c r="K148" s="54"/>
      <c r="L148" s="129"/>
      <c r="M148" s="54">
        <f t="shared" si="68"/>
        <v>0</v>
      </c>
      <c r="N148" s="129"/>
      <c r="O148" s="54">
        <f t="shared" si="69"/>
        <v>0</v>
      </c>
      <c r="P148" s="54">
        <f t="shared" si="70"/>
        <v>0</v>
      </c>
      <c r="Q148" s="1"/>
    </row>
    <row r="149" spans="2:17" ht="12.5">
      <c r="B149" s="7" t="str">
        <f t="shared" si="40"/>
        <v/>
      </c>
      <c r="C149" s="50">
        <f>IF(D93="","-",+C148+1)</f>
        <v>2058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65"/>
        <v>0</v>
      </c>
      <c r="G149" s="55">
        <f t="shared" si="66"/>
        <v>0</v>
      </c>
      <c r="H149" s="380">
        <f t="shared" si="63"/>
        <v>0</v>
      </c>
      <c r="I149" s="399">
        <f t="shared" si="64"/>
        <v>0</v>
      </c>
      <c r="J149" s="54">
        <f t="shared" si="67"/>
        <v>0</v>
      </c>
      <c r="K149" s="54"/>
      <c r="L149" s="129"/>
      <c r="M149" s="54">
        <f t="shared" si="68"/>
        <v>0</v>
      </c>
      <c r="N149" s="129"/>
      <c r="O149" s="54">
        <f t="shared" si="69"/>
        <v>0</v>
      </c>
      <c r="P149" s="54">
        <f t="shared" si="70"/>
        <v>0</v>
      </c>
      <c r="Q149" s="1"/>
    </row>
    <row r="150" spans="2:17" ht="12.5">
      <c r="B150" s="7" t="str">
        <f t="shared" si="40"/>
        <v/>
      </c>
      <c r="C150" s="50">
        <f>IF(D93="","-",+C149+1)</f>
        <v>2059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65"/>
        <v>0</v>
      </c>
      <c r="G150" s="55">
        <f t="shared" si="66"/>
        <v>0</v>
      </c>
      <c r="H150" s="380">
        <f t="shared" si="63"/>
        <v>0</v>
      </c>
      <c r="I150" s="399">
        <f t="shared" si="64"/>
        <v>0</v>
      </c>
      <c r="J150" s="54">
        <f t="shared" si="67"/>
        <v>0</v>
      </c>
      <c r="K150" s="54"/>
      <c r="L150" s="129"/>
      <c r="M150" s="54">
        <f t="shared" si="68"/>
        <v>0</v>
      </c>
      <c r="N150" s="129"/>
      <c r="O150" s="54">
        <f t="shared" si="69"/>
        <v>0</v>
      </c>
      <c r="P150" s="54">
        <f t="shared" si="70"/>
        <v>0</v>
      </c>
      <c r="Q150" s="1"/>
    </row>
    <row r="151" spans="2:17" ht="12.5">
      <c r="B151" s="7" t="str">
        <f t="shared" si="40"/>
        <v/>
      </c>
      <c r="C151" s="50">
        <f>IF(D93="","-",+C150+1)</f>
        <v>2060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65"/>
        <v>0</v>
      </c>
      <c r="G151" s="55">
        <f t="shared" si="66"/>
        <v>0</v>
      </c>
      <c r="H151" s="380">
        <f t="shared" si="63"/>
        <v>0</v>
      </c>
      <c r="I151" s="399">
        <f t="shared" si="64"/>
        <v>0</v>
      </c>
      <c r="J151" s="54">
        <f t="shared" si="67"/>
        <v>0</v>
      </c>
      <c r="K151" s="54"/>
      <c r="L151" s="129"/>
      <c r="M151" s="54">
        <f t="shared" si="68"/>
        <v>0</v>
      </c>
      <c r="N151" s="129"/>
      <c r="O151" s="54">
        <f t="shared" si="69"/>
        <v>0</v>
      </c>
      <c r="P151" s="54">
        <f t="shared" si="70"/>
        <v>0</v>
      </c>
      <c r="Q151" s="1"/>
    </row>
    <row r="152" spans="2:17" ht="12.5">
      <c r="B152" s="7" t="str">
        <f t="shared" si="40"/>
        <v/>
      </c>
      <c r="C152" s="50">
        <f>IF(D93="","-",+C151+1)</f>
        <v>2061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65"/>
        <v>0</v>
      </c>
      <c r="G152" s="55">
        <f t="shared" si="66"/>
        <v>0</v>
      </c>
      <c r="H152" s="380">
        <f t="shared" si="63"/>
        <v>0</v>
      </c>
      <c r="I152" s="399">
        <f t="shared" si="64"/>
        <v>0</v>
      </c>
      <c r="J152" s="54">
        <f t="shared" si="67"/>
        <v>0</v>
      </c>
      <c r="K152" s="54"/>
      <c r="L152" s="129"/>
      <c r="M152" s="54">
        <f t="shared" si="68"/>
        <v>0</v>
      </c>
      <c r="N152" s="129"/>
      <c r="O152" s="54">
        <f t="shared" si="69"/>
        <v>0</v>
      </c>
      <c r="P152" s="54">
        <f t="shared" si="70"/>
        <v>0</v>
      </c>
      <c r="Q152" s="1"/>
    </row>
    <row r="153" spans="2:17" ht="12.5">
      <c r="B153" s="7" t="str">
        <f t="shared" si="40"/>
        <v/>
      </c>
      <c r="C153" s="50">
        <f>IF(D93="","-",+C152+1)</f>
        <v>2062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65"/>
        <v>0</v>
      </c>
      <c r="G153" s="55">
        <f t="shared" si="66"/>
        <v>0</v>
      </c>
      <c r="H153" s="380">
        <f t="shared" si="63"/>
        <v>0</v>
      </c>
      <c r="I153" s="399">
        <f t="shared" si="64"/>
        <v>0</v>
      </c>
      <c r="J153" s="54">
        <f t="shared" si="67"/>
        <v>0</v>
      </c>
      <c r="K153" s="54"/>
      <c r="L153" s="129"/>
      <c r="M153" s="54">
        <f t="shared" si="68"/>
        <v>0</v>
      </c>
      <c r="N153" s="129"/>
      <c r="O153" s="54">
        <f t="shared" si="69"/>
        <v>0</v>
      </c>
      <c r="P153" s="54">
        <f t="shared" si="70"/>
        <v>0</v>
      </c>
      <c r="Q153" s="1"/>
    </row>
    <row r="154" spans="2:17" ht="13" thickBot="1">
      <c r="B154" s="7" t="str">
        <f t="shared" si="40"/>
        <v/>
      </c>
      <c r="C154" s="59">
        <f>IF(D93="","-",+C153+1)</f>
        <v>2063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65"/>
        <v>0</v>
      </c>
      <c r="G154" s="60">
        <f t="shared" si="66"/>
        <v>0</v>
      </c>
      <c r="H154" s="382">
        <f t="shared" si="63"/>
        <v>0</v>
      </c>
      <c r="I154" s="400">
        <f t="shared" si="64"/>
        <v>0</v>
      </c>
      <c r="J154" s="64">
        <f t="shared" si="67"/>
        <v>0</v>
      </c>
      <c r="K154" s="54"/>
      <c r="L154" s="130"/>
      <c r="M154" s="64">
        <f t="shared" si="68"/>
        <v>0</v>
      </c>
      <c r="N154" s="130"/>
      <c r="O154" s="64">
        <f t="shared" si="69"/>
        <v>0</v>
      </c>
      <c r="P154" s="64">
        <f t="shared" si="70"/>
        <v>0</v>
      </c>
      <c r="Q154" s="1"/>
    </row>
    <row r="155" spans="2:17" ht="12.5">
      <c r="C155" s="12" t="s">
        <v>78</v>
      </c>
      <c r="D155" s="293"/>
      <c r="E155" s="293">
        <f>SUM(E99:E154)</f>
        <v>1949836.5099999991</v>
      </c>
      <c r="F155" s="293"/>
      <c r="G155" s="293"/>
      <c r="H155" s="293">
        <f>SUM(H99:H154)</f>
        <v>7284697.4683470642</v>
      </c>
      <c r="I155" s="293">
        <f>SUM(I99:I154)</f>
        <v>7284697.4683470642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 ht="12.5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 ht="12.5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23" priority="1" stopIfTrue="1" operator="equal">
      <formula>$I$10</formula>
    </cfRule>
  </conditionalFormatting>
  <conditionalFormatting sqref="C99:C154">
    <cfRule type="cellIs" dxfId="12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67">
    <tabColor indexed="8"/>
  </sheetPr>
  <dimension ref="A1:Q162"/>
  <sheetViews>
    <sheetView topLeftCell="C1" zoomScaleNormal="100" zoomScaleSheetLayoutView="72" workbookViewId="0">
      <selection activeCell="E9" sqref="E9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18 of 77</v>
      </c>
      <c r="Q1" s="13"/>
    </row>
    <row r="2" spans="1:17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0</v>
      </c>
      <c r="P5" s="1"/>
    </row>
    <row r="6" spans="1:17" ht="15.5">
      <c r="C6" s="6"/>
      <c r="D6" s="132" t="s">
        <v>270</v>
      </c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0</v>
      </c>
      <c r="O6" s="1"/>
      <c r="P6" s="1"/>
    </row>
    <row r="7" spans="1:17" ht="13.5" thickBot="1">
      <c r="C7" s="25" t="s">
        <v>48</v>
      </c>
      <c r="D7" s="127" t="s">
        <v>265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104" t="str">
        <f>IF(D10&lt;100000,"DOES NOT MEET SPP $100,000 MINIMUM INVESTMENT FOR REGIONAL BPU SHARING.","")</f>
        <v>DOES NOT MEET SPP $100,000 MINIMUM INVESTMENT FOR REGIONAL BPU SHARING.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145</v>
      </c>
      <c r="E9" s="31"/>
      <c r="F9" s="31"/>
      <c r="G9" s="31"/>
      <c r="H9" s="31"/>
      <c r="I9" s="32"/>
      <c r="J9" s="33"/>
      <c r="P9" s="1"/>
    </row>
    <row r="10" spans="1:17" ht="13">
      <c r="C10" s="34" t="s">
        <v>51</v>
      </c>
      <c r="D10" s="460">
        <v>0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7" ht="12.5">
      <c r="C11" s="34" t="s">
        <v>54</v>
      </c>
      <c r="D11" s="37">
        <v>2009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3">
        <v>6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0</v>
      </c>
      <c r="J14" s="293"/>
      <c r="K14" s="293"/>
      <c r="L14" s="293"/>
      <c r="M14" s="293"/>
      <c r="N14" s="293"/>
      <c r="O14" s="1"/>
      <c r="P14" s="1"/>
    </row>
    <row r="15" spans="1:17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3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2009</v>
      </c>
      <c r="D17" s="12">
        <f>D10</f>
        <v>0</v>
      </c>
      <c r="E17" s="414">
        <f>I14/12*(12-D12)</f>
        <v>0</v>
      </c>
      <c r="F17" s="12">
        <f t="shared" ref="F17:F48" si="0">+D17-E17</f>
        <v>0</v>
      </c>
      <c r="G17" s="414">
        <f t="shared" ref="G17:G48" si="1">+I$12*((D17+F17)/2)+E17</f>
        <v>0</v>
      </c>
      <c r="H17" s="364">
        <f t="shared" ref="H17:H48" si="2">+I$13*((D17+F17)/2)+E17</f>
        <v>0</v>
      </c>
      <c r="I17" s="52">
        <f t="shared" ref="I17:I48" si="3">H17-G17</f>
        <v>0</v>
      </c>
      <c r="J17" s="52"/>
      <c r="K17" s="112">
        <v>0</v>
      </c>
      <c r="L17" s="53">
        <f t="shared" ref="L17:L48" si="4">IF(K17&lt;&gt;0,+G17-K17,0)</f>
        <v>0</v>
      </c>
      <c r="M17" s="112">
        <v>0</v>
      </c>
      <c r="N17" s="53">
        <f t="shared" ref="N17:N48" si="5">IF(M17&lt;&gt;0,+H17-M17,0)</f>
        <v>0</v>
      </c>
      <c r="O17" s="54">
        <f t="shared" ref="O17:O48" si="6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2010</v>
      </c>
      <c r="D18" s="55">
        <f t="shared" ref="D18:D24" si="7">F17</f>
        <v>0</v>
      </c>
      <c r="E18" s="378">
        <f>IF(+I14&lt;F17,I14,D18)</f>
        <v>0</v>
      </c>
      <c r="F18" s="55">
        <f t="shared" si="0"/>
        <v>0</v>
      </c>
      <c r="G18" s="379">
        <f t="shared" si="1"/>
        <v>0</v>
      </c>
      <c r="H18" s="364">
        <f t="shared" si="2"/>
        <v>0</v>
      </c>
      <c r="I18" s="52">
        <f t="shared" si="3"/>
        <v>0</v>
      </c>
      <c r="J18" s="52"/>
      <c r="K18" s="129"/>
      <c r="L18" s="54">
        <f t="shared" si="4"/>
        <v>0</v>
      </c>
      <c r="M18" s="129"/>
      <c r="N18" s="54">
        <f t="shared" si="5"/>
        <v>0</v>
      </c>
      <c r="O18" s="54">
        <f t="shared" si="6"/>
        <v>0</v>
      </c>
      <c r="P18" s="1"/>
    </row>
    <row r="19" spans="2:16" ht="12.5">
      <c r="B19" s="7" t="str">
        <f>IF(D19=F18,"","IU")</f>
        <v/>
      </c>
      <c r="C19" s="50">
        <f>IF(D11="","-",+C18+1)</f>
        <v>2011</v>
      </c>
      <c r="D19" s="55">
        <f t="shared" si="7"/>
        <v>0</v>
      </c>
      <c r="E19" s="378">
        <f>IF(+I14&lt;F18,I14,D19)</f>
        <v>0</v>
      </c>
      <c r="F19" s="55">
        <f t="shared" si="0"/>
        <v>0</v>
      </c>
      <c r="G19" s="379">
        <f t="shared" si="1"/>
        <v>0</v>
      </c>
      <c r="H19" s="364">
        <f t="shared" si="2"/>
        <v>0</v>
      </c>
      <c r="I19" s="52">
        <f t="shared" si="3"/>
        <v>0</v>
      </c>
      <c r="J19" s="52"/>
      <c r="K19" s="129"/>
      <c r="L19" s="54">
        <f t="shared" si="4"/>
        <v>0</v>
      </c>
      <c r="M19" s="129"/>
      <c r="N19" s="54">
        <f t="shared" si="5"/>
        <v>0</v>
      </c>
      <c r="O19" s="54">
        <f t="shared" si="6"/>
        <v>0</v>
      </c>
      <c r="P19" s="1"/>
    </row>
    <row r="20" spans="2:16" ht="12.5">
      <c r="B20" s="7" t="str">
        <f t="shared" ref="B20:B72" si="8">IF(D20=F19,"","IU")</f>
        <v/>
      </c>
      <c r="C20" s="50">
        <f>IF(D11="","-",+C19+1)</f>
        <v>2012</v>
      </c>
      <c r="D20" s="55">
        <f t="shared" si="7"/>
        <v>0</v>
      </c>
      <c r="E20" s="378">
        <f>IF(+I14&lt;F19,I14,D20)</f>
        <v>0</v>
      </c>
      <c r="F20" s="55">
        <f t="shared" si="0"/>
        <v>0</v>
      </c>
      <c r="G20" s="379">
        <f t="shared" si="1"/>
        <v>0</v>
      </c>
      <c r="H20" s="364">
        <f t="shared" si="2"/>
        <v>0</v>
      </c>
      <c r="I20" s="52">
        <f t="shared" si="3"/>
        <v>0</v>
      </c>
      <c r="J20" s="52"/>
      <c r="K20" s="129"/>
      <c r="L20" s="54">
        <f t="shared" si="4"/>
        <v>0</v>
      </c>
      <c r="M20" s="129"/>
      <c r="N20" s="54">
        <f t="shared" si="5"/>
        <v>0</v>
      </c>
      <c r="O20" s="54">
        <f t="shared" si="6"/>
        <v>0</v>
      </c>
      <c r="P20" s="1"/>
    </row>
    <row r="21" spans="2:16" ht="12.5">
      <c r="B21" s="7" t="str">
        <f t="shared" si="8"/>
        <v/>
      </c>
      <c r="C21" s="50">
        <f>IF(D12="","-",+C20+1)</f>
        <v>2013</v>
      </c>
      <c r="D21" s="55">
        <f t="shared" si="7"/>
        <v>0</v>
      </c>
      <c r="E21" s="378">
        <f>IF(+I14&lt;F20,I14,D21)</f>
        <v>0</v>
      </c>
      <c r="F21" s="55">
        <f t="shared" si="0"/>
        <v>0</v>
      </c>
      <c r="G21" s="379">
        <f t="shared" si="1"/>
        <v>0</v>
      </c>
      <c r="H21" s="364">
        <f t="shared" si="2"/>
        <v>0</v>
      </c>
      <c r="I21" s="52">
        <f t="shared" si="3"/>
        <v>0</v>
      </c>
      <c r="J21" s="52"/>
      <c r="K21" s="129"/>
      <c r="L21" s="54">
        <f t="shared" si="4"/>
        <v>0</v>
      </c>
      <c r="M21" s="129"/>
      <c r="N21" s="54">
        <f t="shared" si="5"/>
        <v>0</v>
      </c>
      <c r="O21" s="54">
        <f t="shared" si="6"/>
        <v>0</v>
      </c>
      <c r="P21" s="1"/>
    </row>
    <row r="22" spans="2:16" ht="12.5">
      <c r="B22" s="7" t="str">
        <f t="shared" si="8"/>
        <v/>
      </c>
      <c r="C22" s="50">
        <f>IF(D11="","-",+C21+1)</f>
        <v>2014</v>
      </c>
      <c r="D22" s="55">
        <f t="shared" si="7"/>
        <v>0</v>
      </c>
      <c r="E22" s="378">
        <f>IF(+I14&lt;F21,I14,D22)</f>
        <v>0</v>
      </c>
      <c r="F22" s="55">
        <f t="shared" si="0"/>
        <v>0</v>
      </c>
      <c r="G22" s="379">
        <f t="shared" si="1"/>
        <v>0</v>
      </c>
      <c r="H22" s="364">
        <f t="shared" si="2"/>
        <v>0</v>
      </c>
      <c r="I22" s="52">
        <f t="shared" si="3"/>
        <v>0</v>
      </c>
      <c r="J22" s="52"/>
      <c r="K22" s="129"/>
      <c r="L22" s="54">
        <f t="shared" si="4"/>
        <v>0</v>
      </c>
      <c r="M22" s="129"/>
      <c r="N22" s="54">
        <f t="shared" si="5"/>
        <v>0</v>
      </c>
      <c r="O22" s="54">
        <f t="shared" si="6"/>
        <v>0</v>
      </c>
      <c r="P22" s="1"/>
    </row>
    <row r="23" spans="2:16" ht="12.5">
      <c r="B23" s="7" t="str">
        <f t="shared" si="8"/>
        <v/>
      </c>
      <c r="C23" s="50">
        <f>IF(D11="","-",+C22+1)</f>
        <v>2015</v>
      </c>
      <c r="D23" s="55">
        <f t="shared" si="7"/>
        <v>0</v>
      </c>
      <c r="E23" s="378">
        <f>IF(+I14&lt;F22,I14,D23)</f>
        <v>0</v>
      </c>
      <c r="F23" s="55">
        <f t="shared" si="0"/>
        <v>0</v>
      </c>
      <c r="G23" s="379">
        <f t="shared" si="1"/>
        <v>0</v>
      </c>
      <c r="H23" s="364">
        <f t="shared" si="2"/>
        <v>0</v>
      </c>
      <c r="I23" s="52">
        <f t="shared" si="3"/>
        <v>0</v>
      </c>
      <c r="J23" s="52"/>
      <c r="K23" s="129"/>
      <c r="L23" s="54">
        <f t="shared" si="4"/>
        <v>0</v>
      </c>
      <c r="M23" s="129"/>
      <c r="N23" s="54">
        <f t="shared" si="5"/>
        <v>0</v>
      </c>
      <c r="O23" s="54">
        <f t="shared" si="6"/>
        <v>0</v>
      </c>
      <c r="P23" s="1"/>
    </row>
    <row r="24" spans="2:16" ht="12.5">
      <c r="B24" s="7" t="str">
        <f t="shared" si="8"/>
        <v/>
      </c>
      <c r="C24" s="50">
        <f>IF(D11="","-",+C23+1)</f>
        <v>2016</v>
      </c>
      <c r="D24" s="55">
        <f t="shared" si="7"/>
        <v>0</v>
      </c>
      <c r="E24" s="378">
        <f>IF(+I14&lt;F23,I14,D24)</f>
        <v>0</v>
      </c>
      <c r="F24" s="55">
        <f t="shared" si="0"/>
        <v>0</v>
      </c>
      <c r="G24" s="379">
        <f t="shared" si="1"/>
        <v>0</v>
      </c>
      <c r="H24" s="364">
        <f t="shared" si="2"/>
        <v>0</v>
      </c>
      <c r="I24" s="52">
        <f t="shared" si="3"/>
        <v>0</v>
      </c>
      <c r="J24" s="52"/>
      <c r="K24" s="129"/>
      <c r="L24" s="54">
        <f t="shared" si="4"/>
        <v>0</v>
      </c>
      <c r="M24" s="129"/>
      <c r="N24" s="54">
        <f t="shared" si="5"/>
        <v>0</v>
      </c>
      <c r="O24" s="54">
        <f t="shared" si="6"/>
        <v>0</v>
      </c>
      <c r="P24" s="1"/>
    </row>
    <row r="25" spans="2:16" ht="12.5">
      <c r="B25" s="7" t="str">
        <f t="shared" si="8"/>
        <v/>
      </c>
      <c r="C25" s="50">
        <f>IF(D11="","-",+C24+1)</f>
        <v>2017</v>
      </c>
      <c r="D25" s="55">
        <f>IF(F24+SUM(E$17:E24)=D$10,F24,D$10-SUM(E$17:E24))</f>
        <v>0</v>
      </c>
      <c r="E25" s="378">
        <f>IF(+I14&lt;F24,I14,D25)</f>
        <v>0</v>
      </c>
      <c r="F25" s="55">
        <f t="shared" si="0"/>
        <v>0</v>
      </c>
      <c r="G25" s="379">
        <f t="shared" si="1"/>
        <v>0</v>
      </c>
      <c r="H25" s="364">
        <f t="shared" si="2"/>
        <v>0</v>
      </c>
      <c r="I25" s="52">
        <f t="shared" si="3"/>
        <v>0</v>
      </c>
      <c r="J25" s="52"/>
      <c r="K25" s="129"/>
      <c r="L25" s="54">
        <f t="shared" si="4"/>
        <v>0</v>
      </c>
      <c r="M25" s="129"/>
      <c r="N25" s="54">
        <f t="shared" si="5"/>
        <v>0</v>
      </c>
      <c r="O25" s="54">
        <f t="shared" si="6"/>
        <v>0</v>
      </c>
      <c r="P25" s="1"/>
    </row>
    <row r="26" spans="2:16" ht="12.5">
      <c r="B26" s="7" t="str">
        <f t="shared" si="8"/>
        <v/>
      </c>
      <c r="C26" s="50">
        <f>IF(D11="","-",+C25+1)</f>
        <v>2018</v>
      </c>
      <c r="D26" s="55">
        <f>IF(F25+SUM(E$17:E25)=D$10,F25,D$10-SUM(E$17:E25))</f>
        <v>0</v>
      </c>
      <c r="E26" s="378">
        <f>IF(+I14&lt;F25,I14,D26)</f>
        <v>0</v>
      </c>
      <c r="F26" s="55">
        <f t="shared" si="0"/>
        <v>0</v>
      </c>
      <c r="G26" s="379">
        <f t="shared" si="1"/>
        <v>0</v>
      </c>
      <c r="H26" s="364">
        <f t="shared" si="2"/>
        <v>0</v>
      </c>
      <c r="I26" s="52">
        <f t="shared" si="3"/>
        <v>0</v>
      </c>
      <c r="J26" s="52"/>
      <c r="K26" s="129"/>
      <c r="L26" s="54">
        <f t="shared" si="4"/>
        <v>0</v>
      </c>
      <c r="M26" s="129"/>
      <c r="N26" s="54">
        <f t="shared" si="5"/>
        <v>0</v>
      </c>
      <c r="O26" s="54">
        <f t="shared" si="6"/>
        <v>0</v>
      </c>
      <c r="P26" s="1"/>
    </row>
    <row r="27" spans="2:16" ht="12.5">
      <c r="B27" s="7" t="str">
        <f t="shared" si="8"/>
        <v/>
      </c>
      <c r="C27" s="50">
        <f>IF(D11="","-",+C26+1)</f>
        <v>2019</v>
      </c>
      <c r="D27" s="55">
        <f>IF(F26+SUM(E$17:E26)=D$10,F26,D$10-SUM(E$17:E26))</f>
        <v>0</v>
      </c>
      <c r="E27" s="378">
        <f>IF(+I14&lt;F26,I14,D27)</f>
        <v>0</v>
      </c>
      <c r="F27" s="55">
        <f t="shared" si="0"/>
        <v>0</v>
      </c>
      <c r="G27" s="379">
        <f t="shared" si="1"/>
        <v>0</v>
      </c>
      <c r="H27" s="364">
        <f t="shared" si="2"/>
        <v>0</v>
      </c>
      <c r="I27" s="52">
        <f t="shared" si="3"/>
        <v>0</v>
      </c>
      <c r="J27" s="52"/>
      <c r="K27" s="129"/>
      <c r="L27" s="54">
        <f t="shared" si="4"/>
        <v>0</v>
      </c>
      <c r="M27" s="129"/>
      <c r="N27" s="54">
        <f t="shared" si="5"/>
        <v>0</v>
      </c>
      <c r="O27" s="54">
        <f t="shared" si="6"/>
        <v>0</v>
      </c>
      <c r="P27" s="1"/>
    </row>
    <row r="28" spans="2:16" ht="12.5">
      <c r="B28" s="7" t="str">
        <f t="shared" si="8"/>
        <v/>
      </c>
      <c r="C28" s="50">
        <f>IF(D11="","-",+C27+1)</f>
        <v>2020</v>
      </c>
      <c r="D28" s="55">
        <f>IF(F27+SUM(E$17:E27)=D$10,F27,D$10-SUM(E$17:E27))</f>
        <v>0</v>
      </c>
      <c r="E28" s="378">
        <f>IF(+I14&lt;F27,I14,D28)</f>
        <v>0</v>
      </c>
      <c r="F28" s="55">
        <f t="shared" si="0"/>
        <v>0</v>
      </c>
      <c r="G28" s="379">
        <f t="shared" si="1"/>
        <v>0</v>
      </c>
      <c r="H28" s="364">
        <f t="shared" si="2"/>
        <v>0</v>
      </c>
      <c r="I28" s="52">
        <f t="shared" si="3"/>
        <v>0</v>
      </c>
      <c r="J28" s="52"/>
      <c r="K28" s="129"/>
      <c r="L28" s="54">
        <f t="shared" si="4"/>
        <v>0</v>
      </c>
      <c r="M28" s="129"/>
      <c r="N28" s="54">
        <f t="shared" si="5"/>
        <v>0</v>
      </c>
      <c r="O28" s="54">
        <f t="shared" si="6"/>
        <v>0</v>
      </c>
      <c r="P28" s="1"/>
    </row>
    <row r="29" spans="2:16" ht="12.5">
      <c r="B29" s="7" t="str">
        <f t="shared" si="8"/>
        <v/>
      </c>
      <c r="C29" s="50">
        <f>IF(D11="","-",+C28+1)</f>
        <v>2021</v>
      </c>
      <c r="D29" s="55">
        <f>IF(F28+SUM(E$17:E28)=D$10,F28,D$10-SUM(E$17:E28))</f>
        <v>0</v>
      </c>
      <c r="E29" s="378">
        <f>IF(+I14&lt;F28,I14,D29)</f>
        <v>0</v>
      </c>
      <c r="F29" s="55">
        <f t="shared" si="0"/>
        <v>0</v>
      </c>
      <c r="G29" s="379">
        <f t="shared" si="1"/>
        <v>0</v>
      </c>
      <c r="H29" s="364">
        <f t="shared" si="2"/>
        <v>0</v>
      </c>
      <c r="I29" s="52">
        <f t="shared" si="3"/>
        <v>0</v>
      </c>
      <c r="J29" s="52"/>
      <c r="K29" s="129"/>
      <c r="L29" s="54">
        <f t="shared" si="4"/>
        <v>0</v>
      </c>
      <c r="M29" s="129"/>
      <c r="N29" s="54">
        <f t="shared" si="5"/>
        <v>0</v>
      </c>
      <c r="O29" s="54">
        <f t="shared" si="6"/>
        <v>0</v>
      </c>
      <c r="P29" s="1"/>
    </row>
    <row r="30" spans="2:16" ht="12.5">
      <c r="B30" s="7" t="str">
        <f t="shared" si="8"/>
        <v/>
      </c>
      <c r="C30" s="50">
        <f>IF(D11="","-",+C29+1)</f>
        <v>2022</v>
      </c>
      <c r="D30" s="55">
        <f>IF(F29+SUM(E$17:E29)=D$10,F29,D$10-SUM(E$17:E29))</f>
        <v>0</v>
      </c>
      <c r="E30" s="378">
        <f>IF(+I14&lt;F29,I14,D30)</f>
        <v>0</v>
      </c>
      <c r="F30" s="55">
        <f t="shared" si="0"/>
        <v>0</v>
      </c>
      <c r="G30" s="379">
        <f t="shared" si="1"/>
        <v>0</v>
      </c>
      <c r="H30" s="364">
        <f t="shared" si="2"/>
        <v>0</v>
      </c>
      <c r="I30" s="52">
        <f t="shared" si="3"/>
        <v>0</v>
      </c>
      <c r="J30" s="52"/>
      <c r="K30" s="129"/>
      <c r="L30" s="54">
        <f t="shared" si="4"/>
        <v>0</v>
      </c>
      <c r="M30" s="129"/>
      <c r="N30" s="54">
        <f t="shared" si="5"/>
        <v>0</v>
      </c>
      <c r="O30" s="54">
        <f t="shared" si="6"/>
        <v>0</v>
      </c>
      <c r="P30" s="1"/>
    </row>
    <row r="31" spans="2:16" ht="12.5">
      <c r="B31" s="7" t="str">
        <f t="shared" si="8"/>
        <v/>
      </c>
      <c r="C31" s="50">
        <f>IF(D11="","-",+C30+1)</f>
        <v>2023</v>
      </c>
      <c r="D31" s="55">
        <f>IF(F30+SUM(E$17:E30)=D$10,F30,D$10-SUM(E$17:E30))</f>
        <v>0</v>
      </c>
      <c r="E31" s="378">
        <f>IF(+I14&lt;F30,I14,D31)</f>
        <v>0</v>
      </c>
      <c r="F31" s="55">
        <f t="shared" si="0"/>
        <v>0</v>
      </c>
      <c r="G31" s="379">
        <f t="shared" si="1"/>
        <v>0</v>
      </c>
      <c r="H31" s="364">
        <f t="shared" si="2"/>
        <v>0</v>
      </c>
      <c r="I31" s="52">
        <f t="shared" si="3"/>
        <v>0</v>
      </c>
      <c r="J31" s="52"/>
      <c r="K31" s="129"/>
      <c r="L31" s="54">
        <f t="shared" si="4"/>
        <v>0</v>
      </c>
      <c r="M31" s="129"/>
      <c r="N31" s="54">
        <f t="shared" si="5"/>
        <v>0</v>
      </c>
      <c r="O31" s="54">
        <f t="shared" si="6"/>
        <v>0</v>
      </c>
      <c r="P31" s="1"/>
    </row>
    <row r="32" spans="2:16" ht="12.5">
      <c r="B32" s="7" t="str">
        <f t="shared" si="8"/>
        <v/>
      </c>
      <c r="C32" s="50">
        <f>IF(D11="","-",+C31+1)</f>
        <v>2024</v>
      </c>
      <c r="D32" s="55">
        <f>IF(F31+SUM(E$17:E31)=D$10,F31,D$10-SUM(E$17:E31))</f>
        <v>0</v>
      </c>
      <c r="E32" s="378">
        <f>IF(+I14&lt;F31,I14,D32)</f>
        <v>0</v>
      </c>
      <c r="F32" s="55">
        <f t="shared" si="0"/>
        <v>0</v>
      </c>
      <c r="G32" s="379">
        <f t="shared" si="1"/>
        <v>0</v>
      </c>
      <c r="H32" s="364">
        <f t="shared" si="2"/>
        <v>0</v>
      </c>
      <c r="I32" s="52">
        <f t="shared" si="3"/>
        <v>0</v>
      </c>
      <c r="J32" s="52"/>
      <c r="K32" s="129"/>
      <c r="L32" s="54">
        <f t="shared" si="4"/>
        <v>0</v>
      </c>
      <c r="M32" s="129"/>
      <c r="N32" s="54">
        <f t="shared" si="5"/>
        <v>0</v>
      </c>
      <c r="O32" s="54">
        <f t="shared" si="6"/>
        <v>0</v>
      </c>
      <c r="P32" s="1"/>
    </row>
    <row r="33" spans="2:16" ht="12.5">
      <c r="B33" s="7" t="str">
        <f t="shared" si="8"/>
        <v/>
      </c>
      <c r="C33" s="50">
        <f>IF(D11="","-",+C32+1)</f>
        <v>2025</v>
      </c>
      <c r="D33" s="55">
        <f>IF(F32+SUM(E$17:E32)=D$10,F32,D$10-SUM(E$17:E32))</f>
        <v>0</v>
      </c>
      <c r="E33" s="378">
        <f>IF(+I14&lt;F32,I14,D33)</f>
        <v>0</v>
      </c>
      <c r="F33" s="55">
        <f t="shared" si="0"/>
        <v>0</v>
      </c>
      <c r="G33" s="379">
        <f t="shared" si="1"/>
        <v>0</v>
      </c>
      <c r="H33" s="364">
        <f t="shared" si="2"/>
        <v>0</v>
      </c>
      <c r="I33" s="52">
        <f t="shared" si="3"/>
        <v>0</v>
      </c>
      <c r="J33" s="52"/>
      <c r="K33" s="129"/>
      <c r="L33" s="54">
        <f t="shared" si="4"/>
        <v>0</v>
      </c>
      <c r="M33" s="129"/>
      <c r="N33" s="54">
        <f t="shared" si="5"/>
        <v>0</v>
      </c>
      <c r="O33" s="54">
        <f t="shared" si="6"/>
        <v>0</v>
      </c>
      <c r="P33" s="1"/>
    </row>
    <row r="34" spans="2:16" ht="12.5">
      <c r="B34" s="7" t="str">
        <f t="shared" si="8"/>
        <v/>
      </c>
      <c r="C34" s="50">
        <f>IF(D11="","-",+C33+1)</f>
        <v>2026</v>
      </c>
      <c r="D34" s="55">
        <f>IF(F33+SUM(E$17:E33)=D$10,F33,D$10-SUM(E$17:E33))</f>
        <v>0</v>
      </c>
      <c r="E34" s="378">
        <f>IF(+I14&lt;F33,I14,D34)</f>
        <v>0</v>
      </c>
      <c r="F34" s="55">
        <f t="shared" si="0"/>
        <v>0</v>
      </c>
      <c r="G34" s="379">
        <f t="shared" si="1"/>
        <v>0</v>
      </c>
      <c r="H34" s="364">
        <f t="shared" si="2"/>
        <v>0</v>
      </c>
      <c r="I34" s="52">
        <f t="shared" si="3"/>
        <v>0</v>
      </c>
      <c r="J34" s="52"/>
      <c r="K34" s="129"/>
      <c r="L34" s="54">
        <f t="shared" si="4"/>
        <v>0</v>
      </c>
      <c r="M34" s="129"/>
      <c r="N34" s="54">
        <f t="shared" si="5"/>
        <v>0</v>
      </c>
      <c r="O34" s="54">
        <f t="shared" si="6"/>
        <v>0</v>
      </c>
      <c r="P34" s="1"/>
    </row>
    <row r="35" spans="2:16" ht="12.5">
      <c r="B35" s="7" t="str">
        <f t="shared" si="8"/>
        <v/>
      </c>
      <c r="C35" s="50">
        <f>IF(D11="","-",+C34+1)</f>
        <v>2027</v>
      </c>
      <c r="D35" s="55">
        <f>IF(F34+SUM(E$17:E34)=D$10,F34,D$10-SUM(E$17:E34))</f>
        <v>0</v>
      </c>
      <c r="E35" s="378">
        <f>IF(+I14&lt;F34,I14,D35)</f>
        <v>0</v>
      </c>
      <c r="F35" s="55">
        <f t="shared" si="0"/>
        <v>0</v>
      </c>
      <c r="G35" s="379">
        <f t="shared" si="1"/>
        <v>0</v>
      </c>
      <c r="H35" s="364">
        <f t="shared" si="2"/>
        <v>0</v>
      </c>
      <c r="I35" s="52">
        <f t="shared" si="3"/>
        <v>0</v>
      </c>
      <c r="J35" s="52"/>
      <c r="K35" s="129"/>
      <c r="L35" s="54">
        <f t="shared" si="4"/>
        <v>0</v>
      </c>
      <c r="M35" s="129"/>
      <c r="N35" s="54">
        <f t="shared" si="5"/>
        <v>0</v>
      </c>
      <c r="O35" s="54">
        <f t="shared" si="6"/>
        <v>0</v>
      </c>
      <c r="P35" s="1"/>
    </row>
    <row r="36" spans="2:16" ht="12.5">
      <c r="B36" s="7" t="str">
        <f t="shared" si="8"/>
        <v/>
      </c>
      <c r="C36" s="50">
        <f>IF(D11="","-",+C35+1)</f>
        <v>2028</v>
      </c>
      <c r="D36" s="55">
        <f>IF(F35+SUM(E$17:E35)=D$10,F35,D$10-SUM(E$17:E35))</f>
        <v>0</v>
      </c>
      <c r="E36" s="378">
        <f>IF(+I14&lt;F35,I14,D36)</f>
        <v>0</v>
      </c>
      <c r="F36" s="55">
        <f t="shared" si="0"/>
        <v>0</v>
      </c>
      <c r="G36" s="379">
        <f t="shared" si="1"/>
        <v>0</v>
      </c>
      <c r="H36" s="364">
        <f t="shared" si="2"/>
        <v>0</v>
      </c>
      <c r="I36" s="52">
        <f t="shared" si="3"/>
        <v>0</v>
      </c>
      <c r="J36" s="52"/>
      <c r="K36" s="129"/>
      <c r="L36" s="54">
        <f t="shared" si="4"/>
        <v>0</v>
      </c>
      <c r="M36" s="129"/>
      <c r="N36" s="54">
        <f t="shared" si="5"/>
        <v>0</v>
      </c>
      <c r="O36" s="54">
        <f t="shared" si="6"/>
        <v>0</v>
      </c>
      <c r="P36" s="1"/>
    </row>
    <row r="37" spans="2:16" ht="12.5">
      <c r="B37" s="7" t="str">
        <f t="shared" si="8"/>
        <v/>
      </c>
      <c r="C37" s="50">
        <f>IF(D11="","-",+C36+1)</f>
        <v>2029</v>
      </c>
      <c r="D37" s="55">
        <f>IF(F36+SUM(E$17:E36)=D$10,F36,D$10-SUM(E$17:E36))</f>
        <v>0</v>
      </c>
      <c r="E37" s="378">
        <f>IF(+I14&lt;F36,I14,D37)</f>
        <v>0</v>
      </c>
      <c r="F37" s="55">
        <f t="shared" si="0"/>
        <v>0</v>
      </c>
      <c r="G37" s="379">
        <f t="shared" si="1"/>
        <v>0</v>
      </c>
      <c r="H37" s="364">
        <f t="shared" si="2"/>
        <v>0</v>
      </c>
      <c r="I37" s="52">
        <f t="shared" si="3"/>
        <v>0</v>
      </c>
      <c r="J37" s="52"/>
      <c r="K37" s="129"/>
      <c r="L37" s="54">
        <f t="shared" si="4"/>
        <v>0</v>
      </c>
      <c r="M37" s="129"/>
      <c r="N37" s="54">
        <f t="shared" si="5"/>
        <v>0</v>
      </c>
      <c r="O37" s="54">
        <f t="shared" si="6"/>
        <v>0</v>
      </c>
      <c r="P37" s="1"/>
    </row>
    <row r="38" spans="2:16" ht="12.5">
      <c r="B38" s="7" t="str">
        <f t="shared" si="8"/>
        <v/>
      </c>
      <c r="C38" s="50">
        <f>IF(D11="","-",+C37+1)</f>
        <v>2030</v>
      </c>
      <c r="D38" s="55">
        <f>IF(F37+SUM(E$17:E37)=D$10,F37,D$10-SUM(E$17:E37))</f>
        <v>0</v>
      </c>
      <c r="E38" s="378">
        <f>IF(+I14&lt;F37,I14,D38)</f>
        <v>0</v>
      </c>
      <c r="F38" s="55">
        <f t="shared" si="0"/>
        <v>0</v>
      </c>
      <c r="G38" s="379">
        <f t="shared" si="1"/>
        <v>0</v>
      </c>
      <c r="H38" s="364">
        <f t="shared" si="2"/>
        <v>0</v>
      </c>
      <c r="I38" s="52">
        <f t="shared" si="3"/>
        <v>0</v>
      </c>
      <c r="J38" s="52"/>
      <c r="K38" s="129"/>
      <c r="L38" s="54">
        <f t="shared" si="4"/>
        <v>0</v>
      </c>
      <c r="M38" s="129"/>
      <c r="N38" s="54">
        <f t="shared" si="5"/>
        <v>0</v>
      </c>
      <c r="O38" s="54">
        <f t="shared" si="6"/>
        <v>0</v>
      </c>
      <c r="P38" s="1"/>
    </row>
    <row r="39" spans="2:16" ht="12.5">
      <c r="B39" s="7" t="str">
        <f t="shared" si="8"/>
        <v/>
      </c>
      <c r="C39" s="50">
        <f>IF(D11="","-",+C38+1)</f>
        <v>2031</v>
      </c>
      <c r="D39" s="55">
        <f>IF(F38+SUM(E$17:E38)=D$10,F38,D$10-SUM(E$17:E38))</f>
        <v>0</v>
      </c>
      <c r="E39" s="378">
        <f>IF(+I14&lt;F38,I14,D39)</f>
        <v>0</v>
      </c>
      <c r="F39" s="55">
        <f t="shared" si="0"/>
        <v>0</v>
      </c>
      <c r="G39" s="379">
        <f t="shared" si="1"/>
        <v>0</v>
      </c>
      <c r="H39" s="364">
        <f t="shared" si="2"/>
        <v>0</v>
      </c>
      <c r="I39" s="52">
        <f t="shared" si="3"/>
        <v>0</v>
      </c>
      <c r="J39" s="52"/>
      <c r="K39" s="129"/>
      <c r="L39" s="54">
        <f t="shared" si="4"/>
        <v>0</v>
      </c>
      <c r="M39" s="129"/>
      <c r="N39" s="54">
        <f t="shared" si="5"/>
        <v>0</v>
      </c>
      <c r="O39" s="54">
        <f t="shared" si="6"/>
        <v>0</v>
      </c>
      <c r="P39" s="1"/>
    </row>
    <row r="40" spans="2:16" ht="12.5">
      <c r="B40" s="7" t="str">
        <f t="shared" si="8"/>
        <v/>
      </c>
      <c r="C40" s="50">
        <f>IF(D11="","-",+C39+1)</f>
        <v>2032</v>
      </c>
      <c r="D40" s="55">
        <f>IF(F39+SUM(E$17:E39)=D$10,F39,D$10-SUM(E$17:E39))</f>
        <v>0</v>
      </c>
      <c r="E40" s="378">
        <f>IF(+I14&lt;F39,I14,D40)</f>
        <v>0</v>
      </c>
      <c r="F40" s="55">
        <f t="shared" si="0"/>
        <v>0</v>
      </c>
      <c r="G40" s="379">
        <f t="shared" si="1"/>
        <v>0</v>
      </c>
      <c r="H40" s="364">
        <f t="shared" si="2"/>
        <v>0</v>
      </c>
      <c r="I40" s="52">
        <f t="shared" si="3"/>
        <v>0</v>
      </c>
      <c r="J40" s="52"/>
      <c r="K40" s="129"/>
      <c r="L40" s="54">
        <f t="shared" si="4"/>
        <v>0</v>
      </c>
      <c r="M40" s="129"/>
      <c r="N40" s="54">
        <f t="shared" si="5"/>
        <v>0</v>
      </c>
      <c r="O40" s="54">
        <f t="shared" si="6"/>
        <v>0</v>
      </c>
      <c r="P40" s="1"/>
    </row>
    <row r="41" spans="2:16" ht="12.5">
      <c r="B41" s="7" t="str">
        <f t="shared" si="8"/>
        <v/>
      </c>
      <c r="C41" s="50">
        <f>IF(D11="","-",+C40+1)</f>
        <v>2033</v>
      </c>
      <c r="D41" s="55">
        <f>IF(F40+SUM(E$17:E40)=D$10,F40,D$10-SUM(E$17:E40))</f>
        <v>0</v>
      </c>
      <c r="E41" s="378">
        <f>IF(+I14&lt;F40,I14,D41)</f>
        <v>0</v>
      </c>
      <c r="F41" s="55">
        <f t="shared" si="0"/>
        <v>0</v>
      </c>
      <c r="G41" s="379">
        <f t="shared" si="1"/>
        <v>0</v>
      </c>
      <c r="H41" s="364">
        <f t="shared" si="2"/>
        <v>0</v>
      </c>
      <c r="I41" s="52">
        <f t="shared" si="3"/>
        <v>0</v>
      </c>
      <c r="J41" s="52"/>
      <c r="K41" s="129"/>
      <c r="L41" s="54">
        <f t="shared" si="4"/>
        <v>0</v>
      </c>
      <c r="M41" s="129"/>
      <c r="N41" s="54">
        <f t="shared" si="5"/>
        <v>0</v>
      </c>
      <c r="O41" s="54">
        <f t="shared" si="6"/>
        <v>0</v>
      </c>
      <c r="P41" s="1"/>
    </row>
    <row r="42" spans="2:16" ht="12.5">
      <c r="B42" s="7" t="str">
        <f t="shared" si="8"/>
        <v/>
      </c>
      <c r="C42" s="50">
        <f>IF(D11="","-",+C41+1)</f>
        <v>2034</v>
      </c>
      <c r="D42" s="55">
        <f>IF(F41+SUM(E$17:E41)=D$10,F41,D$10-SUM(E$17:E41))</f>
        <v>0</v>
      </c>
      <c r="E42" s="378">
        <f>IF(+I14&lt;F41,I14,D42)</f>
        <v>0</v>
      </c>
      <c r="F42" s="55">
        <f t="shared" si="0"/>
        <v>0</v>
      </c>
      <c r="G42" s="379">
        <f t="shared" si="1"/>
        <v>0</v>
      </c>
      <c r="H42" s="364">
        <f t="shared" si="2"/>
        <v>0</v>
      </c>
      <c r="I42" s="52">
        <f t="shared" si="3"/>
        <v>0</v>
      </c>
      <c r="J42" s="52"/>
      <c r="K42" s="129"/>
      <c r="L42" s="54">
        <f t="shared" si="4"/>
        <v>0</v>
      </c>
      <c r="M42" s="129"/>
      <c r="N42" s="54">
        <f t="shared" si="5"/>
        <v>0</v>
      </c>
      <c r="O42" s="54">
        <f t="shared" si="6"/>
        <v>0</v>
      </c>
      <c r="P42" s="1"/>
    </row>
    <row r="43" spans="2:16" ht="12.5">
      <c r="B43" s="7" t="str">
        <f t="shared" si="8"/>
        <v/>
      </c>
      <c r="C43" s="50">
        <f>IF(D11="","-",+C42+1)</f>
        <v>2035</v>
      </c>
      <c r="D43" s="55">
        <f>IF(F42+SUM(E$17:E42)=D$10,F42,D$10-SUM(E$17:E42))</f>
        <v>0</v>
      </c>
      <c r="E43" s="378">
        <f>IF(+I14&lt;F42,I14,D43)</f>
        <v>0</v>
      </c>
      <c r="F43" s="55">
        <f t="shared" si="0"/>
        <v>0</v>
      </c>
      <c r="G43" s="379">
        <f t="shared" si="1"/>
        <v>0</v>
      </c>
      <c r="H43" s="364">
        <f t="shared" si="2"/>
        <v>0</v>
      </c>
      <c r="I43" s="52">
        <f t="shared" si="3"/>
        <v>0</v>
      </c>
      <c r="J43" s="52"/>
      <c r="K43" s="129"/>
      <c r="L43" s="54">
        <f t="shared" si="4"/>
        <v>0</v>
      </c>
      <c r="M43" s="129"/>
      <c r="N43" s="54">
        <f t="shared" si="5"/>
        <v>0</v>
      </c>
      <c r="O43" s="54">
        <f t="shared" si="6"/>
        <v>0</v>
      </c>
      <c r="P43" s="1"/>
    </row>
    <row r="44" spans="2:16" ht="12.5">
      <c r="B44" s="7" t="str">
        <f t="shared" si="8"/>
        <v/>
      </c>
      <c r="C44" s="50">
        <f>IF(D11="","-",+C43+1)</f>
        <v>2036</v>
      </c>
      <c r="D44" s="55">
        <f>IF(F43+SUM(E$17:E43)=D$10,F43,D$10-SUM(E$17:E43))</f>
        <v>0</v>
      </c>
      <c r="E44" s="378">
        <f>IF(+I14&lt;F43,I14,D44)</f>
        <v>0</v>
      </c>
      <c r="F44" s="55">
        <f t="shared" si="0"/>
        <v>0</v>
      </c>
      <c r="G44" s="379">
        <f t="shared" si="1"/>
        <v>0</v>
      </c>
      <c r="H44" s="364">
        <f t="shared" si="2"/>
        <v>0</v>
      </c>
      <c r="I44" s="52">
        <f t="shared" si="3"/>
        <v>0</v>
      </c>
      <c r="J44" s="52"/>
      <c r="K44" s="129"/>
      <c r="L44" s="54">
        <f t="shared" si="4"/>
        <v>0</v>
      </c>
      <c r="M44" s="129"/>
      <c r="N44" s="54">
        <f t="shared" si="5"/>
        <v>0</v>
      </c>
      <c r="O44" s="54">
        <f t="shared" si="6"/>
        <v>0</v>
      </c>
      <c r="P44" s="1"/>
    </row>
    <row r="45" spans="2:16" ht="12.5">
      <c r="B45" s="7" t="str">
        <f t="shared" si="8"/>
        <v/>
      </c>
      <c r="C45" s="50">
        <f>IF(D11="","-",+C44+1)</f>
        <v>2037</v>
      </c>
      <c r="D45" s="55">
        <f>IF(F44+SUM(E$17:E44)=D$10,F44,D$10-SUM(E$17:E44))</f>
        <v>0</v>
      </c>
      <c r="E45" s="378">
        <f>IF(+I14&lt;F44,I14,D45)</f>
        <v>0</v>
      </c>
      <c r="F45" s="55">
        <f t="shared" si="0"/>
        <v>0</v>
      </c>
      <c r="G45" s="379">
        <f t="shared" si="1"/>
        <v>0</v>
      </c>
      <c r="H45" s="364">
        <f t="shared" si="2"/>
        <v>0</v>
      </c>
      <c r="I45" s="52">
        <f t="shared" si="3"/>
        <v>0</v>
      </c>
      <c r="J45" s="52"/>
      <c r="K45" s="129"/>
      <c r="L45" s="54">
        <f t="shared" si="4"/>
        <v>0</v>
      </c>
      <c r="M45" s="129"/>
      <c r="N45" s="54">
        <f t="shared" si="5"/>
        <v>0</v>
      </c>
      <c r="O45" s="54">
        <f t="shared" si="6"/>
        <v>0</v>
      </c>
      <c r="P45" s="1"/>
    </row>
    <row r="46" spans="2:16" ht="12.5">
      <c r="B46" s="7" t="str">
        <f t="shared" si="8"/>
        <v/>
      </c>
      <c r="C46" s="50">
        <f>IF(D11="","-",+C45+1)</f>
        <v>2038</v>
      </c>
      <c r="D46" s="55">
        <f>IF(F45+SUM(E$17:E45)=D$10,F45,D$10-SUM(E$17:E45))</f>
        <v>0</v>
      </c>
      <c r="E46" s="378">
        <f>IF(+I14&lt;F45,I14,D46)</f>
        <v>0</v>
      </c>
      <c r="F46" s="55">
        <f t="shared" si="0"/>
        <v>0</v>
      </c>
      <c r="G46" s="379">
        <f t="shared" si="1"/>
        <v>0</v>
      </c>
      <c r="H46" s="364">
        <f t="shared" si="2"/>
        <v>0</v>
      </c>
      <c r="I46" s="52">
        <f t="shared" si="3"/>
        <v>0</v>
      </c>
      <c r="J46" s="52"/>
      <c r="K46" s="129"/>
      <c r="L46" s="54">
        <f t="shared" si="4"/>
        <v>0</v>
      </c>
      <c r="M46" s="129"/>
      <c r="N46" s="54">
        <f t="shared" si="5"/>
        <v>0</v>
      </c>
      <c r="O46" s="54">
        <f t="shared" si="6"/>
        <v>0</v>
      </c>
      <c r="P46" s="1"/>
    </row>
    <row r="47" spans="2:16" ht="12.5">
      <c r="B47" s="7" t="str">
        <f t="shared" si="8"/>
        <v/>
      </c>
      <c r="C47" s="50">
        <f>IF(D11="","-",+C46+1)</f>
        <v>2039</v>
      </c>
      <c r="D47" s="55">
        <f>IF(F46+SUM(E$17:E46)=D$10,F46,D$10-SUM(E$17:E46))</f>
        <v>0</v>
      </c>
      <c r="E47" s="378">
        <f>IF(+I14&lt;F46,I14,D47)</f>
        <v>0</v>
      </c>
      <c r="F47" s="55">
        <f t="shared" si="0"/>
        <v>0</v>
      </c>
      <c r="G47" s="379">
        <f t="shared" si="1"/>
        <v>0</v>
      </c>
      <c r="H47" s="364">
        <f t="shared" si="2"/>
        <v>0</v>
      </c>
      <c r="I47" s="52">
        <f t="shared" si="3"/>
        <v>0</v>
      </c>
      <c r="J47" s="52"/>
      <c r="K47" s="129"/>
      <c r="L47" s="54">
        <f t="shared" si="4"/>
        <v>0</v>
      </c>
      <c r="M47" s="129"/>
      <c r="N47" s="54">
        <f t="shared" si="5"/>
        <v>0</v>
      </c>
      <c r="O47" s="54">
        <f t="shared" si="6"/>
        <v>0</v>
      </c>
      <c r="P47" s="1"/>
    </row>
    <row r="48" spans="2:16" ht="12.5">
      <c r="B48" s="7" t="str">
        <f t="shared" si="8"/>
        <v/>
      </c>
      <c r="C48" s="50">
        <f>IF(D11="","-",+C47+1)</f>
        <v>2040</v>
      </c>
      <c r="D48" s="55">
        <f>IF(F47+SUM(E$17:E47)=D$10,F47,D$10-SUM(E$17:E47))</f>
        <v>0</v>
      </c>
      <c r="E48" s="378">
        <f>IF(+I14&lt;F47,I14,D48)</f>
        <v>0</v>
      </c>
      <c r="F48" s="55">
        <f t="shared" si="0"/>
        <v>0</v>
      </c>
      <c r="G48" s="379">
        <f t="shared" si="1"/>
        <v>0</v>
      </c>
      <c r="H48" s="364">
        <f t="shared" si="2"/>
        <v>0</v>
      </c>
      <c r="I48" s="52">
        <f t="shared" si="3"/>
        <v>0</v>
      </c>
      <c r="J48" s="52"/>
      <c r="K48" s="129"/>
      <c r="L48" s="54">
        <f t="shared" si="4"/>
        <v>0</v>
      </c>
      <c r="M48" s="129"/>
      <c r="N48" s="54">
        <f t="shared" si="5"/>
        <v>0</v>
      </c>
      <c r="O48" s="54">
        <f t="shared" si="6"/>
        <v>0</v>
      </c>
      <c r="P48" s="1"/>
    </row>
    <row r="49" spans="2:17" ht="12.5">
      <c r="B49" s="7" t="str">
        <f t="shared" si="8"/>
        <v/>
      </c>
      <c r="C49" s="50">
        <f>IF(D11="","-",+C48+1)</f>
        <v>2041</v>
      </c>
      <c r="D49" s="55">
        <f>IF(F48+SUM(E$17:E48)=D$10,F48,D$10-SUM(E$17:E48))</f>
        <v>0</v>
      </c>
      <c r="E49" s="378">
        <f>IF(+I14&lt;F48,I14,D49)</f>
        <v>0</v>
      </c>
      <c r="F49" s="55">
        <f t="shared" ref="F49:F72" si="9">+D49-E49</f>
        <v>0</v>
      </c>
      <c r="G49" s="379">
        <f t="shared" ref="G49:G72" si="10">+I$12*((D49+F49)/2)+E49</f>
        <v>0</v>
      </c>
      <c r="H49" s="364">
        <f t="shared" ref="H49:H72" si="11">+I$13*((D49+F49)/2)+E49</f>
        <v>0</v>
      </c>
      <c r="I49" s="52">
        <f t="shared" ref="I49:I72" si="12">H49-G49</f>
        <v>0</v>
      </c>
      <c r="J49" s="52"/>
      <c r="K49" s="129"/>
      <c r="L49" s="54">
        <f t="shared" ref="L49:L72" si="13">IF(K49&lt;&gt;0,+G49-K49,0)</f>
        <v>0</v>
      </c>
      <c r="M49" s="129"/>
      <c r="N49" s="54">
        <f t="shared" ref="N49:N72" si="14">IF(M49&lt;&gt;0,+H49-M49,0)</f>
        <v>0</v>
      </c>
      <c r="O49" s="54">
        <f t="shared" ref="O49:O72" si="15">+N49-L49</f>
        <v>0</v>
      </c>
      <c r="P49" s="1"/>
    </row>
    <row r="50" spans="2:17" ht="12.5">
      <c r="B50" s="7" t="str">
        <f t="shared" si="8"/>
        <v/>
      </c>
      <c r="C50" s="50">
        <f>IF(D11="","-",+C49+1)</f>
        <v>2042</v>
      </c>
      <c r="D50" s="55">
        <f>IF(F49+SUM(E$17:E49)=D$10,F49,D$10-SUM(E$17:E49))</f>
        <v>0</v>
      </c>
      <c r="E50" s="378">
        <f>IF(+I14&lt;F49,I14,D50)</f>
        <v>0</v>
      </c>
      <c r="F50" s="55">
        <f t="shared" si="9"/>
        <v>0</v>
      </c>
      <c r="G50" s="379">
        <f t="shared" si="10"/>
        <v>0</v>
      </c>
      <c r="H50" s="364">
        <f t="shared" si="11"/>
        <v>0</v>
      </c>
      <c r="I50" s="52">
        <f t="shared" si="12"/>
        <v>0</v>
      </c>
      <c r="J50" s="52"/>
      <c r="K50" s="129"/>
      <c r="L50" s="54">
        <f t="shared" si="13"/>
        <v>0</v>
      </c>
      <c r="M50" s="129"/>
      <c r="N50" s="54">
        <f t="shared" si="14"/>
        <v>0</v>
      </c>
      <c r="O50" s="54">
        <f t="shared" si="15"/>
        <v>0</v>
      </c>
      <c r="P50" s="1"/>
    </row>
    <row r="51" spans="2:17" ht="12.5">
      <c r="B51" s="7" t="str">
        <f t="shared" si="8"/>
        <v/>
      </c>
      <c r="C51" s="50">
        <f>IF(D11="","-",+C50+1)</f>
        <v>2043</v>
      </c>
      <c r="D51" s="55">
        <f>IF(F50+SUM(E$17:E50)=D$10,F50,D$10-SUM(E$17:E50))</f>
        <v>0</v>
      </c>
      <c r="E51" s="378">
        <f>IF(+I14&lt;F50,I14,D51)</f>
        <v>0</v>
      </c>
      <c r="F51" s="55">
        <f t="shared" si="9"/>
        <v>0</v>
      </c>
      <c r="G51" s="379">
        <f t="shared" si="10"/>
        <v>0</v>
      </c>
      <c r="H51" s="364">
        <f t="shared" si="11"/>
        <v>0</v>
      </c>
      <c r="I51" s="52">
        <f t="shared" si="12"/>
        <v>0</v>
      </c>
      <c r="J51" s="52"/>
      <c r="K51" s="129"/>
      <c r="L51" s="54">
        <f t="shared" si="13"/>
        <v>0</v>
      </c>
      <c r="M51" s="129"/>
      <c r="N51" s="54">
        <f t="shared" si="14"/>
        <v>0</v>
      </c>
      <c r="O51" s="54">
        <f t="shared" si="15"/>
        <v>0</v>
      </c>
      <c r="P51" s="1"/>
    </row>
    <row r="52" spans="2:17" ht="12.5">
      <c r="B52" s="7" t="str">
        <f t="shared" si="8"/>
        <v/>
      </c>
      <c r="C52" s="50">
        <f>IF(D11="","-",+C51+1)</f>
        <v>2044</v>
      </c>
      <c r="D52" s="55">
        <f>IF(F51+SUM(E$17:E51)=D$10,F51,D$10-SUM(E$17:E51))</f>
        <v>0</v>
      </c>
      <c r="E52" s="378">
        <f>IF(+I14&lt;F51,I14,D52)</f>
        <v>0</v>
      </c>
      <c r="F52" s="55">
        <f t="shared" si="9"/>
        <v>0</v>
      </c>
      <c r="G52" s="379">
        <f t="shared" si="10"/>
        <v>0</v>
      </c>
      <c r="H52" s="364">
        <f t="shared" si="11"/>
        <v>0</v>
      </c>
      <c r="I52" s="52">
        <f t="shared" si="12"/>
        <v>0</v>
      </c>
      <c r="J52" s="52"/>
      <c r="K52" s="129"/>
      <c r="L52" s="54">
        <f t="shared" si="13"/>
        <v>0</v>
      </c>
      <c r="M52" s="129"/>
      <c r="N52" s="54">
        <f t="shared" si="14"/>
        <v>0</v>
      </c>
      <c r="O52" s="54">
        <f t="shared" si="15"/>
        <v>0</v>
      </c>
      <c r="P52" s="1"/>
    </row>
    <row r="53" spans="2:17" ht="12.5">
      <c r="B53" s="7" t="str">
        <f t="shared" si="8"/>
        <v/>
      </c>
      <c r="C53" s="50">
        <f>IF(D11="","-",+C52+1)</f>
        <v>2045</v>
      </c>
      <c r="D53" s="55">
        <f>IF(F52+SUM(E$17:E52)=D$10,F52,D$10-SUM(E$17:E52))</f>
        <v>0</v>
      </c>
      <c r="E53" s="378">
        <f>IF(+I14&lt;F52,I14,D53)</f>
        <v>0</v>
      </c>
      <c r="F53" s="55">
        <f t="shared" si="9"/>
        <v>0</v>
      </c>
      <c r="G53" s="379">
        <f t="shared" si="10"/>
        <v>0</v>
      </c>
      <c r="H53" s="364">
        <f t="shared" si="11"/>
        <v>0</v>
      </c>
      <c r="I53" s="52">
        <f t="shared" si="12"/>
        <v>0</v>
      </c>
      <c r="J53" s="52"/>
      <c r="K53" s="129"/>
      <c r="L53" s="54">
        <f t="shared" si="13"/>
        <v>0</v>
      </c>
      <c r="M53" s="129"/>
      <c r="N53" s="54">
        <f t="shared" si="14"/>
        <v>0</v>
      </c>
      <c r="O53" s="54">
        <f t="shared" si="15"/>
        <v>0</v>
      </c>
      <c r="P53" s="1"/>
    </row>
    <row r="54" spans="2:17" ht="12.5">
      <c r="B54" s="7" t="str">
        <f t="shared" si="8"/>
        <v/>
      </c>
      <c r="C54" s="50">
        <f>IF(D11="","-",+C53+1)</f>
        <v>2046</v>
      </c>
      <c r="D54" s="55">
        <f>IF(F53+SUM(E$17:E53)=D$10,F53,D$10-SUM(E$17:E53))</f>
        <v>0</v>
      </c>
      <c r="E54" s="378">
        <f>IF(+I14&lt;F53,I14,D54)</f>
        <v>0</v>
      </c>
      <c r="F54" s="55">
        <f t="shared" si="9"/>
        <v>0</v>
      </c>
      <c r="G54" s="379">
        <f t="shared" si="10"/>
        <v>0</v>
      </c>
      <c r="H54" s="364">
        <f t="shared" si="11"/>
        <v>0</v>
      </c>
      <c r="I54" s="52">
        <f t="shared" si="12"/>
        <v>0</v>
      </c>
      <c r="J54" s="52"/>
      <c r="K54" s="129"/>
      <c r="L54" s="54">
        <f t="shared" si="13"/>
        <v>0</v>
      </c>
      <c r="M54" s="129"/>
      <c r="N54" s="54">
        <f t="shared" si="14"/>
        <v>0</v>
      </c>
      <c r="O54" s="54">
        <f t="shared" si="15"/>
        <v>0</v>
      </c>
      <c r="P54" s="1"/>
    </row>
    <row r="55" spans="2:17" ht="12.5">
      <c r="B55" s="7" t="str">
        <f t="shared" si="8"/>
        <v/>
      </c>
      <c r="C55" s="50">
        <f>IF(D11="","-",+C54+1)</f>
        <v>2047</v>
      </c>
      <c r="D55" s="55">
        <f>IF(F54+SUM(E$17:E54)=D$10,F54,D$10-SUM(E$17:E54))</f>
        <v>0</v>
      </c>
      <c r="E55" s="378">
        <f>IF(+I14&lt;F54,I14,D55)</f>
        <v>0</v>
      </c>
      <c r="F55" s="55">
        <f t="shared" si="9"/>
        <v>0</v>
      </c>
      <c r="G55" s="379">
        <f t="shared" si="10"/>
        <v>0</v>
      </c>
      <c r="H55" s="364">
        <f t="shared" si="11"/>
        <v>0</v>
      </c>
      <c r="I55" s="52">
        <f t="shared" si="12"/>
        <v>0</v>
      </c>
      <c r="J55" s="52"/>
      <c r="K55" s="129"/>
      <c r="L55" s="54">
        <f t="shared" si="13"/>
        <v>0</v>
      </c>
      <c r="M55" s="129"/>
      <c r="N55" s="54">
        <f t="shared" si="14"/>
        <v>0</v>
      </c>
      <c r="O55" s="54">
        <f t="shared" si="15"/>
        <v>0</v>
      </c>
      <c r="P55" s="1"/>
    </row>
    <row r="56" spans="2:17" ht="12.5">
      <c r="B56" s="7" t="str">
        <f t="shared" si="8"/>
        <v/>
      </c>
      <c r="C56" s="50">
        <f>IF(D11="","-",+C55+1)</f>
        <v>2048</v>
      </c>
      <c r="D56" s="55">
        <f>IF(F55+SUM(E$17:E55)=D$10,F55,D$10-SUM(E$17:E55))</f>
        <v>0</v>
      </c>
      <c r="E56" s="378">
        <f>IF(+I14&lt;F55,I14,D56)</f>
        <v>0</v>
      </c>
      <c r="F56" s="55">
        <f t="shared" si="9"/>
        <v>0</v>
      </c>
      <c r="G56" s="379">
        <f t="shared" si="10"/>
        <v>0</v>
      </c>
      <c r="H56" s="364">
        <f t="shared" si="11"/>
        <v>0</v>
      </c>
      <c r="I56" s="52">
        <f t="shared" si="12"/>
        <v>0</v>
      </c>
      <c r="J56" s="52"/>
      <c r="K56" s="129"/>
      <c r="L56" s="54">
        <f t="shared" si="13"/>
        <v>0</v>
      </c>
      <c r="M56" s="129"/>
      <c r="N56" s="54">
        <f t="shared" si="14"/>
        <v>0</v>
      </c>
      <c r="O56" s="54">
        <f t="shared" si="15"/>
        <v>0</v>
      </c>
      <c r="P56" s="1"/>
    </row>
    <row r="57" spans="2:17" ht="12.5">
      <c r="B57" s="7" t="str">
        <f t="shared" si="8"/>
        <v/>
      </c>
      <c r="C57" s="50">
        <f>IF(D11="","-",+C56+1)</f>
        <v>2049</v>
      </c>
      <c r="D57" s="55">
        <f>IF(F56+SUM(E$17:E56)=D$10,F56,D$10-SUM(E$17:E56))</f>
        <v>0</v>
      </c>
      <c r="E57" s="378">
        <f>IF(+I14&lt;F56,I14,D57)</f>
        <v>0</v>
      </c>
      <c r="F57" s="55">
        <f t="shared" si="9"/>
        <v>0</v>
      </c>
      <c r="G57" s="379">
        <f t="shared" si="10"/>
        <v>0</v>
      </c>
      <c r="H57" s="364">
        <f t="shared" si="11"/>
        <v>0</v>
      </c>
      <c r="I57" s="52">
        <f t="shared" si="12"/>
        <v>0</v>
      </c>
      <c r="J57" s="52"/>
      <c r="K57" s="129"/>
      <c r="L57" s="54">
        <f t="shared" si="13"/>
        <v>0</v>
      </c>
      <c r="M57" s="129"/>
      <c r="N57" s="54">
        <f t="shared" si="14"/>
        <v>0</v>
      </c>
      <c r="O57" s="54">
        <f t="shared" si="15"/>
        <v>0</v>
      </c>
      <c r="P57" s="1"/>
    </row>
    <row r="58" spans="2:17" ht="12.5">
      <c r="B58" s="7" t="str">
        <f t="shared" si="8"/>
        <v/>
      </c>
      <c r="C58" s="50">
        <f>IF(D11="","-",+C57+1)</f>
        <v>2050</v>
      </c>
      <c r="D58" s="55">
        <f>IF(F57+SUM(E$17:E57)=D$10,F57,D$10-SUM(E$17:E57))</f>
        <v>0</v>
      </c>
      <c r="E58" s="378">
        <f>IF(+I14&lt;F57,I14,D58)</f>
        <v>0</v>
      </c>
      <c r="F58" s="55">
        <f t="shared" si="9"/>
        <v>0</v>
      </c>
      <c r="G58" s="379">
        <f t="shared" si="10"/>
        <v>0</v>
      </c>
      <c r="H58" s="364">
        <f t="shared" si="11"/>
        <v>0</v>
      </c>
      <c r="I58" s="52">
        <f t="shared" si="12"/>
        <v>0</v>
      </c>
      <c r="J58" s="52"/>
      <c r="K58" s="129"/>
      <c r="L58" s="54">
        <f t="shared" si="13"/>
        <v>0</v>
      </c>
      <c r="M58" s="129"/>
      <c r="N58" s="54">
        <f t="shared" si="14"/>
        <v>0</v>
      </c>
      <c r="O58" s="54">
        <f t="shared" si="15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8"/>
        <v/>
      </c>
      <c r="C59" s="50">
        <f>IF(D11="","-",+C58+1)</f>
        <v>2051</v>
      </c>
      <c r="D59" s="55">
        <f>IF(F58+SUM(E$17:E58)=D$10,F58,D$10-SUM(E$17:E58))</f>
        <v>0</v>
      </c>
      <c r="E59" s="378">
        <f>IF(+I14&lt;F58,I14,D59)</f>
        <v>0</v>
      </c>
      <c r="F59" s="55">
        <f t="shared" si="9"/>
        <v>0</v>
      </c>
      <c r="G59" s="379">
        <f t="shared" si="10"/>
        <v>0</v>
      </c>
      <c r="H59" s="364">
        <f t="shared" si="11"/>
        <v>0</v>
      </c>
      <c r="I59" s="52">
        <f t="shared" si="12"/>
        <v>0</v>
      </c>
      <c r="J59" s="52"/>
      <c r="K59" s="129"/>
      <c r="L59" s="54">
        <f t="shared" si="13"/>
        <v>0</v>
      </c>
      <c r="M59" s="129"/>
      <c r="N59" s="54">
        <f t="shared" si="14"/>
        <v>0</v>
      </c>
      <c r="O59" s="54">
        <f t="shared" si="15"/>
        <v>0</v>
      </c>
      <c r="P59" s="1"/>
    </row>
    <row r="60" spans="2:17" ht="12.5">
      <c r="B60" s="7" t="str">
        <f t="shared" si="8"/>
        <v/>
      </c>
      <c r="C60" s="50">
        <f>IF(D11="","-",+C59+1)</f>
        <v>2052</v>
      </c>
      <c r="D60" s="55">
        <f>IF(F59+SUM(E$17:E59)=D$10,F59,D$10-SUM(E$17:E59))</f>
        <v>0</v>
      </c>
      <c r="E60" s="378">
        <f>IF(+I14&lt;F59,I14,D60)</f>
        <v>0</v>
      </c>
      <c r="F60" s="55">
        <f t="shared" si="9"/>
        <v>0</v>
      </c>
      <c r="G60" s="379">
        <f t="shared" si="10"/>
        <v>0</v>
      </c>
      <c r="H60" s="364">
        <f t="shared" si="11"/>
        <v>0</v>
      </c>
      <c r="I60" s="52">
        <f t="shared" si="12"/>
        <v>0</v>
      </c>
      <c r="J60" s="52"/>
      <c r="K60" s="129"/>
      <c r="L60" s="54">
        <f t="shared" si="13"/>
        <v>0</v>
      </c>
      <c r="M60" s="129"/>
      <c r="N60" s="54">
        <f t="shared" si="14"/>
        <v>0</v>
      </c>
      <c r="O60" s="54">
        <f t="shared" si="15"/>
        <v>0</v>
      </c>
      <c r="P60" s="1"/>
    </row>
    <row r="61" spans="2:17" ht="12.5">
      <c r="B61" s="7" t="str">
        <f t="shared" si="8"/>
        <v/>
      </c>
      <c r="C61" s="50">
        <f>IF(D11="","-",+C60+1)</f>
        <v>2053</v>
      </c>
      <c r="D61" s="55">
        <f>IF(F60+SUM(E$17:E60)=D$10,F60,D$10-SUM(E$17:E60))</f>
        <v>0</v>
      </c>
      <c r="E61" s="378">
        <f>IF(+I14&lt;F60,I14,D61)</f>
        <v>0</v>
      </c>
      <c r="F61" s="55">
        <f t="shared" si="9"/>
        <v>0</v>
      </c>
      <c r="G61" s="380">
        <f t="shared" si="10"/>
        <v>0</v>
      </c>
      <c r="H61" s="364">
        <f t="shared" si="11"/>
        <v>0</v>
      </c>
      <c r="I61" s="52">
        <f t="shared" si="12"/>
        <v>0</v>
      </c>
      <c r="J61" s="52"/>
      <c r="K61" s="129"/>
      <c r="L61" s="54">
        <f t="shared" si="13"/>
        <v>0</v>
      </c>
      <c r="M61" s="129"/>
      <c r="N61" s="54">
        <f t="shared" si="14"/>
        <v>0</v>
      </c>
      <c r="O61" s="54">
        <f t="shared" si="15"/>
        <v>0</v>
      </c>
      <c r="P61" s="1"/>
    </row>
    <row r="62" spans="2:17" ht="12.5">
      <c r="B62" s="7" t="str">
        <f t="shared" si="8"/>
        <v/>
      </c>
      <c r="C62" s="50">
        <f>IF(D11="","-",+C61+1)</f>
        <v>2054</v>
      </c>
      <c r="D62" s="55">
        <f>IF(F61+SUM(E$17:E61)=D$10,F61,D$10-SUM(E$17:E61))</f>
        <v>0</v>
      </c>
      <c r="E62" s="378">
        <f>IF(+I14&lt;F61,I14,D62)</f>
        <v>0</v>
      </c>
      <c r="F62" s="55">
        <f t="shared" si="9"/>
        <v>0</v>
      </c>
      <c r="G62" s="380">
        <f t="shared" si="10"/>
        <v>0</v>
      </c>
      <c r="H62" s="364">
        <f t="shared" si="11"/>
        <v>0</v>
      </c>
      <c r="I62" s="52">
        <f t="shared" si="12"/>
        <v>0</v>
      </c>
      <c r="J62" s="52"/>
      <c r="K62" s="129"/>
      <c r="L62" s="54">
        <f t="shared" si="13"/>
        <v>0</v>
      </c>
      <c r="M62" s="129"/>
      <c r="N62" s="54">
        <f t="shared" si="14"/>
        <v>0</v>
      </c>
      <c r="O62" s="54">
        <f t="shared" si="15"/>
        <v>0</v>
      </c>
      <c r="P62" s="1"/>
    </row>
    <row r="63" spans="2:17" ht="12.5">
      <c r="B63" s="7" t="str">
        <f t="shared" si="8"/>
        <v/>
      </c>
      <c r="C63" s="50">
        <f>IF(D11="","-",+C62+1)</f>
        <v>2055</v>
      </c>
      <c r="D63" s="55">
        <f>IF(F62+SUM(E$17:E62)=D$10,F62,D$10-SUM(E$17:E62))</f>
        <v>0</v>
      </c>
      <c r="E63" s="378">
        <f>IF(+I14&lt;F62,I14,D63)</f>
        <v>0</v>
      </c>
      <c r="F63" s="55">
        <f t="shared" si="9"/>
        <v>0</v>
      </c>
      <c r="G63" s="380">
        <f t="shared" si="10"/>
        <v>0</v>
      </c>
      <c r="H63" s="364">
        <f t="shared" si="11"/>
        <v>0</v>
      </c>
      <c r="I63" s="52">
        <f t="shared" si="12"/>
        <v>0</v>
      </c>
      <c r="J63" s="52"/>
      <c r="K63" s="129"/>
      <c r="L63" s="54">
        <f t="shared" si="13"/>
        <v>0</v>
      </c>
      <c r="M63" s="129"/>
      <c r="N63" s="54">
        <f t="shared" si="14"/>
        <v>0</v>
      </c>
      <c r="O63" s="54">
        <f t="shared" si="15"/>
        <v>0</v>
      </c>
      <c r="P63" s="1"/>
    </row>
    <row r="64" spans="2:17" ht="12.5">
      <c r="B64" s="7" t="str">
        <f t="shared" si="8"/>
        <v/>
      </c>
      <c r="C64" s="50">
        <f>IF(D11="","-",+C63+1)</f>
        <v>2056</v>
      </c>
      <c r="D64" s="55">
        <f>IF(F63+SUM(E$17:E63)=D$10,F63,D$10-SUM(E$17:E63))</f>
        <v>0</v>
      </c>
      <c r="E64" s="378">
        <f>IF(+I14&lt;F63,I14,D64)</f>
        <v>0</v>
      </c>
      <c r="F64" s="55">
        <f t="shared" si="9"/>
        <v>0</v>
      </c>
      <c r="G64" s="380">
        <f t="shared" si="10"/>
        <v>0</v>
      </c>
      <c r="H64" s="364">
        <f t="shared" si="11"/>
        <v>0</v>
      </c>
      <c r="I64" s="52">
        <f t="shared" si="12"/>
        <v>0</v>
      </c>
      <c r="J64" s="52"/>
      <c r="K64" s="129"/>
      <c r="L64" s="54">
        <f t="shared" si="13"/>
        <v>0</v>
      </c>
      <c r="M64" s="129"/>
      <c r="N64" s="54">
        <f t="shared" si="14"/>
        <v>0</v>
      </c>
      <c r="O64" s="54">
        <f t="shared" si="15"/>
        <v>0</v>
      </c>
      <c r="P64" s="1"/>
    </row>
    <row r="65" spans="1:16" ht="12.5">
      <c r="B65" s="7" t="str">
        <f t="shared" si="8"/>
        <v/>
      </c>
      <c r="C65" s="50">
        <f>IF(D11="","-",+C64+1)</f>
        <v>2057</v>
      </c>
      <c r="D65" s="55">
        <f>IF(F64+SUM(E$17:E64)=D$10,F64,D$10-SUM(E$17:E64))</f>
        <v>0</v>
      </c>
      <c r="E65" s="378">
        <f>IF(+I14&lt;F64,I14,D65)</f>
        <v>0</v>
      </c>
      <c r="F65" s="55">
        <f t="shared" si="9"/>
        <v>0</v>
      </c>
      <c r="G65" s="380">
        <f t="shared" si="10"/>
        <v>0</v>
      </c>
      <c r="H65" s="364">
        <f t="shared" si="11"/>
        <v>0</v>
      </c>
      <c r="I65" s="52">
        <f t="shared" si="12"/>
        <v>0</v>
      </c>
      <c r="J65" s="52"/>
      <c r="K65" s="129"/>
      <c r="L65" s="54">
        <f t="shared" si="13"/>
        <v>0</v>
      </c>
      <c r="M65" s="129"/>
      <c r="N65" s="54">
        <f t="shared" si="14"/>
        <v>0</v>
      </c>
      <c r="O65" s="54">
        <f t="shared" si="15"/>
        <v>0</v>
      </c>
      <c r="P65" s="1"/>
    </row>
    <row r="66" spans="1:16" ht="12.5">
      <c r="B66" s="7" t="str">
        <f t="shared" si="8"/>
        <v/>
      </c>
      <c r="C66" s="50">
        <f>IF(D11="","-",+C65+1)</f>
        <v>2058</v>
      </c>
      <c r="D66" s="55">
        <f>IF(F65+SUM(E$17:E65)=D$10,F65,D$10-SUM(E$17:E65))</f>
        <v>0</v>
      </c>
      <c r="E66" s="378">
        <f>IF(+I14&lt;F65,I14,D66)</f>
        <v>0</v>
      </c>
      <c r="F66" s="55">
        <f t="shared" si="9"/>
        <v>0</v>
      </c>
      <c r="G66" s="380">
        <f t="shared" si="10"/>
        <v>0</v>
      </c>
      <c r="H66" s="364">
        <f t="shared" si="11"/>
        <v>0</v>
      </c>
      <c r="I66" s="52">
        <f t="shared" si="12"/>
        <v>0</v>
      </c>
      <c r="J66" s="52"/>
      <c r="K66" s="129"/>
      <c r="L66" s="54">
        <f t="shared" si="13"/>
        <v>0</v>
      </c>
      <c r="M66" s="129"/>
      <c r="N66" s="54">
        <f t="shared" si="14"/>
        <v>0</v>
      </c>
      <c r="O66" s="54">
        <f t="shared" si="15"/>
        <v>0</v>
      </c>
      <c r="P66" s="1"/>
    </row>
    <row r="67" spans="1:16" ht="12.5">
      <c r="B67" s="7" t="str">
        <f t="shared" si="8"/>
        <v/>
      </c>
      <c r="C67" s="50">
        <f>IF(D11="","-",+C66+1)</f>
        <v>2059</v>
      </c>
      <c r="D67" s="55">
        <f>IF(F66+SUM(E$17:E66)=D$10,F66,D$10-SUM(E$17:E66))</f>
        <v>0</v>
      </c>
      <c r="E67" s="378">
        <f>IF(+I14&lt;F66,I14,D67)</f>
        <v>0</v>
      </c>
      <c r="F67" s="55">
        <f t="shared" si="9"/>
        <v>0</v>
      </c>
      <c r="G67" s="380">
        <f t="shared" si="10"/>
        <v>0</v>
      </c>
      <c r="H67" s="364">
        <f t="shared" si="11"/>
        <v>0</v>
      </c>
      <c r="I67" s="52">
        <f t="shared" si="12"/>
        <v>0</v>
      </c>
      <c r="J67" s="52"/>
      <c r="K67" s="129"/>
      <c r="L67" s="54">
        <f t="shared" si="13"/>
        <v>0</v>
      </c>
      <c r="M67" s="129"/>
      <c r="N67" s="54">
        <f t="shared" si="14"/>
        <v>0</v>
      </c>
      <c r="O67" s="54">
        <f t="shared" si="15"/>
        <v>0</v>
      </c>
      <c r="P67" s="1"/>
    </row>
    <row r="68" spans="1:16" ht="12.5">
      <c r="B68" s="7" t="str">
        <f t="shared" si="8"/>
        <v/>
      </c>
      <c r="C68" s="50">
        <f>IF(D11="","-",+C67+1)</f>
        <v>2060</v>
      </c>
      <c r="D68" s="55">
        <f>IF(F67+SUM(E$17:E67)=D$10,F67,D$10-SUM(E$17:E67))</f>
        <v>0</v>
      </c>
      <c r="E68" s="378">
        <f>IF(+I14&lt;F67,I14,D68)</f>
        <v>0</v>
      </c>
      <c r="F68" s="55">
        <f t="shared" si="9"/>
        <v>0</v>
      </c>
      <c r="G68" s="380">
        <f t="shared" si="10"/>
        <v>0</v>
      </c>
      <c r="H68" s="364">
        <f t="shared" si="11"/>
        <v>0</v>
      </c>
      <c r="I68" s="52">
        <f t="shared" si="12"/>
        <v>0</v>
      </c>
      <c r="J68" s="52"/>
      <c r="K68" s="129"/>
      <c r="L68" s="54">
        <f t="shared" si="13"/>
        <v>0</v>
      </c>
      <c r="M68" s="129"/>
      <c r="N68" s="54">
        <f t="shared" si="14"/>
        <v>0</v>
      </c>
      <c r="O68" s="54">
        <f t="shared" si="15"/>
        <v>0</v>
      </c>
      <c r="P68" s="1"/>
    </row>
    <row r="69" spans="1:16" ht="12.5">
      <c r="B69" s="7" t="str">
        <f t="shared" si="8"/>
        <v/>
      </c>
      <c r="C69" s="50">
        <f>IF(D11="","-",+C68+1)</f>
        <v>2061</v>
      </c>
      <c r="D69" s="55">
        <f>IF(F68+SUM(E$17:E68)=D$10,F68,D$10-SUM(E$17:E68))</f>
        <v>0</v>
      </c>
      <c r="E69" s="378">
        <f>IF(+I14&lt;F68,I14,D69)</f>
        <v>0</v>
      </c>
      <c r="F69" s="55">
        <f t="shared" si="9"/>
        <v>0</v>
      </c>
      <c r="G69" s="380">
        <f t="shared" si="10"/>
        <v>0</v>
      </c>
      <c r="H69" s="364">
        <f t="shared" si="11"/>
        <v>0</v>
      </c>
      <c r="I69" s="52">
        <f t="shared" si="12"/>
        <v>0</v>
      </c>
      <c r="J69" s="52"/>
      <c r="K69" s="129"/>
      <c r="L69" s="54">
        <f t="shared" si="13"/>
        <v>0</v>
      </c>
      <c r="M69" s="129"/>
      <c r="N69" s="54">
        <f t="shared" si="14"/>
        <v>0</v>
      </c>
      <c r="O69" s="54">
        <f t="shared" si="15"/>
        <v>0</v>
      </c>
      <c r="P69" s="1"/>
    </row>
    <row r="70" spans="1:16" ht="12.5">
      <c r="B70" s="7" t="str">
        <f t="shared" si="8"/>
        <v/>
      </c>
      <c r="C70" s="50">
        <f>IF(D11="","-",+C69+1)</f>
        <v>2062</v>
      </c>
      <c r="D70" s="55">
        <f>IF(F69+SUM(E$17:E69)=D$10,F69,D$10-SUM(E$17:E69))</f>
        <v>0</v>
      </c>
      <c r="E70" s="378">
        <f>IF(+I14&lt;F69,I14,D70)</f>
        <v>0</v>
      </c>
      <c r="F70" s="55">
        <f t="shared" si="9"/>
        <v>0</v>
      </c>
      <c r="G70" s="380">
        <f t="shared" si="10"/>
        <v>0</v>
      </c>
      <c r="H70" s="364">
        <f t="shared" si="11"/>
        <v>0</v>
      </c>
      <c r="I70" s="52">
        <f t="shared" si="12"/>
        <v>0</v>
      </c>
      <c r="J70" s="52"/>
      <c r="K70" s="129"/>
      <c r="L70" s="54">
        <f t="shared" si="13"/>
        <v>0</v>
      </c>
      <c r="M70" s="129"/>
      <c r="N70" s="54">
        <f t="shared" si="14"/>
        <v>0</v>
      </c>
      <c r="O70" s="54">
        <f t="shared" si="15"/>
        <v>0</v>
      </c>
      <c r="P70" s="1"/>
    </row>
    <row r="71" spans="1:16" ht="12.5">
      <c r="B71" s="7" t="str">
        <f t="shared" si="8"/>
        <v/>
      </c>
      <c r="C71" s="50">
        <f>IF(D11="","-",+C70+1)</f>
        <v>2063</v>
      </c>
      <c r="D71" s="55">
        <f>IF(F70+SUM(E$17:E70)=D$10,F70,D$10-SUM(E$17:E70))</f>
        <v>0</v>
      </c>
      <c r="E71" s="378">
        <f>IF(+I14&lt;F70,I14,D71)</f>
        <v>0</v>
      </c>
      <c r="F71" s="55">
        <f t="shared" si="9"/>
        <v>0</v>
      </c>
      <c r="G71" s="380">
        <f t="shared" si="10"/>
        <v>0</v>
      </c>
      <c r="H71" s="364">
        <f t="shared" si="11"/>
        <v>0</v>
      </c>
      <c r="I71" s="52">
        <f t="shared" si="12"/>
        <v>0</v>
      </c>
      <c r="J71" s="52"/>
      <c r="K71" s="129"/>
      <c r="L71" s="54">
        <f t="shared" si="13"/>
        <v>0</v>
      </c>
      <c r="M71" s="129"/>
      <c r="N71" s="54">
        <f t="shared" si="14"/>
        <v>0</v>
      </c>
      <c r="O71" s="54">
        <f t="shared" si="15"/>
        <v>0</v>
      </c>
      <c r="P71" s="1"/>
    </row>
    <row r="72" spans="1:16" ht="13" thickBot="1">
      <c r="B72" s="7" t="str">
        <f t="shared" si="8"/>
        <v/>
      </c>
      <c r="C72" s="59">
        <f>IF(D11="","-",+C71+1)</f>
        <v>2064</v>
      </c>
      <c r="D72" s="60">
        <f>IF(F71+SUM(E$17:E71)=D$10,F71,D$10-SUM(E$17:E71))</f>
        <v>0</v>
      </c>
      <c r="E72" s="381">
        <f>IF(+I14&lt;F71,I14,D72)</f>
        <v>0</v>
      </c>
      <c r="F72" s="60">
        <f t="shared" si="9"/>
        <v>0</v>
      </c>
      <c r="G72" s="382">
        <f t="shared" si="10"/>
        <v>0</v>
      </c>
      <c r="H72" s="362">
        <f t="shared" si="11"/>
        <v>0</v>
      </c>
      <c r="I72" s="63">
        <f t="shared" si="12"/>
        <v>0</v>
      </c>
      <c r="J72" s="52"/>
      <c r="K72" s="130"/>
      <c r="L72" s="64">
        <f t="shared" si="13"/>
        <v>0</v>
      </c>
      <c r="M72" s="130"/>
      <c r="N72" s="64">
        <f t="shared" si="14"/>
        <v>0</v>
      </c>
      <c r="O72" s="64">
        <f t="shared" si="15"/>
        <v>0</v>
      </c>
      <c r="P72" s="1"/>
    </row>
    <row r="73" spans="1:16" ht="12.5">
      <c r="C73" s="12" t="s">
        <v>78</v>
      </c>
      <c r="D73" s="293"/>
      <c r="E73" s="293">
        <f>SUM(E17:E72)</f>
        <v>0</v>
      </c>
      <c r="F73" s="293"/>
      <c r="G73" s="293">
        <f>SUM(G17:G72)</f>
        <v>0</v>
      </c>
      <c r="H73" s="293">
        <f>SUM(H17:H72)</f>
        <v>0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7.5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18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0</v>
      </c>
      <c r="N87" s="387">
        <f>IF(J92&lt;D11,0,VLOOKUP(J92,C17:O72,11))</f>
        <v>0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0</v>
      </c>
      <c r="N88" s="390">
        <f>IF(J92&lt;D11,0,VLOOKUP(J92,C99:P154,7))</f>
        <v>0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Port Robson (SW 138 kV Loop -- 2008)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0</v>
      </c>
      <c r="N89" s="392">
        <f>+N88-N87</f>
        <v>0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>DOES NOT MEET SPP $100,000 MINIMUM INVESTMENT FOR REGIONAL BPU SHARING.</v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TP2007165</v>
      </c>
      <c r="E91" s="76"/>
      <c r="F91" s="76"/>
      <c r="G91" s="76"/>
      <c r="H91" s="76"/>
      <c r="I91" s="76"/>
      <c r="J91" s="95"/>
      <c r="Q91" s="1"/>
    </row>
    <row r="92" spans="1:17" ht="13">
      <c r="C92" s="34" t="s">
        <v>51</v>
      </c>
      <c r="D92" s="394">
        <f>IF(D11=I10,0,D10)</f>
        <v>0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  <c r="Q92" s="1"/>
    </row>
    <row r="93" spans="1:17" ht="12.5">
      <c r="C93" s="34" t="s">
        <v>54</v>
      </c>
      <c r="D93" s="88">
        <f>IF(D11=I10,"",D11)</f>
        <v>2009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4">
        <f>IF(D11=I10,"",D12)</f>
        <v>6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0</v>
      </c>
      <c r="K96" s="293"/>
      <c r="L96" s="293"/>
      <c r="M96" s="293"/>
      <c r="N96" s="293"/>
      <c r="O96" s="293"/>
      <c r="P96" s="1"/>
      <c r="Q96" s="1"/>
    </row>
    <row r="97" spans="1:17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5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 ht="12.5">
      <c r="C99" s="50">
        <f>IF(D93= "","-",D93)</f>
        <v>2009</v>
      </c>
      <c r="D99" s="12">
        <f>IF(D93=C99,0,D92)</f>
        <v>0</v>
      </c>
      <c r="E99" s="379">
        <f>IF(D11=I10,0,J96/12*(12-D94))</f>
        <v>0</v>
      </c>
      <c r="F99" s="55">
        <f>IF(D93=C99,+D92-E99,+D99-E99)</f>
        <v>0</v>
      </c>
      <c r="G99" s="83">
        <f t="shared" ref="G99:G130" si="16">+(F99+D99)/2</f>
        <v>0</v>
      </c>
      <c r="H99" s="416">
        <f t="shared" ref="H99:H112" si="17">+J$94*G99+E99</f>
        <v>0</v>
      </c>
      <c r="I99" s="417">
        <f t="shared" ref="I99:I112" si="18">+J$95*G99+E99</f>
        <v>0</v>
      </c>
      <c r="J99" s="54">
        <f t="shared" ref="J99:J130" si="19">+I99-H99</f>
        <v>0</v>
      </c>
      <c r="K99" s="54"/>
      <c r="L99" s="128"/>
      <c r="M99" s="53">
        <f t="shared" ref="M99:M130" si="20">IF(L99&lt;&gt;0,+H99-L99,0)</f>
        <v>0</v>
      </c>
      <c r="N99" s="128"/>
      <c r="O99" s="53">
        <f t="shared" ref="O99:O130" si="21">IF(N99&lt;&gt;0,+I99-N99,0)</f>
        <v>0</v>
      </c>
      <c r="P99" s="53">
        <f t="shared" ref="P99:P130" si="22">+O99-M99</f>
        <v>0</v>
      </c>
      <c r="Q99" s="1"/>
    </row>
    <row r="100" spans="1:17" ht="12.5">
      <c r="B100" s="7" t="str">
        <f>IF(D100=F99,"","IU")</f>
        <v/>
      </c>
      <c r="C100" s="50">
        <f>IF(D93="","-",+C99+1)</f>
        <v>2010</v>
      </c>
      <c r="D100" s="12">
        <f t="shared" ref="D100:D109" si="23">F99</f>
        <v>0</v>
      </c>
      <c r="E100" s="378">
        <f>IF(+J96&lt;F99,J96,D100)</f>
        <v>0</v>
      </c>
      <c r="F100" s="55">
        <f t="shared" ref="F100:F130" si="24">+D100-E100</f>
        <v>0</v>
      </c>
      <c r="G100" s="55">
        <f t="shared" si="16"/>
        <v>0</v>
      </c>
      <c r="H100" s="380">
        <f t="shared" si="17"/>
        <v>0</v>
      </c>
      <c r="I100" s="399">
        <f t="shared" si="18"/>
        <v>0</v>
      </c>
      <c r="J100" s="54">
        <f t="shared" si="19"/>
        <v>0</v>
      </c>
      <c r="K100" s="54"/>
      <c r="L100" s="129"/>
      <c r="M100" s="54">
        <f t="shared" si="20"/>
        <v>0</v>
      </c>
      <c r="N100" s="129"/>
      <c r="O100" s="54">
        <f t="shared" si="21"/>
        <v>0</v>
      </c>
      <c r="P100" s="54">
        <f t="shared" si="22"/>
        <v>0</v>
      </c>
      <c r="Q100" s="1"/>
    </row>
    <row r="101" spans="1:17" ht="12.5">
      <c r="B101" s="7" t="str">
        <f t="shared" ref="B101:B154" si="25">IF(D101=F100,"","IU")</f>
        <v/>
      </c>
      <c r="C101" s="50">
        <f>IF(D93="","-",+C100+1)</f>
        <v>2011</v>
      </c>
      <c r="D101" s="12">
        <f t="shared" si="23"/>
        <v>0</v>
      </c>
      <c r="E101" s="378">
        <f>IF(+J96&lt;F100,J96,D101)</f>
        <v>0</v>
      </c>
      <c r="F101" s="55">
        <f t="shared" si="24"/>
        <v>0</v>
      </c>
      <c r="G101" s="55">
        <f t="shared" si="16"/>
        <v>0</v>
      </c>
      <c r="H101" s="380">
        <f t="shared" si="17"/>
        <v>0</v>
      </c>
      <c r="I101" s="399">
        <f t="shared" si="18"/>
        <v>0</v>
      </c>
      <c r="J101" s="54">
        <f t="shared" si="19"/>
        <v>0</v>
      </c>
      <c r="K101" s="54"/>
      <c r="L101" s="129"/>
      <c r="M101" s="54">
        <f t="shared" si="20"/>
        <v>0</v>
      </c>
      <c r="N101" s="129"/>
      <c r="O101" s="54">
        <f t="shared" si="21"/>
        <v>0</v>
      </c>
      <c r="P101" s="54">
        <f t="shared" si="22"/>
        <v>0</v>
      </c>
      <c r="Q101" s="1"/>
    </row>
    <row r="102" spans="1:17" ht="12.5">
      <c r="B102" s="7" t="str">
        <f t="shared" si="25"/>
        <v/>
      </c>
      <c r="C102" s="50">
        <f>IF(D93="","-",+C101+1)</f>
        <v>2012</v>
      </c>
      <c r="D102" s="12">
        <f t="shared" si="23"/>
        <v>0</v>
      </c>
      <c r="E102" s="378">
        <f>IF(+J96&lt;F101,J96,D102)</f>
        <v>0</v>
      </c>
      <c r="F102" s="55">
        <f t="shared" si="24"/>
        <v>0</v>
      </c>
      <c r="G102" s="55">
        <f t="shared" si="16"/>
        <v>0</v>
      </c>
      <c r="H102" s="380">
        <f t="shared" si="17"/>
        <v>0</v>
      </c>
      <c r="I102" s="399">
        <f t="shared" si="18"/>
        <v>0</v>
      </c>
      <c r="J102" s="54">
        <f t="shared" si="19"/>
        <v>0</v>
      </c>
      <c r="K102" s="54"/>
      <c r="L102" s="129"/>
      <c r="M102" s="54">
        <f t="shared" si="20"/>
        <v>0</v>
      </c>
      <c r="N102" s="129"/>
      <c r="O102" s="54">
        <f t="shared" si="21"/>
        <v>0</v>
      </c>
      <c r="P102" s="54">
        <f t="shared" si="22"/>
        <v>0</v>
      </c>
      <c r="Q102" s="1"/>
    </row>
    <row r="103" spans="1:17" ht="12.5">
      <c r="B103" s="7" t="str">
        <f t="shared" si="25"/>
        <v/>
      </c>
      <c r="C103" s="50">
        <f>IF(D93="","-",+C102+1)</f>
        <v>2013</v>
      </c>
      <c r="D103" s="12">
        <f t="shared" si="23"/>
        <v>0</v>
      </c>
      <c r="E103" s="378">
        <f>IF(+J96&lt;F102,J96,D103)</f>
        <v>0</v>
      </c>
      <c r="F103" s="55">
        <f t="shared" si="24"/>
        <v>0</v>
      </c>
      <c r="G103" s="55">
        <f t="shared" si="16"/>
        <v>0</v>
      </c>
      <c r="H103" s="380">
        <f t="shared" si="17"/>
        <v>0</v>
      </c>
      <c r="I103" s="399">
        <f t="shared" si="18"/>
        <v>0</v>
      </c>
      <c r="J103" s="54">
        <f t="shared" si="19"/>
        <v>0</v>
      </c>
      <c r="K103" s="54"/>
      <c r="L103" s="129"/>
      <c r="M103" s="54">
        <f t="shared" si="20"/>
        <v>0</v>
      </c>
      <c r="N103" s="129"/>
      <c r="O103" s="54">
        <f t="shared" si="21"/>
        <v>0</v>
      </c>
      <c r="P103" s="54">
        <f t="shared" si="22"/>
        <v>0</v>
      </c>
      <c r="Q103" s="1"/>
    </row>
    <row r="104" spans="1:17" ht="12.5">
      <c r="B104" s="7" t="str">
        <f t="shared" si="25"/>
        <v/>
      </c>
      <c r="C104" s="50">
        <f>IF(D93="","-",+C103+1)</f>
        <v>2014</v>
      </c>
      <c r="D104" s="12">
        <f t="shared" si="23"/>
        <v>0</v>
      </c>
      <c r="E104" s="378">
        <f>IF(+J96&lt;F103,J96,D104)</f>
        <v>0</v>
      </c>
      <c r="F104" s="55">
        <f t="shared" si="24"/>
        <v>0</v>
      </c>
      <c r="G104" s="55">
        <f t="shared" si="16"/>
        <v>0</v>
      </c>
      <c r="H104" s="380">
        <f t="shared" si="17"/>
        <v>0</v>
      </c>
      <c r="I104" s="399">
        <f t="shared" si="18"/>
        <v>0</v>
      </c>
      <c r="J104" s="54">
        <f t="shared" si="19"/>
        <v>0</v>
      </c>
      <c r="K104" s="54"/>
      <c r="L104" s="129"/>
      <c r="M104" s="54">
        <f t="shared" si="20"/>
        <v>0</v>
      </c>
      <c r="N104" s="129"/>
      <c r="O104" s="54">
        <f t="shared" si="21"/>
        <v>0</v>
      </c>
      <c r="P104" s="54">
        <f t="shared" si="22"/>
        <v>0</v>
      </c>
      <c r="Q104" s="1"/>
    </row>
    <row r="105" spans="1:17" ht="12.5">
      <c r="B105" s="7" t="str">
        <f t="shared" si="25"/>
        <v/>
      </c>
      <c r="C105" s="50">
        <f>IF(D93="","-",+C104+1)</f>
        <v>2015</v>
      </c>
      <c r="D105" s="12">
        <f t="shared" si="23"/>
        <v>0</v>
      </c>
      <c r="E105" s="378">
        <f>IF(+J96&lt;F104,J96,D105)</f>
        <v>0</v>
      </c>
      <c r="F105" s="55">
        <f t="shared" si="24"/>
        <v>0</v>
      </c>
      <c r="G105" s="55">
        <f t="shared" si="16"/>
        <v>0</v>
      </c>
      <c r="H105" s="380">
        <f t="shared" si="17"/>
        <v>0</v>
      </c>
      <c r="I105" s="399">
        <f t="shared" si="18"/>
        <v>0</v>
      </c>
      <c r="J105" s="54">
        <f t="shared" si="19"/>
        <v>0</v>
      </c>
      <c r="K105" s="54"/>
      <c r="L105" s="129"/>
      <c r="M105" s="54">
        <f t="shared" si="20"/>
        <v>0</v>
      </c>
      <c r="N105" s="129"/>
      <c r="O105" s="54">
        <f t="shared" si="21"/>
        <v>0</v>
      </c>
      <c r="P105" s="54">
        <f t="shared" si="22"/>
        <v>0</v>
      </c>
      <c r="Q105" s="1"/>
    </row>
    <row r="106" spans="1:17" ht="12.5">
      <c r="B106" s="7" t="str">
        <f t="shared" si="25"/>
        <v/>
      </c>
      <c r="C106" s="50">
        <f>IF(D93="","-",+C105+1)</f>
        <v>2016</v>
      </c>
      <c r="D106" s="12">
        <f t="shared" si="23"/>
        <v>0</v>
      </c>
      <c r="E106" s="378">
        <f>IF(+J96&lt;F105,J96,D106)</f>
        <v>0</v>
      </c>
      <c r="F106" s="55">
        <f t="shared" si="24"/>
        <v>0</v>
      </c>
      <c r="G106" s="55">
        <f t="shared" si="16"/>
        <v>0</v>
      </c>
      <c r="H106" s="380">
        <f t="shared" si="17"/>
        <v>0</v>
      </c>
      <c r="I106" s="399">
        <f t="shared" si="18"/>
        <v>0</v>
      </c>
      <c r="J106" s="54">
        <f t="shared" si="19"/>
        <v>0</v>
      </c>
      <c r="K106" s="54"/>
      <c r="L106" s="129"/>
      <c r="M106" s="54">
        <f t="shared" si="20"/>
        <v>0</v>
      </c>
      <c r="N106" s="129"/>
      <c r="O106" s="54">
        <f t="shared" si="21"/>
        <v>0</v>
      </c>
      <c r="P106" s="54">
        <f t="shared" si="22"/>
        <v>0</v>
      </c>
      <c r="Q106" s="1"/>
    </row>
    <row r="107" spans="1:17" ht="12.5">
      <c r="B107" s="7" t="str">
        <f t="shared" si="25"/>
        <v/>
      </c>
      <c r="C107" s="50">
        <f>IF(D93="","-",+C106+1)</f>
        <v>2017</v>
      </c>
      <c r="D107" s="12">
        <f t="shared" si="23"/>
        <v>0</v>
      </c>
      <c r="E107" s="378">
        <f>IF(+J96&lt;F106,J96,D107)</f>
        <v>0</v>
      </c>
      <c r="F107" s="55">
        <f t="shared" si="24"/>
        <v>0</v>
      </c>
      <c r="G107" s="55">
        <f t="shared" si="16"/>
        <v>0</v>
      </c>
      <c r="H107" s="380">
        <f t="shared" si="17"/>
        <v>0</v>
      </c>
      <c r="I107" s="399">
        <f t="shared" si="18"/>
        <v>0</v>
      </c>
      <c r="J107" s="54">
        <f t="shared" si="19"/>
        <v>0</v>
      </c>
      <c r="K107" s="54"/>
      <c r="L107" s="129"/>
      <c r="M107" s="54">
        <f t="shared" si="20"/>
        <v>0</v>
      </c>
      <c r="N107" s="129"/>
      <c r="O107" s="54">
        <f t="shared" si="21"/>
        <v>0</v>
      </c>
      <c r="P107" s="54">
        <f t="shared" si="22"/>
        <v>0</v>
      </c>
      <c r="Q107" s="1"/>
    </row>
    <row r="108" spans="1:17" ht="12.5">
      <c r="B108" s="7" t="str">
        <f t="shared" si="25"/>
        <v/>
      </c>
      <c r="C108" s="50">
        <f>IF(D93="","-",+C107+1)</f>
        <v>2018</v>
      </c>
      <c r="D108" s="12">
        <f t="shared" si="23"/>
        <v>0</v>
      </c>
      <c r="E108" s="378">
        <f>IF(+J96&lt;F107,J96,D108)</f>
        <v>0</v>
      </c>
      <c r="F108" s="55">
        <f t="shared" si="24"/>
        <v>0</v>
      </c>
      <c r="G108" s="55">
        <f t="shared" si="16"/>
        <v>0</v>
      </c>
      <c r="H108" s="380">
        <f t="shared" si="17"/>
        <v>0</v>
      </c>
      <c r="I108" s="399">
        <f t="shared" si="18"/>
        <v>0</v>
      </c>
      <c r="J108" s="54">
        <f t="shared" si="19"/>
        <v>0</v>
      </c>
      <c r="K108" s="54"/>
      <c r="L108" s="129"/>
      <c r="M108" s="54">
        <f t="shared" si="20"/>
        <v>0</v>
      </c>
      <c r="N108" s="129"/>
      <c r="O108" s="54">
        <f t="shared" si="21"/>
        <v>0</v>
      </c>
      <c r="P108" s="54">
        <f t="shared" si="22"/>
        <v>0</v>
      </c>
      <c r="Q108" s="1"/>
    </row>
    <row r="109" spans="1:17" ht="12.5">
      <c r="B109" s="7" t="str">
        <f t="shared" si="25"/>
        <v/>
      </c>
      <c r="C109" s="50">
        <f>IF(D93="","-",+C108+1)</f>
        <v>2019</v>
      </c>
      <c r="D109" s="12">
        <f t="shared" si="23"/>
        <v>0</v>
      </c>
      <c r="E109" s="378">
        <f>IF(+J96&lt;F108,J96,D109)</f>
        <v>0</v>
      </c>
      <c r="F109" s="55">
        <f t="shared" si="24"/>
        <v>0</v>
      </c>
      <c r="G109" s="55">
        <f t="shared" si="16"/>
        <v>0</v>
      </c>
      <c r="H109" s="380">
        <f t="shared" si="17"/>
        <v>0</v>
      </c>
      <c r="I109" s="399">
        <f t="shared" si="18"/>
        <v>0</v>
      </c>
      <c r="J109" s="54">
        <f t="shared" si="19"/>
        <v>0</v>
      </c>
      <c r="K109" s="54"/>
      <c r="L109" s="129"/>
      <c r="M109" s="54">
        <f t="shared" si="20"/>
        <v>0</v>
      </c>
      <c r="N109" s="129"/>
      <c r="O109" s="54">
        <f t="shared" si="21"/>
        <v>0</v>
      </c>
      <c r="P109" s="54">
        <f t="shared" si="22"/>
        <v>0</v>
      </c>
      <c r="Q109" s="1"/>
    </row>
    <row r="110" spans="1:17" ht="12.5">
      <c r="B110" s="7" t="str">
        <f t="shared" si="25"/>
        <v/>
      </c>
      <c r="C110" s="50">
        <f>IF(D93="","-",+C109+1)</f>
        <v>2020</v>
      </c>
      <c r="D110" s="12">
        <f>IF(F109+SUM(E$99:E109)=D$92,F109,D$92-SUM(E$99:E109))</f>
        <v>0</v>
      </c>
      <c r="E110" s="378">
        <f>IF(+J96&lt;F109,J96,D110)</f>
        <v>0</v>
      </c>
      <c r="F110" s="55">
        <f t="shared" si="24"/>
        <v>0</v>
      </c>
      <c r="G110" s="55">
        <f t="shared" si="16"/>
        <v>0</v>
      </c>
      <c r="H110" s="380">
        <f t="shared" si="17"/>
        <v>0</v>
      </c>
      <c r="I110" s="399">
        <f t="shared" si="18"/>
        <v>0</v>
      </c>
      <c r="J110" s="54">
        <f t="shared" si="19"/>
        <v>0</v>
      </c>
      <c r="K110" s="54"/>
      <c r="L110" s="129"/>
      <c r="M110" s="54">
        <f t="shared" si="20"/>
        <v>0</v>
      </c>
      <c r="N110" s="129"/>
      <c r="O110" s="54">
        <f t="shared" si="21"/>
        <v>0</v>
      </c>
      <c r="P110" s="54">
        <f t="shared" si="22"/>
        <v>0</v>
      </c>
      <c r="Q110" s="1"/>
    </row>
    <row r="111" spans="1:17" ht="12.5">
      <c r="B111" s="7" t="str">
        <f t="shared" si="25"/>
        <v/>
      </c>
      <c r="C111" s="50">
        <f>IF(D93="","-",+C110+1)</f>
        <v>2021</v>
      </c>
      <c r="D111" s="12">
        <f>IF(F110+SUM(E$99:E110)=D$92,F110,D$92-SUM(E$99:E110))</f>
        <v>0</v>
      </c>
      <c r="E111" s="378">
        <f>IF(+J96&lt;F110,J96,D111)</f>
        <v>0</v>
      </c>
      <c r="F111" s="55">
        <f t="shared" si="24"/>
        <v>0</v>
      </c>
      <c r="G111" s="55">
        <f t="shared" si="16"/>
        <v>0</v>
      </c>
      <c r="H111" s="380">
        <f t="shared" si="17"/>
        <v>0</v>
      </c>
      <c r="I111" s="399">
        <f t="shared" si="18"/>
        <v>0</v>
      </c>
      <c r="J111" s="54">
        <f t="shared" si="19"/>
        <v>0</v>
      </c>
      <c r="K111" s="54"/>
      <c r="L111" s="129"/>
      <c r="M111" s="54">
        <f t="shared" si="20"/>
        <v>0</v>
      </c>
      <c r="N111" s="129"/>
      <c r="O111" s="54">
        <f t="shared" si="21"/>
        <v>0</v>
      </c>
      <c r="P111" s="54">
        <f t="shared" si="22"/>
        <v>0</v>
      </c>
      <c r="Q111" s="1"/>
    </row>
    <row r="112" spans="1:17" ht="12.5">
      <c r="B112" s="7" t="str">
        <f t="shared" si="25"/>
        <v/>
      </c>
      <c r="C112" s="50">
        <f>IF(D93="","-",+C111+1)</f>
        <v>2022</v>
      </c>
      <c r="D112" s="12">
        <f>IF(F111+SUM(E$99:E111)=D$92,F111,D$92-SUM(E$99:E111))</f>
        <v>0</v>
      </c>
      <c r="E112" s="378">
        <f>IF(+J96&lt;F111,J96,D112)</f>
        <v>0</v>
      </c>
      <c r="F112" s="55">
        <f t="shared" si="24"/>
        <v>0</v>
      </c>
      <c r="G112" s="55">
        <f t="shared" si="16"/>
        <v>0</v>
      </c>
      <c r="H112" s="380">
        <f t="shared" si="17"/>
        <v>0</v>
      </c>
      <c r="I112" s="399">
        <f t="shared" si="18"/>
        <v>0</v>
      </c>
      <c r="J112" s="54">
        <f t="shared" si="19"/>
        <v>0</v>
      </c>
      <c r="K112" s="54"/>
      <c r="L112" s="129"/>
      <c r="M112" s="54">
        <f t="shared" si="20"/>
        <v>0</v>
      </c>
      <c r="N112" s="129"/>
      <c r="O112" s="54">
        <f t="shared" si="21"/>
        <v>0</v>
      </c>
      <c r="P112" s="54">
        <f t="shared" si="22"/>
        <v>0</v>
      </c>
      <c r="Q112" s="1"/>
    </row>
    <row r="113" spans="2:17" ht="12.5">
      <c r="B113" s="7" t="str">
        <f t="shared" si="25"/>
        <v/>
      </c>
      <c r="C113" s="50">
        <f>IF(D93="","-",+C112+1)</f>
        <v>2023</v>
      </c>
      <c r="D113" s="12">
        <f>IF(F112+SUM(E$99:E112)=D$92,F112,D$92-SUM(E$99:E112))</f>
        <v>0</v>
      </c>
      <c r="E113" s="378">
        <f>IF(+J96&lt;F112,J96,D113)</f>
        <v>0</v>
      </c>
      <c r="F113" s="55">
        <f t="shared" si="24"/>
        <v>0</v>
      </c>
      <c r="G113" s="55">
        <f t="shared" si="16"/>
        <v>0</v>
      </c>
      <c r="H113" s="380">
        <f t="shared" ref="H113:H154" si="26">+J$94*G113+E113</f>
        <v>0</v>
      </c>
      <c r="I113" s="399">
        <f t="shared" ref="I113:I154" si="27">+J$95*G113+E113</f>
        <v>0</v>
      </c>
      <c r="J113" s="54">
        <f t="shared" si="19"/>
        <v>0</v>
      </c>
      <c r="K113" s="54"/>
      <c r="L113" s="129"/>
      <c r="M113" s="54">
        <f t="shared" si="20"/>
        <v>0</v>
      </c>
      <c r="N113" s="129"/>
      <c r="O113" s="54">
        <f t="shared" si="21"/>
        <v>0</v>
      </c>
      <c r="P113" s="54">
        <f t="shared" si="22"/>
        <v>0</v>
      </c>
      <c r="Q113" s="1"/>
    </row>
    <row r="114" spans="2:17" ht="12.5">
      <c r="B114" s="7" t="str">
        <f t="shared" si="25"/>
        <v/>
      </c>
      <c r="C114" s="50">
        <f>IF(D93="","-",+C113+1)</f>
        <v>2024</v>
      </c>
      <c r="D114" s="12">
        <f>IF(F113+SUM(E$99:E113)=D$92,F113,D$92-SUM(E$99:E113))</f>
        <v>0</v>
      </c>
      <c r="E114" s="378">
        <f>IF(+J96&lt;F113,J96,D114)</f>
        <v>0</v>
      </c>
      <c r="F114" s="55">
        <f t="shared" si="24"/>
        <v>0</v>
      </c>
      <c r="G114" s="55">
        <f t="shared" si="16"/>
        <v>0</v>
      </c>
      <c r="H114" s="380">
        <f t="shared" si="26"/>
        <v>0</v>
      </c>
      <c r="I114" s="399">
        <f t="shared" si="27"/>
        <v>0</v>
      </c>
      <c r="J114" s="54">
        <f t="shared" si="19"/>
        <v>0</v>
      </c>
      <c r="K114" s="54"/>
      <c r="L114" s="129"/>
      <c r="M114" s="54">
        <f t="shared" si="20"/>
        <v>0</v>
      </c>
      <c r="N114" s="129"/>
      <c r="O114" s="54">
        <f t="shared" si="21"/>
        <v>0</v>
      </c>
      <c r="P114" s="54">
        <f t="shared" si="22"/>
        <v>0</v>
      </c>
      <c r="Q114" s="1"/>
    </row>
    <row r="115" spans="2:17" ht="12.5">
      <c r="B115" s="7" t="str">
        <f t="shared" si="25"/>
        <v/>
      </c>
      <c r="C115" s="50">
        <f>IF(D93="","-",+C114+1)</f>
        <v>2025</v>
      </c>
      <c r="D115" s="12">
        <f>IF(F114+SUM(E$99:E114)=D$92,F114,D$92-SUM(E$99:E114))</f>
        <v>0</v>
      </c>
      <c r="E115" s="378">
        <f>IF(+J96&lt;F114,J96,D115)</f>
        <v>0</v>
      </c>
      <c r="F115" s="55">
        <f t="shared" si="24"/>
        <v>0</v>
      </c>
      <c r="G115" s="55">
        <f t="shared" si="16"/>
        <v>0</v>
      </c>
      <c r="H115" s="380">
        <f t="shared" si="26"/>
        <v>0</v>
      </c>
      <c r="I115" s="399">
        <f t="shared" si="27"/>
        <v>0</v>
      </c>
      <c r="J115" s="54">
        <f t="shared" si="19"/>
        <v>0</v>
      </c>
      <c r="K115" s="54"/>
      <c r="L115" s="129"/>
      <c r="M115" s="54">
        <f t="shared" si="20"/>
        <v>0</v>
      </c>
      <c r="N115" s="129"/>
      <c r="O115" s="54">
        <f t="shared" si="21"/>
        <v>0</v>
      </c>
      <c r="P115" s="54">
        <f t="shared" si="22"/>
        <v>0</v>
      </c>
      <c r="Q115" s="1"/>
    </row>
    <row r="116" spans="2:17" ht="12.5">
      <c r="B116" s="7" t="str">
        <f t="shared" si="25"/>
        <v/>
      </c>
      <c r="C116" s="50">
        <f>IF(D93="","-",+C115+1)</f>
        <v>2026</v>
      </c>
      <c r="D116" s="12">
        <f>IF(F115+SUM(E$99:E115)=D$92,F115,D$92-SUM(E$99:E115))</f>
        <v>0</v>
      </c>
      <c r="E116" s="378">
        <f>IF(+J96&lt;F115,J96,D116)</f>
        <v>0</v>
      </c>
      <c r="F116" s="55">
        <f t="shared" si="24"/>
        <v>0</v>
      </c>
      <c r="G116" s="55">
        <f t="shared" si="16"/>
        <v>0</v>
      </c>
      <c r="H116" s="380">
        <f t="shared" si="26"/>
        <v>0</v>
      </c>
      <c r="I116" s="399">
        <f t="shared" si="27"/>
        <v>0</v>
      </c>
      <c r="J116" s="54">
        <f t="shared" si="19"/>
        <v>0</v>
      </c>
      <c r="K116" s="54"/>
      <c r="L116" s="129"/>
      <c r="M116" s="54">
        <f t="shared" si="20"/>
        <v>0</v>
      </c>
      <c r="N116" s="129"/>
      <c r="O116" s="54">
        <f t="shared" si="21"/>
        <v>0</v>
      </c>
      <c r="P116" s="54">
        <f t="shared" si="22"/>
        <v>0</v>
      </c>
      <c r="Q116" s="1"/>
    </row>
    <row r="117" spans="2:17" ht="12.5">
      <c r="B117" s="7" t="str">
        <f t="shared" si="25"/>
        <v/>
      </c>
      <c r="C117" s="50">
        <f>IF(D93="","-",+C116+1)</f>
        <v>2027</v>
      </c>
      <c r="D117" s="12">
        <f>IF(F116+SUM(E$99:E116)=D$92,F116,D$92-SUM(E$99:E116))</f>
        <v>0</v>
      </c>
      <c r="E117" s="378">
        <f>IF(+J96&lt;F116,J96,D117)</f>
        <v>0</v>
      </c>
      <c r="F117" s="55">
        <f t="shared" si="24"/>
        <v>0</v>
      </c>
      <c r="G117" s="55">
        <f t="shared" si="16"/>
        <v>0</v>
      </c>
      <c r="H117" s="380">
        <f t="shared" si="26"/>
        <v>0</v>
      </c>
      <c r="I117" s="399">
        <f t="shared" si="27"/>
        <v>0</v>
      </c>
      <c r="J117" s="54">
        <f t="shared" si="19"/>
        <v>0</v>
      </c>
      <c r="K117" s="54"/>
      <c r="L117" s="129"/>
      <c r="M117" s="54">
        <f t="shared" si="20"/>
        <v>0</v>
      </c>
      <c r="N117" s="129"/>
      <c r="O117" s="54">
        <f t="shared" si="21"/>
        <v>0</v>
      </c>
      <c r="P117" s="54">
        <f t="shared" si="22"/>
        <v>0</v>
      </c>
      <c r="Q117" s="1"/>
    </row>
    <row r="118" spans="2:17" ht="12.5">
      <c r="B118" s="7" t="str">
        <f t="shared" si="25"/>
        <v/>
      </c>
      <c r="C118" s="50">
        <f>IF(D93="","-",+C117+1)</f>
        <v>2028</v>
      </c>
      <c r="D118" s="12">
        <f>IF(F117+SUM(E$99:E117)=D$92,F117,D$92-SUM(E$99:E117))</f>
        <v>0</v>
      </c>
      <c r="E118" s="378">
        <f>IF(+J96&lt;F117,J96,D118)</f>
        <v>0</v>
      </c>
      <c r="F118" s="55">
        <f t="shared" si="24"/>
        <v>0</v>
      </c>
      <c r="G118" s="55">
        <f t="shared" si="16"/>
        <v>0</v>
      </c>
      <c r="H118" s="380">
        <f t="shared" si="26"/>
        <v>0</v>
      </c>
      <c r="I118" s="399">
        <f t="shared" si="27"/>
        <v>0</v>
      </c>
      <c r="J118" s="54">
        <f t="shared" si="19"/>
        <v>0</v>
      </c>
      <c r="K118" s="54"/>
      <c r="L118" s="129"/>
      <c r="M118" s="54">
        <f t="shared" si="20"/>
        <v>0</v>
      </c>
      <c r="N118" s="129"/>
      <c r="O118" s="54">
        <f t="shared" si="21"/>
        <v>0</v>
      </c>
      <c r="P118" s="54">
        <f t="shared" si="22"/>
        <v>0</v>
      </c>
      <c r="Q118" s="1"/>
    </row>
    <row r="119" spans="2:17" ht="12.5">
      <c r="B119" s="7" t="str">
        <f t="shared" si="25"/>
        <v/>
      </c>
      <c r="C119" s="50">
        <f>IF(D93="","-",+C118+1)</f>
        <v>2029</v>
      </c>
      <c r="D119" s="12">
        <f>IF(F118+SUM(E$99:E118)=D$92,F118,D$92-SUM(E$99:E118))</f>
        <v>0</v>
      </c>
      <c r="E119" s="378">
        <f>IF(+J96&lt;F118,J96,D119)</f>
        <v>0</v>
      </c>
      <c r="F119" s="55">
        <f t="shared" si="24"/>
        <v>0</v>
      </c>
      <c r="G119" s="55">
        <f t="shared" si="16"/>
        <v>0</v>
      </c>
      <c r="H119" s="380">
        <f t="shared" si="26"/>
        <v>0</v>
      </c>
      <c r="I119" s="399">
        <f t="shared" si="27"/>
        <v>0</v>
      </c>
      <c r="J119" s="54">
        <f t="shared" si="19"/>
        <v>0</v>
      </c>
      <c r="K119" s="54"/>
      <c r="L119" s="129"/>
      <c r="M119" s="54">
        <f t="shared" si="20"/>
        <v>0</v>
      </c>
      <c r="N119" s="129"/>
      <c r="O119" s="54">
        <f t="shared" si="21"/>
        <v>0</v>
      </c>
      <c r="P119" s="54">
        <f t="shared" si="22"/>
        <v>0</v>
      </c>
      <c r="Q119" s="1"/>
    </row>
    <row r="120" spans="2:17" ht="12.5">
      <c r="B120" s="7" t="str">
        <f t="shared" si="25"/>
        <v/>
      </c>
      <c r="C120" s="50">
        <f>IF(D93="","-",+C119+1)</f>
        <v>2030</v>
      </c>
      <c r="D120" s="12">
        <f>IF(F119+SUM(E$99:E119)=D$92,F119,D$92-SUM(E$99:E119))</f>
        <v>0</v>
      </c>
      <c r="E120" s="378">
        <f>IF(+J96&lt;F119,J96,D120)</f>
        <v>0</v>
      </c>
      <c r="F120" s="55">
        <f t="shared" si="24"/>
        <v>0</v>
      </c>
      <c r="G120" s="55">
        <f t="shared" si="16"/>
        <v>0</v>
      </c>
      <c r="H120" s="380">
        <f t="shared" si="26"/>
        <v>0</v>
      </c>
      <c r="I120" s="399">
        <f t="shared" si="27"/>
        <v>0</v>
      </c>
      <c r="J120" s="54">
        <f t="shared" si="19"/>
        <v>0</v>
      </c>
      <c r="K120" s="54"/>
      <c r="L120" s="129"/>
      <c r="M120" s="54">
        <f t="shared" si="20"/>
        <v>0</v>
      </c>
      <c r="N120" s="129"/>
      <c r="O120" s="54">
        <f t="shared" si="21"/>
        <v>0</v>
      </c>
      <c r="P120" s="54">
        <f t="shared" si="22"/>
        <v>0</v>
      </c>
      <c r="Q120" s="1"/>
    </row>
    <row r="121" spans="2:17" ht="12.5">
      <c r="B121" s="7" t="str">
        <f t="shared" si="25"/>
        <v/>
      </c>
      <c r="C121" s="50">
        <f>IF(D93="","-",+C120+1)</f>
        <v>2031</v>
      </c>
      <c r="D121" s="12">
        <f>IF(F120+SUM(E$99:E120)=D$92,F120,D$92-SUM(E$99:E120))</f>
        <v>0</v>
      </c>
      <c r="E121" s="378">
        <f>IF(+J96&lt;F120,J96,D121)</f>
        <v>0</v>
      </c>
      <c r="F121" s="55">
        <f t="shared" si="24"/>
        <v>0</v>
      </c>
      <c r="G121" s="55">
        <f t="shared" si="16"/>
        <v>0</v>
      </c>
      <c r="H121" s="380">
        <f t="shared" si="26"/>
        <v>0</v>
      </c>
      <c r="I121" s="399">
        <f t="shared" si="27"/>
        <v>0</v>
      </c>
      <c r="J121" s="54">
        <f t="shared" si="19"/>
        <v>0</v>
      </c>
      <c r="K121" s="54"/>
      <c r="L121" s="129"/>
      <c r="M121" s="54">
        <f t="shared" si="20"/>
        <v>0</v>
      </c>
      <c r="N121" s="129"/>
      <c r="O121" s="54">
        <f t="shared" si="21"/>
        <v>0</v>
      </c>
      <c r="P121" s="54">
        <f t="shared" si="22"/>
        <v>0</v>
      </c>
      <c r="Q121" s="1"/>
    </row>
    <row r="122" spans="2:17" ht="12.5">
      <c r="B122" s="7" t="str">
        <f t="shared" si="25"/>
        <v/>
      </c>
      <c r="C122" s="50">
        <f>IF(D93="","-",+C121+1)</f>
        <v>2032</v>
      </c>
      <c r="D122" s="12">
        <f>IF(F121+SUM(E$99:E121)=D$92,F121,D$92-SUM(E$99:E121))</f>
        <v>0</v>
      </c>
      <c r="E122" s="378">
        <f>IF(+J96&lt;F121,J96,D122)</f>
        <v>0</v>
      </c>
      <c r="F122" s="55">
        <f t="shared" si="24"/>
        <v>0</v>
      </c>
      <c r="G122" s="55">
        <f t="shared" si="16"/>
        <v>0</v>
      </c>
      <c r="H122" s="380">
        <f t="shared" si="26"/>
        <v>0</v>
      </c>
      <c r="I122" s="399">
        <f t="shared" si="27"/>
        <v>0</v>
      </c>
      <c r="J122" s="54">
        <f t="shared" si="19"/>
        <v>0</v>
      </c>
      <c r="K122" s="54"/>
      <c r="L122" s="129"/>
      <c r="M122" s="54">
        <f t="shared" si="20"/>
        <v>0</v>
      </c>
      <c r="N122" s="129"/>
      <c r="O122" s="54">
        <f t="shared" si="21"/>
        <v>0</v>
      </c>
      <c r="P122" s="54">
        <f t="shared" si="22"/>
        <v>0</v>
      </c>
      <c r="Q122" s="1"/>
    </row>
    <row r="123" spans="2:17" ht="12.5">
      <c r="B123" s="7" t="str">
        <f t="shared" si="25"/>
        <v/>
      </c>
      <c r="C123" s="50">
        <f>IF(D93="","-",+C122+1)</f>
        <v>2033</v>
      </c>
      <c r="D123" s="12">
        <f>IF(F122+SUM(E$99:E122)=D$92,F122,D$92-SUM(E$99:E122))</f>
        <v>0</v>
      </c>
      <c r="E123" s="378">
        <f>IF(+J96&lt;F122,J96,D123)</f>
        <v>0</v>
      </c>
      <c r="F123" s="55">
        <f t="shared" si="24"/>
        <v>0</v>
      </c>
      <c r="G123" s="55">
        <f t="shared" si="16"/>
        <v>0</v>
      </c>
      <c r="H123" s="380">
        <f t="shared" si="26"/>
        <v>0</v>
      </c>
      <c r="I123" s="399">
        <f t="shared" si="27"/>
        <v>0</v>
      </c>
      <c r="J123" s="54">
        <f t="shared" si="19"/>
        <v>0</v>
      </c>
      <c r="K123" s="54"/>
      <c r="L123" s="129"/>
      <c r="M123" s="54">
        <f t="shared" si="20"/>
        <v>0</v>
      </c>
      <c r="N123" s="129"/>
      <c r="O123" s="54">
        <f t="shared" si="21"/>
        <v>0</v>
      </c>
      <c r="P123" s="54">
        <f t="shared" si="22"/>
        <v>0</v>
      </c>
      <c r="Q123" s="1"/>
    </row>
    <row r="124" spans="2:17" ht="12.5">
      <c r="B124" s="7" t="str">
        <f t="shared" si="25"/>
        <v/>
      </c>
      <c r="C124" s="50">
        <f>IF(D93="","-",+C123+1)</f>
        <v>2034</v>
      </c>
      <c r="D124" s="12">
        <f>IF(F123+SUM(E$99:E123)=D$92,F123,D$92-SUM(E$99:E123))</f>
        <v>0</v>
      </c>
      <c r="E124" s="378">
        <f>IF(+J96&lt;F123,J96,D124)</f>
        <v>0</v>
      </c>
      <c r="F124" s="55">
        <f t="shared" si="24"/>
        <v>0</v>
      </c>
      <c r="G124" s="55">
        <f t="shared" si="16"/>
        <v>0</v>
      </c>
      <c r="H124" s="380">
        <f t="shared" si="26"/>
        <v>0</v>
      </c>
      <c r="I124" s="399">
        <f t="shared" si="27"/>
        <v>0</v>
      </c>
      <c r="J124" s="54">
        <f t="shared" si="19"/>
        <v>0</v>
      </c>
      <c r="K124" s="54"/>
      <c r="L124" s="129"/>
      <c r="M124" s="54">
        <f t="shared" si="20"/>
        <v>0</v>
      </c>
      <c r="N124" s="129"/>
      <c r="O124" s="54">
        <f t="shared" si="21"/>
        <v>0</v>
      </c>
      <c r="P124" s="54">
        <f t="shared" si="22"/>
        <v>0</v>
      </c>
      <c r="Q124" s="1"/>
    </row>
    <row r="125" spans="2:17" ht="12.5">
      <c r="B125" s="7" t="str">
        <f t="shared" si="25"/>
        <v/>
      </c>
      <c r="C125" s="50">
        <f>IF(D93="","-",+C124+1)</f>
        <v>2035</v>
      </c>
      <c r="D125" s="12">
        <f>IF(F124+SUM(E$99:E124)=D$92,F124,D$92-SUM(E$99:E124))</f>
        <v>0</v>
      </c>
      <c r="E125" s="378">
        <f>IF(+J96&lt;F124,J96,D125)</f>
        <v>0</v>
      </c>
      <c r="F125" s="55">
        <f t="shared" si="24"/>
        <v>0</v>
      </c>
      <c r="G125" s="55">
        <f t="shared" si="16"/>
        <v>0</v>
      </c>
      <c r="H125" s="380">
        <f t="shared" si="26"/>
        <v>0</v>
      </c>
      <c r="I125" s="399">
        <f t="shared" si="27"/>
        <v>0</v>
      </c>
      <c r="J125" s="54">
        <f t="shared" si="19"/>
        <v>0</v>
      </c>
      <c r="K125" s="54"/>
      <c r="L125" s="129"/>
      <c r="M125" s="54">
        <f t="shared" si="20"/>
        <v>0</v>
      </c>
      <c r="N125" s="129"/>
      <c r="O125" s="54">
        <f t="shared" si="21"/>
        <v>0</v>
      </c>
      <c r="P125" s="54">
        <f t="shared" si="22"/>
        <v>0</v>
      </c>
      <c r="Q125" s="1"/>
    </row>
    <row r="126" spans="2:17" ht="12.5">
      <c r="B126" s="7" t="str">
        <f t="shared" si="25"/>
        <v/>
      </c>
      <c r="C126" s="50">
        <f>IF(D93="","-",+C125+1)</f>
        <v>2036</v>
      </c>
      <c r="D126" s="12">
        <f>IF(F125+SUM(E$99:E125)=D$92,F125,D$92-SUM(E$99:E125))</f>
        <v>0</v>
      </c>
      <c r="E126" s="378">
        <f>IF(+J96&lt;F125,J96,D126)</f>
        <v>0</v>
      </c>
      <c r="F126" s="55">
        <f t="shared" si="24"/>
        <v>0</v>
      </c>
      <c r="G126" s="55">
        <f t="shared" si="16"/>
        <v>0</v>
      </c>
      <c r="H126" s="380">
        <f t="shared" si="26"/>
        <v>0</v>
      </c>
      <c r="I126" s="399">
        <f t="shared" si="27"/>
        <v>0</v>
      </c>
      <c r="J126" s="54">
        <f t="shared" si="19"/>
        <v>0</v>
      </c>
      <c r="K126" s="54"/>
      <c r="L126" s="129"/>
      <c r="M126" s="54">
        <f t="shared" si="20"/>
        <v>0</v>
      </c>
      <c r="N126" s="129"/>
      <c r="O126" s="54">
        <f t="shared" si="21"/>
        <v>0</v>
      </c>
      <c r="P126" s="54">
        <f t="shared" si="22"/>
        <v>0</v>
      </c>
      <c r="Q126" s="1"/>
    </row>
    <row r="127" spans="2:17" ht="12.5">
      <c r="B127" s="7" t="str">
        <f t="shared" si="25"/>
        <v/>
      </c>
      <c r="C127" s="50">
        <f>IF(D93="","-",+C126+1)</f>
        <v>2037</v>
      </c>
      <c r="D127" s="12">
        <f>IF(F126+SUM(E$99:E126)=D$92,F126,D$92-SUM(E$99:E126))</f>
        <v>0</v>
      </c>
      <c r="E127" s="378">
        <f>IF(+J96&lt;F126,J96,D127)</f>
        <v>0</v>
      </c>
      <c r="F127" s="55">
        <f t="shared" si="24"/>
        <v>0</v>
      </c>
      <c r="G127" s="55">
        <f t="shared" si="16"/>
        <v>0</v>
      </c>
      <c r="H127" s="380">
        <f t="shared" si="26"/>
        <v>0</v>
      </c>
      <c r="I127" s="399">
        <f t="shared" si="27"/>
        <v>0</v>
      </c>
      <c r="J127" s="54">
        <f t="shared" si="19"/>
        <v>0</v>
      </c>
      <c r="K127" s="54"/>
      <c r="L127" s="129"/>
      <c r="M127" s="54">
        <f t="shared" si="20"/>
        <v>0</v>
      </c>
      <c r="N127" s="129"/>
      <c r="O127" s="54">
        <f t="shared" si="21"/>
        <v>0</v>
      </c>
      <c r="P127" s="54">
        <f t="shared" si="22"/>
        <v>0</v>
      </c>
      <c r="Q127" s="1"/>
    </row>
    <row r="128" spans="2:17" ht="12.5">
      <c r="B128" s="7" t="str">
        <f t="shared" si="25"/>
        <v/>
      </c>
      <c r="C128" s="50">
        <f>IF(D93="","-",+C127+1)</f>
        <v>2038</v>
      </c>
      <c r="D128" s="12">
        <f>IF(F127+SUM(E$99:E127)=D$92,F127,D$92-SUM(E$99:E127))</f>
        <v>0</v>
      </c>
      <c r="E128" s="378">
        <f>IF(+J96&lt;F127,J96,D128)</f>
        <v>0</v>
      </c>
      <c r="F128" s="55">
        <f t="shared" si="24"/>
        <v>0</v>
      </c>
      <c r="G128" s="55">
        <f t="shared" si="16"/>
        <v>0</v>
      </c>
      <c r="H128" s="380">
        <f t="shared" si="26"/>
        <v>0</v>
      </c>
      <c r="I128" s="399">
        <f t="shared" si="27"/>
        <v>0</v>
      </c>
      <c r="J128" s="54">
        <f t="shared" si="19"/>
        <v>0</v>
      </c>
      <c r="K128" s="54"/>
      <c r="L128" s="129"/>
      <c r="M128" s="54">
        <f t="shared" si="20"/>
        <v>0</v>
      </c>
      <c r="N128" s="129"/>
      <c r="O128" s="54">
        <f t="shared" si="21"/>
        <v>0</v>
      </c>
      <c r="P128" s="54">
        <f t="shared" si="22"/>
        <v>0</v>
      </c>
      <c r="Q128" s="1"/>
    </row>
    <row r="129" spans="2:17" ht="12.5">
      <c r="B129" s="7" t="str">
        <f t="shared" si="25"/>
        <v/>
      </c>
      <c r="C129" s="50">
        <f>IF(D93="","-",+C128+1)</f>
        <v>2039</v>
      </c>
      <c r="D129" s="12">
        <f>IF(F128+SUM(E$99:E128)=D$92,F128,D$92-SUM(E$99:E128))</f>
        <v>0</v>
      </c>
      <c r="E129" s="378">
        <f>IF(+J96&lt;F128,J96,D129)</f>
        <v>0</v>
      </c>
      <c r="F129" s="55">
        <f t="shared" si="24"/>
        <v>0</v>
      </c>
      <c r="G129" s="55">
        <f t="shared" si="16"/>
        <v>0</v>
      </c>
      <c r="H129" s="380">
        <f t="shared" si="26"/>
        <v>0</v>
      </c>
      <c r="I129" s="399">
        <f t="shared" si="27"/>
        <v>0</v>
      </c>
      <c r="J129" s="54">
        <f t="shared" si="19"/>
        <v>0</v>
      </c>
      <c r="K129" s="54"/>
      <c r="L129" s="129"/>
      <c r="M129" s="54">
        <f t="shared" si="20"/>
        <v>0</v>
      </c>
      <c r="N129" s="129"/>
      <c r="O129" s="54">
        <f t="shared" si="21"/>
        <v>0</v>
      </c>
      <c r="P129" s="54">
        <f t="shared" si="22"/>
        <v>0</v>
      </c>
      <c r="Q129" s="1"/>
    </row>
    <row r="130" spans="2:17" ht="12.5">
      <c r="B130" s="7" t="str">
        <f t="shared" si="25"/>
        <v/>
      </c>
      <c r="C130" s="50">
        <f>IF(D93="","-",+C129+1)</f>
        <v>2040</v>
      </c>
      <c r="D130" s="12">
        <f>IF(F129+SUM(E$99:E129)=D$92,F129,D$92-SUM(E$99:E129))</f>
        <v>0</v>
      </c>
      <c r="E130" s="378">
        <f>IF(+J96&lt;F129,J96,D130)</f>
        <v>0</v>
      </c>
      <c r="F130" s="55">
        <f t="shared" si="24"/>
        <v>0</v>
      </c>
      <c r="G130" s="55">
        <f t="shared" si="16"/>
        <v>0</v>
      </c>
      <c r="H130" s="380">
        <f t="shared" si="26"/>
        <v>0</v>
      </c>
      <c r="I130" s="399">
        <f t="shared" si="27"/>
        <v>0</v>
      </c>
      <c r="J130" s="54">
        <f t="shared" si="19"/>
        <v>0</v>
      </c>
      <c r="K130" s="54"/>
      <c r="L130" s="129"/>
      <c r="M130" s="54">
        <f t="shared" si="20"/>
        <v>0</v>
      </c>
      <c r="N130" s="129"/>
      <c r="O130" s="54">
        <f t="shared" si="21"/>
        <v>0</v>
      </c>
      <c r="P130" s="54">
        <f t="shared" si="22"/>
        <v>0</v>
      </c>
      <c r="Q130" s="1"/>
    </row>
    <row r="131" spans="2:17" ht="12.5">
      <c r="B131" s="7" t="str">
        <f t="shared" si="25"/>
        <v/>
      </c>
      <c r="C131" s="50">
        <f>IF(D93="","-",+C130+1)</f>
        <v>2041</v>
      </c>
      <c r="D131" s="12">
        <f>IF(F130+SUM(E$99:E130)=D$92,F130,D$92-SUM(E$99:E130))</f>
        <v>0</v>
      </c>
      <c r="E131" s="378">
        <f>IF(+J96&lt;F130,J96,D131)</f>
        <v>0</v>
      </c>
      <c r="F131" s="55">
        <f t="shared" ref="F131:F154" si="28">+D131-E131</f>
        <v>0</v>
      </c>
      <c r="G131" s="55">
        <f t="shared" ref="G131:G154" si="29">+(F131+D131)/2</f>
        <v>0</v>
      </c>
      <c r="H131" s="380">
        <f t="shared" si="26"/>
        <v>0</v>
      </c>
      <c r="I131" s="399">
        <f t="shared" si="27"/>
        <v>0</v>
      </c>
      <c r="J131" s="54">
        <f t="shared" ref="J131:J154" si="30">+I131-H131</f>
        <v>0</v>
      </c>
      <c r="K131" s="54"/>
      <c r="L131" s="129"/>
      <c r="M131" s="54">
        <f t="shared" ref="M131:M154" si="31">IF(L131&lt;&gt;0,+H131-L131,0)</f>
        <v>0</v>
      </c>
      <c r="N131" s="129"/>
      <c r="O131" s="54">
        <f t="shared" ref="O131:O154" si="32">IF(N131&lt;&gt;0,+I131-N131,0)</f>
        <v>0</v>
      </c>
      <c r="P131" s="54">
        <f t="shared" ref="P131:P154" si="33">+O131-M131</f>
        <v>0</v>
      </c>
      <c r="Q131" s="1"/>
    </row>
    <row r="132" spans="2:17" ht="12.5">
      <c r="B132" s="7" t="str">
        <f t="shared" si="25"/>
        <v/>
      </c>
      <c r="C132" s="50">
        <f>IF(D93="","-",+C131+1)</f>
        <v>2042</v>
      </c>
      <c r="D132" s="12">
        <f>IF(F131+SUM(E$99:E131)=D$92,F131,D$92-SUM(E$99:E131))</f>
        <v>0</v>
      </c>
      <c r="E132" s="378">
        <f>IF(+J96&lt;F131,J96,D132)</f>
        <v>0</v>
      </c>
      <c r="F132" s="55">
        <f t="shared" si="28"/>
        <v>0</v>
      </c>
      <c r="G132" s="55">
        <f t="shared" si="29"/>
        <v>0</v>
      </c>
      <c r="H132" s="380">
        <f t="shared" si="26"/>
        <v>0</v>
      </c>
      <c r="I132" s="399">
        <f t="shared" si="27"/>
        <v>0</v>
      </c>
      <c r="J132" s="54">
        <f t="shared" si="30"/>
        <v>0</v>
      </c>
      <c r="K132" s="54"/>
      <c r="L132" s="129"/>
      <c r="M132" s="54">
        <f t="shared" si="31"/>
        <v>0</v>
      </c>
      <c r="N132" s="129"/>
      <c r="O132" s="54">
        <f t="shared" si="32"/>
        <v>0</v>
      </c>
      <c r="P132" s="54">
        <f t="shared" si="33"/>
        <v>0</v>
      </c>
      <c r="Q132" s="1"/>
    </row>
    <row r="133" spans="2:17" ht="12.5">
      <c r="B133" s="7" t="str">
        <f t="shared" si="25"/>
        <v/>
      </c>
      <c r="C133" s="50">
        <f>IF(D93="","-",+C132+1)</f>
        <v>2043</v>
      </c>
      <c r="D133" s="12">
        <f>IF(F132+SUM(E$99:E132)=D$92,F132,D$92-SUM(E$99:E132))</f>
        <v>0</v>
      </c>
      <c r="E133" s="378">
        <f>IF(+J96&lt;F132,J96,D133)</f>
        <v>0</v>
      </c>
      <c r="F133" s="55">
        <f t="shared" si="28"/>
        <v>0</v>
      </c>
      <c r="G133" s="55">
        <f t="shared" si="29"/>
        <v>0</v>
      </c>
      <c r="H133" s="380">
        <f t="shared" si="26"/>
        <v>0</v>
      </c>
      <c r="I133" s="399">
        <f t="shared" si="27"/>
        <v>0</v>
      </c>
      <c r="J133" s="54">
        <f t="shared" si="30"/>
        <v>0</v>
      </c>
      <c r="K133" s="54"/>
      <c r="L133" s="129"/>
      <c r="M133" s="54">
        <f t="shared" si="31"/>
        <v>0</v>
      </c>
      <c r="N133" s="129"/>
      <c r="O133" s="54">
        <f t="shared" si="32"/>
        <v>0</v>
      </c>
      <c r="P133" s="54">
        <f t="shared" si="33"/>
        <v>0</v>
      </c>
      <c r="Q133" s="1"/>
    </row>
    <row r="134" spans="2:17" ht="12.5">
      <c r="B134" s="7" t="str">
        <f t="shared" si="25"/>
        <v/>
      </c>
      <c r="C134" s="50">
        <f>IF(D93="","-",+C133+1)</f>
        <v>2044</v>
      </c>
      <c r="D134" s="12">
        <f>IF(F133+SUM(E$99:E133)=D$92,F133,D$92-SUM(E$99:E133))</f>
        <v>0</v>
      </c>
      <c r="E134" s="378">
        <f>IF(+J96&lt;F133,J96,D134)</f>
        <v>0</v>
      </c>
      <c r="F134" s="55">
        <f t="shared" si="28"/>
        <v>0</v>
      </c>
      <c r="G134" s="55">
        <f t="shared" si="29"/>
        <v>0</v>
      </c>
      <c r="H134" s="380">
        <f t="shared" si="26"/>
        <v>0</v>
      </c>
      <c r="I134" s="399">
        <f t="shared" si="27"/>
        <v>0</v>
      </c>
      <c r="J134" s="54">
        <f t="shared" si="30"/>
        <v>0</v>
      </c>
      <c r="K134" s="54"/>
      <c r="L134" s="129"/>
      <c r="M134" s="54">
        <f t="shared" si="31"/>
        <v>0</v>
      </c>
      <c r="N134" s="129"/>
      <c r="O134" s="54">
        <f t="shared" si="32"/>
        <v>0</v>
      </c>
      <c r="P134" s="54">
        <f t="shared" si="33"/>
        <v>0</v>
      </c>
      <c r="Q134" s="1"/>
    </row>
    <row r="135" spans="2:17" ht="12.5">
      <c r="B135" s="7" t="str">
        <f t="shared" si="25"/>
        <v/>
      </c>
      <c r="C135" s="50">
        <f>IF(D93="","-",+C134+1)</f>
        <v>2045</v>
      </c>
      <c r="D135" s="12">
        <f>IF(F134+SUM(E$99:E134)=D$92,F134,D$92-SUM(E$99:E134))</f>
        <v>0</v>
      </c>
      <c r="E135" s="378">
        <f>IF(+J96&lt;F134,J96,D135)</f>
        <v>0</v>
      </c>
      <c r="F135" s="55">
        <f t="shared" si="28"/>
        <v>0</v>
      </c>
      <c r="G135" s="55">
        <f t="shared" si="29"/>
        <v>0</v>
      </c>
      <c r="H135" s="380">
        <f t="shared" si="26"/>
        <v>0</v>
      </c>
      <c r="I135" s="399">
        <f t="shared" si="27"/>
        <v>0</v>
      </c>
      <c r="J135" s="54">
        <f t="shared" si="30"/>
        <v>0</v>
      </c>
      <c r="K135" s="54"/>
      <c r="L135" s="129"/>
      <c r="M135" s="54">
        <f t="shared" si="31"/>
        <v>0</v>
      </c>
      <c r="N135" s="129"/>
      <c r="O135" s="54">
        <f t="shared" si="32"/>
        <v>0</v>
      </c>
      <c r="P135" s="54">
        <f t="shared" si="33"/>
        <v>0</v>
      </c>
      <c r="Q135" s="1"/>
    </row>
    <row r="136" spans="2:17" ht="12.5">
      <c r="B136" s="7" t="str">
        <f t="shared" si="25"/>
        <v/>
      </c>
      <c r="C136" s="50">
        <f>IF(D93="","-",+C135+1)</f>
        <v>2046</v>
      </c>
      <c r="D136" s="12">
        <f>IF(F135+SUM(E$99:E135)=D$92,F135,D$92-SUM(E$99:E135))</f>
        <v>0</v>
      </c>
      <c r="E136" s="378">
        <f>IF(+J96&lt;F135,J96,D136)</f>
        <v>0</v>
      </c>
      <c r="F136" s="55">
        <f t="shared" si="28"/>
        <v>0</v>
      </c>
      <c r="G136" s="55">
        <f t="shared" si="29"/>
        <v>0</v>
      </c>
      <c r="H136" s="380">
        <f t="shared" si="26"/>
        <v>0</v>
      </c>
      <c r="I136" s="399">
        <f t="shared" si="27"/>
        <v>0</v>
      </c>
      <c r="J136" s="54">
        <f t="shared" si="30"/>
        <v>0</v>
      </c>
      <c r="K136" s="54"/>
      <c r="L136" s="129"/>
      <c r="M136" s="54">
        <f t="shared" si="31"/>
        <v>0</v>
      </c>
      <c r="N136" s="129"/>
      <c r="O136" s="54">
        <f t="shared" si="32"/>
        <v>0</v>
      </c>
      <c r="P136" s="54">
        <f t="shared" si="33"/>
        <v>0</v>
      </c>
      <c r="Q136" s="1"/>
    </row>
    <row r="137" spans="2:17" ht="12.5">
      <c r="B137" s="7" t="str">
        <f t="shared" si="25"/>
        <v/>
      </c>
      <c r="C137" s="50">
        <f>IF(D93="","-",+C136+1)</f>
        <v>2047</v>
      </c>
      <c r="D137" s="12">
        <f>IF(F136+SUM(E$99:E136)=D$92,F136,D$92-SUM(E$99:E136))</f>
        <v>0</v>
      </c>
      <c r="E137" s="378">
        <f>IF(+J96&lt;F136,J96,D137)</f>
        <v>0</v>
      </c>
      <c r="F137" s="55">
        <f t="shared" si="28"/>
        <v>0</v>
      </c>
      <c r="G137" s="55">
        <f t="shared" si="29"/>
        <v>0</v>
      </c>
      <c r="H137" s="380">
        <f t="shared" si="26"/>
        <v>0</v>
      </c>
      <c r="I137" s="399">
        <f t="shared" si="27"/>
        <v>0</v>
      </c>
      <c r="J137" s="54">
        <f t="shared" si="30"/>
        <v>0</v>
      </c>
      <c r="K137" s="54"/>
      <c r="L137" s="129"/>
      <c r="M137" s="54">
        <f t="shared" si="31"/>
        <v>0</v>
      </c>
      <c r="N137" s="129"/>
      <c r="O137" s="54">
        <f t="shared" si="32"/>
        <v>0</v>
      </c>
      <c r="P137" s="54">
        <f t="shared" si="33"/>
        <v>0</v>
      </c>
      <c r="Q137" s="1"/>
    </row>
    <row r="138" spans="2:17" ht="12.5">
      <c r="B138" s="7" t="str">
        <f t="shared" si="25"/>
        <v/>
      </c>
      <c r="C138" s="50">
        <f>IF(D93="","-",+C137+1)</f>
        <v>2048</v>
      </c>
      <c r="D138" s="12">
        <f>IF(F137+SUM(E$99:E137)=D$92,F137,D$92-SUM(E$99:E137))</f>
        <v>0</v>
      </c>
      <c r="E138" s="378">
        <f>IF(+J96&lt;F137,J96,D138)</f>
        <v>0</v>
      </c>
      <c r="F138" s="55">
        <f t="shared" si="28"/>
        <v>0</v>
      </c>
      <c r="G138" s="55">
        <f t="shared" si="29"/>
        <v>0</v>
      </c>
      <c r="H138" s="380">
        <f t="shared" si="26"/>
        <v>0</v>
      </c>
      <c r="I138" s="399">
        <f t="shared" si="27"/>
        <v>0</v>
      </c>
      <c r="J138" s="54">
        <f t="shared" si="30"/>
        <v>0</v>
      </c>
      <c r="K138" s="54"/>
      <c r="L138" s="129"/>
      <c r="M138" s="54">
        <f t="shared" si="31"/>
        <v>0</v>
      </c>
      <c r="N138" s="129"/>
      <c r="O138" s="54">
        <f t="shared" si="32"/>
        <v>0</v>
      </c>
      <c r="P138" s="54">
        <f t="shared" si="33"/>
        <v>0</v>
      </c>
      <c r="Q138" s="1"/>
    </row>
    <row r="139" spans="2:17" ht="12.5">
      <c r="B139" s="7" t="str">
        <f t="shared" si="25"/>
        <v/>
      </c>
      <c r="C139" s="50">
        <f>IF(D93="","-",+C138+1)</f>
        <v>2049</v>
      </c>
      <c r="D139" s="12">
        <f>IF(F138+SUM(E$99:E138)=D$92,F138,D$92-SUM(E$99:E138))</f>
        <v>0</v>
      </c>
      <c r="E139" s="378">
        <f>IF(+J96&lt;F138,J96,D139)</f>
        <v>0</v>
      </c>
      <c r="F139" s="55">
        <f t="shared" si="28"/>
        <v>0</v>
      </c>
      <c r="G139" s="55">
        <f t="shared" si="29"/>
        <v>0</v>
      </c>
      <c r="H139" s="380">
        <f t="shared" si="26"/>
        <v>0</v>
      </c>
      <c r="I139" s="399">
        <f t="shared" si="27"/>
        <v>0</v>
      </c>
      <c r="J139" s="54">
        <f t="shared" si="30"/>
        <v>0</v>
      </c>
      <c r="K139" s="54"/>
      <c r="L139" s="129"/>
      <c r="M139" s="54">
        <f t="shared" si="31"/>
        <v>0</v>
      </c>
      <c r="N139" s="129"/>
      <c r="O139" s="54">
        <f t="shared" si="32"/>
        <v>0</v>
      </c>
      <c r="P139" s="54">
        <f t="shared" si="33"/>
        <v>0</v>
      </c>
      <c r="Q139" s="1"/>
    </row>
    <row r="140" spans="2:17" ht="12.5">
      <c r="B140" s="7" t="str">
        <f t="shared" si="25"/>
        <v/>
      </c>
      <c r="C140" s="50">
        <f>IF(D93="","-",+C139+1)</f>
        <v>2050</v>
      </c>
      <c r="D140" s="12">
        <f>IF(F139+SUM(E$99:E139)=D$92,F139,D$92-SUM(E$99:E139))</f>
        <v>0</v>
      </c>
      <c r="E140" s="378">
        <f>IF(+J96&lt;F139,J96,D140)</f>
        <v>0</v>
      </c>
      <c r="F140" s="55">
        <f t="shared" si="28"/>
        <v>0</v>
      </c>
      <c r="G140" s="55">
        <f t="shared" si="29"/>
        <v>0</v>
      </c>
      <c r="H140" s="380">
        <f t="shared" si="26"/>
        <v>0</v>
      </c>
      <c r="I140" s="399">
        <f t="shared" si="27"/>
        <v>0</v>
      </c>
      <c r="J140" s="54">
        <f t="shared" si="30"/>
        <v>0</v>
      </c>
      <c r="K140" s="54"/>
      <c r="L140" s="129"/>
      <c r="M140" s="54">
        <f t="shared" si="31"/>
        <v>0</v>
      </c>
      <c r="N140" s="129"/>
      <c r="O140" s="54">
        <f t="shared" si="32"/>
        <v>0</v>
      </c>
      <c r="P140" s="54">
        <f t="shared" si="33"/>
        <v>0</v>
      </c>
      <c r="Q140" s="1"/>
    </row>
    <row r="141" spans="2:17" ht="12.5">
      <c r="B141" s="7" t="str">
        <f t="shared" si="25"/>
        <v/>
      </c>
      <c r="C141" s="50">
        <f>IF(D93="","-",+C140+1)</f>
        <v>2051</v>
      </c>
      <c r="D141" s="12">
        <f>IF(F140+SUM(E$99:E140)=D$92,F140,D$92-SUM(E$99:E140))</f>
        <v>0</v>
      </c>
      <c r="E141" s="378">
        <f>IF(+J96&lt;F140,J96,D141)</f>
        <v>0</v>
      </c>
      <c r="F141" s="55">
        <f t="shared" si="28"/>
        <v>0</v>
      </c>
      <c r="G141" s="55">
        <f t="shared" si="29"/>
        <v>0</v>
      </c>
      <c r="H141" s="380">
        <f t="shared" si="26"/>
        <v>0</v>
      </c>
      <c r="I141" s="399">
        <f t="shared" si="27"/>
        <v>0</v>
      </c>
      <c r="J141" s="54">
        <f t="shared" si="30"/>
        <v>0</v>
      </c>
      <c r="K141" s="54"/>
      <c r="L141" s="129"/>
      <c r="M141" s="54">
        <f t="shared" si="31"/>
        <v>0</v>
      </c>
      <c r="N141" s="129"/>
      <c r="O141" s="54">
        <f t="shared" si="32"/>
        <v>0</v>
      </c>
      <c r="P141" s="54">
        <f t="shared" si="33"/>
        <v>0</v>
      </c>
      <c r="Q141" s="1"/>
    </row>
    <row r="142" spans="2:17" ht="12.5">
      <c r="B142" s="7" t="str">
        <f t="shared" si="25"/>
        <v/>
      </c>
      <c r="C142" s="50">
        <f>IF(D93="","-",+C141+1)</f>
        <v>2052</v>
      </c>
      <c r="D142" s="12">
        <f>IF(F141+SUM(E$99:E141)=D$92,F141,D$92-SUM(E$99:E141))</f>
        <v>0</v>
      </c>
      <c r="E142" s="378">
        <f>IF(+J96&lt;F141,J96,D142)</f>
        <v>0</v>
      </c>
      <c r="F142" s="55">
        <f t="shared" si="28"/>
        <v>0</v>
      </c>
      <c r="G142" s="55">
        <f t="shared" si="29"/>
        <v>0</v>
      </c>
      <c r="H142" s="380">
        <f t="shared" si="26"/>
        <v>0</v>
      </c>
      <c r="I142" s="399">
        <f t="shared" si="27"/>
        <v>0</v>
      </c>
      <c r="J142" s="54">
        <f t="shared" si="30"/>
        <v>0</v>
      </c>
      <c r="K142" s="54"/>
      <c r="L142" s="129"/>
      <c r="M142" s="54">
        <f t="shared" si="31"/>
        <v>0</v>
      </c>
      <c r="N142" s="129"/>
      <c r="O142" s="54">
        <f t="shared" si="32"/>
        <v>0</v>
      </c>
      <c r="P142" s="54">
        <f t="shared" si="33"/>
        <v>0</v>
      </c>
      <c r="Q142" s="1"/>
    </row>
    <row r="143" spans="2:17" ht="12.5">
      <c r="B143" s="7" t="str">
        <f t="shared" si="25"/>
        <v/>
      </c>
      <c r="C143" s="50">
        <f>IF(D93="","-",+C142+1)</f>
        <v>2053</v>
      </c>
      <c r="D143" s="12">
        <f>IF(F142+SUM(E$99:E142)=D$92,F142,D$92-SUM(E$99:E142))</f>
        <v>0</v>
      </c>
      <c r="E143" s="378">
        <f>IF(+J96&lt;F142,J96,D143)</f>
        <v>0</v>
      </c>
      <c r="F143" s="55">
        <f t="shared" si="28"/>
        <v>0</v>
      </c>
      <c r="G143" s="55">
        <f t="shared" si="29"/>
        <v>0</v>
      </c>
      <c r="H143" s="380">
        <f t="shared" si="26"/>
        <v>0</v>
      </c>
      <c r="I143" s="399">
        <f t="shared" si="27"/>
        <v>0</v>
      </c>
      <c r="J143" s="54">
        <f t="shared" si="30"/>
        <v>0</v>
      </c>
      <c r="K143" s="54"/>
      <c r="L143" s="129"/>
      <c r="M143" s="54">
        <f t="shared" si="31"/>
        <v>0</v>
      </c>
      <c r="N143" s="129"/>
      <c r="O143" s="54">
        <f t="shared" si="32"/>
        <v>0</v>
      </c>
      <c r="P143" s="54">
        <f t="shared" si="33"/>
        <v>0</v>
      </c>
      <c r="Q143" s="1"/>
    </row>
    <row r="144" spans="2:17" ht="12.5">
      <c r="B144" s="7" t="str">
        <f t="shared" si="25"/>
        <v/>
      </c>
      <c r="C144" s="50">
        <f>IF(D93="","-",+C143+1)</f>
        <v>2054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28"/>
        <v>0</v>
      </c>
      <c r="G144" s="55">
        <f t="shared" si="29"/>
        <v>0</v>
      </c>
      <c r="H144" s="380">
        <f t="shared" si="26"/>
        <v>0</v>
      </c>
      <c r="I144" s="399">
        <f t="shared" si="27"/>
        <v>0</v>
      </c>
      <c r="J144" s="54">
        <f t="shared" si="30"/>
        <v>0</v>
      </c>
      <c r="K144" s="54"/>
      <c r="L144" s="129"/>
      <c r="M144" s="54">
        <f t="shared" si="31"/>
        <v>0</v>
      </c>
      <c r="N144" s="129"/>
      <c r="O144" s="54">
        <f t="shared" si="32"/>
        <v>0</v>
      </c>
      <c r="P144" s="54">
        <f t="shared" si="33"/>
        <v>0</v>
      </c>
      <c r="Q144" s="1"/>
    </row>
    <row r="145" spans="2:17" ht="12.5">
      <c r="B145" s="7" t="str">
        <f t="shared" si="25"/>
        <v/>
      </c>
      <c r="C145" s="50">
        <f>IF(D93="","-",+C144+1)</f>
        <v>2055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28"/>
        <v>0</v>
      </c>
      <c r="G145" s="55">
        <f t="shared" si="29"/>
        <v>0</v>
      </c>
      <c r="H145" s="380">
        <f t="shared" si="26"/>
        <v>0</v>
      </c>
      <c r="I145" s="399">
        <f t="shared" si="27"/>
        <v>0</v>
      </c>
      <c r="J145" s="54">
        <f t="shared" si="30"/>
        <v>0</v>
      </c>
      <c r="K145" s="54"/>
      <c r="L145" s="129"/>
      <c r="M145" s="54">
        <f t="shared" si="31"/>
        <v>0</v>
      </c>
      <c r="N145" s="129"/>
      <c r="O145" s="54">
        <f t="shared" si="32"/>
        <v>0</v>
      </c>
      <c r="P145" s="54">
        <f t="shared" si="33"/>
        <v>0</v>
      </c>
      <c r="Q145" s="1"/>
    </row>
    <row r="146" spans="2:17" ht="12.5">
      <c r="B146" s="7" t="str">
        <f t="shared" si="25"/>
        <v/>
      </c>
      <c r="C146" s="50">
        <f>IF(D93="","-",+C145+1)</f>
        <v>2056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28"/>
        <v>0</v>
      </c>
      <c r="G146" s="55">
        <f t="shared" si="29"/>
        <v>0</v>
      </c>
      <c r="H146" s="380">
        <f t="shared" si="26"/>
        <v>0</v>
      </c>
      <c r="I146" s="399">
        <f t="shared" si="27"/>
        <v>0</v>
      </c>
      <c r="J146" s="54">
        <f t="shared" si="30"/>
        <v>0</v>
      </c>
      <c r="K146" s="54"/>
      <c r="L146" s="129"/>
      <c r="M146" s="54">
        <f t="shared" si="31"/>
        <v>0</v>
      </c>
      <c r="N146" s="129"/>
      <c r="O146" s="54">
        <f t="shared" si="32"/>
        <v>0</v>
      </c>
      <c r="P146" s="54">
        <f t="shared" si="33"/>
        <v>0</v>
      </c>
      <c r="Q146" s="1"/>
    </row>
    <row r="147" spans="2:17" ht="12.5">
      <c r="B147" s="7" t="str">
        <f t="shared" si="25"/>
        <v/>
      </c>
      <c r="C147" s="50">
        <f>IF(D93="","-",+C146+1)</f>
        <v>2057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28"/>
        <v>0</v>
      </c>
      <c r="G147" s="55">
        <f t="shared" si="29"/>
        <v>0</v>
      </c>
      <c r="H147" s="380">
        <f t="shared" si="26"/>
        <v>0</v>
      </c>
      <c r="I147" s="399">
        <f t="shared" si="27"/>
        <v>0</v>
      </c>
      <c r="J147" s="54">
        <f t="shared" si="30"/>
        <v>0</v>
      </c>
      <c r="K147" s="54"/>
      <c r="L147" s="129"/>
      <c r="M147" s="54">
        <f t="shared" si="31"/>
        <v>0</v>
      </c>
      <c r="N147" s="129"/>
      <c r="O147" s="54">
        <f t="shared" si="32"/>
        <v>0</v>
      </c>
      <c r="P147" s="54">
        <f t="shared" si="33"/>
        <v>0</v>
      </c>
      <c r="Q147" s="1"/>
    </row>
    <row r="148" spans="2:17" ht="12.5">
      <c r="B148" s="7" t="str">
        <f t="shared" si="25"/>
        <v/>
      </c>
      <c r="C148" s="50">
        <f>IF(D93="","-",+C147+1)</f>
        <v>2058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28"/>
        <v>0</v>
      </c>
      <c r="G148" s="55">
        <f t="shared" si="29"/>
        <v>0</v>
      </c>
      <c r="H148" s="380">
        <f t="shared" si="26"/>
        <v>0</v>
      </c>
      <c r="I148" s="399">
        <f t="shared" si="27"/>
        <v>0</v>
      </c>
      <c r="J148" s="54">
        <f t="shared" si="30"/>
        <v>0</v>
      </c>
      <c r="K148" s="54"/>
      <c r="L148" s="129"/>
      <c r="M148" s="54">
        <f t="shared" si="31"/>
        <v>0</v>
      </c>
      <c r="N148" s="129"/>
      <c r="O148" s="54">
        <f t="shared" si="32"/>
        <v>0</v>
      </c>
      <c r="P148" s="54">
        <f t="shared" si="33"/>
        <v>0</v>
      </c>
      <c r="Q148" s="1"/>
    </row>
    <row r="149" spans="2:17" ht="12.5">
      <c r="B149" s="7" t="str">
        <f t="shared" si="25"/>
        <v/>
      </c>
      <c r="C149" s="50">
        <f>IF(D93="","-",+C148+1)</f>
        <v>2059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28"/>
        <v>0</v>
      </c>
      <c r="G149" s="55">
        <f t="shared" si="29"/>
        <v>0</v>
      </c>
      <c r="H149" s="380">
        <f t="shared" si="26"/>
        <v>0</v>
      </c>
      <c r="I149" s="399">
        <f t="shared" si="27"/>
        <v>0</v>
      </c>
      <c r="J149" s="54">
        <f t="shared" si="30"/>
        <v>0</v>
      </c>
      <c r="K149" s="54"/>
      <c r="L149" s="129"/>
      <c r="M149" s="54">
        <f t="shared" si="31"/>
        <v>0</v>
      </c>
      <c r="N149" s="129"/>
      <c r="O149" s="54">
        <f t="shared" si="32"/>
        <v>0</v>
      </c>
      <c r="P149" s="54">
        <f t="shared" si="33"/>
        <v>0</v>
      </c>
      <c r="Q149" s="1"/>
    </row>
    <row r="150" spans="2:17" ht="12.5">
      <c r="B150" s="7" t="str">
        <f t="shared" si="25"/>
        <v/>
      </c>
      <c r="C150" s="50">
        <f>IF(D93="","-",+C149+1)</f>
        <v>2060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28"/>
        <v>0</v>
      </c>
      <c r="G150" s="55">
        <f t="shared" si="29"/>
        <v>0</v>
      </c>
      <c r="H150" s="380">
        <f t="shared" si="26"/>
        <v>0</v>
      </c>
      <c r="I150" s="399">
        <f t="shared" si="27"/>
        <v>0</v>
      </c>
      <c r="J150" s="54">
        <f t="shared" si="30"/>
        <v>0</v>
      </c>
      <c r="K150" s="54"/>
      <c r="L150" s="129"/>
      <c r="M150" s="54">
        <f t="shared" si="31"/>
        <v>0</v>
      </c>
      <c r="N150" s="129"/>
      <c r="O150" s="54">
        <f t="shared" si="32"/>
        <v>0</v>
      </c>
      <c r="P150" s="54">
        <f t="shared" si="33"/>
        <v>0</v>
      </c>
      <c r="Q150" s="1"/>
    </row>
    <row r="151" spans="2:17" ht="12.5">
      <c r="B151" s="7" t="str">
        <f t="shared" si="25"/>
        <v/>
      </c>
      <c r="C151" s="50">
        <f>IF(D93="","-",+C150+1)</f>
        <v>2061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28"/>
        <v>0</v>
      </c>
      <c r="G151" s="55">
        <f t="shared" si="29"/>
        <v>0</v>
      </c>
      <c r="H151" s="380">
        <f t="shared" si="26"/>
        <v>0</v>
      </c>
      <c r="I151" s="399">
        <f t="shared" si="27"/>
        <v>0</v>
      </c>
      <c r="J151" s="54">
        <f t="shared" si="30"/>
        <v>0</v>
      </c>
      <c r="K151" s="54"/>
      <c r="L151" s="129"/>
      <c r="M151" s="54">
        <f t="shared" si="31"/>
        <v>0</v>
      </c>
      <c r="N151" s="129"/>
      <c r="O151" s="54">
        <f t="shared" si="32"/>
        <v>0</v>
      </c>
      <c r="P151" s="54">
        <f t="shared" si="33"/>
        <v>0</v>
      </c>
      <c r="Q151" s="1"/>
    </row>
    <row r="152" spans="2:17" ht="12.5">
      <c r="B152" s="7" t="str">
        <f t="shared" si="25"/>
        <v/>
      </c>
      <c r="C152" s="50">
        <f>IF(D93="","-",+C151+1)</f>
        <v>2062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28"/>
        <v>0</v>
      </c>
      <c r="G152" s="55">
        <f t="shared" si="29"/>
        <v>0</v>
      </c>
      <c r="H152" s="380">
        <f t="shared" si="26"/>
        <v>0</v>
      </c>
      <c r="I152" s="399">
        <f t="shared" si="27"/>
        <v>0</v>
      </c>
      <c r="J152" s="54">
        <f t="shared" si="30"/>
        <v>0</v>
      </c>
      <c r="K152" s="54"/>
      <c r="L152" s="129"/>
      <c r="M152" s="54">
        <f t="shared" si="31"/>
        <v>0</v>
      </c>
      <c r="N152" s="129"/>
      <c r="O152" s="54">
        <f t="shared" si="32"/>
        <v>0</v>
      </c>
      <c r="P152" s="54">
        <f t="shared" si="33"/>
        <v>0</v>
      </c>
      <c r="Q152" s="1"/>
    </row>
    <row r="153" spans="2:17" ht="12.5">
      <c r="B153" s="7" t="str">
        <f t="shared" si="25"/>
        <v/>
      </c>
      <c r="C153" s="50">
        <f>IF(D93="","-",+C152+1)</f>
        <v>2063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28"/>
        <v>0</v>
      </c>
      <c r="G153" s="55">
        <f t="shared" si="29"/>
        <v>0</v>
      </c>
      <c r="H153" s="380">
        <f t="shared" si="26"/>
        <v>0</v>
      </c>
      <c r="I153" s="399">
        <f t="shared" si="27"/>
        <v>0</v>
      </c>
      <c r="J153" s="54">
        <f t="shared" si="30"/>
        <v>0</v>
      </c>
      <c r="K153" s="54"/>
      <c r="L153" s="129"/>
      <c r="M153" s="54">
        <f t="shared" si="31"/>
        <v>0</v>
      </c>
      <c r="N153" s="129"/>
      <c r="O153" s="54">
        <f t="shared" si="32"/>
        <v>0</v>
      </c>
      <c r="P153" s="54">
        <f t="shared" si="33"/>
        <v>0</v>
      </c>
      <c r="Q153" s="1"/>
    </row>
    <row r="154" spans="2:17" ht="13" thickBot="1">
      <c r="B154" s="7" t="str">
        <f t="shared" si="25"/>
        <v/>
      </c>
      <c r="C154" s="59">
        <f>IF(D93="","-",+C153+1)</f>
        <v>2064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28"/>
        <v>0</v>
      </c>
      <c r="G154" s="60">
        <f t="shared" si="29"/>
        <v>0</v>
      </c>
      <c r="H154" s="382">
        <f t="shared" si="26"/>
        <v>0</v>
      </c>
      <c r="I154" s="400">
        <f t="shared" si="27"/>
        <v>0</v>
      </c>
      <c r="J154" s="64">
        <f t="shared" si="30"/>
        <v>0</v>
      </c>
      <c r="K154" s="54"/>
      <c r="L154" s="130"/>
      <c r="M154" s="64">
        <f t="shared" si="31"/>
        <v>0</v>
      </c>
      <c r="N154" s="130"/>
      <c r="O154" s="64">
        <f t="shared" si="32"/>
        <v>0</v>
      </c>
      <c r="P154" s="64">
        <f t="shared" si="33"/>
        <v>0</v>
      </c>
      <c r="Q154" s="1"/>
    </row>
    <row r="155" spans="2:17" ht="12.5">
      <c r="C155" s="12" t="s">
        <v>78</v>
      </c>
      <c r="D155" s="293"/>
      <c r="E155" s="293">
        <f>SUM(E99:E154)</f>
        <v>0</v>
      </c>
      <c r="F155" s="293"/>
      <c r="G155" s="293"/>
      <c r="H155" s="293">
        <f>SUM(H99:H154)</f>
        <v>0</v>
      </c>
      <c r="I155" s="293">
        <f>SUM(I99:I154)</f>
        <v>0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 ht="12.5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 ht="12.5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21" priority="1" stopIfTrue="1" operator="equal">
      <formula>$I$10</formula>
    </cfRule>
  </conditionalFormatting>
  <conditionalFormatting sqref="C99:C154">
    <cfRule type="cellIs" dxfId="12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68"/>
  <dimension ref="A1:Q162"/>
  <sheetViews>
    <sheetView topLeftCell="A74" zoomScaleNormal="100" zoomScaleSheetLayoutView="75" workbookViewId="0">
      <selection activeCell="D33" sqref="D33:H33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18" max="18" width="9.179687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3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19 of 77</v>
      </c>
      <c r="Q1" s="13"/>
    </row>
    <row r="2" spans="1:17" ht="17.5">
      <c r="B2" s="1"/>
      <c r="C2" s="1"/>
      <c r="D2" s="2"/>
      <c r="E2" s="1"/>
      <c r="F2" s="1"/>
      <c r="G2" s="1"/>
      <c r="H2" s="3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3"/>
      <c r="I3" s="3"/>
      <c r="J3" s="15"/>
      <c r="K3" s="3"/>
      <c r="L3" s="3"/>
      <c r="M3" s="3"/>
      <c r="N3" s="3"/>
      <c r="O3" s="1" t="str">
        <f>RIGHT(N3,3)</f>
        <v/>
      </c>
      <c r="P3" s="96">
        <v>1</v>
      </c>
    </row>
    <row r="4" spans="1:17" ht="16" thickBot="1">
      <c r="C4" s="9"/>
      <c r="D4" s="2"/>
      <c r="E4" s="1"/>
      <c r="F4" s="1"/>
      <c r="G4" s="1"/>
      <c r="H4" s="3"/>
      <c r="I4" s="3"/>
      <c r="J4" s="15"/>
      <c r="K4" s="3"/>
      <c r="L4" s="3"/>
      <c r="M4" s="3"/>
      <c r="N4" s="3"/>
      <c r="O4" s="1"/>
      <c r="P4" s="1"/>
    </row>
    <row r="5" spans="1:17" ht="15.5">
      <c r="C5" s="16" t="s">
        <v>46</v>
      </c>
      <c r="D5" s="2"/>
      <c r="E5" s="1"/>
      <c r="F5" s="1"/>
      <c r="G5" s="17"/>
      <c r="H5" s="1" t="s">
        <v>47</v>
      </c>
      <c r="I5" s="1"/>
      <c r="J5" s="1"/>
      <c r="K5" s="123" t="s">
        <v>157</v>
      </c>
      <c r="L5" s="18"/>
      <c r="M5" s="19"/>
      <c r="N5" s="20">
        <f>VLOOKUP(I10,C17:I72,5)</f>
        <v>436065.41351434769</v>
      </c>
      <c r="P5" s="1"/>
    </row>
    <row r="6" spans="1:17" ht="15.5">
      <c r="C6" s="6"/>
      <c r="D6" s="2"/>
      <c r="E6" s="1"/>
      <c r="F6" s="1"/>
      <c r="G6" s="1"/>
      <c r="H6" s="21"/>
      <c r="I6" s="21"/>
      <c r="J6" s="22"/>
      <c r="K6" s="124" t="s">
        <v>158</v>
      </c>
      <c r="L6" s="23"/>
      <c r="M6" s="1"/>
      <c r="N6" s="24">
        <f>VLOOKUP(I10,C17:I72,6)</f>
        <v>436065.41351434769</v>
      </c>
      <c r="O6" s="1"/>
      <c r="P6" s="1"/>
    </row>
    <row r="7" spans="1:17" ht="13.5" thickBot="1">
      <c r="C7" s="25" t="s">
        <v>48</v>
      </c>
      <c r="D7" s="127" t="s">
        <v>240</v>
      </c>
      <c r="E7" s="1"/>
      <c r="F7" s="1"/>
      <c r="G7" s="1"/>
      <c r="H7" s="3"/>
      <c r="I7" s="3"/>
      <c r="J7" s="15"/>
      <c r="K7" s="26" t="s">
        <v>49</v>
      </c>
      <c r="L7" s="27"/>
      <c r="M7" s="27"/>
      <c r="N7" s="28">
        <f>+N6-N5</f>
        <v>0</v>
      </c>
      <c r="O7" s="1"/>
      <c r="P7" s="1"/>
    </row>
    <row r="8" spans="1:17" ht="13.5" thickBot="1">
      <c r="C8" s="29"/>
      <c r="D8" s="85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154</v>
      </c>
      <c r="E9" s="31" t="s">
        <v>496</v>
      </c>
      <c r="F9" s="462">
        <v>113</v>
      </c>
      <c r="G9" s="31"/>
      <c r="H9" s="31"/>
      <c r="I9" s="32"/>
      <c r="J9" s="33"/>
      <c r="P9" s="1"/>
    </row>
    <row r="10" spans="1:17" ht="13">
      <c r="C10" s="34" t="s">
        <v>51</v>
      </c>
      <c r="D10" s="35">
        <v>4480168</v>
      </c>
      <c r="E10" s="1" t="s">
        <v>52</v>
      </c>
      <c r="G10" s="2"/>
      <c r="H10" s="2"/>
      <c r="I10" s="36">
        <f>+'SWE.WS.F.BPU.ATRR.Projected'!L19</f>
        <v>2024</v>
      </c>
      <c r="J10" s="33"/>
      <c r="K10" s="15" t="s">
        <v>53</v>
      </c>
      <c r="O10" s="1"/>
      <c r="P10" s="1"/>
    </row>
    <row r="11" spans="1:17" ht="12.5">
      <c r="C11" s="34" t="s">
        <v>54</v>
      </c>
      <c r="D11" s="37">
        <v>2008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5">
        <v>5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15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41">
        <f>IF(D10=0,0,D10/D13)</f>
        <v>101822</v>
      </c>
      <c r="J14" s="15"/>
      <c r="K14" s="15"/>
      <c r="L14" s="15"/>
      <c r="M14" s="15"/>
      <c r="N14" s="15"/>
      <c r="O14" s="1"/>
      <c r="P14" s="1"/>
    </row>
    <row r="15" spans="1:17" ht="39">
      <c r="C15" s="42" t="s">
        <v>51</v>
      </c>
      <c r="D15" s="43" t="s">
        <v>65</v>
      </c>
      <c r="E15" s="43" t="s">
        <v>66</v>
      </c>
      <c r="F15" s="43" t="s">
        <v>67</v>
      </c>
      <c r="G15" s="157" t="s">
        <v>391</v>
      </c>
      <c r="H15" s="158" t="s">
        <v>392</v>
      </c>
      <c r="I15" s="131" t="s">
        <v>260</v>
      </c>
      <c r="J15" s="44"/>
      <c r="K15" s="126" t="s">
        <v>227</v>
      </c>
      <c r="L15" s="45" t="s">
        <v>69</v>
      </c>
      <c r="M15" s="126" t="s">
        <v>227</v>
      </c>
      <c r="N15" s="45" t="s">
        <v>69</v>
      </c>
      <c r="O15" s="45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156" t="s">
        <v>74</v>
      </c>
      <c r="H16" s="47" t="s">
        <v>75</v>
      </c>
      <c r="I16" s="46" t="s">
        <v>94</v>
      </c>
      <c r="J16" s="44" t="s">
        <v>76</v>
      </c>
      <c r="K16" s="48" t="s">
        <v>77</v>
      </c>
      <c r="L16" s="48" t="s">
        <v>77</v>
      </c>
      <c r="M16" s="48" t="s">
        <v>95</v>
      </c>
      <c r="N16" s="49" t="s">
        <v>95</v>
      </c>
      <c r="O16" s="48" t="s">
        <v>95</v>
      </c>
      <c r="P16" s="1"/>
    </row>
    <row r="17" spans="2:16" ht="12.5">
      <c r="C17" s="50">
        <f>IF(D11= "","-",D11)</f>
        <v>2008</v>
      </c>
      <c r="D17" s="133">
        <v>2811966</v>
      </c>
      <c r="E17" s="134">
        <v>44333</v>
      </c>
      <c r="F17" s="133">
        <v>2767633</v>
      </c>
      <c r="G17" s="134">
        <v>327116</v>
      </c>
      <c r="H17" s="135">
        <v>327116</v>
      </c>
      <c r="I17" s="153">
        <f t="shared" ref="I17:I48" si="0">H17-G17</f>
        <v>0</v>
      </c>
      <c r="J17" s="52"/>
      <c r="K17" s="112">
        <v>0</v>
      </c>
      <c r="L17" s="53">
        <f t="shared" ref="L17:L48" si="1">IF(K17&lt;&gt;0,+G17-K17,0)</f>
        <v>0</v>
      </c>
      <c r="M17" s="112">
        <v>0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2009</v>
      </c>
      <c r="D18" s="137">
        <v>2767633</v>
      </c>
      <c r="E18" s="136">
        <v>75999</v>
      </c>
      <c r="F18" s="137">
        <v>2691634</v>
      </c>
      <c r="G18" s="136">
        <v>488525</v>
      </c>
      <c r="H18" s="135">
        <v>488525</v>
      </c>
      <c r="I18" s="153">
        <f t="shared" si="0"/>
        <v>0</v>
      </c>
      <c r="J18" s="52"/>
      <c r="K18" s="113">
        <v>488525</v>
      </c>
      <c r="L18" s="54">
        <f t="shared" si="1"/>
        <v>0</v>
      </c>
      <c r="M18" s="113">
        <v>488525</v>
      </c>
      <c r="N18" s="54">
        <f t="shared" si="2"/>
        <v>0</v>
      </c>
      <c r="O18" s="54">
        <f t="shared" si="3"/>
        <v>0</v>
      </c>
      <c r="P18" s="1"/>
    </row>
    <row r="19" spans="2:16" ht="12.5">
      <c r="B19" s="7" t="str">
        <f>IF(D19=F18,"","IU")</f>
        <v>IU</v>
      </c>
      <c r="C19" s="50">
        <f>IF(D11="","-",+C18+1)</f>
        <v>2010</v>
      </c>
      <c r="D19" s="137">
        <v>4359835.62</v>
      </c>
      <c r="E19" s="136">
        <v>117899.14789473685</v>
      </c>
      <c r="F19" s="137">
        <v>4241936.4721052628</v>
      </c>
      <c r="G19" s="136">
        <v>727741.14153838763</v>
      </c>
      <c r="H19" s="135">
        <v>727741.14153838763</v>
      </c>
      <c r="I19" s="153">
        <v>0</v>
      </c>
      <c r="J19" s="52"/>
      <c r="K19" s="113">
        <f t="shared" ref="K19:K24" si="4">G19</f>
        <v>727741.14153838763</v>
      </c>
      <c r="L19" s="54">
        <f t="shared" si="1"/>
        <v>0</v>
      </c>
      <c r="M19" s="113">
        <f t="shared" ref="M19:M24" si="5">H19</f>
        <v>727741.14153838763</v>
      </c>
      <c r="N19" s="54">
        <f t="shared" si="2"/>
        <v>0</v>
      </c>
      <c r="O19" s="54">
        <f t="shared" si="3"/>
        <v>0</v>
      </c>
      <c r="P19" s="1"/>
    </row>
    <row r="20" spans="2:16" ht="12.5">
      <c r="B20" s="7" t="str">
        <f t="shared" ref="B20:B72" si="6">IF(D20=F19,"","IU")</f>
        <v/>
      </c>
      <c r="C20" s="50">
        <f>IF(D11="","-",+C19+1)</f>
        <v>2011</v>
      </c>
      <c r="D20" s="137">
        <v>4241936.4721052628</v>
      </c>
      <c r="E20" s="136">
        <v>109272.38097560976</v>
      </c>
      <c r="F20" s="137">
        <v>4132664.0911296532</v>
      </c>
      <c r="G20" s="136">
        <v>754762.21273088234</v>
      </c>
      <c r="H20" s="135">
        <v>754762.21273088234</v>
      </c>
      <c r="I20" s="153">
        <v>0</v>
      </c>
      <c r="J20" s="52"/>
      <c r="K20" s="113">
        <f t="shared" si="4"/>
        <v>754762.21273088234</v>
      </c>
      <c r="L20" s="54">
        <f t="shared" si="1"/>
        <v>0</v>
      </c>
      <c r="M20" s="113">
        <f t="shared" si="5"/>
        <v>754762.21273088234</v>
      </c>
      <c r="N20" s="54">
        <f t="shared" si="2"/>
        <v>0</v>
      </c>
      <c r="O20" s="54">
        <f t="shared" si="3"/>
        <v>0</v>
      </c>
      <c r="P20" s="1"/>
    </row>
    <row r="21" spans="2:16" ht="12.5">
      <c r="B21" s="7" t="str">
        <f t="shared" si="6"/>
        <v/>
      </c>
      <c r="C21" s="50">
        <f>IF(D12="","-",+C20+1)</f>
        <v>2012</v>
      </c>
      <c r="D21" s="137">
        <v>4132664.0911296532</v>
      </c>
      <c r="E21" s="144">
        <v>106670.65761904762</v>
      </c>
      <c r="F21" s="137">
        <v>4025993.4335106057</v>
      </c>
      <c r="G21" s="136">
        <v>705416.96496110456</v>
      </c>
      <c r="H21" s="135">
        <v>705416.96496110456</v>
      </c>
      <c r="I21" s="153">
        <v>0</v>
      </c>
      <c r="J21" s="52"/>
      <c r="K21" s="113">
        <f t="shared" si="4"/>
        <v>705416.96496110456</v>
      </c>
      <c r="L21" s="54">
        <f t="shared" si="1"/>
        <v>0</v>
      </c>
      <c r="M21" s="113">
        <f t="shared" si="5"/>
        <v>705416.96496110456</v>
      </c>
      <c r="N21" s="54">
        <f t="shared" si="2"/>
        <v>0</v>
      </c>
      <c r="O21" s="54">
        <f t="shared" si="3"/>
        <v>0</v>
      </c>
      <c r="P21" s="1"/>
    </row>
    <row r="22" spans="2:16" ht="12.5">
      <c r="B22" s="7" t="str">
        <f t="shared" si="6"/>
        <v/>
      </c>
      <c r="C22" s="50">
        <f>IF(D11="","-",+C21+1)</f>
        <v>2013</v>
      </c>
      <c r="D22" s="151">
        <v>4025993.4335106057</v>
      </c>
      <c r="E22" s="152">
        <v>106670.65761904762</v>
      </c>
      <c r="F22" s="151">
        <v>3919322.7758915583</v>
      </c>
      <c r="G22" s="152">
        <v>655325.21672934014</v>
      </c>
      <c r="H22" s="150">
        <v>655325.21672934014</v>
      </c>
      <c r="I22" s="153">
        <v>0</v>
      </c>
      <c r="J22" s="52"/>
      <c r="K22" s="113">
        <f t="shared" si="4"/>
        <v>655325.21672934014</v>
      </c>
      <c r="L22" s="54">
        <f t="shared" ref="L22:L27" si="7">IF(K22&lt;&gt;0,+G22-K22,0)</f>
        <v>0</v>
      </c>
      <c r="M22" s="113">
        <f t="shared" si="5"/>
        <v>655325.21672934014</v>
      </c>
      <c r="N22" s="54">
        <f t="shared" ref="N22:N27" si="8">IF(M22&lt;&gt;0,+H22-M22,0)</f>
        <v>0</v>
      </c>
      <c r="O22" s="54">
        <f t="shared" ref="O22:O27" si="9">+N22-L22</f>
        <v>0</v>
      </c>
      <c r="P22" s="1"/>
    </row>
    <row r="23" spans="2:16" ht="12.5">
      <c r="B23" s="7" t="str">
        <f t="shared" si="6"/>
        <v/>
      </c>
      <c r="C23" s="50">
        <f>IF(D11="","-",+C22+1)</f>
        <v>2014</v>
      </c>
      <c r="D23" s="151">
        <v>3919322.7758915583</v>
      </c>
      <c r="E23" s="152">
        <v>106670.65761904762</v>
      </c>
      <c r="F23" s="151">
        <v>3812652.1182725108</v>
      </c>
      <c r="G23" s="152">
        <v>621037.49267561059</v>
      </c>
      <c r="H23" s="150">
        <v>621037.49267561059</v>
      </c>
      <c r="I23" s="153">
        <v>0</v>
      </c>
      <c r="J23" s="52"/>
      <c r="K23" s="113">
        <f t="shared" si="4"/>
        <v>621037.49267561059</v>
      </c>
      <c r="L23" s="54">
        <f t="shared" si="7"/>
        <v>0</v>
      </c>
      <c r="M23" s="113">
        <f t="shared" si="5"/>
        <v>621037.49267561059</v>
      </c>
      <c r="N23" s="54">
        <f t="shared" si="8"/>
        <v>0</v>
      </c>
      <c r="O23" s="54">
        <f t="shared" si="9"/>
        <v>0</v>
      </c>
      <c r="P23" s="1"/>
    </row>
    <row r="24" spans="2:16" ht="12.5">
      <c r="B24" s="7" t="str">
        <f t="shared" si="6"/>
        <v/>
      </c>
      <c r="C24" s="50">
        <f>IF(D11="","-",+C23+1)</f>
        <v>2015</v>
      </c>
      <c r="D24" s="151">
        <v>3812652.1182725108</v>
      </c>
      <c r="E24" s="152">
        <v>106670.65761904762</v>
      </c>
      <c r="F24" s="151">
        <v>3705981.4606534634</v>
      </c>
      <c r="G24" s="152">
        <v>594766.20831186429</v>
      </c>
      <c r="H24" s="150">
        <v>594766.20831186429</v>
      </c>
      <c r="I24" s="52">
        <v>0</v>
      </c>
      <c r="J24" s="52"/>
      <c r="K24" s="113">
        <f t="shared" si="4"/>
        <v>594766.20831186429</v>
      </c>
      <c r="L24" s="54">
        <f t="shared" si="7"/>
        <v>0</v>
      </c>
      <c r="M24" s="113">
        <f t="shared" si="5"/>
        <v>594766.20831186429</v>
      </c>
      <c r="N24" s="54">
        <f t="shared" si="8"/>
        <v>0</v>
      </c>
      <c r="O24" s="54">
        <f t="shared" si="9"/>
        <v>0</v>
      </c>
      <c r="P24" s="1"/>
    </row>
    <row r="25" spans="2:16" ht="12.5">
      <c r="B25" s="7" t="str">
        <f t="shared" si="6"/>
        <v/>
      </c>
      <c r="C25" s="50">
        <f>IF(D11="","-",+C24+1)</f>
        <v>2016</v>
      </c>
      <c r="D25" s="151">
        <v>3705981.4606534634</v>
      </c>
      <c r="E25" s="152">
        <v>106670.65761904762</v>
      </c>
      <c r="F25" s="151">
        <v>3599310.8030344159</v>
      </c>
      <c r="G25" s="152">
        <v>574868.91696308763</v>
      </c>
      <c r="H25" s="150">
        <v>574868.91696308763</v>
      </c>
      <c r="I25" s="52">
        <f t="shared" si="0"/>
        <v>0</v>
      </c>
      <c r="J25" s="52"/>
      <c r="K25" s="113">
        <f t="shared" ref="K25:K30" si="10">G25</f>
        <v>574868.91696308763</v>
      </c>
      <c r="L25" s="54">
        <f t="shared" si="7"/>
        <v>0</v>
      </c>
      <c r="M25" s="113">
        <f t="shared" ref="M25:M30" si="11">H25</f>
        <v>574868.91696308763</v>
      </c>
      <c r="N25" s="54">
        <f t="shared" si="8"/>
        <v>0</v>
      </c>
      <c r="O25" s="54">
        <f t="shared" si="9"/>
        <v>0</v>
      </c>
      <c r="P25" s="1"/>
    </row>
    <row r="26" spans="2:16" ht="12.5">
      <c r="B26" s="7" t="str">
        <f t="shared" si="6"/>
        <v/>
      </c>
      <c r="C26" s="50">
        <f>IF(D11="","-",+C25+1)</f>
        <v>2017</v>
      </c>
      <c r="D26" s="151">
        <v>3599310.8030344159</v>
      </c>
      <c r="E26" s="152">
        <v>104189.94465116279</v>
      </c>
      <c r="F26" s="151">
        <v>3495120.8583832532</v>
      </c>
      <c r="G26" s="152">
        <v>543663.50120193616</v>
      </c>
      <c r="H26" s="150">
        <v>543663.50120193616</v>
      </c>
      <c r="I26" s="52">
        <f t="shared" si="0"/>
        <v>0</v>
      </c>
      <c r="J26" s="52"/>
      <c r="K26" s="113">
        <f t="shared" si="10"/>
        <v>543663.50120193616</v>
      </c>
      <c r="L26" s="54">
        <f t="shared" si="7"/>
        <v>0</v>
      </c>
      <c r="M26" s="113">
        <f t="shared" si="11"/>
        <v>543663.50120193616</v>
      </c>
      <c r="N26" s="54">
        <f t="shared" si="8"/>
        <v>0</v>
      </c>
      <c r="O26" s="54">
        <f t="shared" si="9"/>
        <v>0</v>
      </c>
      <c r="P26" s="1"/>
    </row>
    <row r="27" spans="2:16" ht="12.5">
      <c r="B27" s="7" t="str">
        <f t="shared" si="6"/>
        <v/>
      </c>
      <c r="C27" s="50">
        <f>IF(D11="","-",+C26+1)</f>
        <v>2018</v>
      </c>
      <c r="D27" s="151">
        <v>3495120.8583832532</v>
      </c>
      <c r="E27" s="152">
        <v>109272.38097560976</v>
      </c>
      <c r="F27" s="151">
        <v>3385848.4774076436</v>
      </c>
      <c r="G27" s="152">
        <v>546537.67971827346</v>
      </c>
      <c r="H27" s="150">
        <v>546537.67971827346</v>
      </c>
      <c r="I27" s="52">
        <f t="shared" si="0"/>
        <v>0</v>
      </c>
      <c r="J27" s="52"/>
      <c r="K27" s="113">
        <f t="shared" si="10"/>
        <v>546537.67971827346</v>
      </c>
      <c r="L27" s="54">
        <f t="shared" si="7"/>
        <v>0</v>
      </c>
      <c r="M27" s="113">
        <f t="shared" si="11"/>
        <v>546537.67971827346</v>
      </c>
      <c r="N27" s="54">
        <f t="shared" si="8"/>
        <v>0</v>
      </c>
      <c r="O27" s="54">
        <f t="shared" si="9"/>
        <v>0</v>
      </c>
      <c r="P27" s="1"/>
    </row>
    <row r="28" spans="2:16" ht="12.5">
      <c r="B28" s="7" t="str">
        <f t="shared" si="6"/>
        <v/>
      </c>
      <c r="C28" s="50">
        <f>IF(D11="","-",+C27+1)</f>
        <v>2019</v>
      </c>
      <c r="D28" s="151">
        <v>3385848.4774076436</v>
      </c>
      <c r="E28" s="152">
        <v>109272.38097560976</v>
      </c>
      <c r="F28" s="151">
        <v>3276576.0964320339</v>
      </c>
      <c r="G28" s="152">
        <v>532649.80492043286</v>
      </c>
      <c r="H28" s="150">
        <v>532649.80492043286</v>
      </c>
      <c r="I28" s="52">
        <f t="shared" si="0"/>
        <v>0</v>
      </c>
      <c r="J28" s="52"/>
      <c r="K28" s="113">
        <f t="shared" si="10"/>
        <v>532649.80492043286</v>
      </c>
      <c r="L28" s="54">
        <f t="shared" ref="L28" si="12">IF(K28&lt;&gt;0,+G28-K28,0)</f>
        <v>0</v>
      </c>
      <c r="M28" s="113">
        <f t="shared" si="11"/>
        <v>532649.80492043286</v>
      </c>
      <c r="N28" s="54">
        <f t="shared" si="2"/>
        <v>0</v>
      </c>
      <c r="O28" s="54">
        <f t="shared" si="3"/>
        <v>0</v>
      </c>
      <c r="P28" s="1"/>
    </row>
    <row r="29" spans="2:16" ht="12.5">
      <c r="B29" s="7" t="str">
        <f t="shared" si="6"/>
        <v/>
      </c>
      <c r="C29" s="50">
        <f>IF(D11="","-",+C28+1)</f>
        <v>2020</v>
      </c>
      <c r="D29" s="151">
        <v>3276576.0964320339</v>
      </c>
      <c r="E29" s="152">
        <v>109272.38097560976</v>
      </c>
      <c r="F29" s="151">
        <v>3167303.7154564243</v>
      </c>
      <c r="G29" s="152">
        <v>438991.06815712724</v>
      </c>
      <c r="H29" s="150">
        <v>438991.06815712724</v>
      </c>
      <c r="I29" s="52">
        <f t="shared" si="0"/>
        <v>0</v>
      </c>
      <c r="J29" s="52"/>
      <c r="K29" s="113">
        <f t="shared" si="10"/>
        <v>438991.06815712724</v>
      </c>
      <c r="L29" s="54">
        <f t="shared" ref="L29" si="13">IF(K29&lt;&gt;0,+G29-K29,0)</f>
        <v>0</v>
      </c>
      <c r="M29" s="113">
        <f t="shared" si="11"/>
        <v>438991.06815712724</v>
      </c>
      <c r="N29" s="54">
        <f t="shared" si="2"/>
        <v>0</v>
      </c>
      <c r="O29" s="54">
        <f t="shared" si="3"/>
        <v>0</v>
      </c>
      <c r="P29" s="1"/>
    </row>
    <row r="30" spans="2:16" ht="12.5">
      <c r="B30" s="7" t="str">
        <f t="shared" si="6"/>
        <v>IU</v>
      </c>
      <c r="C30" s="50">
        <f>IF(D11="","-",+C29+1)</f>
        <v>2021</v>
      </c>
      <c r="D30" s="151">
        <v>3172386.1517808703</v>
      </c>
      <c r="E30" s="152">
        <v>106670.65761904762</v>
      </c>
      <c r="F30" s="151">
        <v>3065715.4941618228</v>
      </c>
      <c r="G30" s="152">
        <v>437304.22107294126</v>
      </c>
      <c r="H30" s="150">
        <v>437304.22107294126</v>
      </c>
      <c r="I30" s="52">
        <f t="shared" si="0"/>
        <v>0</v>
      </c>
      <c r="J30" s="52"/>
      <c r="K30" s="113">
        <f t="shared" si="10"/>
        <v>437304.22107294126</v>
      </c>
      <c r="L30" s="54">
        <f t="shared" ref="L30" si="14">IF(K30&lt;&gt;0,+G30-K30,0)</f>
        <v>0</v>
      </c>
      <c r="M30" s="113">
        <f t="shared" si="11"/>
        <v>437304.22107294126</v>
      </c>
      <c r="N30" s="54">
        <f t="shared" si="2"/>
        <v>0</v>
      </c>
      <c r="O30" s="54">
        <f t="shared" si="3"/>
        <v>0</v>
      </c>
      <c r="P30" s="1"/>
    </row>
    <row r="31" spans="2:16" ht="12.5">
      <c r="B31" s="7" t="str">
        <f t="shared" si="6"/>
        <v>IU</v>
      </c>
      <c r="C31" s="50">
        <f>IF(D11="","-",+C30+1)</f>
        <v>2022</v>
      </c>
      <c r="D31" s="151">
        <v>3060633.0578373754</v>
      </c>
      <c r="E31" s="152">
        <v>106670.65761904762</v>
      </c>
      <c r="F31" s="151">
        <v>2953962.400218328</v>
      </c>
      <c r="G31" s="152">
        <v>444823.534818093</v>
      </c>
      <c r="H31" s="150">
        <v>444823.534818093</v>
      </c>
      <c r="I31" s="52">
        <f t="shared" si="0"/>
        <v>0</v>
      </c>
      <c r="J31" s="52"/>
      <c r="K31" s="113">
        <f t="shared" ref="K31" si="15">G31</f>
        <v>444823.534818093</v>
      </c>
      <c r="L31" s="54">
        <f t="shared" ref="L31" si="16">IF(K31&lt;&gt;0,+G31-K31,0)</f>
        <v>0</v>
      </c>
      <c r="M31" s="113">
        <f t="shared" ref="M31" si="17">H31</f>
        <v>444823.534818093</v>
      </c>
      <c r="N31" s="54">
        <f t="shared" si="2"/>
        <v>0</v>
      </c>
      <c r="O31" s="54">
        <f t="shared" si="3"/>
        <v>0</v>
      </c>
      <c r="P31" s="1"/>
    </row>
    <row r="32" spans="2:16" ht="12.5">
      <c r="B32" s="7" t="str">
        <f t="shared" si="6"/>
        <v>IU</v>
      </c>
      <c r="C32" s="50">
        <f>IF(D11="","-",+C31+1)</f>
        <v>2023</v>
      </c>
      <c r="D32" s="151">
        <v>2953962.7802183279</v>
      </c>
      <c r="E32" s="152">
        <v>106670.66666666667</v>
      </c>
      <c r="F32" s="151">
        <v>2847292.1135516614</v>
      </c>
      <c r="G32" s="152">
        <v>473097.6151571942</v>
      </c>
      <c r="H32" s="150">
        <v>473097.6151571942</v>
      </c>
      <c r="I32" s="52">
        <f t="shared" si="0"/>
        <v>0</v>
      </c>
      <c r="J32" s="52"/>
      <c r="K32" s="113">
        <f t="shared" ref="K32" si="18">G32</f>
        <v>473097.6151571942</v>
      </c>
      <c r="L32" s="54">
        <f t="shared" ref="L32" si="19">IF(K32&lt;&gt;0,+G32-K32,0)</f>
        <v>0</v>
      </c>
      <c r="M32" s="113">
        <f t="shared" ref="M32" si="20">H32</f>
        <v>473097.6151571942</v>
      </c>
      <c r="N32" s="54">
        <f t="shared" si="2"/>
        <v>0</v>
      </c>
      <c r="O32" s="54">
        <f t="shared" si="3"/>
        <v>0</v>
      </c>
      <c r="P32" s="1"/>
    </row>
    <row r="33" spans="2:16" ht="12.5">
      <c r="B33" s="7" t="str">
        <f t="shared" si="6"/>
        <v/>
      </c>
      <c r="C33" s="50">
        <f>IF(D11="","-",+C32+1)</f>
        <v>2024</v>
      </c>
      <c r="D33" s="151">
        <v>2847292.1135516614</v>
      </c>
      <c r="E33" s="152">
        <v>101822</v>
      </c>
      <c r="F33" s="151">
        <v>2745470.1135516614</v>
      </c>
      <c r="G33" s="152">
        <v>436065.41351434769</v>
      </c>
      <c r="H33" s="150">
        <v>436065.41351434769</v>
      </c>
      <c r="I33" s="52">
        <f t="shared" si="0"/>
        <v>0</v>
      </c>
      <c r="J33" s="52"/>
      <c r="K33" s="113">
        <f t="shared" ref="K33" si="21">G33</f>
        <v>436065.41351434769</v>
      </c>
      <c r="L33" s="54">
        <f t="shared" ref="L33" si="22">IF(K33&lt;&gt;0,+G33-K33,0)</f>
        <v>0</v>
      </c>
      <c r="M33" s="113">
        <f t="shared" ref="M33" si="23">H33</f>
        <v>436065.41351434769</v>
      </c>
      <c r="N33" s="54">
        <f t="shared" ref="N33" si="24">IF(M33&lt;&gt;0,+H33-M33,0)</f>
        <v>0</v>
      </c>
      <c r="O33" s="54">
        <f t="shared" ref="O33" si="25">+N33-L33</f>
        <v>0</v>
      </c>
      <c r="P33" s="1"/>
    </row>
    <row r="34" spans="2:16" ht="12.5">
      <c r="B34" s="7" t="str">
        <f t="shared" si="6"/>
        <v/>
      </c>
      <c r="C34" s="50">
        <f>IF(D11="","-",+C33+1)</f>
        <v>2025</v>
      </c>
      <c r="D34" s="55">
        <f>IF(F33+SUM(E$17:E33)=D$10,F33,D$10-SUM(E$17:E33))</f>
        <v>2745470.1135516614</v>
      </c>
      <c r="E34" s="56">
        <f>IF(+I14&lt;F33,I14,D34)</f>
        <v>101822</v>
      </c>
      <c r="F34" s="55">
        <f t="shared" ref="F34:F48" si="26">+D34-E34</f>
        <v>2643648.1135516614</v>
      </c>
      <c r="G34" s="57">
        <f t="shared" ref="G34:G72" si="27">+I$12*((D34+F34)/2)+E34</f>
        <v>423894.9219150705</v>
      </c>
      <c r="H34" s="41">
        <f t="shared" ref="H34:H72" si="28">+I$13*((D34+F34)/2)+E34</f>
        <v>423894.9219150705</v>
      </c>
      <c r="I34" s="52">
        <f t="shared" si="0"/>
        <v>0</v>
      </c>
      <c r="J34" s="52"/>
      <c r="K34" s="129"/>
      <c r="L34" s="54">
        <f t="shared" si="1"/>
        <v>0</v>
      </c>
      <c r="M34" s="129"/>
      <c r="N34" s="54">
        <f t="shared" si="2"/>
        <v>0</v>
      </c>
      <c r="O34" s="54">
        <f t="shared" si="3"/>
        <v>0</v>
      </c>
      <c r="P34" s="1"/>
    </row>
    <row r="35" spans="2:16" ht="12.5">
      <c r="B35" s="7" t="str">
        <f t="shared" si="6"/>
        <v/>
      </c>
      <c r="C35" s="50">
        <f>IF(D11="","-",+C34+1)</f>
        <v>2026</v>
      </c>
      <c r="D35" s="55">
        <f>IF(F34+SUM(E$17:E34)=D$10,F34,D$10-SUM(E$17:E34))</f>
        <v>2643648.1135516614</v>
      </c>
      <c r="E35" s="56">
        <f>IF(+I14&lt;F34,I14,D35)</f>
        <v>101822</v>
      </c>
      <c r="F35" s="55">
        <f t="shared" si="26"/>
        <v>2541826.1135516614</v>
      </c>
      <c r="G35" s="57">
        <f t="shared" si="27"/>
        <v>411724.43031579326</v>
      </c>
      <c r="H35" s="41">
        <f t="shared" si="28"/>
        <v>411724.43031579326</v>
      </c>
      <c r="I35" s="52">
        <f t="shared" si="0"/>
        <v>0</v>
      </c>
      <c r="J35" s="52"/>
      <c r="K35" s="129"/>
      <c r="L35" s="54">
        <f t="shared" si="1"/>
        <v>0</v>
      </c>
      <c r="M35" s="129"/>
      <c r="N35" s="54">
        <f t="shared" si="2"/>
        <v>0</v>
      </c>
      <c r="O35" s="54">
        <f t="shared" si="3"/>
        <v>0</v>
      </c>
      <c r="P35" s="1"/>
    </row>
    <row r="36" spans="2:16" ht="12.5">
      <c r="B36" s="7" t="str">
        <f t="shared" si="6"/>
        <v/>
      </c>
      <c r="C36" s="50">
        <f>IF(D11="","-",+C35+1)</f>
        <v>2027</v>
      </c>
      <c r="D36" s="55">
        <f>IF(F35+SUM(E$17:E35)=D$10,F35,D$10-SUM(E$17:E35))</f>
        <v>2541826.1135516614</v>
      </c>
      <c r="E36" s="56">
        <f>IF(+I14&lt;F35,I14,D36)</f>
        <v>101822</v>
      </c>
      <c r="F36" s="55">
        <f t="shared" si="26"/>
        <v>2440004.1135516614</v>
      </c>
      <c r="G36" s="57">
        <f t="shared" si="27"/>
        <v>399553.93871651607</v>
      </c>
      <c r="H36" s="41">
        <f t="shared" si="28"/>
        <v>399553.93871651607</v>
      </c>
      <c r="I36" s="52">
        <f t="shared" si="0"/>
        <v>0</v>
      </c>
      <c r="J36" s="52"/>
      <c r="K36" s="129"/>
      <c r="L36" s="54">
        <f t="shared" si="1"/>
        <v>0</v>
      </c>
      <c r="M36" s="129"/>
      <c r="N36" s="54">
        <f t="shared" si="2"/>
        <v>0</v>
      </c>
      <c r="O36" s="54">
        <f t="shared" si="3"/>
        <v>0</v>
      </c>
      <c r="P36" s="1"/>
    </row>
    <row r="37" spans="2:16" ht="12.5">
      <c r="B37" s="7" t="str">
        <f t="shared" si="6"/>
        <v/>
      </c>
      <c r="C37" s="50">
        <f>IF(D11="","-",+C36+1)</f>
        <v>2028</v>
      </c>
      <c r="D37" s="55">
        <f>IF(F36+SUM(E$17:E36)=D$10,F36,D$10-SUM(E$17:E36))</f>
        <v>2440004.1135516614</v>
      </c>
      <c r="E37" s="56">
        <f>IF(+I14&lt;F36,I14,D37)</f>
        <v>101822</v>
      </c>
      <c r="F37" s="55">
        <f t="shared" si="26"/>
        <v>2338182.1135516614</v>
      </c>
      <c r="G37" s="57">
        <f t="shared" si="27"/>
        <v>387383.44711723889</v>
      </c>
      <c r="H37" s="41">
        <f t="shared" si="28"/>
        <v>387383.44711723889</v>
      </c>
      <c r="I37" s="52">
        <f t="shared" si="0"/>
        <v>0</v>
      </c>
      <c r="J37" s="52"/>
      <c r="K37" s="129"/>
      <c r="L37" s="54">
        <f t="shared" si="1"/>
        <v>0</v>
      </c>
      <c r="M37" s="129"/>
      <c r="N37" s="54">
        <f t="shared" si="2"/>
        <v>0</v>
      </c>
      <c r="O37" s="54">
        <f t="shared" si="3"/>
        <v>0</v>
      </c>
      <c r="P37" s="1"/>
    </row>
    <row r="38" spans="2:16" ht="12.5">
      <c r="B38" s="7" t="str">
        <f t="shared" si="6"/>
        <v/>
      </c>
      <c r="C38" s="50">
        <f>IF(D11="","-",+C37+1)</f>
        <v>2029</v>
      </c>
      <c r="D38" s="55">
        <f>IF(F37+SUM(E$17:E37)=D$10,F37,D$10-SUM(E$17:E37))</f>
        <v>2338182.1135516614</v>
      </c>
      <c r="E38" s="56">
        <f>IF(+I14&lt;F37,I14,D38)</f>
        <v>101822</v>
      </c>
      <c r="F38" s="55">
        <f t="shared" si="26"/>
        <v>2236360.1135516614</v>
      </c>
      <c r="G38" s="57">
        <f t="shared" si="27"/>
        <v>375212.9555179617</v>
      </c>
      <c r="H38" s="41">
        <f t="shared" si="28"/>
        <v>375212.9555179617</v>
      </c>
      <c r="I38" s="52">
        <f t="shared" si="0"/>
        <v>0</v>
      </c>
      <c r="J38" s="52"/>
      <c r="K38" s="129"/>
      <c r="L38" s="54">
        <f t="shared" si="1"/>
        <v>0</v>
      </c>
      <c r="M38" s="129"/>
      <c r="N38" s="54">
        <f t="shared" si="2"/>
        <v>0</v>
      </c>
      <c r="O38" s="54">
        <f t="shared" si="3"/>
        <v>0</v>
      </c>
      <c r="P38" s="1"/>
    </row>
    <row r="39" spans="2:16" ht="12.5">
      <c r="B39" s="7" t="str">
        <f t="shared" si="6"/>
        <v/>
      </c>
      <c r="C39" s="50">
        <f>IF(D11="","-",+C38+1)</f>
        <v>2030</v>
      </c>
      <c r="D39" s="55">
        <f>IF(F38+SUM(E$17:E38)=D$10,F38,D$10-SUM(E$17:E38))</f>
        <v>2236360.1135516614</v>
      </c>
      <c r="E39" s="56">
        <f>IF(+I14&lt;F38,I14,D39)</f>
        <v>101822</v>
      </c>
      <c r="F39" s="55">
        <f t="shared" si="26"/>
        <v>2134538.1135516614</v>
      </c>
      <c r="G39" s="57">
        <f t="shared" si="27"/>
        <v>363042.46391868452</v>
      </c>
      <c r="H39" s="41">
        <f t="shared" si="28"/>
        <v>363042.46391868452</v>
      </c>
      <c r="I39" s="52">
        <f t="shared" si="0"/>
        <v>0</v>
      </c>
      <c r="J39" s="52"/>
      <c r="K39" s="129"/>
      <c r="L39" s="54">
        <f t="shared" si="1"/>
        <v>0</v>
      </c>
      <c r="M39" s="129"/>
      <c r="N39" s="54">
        <f t="shared" si="2"/>
        <v>0</v>
      </c>
      <c r="O39" s="54">
        <f t="shared" si="3"/>
        <v>0</v>
      </c>
      <c r="P39" s="1"/>
    </row>
    <row r="40" spans="2:16" ht="12.5">
      <c r="B40" s="7" t="str">
        <f t="shared" si="6"/>
        <v/>
      </c>
      <c r="C40" s="50">
        <f>IF(D11="","-",+C39+1)</f>
        <v>2031</v>
      </c>
      <c r="D40" s="55">
        <f>IF(F39+SUM(E$17:E39)=D$10,F39,D$10-SUM(E$17:E39))</f>
        <v>2134538.1135516614</v>
      </c>
      <c r="E40" s="56">
        <f>IF(+I14&lt;F39,I14,D40)</f>
        <v>101822</v>
      </c>
      <c r="F40" s="55">
        <f t="shared" si="26"/>
        <v>2032716.1135516614</v>
      </c>
      <c r="G40" s="57">
        <f t="shared" si="27"/>
        <v>350871.97231940727</v>
      </c>
      <c r="H40" s="41">
        <f t="shared" si="28"/>
        <v>350871.97231940727</v>
      </c>
      <c r="I40" s="52">
        <f t="shared" si="0"/>
        <v>0</v>
      </c>
      <c r="J40" s="52"/>
      <c r="K40" s="129"/>
      <c r="L40" s="54">
        <f t="shared" si="1"/>
        <v>0</v>
      </c>
      <c r="M40" s="129"/>
      <c r="N40" s="54">
        <f t="shared" si="2"/>
        <v>0</v>
      </c>
      <c r="O40" s="54">
        <f t="shared" si="3"/>
        <v>0</v>
      </c>
      <c r="P40" s="1"/>
    </row>
    <row r="41" spans="2:16" ht="12.5">
      <c r="B41" s="7" t="str">
        <f t="shared" si="6"/>
        <v/>
      </c>
      <c r="C41" s="50">
        <f>IF(D11="","-",+C40+1)</f>
        <v>2032</v>
      </c>
      <c r="D41" s="55">
        <f>IF(F40+SUM(E$17:E40)=D$10,F40,D$10-SUM(E$17:E40))</f>
        <v>2032716.1135516614</v>
      </c>
      <c r="E41" s="56">
        <f>IF(+I14&lt;F40,I14,D41)</f>
        <v>101822</v>
      </c>
      <c r="F41" s="55">
        <f t="shared" si="26"/>
        <v>1930894.1135516614</v>
      </c>
      <c r="G41" s="57">
        <f t="shared" si="27"/>
        <v>338701.48072013009</v>
      </c>
      <c r="H41" s="41">
        <f t="shared" si="28"/>
        <v>338701.48072013009</v>
      </c>
      <c r="I41" s="52">
        <f t="shared" si="0"/>
        <v>0</v>
      </c>
      <c r="J41" s="52"/>
      <c r="K41" s="129"/>
      <c r="L41" s="54">
        <f t="shared" si="1"/>
        <v>0</v>
      </c>
      <c r="M41" s="129"/>
      <c r="N41" s="54">
        <f t="shared" si="2"/>
        <v>0</v>
      </c>
      <c r="O41" s="54">
        <f t="shared" si="3"/>
        <v>0</v>
      </c>
      <c r="P41" s="1"/>
    </row>
    <row r="42" spans="2:16" ht="12.5">
      <c r="B42" s="7" t="str">
        <f t="shared" si="6"/>
        <v/>
      </c>
      <c r="C42" s="50">
        <f>IF(D11="","-",+C41+1)</f>
        <v>2033</v>
      </c>
      <c r="D42" s="55">
        <f>IF(F41+SUM(E$17:E41)=D$10,F41,D$10-SUM(E$17:E41))</f>
        <v>1930894.1135516614</v>
      </c>
      <c r="E42" s="56">
        <f>IF(+I14&lt;F41,I14,D42)</f>
        <v>101822</v>
      </c>
      <c r="F42" s="55">
        <f t="shared" si="26"/>
        <v>1829072.1135516614</v>
      </c>
      <c r="G42" s="57">
        <f t="shared" si="27"/>
        <v>326530.9891208529</v>
      </c>
      <c r="H42" s="41">
        <f t="shared" si="28"/>
        <v>326530.9891208529</v>
      </c>
      <c r="I42" s="52">
        <f t="shared" si="0"/>
        <v>0</v>
      </c>
      <c r="J42" s="52"/>
      <c r="K42" s="129"/>
      <c r="L42" s="54">
        <f t="shared" si="1"/>
        <v>0</v>
      </c>
      <c r="M42" s="129"/>
      <c r="N42" s="54">
        <f t="shared" si="2"/>
        <v>0</v>
      </c>
      <c r="O42" s="54">
        <f t="shared" si="3"/>
        <v>0</v>
      </c>
      <c r="P42" s="1"/>
    </row>
    <row r="43" spans="2:16" ht="12.5">
      <c r="B43" s="7" t="str">
        <f t="shared" si="6"/>
        <v/>
      </c>
      <c r="C43" s="50">
        <f>IF(D11="","-",+C42+1)</f>
        <v>2034</v>
      </c>
      <c r="D43" s="55">
        <f>IF(F42+SUM(E$17:E42)=D$10,F42,D$10-SUM(E$17:E42))</f>
        <v>1829072.1135516614</v>
      </c>
      <c r="E43" s="56">
        <f>IF(+I14&lt;F42,I14,D43)</f>
        <v>101822</v>
      </c>
      <c r="F43" s="55">
        <f t="shared" si="26"/>
        <v>1727250.1135516614</v>
      </c>
      <c r="G43" s="57">
        <f t="shared" si="27"/>
        <v>314360.49752157566</v>
      </c>
      <c r="H43" s="41">
        <f t="shared" si="28"/>
        <v>314360.49752157566</v>
      </c>
      <c r="I43" s="52">
        <f t="shared" si="0"/>
        <v>0</v>
      </c>
      <c r="J43" s="52"/>
      <c r="K43" s="129"/>
      <c r="L43" s="54">
        <f t="shared" si="1"/>
        <v>0</v>
      </c>
      <c r="M43" s="129"/>
      <c r="N43" s="54">
        <f t="shared" si="2"/>
        <v>0</v>
      </c>
      <c r="O43" s="54">
        <f t="shared" si="3"/>
        <v>0</v>
      </c>
      <c r="P43" s="1"/>
    </row>
    <row r="44" spans="2:16" ht="12.5">
      <c r="B44" s="7" t="str">
        <f t="shared" si="6"/>
        <v/>
      </c>
      <c r="C44" s="50">
        <f>IF(D11="","-",+C43+1)</f>
        <v>2035</v>
      </c>
      <c r="D44" s="55">
        <f>IF(F43+SUM(E$17:E43)=D$10,F43,D$10-SUM(E$17:E43))</f>
        <v>1727250.1135516614</v>
      </c>
      <c r="E44" s="56">
        <f>IF(+I14&lt;F43,I14,D44)</f>
        <v>101822</v>
      </c>
      <c r="F44" s="55">
        <f t="shared" si="26"/>
        <v>1625428.1135516614</v>
      </c>
      <c r="G44" s="57">
        <f t="shared" si="27"/>
        <v>302190.00592229853</v>
      </c>
      <c r="H44" s="41">
        <f t="shared" si="28"/>
        <v>302190.00592229853</v>
      </c>
      <c r="I44" s="52">
        <f t="shared" si="0"/>
        <v>0</v>
      </c>
      <c r="J44" s="52"/>
      <c r="K44" s="129"/>
      <c r="L44" s="54">
        <f t="shared" si="1"/>
        <v>0</v>
      </c>
      <c r="M44" s="129"/>
      <c r="N44" s="54">
        <f t="shared" si="2"/>
        <v>0</v>
      </c>
      <c r="O44" s="54">
        <f t="shared" si="3"/>
        <v>0</v>
      </c>
      <c r="P44" s="1"/>
    </row>
    <row r="45" spans="2:16" ht="12.5">
      <c r="B45" s="7" t="str">
        <f t="shared" si="6"/>
        <v/>
      </c>
      <c r="C45" s="50">
        <f>IF(D11="","-",+C44+1)</f>
        <v>2036</v>
      </c>
      <c r="D45" s="55">
        <f>IF(F44+SUM(E$17:E44)=D$10,F44,D$10-SUM(E$17:E44))</f>
        <v>1625428.1135516614</v>
      </c>
      <c r="E45" s="56">
        <f>IF(+I14&lt;F44,I14,D45)</f>
        <v>101822</v>
      </c>
      <c r="F45" s="55">
        <f t="shared" si="26"/>
        <v>1523606.1135516614</v>
      </c>
      <c r="G45" s="57">
        <f t="shared" si="27"/>
        <v>290019.51432302129</v>
      </c>
      <c r="H45" s="41">
        <f t="shared" si="28"/>
        <v>290019.51432302129</v>
      </c>
      <c r="I45" s="52">
        <f t="shared" si="0"/>
        <v>0</v>
      </c>
      <c r="J45" s="52"/>
      <c r="K45" s="129"/>
      <c r="L45" s="54">
        <f t="shared" si="1"/>
        <v>0</v>
      </c>
      <c r="M45" s="129"/>
      <c r="N45" s="54">
        <f t="shared" si="2"/>
        <v>0</v>
      </c>
      <c r="O45" s="54">
        <f t="shared" si="3"/>
        <v>0</v>
      </c>
      <c r="P45" s="1"/>
    </row>
    <row r="46" spans="2:16" ht="12.5">
      <c r="B46" s="7" t="str">
        <f t="shared" si="6"/>
        <v/>
      </c>
      <c r="C46" s="50">
        <f>IF(D11="","-",+C45+1)</f>
        <v>2037</v>
      </c>
      <c r="D46" s="55">
        <f>IF(F45+SUM(E$17:E45)=D$10,F45,D$10-SUM(E$17:E45))</f>
        <v>1523606.1135516614</v>
      </c>
      <c r="E46" s="56">
        <f>IF(+I14&lt;F45,I14,D46)</f>
        <v>101822</v>
      </c>
      <c r="F46" s="55">
        <f t="shared" si="26"/>
        <v>1421784.1135516614</v>
      </c>
      <c r="G46" s="57">
        <f t="shared" si="27"/>
        <v>277849.0227237441</v>
      </c>
      <c r="H46" s="41">
        <f t="shared" si="28"/>
        <v>277849.0227237441</v>
      </c>
      <c r="I46" s="52">
        <f t="shared" si="0"/>
        <v>0</v>
      </c>
      <c r="J46" s="52"/>
      <c r="K46" s="129"/>
      <c r="L46" s="54">
        <f t="shared" si="1"/>
        <v>0</v>
      </c>
      <c r="M46" s="129"/>
      <c r="N46" s="54">
        <f t="shared" si="2"/>
        <v>0</v>
      </c>
      <c r="O46" s="54">
        <f t="shared" si="3"/>
        <v>0</v>
      </c>
      <c r="P46" s="1"/>
    </row>
    <row r="47" spans="2:16" ht="12.5">
      <c r="B47" s="7" t="str">
        <f t="shared" si="6"/>
        <v/>
      </c>
      <c r="C47" s="50">
        <f>IF(D11="","-",+C46+1)</f>
        <v>2038</v>
      </c>
      <c r="D47" s="55">
        <f>IF(F46+SUM(E$17:E46)=D$10,F46,D$10-SUM(E$17:E46))</f>
        <v>1421784.1135516614</v>
      </c>
      <c r="E47" s="56">
        <f>IF(+I14&lt;F46,I14,D47)</f>
        <v>101822</v>
      </c>
      <c r="F47" s="55">
        <f t="shared" si="26"/>
        <v>1319962.1135516614</v>
      </c>
      <c r="G47" s="57">
        <f t="shared" si="27"/>
        <v>265678.53112446691</v>
      </c>
      <c r="H47" s="41">
        <f t="shared" si="28"/>
        <v>265678.53112446691</v>
      </c>
      <c r="I47" s="52">
        <f t="shared" si="0"/>
        <v>0</v>
      </c>
      <c r="J47" s="52"/>
      <c r="K47" s="129"/>
      <c r="L47" s="54">
        <f t="shared" si="1"/>
        <v>0</v>
      </c>
      <c r="M47" s="129"/>
      <c r="N47" s="54">
        <f t="shared" si="2"/>
        <v>0</v>
      </c>
      <c r="O47" s="54">
        <f t="shared" si="3"/>
        <v>0</v>
      </c>
      <c r="P47" s="1"/>
    </row>
    <row r="48" spans="2:16" ht="12.5">
      <c r="B48" s="7" t="str">
        <f t="shared" si="6"/>
        <v/>
      </c>
      <c r="C48" s="50">
        <f>IF(D11="","-",+C47+1)</f>
        <v>2039</v>
      </c>
      <c r="D48" s="55">
        <f>IF(F47+SUM(E$17:E47)=D$10,F47,D$10-SUM(E$17:E47))</f>
        <v>1319962.1135516614</v>
      </c>
      <c r="E48" s="56">
        <f>IF(+I14&lt;F47,I14,D48)</f>
        <v>101822</v>
      </c>
      <c r="F48" s="55">
        <f t="shared" si="26"/>
        <v>1218140.1135516614</v>
      </c>
      <c r="G48" s="57">
        <f t="shared" si="27"/>
        <v>253508.03952518973</v>
      </c>
      <c r="H48" s="41">
        <f t="shared" si="28"/>
        <v>253508.03952518973</v>
      </c>
      <c r="I48" s="52">
        <f t="shared" si="0"/>
        <v>0</v>
      </c>
      <c r="J48" s="52"/>
      <c r="K48" s="129"/>
      <c r="L48" s="54">
        <f t="shared" si="1"/>
        <v>0</v>
      </c>
      <c r="M48" s="129"/>
      <c r="N48" s="54">
        <f t="shared" si="2"/>
        <v>0</v>
      </c>
      <c r="O48" s="54">
        <f t="shared" si="3"/>
        <v>0</v>
      </c>
      <c r="P48" s="1"/>
    </row>
    <row r="49" spans="2:17" ht="12.5">
      <c r="B49" s="7" t="str">
        <f t="shared" si="6"/>
        <v/>
      </c>
      <c r="C49" s="50">
        <f>IF(D11="","-",+C48+1)</f>
        <v>2040</v>
      </c>
      <c r="D49" s="55">
        <f>IF(F48+SUM(E$17:E48)=D$10,F48,D$10-SUM(E$17:E48))</f>
        <v>1218140.1135516614</v>
      </c>
      <c r="E49" s="56">
        <f>IF(+I14&lt;F48,I14,D49)</f>
        <v>101822</v>
      </c>
      <c r="F49" s="55">
        <f t="shared" ref="F49:F72" si="29">+D49-E49</f>
        <v>1116318.1135516614</v>
      </c>
      <c r="G49" s="57">
        <f t="shared" si="27"/>
        <v>241337.54792591251</v>
      </c>
      <c r="H49" s="41">
        <f t="shared" si="28"/>
        <v>241337.54792591251</v>
      </c>
      <c r="I49" s="52">
        <f t="shared" ref="I49:I72" si="30">H49-G49</f>
        <v>0</v>
      </c>
      <c r="J49" s="52"/>
      <c r="K49" s="129"/>
      <c r="L49" s="54">
        <f t="shared" ref="L49:L72" si="31">IF(K49&lt;&gt;0,+G49-K49,0)</f>
        <v>0</v>
      </c>
      <c r="M49" s="129"/>
      <c r="N49" s="54">
        <f t="shared" ref="N49:N72" si="32">IF(M49&lt;&gt;0,+H49-M49,0)</f>
        <v>0</v>
      </c>
      <c r="O49" s="54">
        <f t="shared" ref="O49:O72" si="33">+N49-L49</f>
        <v>0</v>
      </c>
      <c r="P49" s="1"/>
    </row>
    <row r="50" spans="2:17" ht="12.5">
      <c r="B50" s="7" t="str">
        <f t="shared" si="6"/>
        <v/>
      </c>
      <c r="C50" s="50">
        <f>IF(D11="","-",+C49+1)</f>
        <v>2041</v>
      </c>
      <c r="D50" s="55">
        <f>IF(F49+SUM(E$17:E49)=D$10,F49,D$10-SUM(E$17:E49))</f>
        <v>1116318.1135516614</v>
      </c>
      <c r="E50" s="56">
        <f>IF(+I14&lt;F49,I14,D50)</f>
        <v>101822</v>
      </c>
      <c r="F50" s="55">
        <f t="shared" si="29"/>
        <v>1014496.1135516614</v>
      </c>
      <c r="G50" s="57">
        <f t="shared" si="27"/>
        <v>229167.05632663533</v>
      </c>
      <c r="H50" s="41">
        <f t="shared" si="28"/>
        <v>229167.05632663533</v>
      </c>
      <c r="I50" s="52">
        <f t="shared" si="30"/>
        <v>0</v>
      </c>
      <c r="J50" s="52"/>
      <c r="K50" s="129"/>
      <c r="L50" s="54">
        <f t="shared" si="31"/>
        <v>0</v>
      </c>
      <c r="M50" s="129"/>
      <c r="N50" s="54">
        <f t="shared" si="32"/>
        <v>0</v>
      </c>
      <c r="O50" s="54">
        <f t="shared" si="33"/>
        <v>0</v>
      </c>
      <c r="P50" s="1"/>
    </row>
    <row r="51" spans="2:17" ht="12.5">
      <c r="B51" s="7" t="str">
        <f t="shared" si="6"/>
        <v/>
      </c>
      <c r="C51" s="50">
        <f>IF(D11="","-",+C50+1)</f>
        <v>2042</v>
      </c>
      <c r="D51" s="55">
        <f>IF(F50+SUM(E$17:E50)=D$10,F50,D$10-SUM(E$17:E50))</f>
        <v>1014496.1135516614</v>
      </c>
      <c r="E51" s="56">
        <f>IF(+I14&lt;F50,I14,D51)</f>
        <v>101822</v>
      </c>
      <c r="F51" s="55">
        <f t="shared" si="29"/>
        <v>912674.11355166137</v>
      </c>
      <c r="G51" s="57">
        <f t="shared" si="27"/>
        <v>216996.56472735811</v>
      </c>
      <c r="H51" s="41">
        <f t="shared" si="28"/>
        <v>216996.56472735811</v>
      </c>
      <c r="I51" s="52">
        <f t="shared" si="30"/>
        <v>0</v>
      </c>
      <c r="J51" s="52"/>
      <c r="K51" s="129"/>
      <c r="L51" s="54">
        <f t="shared" si="31"/>
        <v>0</v>
      </c>
      <c r="M51" s="129"/>
      <c r="N51" s="54">
        <f t="shared" si="32"/>
        <v>0</v>
      </c>
      <c r="O51" s="54">
        <f t="shared" si="33"/>
        <v>0</v>
      </c>
      <c r="P51" s="1"/>
    </row>
    <row r="52" spans="2:17" ht="12.5">
      <c r="B52" s="7" t="str">
        <f t="shared" si="6"/>
        <v/>
      </c>
      <c r="C52" s="50">
        <f>IF(D11="","-",+C51+1)</f>
        <v>2043</v>
      </c>
      <c r="D52" s="55">
        <f>IF(F51+SUM(E$17:E51)=D$10,F51,D$10-SUM(E$17:E51))</f>
        <v>912674.11355166137</v>
      </c>
      <c r="E52" s="56">
        <f>IF(+I14&lt;F51,I14,D52)</f>
        <v>101822</v>
      </c>
      <c r="F52" s="55">
        <f t="shared" si="29"/>
        <v>810852.11355166137</v>
      </c>
      <c r="G52" s="57">
        <f t="shared" si="27"/>
        <v>204826.07312808093</v>
      </c>
      <c r="H52" s="41">
        <f t="shared" si="28"/>
        <v>204826.07312808093</v>
      </c>
      <c r="I52" s="52">
        <f t="shared" si="30"/>
        <v>0</v>
      </c>
      <c r="J52" s="52"/>
      <c r="K52" s="129"/>
      <c r="L52" s="54">
        <f t="shared" si="31"/>
        <v>0</v>
      </c>
      <c r="M52" s="129"/>
      <c r="N52" s="54">
        <f t="shared" si="32"/>
        <v>0</v>
      </c>
      <c r="O52" s="54">
        <f t="shared" si="33"/>
        <v>0</v>
      </c>
      <c r="P52" s="1"/>
    </row>
    <row r="53" spans="2:17" ht="12.5">
      <c r="B53" s="7" t="str">
        <f t="shared" si="6"/>
        <v/>
      </c>
      <c r="C53" s="50">
        <f>IF(D11="","-",+C52+1)</f>
        <v>2044</v>
      </c>
      <c r="D53" s="55">
        <f>IF(F52+SUM(E$17:E52)=D$10,F52,D$10-SUM(E$17:E52))</f>
        <v>810852.11355166137</v>
      </c>
      <c r="E53" s="56">
        <f>IF(+I14&lt;F52,I14,D53)</f>
        <v>101822</v>
      </c>
      <c r="F53" s="55">
        <f t="shared" si="29"/>
        <v>709030.11355166137</v>
      </c>
      <c r="G53" s="57">
        <f t="shared" si="27"/>
        <v>192655.58152880374</v>
      </c>
      <c r="H53" s="41">
        <f t="shared" si="28"/>
        <v>192655.58152880374</v>
      </c>
      <c r="I53" s="52">
        <f t="shared" si="30"/>
        <v>0</v>
      </c>
      <c r="J53" s="52"/>
      <c r="K53" s="129"/>
      <c r="L53" s="54">
        <f t="shared" si="31"/>
        <v>0</v>
      </c>
      <c r="M53" s="129"/>
      <c r="N53" s="54">
        <f t="shared" si="32"/>
        <v>0</v>
      </c>
      <c r="O53" s="54">
        <f t="shared" si="33"/>
        <v>0</v>
      </c>
      <c r="P53" s="1"/>
    </row>
    <row r="54" spans="2:17" ht="12.5">
      <c r="B54" s="7" t="str">
        <f t="shared" si="6"/>
        <v/>
      </c>
      <c r="C54" s="50">
        <f>IF(D11="","-",+C53+1)</f>
        <v>2045</v>
      </c>
      <c r="D54" s="55">
        <f>IF(F53+SUM(E$17:E53)=D$10,F53,D$10-SUM(E$17:E53))</f>
        <v>709030.11355166137</v>
      </c>
      <c r="E54" s="56">
        <f>IF(+I14&lt;F53,I14,D54)</f>
        <v>101822</v>
      </c>
      <c r="F54" s="55">
        <f t="shared" si="29"/>
        <v>607208.11355166137</v>
      </c>
      <c r="G54" s="57">
        <f t="shared" si="27"/>
        <v>180485.08992952653</v>
      </c>
      <c r="H54" s="41">
        <f t="shared" si="28"/>
        <v>180485.08992952653</v>
      </c>
      <c r="I54" s="52">
        <f t="shared" si="30"/>
        <v>0</v>
      </c>
      <c r="J54" s="52"/>
      <c r="K54" s="129"/>
      <c r="L54" s="54">
        <f t="shared" si="31"/>
        <v>0</v>
      </c>
      <c r="M54" s="129"/>
      <c r="N54" s="54">
        <f t="shared" si="32"/>
        <v>0</v>
      </c>
      <c r="O54" s="54">
        <f t="shared" si="33"/>
        <v>0</v>
      </c>
      <c r="P54" s="1"/>
    </row>
    <row r="55" spans="2:17" ht="12.5">
      <c r="B55" s="7" t="str">
        <f t="shared" si="6"/>
        <v/>
      </c>
      <c r="C55" s="50">
        <f>IF(D11="","-",+C54+1)</f>
        <v>2046</v>
      </c>
      <c r="D55" s="55">
        <f>IF(F54+SUM(E$17:E54)=D$10,F54,D$10-SUM(E$17:E54))</f>
        <v>607208.11355166137</v>
      </c>
      <c r="E55" s="56">
        <f>IF(+I14&lt;F54,I14,D55)</f>
        <v>101822</v>
      </c>
      <c r="F55" s="55">
        <f t="shared" si="29"/>
        <v>505386.11355166137</v>
      </c>
      <c r="G55" s="57">
        <f t="shared" si="27"/>
        <v>168314.59833024934</v>
      </c>
      <c r="H55" s="41">
        <f t="shared" si="28"/>
        <v>168314.59833024934</v>
      </c>
      <c r="I55" s="52">
        <f t="shared" si="30"/>
        <v>0</v>
      </c>
      <c r="J55" s="52"/>
      <c r="K55" s="129"/>
      <c r="L55" s="54">
        <f t="shared" si="31"/>
        <v>0</v>
      </c>
      <c r="M55" s="129"/>
      <c r="N55" s="54">
        <f t="shared" si="32"/>
        <v>0</v>
      </c>
      <c r="O55" s="54">
        <f t="shared" si="33"/>
        <v>0</v>
      </c>
      <c r="P55" s="1"/>
    </row>
    <row r="56" spans="2:17" ht="12.5">
      <c r="B56" s="7" t="str">
        <f t="shared" si="6"/>
        <v/>
      </c>
      <c r="C56" s="50">
        <f>IF(D11="","-",+C55+1)</f>
        <v>2047</v>
      </c>
      <c r="D56" s="55">
        <f>IF(F55+SUM(E$17:E55)=D$10,F55,D$10-SUM(E$17:E55))</f>
        <v>505386.11355166137</v>
      </c>
      <c r="E56" s="56">
        <f>IF(+I14&lt;F55,I14,D56)</f>
        <v>101822</v>
      </c>
      <c r="F56" s="55">
        <f t="shared" si="29"/>
        <v>403564.11355166137</v>
      </c>
      <c r="G56" s="57">
        <f t="shared" si="27"/>
        <v>156144.10673097213</v>
      </c>
      <c r="H56" s="41">
        <f t="shared" si="28"/>
        <v>156144.10673097213</v>
      </c>
      <c r="I56" s="52">
        <f t="shared" si="30"/>
        <v>0</v>
      </c>
      <c r="J56" s="52"/>
      <c r="K56" s="129"/>
      <c r="L56" s="54">
        <f t="shared" si="31"/>
        <v>0</v>
      </c>
      <c r="M56" s="129"/>
      <c r="N56" s="54">
        <f t="shared" si="32"/>
        <v>0</v>
      </c>
      <c r="O56" s="54">
        <f t="shared" si="33"/>
        <v>0</v>
      </c>
      <c r="P56" s="1"/>
    </row>
    <row r="57" spans="2:17" ht="12.5">
      <c r="B57" s="7" t="str">
        <f t="shared" si="6"/>
        <v/>
      </c>
      <c r="C57" s="50">
        <f>IF(D11="","-",+C56+1)</f>
        <v>2048</v>
      </c>
      <c r="D57" s="55">
        <f>IF(F56+SUM(E$17:E56)=D$10,F56,D$10-SUM(E$17:E56))</f>
        <v>403564.11355166137</v>
      </c>
      <c r="E57" s="56">
        <f>IF(+I14&lt;F56,I14,D57)</f>
        <v>101822</v>
      </c>
      <c r="F57" s="55">
        <f t="shared" si="29"/>
        <v>301742.11355166137</v>
      </c>
      <c r="G57" s="57">
        <f t="shared" si="27"/>
        <v>143973.61513169494</v>
      </c>
      <c r="H57" s="41">
        <f t="shared" si="28"/>
        <v>143973.61513169494</v>
      </c>
      <c r="I57" s="52">
        <f t="shared" si="30"/>
        <v>0</v>
      </c>
      <c r="J57" s="52"/>
      <c r="K57" s="129"/>
      <c r="L57" s="54">
        <f t="shared" si="31"/>
        <v>0</v>
      </c>
      <c r="M57" s="129"/>
      <c r="N57" s="54">
        <f t="shared" si="32"/>
        <v>0</v>
      </c>
      <c r="O57" s="54">
        <f t="shared" si="33"/>
        <v>0</v>
      </c>
      <c r="P57" s="1"/>
    </row>
    <row r="58" spans="2:17" ht="12.5">
      <c r="B58" s="7" t="str">
        <f t="shared" si="6"/>
        <v/>
      </c>
      <c r="C58" s="50">
        <f>IF(D11="","-",+C57+1)</f>
        <v>2049</v>
      </c>
      <c r="D58" s="55">
        <f>IF(F57+SUM(E$17:E57)=D$10,F57,D$10-SUM(E$17:E57))</f>
        <v>301742.11355166137</v>
      </c>
      <c r="E58" s="56">
        <f>IF(+I14&lt;F57,I14,D58)</f>
        <v>101822</v>
      </c>
      <c r="F58" s="55">
        <f t="shared" si="29"/>
        <v>199920.11355166137</v>
      </c>
      <c r="G58" s="57">
        <f t="shared" si="27"/>
        <v>131803.12353241775</v>
      </c>
      <c r="H58" s="41">
        <f t="shared" si="28"/>
        <v>131803.12353241775</v>
      </c>
      <c r="I58" s="52">
        <f t="shared" si="30"/>
        <v>0</v>
      </c>
      <c r="J58" s="52"/>
      <c r="K58" s="129"/>
      <c r="L58" s="54">
        <f t="shared" si="31"/>
        <v>0</v>
      </c>
      <c r="M58" s="129"/>
      <c r="N58" s="54">
        <f t="shared" si="32"/>
        <v>0</v>
      </c>
      <c r="O58" s="54">
        <f t="shared" si="33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6"/>
        <v/>
      </c>
      <c r="C59" s="50">
        <f>IF(D11="","-",+C58+1)</f>
        <v>2050</v>
      </c>
      <c r="D59" s="55">
        <f>IF(F58+SUM(E$17:E58)=D$10,F58,D$10-SUM(E$17:E58))</f>
        <v>199920.11355166137</v>
      </c>
      <c r="E59" s="56">
        <f>IF(+I14&lt;F58,I14,D59)</f>
        <v>101822</v>
      </c>
      <c r="F59" s="55">
        <f t="shared" si="29"/>
        <v>98098.113551661372</v>
      </c>
      <c r="G59" s="57">
        <f t="shared" si="27"/>
        <v>119632.63193314054</v>
      </c>
      <c r="H59" s="41">
        <f t="shared" si="28"/>
        <v>119632.63193314054</v>
      </c>
      <c r="I59" s="52">
        <f t="shared" si="30"/>
        <v>0</v>
      </c>
      <c r="J59" s="52"/>
      <c r="K59" s="129"/>
      <c r="L59" s="54">
        <f t="shared" si="31"/>
        <v>0</v>
      </c>
      <c r="M59" s="129"/>
      <c r="N59" s="54">
        <f t="shared" si="32"/>
        <v>0</v>
      </c>
      <c r="O59" s="54">
        <f t="shared" si="33"/>
        <v>0</v>
      </c>
      <c r="P59" s="1"/>
    </row>
    <row r="60" spans="2:17" ht="12.5">
      <c r="B60" s="7" t="str">
        <f t="shared" si="6"/>
        <v/>
      </c>
      <c r="C60" s="50">
        <f>IF(D11="","-",+C59+1)</f>
        <v>2051</v>
      </c>
      <c r="D60" s="55">
        <f>IF(F59+SUM(E$17:E59)=D$10,F59,D$10-SUM(E$17:E59))</f>
        <v>98098.113551661372</v>
      </c>
      <c r="E60" s="56">
        <f>IF(+I14&lt;F59,I14,D60)</f>
        <v>98098.113551661372</v>
      </c>
      <c r="F60" s="55">
        <f t="shared" si="29"/>
        <v>0</v>
      </c>
      <c r="G60" s="57">
        <f t="shared" si="27"/>
        <v>103960.80661841235</v>
      </c>
      <c r="H60" s="41">
        <f t="shared" si="28"/>
        <v>103960.80661841235</v>
      </c>
      <c r="I60" s="52">
        <f t="shared" si="30"/>
        <v>0</v>
      </c>
      <c r="J60" s="52"/>
      <c r="K60" s="129"/>
      <c r="L60" s="54">
        <f t="shared" si="31"/>
        <v>0</v>
      </c>
      <c r="M60" s="129"/>
      <c r="N60" s="54">
        <f t="shared" si="32"/>
        <v>0</v>
      </c>
      <c r="O60" s="54">
        <f t="shared" si="33"/>
        <v>0</v>
      </c>
      <c r="P60" s="1"/>
    </row>
    <row r="61" spans="2:17" ht="12.5">
      <c r="B61" s="7" t="str">
        <f t="shared" si="6"/>
        <v/>
      </c>
      <c r="C61" s="50">
        <f>IF(D11="","-",+C60+1)</f>
        <v>2052</v>
      </c>
      <c r="D61" s="55">
        <f>IF(F60+SUM(E$17:E60)=D$10,F60,D$10-SUM(E$17:E60))</f>
        <v>0</v>
      </c>
      <c r="E61" s="56">
        <f>IF(+I14&lt;F60,I14,D61)</f>
        <v>0</v>
      </c>
      <c r="F61" s="55">
        <f t="shared" si="29"/>
        <v>0</v>
      </c>
      <c r="G61" s="58">
        <f t="shared" si="27"/>
        <v>0</v>
      </c>
      <c r="H61" s="41">
        <f t="shared" si="28"/>
        <v>0</v>
      </c>
      <c r="I61" s="52">
        <f t="shared" si="30"/>
        <v>0</v>
      </c>
      <c r="J61" s="52"/>
      <c r="K61" s="129"/>
      <c r="L61" s="54">
        <f t="shared" si="31"/>
        <v>0</v>
      </c>
      <c r="M61" s="129"/>
      <c r="N61" s="54">
        <f t="shared" si="32"/>
        <v>0</v>
      </c>
      <c r="O61" s="54">
        <f t="shared" si="33"/>
        <v>0</v>
      </c>
      <c r="P61" s="1"/>
    </row>
    <row r="62" spans="2:17" ht="12.5">
      <c r="B62" s="7" t="str">
        <f t="shared" si="6"/>
        <v/>
      </c>
      <c r="C62" s="50">
        <f>IF(D11="","-",+C61+1)</f>
        <v>2053</v>
      </c>
      <c r="D62" s="55">
        <f>IF(F61+SUM(E$17:E61)=D$10,F61,D$10-SUM(E$17:E61))</f>
        <v>0</v>
      </c>
      <c r="E62" s="56">
        <f>IF(+I14&lt;F61,I14,D62)</f>
        <v>0</v>
      </c>
      <c r="F62" s="55">
        <f t="shared" si="29"/>
        <v>0</v>
      </c>
      <c r="G62" s="58">
        <f t="shared" si="27"/>
        <v>0</v>
      </c>
      <c r="H62" s="41">
        <f t="shared" si="28"/>
        <v>0</v>
      </c>
      <c r="I62" s="52">
        <f t="shared" si="30"/>
        <v>0</v>
      </c>
      <c r="J62" s="52"/>
      <c r="K62" s="129"/>
      <c r="L62" s="54">
        <f t="shared" si="31"/>
        <v>0</v>
      </c>
      <c r="M62" s="129"/>
      <c r="N62" s="54">
        <f t="shared" si="32"/>
        <v>0</v>
      </c>
      <c r="O62" s="54">
        <f t="shared" si="33"/>
        <v>0</v>
      </c>
      <c r="P62" s="1"/>
    </row>
    <row r="63" spans="2:17" ht="12.5">
      <c r="B63" s="7" t="str">
        <f t="shared" si="6"/>
        <v/>
      </c>
      <c r="C63" s="50">
        <f>IF(D11="","-",+C62+1)</f>
        <v>2054</v>
      </c>
      <c r="D63" s="55">
        <f>IF(F62+SUM(E$17:E62)=D$10,F62,D$10-SUM(E$17:E62))</f>
        <v>0</v>
      </c>
      <c r="E63" s="56">
        <f>IF(+I14&lt;F62,I14,D63)</f>
        <v>0</v>
      </c>
      <c r="F63" s="55">
        <f t="shared" si="29"/>
        <v>0</v>
      </c>
      <c r="G63" s="58">
        <f t="shared" si="27"/>
        <v>0</v>
      </c>
      <c r="H63" s="41">
        <f t="shared" si="28"/>
        <v>0</v>
      </c>
      <c r="I63" s="52">
        <f t="shared" si="30"/>
        <v>0</v>
      </c>
      <c r="J63" s="52"/>
      <c r="K63" s="129"/>
      <c r="L63" s="54">
        <f t="shared" si="31"/>
        <v>0</v>
      </c>
      <c r="M63" s="129"/>
      <c r="N63" s="54">
        <f t="shared" si="32"/>
        <v>0</v>
      </c>
      <c r="O63" s="54">
        <f t="shared" si="33"/>
        <v>0</v>
      </c>
      <c r="P63" s="1"/>
    </row>
    <row r="64" spans="2:17" ht="12.5">
      <c r="B64" s="7" t="str">
        <f t="shared" si="6"/>
        <v/>
      </c>
      <c r="C64" s="50">
        <f>IF(D11="","-",+C63+1)</f>
        <v>2055</v>
      </c>
      <c r="D64" s="55">
        <f>IF(F63+SUM(E$17:E63)=D$10,F63,D$10-SUM(E$17:E63))</f>
        <v>0</v>
      </c>
      <c r="E64" s="56">
        <f>IF(+I14&lt;F63,I14,D64)</f>
        <v>0</v>
      </c>
      <c r="F64" s="55">
        <f t="shared" si="29"/>
        <v>0</v>
      </c>
      <c r="G64" s="58">
        <f t="shared" si="27"/>
        <v>0</v>
      </c>
      <c r="H64" s="41">
        <f t="shared" si="28"/>
        <v>0</v>
      </c>
      <c r="I64" s="52">
        <f t="shared" si="30"/>
        <v>0</v>
      </c>
      <c r="J64" s="52"/>
      <c r="K64" s="129"/>
      <c r="L64" s="54">
        <f t="shared" si="31"/>
        <v>0</v>
      </c>
      <c r="M64" s="129"/>
      <c r="N64" s="54">
        <f t="shared" si="32"/>
        <v>0</v>
      </c>
      <c r="O64" s="54">
        <f t="shared" si="33"/>
        <v>0</v>
      </c>
      <c r="P64" s="1"/>
    </row>
    <row r="65" spans="1:16" ht="12.5">
      <c r="B65" s="7" t="str">
        <f t="shared" si="6"/>
        <v/>
      </c>
      <c r="C65" s="50">
        <f>IF(D11="","-",+C64+1)</f>
        <v>2056</v>
      </c>
      <c r="D65" s="55">
        <f>IF(F64+SUM(E$17:E64)=D$10,F64,D$10-SUM(E$17:E64))</f>
        <v>0</v>
      </c>
      <c r="E65" s="56">
        <f>IF(+I14&lt;F64,I14,D65)</f>
        <v>0</v>
      </c>
      <c r="F65" s="55">
        <f t="shared" si="29"/>
        <v>0</v>
      </c>
      <c r="G65" s="58">
        <f t="shared" si="27"/>
        <v>0</v>
      </c>
      <c r="H65" s="41">
        <f t="shared" si="28"/>
        <v>0</v>
      </c>
      <c r="I65" s="52">
        <f t="shared" si="30"/>
        <v>0</v>
      </c>
      <c r="J65" s="52"/>
      <c r="K65" s="129"/>
      <c r="L65" s="54">
        <f t="shared" si="31"/>
        <v>0</v>
      </c>
      <c r="M65" s="129"/>
      <c r="N65" s="54">
        <f t="shared" si="32"/>
        <v>0</v>
      </c>
      <c r="O65" s="54">
        <f t="shared" si="33"/>
        <v>0</v>
      </c>
      <c r="P65" s="1"/>
    </row>
    <row r="66" spans="1:16" ht="12.5">
      <c r="B66" s="7" t="str">
        <f t="shared" si="6"/>
        <v/>
      </c>
      <c r="C66" s="50">
        <f>IF(D11="","-",+C65+1)</f>
        <v>2057</v>
      </c>
      <c r="D66" s="55">
        <f>IF(F65+SUM(E$17:E65)=D$10,F65,D$10-SUM(E$17:E65))</f>
        <v>0</v>
      </c>
      <c r="E66" s="56">
        <f>IF(+I14&lt;F65,I14,D66)</f>
        <v>0</v>
      </c>
      <c r="F66" s="55">
        <f t="shared" si="29"/>
        <v>0</v>
      </c>
      <c r="G66" s="58">
        <f t="shared" si="27"/>
        <v>0</v>
      </c>
      <c r="H66" s="41">
        <f t="shared" si="28"/>
        <v>0</v>
      </c>
      <c r="I66" s="52">
        <f t="shared" si="30"/>
        <v>0</v>
      </c>
      <c r="J66" s="52"/>
      <c r="K66" s="129"/>
      <c r="L66" s="54">
        <f t="shared" si="31"/>
        <v>0</v>
      </c>
      <c r="M66" s="129"/>
      <c r="N66" s="54">
        <f t="shared" si="32"/>
        <v>0</v>
      </c>
      <c r="O66" s="54">
        <f t="shared" si="33"/>
        <v>0</v>
      </c>
      <c r="P66" s="1"/>
    </row>
    <row r="67" spans="1:16" ht="12.5">
      <c r="B67" s="7" t="str">
        <f t="shared" si="6"/>
        <v/>
      </c>
      <c r="C67" s="50">
        <f>IF(D11="","-",+C66+1)</f>
        <v>2058</v>
      </c>
      <c r="D67" s="55">
        <f>IF(F66+SUM(E$17:E66)=D$10,F66,D$10-SUM(E$17:E66))</f>
        <v>0</v>
      </c>
      <c r="E67" s="56">
        <f>IF(+I14&lt;F66,I14,D67)</f>
        <v>0</v>
      </c>
      <c r="F67" s="55">
        <f t="shared" si="29"/>
        <v>0</v>
      </c>
      <c r="G67" s="58">
        <f t="shared" si="27"/>
        <v>0</v>
      </c>
      <c r="H67" s="41">
        <f t="shared" si="28"/>
        <v>0</v>
      </c>
      <c r="I67" s="52">
        <f t="shared" si="30"/>
        <v>0</v>
      </c>
      <c r="J67" s="52"/>
      <c r="K67" s="129"/>
      <c r="L67" s="54">
        <f t="shared" si="31"/>
        <v>0</v>
      </c>
      <c r="M67" s="129"/>
      <c r="N67" s="54">
        <f t="shared" si="32"/>
        <v>0</v>
      </c>
      <c r="O67" s="54">
        <f t="shared" si="33"/>
        <v>0</v>
      </c>
      <c r="P67" s="1"/>
    </row>
    <row r="68" spans="1:16" ht="12.5">
      <c r="B68" s="7" t="str">
        <f t="shared" si="6"/>
        <v/>
      </c>
      <c r="C68" s="50">
        <f>IF(D11="","-",+C67+1)</f>
        <v>2059</v>
      </c>
      <c r="D68" s="55">
        <f>IF(F67+SUM(E$17:E67)=D$10,F67,D$10-SUM(E$17:E67))</f>
        <v>0</v>
      </c>
      <c r="E68" s="56">
        <f>IF(+I14&lt;F67,I14,D68)</f>
        <v>0</v>
      </c>
      <c r="F68" s="55">
        <f t="shared" si="29"/>
        <v>0</v>
      </c>
      <c r="G68" s="58">
        <f t="shared" si="27"/>
        <v>0</v>
      </c>
      <c r="H68" s="41">
        <f t="shared" si="28"/>
        <v>0</v>
      </c>
      <c r="I68" s="52">
        <f t="shared" si="30"/>
        <v>0</v>
      </c>
      <c r="J68" s="52"/>
      <c r="K68" s="129"/>
      <c r="L68" s="54">
        <f t="shared" si="31"/>
        <v>0</v>
      </c>
      <c r="M68" s="129"/>
      <c r="N68" s="54">
        <f t="shared" si="32"/>
        <v>0</v>
      </c>
      <c r="O68" s="54">
        <f t="shared" si="33"/>
        <v>0</v>
      </c>
      <c r="P68" s="1"/>
    </row>
    <row r="69" spans="1:16" ht="12.5">
      <c r="B69" s="7" t="str">
        <f t="shared" si="6"/>
        <v/>
      </c>
      <c r="C69" s="50">
        <f>IF(D11="","-",+C68+1)</f>
        <v>2060</v>
      </c>
      <c r="D69" s="55">
        <f>IF(F68+SUM(E$17:E68)=D$10,F68,D$10-SUM(E$17:E68))</f>
        <v>0</v>
      </c>
      <c r="E69" s="56">
        <f>IF(+I14&lt;F68,I14,D69)</f>
        <v>0</v>
      </c>
      <c r="F69" s="55">
        <f t="shared" si="29"/>
        <v>0</v>
      </c>
      <c r="G69" s="58">
        <f t="shared" si="27"/>
        <v>0</v>
      </c>
      <c r="H69" s="41">
        <f t="shared" si="28"/>
        <v>0</v>
      </c>
      <c r="I69" s="52">
        <f t="shared" si="30"/>
        <v>0</v>
      </c>
      <c r="J69" s="52"/>
      <c r="K69" s="129"/>
      <c r="L69" s="54">
        <f t="shared" si="31"/>
        <v>0</v>
      </c>
      <c r="M69" s="129"/>
      <c r="N69" s="54">
        <f t="shared" si="32"/>
        <v>0</v>
      </c>
      <c r="O69" s="54">
        <f t="shared" si="33"/>
        <v>0</v>
      </c>
      <c r="P69" s="1"/>
    </row>
    <row r="70" spans="1:16" ht="12.5">
      <c r="B70" s="7" t="str">
        <f t="shared" si="6"/>
        <v/>
      </c>
      <c r="C70" s="50">
        <f>IF(D11="","-",+C69+1)</f>
        <v>2061</v>
      </c>
      <c r="D70" s="55">
        <f>IF(F69+SUM(E$17:E69)=D$10,F69,D$10-SUM(E$17:E69))</f>
        <v>0</v>
      </c>
      <c r="E70" s="56">
        <f>IF(+I14&lt;F69,I14,D70)</f>
        <v>0</v>
      </c>
      <c r="F70" s="55">
        <f t="shared" si="29"/>
        <v>0</v>
      </c>
      <c r="G70" s="58">
        <f t="shared" si="27"/>
        <v>0</v>
      </c>
      <c r="H70" s="41">
        <f t="shared" si="28"/>
        <v>0</v>
      </c>
      <c r="I70" s="52">
        <f t="shared" si="30"/>
        <v>0</v>
      </c>
      <c r="J70" s="52"/>
      <c r="K70" s="129"/>
      <c r="L70" s="54">
        <f t="shared" si="31"/>
        <v>0</v>
      </c>
      <c r="M70" s="129"/>
      <c r="N70" s="54">
        <f t="shared" si="32"/>
        <v>0</v>
      </c>
      <c r="O70" s="54">
        <f t="shared" si="33"/>
        <v>0</v>
      </c>
      <c r="P70" s="1"/>
    </row>
    <row r="71" spans="1:16" ht="12.5">
      <c r="B71" s="7" t="str">
        <f t="shared" si="6"/>
        <v/>
      </c>
      <c r="C71" s="50">
        <f>IF(D11="","-",+C70+1)</f>
        <v>2062</v>
      </c>
      <c r="D71" s="55">
        <f>IF(F70+SUM(E$17:E70)=D$10,F70,D$10-SUM(E$17:E70))</f>
        <v>0</v>
      </c>
      <c r="E71" s="56">
        <f>IF(+I14&lt;F70,I14,D71)</f>
        <v>0</v>
      </c>
      <c r="F71" s="55">
        <f t="shared" si="29"/>
        <v>0</v>
      </c>
      <c r="G71" s="58">
        <f t="shared" si="27"/>
        <v>0</v>
      </c>
      <c r="H71" s="41">
        <f t="shared" si="28"/>
        <v>0</v>
      </c>
      <c r="I71" s="52">
        <f t="shared" si="30"/>
        <v>0</v>
      </c>
      <c r="J71" s="52"/>
      <c r="K71" s="129"/>
      <c r="L71" s="54">
        <f t="shared" si="31"/>
        <v>0</v>
      </c>
      <c r="M71" s="129"/>
      <c r="N71" s="54">
        <f t="shared" si="32"/>
        <v>0</v>
      </c>
      <c r="O71" s="54">
        <f t="shared" si="33"/>
        <v>0</v>
      </c>
      <c r="P71" s="1"/>
    </row>
    <row r="72" spans="1:16" ht="13" thickBot="1">
      <c r="B72" s="7" t="str">
        <f t="shared" si="6"/>
        <v/>
      </c>
      <c r="C72" s="59">
        <f>IF(D11="","-",+C71+1)</f>
        <v>2063</v>
      </c>
      <c r="D72" s="60">
        <f>IF(F71+SUM(E$17:E71)=D$10,F71,D$10-SUM(E$17:E71))</f>
        <v>0</v>
      </c>
      <c r="E72" s="61">
        <f>IF(+I14&lt;F71,I14,D72)</f>
        <v>0</v>
      </c>
      <c r="F72" s="60">
        <f t="shared" si="29"/>
        <v>0</v>
      </c>
      <c r="G72" s="62">
        <f t="shared" si="27"/>
        <v>0</v>
      </c>
      <c r="H72" s="28">
        <f t="shared" si="28"/>
        <v>0</v>
      </c>
      <c r="I72" s="63">
        <f t="shared" si="30"/>
        <v>0</v>
      </c>
      <c r="J72" s="52"/>
      <c r="K72" s="130"/>
      <c r="L72" s="64">
        <f t="shared" si="31"/>
        <v>0</v>
      </c>
      <c r="M72" s="130"/>
      <c r="N72" s="64">
        <f t="shared" si="32"/>
        <v>0</v>
      </c>
      <c r="O72" s="64">
        <f t="shared" si="33"/>
        <v>0</v>
      </c>
      <c r="P72" s="1"/>
    </row>
    <row r="73" spans="1:16" ht="12.5">
      <c r="C73" s="12" t="s">
        <v>78</v>
      </c>
      <c r="D73" s="15"/>
      <c r="E73" s="15">
        <f>SUM(E17:E72)</f>
        <v>4480168</v>
      </c>
      <c r="F73" s="15"/>
      <c r="G73" s="15">
        <f>SUM(G17:G72)</f>
        <v>16472510.999115778</v>
      </c>
      <c r="H73" s="15">
        <f>SUM(H17:H72)</f>
        <v>16472510.999115778</v>
      </c>
      <c r="I73" s="15">
        <f>SUM(I17:I72)</f>
        <v>0</v>
      </c>
      <c r="J73" s="15"/>
      <c r="K73" s="15"/>
      <c r="L73" s="15"/>
      <c r="M73" s="15"/>
      <c r="N73" s="15"/>
      <c r="O73" s="1"/>
      <c r="P73" s="1"/>
    </row>
    <row r="74" spans="1:16" ht="12.5">
      <c r="D74" s="2"/>
      <c r="E74" s="1"/>
      <c r="F74" s="1"/>
      <c r="G74" s="1"/>
      <c r="H74" s="3"/>
      <c r="I74" s="3"/>
      <c r="J74" s="15"/>
      <c r="K74" s="3"/>
      <c r="L74" s="3"/>
      <c r="M74" s="3"/>
      <c r="N74" s="3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3"/>
      <c r="I75" s="3"/>
      <c r="J75" s="15"/>
      <c r="K75" s="3"/>
      <c r="L75" s="3"/>
      <c r="M75" s="3"/>
      <c r="N75" s="3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3"/>
      <c r="I76" s="3"/>
      <c r="J76" s="15"/>
      <c r="K76" s="3"/>
      <c r="L76" s="3"/>
      <c r="M76" s="3"/>
      <c r="N76" s="3"/>
      <c r="O76" s="1"/>
      <c r="P76" s="1"/>
    </row>
    <row r="77" spans="1:16" ht="17.5">
      <c r="C77" s="25" t="s">
        <v>80</v>
      </c>
      <c r="D77" s="12"/>
      <c r="E77" s="12"/>
      <c r="F77" s="12"/>
      <c r="G77" s="15"/>
      <c r="H77" s="15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15"/>
      <c r="H78" s="15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3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3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3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3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3"/>
      <c r="L83" s="14"/>
      <c r="M83" s="14"/>
      <c r="P83" s="14" t="str">
        <f ca="1">P1</f>
        <v>SWEPCO Project 19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3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3"/>
      <c r="J85" s="3"/>
      <c r="K85" s="15"/>
      <c r="L85" s="3"/>
      <c r="M85" s="3"/>
      <c r="N85" s="3"/>
      <c r="O85" s="15"/>
      <c r="P85" s="1"/>
      <c r="Q85" s="1"/>
    </row>
    <row r="86" spans="1:17" ht="16" thickBot="1">
      <c r="C86" s="9"/>
      <c r="D86" s="2"/>
      <c r="E86" s="1"/>
      <c r="F86" s="1"/>
      <c r="G86" s="1"/>
      <c r="H86" s="1"/>
      <c r="I86" s="3"/>
      <c r="J86" s="3"/>
      <c r="K86" s="15"/>
      <c r="L86" s="120">
        <f>+J92</f>
        <v>2024</v>
      </c>
      <c r="M86" s="121" t="s">
        <v>9</v>
      </c>
      <c r="N86" s="125" t="s">
        <v>159</v>
      </c>
      <c r="O86" s="122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17"/>
      <c r="I87" s="1" t="s">
        <v>47</v>
      </c>
      <c r="J87" s="1"/>
      <c r="K87" s="116"/>
      <c r="L87" s="114" t="s">
        <v>394</v>
      </c>
      <c r="M87" s="68">
        <f>IF(J92&lt;D11,0,VLOOKUP(J92,C17:O72,9))</f>
        <v>436065.41351434769</v>
      </c>
      <c r="N87" s="68">
        <f>IF(J92&lt;D11,0,VLOOKUP(J92,C17:O72,11))</f>
        <v>436065.41351434769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21"/>
      <c r="J88" s="21"/>
      <c r="K88" s="118"/>
      <c r="L88" s="119" t="s">
        <v>395</v>
      </c>
      <c r="M88" s="70">
        <f>IF(J92&lt;D11,0,VLOOKUP(J92,C99:P154,6))</f>
        <v>448390.12836008059</v>
      </c>
      <c r="N88" s="70">
        <f>IF(J92&lt;D11,0,VLOOKUP(J92,C99:P154,7))</f>
        <v>448390.12836008059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Wallace Lake-Prt Robson-Red Point 138 kV Loop</v>
      </c>
      <c r="E89" s="1"/>
      <c r="F89" s="1"/>
      <c r="G89" s="1"/>
      <c r="H89" s="1"/>
      <c r="I89" s="3"/>
      <c r="J89" s="3"/>
      <c r="K89" s="117"/>
      <c r="L89" s="115" t="s">
        <v>156</v>
      </c>
      <c r="M89" s="73">
        <f>+M88-M87</f>
        <v>12324.714845732902</v>
      </c>
      <c r="N89" s="73">
        <f>+N88-N87</f>
        <v>12324.714845732902</v>
      </c>
      <c r="O89" s="74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3"/>
      <c r="J90" s="3"/>
      <c r="K90" s="15"/>
      <c r="L90" s="3"/>
      <c r="M90" s="3"/>
      <c r="N90" s="3"/>
      <c r="O90" s="15"/>
      <c r="P90" s="1"/>
      <c r="Q90" s="1"/>
    </row>
    <row r="91" spans="1:17" ht="13.5" thickBot="1">
      <c r="C91" s="75" t="s">
        <v>85</v>
      </c>
      <c r="D91" s="91" t="str">
        <f>+D9</f>
        <v>TP2005142</v>
      </c>
      <c r="E91" s="76" t="str">
        <f>E9</f>
        <v>SPP Project ID =</v>
      </c>
      <c r="F91" s="463">
        <f>F9</f>
        <v>113</v>
      </c>
      <c r="G91" s="76"/>
      <c r="H91" s="76"/>
      <c r="I91" s="76"/>
      <c r="J91" s="95"/>
      <c r="Q91" s="1"/>
    </row>
    <row r="92" spans="1:17" ht="13">
      <c r="C92" s="34" t="s">
        <v>51</v>
      </c>
      <c r="D92" s="35">
        <f>D10</f>
        <v>4480168</v>
      </c>
      <c r="E92" s="1" t="s">
        <v>86</v>
      </c>
      <c r="H92" s="2"/>
      <c r="I92" s="2"/>
      <c r="J92" s="36">
        <f>+'SWE.WS.G.BPU.ATRR.True-up'!M16</f>
        <v>2024</v>
      </c>
      <c r="K92" s="33"/>
      <c r="L92" s="15" t="s">
        <v>87</v>
      </c>
      <c r="P92" s="1"/>
      <c r="Q92" s="1"/>
    </row>
    <row r="93" spans="1:17" ht="12.5">
      <c r="C93" s="34" t="s">
        <v>54</v>
      </c>
      <c r="D93" s="88">
        <f>IF(D11=I10,"",D11)</f>
        <v>2008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87">
        <f>IF(D11=I10,"",D12)</f>
        <v>5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15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28">
        <f>IF(D92=0,0,D92/D95)</f>
        <v>101822</v>
      </c>
      <c r="K96" s="15"/>
      <c r="L96" s="15"/>
      <c r="M96" s="15"/>
      <c r="N96" s="15"/>
      <c r="O96" s="15"/>
      <c r="P96" s="1"/>
      <c r="Q96" s="1"/>
    </row>
    <row r="97" spans="1:17" ht="39">
      <c r="A97" s="5"/>
      <c r="B97" s="5"/>
      <c r="C97" s="79" t="s">
        <v>51</v>
      </c>
      <c r="D97" s="80" t="s">
        <v>65</v>
      </c>
      <c r="E97" s="45" t="s">
        <v>66</v>
      </c>
      <c r="F97" s="45" t="s">
        <v>67</v>
      </c>
      <c r="G97" s="43" t="s">
        <v>89</v>
      </c>
      <c r="H97" s="157" t="s">
        <v>391</v>
      </c>
      <c r="I97" s="158" t="s">
        <v>392</v>
      </c>
      <c r="J97" s="79" t="s">
        <v>90</v>
      </c>
      <c r="K97" s="81"/>
      <c r="L97" s="126" t="s">
        <v>228</v>
      </c>
      <c r="M97" s="45" t="s">
        <v>91</v>
      </c>
      <c r="N97" s="126" t="s">
        <v>228</v>
      </c>
      <c r="O97" s="45" t="s">
        <v>91</v>
      </c>
      <c r="P97" s="45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155" t="s">
        <v>74</v>
      </c>
      <c r="I98" s="47" t="s">
        <v>75</v>
      </c>
      <c r="J98" s="46" t="s">
        <v>94</v>
      </c>
      <c r="K98" s="44"/>
      <c r="L98" s="48" t="s">
        <v>77</v>
      </c>
      <c r="M98" s="48" t="s">
        <v>77</v>
      </c>
      <c r="N98" s="48" t="s">
        <v>95</v>
      </c>
      <c r="O98" s="48" t="s">
        <v>95</v>
      </c>
      <c r="P98" s="48" t="s">
        <v>95</v>
      </c>
      <c r="Q98" s="1"/>
    </row>
    <row r="99" spans="1:17" ht="12.5">
      <c r="C99" s="50">
        <f>IF(D93= "","-",D93)</f>
        <v>2008</v>
      </c>
      <c r="D99" s="133">
        <v>0</v>
      </c>
      <c r="E99" s="136">
        <v>44333</v>
      </c>
      <c r="F99" s="137">
        <v>2767633</v>
      </c>
      <c r="G99" s="140">
        <v>1383817</v>
      </c>
      <c r="H99" s="138">
        <v>264915</v>
      </c>
      <c r="I99" s="139">
        <v>264915</v>
      </c>
      <c r="J99" s="154">
        <f t="shared" ref="J99:J130" si="34">+I99-H99</f>
        <v>0</v>
      </c>
      <c r="K99" s="54"/>
      <c r="L99" s="112">
        <v>264915</v>
      </c>
      <c r="M99" s="53">
        <f t="shared" ref="M99:M130" si="35">IF(L99&lt;&gt;0,+H99-L99,0)</f>
        <v>0</v>
      </c>
      <c r="N99" s="112">
        <v>264915</v>
      </c>
      <c r="O99" s="53">
        <f t="shared" ref="O99:O130" si="36">IF(N99&lt;&gt;0,+I99-N99,0)</f>
        <v>0</v>
      </c>
      <c r="P99" s="53">
        <f t="shared" ref="P99:P130" si="37">+O99-M99</f>
        <v>0</v>
      </c>
      <c r="Q99" s="1"/>
    </row>
    <row r="100" spans="1:17" ht="12.5">
      <c r="B100" s="7" t="str">
        <f>IF(D100=F99,"","IU")</f>
        <v>IU</v>
      </c>
      <c r="C100" s="50">
        <f>IF(D93="","-",+C99+1)</f>
        <v>2009</v>
      </c>
      <c r="D100" s="133">
        <v>4435834.62</v>
      </c>
      <c r="E100" s="136">
        <v>117899.14789473685</v>
      </c>
      <c r="F100" s="137">
        <v>4317935.4721052628</v>
      </c>
      <c r="G100" s="137">
        <v>4376885.046052631</v>
      </c>
      <c r="H100" s="136">
        <v>751399.2625697077</v>
      </c>
      <c r="I100" s="135">
        <v>751399.2625697077</v>
      </c>
      <c r="J100" s="154">
        <f t="shared" si="34"/>
        <v>0</v>
      </c>
      <c r="K100" s="54"/>
      <c r="L100" s="113">
        <f t="shared" ref="L100:L105" si="38">H100</f>
        <v>751399.2625697077</v>
      </c>
      <c r="M100" s="54">
        <f t="shared" si="35"/>
        <v>0</v>
      </c>
      <c r="N100" s="113">
        <f t="shared" ref="N100:N105" si="39">I100</f>
        <v>751399.2625697077</v>
      </c>
      <c r="O100" s="54">
        <f t="shared" si="36"/>
        <v>0</v>
      </c>
      <c r="P100" s="54">
        <f t="shared" si="37"/>
        <v>0</v>
      </c>
      <c r="Q100" s="1"/>
    </row>
    <row r="101" spans="1:17" ht="12.5">
      <c r="B101" s="7" t="str">
        <f t="shared" ref="B101:B154" si="40">IF(D101=F100,"","IU")</f>
        <v/>
      </c>
      <c r="C101" s="50">
        <f>IF(D93="","-",+C100+1)</f>
        <v>2010</v>
      </c>
      <c r="D101" s="133">
        <v>4317935.4721052628</v>
      </c>
      <c r="E101" s="136">
        <v>109272.38097560976</v>
      </c>
      <c r="F101" s="137">
        <v>4208663.0911296532</v>
      </c>
      <c r="G101" s="137">
        <v>4263299.281617458</v>
      </c>
      <c r="H101" s="136">
        <v>813083.75625157298</v>
      </c>
      <c r="I101" s="135">
        <v>813083.75625157298</v>
      </c>
      <c r="J101" s="154">
        <f t="shared" si="34"/>
        <v>0</v>
      </c>
      <c r="K101" s="54"/>
      <c r="L101" s="113">
        <f t="shared" si="38"/>
        <v>813083.75625157298</v>
      </c>
      <c r="M101" s="54">
        <f t="shared" si="35"/>
        <v>0</v>
      </c>
      <c r="N101" s="113">
        <f t="shared" si="39"/>
        <v>813083.75625157298</v>
      </c>
      <c r="O101" s="54">
        <f t="shared" si="36"/>
        <v>0</v>
      </c>
      <c r="P101" s="54">
        <f t="shared" si="37"/>
        <v>0</v>
      </c>
      <c r="Q101" s="1"/>
    </row>
    <row r="102" spans="1:17" ht="12.5">
      <c r="B102" s="7" t="str">
        <f t="shared" si="40"/>
        <v/>
      </c>
      <c r="C102" s="50">
        <f>IF(D93="","-",+C101+1)</f>
        <v>2011</v>
      </c>
      <c r="D102" s="133">
        <v>4208663.0911296532</v>
      </c>
      <c r="E102" s="144">
        <v>106670.65761904762</v>
      </c>
      <c r="F102" s="137">
        <v>4101992.4335106057</v>
      </c>
      <c r="G102" s="137">
        <v>4155327.7623201292</v>
      </c>
      <c r="H102" s="136">
        <v>731548.43625186454</v>
      </c>
      <c r="I102" s="135">
        <v>731548.43625186454</v>
      </c>
      <c r="J102" s="154">
        <f t="shared" si="34"/>
        <v>0</v>
      </c>
      <c r="K102" s="54"/>
      <c r="L102" s="113">
        <f t="shared" si="38"/>
        <v>731548.43625186454</v>
      </c>
      <c r="M102" s="54">
        <f t="shared" si="35"/>
        <v>0</v>
      </c>
      <c r="N102" s="113">
        <f t="shared" si="39"/>
        <v>731548.43625186454</v>
      </c>
      <c r="O102" s="54">
        <f t="shared" si="36"/>
        <v>0</v>
      </c>
      <c r="P102" s="54">
        <f t="shared" si="37"/>
        <v>0</v>
      </c>
      <c r="Q102" s="1"/>
    </row>
    <row r="103" spans="1:17" ht="12.5">
      <c r="B103" s="7" t="str">
        <f t="shared" si="40"/>
        <v/>
      </c>
      <c r="C103" s="50">
        <f>IF(D93="","-",+C102+1)</f>
        <v>2012</v>
      </c>
      <c r="D103" s="133">
        <v>4101992.4335106057</v>
      </c>
      <c r="E103" s="136">
        <v>106670.65761904762</v>
      </c>
      <c r="F103" s="137">
        <v>3995321.7758915583</v>
      </c>
      <c r="G103" s="137">
        <v>4048657.1047010822</v>
      </c>
      <c r="H103" s="136">
        <v>702446.4690702348</v>
      </c>
      <c r="I103" s="135">
        <v>702446.4690702348</v>
      </c>
      <c r="J103" s="154">
        <f t="shared" si="34"/>
        <v>0</v>
      </c>
      <c r="K103" s="54"/>
      <c r="L103" s="113">
        <f t="shared" si="38"/>
        <v>702446.4690702348</v>
      </c>
      <c r="M103" s="54">
        <f t="shared" si="35"/>
        <v>0</v>
      </c>
      <c r="N103" s="113">
        <f t="shared" si="39"/>
        <v>702446.4690702348</v>
      </c>
      <c r="O103" s="54">
        <f t="shared" si="36"/>
        <v>0</v>
      </c>
      <c r="P103" s="54">
        <f t="shared" si="37"/>
        <v>0</v>
      </c>
      <c r="Q103" s="1"/>
    </row>
    <row r="104" spans="1:17" ht="12.5">
      <c r="B104" s="7" t="str">
        <f t="shared" si="40"/>
        <v>IU</v>
      </c>
      <c r="C104" s="50">
        <f>IF(D93="","-",+C103+1)</f>
        <v>2013</v>
      </c>
      <c r="D104" s="133">
        <f>IF(F103+SUM(E$99:E103)=D$92,F103,D$92-SUM(E$99:E103))</f>
        <v>3995322.1558915582</v>
      </c>
      <c r="E104" s="136">
        <f>IF(+J96&lt;F103,J96,D104)</f>
        <v>101822</v>
      </c>
      <c r="F104" s="137">
        <f t="shared" ref="F104:F130" si="41">+D104-E104</f>
        <v>3893500.1558915582</v>
      </c>
      <c r="G104" s="137">
        <f t="shared" ref="G104:G130" si="42">+(F104+D104)/2</f>
        <v>3944411.1558915582</v>
      </c>
      <c r="H104" s="136">
        <f t="shared" ref="H104" si="43">+J$94*G104+E104</f>
        <v>593005.0843117917</v>
      </c>
      <c r="I104" s="135">
        <f t="shared" ref="I104" si="44">+J$95*G104+E104</f>
        <v>593005.0843117917</v>
      </c>
      <c r="J104" s="154">
        <f t="shared" si="34"/>
        <v>0</v>
      </c>
      <c r="K104" s="54"/>
      <c r="L104" s="113">
        <f t="shared" si="38"/>
        <v>593005.0843117917</v>
      </c>
      <c r="M104" s="54">
        <f t="shared" ref="M104:M109" si="45">IF(L104&lt;&gt;0,+H104-L104,0)</f>
        <v>0</v>
      </c>
      <c r="N104" s="113">
        <f t="shared" si="39"/>
        <v>593005.0843117917</v>
      </c>
      <c r="O104" s="54">
        <f t="shared" ref="O104:O109" si="46">IF(N104&lt;&gt;0,+I104-N104,0)</f>
        <v>0</v>
      </c>
      <c r="P104" s="54">
        <f t="shared" ref="P104:P109" si="47">+O104-M104</f>
        <v>0</v>
      </c>
      <c r="Q104" s="1"/>
    </row>
    <row r="105" spans="1:17" ht="12.5">
      <c r="B105" s="7" t="str">
        <f t="shared" si="40"/>
        <v>IU</v>
      </c>
      <c r="C105" s="50">
        <f>IF(D93="","-",+C104+1)</f>
        <v>2014</v>
      </c>
      <c r="D105" s="133">
        <v>3888651.1182725108</v>
      </c>
      <c r="E105" s="136">
        <v>106670.65761904762</v>
      </c>
      <c r="F105" s="137">
        <v>3781980.4606534634</v>
      </c>
      <c r="G105" s="137">
        <v>3835315.7894629873</v>
      </c>
      <c r="H105" s="136">
        <v>627980.04901218251</v>
      </c>
      <c r="I105" s="135">
        <v>627980.04901218251</v>
      </c>
      <c r="J105" s="54">
        <v>0</v>
      </c>
      <c r="K105" s="54"/>
      <c r="L105" s="113">
        <f t="shared" si="38"/>
        <v>627980.04901218251</v>
      </c>
      <c r="M105" s="54">
        <f t="shared" si="45"/>
        <v>0</v>
      </c>
      <c r="N105" s="113">
        <f t="shared" si="39"/>
        <v>627980.04901218251</v>
      </c>
      <c r="O105" s="54">
        <f t="shared" si="46"/>
        <v>0</v>
      </c>
      <c r="P105" s="54">
        <f t="shared" si="47"/>
        <v>0</v>
      </c>
      <c r="Q105" s="1"/>
    </row>
    <row r="106" spans="1:17" ht="12.5">
      <c r="B106" s="7" t="str">
        <f t="shared" si="40"/>
        <v/>
      </c>
      <c r="C106" s="50">
        <f>IF(D93="","-",+C105+1)</f>
        <v>2015</v>
      </c>
      <c r="D106" s="133">
        <v>3781980.4606534634</v>
      </c>
      <c r="E106" s="136">
        <v>106670.65761904762</v>
      </c>
      <c r="F106" s="137">
        <v>3675309.8030344159</v>
      </c>
      <c r="G106" s="137">
        <v>3728645.1318439394</v>
      </c>
      <c r="H106" s="136">
        <v>597990.04263617261</v>
      </c>
      <c r="I106" s="135">
        <v>597990.04263617261</v>
      </c>
      <c r="J106" s="54">
        <f t="shared" si="34"/>
        <v>0</v>
      </c>
      <c r="K106" s="54"/>
      <c r="L106" s="113">
        <f t="shared" ref="L106:L111" si="48">H106</f>
        <v>597990.04263617261</v>
      </c>
      <c r="M106" s="54">
        <f t="shared" si="45"/>
        <v>0</v>
      </c>
      <c r="N106" s="113">
        <f t="shared" ref="N106:N111" si="49">I106</f>
        <v>597990.04263617261</v>
      </c>
      <c r="O106" s="54">
        <f t="shared" si="46"/>
        <v>0</v>
      </c>
      <c r="P106" s="54">
        <f t="shared" si="47"/>
        <v>0</v>
      </c>
      <c r="Q106" s="1"/>
    </row>
    <row r="107" spans="1:17" ht="12.5">
      <c r="B107" s="7" t="str">
        <f t="shared" si="40"/>
        <v>IU</v>
      </c>
      <c r="C107" s="50">
        <f>IF(D93="","-",+C106+1)</f>
        <v>2016</v>
      </c>
      <c r="D107" s="133">
        <v>3677790.5160023002</v>
      </c>
      <c r="E107" s="136">
        <v>104189.94465116279</v>
      </c>
      <c r="F107" s="137">
        <v>3573600.5713511375</v>
      </c>
      <c r="G107" s="137">
        <v>3625695.5436767191</v>
      </c>
      <c r="H107" s="136">
        <v>564471.95145808836</v>
      </c>
      <c r="I107" s="135">
        <v>564471.95145808836</v>
      </c>
      <c r="J107" s="54">
        <f t="shared" si="34"/>
        <v>0</v>
      </c>
      <c r="K107" s="54"/>
      <c r="L107" s="113">
        <f t="shared" si="48"/>
        <v>564471.95145808836</v>
      </c>
      <c r="M107" s="54">
        <f t="shared" si="45"/>
        <v>0</v>
      </c>
      <c r="N107" s="113">
        <f t="shared" si="49"/>
        <v>564471.95145808836</v>
      </c>
      <c r="O107" s="54">
        <f t="shared" si="46"/>
        <v>0</v>
      </c>
      <c r="P107" s="54">
        <f t="shared" si="47"/>
        <v>0</v>
      </c>
      <c r="Q107" s="1"/>
    </row>
    <row r="108" spans="1:17" ht="12.5">
      <c r="B108" s="7" t="str">
        <f t="shared" si="40"/>
        <v>IU</v>
      </c>
      <c r="C108" s="50">
        <f>IF(D93="","-",+C107+1)</f>
        <v>2017</v>
      </c>
      <c r="D108" s="133">
        <v>3571119.8583832523</v>
      </c>
      <c r="E108" s="136">
        <v>106670.65761904762</v>
      </c>
      <c r="F108" s="137">
        <v>3464449.2007642048</v>
      </c>
      <c r="G108" s="137">
        <v>3517784.5295737283</v>
      </c>
      <c r="H108" s="136">
        <v>533981.0722445295</v>
      </c>
      <c r="I108" s="135">
        <v>533981.0722445295</v>
      </c>
      <c r="J108" s="54">
        <f t="shared" si="34"/>
        <v>0</v>
      </c>
      <c r="K108" s="54"/>
      <c r="L108" s="113">
        <f t="shared" si="48"/>
        <v>533981.0722445295</v>
      </c>
      <c r="M108" s="54">
        <f t="shared" si="45"/>
        <v>0</v>
      </c>
      <c r="N108" s="113">
        <f t="shared" si="49"/>
        <v>533981.0722445295</v>
      </c>
      <c r="O108" s="54">
        <f t="shared" si="46"/>
        <v>0</v>
      </c>
      <c r="P108" s="54">
        <f t="shared" si="47"/>
        <v>0</v>
      </c>
      <c r="Q108" s="1"/>
    </row>
    <row r="109" spans="1:17" ht="12.5">
      <c r="B109" s="7" t="str">
        <f t="shared" si="40"/>
        <v/>
      </c>
      <c r="C109" s="50">
        <f>IF(D93="","-",+C108+1)</f>
        <v>2018</v>
      </c>
      <c r="D109" s="133">
        <v>3464449.2007642048</v>
      </c>
      <c r="E109" s="136">
        <v>106670.65761904762</v>
      </c>
      <c r="F109" s="137">
        <v>3357778.5431451574</v>
      </c>
      <c r="G109" s="137">
        <v>3411113.8719546814</v>
      </c>
      <c r="H109" s="136">
        <v>466899.92525095958</v>
      </c>
      <c r="I109" s="135">
        <v>466899.92525095958</v>
      </c>
      <c r="J109" s="54">
        <f t="shared" si="34"/>
        <v>0</v>
      </c>
      <c r="K109" s="54"/>
      <c r="L109" s="113">
        <f t="shared" si="48"/>
        <v>466899.92525095958</v>
      </c>
      <c r="M109" s="54">
        <f t="shared" si="45"/>
        <v>0</v>
      </c>
      <c r="N109" s="113">
        <f t="shared" si="49"/>
        <v>466899.92525095958</v>
      </c>
      <c r="O109" s="54">
        <f t="shared" si="46"/>
        <v>0</v>
      </c>
      <c r="P109" s="54">
        <f t="shared" si="47"/>
        <v>0</v>
      </c>
      <c r="Q109" s="1"/>
    </row>
    <row r="110" spans="1:17" ht="12.5">
      <c r="B110" s="7" t="str">
        <f t="shared" si="40"/>
        <v>IU</v>
      </c>
      <c r="C110" s="50">
        <f>IF(D93="","-",+C109+1)</f>
        <v>2019</v>
      </c>
      <c r="D110" s="133">
        <v>3360259.2561130421</v>
      </c>
      <c r="E110" s="136">
        <v>104189.94465116279</v>
      </c>
      <c r="F110" s="137">
        <v>3256069.3114618794</v>
      </c>
      <c r="G110" s="137">
        <v>3308164.283787461</v>
      </c>
      <c r="H110" s="136">
        <v>458297.65763870062</v>
      </c>
      <c r="I110" s="135">
        <v>458297.65763870062</v>
      </c>
      <c r="J110" s="54">
        <f t="shared" si="34"/>
        <v>0</v>
      </c>
      <c r="K110" s="54"/>
      <c r="L110" s="113">
        <f t="shared" si="48"/>
        <v>458297.65763870062</v>
      </c>
      <c r="M110" s="54">
        <f t="shared" ref="M110" si="50">IF(L110&lt;&gt;0,+H110-L110,0)</f>
        <v>0</v>
      </c>
      <c r="N110" s="113">
        <f t="shared" si="49"/>
        <v>458297.65763870062</v>
      </c>
      <c r="O110" s="54">
        <f t="shared" si="36"/>
        <v>0</v>
      </c>
      <c r="P110" s="54">
        <f t="shared" si="37"/>
        <v>0</v>
      </c>
      <c r="Q110" s="1"/>
    </row>
    <row r="111" spans="1:17" ht="12.5">
      <c r="B111" s="7" t="str">
        <f t="shared" si="40"/>
        <v>IU</v>
      </c>
      <c r="C111" s="50">
        <f>IF(D93="","-",+C110+1)</f>
        <v>2020</v>
      </c>
      <c r="D111" s="133">
        <v>3253588.5984939942</v>
      </c>
      <c r="E111" s="136">
        <v>106670.65761904762</v>
      </c>
      <c r="F111" s="137">
        <v>3146917.9408749468</v>
      </c>
      <c r="G111" s="137">
        <v>3200253.2696844703</v>
      </c>
      <c r="H111" s="136">
        <v>450934.16681202245</v>
      </c>
      <c r="I111" s="135">
        <v>450934.16681202245</v>
      </c>
      <c r="J111" s="54">
        <f t="shared" si="34"/>
        <v>0</v>
      </c>
      <c r="K111" s="54"/>
      <c r="L111" s="113">
        <f t="shared" si="48"/>
        <v>450934.16681202245</v>
      </c>
      <c r="M111" s="54">
        <f t="shared" ref="M111" si="51">IF(L111&lt;&gt;0,+H111-L111,0)</f>
        <v>0</v>
      </c>
      <c r="N111" s="113">
        <f t="shared" si="49"/>
        <v>450934.16681202245</v>
      </c>
      <c r="O111" s="54">
        <f t="shared" si="36"/>
        <v>0</v>
      </c>
      <c r="P111" s="54">
        <f t="shared" si="37"/>
        <v>0</v>
      </c>
      <c r="Q111" s="1"/>
    </row>
    <row r="112" spans="1:17" ht="12.5">
      <c r="B112" s="7" t="str">
        <f t="shared" si="40"/>
        <v>IU</v>
      </c>
      <c r="C112" s="50">
        <f>IF(D93="","-",+C111+1)</f>
        <v>2021</v>
      </c>
      <c r="D112" s="133">
        <v>3144316.2175183846</v>
      </c>
      <c r="E112" s="136">
        <v>109272.38097560976</v>
      </c>
      <c r="F112" s="137">
        <v>3035043.8365427749</v>
      </c>
      <c r="G112" s="137">
        <v>3089680.0270305797</v>
      </c>
      <c r="H112" s="136">
        <v>459995.01898038521</v>
      </c>
      <c r="I112" s="135">
        <v>459995.01898038521</v>
      </c>
      <c r="J112" s="54">
        <f t="shared" si="34"/>
        <v>0</v>
      </c>
      <c r="K112" s="54"/>
      <c r="L112" s="113">
        <f t="shared" ref="L112" si="52">H112</f>
        <v>459995.01898038521</v>
      </c>
      <c r="M112" s="54">
        <f t="shared" ref="M112" si="53">IF(L112&lt;&gt;0,+H112-L112,0)</f>
        <v>0</v>
      </c>
      <c r="N112" s="113">
        <f t="shared" ref="N112" si="54">I112</f>
        <v>459995.01898038521</v>
      </c>
      <c r="O112" s="54">
        <f t="shared" si="36"/>
        <v>0</v>
      </c>
      <c r="P112" s="54">
        <f t="shared" si="37"/>
        <v>0</v>
      </c>
      <c r="Q112" s="1"/>
    </row>
    <row r="113" spans="2:17" ht="12.5">
      <c r="B113" s="7" t="str">
        <f t="shared" si="40"/>
        <v>IU</v>
      </c>
      <c r="C113" s="50">
        <f>IF(D93="","-",+C112+1)</f>
        <v>2022</v>
      </c>
      <c r="D113" s="133">
        <v>3037645.5598993371</v>
      </c>
      <c r="E113" s="136">
        <v>106670.65761904762</v>
      </c>
      <c r="F113" s="137">
        <v>2930974.9022802897</v>
      </c>
      <c r="G113" s="137">
        <v>2984310.2310898136</v>
      </c>
      <c r="H113" s="136">
        <v>457201.30033225642</v>
      </c>
      <c r="I113" s="135">
        <v>457201.30033225642</v>
      </c>
      <c r="J113" s="54">
        <f t="shared" si="34"/>
        <v>0</v>
      </c>
      <c r="K113" s="54"/>
      <c r="L113" s="113">
        <f t="shared" ref="L113" si="55">H113</f>
        <v>457201.30033225642</v>
      </c>
      <c r="M113" s="54">
        <f t="shared" ref="M113" si="56">IF(L113&lt;&gt;0,+H113-L113,0)</f>
        <v>0</v>
      </c>
      <c r="N113" s="113">
        <f t="shared" ref="N113" si="57">I113</f>
        <v>457201.30033225642</v>
      </c>
      <c r="O113" s="54">
        <f t="shared" ref="O113" si="58">IF(N113&lt;&gt;0,+I113-N113,0)</f>
        <v>0</v>
      </c>
      <c r="P113" s="54">
        <f t="shared" ref="P113" si="59">+O113-M113</f>
        <v>0</v>
      </c>
      <c r="Q113" s="1"/>
    </row>
    <row r="114" spans="2:17" ht="12.5">
      <c r="B114" s="7" t="str">
        <f t="shared" si="40"/>
        <v>IU</v>
      </c>
      <c r="C114" s="50">
        <f>IF(D93="","-",+C113+1)</f>
        <v>2023</v>
      </c>
      <c r="D114" s="133">
        <v>2935823.9398993365</v>
      </c>
      <c r="E114" s="136">
        <v>101822</v>
      </c>
      <c r="F114" s="137">
        <v>2834001.9398993365</v>
      </c>
      <c r="G114" s="137">
        <v>2884912.9398993365</v>
      </c>
      <c r="H114" s="136">
        <v>457719.4470063108</v>
      </c>
      <c r="I114" s="135">
        <v>457719.4470063108</v>
      </c>
      <c r="J114" s="54">
        <f t="shared" si="34"/>
        <v>0</v>
      </c>
      <c r="K114" s="54"/>
      <c r="L114" s="113">
        <f t="shared" ref="L114" si="60">H114</f>
        <v>457719.4470063108</v>
      </c>
      <c r="M114" s="54">
        <f t="shared" ref="M114" si="61">IF(L114&lt;&gt;0,+H114-L114,0)</f>
        <v>0</v>
      </c>
      <c r="N114" s="113">
        <f t="shared" ref="N114" si="62">I114</f>
        <v>457719.4470063108</v>
      </c>
      <c r="O114" s="54">
        <f t="shared" ref="O114" si="63">IF(N114&lt;&gt;0,+I114-N114,0)</f>
        <v>0</v>
      </c>
      <c r="P114" s="54">
        <f t="shared" ref="P114" si="64">+O114-M114</f>
        <v>0</v>
      </c>
      <c r="Q114" s="1"/>
    </row>
    <row r="115" spans="2:17" ht="12.5">
      <c r="B115" s="7" t="str">
        <f t="shared" si="40"/>
        <v/>
      </c>
      <c r="C115" s="50">
        <f>IF(D93="","-",+C114+1)</f>
        <v>2024</v>
      </c>
      <c r="D115" s="12">
        <f>IF(F114+SUM(E$99:E114)=D$92,F114,D$92-SUM(E$99:E114))</f>
        <v>2834001.9398993365</v>
      </c>
      <c r="E115" s="56">
        <f>IF(+J96&lt;F114,J96,D115)</f>
        <v>101822</v>
      </c>
      <c r="F115" s="55">
        <f t="shared" si="41"/>
        <v>2732179.9398993365</v>
      </c>
      <c r="G115" s="55">
        <f t="shared" si="42"/>
        <v>2783090.9398993365</v>
      </c>
      <c r="H115" s="58">
        <f t="shared" ref="H115:H154" si="65">+J$94*G115+E115</f>
        <v>448390.12836008059</v>
      </c>
      <c r="I115" s="108">
        <f t="shared" ref="I115:I154" si="66">+J$95*G115+E115</f>
        <v>448390.12836008059</v>
      </c>
      <c r="J115" s="54">
        <f t="shared" si="34"/>
        <v>0</v>
      </c>
      <c r="K115" s="54"/>
      <c r="L115" s="129"/>
      <c r="M115" s="54">
        <f t="shared" si="35"/>
        <v>0</v>
      </c>
      <c r="N115" s="129"/>
      <c r="O115" s="54">
        <f t="shared" si="36"/>
        <v>0</v>
      </c>
      <c r="P115" s="54">
        <f t="shared" si="37"/>
        <v>0</v>
      </c>
      <c r="Q115" s="1"/>
    </row>
    <row r="116" spans="2:17" ht="12.5">
      <c r="B116" s="7" t="str">
        <f t="shared" si="40"/>
        <v/>
      </c>
      <c r="C116" s="50">
        <f>IF(D93="","-",+C115+1)</f>
        <v>2025</v>
      </c>
      <c r="D116" s="12">
        <f>IF(F115+SUM(E$99:E115)=D$92,F115,D$92-SUM(E$99:E115))</f>
        <v>2732179.9398993365</v>
      </c>
      <c r="E116" s="56">
        <f>IF(+J96&lt;F115,J96,D116)</f>
        <v>101822</v>
      </c>
      <c r="F116" s="55">
        <f t="shared" si="41"/>
        <v>2630357.9398993365</v>
      </c>
      <c r="G116" s="55">
        <f t="shared" si="42"/>
        <v>2681268.9398993365</v>
      </c>
      <c r="H116" s="58">
        <f t="shared" si="65"/>
        <v>435710.60737857915</v>
      </c>
      <c r="I116" s="108">
        <f t="shared" si="66"/>
        <v>435710.60737857915</v>
      </c>
      <c r="J116" s="54">
        <f t="shared" si="34"/>
        <v>0</v>
      </c>
      <c r="K116" s="54"/>
      <c r="L116" s="129"/>
      <c r="M116" s="54">
        <f t="shared" si="35"/>
        <v>0</v>
      </c>
      <c r="N116" s="129"/>
      <c r="O116" s="54">
        <f t="shared" si="36"/>
        <v>0</v>
      </c>
      <c r="P116" s="54">
        <f t="shared" si="37"/>
        <v>0</v>
      </c>
      <c r="Q116" s="1"/>
    </row>
    <row r="117" spans="2:17" ht="12.5">
      <c r="B117" s="7" t="str">
        <f t="shared" si="40"/>
        <v/>
      </c>
      <c r="C117" s="50">
        <f>IF(D93="","-",+C116+1)</f>
        <v>2026</v>
      </c>
      <c r="D117" s="12">
        <f>IF(F116+SUM(E$99:E116)=D$92,F116,D$92-SUM(E$99:E116))</f>
        <v>2630357.9398993365</v>
      </c>
      <c r="E117" s="56">
        <f>IF(+J96&lt;F116,J96,D117)</f>
        <v>101822</v>
      </c>
      <c r="F117" s="55">
        <f t="shared" si="41"/>
        <v>2528535.9398993365</v>
      </c>
      <c r="G117" s="55">
        <f t="shared" si="42"/>
        <v>2579446.9398993365</v>
      </c>
      <c r="H117" s="58">
        <f t="shared" si="65"/>
        <v>423031.08639707777</v>
      </c>
      <c r="I117" s="108">
        <f t="shared" si="66"/>
        <v>423031.08639707777</v>
      </c>
      <c r="J117" s="54">
        <f t="shared" si="34"/>
        <v>0</v>
      </c>
      <c r="K117" s="54"/>
      <c r="L117" s="129"/>
      <c r="M117" s="54">
        <f t="shared" si="35"/>
        <v>0</v>
      </c>
      <c r="N117" s="129"/>
      <c r="O117" s="54">
        <f t="shared" si="36"/>
        <v>0</v>
      </c>
      <c r="P117" s="54">
        <f t="shared" si="37"/>
        <v>0</v>
      </c>
      <c r="Q117" s="1"/>
    </row>
    <row r="118" spans="2:17" ht="12.5">
      <c r="B118" s="7" t="str">
        <f t="shared" si="40"/>
        <v/>
      </c>
      <c r="C118" s="50">
        <f>IF(D93="","-",+C117+1)</f>
        <v>2027</v>
      </c>
      <c r="D118" s="12">
        <f>IF(F117+SUM(E$99:E117)=D$92,F117,D$92-SUM(E$99:E117))</f>
        <v>2528535.9398993365</v>
      </c>
      <c r="E118" s="56">
        <f>IF(+J96&lt;F117,J96,D118)</f>
        <v>101822</v>
      </c>
      <c r="F118" s="55">
        <f t="shared" si="41"/>
        <v>2426713.9398993365</v>
      </c>
      <c r="G118" s="55">
        <f t="shared" si="42"/>
        <v>2477624.9398993365</v>
      </c>
      <c r="H118" s="58">
        <f t="shared" si="65"/>
        <v>410351.56541557633</v>
      </c>
      <c r="I118" s="108">
        <f t="shared" si="66"/>
        <v>410351.56541557633</v>
      </c>
      <c r="J118" s="54">
        <f t="shared" si="34"/>
        <v>0</v>
      </c>
      <c r="K118" s="54"/>
      <c r="L118" s="129"/>
      <c r="M118" s="54">
        <f t="shared" si="35"/>
        <v>0</v>
      </c>
      <c r="N118" s="129"/>
      <c r="O118" s="54">
        <f t="shared" si="36"/>
        <v>0</v>
      </c>
      <c r="P118" s="54">
        <f t="shared" si="37"/>
        <v>0</v>
      </c>
      <c r="Q118" s="1"/>
    </row>
    <row r="119" spans="2:17" ht="12.5">
      <c r="B119" s="7" t="str">
        <f t="shared" si="40"/>
        <v/>
      </c>
      <c r="C119" s="50">
        <f>IF(D93="","-",+C118+1)</f>
        <v>2028</v>
      </c>
      <c r="D119" s="12">
        <f>IF(F118+SUM(E$99:E118)=D$92,F118,D$92-SUM(E$99:E118))</f>
        <v>2426713.9398993365</v>
      </c>
      <c r="E119" s="56">
        <f>IF(+J96&lt;F118,J96,D119)</f>
        <v>101822</v>
      </c>
      <c r="F119" s="55">
        <f t="shared" si="41"/>
        <v>2324891.9398993365</v>
      </c>
      <c r="G119" s="55">
        <f t="shared" si="42"/>
        <v>2375802.9398993365</v>
      </c>
      <c r="H119" s="58">
        <f t="shared" si="65"/>
        <v>397672.04443407495</v>
      </c>
      <c r="I119" s="108">
        <f t="shared" si="66"/>
        <v>397672.04443407495</v>
      </c>
      <c r="J119" s="54">
        <f t="shared" si="34"/>
        <v>0</v>
      </c>
      <c r="K119" s="54"/>
      <c r="L119" s="129"/>
      <c r="M119" s="54">
        <f t="shared" si="35"/>
        <v>0</v>
      </c>
      <c r="N119" s="129"/>
      <c r="O119" s="54">
        <f t="shared" si="36"/>
        <v>0</v>
      </c>
      <c r="P119" s="54">
        <f t="shared" si="37"/>
        <v>0</v>
      </c>
      <c r="Q119" s="1"/>
    </row>
    <row r="120" spans="2:17" ht="12.5">
      <c r="B120" s="7" t="str">
        <f t="shared" si="40"/>
        <v/>
      </c>
      <c r="C120" s="50">
        <f>IF(D93="","-",+C119+1)</f>
        <v>2029</v>
      </c>
      <c r="D120" s="12">
        <f>IF(F119+SUM(E$99:E119)=D$92,F119,D$92-SUM(E$99:E119))</f>
        <v>2324891.9398993365</v>
      </c>
      <c r="E120" s="56">
        <f>IF(+J96&lt;F119,J96,D120)</f>
        <v>101822</v>
      </c>
      <c r="F120" s="55">
        <f t="shared" si="41"/>
        <v>2223069.9398993365</v>
      </c>
      <c r="G120" s="55">
        <f t="shared" si="42"/>
        <v>2273980.9398993365</v>
      </c>
      <c r="H120" s="58">
        <f t="shared" si="65"/>
        <v>384992.52345257351</v>
      </c>
      <c r="I120" s="108">
        <f t="shared" si="66"/>
        <v>384992.52345257351</v>
      </c>
      <c r="J120" s="54">
        <f t="shared" si="34"/>
        <v>0</v>
      </c>
      <c r="K120" s="54"/>
      <c r="L120" s="129"/>
      <c r="M120" s="54">
        <f t="shared" si="35"/>
        <v>0</v>
      </c>
      <c r="N120" s="129"/>
      <c r="O120" s="54">
        <f t="shared" si="36"/>
        <v>0</v>
      </c>
      <c r="P120" s="54">
        <f t="shared" si="37"/>
        <v>0</v>
      </c>
      <c r="Q120" s="1"/>
    </row>
    <row r="121" spans="2:17" ht="12.5">
      <c r="B121" s="7" t="str">
        <f t="shared" si="40"/>
        <v/>
      </c>
      <c r="C121" s="50">
        <f>IF(D93="","-",+C120+1)</f>
        <v>2030</v>
      </c>
      <c r="D121" s="12">
        <f>IF(F120+SUM(E$99:E120)=D$92,F120,D$92-SUM(E$99:E120))</f>
        <v>2223069.9398993365</v>
      </c>
      <c r="E121" s="56">
        <f>IF(+J96&lt;F120,J96,D121)</f>
        <v>101822</v>
      </c>
      <c r="F121" s="55">
        <f t="shared" si="41"/>
        <v>2121247.9398993365</v>
      </c>
      <c r="G121" s="55">
        <f t="shared" si="42"/>
        <v>2172158.9398993365</v>
      </c>
      <c r="H121" s="58">
        <f t="shared" si="65"/>
        <v>372313.00247107213</v>
      </c>
      <c r="I121" s="108">
        <f t="shared" si="66"/>
        <v>372313.00247107213</v>
      </c>
      <c r="J121" s="54">
        <f t="shared" si="34"/>
        <v>0</v>
      </c>
      <c r="K121" s="54"/>
      <c r="L121" s="129"/>
      <c r="M121" s="54">
        <f t="shared" si="35"/>
        <v>0</v>
      </c>
      <c r="N121" s="129"/>
      <c r="O121" s="54">
        <f t="shared" si="36"/>
        <v>0</v>
      </c>
      <c r="P121" s="54">
        <f t="shared" si="37"/>
        <v>0</v>
      </c>
      <c r="Q121" s="1"/>
    </row>
    <row r="122" spans="2:17" ht="12.5">
      <c r="B122" s="7" t="str">
        <f t="shared" si="40"/>
        <v/>
      </c>
      <c r="C122" s="50">
        <f>IF(D93="","-",+C121+1)</f>
        <v>2031</v>
      </c>
      <c r="D122" s="12">
        <f>IF(F121+SUM(E$99:E121)=D$92,F121,D$92-SUM(E$99:E121))</f>
        <v>2121247.9398993365</v>
      </c>
      <c r="E122" s="56">
        <f>IF(+J96&lt;F121,J96,D122)</f>
        <v>101822</v>
      </c>
      <c r="F122" s="55">
        <f t="shared" si="41"/>
        <v>2019425.9398993365</v>
      </c>
      <c r="G122" s="55">
        <f t="shared" si="42"/>
        <v>2070336.9398993365</v>
      </c>
      <c r="H122" s="58">
        <f t="shared" si="65"/>
        <v>359633.48148957069</v>
      </c>
      <c r="I122" s="108">
        <f t="shared" si="66"/>
        <v>359633.48148957069</v>
      </c>
      <c r="J122" s="54">
        <f t="shared" si="34"/>
        <v>0</v>
      </c>
      <c r="K122" s="54"/>
      <c r="L122" s="129"/>
      <c r="M122" s="54">
        <f t="shared" si="35"/>
        <v>0</v>
      </c>
      <c r="N122" s="129"/>
      <c r="O122" s="54">
        <f t="shared" si="36"/>
        <v>0</v>
      </c>
      <c r="P122" s="54">
        <f t="shared" si="37"/>
        <v>0</v>
      </c>
      <c r="Q122" s="1"/>
    </row>
    <row r="123" spans="2:17" ht="12.5">
      <c r="B123" s="7" t="str">
        <f t="shared" si="40"/>
        <v/>
      </c>
      <c r="C123" s="50">
        <f>IF(D93="","-",+C122+1)</f>
        <v>2032</v>
      </c>
      <c r="D123" s="12">
        <f>IF(F122+SUM(E$99:E122)=D$92,F122,D$92-SUM(E$99:E122))</f>
        <v>2019425.9398993365</v>
      </c>
      <c r="E123" s="56">
        <f>IF(+J96&lt;F122,J96,D123)</f>
        <v>101822</v>
      </c>
      <c r="F123" s="55">
        <f t="shared" si="41"/>
        <v>1917603.9398993365</v>
      </c>
      <c r="G123" s="55">
        <f t="shared" si="42"/>
        <v>1968514.9398993365</v>
      </c>
      <c r="H123" s="58">
        <f t="shared" si="65"/>
        <v>346953.96050806926</v>
      </c>
      <c r="I123" s="108">
        <f t="shared" si="66"/>
        <v>346953.96050806926</v>
      </c>
      <c r="J123" s="54">
        <f t="shared" si="34"/>
        <v>0</v>
      </c>
      <c r="K123" s="54"/>
      <c r="L123" s="129"/>
      <c r="M123" s="54">
        <f t="shared" si="35"/>
        <v>0</v>
      </c>
      <c r="N123" s="129"/>
      <c r="O123" s="54">
        <f t="shared" si="36"/>
        <v>0</v>
      </c>
      <c r="P123" s="54">
        <f t="shared" si="37"/>
        <v>0</v>
      </c>
      <c r="Q123" s="1"/>
    </row>
    <row r="124" spans="2:17" ht="12.5">
      <c r="B124" s="7" t="str">
        <f t="shared" si="40"/>
        <v/>
      </c>
      <c r="C124" s="50">
        <f>IF(D93="","-",+C123+1)</f>
        <v>2033</v>
      </c>
      <c r="D124" s="12">
        <f>IF(F123+SUM(E$99:E123)=D$92,F123,D$92-SUM(E$99:E123))</f>
        <v>1917603.9398993365</v>
      </c>
      <c r="E124" s="56">
        <f>IF(+J96&lt;F123,J96,D124)</f>
        <v>101822</v>
      </c>
      <c r="F124" s="55">
        <f t="shared" si="41"/>
        <v>1815781.9398993365</v>
      </c>
      <c r="G124" s="55">
        <f t="shared" si="42"/>
        <v>1866692.9398993365</v>
      </c>
      <c r="H124" s="58">
        <f t="shared" si="65"/>
        <v>334274.43952656788</v>
      </c>
      <c r="I124" s="108">
        <f t="shared" si="66"/>
        <v>334274.43952656788</v>
      </c>
      <c r="J124" s="54">
        <f t="shared" si="34"/>
        <v>0</v>
      </c>
      <c r="K124" s="54"/>
      <c r="L124" s="129"/>
      <c r="M124" s="54">
        <f t="shared" si="35"/>
        <v>0</v>
      </c>
      <c r="N124" s="129"/>
      <c r="O124" s="54">
        <f t="shared" si="36"/>
        <v>0</v>
      </c>
      <c r="P124" s="54">
        <f t="shared" si="37"/>
        <v>0</v>
      </c>
      <c r="Q124" s="1"/>
    </row>
    <row r="125" spans="2:17" ht="12.5">
      <c r="B125" s="7" t="str">
        <f t="shared" si="40"/>
        <v/>
      </c>
      <c r="C125" s="50">
        <f>IF(D93="","-",+C124+1)</f>
        <v>2034</v>
      </c>
      <c r="D125" s="12">
        <f>IF(F124+SUM(E$99:E124)=D$92,F124,D$92-SUM(E$99:E124))</f>
        <v>1815781.9398993365</v>
      </c>
      <c r="E125" s="56">
        <f>IF(+J96&lt;F124,J96,D125)</f>
        <v>101822</v>
      </c>
      <c r="F125" s="55">
        <f t="shared" si="41"/>
        <v>1713959.9398993365</v>
      </c>
      <c r="G125" s="55">
        <f t="shared" si="42"/>
        <v>1764870.9398993365</v>
      </c>
      <c r="H125" s="58">
        <f t="shared" si="65"/>
        <v>321594.9185450665</v>
      </c>
      <c r="I125" s="108">
        <f t="shared" si="66"/>
        <v>321594.9185450665</v>
      </c>
      <c r="J125" s="54">
        <f t="shared" si="34"/>
        <v>0</v>
      </c>
      <c r="K125" s="54"/>
      <c r="L125" s="129"/>
      <c r="M125" s="54">
        <f t="shared" si="35"/>
        <v>0</v>
      </c>
      <c r="N125" s="129"/>
      <c r="O125" s="54">
        <f t="shared" si="36"/>
        <v>0</v>
      </c>
      <c r="P125" s="54">
        <f t="shared" si="37"/>
        <v>0</v>
      </c>
      <c r="Q125" s="1"/>
    </row>
    <row r="126" spans="2:17" ht="12.5">
      <c r="B126" s="7" t="str">
        <f t="shared" si="40"/>
        <v/>
      </c>
      <c r="C126" s="50">
        <f>IF(D93="","-",+C125+1)</f>
        <v>2035</v>
      </c>
      <c r="D126" s="12">
        <f>IF(F125+SUM(E$99:E125)=D$92,F125,D$92-SUM(E$99:E125))</f>
        <v>1713959.9398993365</v>
      </c>
      <c r="E126" s="56">
        <f>IF(+J96&lt;F125,J96,D126)</f>
        <v>101822</v>
      </c>
      <c r="F126" s="55">
        <f t="shared" si="41"/>
        <v>1612137.9398993365</v>
      </c>
      <c r="G126" s="55">
        <f t="shared" si="42"/>
        <v>1663048.9398993365</v>
      </c>
      <c r="H126" s="58">
        <f t="shared" si="65"/>
        <v>308915.39756356506</v>
      </c>
      <c r="I126" s="108">
        <f t="shared" si="66"/>
        <v>308915.39756356506</v>
      </c>
      <c r="J126" s="54">
        <f t="shared" si="34"/>
        <v>0</v>
      </c>
      <c r="K126" s="54"/>
      <c r="L126" s="129"/>
      <c r="M126" s="54">
        <f t="shared" si="35"/>
        <v>0</v>
      </c>
      <c r="N126" s="129"/>
      <c r="O126" s="54">
        <f t="shared" si="36"/>
        <v>0</v>
      </c>
      <c r="P126" s="54">
        <f t="shared" si="37"/>
        <v>0</v>
      </c>
      <c r="Q126" s="1"/>
    </row>
    <row r="127" spans="2:17" ht="12.5">
      <c r="B127" s="7" t="str">
        <f t="shared" si="40"/>
        <v/>
      </c>
      <c r="C127" s="50">
        <f>IF(D93="","-",+C126+1)</f>
        <v>2036</v>
      </c>
      <c r="D127" s="12">
        <f>IF(F126+SUM(E$99:E126)=D$92,F126,D$92-SUM(E$99:E126))</f>
        <v>1612137.9398993365</v>
      </c>
      <c r="E127" s="56">
        <f>IF(+J96&lt;F126,J96,D127)</f>
        <v>101822</v>
      </c>
      <c r="F127" s="55">
        <f t="shared" si="41"/>
        <v>1510315.9398993365</v>
      </c>
      <c r="G127" s="55">
        <f t="shared" si="42"/>
        <v>1561226.9398993365</v>
      </c>
      <c r="H127" s="58">
        <f t="shared" si="65"/>
        <v>296235.87658206362</v>
      </c>
      <c r="I127" s="108">
        <f t="shared" si="66"/>
        <v>296235.87658206362</v>
      </c>
      <c r="J127" s="54">
        <f t="shared" si="34"/>
        <v>0</v>
      </c>
      <c r="K127" s="54"/>
      <c r="L127" s="129"/>
      <c r="M127" s="54">
        <f t="shared" si="35"/>
        <v>0</v>
      </c>
      <c r="N127" s="129"/>
      <c r="O127" s="54">
        <f t="shared" si="36"/>
        <v>0</v>
      </c>
      <c r="P127" s="54">
        <f t="shared" si="37"/>
        <v>0</v>
      </c>
      <c r="Q127" s="1"/>
    </row>
    <row r="128" spans="2:17" ht="12.5">
      <c r="B128" s="7" t="str">
        <f t="shared" si="40"/>
        <v/>
      </c>
      <c r="C128" s="50">
        <f>IF(D93="","-",+C127+1)</f>
        <v>2037</v>
      </c>
      <c r="D128" s="12">
        <f>IF(F127+SUM(E$99:E127)=D$92,F127,D$92-SUM(E$99:E127))</f>
        <v>1510315.9398993365</v>
      </c>
      <c r="E128" s="56">
        <f>IF(+J96&lt;F127,J96,D128)</f>
        <v>101822</v>
      </c>
      <c r="F128" s="55">
        <f t="shared" si="41"/>
        <v>1408493.9398993365</v>
      </c>
      <c r="G128" s="55">
        <f t="shared" si="42"/>
        <v>1459404.9398993365</v>
      </c>
      <c r="H128" s="58">
        <f t="shared" si="65"/>
        <v>283556.35560056218</v>
      </c>
      <c r="I128" s="108">
        <f t="shared" si="66"/>
        <v>283556.35560056218</v>
      </c>
      <c r="J128" s="54">
        <f t="shared" si="34"/>
        <v>0</v>
      </c>
      <c r="K128" s="54"/>
      <c r="L128" s="129"/>
      <c r="M128" s="54">
        <f t="shared" si="35"/>
        <v>0</v>
      </c>
      <c r="N128" s="129"/>
      <c r="O128" s="54">
        <f t="shared" si="36"/>
        <v>0</v>
      </c>
      <c r="P128" s="54">
        <f t="shared" si="37"/>
        <v>0</v>
      </c>
      <c r="Q128" s="1"/>
    </row>
    <row r="129" spans="2:17" ht="12.5">
      <c r="B129" s="7" t="str">
        <f t="shared" si="40"/>
        <v/>
      </c>
      <c r="C129" s="50">
        <f>IF(D93="","-",+C128+1)</f>
        <v>2038</v>
      </c>
      <c r="D129" s="12">
        <f>IF(F128+SUM(E$99:E128)=D$92,F128,D$92-SUM(E$99:E128))</f>
        <v>1408493.9398993365</v>
      </c>
      <c r="E129" s="56">
        <f>IF(+J96&lt;F128,J96,D129)</f>
        <v>101822</v>
      </c>
      <c r="F129" s="55">
        <f t="shared" si="41"/>
        <v>1306671.9398993365</v>
      </c>
      <c r="G129" s="55">
        <f t="shared" si="42"/>
        <v>1357582.9398993365</v>
      </c>
      <c r="H129" s="58">
        <f t="shared" si="65"/>
        <v>270876.8346190608</v>
      </c>
      <c r="I129" s="108">
        <f t="shared" si="66"/>
        <v>270876.8346190608</v>
      </c>
      <c r="J129" s="54">
        <f t="shared" si="34"/>
        <v>0</v>
      </c>
      <c r="K129" s="54"/>
      <c r="L129" s="129"/>
      <c r="M129" s="54">
        <f t="shared" si="35"/>
        <v>0</v>
      </c>
      <c r="N129" s="129"/>
      <c r="O129" s="54">
        <f t="shared" si="36"/>
        <v>0</v>
      </c>
      <c r="P129" s="54">
        <f t="shared" si="37"/>
        <v>0</v>
      </c>
      <c r="Q129" s="1"/>
    </row>
    <row r="130" spans="2:17" ht="12.5">
      <c r="B130" s="7" t="str">
        <f t="shared" si="40"/>
        <v/>
      </c>
      <c r="C130" s="50">
        <f>IF(D93="","-",+C129+1)</f>
        <v>2039</v>
      </c>
      <c r="D130" s="12">
        <f>IF(F129+SUM(E$99:E129)=D$92,F129,D$92-SUM(E$99:E129))</f>
        <v>1306671.9398993365</v>
      </c>
      <c r="E130" s="56">
        <f>IF(+J96&lt;F129,J96,D130)</f>
        <v>101822</v>
      </c>
      <c r="F130" s="55">
        <f t="shared" si="41"/>
        <v>1204849.9398993365</v>
      </c>
      <c r="G130" s="55">
        <f t="shared" si="42"/>
        <v>1255760.9398993365</v>
      </c>
      <c r="H130" s="58">
        <f t="shared" si="65"/>
        <v>258197.31363755939</v>
      </c>
      <c r="I130" s="108">
        <f t="shared" si="66"/>
        <v>258197.31363755939</v>
      </c>
      <c r="J130" s="54">
        <f t="shared" si="34"/>
        <v>0</v>
      </c>
      <c r="K130" s="54"/>
      <c r="L130" s="129"/>
      <c r="M130" s="54">
        <f t="shared" si="35"/>
        <v>0</v>
      </c>
      <c r="N130" s="129"/>
      <c r="O130" s="54">
        <f t="shared" si="36"/>
        <v>0</v>
      </c>
      <c r="P130" s="54">
        <f t="shared" si="37"/>
        <v>0</v>
      </c>
      <c r="Q130" s="1"/>
    </row>
    <row r="131" spans="2:17" ht="12.5">
      <c r="B131" s="7" t="str">
        <f t="shared" si="40"/>
        <v/>
      </c>
      <c r="C131" s="50">
        <f>IF(D93="","-",+C130+1)</f>
        <v>2040</v>
      </c>
      <c r="D131" s="12">
        <f>IF(F130+SUM(E$99:E130)=D$92,F130,D$92-SUM(E$99:E130))</f>
        <v>1204849.9398993365</v>
      </c>
      <c r="E131" s="56">
        <f>IF(+J96&lt;F130,J96,D131)</f>
        <v>101822</v>
      </c>
      <c r="F131" s="55">
        <f t="shared" ref="F131:F154" si="67">+D131-E131</f>
        <v>1103027.9398993365</v>
      </c>
      <c r="G131" s="55">
        <f t="shared" ref="G131:G154" si="68">+(F131+D131)/2</f>
        <v>1153938.9398993365</v>
      </c>
      <c r="H131" s="58">
        <f t="shared" si="65"/>
        <v>245517.79265605798</v>
      </c>
      <c r="I131" s="108">
        <f t="shared" si="66"/>
        <v>245517.79265605798</v>
      </c>
      <c r="J131" s="54">
        <f t="shared" ref="J131:J154" si="69">+I131-H131</f>
        <v>0</v>
      </c>
      <c r="K131" s="54"/>
      <c r="L131" s="129"/>
      <c r="M131" s="54">
        <f t="shared" ref="M131:M154" si="70">IF(L131&lt;&gt;0,+H131-L131,0)</f>
        <v>0</v>
      </c>
      <c r="N131" s="129"/>
      <c r="O131" s="54">
        <f t="shared" ref="O131:O154" si="71">IF(N131&lt;&gt;0,+I131-N131,0)</f>
        <v>0</v>
      </c>
      <c r="P131" s="54">
        <f t="shared" ref="P131:P154" si="72">+O131-M131</f>
        <v>0</v>
      </c>
      <c r="Q131" s="1"/>
    </row>
    <row r="132" spans="2:17" ht="12.5">
      <c r="B132" s="7" t="str">
        <f t="shared" si="40"/>
        <v/>
      </c>
      <c r="C132" s="50">
        <f>IF(D93="","-",+C131+1)</f>
        <v>2041</v>
      </c>
      <c r="D132" s="12">
        <f>IF(F131+SUM(E$99:E131)=D$92,F131,D$92-SUM(E$99:E131))</f>
        <v>1103027.9398993365</v>
      </c>
      <c r="E132" s="56">
        <f>IF(+J96&lt;F131,J96,D132)</f>
        <v>101822</v>
      </c>
      <c r="F132" s="55">
        <f t="shared" si="67"/>
        <v>1001205.9398993365</v>
      </c>
      <c r="G132" s="55">
        <f t="shared" si="68"/>
        <v>1052116.9398993365</v>
      </c>
      <c r="H132" s="58">
        <f t="shared" si="65"/>
        <v>232838.27167455657</v>
      </c>
      <c r="I132" s="108">
        <f t="shared" si="66"/>
        <v>232838.27167455657</v>
      </c>
      <c r="J132" s="54">
        <f t="shared" si="69"/>
        <v>0</v>
      </c>
      <c r="K132" s="54"/>
      <c r="L132" s="129"/>
      <c r="M132" s="54">
        <f t="shared" si="70"/>
        <v>0</v>
      </c>
      <c r="N132" s="129"/>
      <c r="O132" s="54">
        <f t="shared" si="71"/>
        <v>0</v>
      </c>
      <c r="P132" s="54">
        <f t="shared" si="72"/>
        <v>0</v>
      </c>
      <c r="Q132" s="1"/>
    </row>
    <row r="133" spans="2:17" ht="12.5">
      <c r="B133" s="7" t="str">
        <f t="shared" si="40"/>
        <v/>
      </c>
      <c r="C133" s="50">
        <f>IF(D93="","-",+C132+1)</f>
        <v>2042</v>
      </c>
      <c r="D133" s="12">
        <f>IF(F132+SUM(E$99:E132)=D$92,F132,D$92-SUM(E$99:E132))</f>
        <v>1001205.9398993365</v>
      </c>
      <c r="E133" s="56">
        <f>IF(+J96&lt;F132,J96,D133)</f>
        <v>101822</v>
      </c>
      <c r="F133" s="55">
        <f t="shared" si="67"/>
        <v>899383.93989933655</v>
      </c>
      <c r="G133" s="55">
        <f t="shared" si="68"/>
        <v>950294.93989933655</v>
      </c>
      <c r="H133" s="58">
        <f t="shared" si="65"/>
        <v>220158.75069305516</v>
      </c>
      <c r="I133" s="108">
        <f t="shared" si="66"/>
        <v>220158.75069305516</v>
      </c>
      <c r="J133" s="54">
        <f t="shared" si="69"/>
        <v>0</v>
      </c>
      <c r="K133" s="54"/>
      <c r="L133" s="129"/>
      <c r="M133" s="54">
        <f t="shared" si="70"/>
        <v>0</v>
      </c>
      <c r="N133" s="129"/>
      <c r="O133" s="54">
        <f t="shared" si="71"/>
        <v>0</v>
      </c>
      <c r="P133" s="54">
        <f t="shared" si="72"/>
        <v>0</v>
      </c>
      <c r="Q133" s="1"/>
    </row>
    <row r="134" spans="2:17" ht="12.5">
      <c r="B134" s="7" t="str">
        <f t="shared" si="40"/>
        <v/>
      </c>
      <c r="C134" s="50">
        <f>IF(D93="","-",+C133+1)</f>
        <v>2043</v>
      </c>
      <c r="D134" s="12">
        <f>IF(F133+SUM(E$99:E133)=D$92,F133,D$92-SUM(E$99:E133))</f>
        <v>899383.93989933655</v>
      </c>
      <c r="E134" s="56">
        <f>IF(+J96&lt;F133,J96,D134)</f>
        <v>101822</v>
      </c>
      <c r="F134" s="55">
        <f t="shared" si="67"/>
        <v>797561.93989933655</v>
      </c>
      <c r="G134" s="55">
        <f t="shared" si="68"/>
        <v>848472.93989933655</v>
      </c>
      <c r="H134" s="58">
        <f t="shared" si="65"/>
        <v>207479.22971155372</v>
      </c>
      <c r="I134" s="108">
        <f t="shared" si="66"/>
        <v>207479.22971155372</v>
      </c>
      <c r="J134" s="54">
        <f t="shared" si="69"/>
        <v>0</v>
      </c>
      <c r="K134" s="54"/>
      <c r="L134" s="129"/>
      <c r="M134" s="54">
        <f t="shared" si="70"/>
        <v>0</v>
      </c>
      <c r="N134" s="129"/>
      <c r="O134" s="54">
        <f t="shared" si="71"/>
        <v>0</v>
      </c>
      <c r="P134" s="54">
        <f t="shared" si="72"/>
        <v>0</v>
      </c>
      <c r="Q134" s="1"/>
    </row>
    <row r="135" spans="2:17" ht="12.5">
      <c r="B135" s="7" t="str">
        <f t="shared" si="40"/>
        <v/>
      </c>
      <c r="C135" s="50">
        <f>IF(D93="","-",+C134+1)</f>
        <v>2044</v>
      </c>
      <c r="D135" s="12">
        <f>IF(F134+SUM(E$99:E134)=D$92,F134,D$92-SUM(E$99:E134))</f>
        <v>797561.93989933655</v>
      </c>
      <c r="E135" s="56">
        <f>IF(+J96&lt;F134,J96,D135)</f>
        <v>101822</v>
      </c>
      <c r="F135" s="55">
        <f t="shared" si="67"/>
        <v>695739.93989933655</v>
      </c>
      <c r="G135" s="55">
        <f t="shared" si="68"/>
        <v>746650.93989933655</v>
      </c>
      <c r="H135" s="58">
        <f t="shared" si="65"/>
        <v>194799.70873005234</v>
      </c>
      <c r="I135" s="108">
        <f t="shared" si="66"/>
        <v>194799.70873005234</v>
      </c>
      <c r="J135" s="54">
        <f t="shared" si="69"/>
        <v>0</v>
      </c>
      <c r="K135" s="54"/>
      <c r="L135" s="129"/>
      <c r="M135" s="54">
        <f t="shared" si="70"/>
        <v>0</v>
      </c>
      <c r="N135" s="129"/>
      <c r="O135" s="54">
        <f t="shared" si="71"/>
        <v>0</v>
      </c>
      <c r="P135" s="54">
        <f t="shared" si="72"/>
        <v>0</v>
      </c>
      <c r="Q135" s="1"/>
    </row>
    <row r="136" spans="2:17" ht="12.5">
      <c r="B136" s="7" t="str">
        <f t="shared" si="40"/>
        <v/>
      </c>
      <c r="C136" s="50">
        <f>IF(D93="","-",+C135+1)</f>
        <v>2045</v>
      </c>
      <c r="D136" s="12">
        <f>IF(F135+SUM(E$99:E135)=D$92,F135,D$92-SUM(E$99:E135))</f>
        <v>695739.93989933655</v>
      </c>
      <c r="E136" s="56">
        <f>IF(+J96&lt;F135,J96,D136)</f>
        <v>101822</v>
      </c>
      <c r="F136" s="55">
        <f t="shared" si="67"/>
        <v>593917.93989933655</v>
      </c>
      <c r="G136" s="55">
        <f t="shared" si="68"/>
        <v>644828.93989933655</v>
      </c>
      <c r="H136" s="58">
        <f t="shared" si="65"/>
        <v>182120.1877485509</v>
      </c>
      <c r="I136" s="108">
        <f t="shared" si="66"/>
        <v>182120.1877485509</v>
      </c>
      <c r="J136" s="54">
        <f t="shared" si="69"/>
        <v>0</v>
      </c>
      <c r="K136" s="54"/>
      <c r="L136" s="129"/>
      <c r="M136" s="54">
        <f t="shared" si="70"/>
        <v>0</v>
      </c>
      <c r="N136" s="129"/>
      <c r="O136" s="54">
        <f t="shared" si="71"/>
        <v>0</v>
      </c>
      <c r="P136" s="54">
        <f t="shared" si="72"/>
        <v>0</v>
      </c>
      <c r="Q136" s="1"/>
    </row>
    <row r="137" spans="2:17" ht="12.5">
      <c r="B137" s="7" t="str">
        <f t="shared" si="40"/>
        <v/>
      </c>
      <c r="C137" s="50">
        <f>IF(D93="","-",+C136+1)</f>
        <v>2046</v>
      </c>
      <c r="D137" s="12">
        <f>IF(F136+SUM(E$99:E136)=D$92,F136,D$92-SUM(E$99:E136))</f>
        <v>593917.93989933655</v>
      </c>
      <c r="E137" s="56">
        <f>IF(+J96&lt;F136,J96,D137)</f>
        <v>101822</v>
      </c>
      <c r="F137" s="55">
        <f t="shared" si="67"/>
        <v>492095.93989933655</v>
      </c>
      <c r="G137" s="55">
        <f t="shared" si="68"/>
        <v>543006.93989933655</v>
      </c>
      <c r="H137" s="58">
        <f t="shared" si="65"/>
        <v>169440.66676704952</v>
      </c>
      <c r="I137" s="108">
        <f t="shared" si="66"/>
        <v>169440.66676704952</v>
      </c>
      <c r="J137" s="54">
        <f t="shared" si="69"/>
        <v>0</v>
      </c>
      <c r="K137" s="54"/>
      <c r="L137" s="129"/>
      <c r="M137" s="54">
        <f t="shared" si="70"/>
        <v>0</v>
      </c>
      <c r="N137" s="129"/>
      <c r="O137" s="54">
        <f t="shared" si="71"/>
        <v>0</v>
      </c>
      <c r="P137" s="54">
        <f t="shared" si="72"/>
        <v>0</v>
      </c>
      <c r="Q137" s="1"/>
    </row>
    <row r="138" spans="2:17" ht="12.5">
      <c r="B138" s="7" t="str">
        <f t="shared" si="40"/>
        <v/>
      </c>
      <c r="C138" s="50">
        <f>IF(D93="","-",+C137+1)</f>
        <v>2047</v>
      </c>
      <c r="D138" s="12">
        <f>IF(F137+SUM(E$99:E137)=D$92,F137,D$92-SUM(E$99:E137))</f>
        <v>492095.93989933655</v>
      </c>
      <c r="E138" s="56">
        <f>IF(+J96&lt;F137,J96,D138)</f>
        <v>101822</v>
      </c>
      <c r="F138" s="55">
        <f t="shared" si="67"/>
        <v>390273.93989933655</v>
      </c>
      <c r="G138" s="55">
        <f t="shared" si="68"/>
        <v>441184.93989933655</v>
      </c>
      <c r="H138" s="58">
        <f t="shared" si="65"/>
        <v>156761.14578554808</v>
      </c>
      <c r="I138" s="108">
        <f t="shared" si="66"/>
        <v>156761.14578554808</v>
      </c>
      <c r="J138" s="54">
        <f t="shared" si="69"/>
        <v>0</v>
      </c>
      <c r="K138" s="54"/>
      <c r="L138" s="129"/>
      <c r="M138" s="54">
        <f t="shared" si="70"/>
        <v>0</v>
      </c>
      <c r="N138" s="129"/>
      <c r="O138" s="54">
        <f t="shared" si="71"/>
        <v>0</v>
      </c>
      <c r="P138" s="54">
        <f t="shared" si="72"/>
        <v>0</v>
      </c>
      <c r="Q138" s="1"/>
    </row>
    <row r="139" spans="2:17" ht="12.5">
      <c r="B139" s="7" t="str">
        <f t="shared" si="40"/>
        <v/>
      </c>
      <c r="C139" s="50">
        <f>IF(D93="","-",+C138+1)</f>
        <v>2048</v>
      </c>
      <c r="D139" s="12">
        <f>IF(F138+SUM(E$99:E138)=D$92,F138,D$92-SUM(E$99:E138))</f>
        <v>390273.93989933655</v>
      </c>
      <c r="E139" s="56">
        <f>IF(+J96&lt;F138,J96,D139)</f>
        <v>101822</v>
      </c>
      <c r="F139" s="55">
        <f t="shared" si="67"/>
        <v>288451.93989933655</v>
      </c>
      <c r="G139" s="55">
        <f t="shared" si="68"/>
        <v>339362.93989933655</v>
      </c>
      <c r="H139" s="58">
        <f t="shared" si="65"/>
        <v>144081.62480404667</v>
      </c>
      <c r="I139" s="108">
        <f t="shared" si="66"/>
        <v>144081.62480404667</v>
      </c>
      <c r="J139" s="54">
        <f t="shared" si="69"/>
        <v>0</v>
      </c>
      <c r="K139" s="54"/>
      <c r="L139" s="129"/>
      <c r="M139" s="54">
        <f t="shared" si="70"/>
        <v>0</v>
      </c>
      <c r="N139" s="129"/>
      <c r="O139" s="54">
        <f t="shared" si="71"/>
        <v>0</v>
      </c>
      <c r="P139" s="54">
        <f t="shared" si="72"/>
        <v>0</v>
      </c>
      <c r="Q139" s="1"/>
    </row>
    <row r="140" spans="2:17" ht="12.5">
      <c r="B140" s="7" t="str">
        <f t="shared" si="40"/>
        <v/>
      </c>
      <c r="C140" s="50">
        <f>IF(D93="","-",+C139+1)</f>
        <v>2049</v>
      </c>
      <c r="D140" s="12">
        <f>IF(F139+SUM(E$99:E139)=D$92,F139,D$92-SUM(E$99:E139))</f>
        <v>288451.93989933655</v>
      </c>
      <c r="E140" s="56">
        <f>IF(+J96&lt;F139,J96,D140)</f>
        <v>101822</v>
      </c>
      <c r="F140" s="55">
        <f t="shared" si="67"/>
        <v>186629.93989933655</v>
      </c>
      <c r="G140" s="55">
        <f t="shared" si="68"/>
        <v>237540.93989933655</v>
      </c>
      <c r="H140" s="58">
        <f t="shared" si="65"/>
        <v>131402.10382254526</v>
      </c>
      <c r="I140" s="108">
        <f t="shared" si="66"/>
        <v>131402.10382254526</v>
      </c>
      <c r="J140" s="54">
        <f t="shared" si="69"/>
        <v>0</v>
      </c>
      <c r="K140" s="54"/>
      <c r="L140" s="129"/>
      <c r="M140" s="54">
        <f t="shared" si="70"/>
        <v>0</v>
      </c>
      <c r="N140" s="129"/>
      <c r="O140" s="54">
        <f t="shared" si="71"/>
        <v>0</v>
      </c>
      <c r="P140" s="54">
        <f t="shared" si="72"/>
        <v>0</v>
      </c>
      <c r="Q140" s="1"/>
    </row>
    <row r="141" spans="2:17" ht="12.5">
      <c r="B141" s="7" t="str">
        <f t="shared" si="40"/>
        <v/>
      </c>
      <c r="C141" s="50">
        <f>IF(D93="","-",+C140+1)</f>
        <v>2050</v>
      </c>
      <c r="D141" s="12">
        <f>IF(F140+SUM(E$99:E140)=D$92,F140,D$92-SUM(E$99:E140))</f>
        <v>186629.93989933655</v>
      </c>
      <c r="E141" s="56">
        <f>IF(+J96&lt;F140,J96,D141)</f>
        <v>101822</v>
      </c>
      <c r="F141" s="55">
        <f t="shared" si="67"/>
        <v>84807.939899336547</v>
      </c>
      <c r="G141" s="55">
        <f t="shared" si="68"/>
        <v>135718.93989933655</v>
      </c>
      <c r="H141" s="58">
        <f t="shared" si="65"/>
        <v>118722.58284104386</v>
      </c>
      <c r="I141" s="108">
        <f t="shared" si="66"/>
        <v>118722.58284104386</v>
      </c>
      <c r="J141" s="54">
        <f t="shared" si="69"/>
        <v>0</v>
      </c>
      <c r="K141" s="54"/>
      <c r="L141" s="129"/>
      <c r="M141" s="54">
        <f t="shared" si="70"/>
        <v>0</v>
      </c>
      <c r="N141" s="129"/>
      <c r="O141" s="54">
        <f t="shared" si="71"/>
        <v>0</v>
      </c>
      <c r="P141" s="54">
        <f t="shared" si="72"/>
        <v>0</v>
      </c>
      <c r="Q141" s="1"/>
    </row>
    <row r="142" spans="2:17" ht="12.5">
      <c r="B142" s="7" t="str">
        <f t="shared" si="40"/>
        <v/>
      </c>
      <c r="C142" s="50">
        <f>IF(D93="","-",+C141+1)</f>
        <v>2051</v>
      </c>
      <c r="D142" s="12">
        <f>IF(F141+SUM(E$99:E141)=D$92,F141,D$92-SUM(E$99:E141))</f>
        <v>84807.939899336547</v>
      </c>
      <c r="E142" s="56">
        <f>IF(+J96&lt;F141,J96,D142)</f>
        <v>84807.939899336547</v>
      </c>
      <c r="F142" s="55">
        <f t="shared" si="67"/>
        <v>0</v>
      </c>
      <c r="G142" s="55">
        <f t="shared" si="68"/>
        <v>42403.969949668273</v>
      </c>
      <c r="H142" s="58">
        <f t="shared" si="65"/>
        <v>90088.351074483115</v>
      </c>
      <c r="I142" s="108">
        <f t="shared" si="66"/>
        <v>90088.351074483115</v>
      </c>
      <c r="J142" s="54">
        <f t="shared" si="69"/>
        <v>0</v>
      </c>
      <c r="K142" s="54"/>
      <c r="L142" s="129"/>
      <c r="M142" s="54">
        <f t="shared" si="70"/>
        <v>0</v>
      </c>
      <c r="N142" s="129"/>
      <c r="O142" s="54">
        <f t="shared" si="71"/>
        <v>0</v>
      </c>
      <c r="P142" s="54">
        <f t="shared" si="72"/>
        <v>0</v>
      </c>
      <c r="Q142" s="1"/>
    </row>
    <row r="143" spans="2:17" ht="12.5">
      <c r="B143" s="7" t="str">
        <f t="shared" si="40"/>
        <v/>
      </c>
      <c r="C143" s="50">
        <f>IF(D93="","-",+C142+1)</f>
        <v>2052</v>
      </c>
      <c r="D143" s="12">
        <f>IF(F142+SUM(E$99:E142)=D$92,F142,D$92-SUM(E$99:E142))</f>
        <v>0</v>
      </c>
      <c r="E143" s="56">
        <f>IF(+J96&lt;F142,J96,D143)</f>
        <v>0</v>
      </c>
      <c r="F143" s="55">
        <f t="shared" si="67"/>
        <v>0</v>
      </c>
      <c r="G143" s="55">
        <f t="shared" si="68"/>
        <v>0</v>
      </c>
      <c r="H143" s="58">
        <f t="shared" si="65"/>
        <v>0</v>
      </c>
      <c r="I143" s="108">
        <f t="shared" si="66"/>
        <v>0</v>
      </c>
      <c r="J143" s="54">
        <f t="shared" si="69"/>
        <v>0</v>
      </c>
      <c r="K143" s="54"/>
      <c r="L143" s="129"/>
      <c r="M143" s="54">
        <f t="shared" si="70"/>
        <v>0</v>
      </c>
      <c r="N143" s="129"/>
      <c r="O143" s="54">
        <f t="shared" si="71"/>
        <v>0</v>
      </c>
      <c r="P143" s="54">
        <f t="shared" si="72"/>
        <v>0</v>
      </c>
      <c r="Q143" s="1"/>
    </row>
    <row r="144" spans="2:17" ht="12.5">
      <c r="B144" s="7" t="str">
        <f t="shared" si="40"/>
        <v/>
      </c>
      <c r="C144" s="50">
        <f>IF(D93="","-",+C143+1)</f>
        <v>2053</v>
      </c>
      <c r="D144" s="12">
        <f>IF(F143+SUM(E$99:E143)=D$92,F143,D$92-SUM(E$99:E143))</f>
        <v>0</v>
      </c>
      <c r="E144" s="56">
        <f>IF(+J96&lt;F143,J96,D144)</f>
        <v>0</v>
      </c>
      <c r="F144" s="55">
        <f t="shared" si="67"/>
        <v>0</v>
      </c>
      <c r="G144" s="55">
        <f t="shared" si="68"/>
        <v>0</v>
      </c>
      <c r="H144" s="58">
        <f t="shared" si="65"/>
        <v>0</v>
      </c>
      <c r="I144" s="108">
        <f t="shared" si="66"/>
        <v>0</v>
      </c>
      <c r="J144" s="54">
        <f t="shared" si="69"/>
        <v>0</v>
      </c>
      <c r="K144" s="54"/>
      <c r="L144" s="129"/>
      <c r="M144" s="54">
        <f t="shared" si="70"/>
        <v>0</v>
      </c>
      <c r="N144" s="129"/>
      <c r="O144" s="54">
        <f t="shared" si="71"/>
        <v>0</v>
      </c>
      <c r="P144" s="54">
        <f t="shared" si="72"/>
        <v>0</v>
      </c>
      <c r="Q144" s="1"/>
    </row>
    <row r="145" spans="2:17" ht="12.5">
      <c r="B145" s="7" t="str">
        <f t="shared" si="40"/>
        <v/>
      </c>
      <c r="C145" s="50">
        <f>IF(D93="","-",+C144+1)</f>
        <v>2054</v>
      </c>
      <c r="D145" s="12">
        <f>IF(F144+SUM(E$99:E144)=D$92,F144,D$92-SUM(E$99:E144))</f>
        <v>0</v>
      </c>
      <c r="E145" s="56">
        <f>IF(+J96&lt;F144,J96,D145)</f>
        <v>0</v>
      </c>
      <c r="F145" s="55">
        <f t="shared" si="67"/>
        <v>0</v>
      </c>
      <c r="G145" s="55">
        <f t="shared" si="68"/>
        <v>0</v>
      </c>
      <c r="H145" s="58">
        <f t="shared" si="65"/>
        <v>0</v>
      </c>
      <c r="I145" s="108">
        <f t="shared" si="66"/>
        <v>0</v>
      </c>
      <c r="J145" s="54">
        <f t="shared" si="69"/>
        <v>0</v>
      </c>
      <c r="K145" s="54"/>
      <c r="L145" s="129"/>
      <c r="M145" s="54">
        <f t="shared" si="70"/>
        <v>0</v>
      </c>
      <c r="N145" s="129"/>
      <c r="O145" s="54">
        <f t="shared" si="71"/>
        <v>0</v>
      </c>
      <c r="P145" s="54">
        <f t="shared" si="72"/>
        <v>0</v>
      </c>
      <c r="Q145" s="1"/>
    </row>
    <row r="146" spans="2:17" ht="12.5">
      <c r="B146" s="7" t="str">
        <f t="shared" si="40"/>
        <v/>
      </c>
      <c r="C146" s="50">
        <f>IF(D93="","-",+C145+1)</f>
        <v>2055</v>
      </c>
      <c r="D146" s="12">
        <f>IF(F145+SUM(E$99:E145)=D$92,F145,D$92-SUM(E$99:E145))</f>
        <v>0</v>
      </c>
      <c r="E146" s="56">
        <f>IF(+J96&lt;F145,J96,D146)</f>
        <v>0</v>
      </c>
      <c r="F146" s="55">
        <f t="shared" si="67"/>
        <v>0</v>
      </c>
      <c r="G146" s="55">
        <f t="shared" si="68"/>
        <v>0</v>
      </c>
      <c r="H146" s="58">
        <f t="shared" si="65"/>
        <v>0</v>
      </c>
      <c r="I146" s="108">
        <f t="shared" si="66"/>
        <v>0</v>
      </c>
      <c r="J146" s="54">
        <f t="shared" si="69"/>
        <v>0</v>
      </c>
      <c r="K146" s="54"/>
      <c r="L146" s="129"/>
      <c r="M146" s="54">
        <f t="shared" si="70"/>
        <v>0</v>
      </c>
      <c r="N146" s="129"/>
      <c r="O146" s="54">
        <f t="shared" si="71"/>
        <v>0</v>
      </c>
      <c r="P146" s="54">
        <f t="shared" si="72"/>
        <v>0</v>
      </c>
      <c r="Q146" s="1"/>
    </row>
    <row r="147" spans="2:17" ht="12.5">
      <c r="B147" s="7" t="str">
        <f t="shared" si="40"/>
        <v/>
      </c>
      <c r="C147" s="50">
        <f>IF(D93="","-",+C146+1)</f>
        <v>2056</v>
      </c>
      <c r="D147" s="12">
        <f>IF(F146+SUM(E$99:E146)=D$92,F146,D$92-SUM(E$99:E146))</f>
        <v>0</v>
      </c>
      <c r="E147" s="56">
        <f>IF(+J96&lt;F146,J96,D147)</f>
        <v>0</v>
      </c>
      <c r="F147" s="55">
        <f t="shared" si="67"/>
        <v>0</v>
      </c>
      <c r="G147" s="55">
        <f t="shared" si="68"/>
        <v>0</v>
      </c>
      <c r="H147" s="58">
        <f t="shared" si="65"/>
        <v>0</v>
      </c>
      <c r="I147" s="108">
        <f t="shared" si="66"/>
        <v>0</v>
      </c>
      <c r="J147" s="54">
        <f t="shared" si="69"/>
        <v>0</v>
      </c>
      <c r="K147" s="54"/>
      <c r="L147" s="129"/>
      <c r="M147" s="54">
        <f t="shared" si="70"/>
        <v>0</v>
      </c>
      <c r="N147" s="129"/>
      <c r="O147" s="54">
        <f t="shared" si="71"/>
        <v>0</v>
      </c>
      <c r="P147" s="54">
        <f t="shared" si="72"/>
        <v>0</v>
      </c>
      <c r="Q147" s="1"/>
    </row>
    <row r="148" spans="2:17" ht="12.5">
      <c r="B148" s="7" t="str">
        <f t="shared" si="40"/>
        <v/>
      </c>
      <c r="C148" s="50">
        <f>IF(D93="","-",+C147+1)</f>
        <v>2057</v>
      </c>
      <c r="D148" s="12">
        <f>IF(F147+SUM(E$99:E147)=D$92,F147,D$92-SUM(E$99:E147))</f>
        <v>0</v>
      </c>
      <c r="E148" s="56">
        <f>IF(+J96&lt;F147,J96,D148)</f>
        <v>0</v>
      </c>
      <c r="F148" s="55">
        <f t="shared" si="67"/>
        <v>0</v>
      </c>
      <c r="G148" s="55">
        <f t="shared" si="68"/>
        <v>0</v>
      </c>
      <c r="H148" s="58">
        <f t="shared" si="65"/>
        <v>0</v>
      </c>
      <c r="I148" s="108">
        <f t="shared" si="66"/>
        <v>0</v>
      </c>
      <c r="J148" s="54">
        <f t="shared" si="69"/>
        <v>0</v>
      </c>
      <c r="K148" s="54"/>
      <c r="L148" s="129"/>
      <c r="M148" s="54">
        <f t="shared" si="70"/>
        <v>0</v>
      </c>
      <c r="N148" s="129"/>
      <c r="O148" s="54">
        <f t="shared" si="71"/>
        <v>0</v>
      </c>
      <c r="P148" s="54">
        <f t="shared" si="72"/>
        <v>0</v>
      </c>
      <c r="Q148" s="1"/>
    </row>
    <row r="149" spans="2:17" ht="12.5">
      <c r="B149" s="7" t="str">
        <f t="shared" si="40"/>
        <v/>
      </c>
      <c r="C149" s="50">
        <f>IF(D93="","-",+C148+1)</f>
        <v>2058</v>
      </c>
      <c r="D149" s="12">
        <f>IF(F148+SUM(E$99:E148)=D$92,F148,D$92-SUM(E$99:E148))</f>
        <v>0</v>
      </c>
      <c r="E149" s="56">
        <f>IF(+J96&lt;F148,J96,D149)</f>
        <v>0</v>
      </c>
      <c r="F149" s="55">
        <f t="shared" si="67"/>
        <v>0</v>
      </c>
      <c r="G149" s="55">
        <f t="shared" si="68"/>
        <v>0</v>
      </c>
      <c r="H149" s="58">
        <f t="shared" si="65"/>
        <v>0</v>
      </c>
      <c r="I149" s="108">
        <f t="shared" si="66"/>
        <v>0</v>
      </c>
      <c r="J149" s="54">
        <f t="shared" si="69"/>
        <v>0</v>
      </c>
      <c r="K149" s="54"/>
      <c r="L149" s="129"/>
      <c r="M149" s="54">
        <f t="shared" si="70"/>
        <v>0</v>
      </c>
      <c r="N149" s="129"/>
      <c r="O149" s="54">
        <f t="shared" si="71"/>
        <v>0</v>
      </c>
      <c r="P149" s="54">
        <f t="shared" si="72"/>
        <v>0</v>
      </c>
      <c r="Q149" s="1"/>
    </row>
    <row r="150" spans="2:17" ht="12.5">
      <c r="B150" s="7" t="str">
        <f t="shared" si="40"/>
        <v/>
      </c>
      <c r="C150" s="50">
        <f>IF(D93="","-",+C149+1)</f>
        <v>2059</v>
      </c>
      <c r="D150" s="12">
        <f>IF(F149+SUM(E$99:E149)=D$92,F149,D$92-SUM(E$99:E149))</f>
        <v>0</v>
      </c>
      <c r="E150" s="56">
        <f>IF(+J96&lt;F149,J96,D150)</f>
        <v>0</v>
      </c>
      <c r="F150" s="55">
        <f t="shared" si="67"/>
        <v>0</v>
      </c>
      <c r="G150" s="55">
        <f t="shared" si="68"/>
        <v>0</v>
      </c>
      <c r="H150" s="58">
        <f t="shared" si="65"/>
        <v>0</v>
      </c>
      <c r="I150" s="108">
        <f t="shared" si="66"/>
        <v>0</v>
      </c>
      <c r="J150" s="54">
        <f t="shared" si="69"/>
        <v>0</v>
      </c>
      <c r="K150" s="54"/>
      <c r="L150" s="129"/>
      <c r="M150" s="54">
        <f t="shared" si="70"/>
        <v>0</v>
      </c>
      <c r="N150" s="129"/>
      <c r="O150" s="54">
        <f t="shared" si="71"/>
        <v>0</v>
      </c>
      <c r="P150" s="54">
        <f t="shared" si="72"/>
        <v>0</v>
      </c>
      <c r="Q150" s="1"/>
    </row>
    <row r="151" spans="2:17" ht="12.5">
      <c r="B151" s="7" t="str">
        <f t="shared" si="40"/>
        <v/>
      </c>
      <c r="C151" s="50">
        <f>IF(D93="","-",+C150+1)</f>
        <v>2060</v>
      </c>
      <c r="D151" s="12">
        <f>IF(F150+SUM(E$99:E150)=D$92,F150,D$92-SUM(E$99:E150))</f>
        <v>0</v>
      </c>
      <c r="E151" s="56">
        <f>IF(+J96&lt;F150,J96,D151)</f>
        <v>0</v>
      </c>
      <c r="F151" s="55">
        <f t="shared" si="67"/>
        <v>0</v>
      </c>
      <c r="G151" s="55">
        <f t="shared" si="68"/>
        <v>0</v>
      </c>
      <c r="H151" s="58">
        <f t="shared" si="65"/>
        <v>0</v>
      </c>
      <c r="I151" s="108">
        <f t="shared" si="66"/>
        <v>0</v>
      </c>
      <c r="J151" s="54">
        <f t="shared" si="69"/>
        <v>0</v>
      </c>
      <c r="K151" s="54"/>
      <c r="L151" s="129"/>
      <c r="M151" s="54">
        <f t="shared" si="70"/>
        <v>0</v>
      </c>
      <c r="N151" s="129"/>
      <c r="O151" s="54">
        <f t="shared" si="71"/>
        <v>0</v>
      </c>
      <c r="P151" s="54">
        <f t="shared" si="72"/>
        <v>0</v>
      </c>
      <c r="Q151" s="1"/>
    </row>
    <row r="152" spans="2:17" ht="12.5">
      <c r="B152" s="7" t="str">
        <f t="shared" si="40"/>
        <v/>
      </c>
      <c r="C152" s="50">
        <f>IF(D93="","-",+C151+1)</f>
        <v>2061</v>
      </c>
      <c r="D152" s="12">
        <f>IF(F151+SUM(E$99:E151)=D$92,F151,D$92-SUM(E$99:E151))</f>
        <v>0</v>
      </c>
      <c r="E152" s="56">
        <f>IF(+J96&lt;F151,J96,D152)</f>
        <v>0</v>
      </c>
      <c r="F152" s="55">
        <f t="shared" si="67"/>
        <v>0</v>
      </c>
      <c r="G152" s="55">
        <f t="shared" si="68"/>
        <v>0</v>
      </c>
      <c r="H152" s="58">
        <f t="shared" si="65"/>
        <v>0</v>
      </c>
      <c r="I152" s="108">
        <f t="shared" si="66"/>
        <v>0</v>
      </c>
      <c r="J152" s="54">
        <f t="shared" si="69"/>
        <v>0</v>
      </c>
      <c r="K152" s="54"/>
      <c r="L152" s="129"/>
      <c r="M152" s="54">
        <f t="shared" si="70"/>
        <v>0</v>
      </c>
      <c r="N152" s="129"/>
      <c r="O152" s="54">
        <f t="shared" si="71"/>
        <v>0</v>
      </c>
      <c r="P152" s="54">
        <f t="shared" si="72"/>
        <v>0</v>
      </c>
      <c r="Q152" s="1"/>
    </row>
    <row r="153" spans="2:17" ht="12.5">
      <c r="B153" s="7" t="str">
        <f t="shared" si="40"/>
        <v/>
      </c>
      <c r="C153" s="50">
        <f>IF(D93="","-",+C152+1)</f>
        <v>2062</v>
      </c>
      <c r="D153" s="12">
        <f>IF(F152+SUM(E$99:E152)=D$92,F152,D$92-SUM(E$99:E152))</f>
        <v>0</v>
      </c>
      <c r="E153" s="56">
        <f>IF(+J96&lt;F152,J96,D153)</f>
        <v>0</v>
      </c>
      <c r="F153" s="55">
        <f t="shared" si="67"/>
        <v>0</v>
      </c>
      <c r="G153" s="55">
        <f t="shared" si="68"/>
        <v>0</v>
      </c>
      <c r="H153" s="58">
        <f t="shared" si="65"/>
        <v>0</v>
      </c>
      <c r="I153" s="108">
        <f t="shared" si="66"/>
        <v>0</v>
      </c>
      <c r="J153" s="54">
        <f t="shared" si="69"/>
        <v>0</v>
      </c>
      <c r="K153" s="54"/>
      <c r="L153" s="129"/>
      <c r="M153" s="54">
        <f t="shared" si="70"/>
        <v>0</v>
      </c>
      <c r="N153" s="129"/>
      <c r="O153" s="54">
        <f t="shared" si="71"/>
        <v>0</v>
      </c>
      <c r="P153" s="54">
        <f t="shared" si="72"/>
        <v>0</v>
      </c>
      <c r="Q153" s="1"/>
    </row>
    <row r="154" spans="2:17" ht="13" thickBot="1">
      <c r="B154" s="7" t="str">
        <f t="shared" si="40"/>
        <v/>
      </c>
      <c r="C154" s="59">
        <f>IF(D93="","-",+C153+1)</f>
        <v>2063</v>
      </c>
      <c r="D154" s="84">
        <f>IF(F153+SUM(E$99:E153)=D$92,F153,D$92-SUM(E$99:E153))</f>
        <v>0</v>
      </c>
      <c r="E154" s="61">
        <f>IF(+J96&lt;F153,J96,D154)</f>
        <v>0</v>
      </c>
      <c r="F154" s="60">
        <f t="shared" si="67"/>
        <v>0</v>
      </c>
      <c r="G154" s="60">
        <f t="shared" si="68"/>
        <v>0</v>
      </c>
      <c r="H154" s="62">
        <f t="shared" si="65"/>
        <v>0</v>
      </c>
      <c r="I154" s="109">
        <f t="shared" si="66"/>
        <v>0</v>
      </c>
      <c r="J154" s="64">
        <f t="shared" si="69"/>
        <v>0</v>
      </c>
      <c r="K154" s="54"/>
      <c r="L154" s="130"/>
      <c r="M154" s="64">
        <f t="shared" si="70"/>
        <v>0</v>
      </c>
      <c r="N154" s="130"/>
      <c r="O154" s="64">
        <f t="shared" si="71"/>
        <v>0</v>
      </c>
      <c r="P154" s="64">
        <f t="shared" si="72"/>
        <v>0</v>
      </c>
      <c r="Q154" s="1"/>
    </row>
    <row r="155" spans="2:17" ht="12.5">
      <c r="C155" s="12" t="s">
        <v>78</v>
      </c>
      <c r="D155" s="15"/>
      <c r="E155" s="15">
        <f>SUM(E99:E154)</f>
        <v>4480168</v>
      </c>
      <c r="F155" s="15"/>
      <c r="G155" s="15"/>
      <c r="H155" s="15">
        <f>SUM(H99:H154)</f>
        <v>16677978.592116447</v>
      </c>
      <c r="I155" s="15">
        <f>SUM(I99:I154)</f>
        <v>16677978.592116447</v>
      </c>
      <c r="J155" s="15">
        <f>SUM(J99:J154)</f>
        <v>0</v>
      </c>
      <c r="K155" s="15"/>
      <c r="L155" s="15"/>
      <c r="M155" s="15"/>
      <c r="N155" s="15"/>
      <c r="O155" s="15"/>
      <c r="P155" s="1"/>
      <c r="Q155" s="1"/>
    </row>
    <row r="156" spans="2:17" ht="12.5">
      <c r="D156" s="2"/>
      <c r="E156" s="1"/>
      <c r="F156" s="1"/>
      <c r="G156" s="1"/>
      <c r="H156" s="1"/>
      <c r="I156" s="3"/>
      <c r="J156" s="3"/>
      <c r="K156" s="15"/>
      <c r="L156" s="3"/>
      <c r="M156" s="3"/>
      <c r="N156" s="3"/>
      <c r="O156" s="3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3"/>
      <c r="J157" s="3"/>
      <c r="K157" s="15"/>
      <c r="L157" s="3"/>
      <c r="M157" s="3"/>
      <c r="N157" s="3"/>
      <c r="O157" s="3"/>
      <c r="P157" s="1"/>
      <c r="Q157" s="1"/>
    </row>
    <row r="158" spans="2:17" ht="12.5">
      <c r="D158" s="2"/>
      <c r="E158" s="1"/>
      <c r="F158" s="1"/>
      <c r="G158" s="1"/>
      <c r="H158" s="1"/>
      <c r="I158" s="3"/>
      <c r="J158" s="3"/>
      <c r="K158" s="15"/>
      <c r="L158" s="3"/>
      <c r="M158" s="3"/>
      <c r="N158" s="3"/>
      <c r="O158" s="3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15"/>
      <c r="I159" s="15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15"/>
      <c r="I160" s="15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15"/>
      <c r="I161" s="15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15"/>
      <c r="I162" s="15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19" priority="1" stopIfTrue="1" operator="equal">
      <formula>$I$10</formula>
    </cfRule>
  </conditionalFormatting>
  <conditionalFormatting sqref="C99:C154">
    <cfRule type="cellIs" dxfId="11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69">
    <tabColor indexed="8"/>
  </sheetPr>
  <dimension ref="A1:Q162"/>
  <sheetViews>
    <sheetView topLeftCell="C32" zoomScaleNormal="100" zoomScaleSheetLayoutView="75" workbookViewId="0">
      <selection activeCell="P2" sqref="P2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3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20 of 77</v>
      </c>
      <c r="Q1" s="13"/>
    </row>
    <row r="2" spans="1:17" ht="17.5">
      <c r="B2" s="1"/>
      <c r="C2" s="1"/>
      <c r="D2" s="2"/>
      <c r="E2" s="1"/>
      <c r="F2" s="1"/>
      <c r="G2" s="1"/>
      <c r="H2" s="3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3"/>
      <c r="I3" s="3"/>
      <c r="J3" s="15"/>
      <c r="K3" s="3"/>
      <c r="L3" s="3"/>
      <c r="M3" s="3"/>
      <c r="N3" s="3"/>
      <c r="O3" s="1" t="str">
        <f>RIGHT(N3,3)</f>
        <v/>
      </c>
      <c r="P3" s="96">
        <v>1</v>
      </c>
    </row>
    <row r="4" spans="1:17" ht="16" thickBot="1">
      <c r="C4" s="9"/>
      <c r="D4" s="2"/>
      <c r="E4" s="1"/>
      <c r="F4" s="1"/>
      <c r="G4" s="1"/>
      <c r="H4" s="3"/>
      <c r="I4" s="3"/>
      <c r="J4" s="15"/>
      <c r="K4" s="3"/>
      <c r="L4" s="3"/>
      <c r="M4" s="3"/>
      <c r="N4" s="3"/>
      <c r="O4" s="1"/>
      <c r="P4" s="1"/>
    </row>
    <row r="5" spans="1:17" ht="15.5">
      <c r="C5" s="16" t="s">
        <v>46</v>
      </c>
      <c r="D5" s="2"/>
      <c r="E5" s="1"/>
      <c r="F5" s="1"/>
      <c r="G5" s="17"/>
      <c r="H5" s="1" t="s">
        <v>47</v>
      </c>
      <c r="I5" s="1"/>
      <c r="J5" s="1"/>
      <c r="K5" s="123" t="s">
        <v>157</v>
      </c>
      <c r="L5" s="18"/>
      <c r="M5" s="19"/>
      <c r="N5" s="20">
        <f>VLOOKUP(I10,C17:I72,5)</f>
        <v>0</v>
      </c>
      <c r="P5" s="1"/>
    </row>
    <row r="6" spans="1:17" ht="15.5">
      <c r="C6" s="6"/>
      <c r="D6" s="132" t="s">
        <v>276</v>
      </c>
      <c r="E6" s="85"/>
      <c r="F6" s="85"/>
      <c r="G6" s="1"/>
      <c r="H6" s="21"/>
      <c r="I6" s="21"/>
      <c r="J6" s="22"/>
      <c r="K6" s="124" t="s">
        <v>158</v>
      </c>
      <c r="L6" s="23"/>
      <c r="M6" s="1"/>
      <c r="N6" s="24">
        <f>VLOOKUP(I10,C17:I72,6)</f>
        <v>0</v>
      </c>
      <c r="O6" s="1"/>
      <c r="P6" s="1"/>
    </row>
    <row r="7" spans="1:17" ht="13.5" thickBot="1">
      <c r="C7" s="25" t="s">
        <v>48</v>
      </c>
      <c r="D7" s="127" t="s">
        <v>241</v>
      </c>
      <c r="E7" s="1"/>
      <c r="F7" s="1"/>
      <c r="G7" s="29"/>
      <c r="H7" s="3"/>
      <c r="I7" s="3"/>
      <c r="J7" s="15"/>
      <c r="K7" s="26" t="s">
        <v>49</v>
      </c>
      <c r="L7" s="27"/>
      <c r="M7" s="27"/>
      <c r="N7" s="28">
        <f>+N6-N5</f>
        <v>0</v>
      </c>
      <c r="O7" s="1"/>
      <c r="P7" s="1"/>
    </row>
    <row r="8" spans="1:17" ht="13.5" thickBot="1">
      <c r="C8" s="29"/>
      <c r="D8" s="142" t="s">
        <v>275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142</v>
      </c>
      <c r="E9" s="31"/>
      <c r="F9" s="31"/>
      <c r="G9" s="31"/>
      <c r="H9" s="31"/>
      <c r="I9" s="32"/>
      <c r="J9" s="33"/>
      <c r="P9" s="1"/>
    </row>
    <row r="10" spans="1:17" ht="13">
      <c r="C10" s="34" t="s">
        <v>51</v>
      </c>
      <c r="D10" s="461">
        <v>0</v>
      </c>
      <c r="E10" s="1" t="s">
        <v>52</v>
      </c>
      <c r="G10" s="2"/>
      <c r="H10" s="2"/>
      <c r="I10" s="36">
        <f>+'SWE.WS.F.BPU.ATRR.Projected'!L19</f>
        <v>2024</v>
      </c>
      <c r="J10" s="33"/>
      <c r="K10" s="15" t="s">
        <v>53</v>
      </c>
      <c r="O10" s="1"/>
      <c r="P10" s="1"/>
    </row>
    <row r="11" spans="1:17" ht="12.5">
      <c r="C11" s="34" t="s">
        <v>54</v>
      </c>
      <c r="D11" s="37">
        <v>2008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5">
        <v>11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15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41">
        <f>IF(D10=0,0,D10/D13)</f>
        <v>0</v>
      </c>
      <c r="J14" s="15"/>
      <c r="K14" s="15"/>
      <c r="L14" s="15"/>
      <c r="M14" s="15"/>
      <c r="N14" s="15"/>
      <c r="O14" s="1"/>
      <c r="P14" s="1"/>
    </row>
    <row r="15" spans="1:17" ht="39">
      <c r="C15" s="42" t="s">
        <v>51</v>
      </c>
      <c r="D15" s="43" t="s">
        <v>65</v>
      </c>
      <c r="E15" s="43" t="s">
        <v>66</v>
      </c>
      <c r="F15" s="43" t="s">
        <v>67</v>
      </c>
      <c r="G15" s="157" t="s">
        <v>391</v>
      </c>
      <c r="H15" s="158" t="s">
        <v>392</v>
      </c>
      <c r="I15" s="131" t="s">
        <v>260</v>
      </c>
      <c r="J15" s="44"/>
      <c r="K15" s="126" t="s">
        <v>227</v>
      </c>
      <c r="L15" s="45" t="s">
        <v>69</v>
      </c>
      <c r="M15" s="126" t="s">
        <v>227</v>
      </c>
      <c r="N15" s="45" t="s">
        <v>69</v>
      </c>
      <c r="O15" s="45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156" t="s">
        <v>74</v>
      </c>
      <c r="H16" s="47" t="s">
        <v>75</v>
      </c>
      <c r="I16" s="46" t="s">
        <v>94</v>
      </c>
      <c r="J16" s="44" t="s">
        <v>76</v>
      </c>
      <c r="K16" s="48" t="s">
        <v>77</v>
      </c>
      <c r="L16" s="48" t="s">
        <v>77</v>
      </c>
      <c r="M16" s="48" t="s">
        <v>95</v>
      </c>
      <c r="N16" s="49" t="s">
        <v>95</v>
      </c>
      <c r="O16" s="48" t="s">
        <v>95</v>
      </c>
      <c r="P16" s="1"/>
    </row>
    <row r="17" spans="2:16" ht="12.5">
      <c r="C17" s="50">
        <f>IF(D11= "","-",D11)</f>
        <v>2008</v>
      </c>
      <c r="D17" s="140">
        <v>1165466</v>
      </c>
      <c r="E17" s="140">
        <v>2625</v>
      </c>
      <c r="F17" s="140">
        <v>1162841</v>
      </c>
      <c r="G17" s="140">
        <v>32328</v>
      </c>
      <c r="H17" s="140">
        <v>32328</v>
      </c>
      <c r="I17" s="52">
        <f t="shared" ref="I17:I48" si="0">H17-G17</f>
        <v>0</v>
      </c>
      <c r="J17" s="52"/>
      <c r="K17" s="112">
        <v>0</v>
      </c>
      <c r="L17" s="53">
        <f t="shared" ref="L17:L48" si="1">IF(K17&lt;&gt;0,+G17-K17,0)</f>
        <v>0</v>
      </c>
      <c r="M17" s="112">
        <v>0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2009</v>
      </c>
      <c r="D18" s="137">
        <v>1162841</v>
      </c>
      <c r="E18" s="137">
        <v>31499</v>
      </c>
      <c r="F18" s="137">
        <v>1131342</v>
      </c>
      <c r="G18" s="137">
        <v>204891</v>
      </c>
      <c r="H18" s="137">
        <v>204891</v>
      </c>
      <c r="I18" s="52">
        <f t="shared" si="0"/>
        <v>0</v>
      </c>
      <c r="J18" s="52"/>
      <c r="K18" s="113">
        <v>204891</v>
      </c>
      <c r="L18" s="54">
        <f t="shared" si="1"/>
        <v>0</v>
      </c>
      <c r="M18" s="113">
        <v>204891</v>
      </c>
      <c r="N18" s="54">
        <f t="shared" si="2"/>
        <v>0</v>
      </c>
      <c r="O18" s="54">
        <f t="shared" si="3"/>
        <v>0</v>
      </c>
      <c r="P18" s="1"/>
    </row>
    <row r="19" spans="2:16" ht="12.5">
      <c r="B19" s="7" t="str">
        <f>IF(D19=F18,"","IU")</f>
        <v/>
      </c>
      <c r="C19" s="50">
        <f>IF(D11="","-",+C18+1)</f>
        <v>2010</v>
      </c>
      <c r="D19" s="137">
        <v>1131342</v>
      </c>
      <c r="E19" s="136">
        <v>30670.157894736843</v>
      </c>
      <c r="F19" s="137">
        <v>1100671.8421052631</v>
      </c>
      <c r="G19" s="136">
        <v>188908.24442689336</v>
      </c>
      <c r="H19" s="135">
        <v>188908.24442689336</v>
      </c>
      <c r="I19" s="141">
        <v>0</v>
      </c>
      <c r="J19" s="52"/>
      <c r="K19" s="113">
        <f>G19</f>
        <v>188908.24442689336</v>
      </c>
      <c r="L19" s="54">
        <f t="shared" si="1"/>
        <v>0</v>
      </c>
      <c r="M19" s="113">
        <f>H19</f>
        <v>188908.24442689336</v>
      </c>
      <c r="N19" s="54">
        <f t="shared" si="2"/>
        <v>0</v>
      </c>
      <c r="O19" s="54">
        <f t="shared" si="3"/>
        <v>0</v>
      </c>
      <c r="P19" s="1"/>
    </row>
    <row r="20" spans="2:16" ht="12.5">
      <c r="B20" s="7" t="str">
        <f t="shared" ref="B20:B72" si="4">IF(D20=F19,"","IU")</f>
        <v>IU</v>
      </c>
      <c r="C20" s="50">
        <f>IF(D11="","-",+C19+1)</f>
        <v>2011</v>
      </c>
      <c r="D20" s="137">
        <v>0</v>
      </c>
      <c r="E20" s="136">
        <v>0</v>
      </c>
      <c r="F20" s="137">
        <v>0</v>
      </c>
      <c r="G20" s="136">
        <v>0</v>
      </c>
      <c r="H20" s="135">
        <v>0</v>
      </c>
      <c r="I20" s="141">
        <v>0</v>
      </c>
      <c r="J20" s="52"/>
      <c r="K20" s="113">
        <f>G20</f>
        <v>0</v>
      </c>
      <c r="L20" s="54">
        <f t="shared" si="1"/>
        <v>0</v>
      </c>
      <c r="M20" s="113">
        <f>H20</f>
        <v>0</v>
      </c>
      <c r="N20" s="54">
        <f t="shared" si="2"/>
        <v>0</v>
      </c>
      <c r="O20" s="54">
        <f t="shared" si="3"/>
        <v>0</v>
      </c>
      <c r="P20" s="1"/>
    </row>
    <row r="21" spans="2:16" ht="12.5">
      <c r="B21" s="7" t="str">
        <f t="shared" si="4"/>
        <v/>
      </c>
      <c r="C21" s="50">
        <f>IF(D12="","-",+C20+1)</f>
        <v>2012</v>
      </c>
      <c r="D21" s="147">
        <v>0</v>
      </c>
      <c r="E21" s="146">
        <f>IF(+I14&lt;F20,I14,D21)</f>
        <v>0</v>
      </c>
      <c r="F21" s="147">
        <f t="shared" ref="F21:F48" si="5">+D21-E21</f>
        <v>0</v>
      </c>
      <c r="G21" s="148">
        <f>+I12*F21+E21</f>
        <v>0</v>
      </c>
      <c r="H21" s="149">
        <f>+I13*F21+E21</f>
        <v>0</v>
      </c>
      <c r="I21" s="52">
        <f t="shared" si="0"/>
        <v>0</v>
      </c>
      <c r="J21" s="52"/>
      <c r="K21" s="113"/>
      <c r="L21" s="54">
        <f t="shared" si="1"/>
        <v>0</v>
      </c>
      <c r="M21" s="113"/>
      <c r="N21" s="54">
        <f t="shared" si="2"/>
        <v>0</v>
      </c>
      <c r="O21" s="54">
        <f t="shared" si="3"/>
        <v>0</v>
      </c>
      <c r="P21" s="1"/>
    </row>
    <row r="22" spans="2:16" ht="12.5">
      <c r="B22" s="7" t="str">
        <f t="shared" si="4"/>
        <v/>
      </c>
      <c r="C22" s="50">
        <f>IF(D11="","-",+C21+1)</f>
        <v>2013</v>
      </c>
      <c r="D22" s="55">
        <v>0</v>
      </c>
      <c r="E22" s="56">
        <f>IF(+I14&lt;F21,I14,D22)</f>
        <v>0</v>
      </c>
      <c r="F22" s="55">
        <f t="shared" si="5"/>
        <v>0</v>
      </c>
      <c r="G22" s="57">
        <f t="shared" ref="G22:G53" si="6">+I$12*((D22+F22)/2)+E22</f>
        <v>0</v>
      </c>
      <c r="H22" s="41">
        <f t="shared" ref="H22:H53" si="7">+I$13*((D22+F22)/2)+E22</f>
        <v>0</v>
      </c>
      <c r="I22" s="52">
        <f t="shared" si="0"/>
        <v>0</v>
      </c>
      <c r="J22" s="52"/>
      <c r="K22" s="129"/>
      <c r="L22" s="54">
        <f t="shared" si="1"/>
        <v>0</v>
      </c>
      <c r="M22" s="129"/>
      <c r="N22" s="54">
        <f t="shared" si="2"/>
        <v>0</v>
      </c>
      <c r="O22" s="54">
        <f t="shared" si="3"/>
        <v>0</v>
      </c>
      <c r="P22" s="1"/>
    </row>
    <row r="23" spans="2:16" ht="12.5">
      <c r="B23" s="7" t="str">
        <f t="shared" si="4"/>
        <v/>
      </c>
      <c r="C23" s="50">
        <f>IF(D11="","-",+C22+1)</f>
        <v>2014</v>
      </c>
      <c r="D23" s="55">
        <v>0</v>
      </c>
      <c r="E23" s="56">
        <f>IF(+I14&lt;F22,I14,D23)</f>
        <v>0</v>
      </c>
      <c r="F23" s="55">
        <f t="shared" si="5"/>
        <v>0</v>
      </c>
      <c r="G23" s="57">
        <f t="shared" si="6"/>
        <v>0</v>
      </c>
      <c r="H23" s="41">
        <f t="shared" si="7"/>
        <v>0</v>
      </c>
      <c r="I23" s="52">
        <f t="shared" si="0"/>
        <v>0</v>
      </c>
      <c r="J23" s="52"/>
      <c r="K23" s="129"/>
      <c r="L23" s="54">
        <f t="shared" si="1"/>
        <v>0</v>
      </c>
      <c r="M23" s="129"/>
      <c r="N23" s="54">
        <f t="shared" si="2"/>
        <v>0</v>
      </c>
      <c r="O23" s="54">
        <f t="shared" si="3"/>
        <v>0</v>
      </c>
      <c r="P23" s="1"/>
    </row>
    <row r="24" spans="2:16" ht="12.5">
      <c r="B24" s="7" t="str">
        <f t="shared" si="4"/>
        <v/>
      </c>
      <c r="C24" s="50">
        <f>IF(D11="","-",+C23+1)</f>
        <v>2015</v>
      </c>
      <c r="D24" s="55">
        <v>0</v>
      </c>
      <c r="E24" s="56">
        <f>IF(+I14&lt;F23,I14,D24)</f>
        <v>0</v>
      </c>
      <c r="F24" s="55">
        <f t="shared" si="5"/>
        <v>0</v>
      </c>
      <c r="G24" s="57">
        <f t="shared" si="6"/>
        <v>0</v>
      </c>
      <c r="H24" s="41">
        <f t="shared" si="7"/>
        <v>0</v>
      </c>
      <c r="I24" s="52">
        <f t="shared" si="0"/>
        <v>0</v>
      </c>
      <c r="J24" s="52"/>
      <c r="K24" s="129"/>
      <c r="L24" s="54">
        <f t="shared" si="1"/>
        <v>0</v>
      </c>
      <c r="M24" s="129"/>
      <c r="N24" s="54">
        <f t="shared" si="2"/>
        <v>0</v>
      </c>
      <c r="O24" s="54">
        <f t="shared" si="3"/>
        <v>0</v>
      </c>
      <c r="P24" s="1"/>
    </row>
    <row r="25" spans="2:16" ht="12.5">
      <c r="B25" s="7" t="str">
        <f t="shared" si="4"/>
        <v/>
      </c>
      <c r="C25" s="50">
        <f>IF(D11="","-",+C24+1)</f>
        <v>2016</v>
      </c>
      <c r="D25" s="55">
        <v>0</v>
      </c>
      <c r="E25" s="56">
        <f>IF(+I14&lt;F24,I14,D25)</f>
        <v>0</v>
      </c>
      <c r="F25" s="55">
        <f t="shared" si="5"/>
        <v>0</v>
      </c>
      <c r="G25" s="57">
        <f t="shared" si="6"/>
        <v>0</v>
      </c>
      <c r="H25" s="41">
        <f t="shared" si="7"/>
        <v>0</v>
      </c>
      <c r="I25" s="52">
        <f t="shared" si="0"/>
        <v>0</v>
      </c>
      <c r="J25" s="52"/>
      <c r="K25" s="129"/>
      <c r="L25" s="54">
        <f t="shared" si="1"/>
        <v>0</v>
      </c>
      <c r="M25" s="129"/>
      <c r="N25" s="54">
        <f t="shared" si="2"/>
        <v>0</v>
      </c>
      <c r="O25" s="54">
        <f t="shared" si="3"/>
        <v>0</v>
      </c>
      <c r="P25" s="1"/>
    </row>
    <row r="26" spans="2:16" ht="12.5">
      <c r="B26" s="7" t="str">
        <f t="shared" si="4"/>
        <v/>
      </c>
      <c r="C26" s="50">
        <f>IF(D11="","-",+C25+1)</f>
        <v>2017</v>
      </c>
      <c r="D26" s="55">
        <v>0</v>
      </c>
      <c r="E26" s="56">
        <f>IF(+I14&lt;F25,I14,D26)</f>
        <v>0</v>
      </c>
      <c r="F26" s="55">
        <f t="shared" si="5"/>
        <v>0</v>
      </c>
      <c r="G26" s="57">
        <f t="shared" si="6"/>
        <v>0</v>
      </c>
      <c r="H26" s="41">
        <f t="shared" si="7"/>
        <v>0</v>
      </c>
      <c r="I26" s="52">
        <f t="shared" si="0"/>
        <v>0</v>
      </c>
      <c r="J26" s="52"/>
      <c r="K26" s="129"/>
      <c r="L26" s="54">
        <f t="shared" si="1"/>
        <v>0</v>
      </c>
      <c r="M26" s="129"/>
      <c r="N26" s="54">
        <f t="shared" si="2"/>
        <v>0</v>
      </c>
      <c r="O26" s="54">
        <f t="shared" si="3"/>
        <v>0</v>
      </c>
      <c r="P26" s="1"/>
    </row>
    <row r="27" spans="2:16" ht="12.5">
      <c r="B27" s="7" t="str">
        <f t="shared" si="4"/>
        <v/>
      </c>
      <c r="C27" s="50">
        <f>IF(D11="","-",+C26+1)</f>
        <v>2018</v>
      </c>
      <c r="D27" s="55">
        <v>0</v>
      </c>
      <c r="E27" s="56">
        <f>IF(+I14&lt;F26,I14,D27)</f>
        <v>0</v>
      </c>
      <c r="F27" s="55">
        <f t="shared" si="5"/>
        <v>0</v>
      </c>
      <c r="G27" s="57">
        <f t="shared" si="6"/>
        <v>0</v>
      </c>
      <c r="H27" s="41">
        <f t="shared" si="7"/>
        <v>0</v>
      </c>
      <c r="I27" s="52">
        <f t="shared" si="0"/>
        <v>0</v>
      </c>
      <c r="J27" s="52"/>
      <c r="K27" s="129"/>
      <c r="L27" s="54">
        <f t="shared" si="1"/>
        <v>0</v>
      </c>
      <c r="M27" s="129"/>
      <c r="N27" s="54">
        <f t="shared" si="2"/>
        <v>0</v>
      </c>
      <c r="O27" s="54">
        <f t="shared" si="3"/>
        <v>0</v>
      </c>
      <c r="P27" s="1"/>
    </row>
    <row r="28" spans="2:16" ht="12.5">
      <c r="B28" s="7" t="str">
        <f t="shared" si="4"/>
        <v/>
      </c>
      <c r="C28" s="50">
        <f>IF(D11="","-",+C27+1)</f>
        <v>2019</v>
      </c>
      <c r="D28" s="55">
        <v>0</v>
      </c>
      <c r="E28" s="56">
        <f>IF(+I14&lt;F27,I14,D28)</f>
        <v>0</v>
      </c>
      <c r="F28" s="55">
        <f t="shared" si="5"/>
        <v>0</v>
      </c>
      <c r="G28" s="57">
        <f t="shared" si="6"/>
        <v>0</v>
      </c>
      <c r="H28" s="41">
        <f t="shared" si="7"/>
        <v>0</v>
      </c>
      <c r="I28" s="52">
        <f t="shared" si="0"/>
        <v>0</v>
      </c>
      <c r="J28" s="52"/>
      <c r="K28" s="129"/>
      <c r="L28" s="54">
        <f t="shared" si="1"/>
        <v>0</v>
      </c>
      <c r="M28" s="129"/>
      <c r="N28" s="54">
        <f t="shared" si="2"/>
        <v>0</v>
      </c>
      <c r="O28" s="54">
        <f t="shared" si="3"/>
        <v>0</v>
      </c>
      <c r="P28" s="1"/>
    </row>
    <row r="29" spans="2:16" ht="12.5">
      <c r="B29" s="7" t="str">
        <f t="shared" si="4"/>
        <v/>
      </c>
      <c r="C29" s="50">
        <f>IF(D11="","-",+C28+1)</f>
        <v>2020</v>
      </c>
      <c r="D29" s="55">
        <v>0</v>
      </c>
      <c r="E29" s="56">
        <f>IF(+I14&lt;F28,I14,D29)</f>
        <v>0</v>
      </c>
      <c r="F29" s="55">
        <f t="shared" si="5"/>
        <v>0</v>
      </c>
      <c r="G29" s="57">
        <f t="shared" si="6"/>
        <v>0</v>
      </c>
      <c r="H29" s="41">
        <f t="shared" si="7"/>
        <v>0</v>
      </c>
      <c r="I29" s="52">
        <f t="shared" si="0"/>
        <v>0</v>
      </c>
      <c r="J29" s="52"/>
      <c r="K29" s="129"/>
      <c r="L29" s="54">
        <f t="shared" si="1"/>
        <v>0</v>
      </c>
      <c r="M29" s="129"/>
      <c r="N29" s="54">
        <f t="shared" si="2"/>
        <v>0</v>
      </c>
      <c r="O29" s="54">
        <f t="shared" si="3"/>
        <v>0</v>
      </c>
      <c r="P29" s="1"/>
    </row>
    <row r="30" spans="2:16" ht="12.5">
      <c r="B30" s="7" t="str">
        <f t="shared" si="4"/>
        <v/>
      </c>
      <c r="C30" s="50">
        <f>IF(D11="","-",+C29+1)</f>
        <v>2021</v>
      </c>
      <c r="D30" s="55">
        <v>0</v>
      </c>
      <c r="E30" s="56">
        <f>IF(+I14&lt;F29,I14,D30)</f>
        <v>0</v>
      </c>
      <c r="F30" s="55">
        <f t="shared" si="5"/>
        <v>0</v>
      </c>
      <c r="G30" s="57">
        <f t="shared" si="6"/>
        <v>0</v>
      </c>
      <c r="H30" s="41">
        <f t="shared" si="7"/>
        <v>0</v>
      </c>
      <c r="I30" s="52">
        <f t="shared" si="0"/>
        <v>0</v>
      </c>
      <c r="J30" s="52"/>
      <c r="K30" s="129"/>
      <c r="L30" s="54">
        <f t="shared" si="1"/>
        <v>0</v>
      </c>
      <c r="M30" s="129"/>
      <c r="N30" s="54">
        <f t="shared" si="2"/>
        <v>0</v>
      </c>
      <c r="O30" s="54">
        <f t="shared" si="3"/>
        <v>0</v>
      </c>
      <c r="P30" s="1"/>
    </row>
    <row r="31" spans="2:16" ht="12.5">
      <c r="B31" s="7" t="str">
        <f t="shared" si="4"/>
        <v/>
      </c>
      <c r="C31" s="50">
        <f>IF(D11="","-",+C30+1)</f>
        <v>2022</v>
      </c>
      <c r="D31" s="55">
        <v>0</v>
      </c>
      <c r="E31" s="56">
        <f>IF(+I14&lt;F30,I14,D31)</f>
        <v>0</v>
      </c>
      <c r="F31" s="55">
        <f t="shared" si="5"/>
        <v>0</v>
      </c>
      <c r="G31" s="57">
        <f t="shared" si="6"/>
        <v>0</v>
      </c>
      <c r="H31" s="41">
        <f t="shared" si="7"/>
        <v>0</v>
      </c>
      <c r="I31" s="52">
        <f t="shared" si="0"/>
        <v>0</v>
      </c>
      <c r="J31" s="52"/>
      <c r="K31" s="129"/>
      <c r="L31" s="54">
        <f t="shared" si="1"/>
        <v>0</v>
      </c>
      <c r="M31" s="129"/>
      <c r="N31" s="54">
        <f t="shared" si="2"/>
        <v>0</v>
      </c>
      <c r="O31" s="54">
        <f t="shared" si="3"/>
        <v>0</v>
      </c>
      <c r="P31" s="1"/>
    </row>
    <row r="32" spans="2:16" ht="12.5">
      <c r="B32" s="7" t="str">
        <f t="shared" si="4"/>
        <v/>
      </c>
      <c r="C32" s="50">
        <f>IF(D11="","-",+C31+1)</f>
        <v>2023</v>
      </c>
      <c r="D32" s="55">
        <v>0</v>
      </c>
      <c r="E32" s="56">
        <f>IF(+I14&lt;F31,I14,D32)</f>
        <v>0</v>
      </c>
      <c r="F32" s="55">
        <f t="shared" si="5"/>
        <v>0</v>
      </c>
      <c r="G32" s="57">
        <f t="shared" si="6"/>
        <v>0</v>
      </c>
      <c r="H32" s="41">
        <f t="shared" si="7"/>
        <v>0</v>
      </c>
      <c r="I32" s="52">
        <f t="shared" si="0"/>
        <v>0</v>
      </c>
      <c r="J32" s="52"/>
      <c r="K32" s="129"/>
      <c r="L32" s="54">
        <f t="shared" si="1"/>
        <v>0</v>
      </c>
      <c r="M32" s="129"/>
      <c r="N32" s="54">
        <f t="shared" si="2"/>
        <v>0</v>
      </c>
      <c r="O32" s="54">
        <f t="shared" si="3"/>
        <v>0</v>
      </c>
      <c r="P32" s="1"/>
    </row>
    <row r="33" spans="2:16" ht="12.5">
      <c r="B33" s="7" t="str">
        <f t="shared" si="4"/>
        <v/>
      </c>
      <c r="C33" s="50">
        <f>IF(D11="","-",+C32+1)</f>
        <v>2024</v>
      </c>
      <c r="D33" s="55">
        <v>0</v>
      </c>
      <c r="E33" s="56">
        <f>IF(+I14&lt;F32,I14,D33)</f>
        <v>0</v>
      </c>
      <c r="F33" s="55">
        <f t="shared" si="5"/>
        <v>0</v>
      </c>
      <c r="G33" s="57">
        <f t="shared" si="6"/>
        <v>0</v>
      </c>
      <c r="H33" s="41">
        <f t="shared" si="7"/>
        <v>0</v>
      </c>
      <c r="I33" s="52">
        <f t="shared" si="0"/>
        <v>0</v>
      </c>
      <c r="J33" s="52"/>
      <c r="K33" s="129"/>
      <c r="L33" s="54">
        <f t="shared" si="1"/>
        <v>0</v>
      </c>
      <c r="M33" s="129"/>
      <c r="N33" s="54">
        <f t="shared" si="2"/>
        <v>0</v>
      </c>
      <c r="O33" s="54">
        <f t="shared" si="3"/>
        <v>0</v>
      </c>
      <c r="P33" s="1"/>
    </row>
    <row r="34" spans="2:16" ht="12.5">
      <c r="B34" s="7" t="str">
        <f t="shared" si="4"/>
        <v/>
      </c>
      <c r="C34" s="50">
        <f>IF(D11="","-",+C33+1)</f>
        <v>2025</v>
      </c>
      <c r="D34" s="55">
        <v>0</v>
      </c>
      <c r="E34" s="56">
        <f>IF(+I14&lt;F33,I14,D34)</f>
        <v>0</v>
      </c>
      <c r="F34" s="55">
        <f t="shared" si="5"/>
        <v>0</v>
      </c>
      <c r="G34" s="57">
        <f t="shared" si="6"/>
        <v>0</v>
      </c>
      <c r="H34" s="41">
        <f t="shared" si="7"/>
        <v>0</v>
      </c>
      <c r="I34" s="52">
        <f t="shared" si="0"/>
        <v>0</v>
      </c>
      <c r="J34" s="52"/>
      <c r="K34" s="129"/>
      <c r="L34" s="54">
        <f t="shared" si="1"/>
        <v>0</v>
      </c>
      <c r="M34" s="129"/>
      <c r="N34" s="54">
        <f t="shared" si="2"/>
        <v>0</v>
      </c>
      <c r="O34" s="54">
        <f t="shared" si="3"/>
        <v>0</v>
      </c>
      <c r="P34" s="1"/>
    </row>
    <row r="35" spans="2:16" ht="12.5">
      <c r="B35" s="7" t="str">
        <f t="shared" si="4"/>
        <v/>
      </c>
      <c r="C35" s="50">
        <f>IF(D11="","-",+C34+1)</f>
        <v>2026</v>
      </c>
      <c r="D35" s="55">
        <v>0</v>
      </c>
      <c r="E35" s="56">
        <f>IF(+I14&lt;F34,I14,D35)</f>
        <v>0</v>
      </c>
      <c r="F35" s="55">
        <f t="shared" si="5"/>
        <v>0</v>
      </c>
      <c r="G35" s="57">
        <f t="shared" si="6"/>
        <v>0</v>
      </c>
      <c r="H35" s="41">
        <f t="shared" si="7"/>
        <v>0</v>
      </c>
      <c r="I35" s="52">
        <f t="shared" si="0"/>
        <v>0</v>
      </c>
      <c r="J35" s="52"/>
      <c r="K35" s="129"/>
      <c r="L35" s="54">
        <f t="shared" si="1"/>
        <v>0</v>
      </c>
      <c r="M35" s="129"/>
      <c r="N35" s="54">
        <f t="shared" si="2"/>
        <v>0</v>
      </c>
      <c r="O35" s="54">
        <f t="shared" si="3"/>
        <v>0</v>
      </c>
      <c r="P35" s="1"/>
    </row>
    <row r="36" spans="2:16" ht="12.5">
      <c r="B36" s="7" t="str">
        <f t="shared" si="4"/>
        <v/>
      </c>
      <c r="C36" s="50">
        <f>IF(D11="","-",+C35+1)</f>
        <v>2027</v>
      </c>
      <c r="D36" s="55">
        <v>0</v>
      </c>
      <c r="E36" s="56">
        <f>IF(+I14&lt;F35,I14,D36)</f>
        <v>0</v>
      </c>
      <c r="F36" s="55">
        <f t="shared" si="5"/>
        <v>0</v>
      </c>
      <c r="G36" s="57">
        <f t="shared" si="6"/>
        <v>0</v>
      </c>
      <c r="H36" s="41">
        <f t="shared" si="7"/>
        <v>0</v>
      </c>
      <c r="I36" s="52">
        <f t="shared" si="0"/>
        <v>0</v>
      </c>
      <c r="J36" s="52"/>
      <c r="K36" s="129"/>
      <c r="L36" s="54">
        <f t="shared" si="1"/>
        <v>0</v>
      </c>
      <c r="M36" s="129"/>
      <c r="N36" s="54">
        <f t="shared" si="2"/>
        <v>0</v>
      </c>
      <c r="O36" s="54">
        <f t="shared" si="3"/>
        <v>0</v>
      </c>
      <c r="P36" s="1"/>
    </row>
    <row r="37" spans="2:16" ht="12.5">
      <c r="B37" s="7" t="str">
        <f t="shared" si="4"/>
        <v/>
      </c>
      <c r="C37" s="50">
        <f>IF(D11="","-",+C36+1)</f>
        <v>2028</v>
      </c>
      <c r="D37" s="55">
        <v>0</v>
      </c>
      <c r="E37" s="56">
        <f>IF(+I14&lt;F36,I14,D37)</f>
        <v>0</v>
      </c>
      <c r="F37" s="55">
        <f t="shared" si="5"/>
        <v>0</v>
      </c>
      <c r="G37" s="57">
        <f t="shared" si="6"/>
        <v>0</v>
      </c>
      <c r="H37" s="41">
        <f t="shared" si="7"/>
        <v>0</v>
      </c>
      <c r="I37" s="52">
        <f t="shared" si="0"/>
        <v>0</v>
      </c>
      <c r="J37" s="52"/>
      <c r="K37" s="129"/>
      <c r="L37" s="54">
        <f t="shared" si="1"/>
        <v>0</v>
      </c>
      <c r="M37" s="129"/>
      <c r="N37" s="54">
        <f t="shared" si="2"/>
        <v>0</v>
      </c>
      <c r="O37" s="54">
        <f t="shared" si="3"/>
        <v>0</v>
      </c>
      <c r="P37" s="1"/>
    </row>
    <row r="38" spans="2:16" ht="12.5">
      <c r="B38" s="7" t="str">
        <f t="shared" si="4"/>
        <v/>
      </c>
      <c r="C38" s="50">
        <f>IF(D11="","-",+C37+1)</f>
        <v>2029</v>
      </c>
      <c r="D38" s="55">
        <v>0</v>
      </c>
      <c r="E38" s="56">
        <f>IF(+I14&lt;F37,I14,D38)</f>
        <v>0</v>
      </c>
      <c r="F38" s="55">
        <f t="shared" si="5"/>
        <v>0</v>
      </c>
      <c r="G38" s="57">
        <f t="shared" si="6"/>
        <v>0</v>
      </c>
      <c r="H38" s="41">
        <f t="shared" si="7"/>
        <v>0</v>
      </c>
      <c r="I38" s="52">
        <f t="shared" si="0"/>
        <v>0</v>
      </c>
      <c r="J38" s="52"/>
      <c r="K38" s="129"/>
      <c r="L38" s="54">
        <f t="shared" si="1"/>
        <v>0</v>
      </c>
      <c r="M38" s="129"/>
      <c r="N38" s="54">
        <f t="shared" si="2"/>
        <v>0</v>
      </c>
      <c r="O38" s="54">
        <f t="shared" si="3"/>
        <v>0</v>
      </c>
      <c r="P38" s="1"/>
    </row>
    <row r="39" spans="2:16" ht="12.5">
      <c r="B39" s="7" t="str">
        <f t="shared" si="4"/>
        <v/>
      </c>
      <c r="C39" s="50">
        <f>IF(D11="","-",+C38+1)</f>
        <v>2030</v>
      </c>
      <c r="D39" s="55">
        <v>0</v>
      </c>
      <c r="E39" s="56">
        <f>IF(+I14&lt;F38,I14,D39)</f>
        <v>0</v>
      </c>
      <c r="F39" s="55">
        <f t="shared" si="5"/>
        <v>0</v>
      </c>
      <c r="G39" s="57">
        <f t="shared" si="6"/>
        <v>0</v>
      </c>
      <c r="H39" s="41">
        <f t="shared" si="7"/>
        <v>0</v>
      </c>
      <c r="I39" s="52">
        <f t="shared" si="0"/>
        <v>0</v>
      </c>
      <c r="J39" s="52"/>
      <c r="K39" s="129"/>
      <c r="L39" s="54">
        <f t="shared" si="1"/>
        <v>0</v>
      </c>
      <c r="M39" s="129"/>
      <c r="N39" s="54">
        <f t="shared" si="2"/>
        <v>0</v>
      </c>
      <c r="O39" s="54">
        <f t="shared" si="3"/>
        <v>0</v>
      </c>
      <c r="P39" s="1"/>
    </row>
    <row r="40" spans="2:16" ht="12.5">
      <c r="B40" s="7" t="str">
        <f t="shared" si="4"/>
        <v/>
      </c>
      <c r="C40" s="50">
        <f>IF(D11="","-",+C39+1)</f>
        <v>2031</v>
      </c>
      <c r="D40" s="55">
        <v>0</v>
      </c>
      <c r="E40" s="56">
        <f>IF(+I14&lt;F39,I14,D40)</f>
        <v>0</v>
      </c>
      <c r="F40" s="55">
        <f t="shared" si="5"/>
        <v>0</v>
      </c>
      <c r="G40" s="57">
        <f t="shared" si="6"/>
        <v>0</v>
      </c>
      <c r="H40" s="41">
        <f t="shared" si="7"/>
        <v>0</v>
      </c>
      <c r="I40" s="52">
        <f t="shared" si="0"/>
        <v>0</v>
      </c>
      <c r="J40" s="52"/>
      <c r="K40" s="129"/>
      <c r="L40" s="54">
        <f t="shared" si="1"/>
        <v>0</v>
      </c>
      <c r="M40" s="129"/>
      <c r="N40" s="54">
        <f t="shared" si="2"/>
        <v>0</v>
      </c>
      <c r="O40" s="54">
        <f t="shared" si="3"/>
        <v>0</v>
      </c>
      <c r="P40" s="1"/>
    </row>
    <row r="41" spans="2:16" ht="12.5">
      <c r="B41" s="7" t="str">
        <f t="shared" si="4"/>
        <v/>
      </c>
      <c r="C41" s="50">
        <f>IF(D11="","-",+C40+1)</f>
        <v>2032</v>
      </c>
      <c r="D41" s="55">
        <v>0</v>
      </c>
      <c r="E41" s="56">
        <f>IF(+I14&lt;F40,I14,D41)</f>
        <v>0</v>
      </c>
      <c r="F41" s="55">
        <f t="shared" si="5"/>
        <v>0</v>
      </c>
      <c r="G41" s="57">
        <f t="shared" si="6"/>
        <v>0</v>
      </c>
      <c r="H41" s="41">
        <f t="shared" si="7"/>
        <v>0</v>
      </c>
      <c r="I41" s="52">
        <f t="shared" si="0"/>
        <v>0</v>
      </c>
      <c r="J41" s="52"/>
      <c r="K41" s="129"/>
      <c r="L41" s="54">
        <f t="shared" si="1"/>
        <v>0</v>
      </c>
      <c r="M41" s="129"/>
      <c r="N41" s="54">
        <f t="shared" si="2"/>
        <v>0</v>
      </c>
      <c r="O41" s="54">
        <f t="shared" si="3"/>
        <v>0</v>
      </c>
      <c r="P41" s="1"/>
    </row>
    <row r="42" spans="2:16" ht="12.5">
      <c r="B42" s="7" t="str">
        <f t="shared" si="4"/>
        <v/>
      </c>
      <c r="C42" s="50">
        <f>IF(D11="","-",+C41+1)</f>
        <v>2033</v>
      </c>
      <c r="D42" s="55">
        <v>0</v>
      </c>
      <c r="E42" s="56">
        <f>IF(+I14&lt;F41,I14,D42)</f>
        <v>0</v>
      </c>
      <c r="F42" s="55">
        <f t="shared" si="5"/>
        <v>0</v>
      </c>
      <c r="G42" s="57">
        <f t="shared" si="6"/>
        <v>0</v>
      </c>
      <c r="H42" s="41">
        <f t="shared" si="7"/>
        <v>0</v>
      </c>
      <c r="I42" s="52">
        <f t="shared" si="0"/>
        <v>0</v>
      </c>
      <c r="J42" s="52"/>
      <c r="K42" s="129"/>
      <c r="L42" s="54">
        <f t="shared" si="1"/>
        <v>0</v>
      </c>
      <c r="M42" s="129"/>
      <c r="N42" s="54">
        <f t="shared" si="2"/>
        <v>0</v>
      </c>
      <c r="O42" s="54">
        <f t="shared" si="3"/>
        <v>0</v>
      </c>
      <c r="P42" s="1"/>
    </row>
    <row r="43" spans="2:16" ht="12.5">
      <c r="B43" s="7" t="str">
        <f t="shared" si="4"/>
        <v/>
      </c>
      <c r="C43" s="50">
        <f>IF(D11="","-",+C42+1)</f>
        <v>2034</v>
      </c>
      <c r="D43" s="55">
        <v>0</v>
      </c>
      <c r="E43" s="56">
        <f>IF(+I14&lt;F42,I14,D43)</f>
        <v>0</v>
      </c>
      <c r="F43" s="55">
        <f t="shared" si="5"/>
        <v>0</v>
      </c>
      <c r="G43" s="57">
        <f t="shared" si="6"/>
        <v>0</v>
      </c>
      <c r="H43" s="41">
        <f t="shared" si="7"/>
        <v>0</v>
      </c>
      <c r="I43" s="52">
        <f t="shared" si="0"/>
        <v>0</v>
      </c>
      <c r="J43" s="52"/>
      <c r="K43" s="129"/>
      <c r="L43" s="54">
        <f t="shared" si="1"/>
        <v>0</v>
      </c>
      <c r="M43" s="129"/>
      <c r="N43" s="54">
        <f t="shared" si="2"/>
        <v>0</v>
      </c>
      <c r="O43" s="54">
        <f t="shared" si="3"/>
        <v>0</v>
      </c>
      <c r="P43" s="1"/>
    </row>
    <row r="44" spans="2:16" ht="12.5">
      <c r="B44" s="7" t="str">
        <f t="shared" si="4"/>
        <v/>
      </c>
      <c r="C44" s="50">
        <f>IF(D11="","-",+C43+1)</f>
        <v>2035</v>
      </c>
      <c r="D44" s="55">
        <v>0</v>
      </c>
      <c r="E44" s="56">
        <f>IF(+I14&lt;F43,I14,D44)</f>
        <v>0</v>
      </c>
      <c r="F44" s="55">
        <f t="shared" si="5"/>
        <v>0</v>
      </c>
      <c r="G44" s="57">
        <f t="shared" si="6"/>
        <v>0</v>
      </c>
      <c r="H44" s="41">
        <f t="shared" si="7"/>
        <v>0</v>
      </c>
      <c r="I44" s="52">
        <f t="shared" si="0"/>
        <v>0</v>
      </c>
      <c r="J44" s="52"/>
      <c r="K44" s="129"/>
      <c r="L44" s="54">
        <f t="shared" si="1"/>
        <v>0</v>
      </c>
      <c r="M44" s="129"/>
      <c r="N44" s="54">
        <f t="shared" si="2"/>
        <v>0</v>
      </c>
      <c r="O44" s="54">
        <f t="shared" si="3"/>
        <v>0</v>
      </c>
      <c r="P44" s="1"/>
    </row>
    <row r="45" spans="2:16" ht="12.5">
      <c r="B45" s="7" t="str">
        <f t="shared" si="4"/>
        <v/>
      </c>
      <c r="C45" s="50">
        <f>IF(D11="","-",+C44+1)</f>
        <v>2036</v>
      </c>
      <c r="D45" s="55">
        <v>0</v>
      </c>
      <c r="E45" s="56">
        <f>IF(+I14&lt;F44,I14,D45)</f>
        <v>0</v>
      </c>
      <c r="F45" s="55">
        <f t="shared" si="5"/>
        <v>0</v>
      </c>
      <c r="G45" s="57">
        <f t="shared" si="6"/>
        <v>0</v>
      </c>
      <c r="H45" s="41">
        <f t="shared" si="7"/>
        <v>0</v>
      </c>
      <c r="I45" s="52">
        <f t="shared" si="0"/>
        <v>0</v>
      </c>
      <c r="J45" s="52"/>
      <c r="K45" s="129"/>
      <c r="L45" s="54">
        <f t="shared" si="1"/>
        <v>0</v>
      </c>
      <c r="M45" s="129"/>
      <c r="N45" s="54">
        <f t="shared" si="2"/>
        <v>0</v>
      </c>
      <c r="O45" s="54">
        <f t="shared" si="3"/>
        <v>0</v>
      </c>
      <c r="P45" s="1"/>
    </row>
    <row r="46" spans="2:16" ht="12.5">
      <c r="B46" s="7" t="str">
        <f t="shared" si="4"/>
        <v/>
      </c>
      <c r="C46" s="50">
        <f>IF(D11="","-",+C45+1)</f>
        <v>2037</v>
      </c>
      <c r="D46" s="55">
        <v>0</v>
      </c>
      <c r="E46" s="56">
        <f>IF(+I14&lt;F45,I14,D46)</f>
        <v>0</v>
      </c>
      <c r="F46" s="55">
        <f t="shared" si="5"/>
        <v>0</v>
      </c>
      <c r="G46" s="57">
        <f t="shared" si="6"/>
        <v>0</v>
      </c>
      <c r="H46" s="41">
        <f t="shared" si="7"/>
        <v>0</v>
      </c>
      <c r="I46" s="52">
        <f t="shared" si="0"/>
        <v>0</v>
      </c>
      <c r="J46" s="52"/>
      <c r="K46" s="129"/>
      <c r="L46" s="54">
        <f t="shared" si="1"/>
        <v>0</v>
      </c>
      <c r="M46" s="129"/>
      <c r="N46" s="54">
        <f t="shared" si="2"/>
        <v>0</v>
      </c>
      <c r="O46" s="54">
        <f t="shared" si="3"/>
        <v>0</v>
      </c>
      <c r="P46" s="1"/>
    </row>
    <row r="47" spans="2:16" ht="12.5">
      <c r="B47" s="7" t="str">
        <f t="shared" si="4"/>
        <v/>
      </c>
      <c r="C47" s="50">
        <f>IF(D11="","-",+C46+1)</f>
        <v>2038</v>
      </c>
      <c r="D47" s="55">
        <v>0</v>
      </c>
      <c r="E47" s="56">
        <f>IF(+I14&lt;F46,I14,D47)</f>
        <v>0</v>
      </c>
      <c r="F47" s="55">
        <f t="shared" si="5"/>
        <v>0</v>
      </c>
      <c r="G47" s="57">
        <f t="shared" si="6"/>
        <v>0</v>
      </c>
      <c r="H47" s="41">
        <f t="shared" si="7"/>
        <v>0</v>
      </c>
      <c r="I47" s="52">
        <f t="shared" si="0"/>
        <v>0</v>
      </c>
      <c r="J47" s="52"/>
      <c r="K47" s="129"/>
      <c r="L47" s="54">
        <f t="shared" si="1"/>
        <v>0</v>
      </c>
      <c r="M47" s="129"/>
      <c r="N47" s="54">
        <f t="shared" si="2"/>
        <v>0</v>
      </c>
      <c r="O47" s="54">
        <f t="shared" si="3"/>
        <v>0</v>
      </c>
      <c r="P47" s="1"/>
    </row>
    <row r="48" spans="2:16" ht="12.5">
      <c r="B48" s="7" t="str">
        <f t="shared" si="4"/>
        <v/>
      </c>
      <c r="C48" s="50">
        <f>IF(D11="","-",+C47+1)</f>
        <v>2039</v>
      </c>
      <c r="D48" s="55">
        <v>0</v>
      </c>
      <c r="E48" s="56">
        <f>IF(+I14&lt;F47,I14,D48)</f>
        <v>0</v>
      </c>
      <c r="F48" s="55">
        <f t="shared" si="5"/>
        <v>0</v>
      </c>
      <c r="G48" s="57">
        <f t="shared" si="6"/>
        <v>0</v>
      </c>
      <c r="H48" s="41">
        <f t="shared" si="7"/>
        <v>0</v>
      </c>
      <c r="I48" s="52">
        <f t="shared" si="0"/>
        <v>0</v>
      </c>
      <c r="J48" s="52"/>
      <c r="K48" s="129"/>
      <c r="L48" s="54">
        <f t="shared" si="1"/>
        <v>0</v>
      </c>
      <c r="M48" s="129"/>
      <c r="N48" s="54">
        <f t="shared" si="2"/>
        <v>0</v>
      </c>
      <c r="O48" s="54">
        <f t="shared" si="3"/>
        <v>0</v>
      </c>
      <c r="P48" s="1"/>
    </row>
    <row r="49" spans="2:17" ht="12.5">
      <c r="B49" s="7" t="str">
        <f t="shared" si="4"/>
        <v/>
      </c>
      <c r="C49" s="50">
        <f>IF(D11="","-",+C48+1)</f>
        <v>2040</v>
      </c>
      <c r="D49" s="55">
        <v>0</v>
      </c>
      <c r="E49" s="56">
        <f>IF(+I14&lt;F48,I14,D49)</f>
        <v>0</v>
      </c>
      <c r="F49" s="55">
        <f t="shared" ref="F49:F72" si="8">+D49-E49</f>
        <v>0</v>
      </c>
      <c r="G49" s="57">
        <f t="shared" si="6"/>
        <v>0</v>
      </c>
      <c r="H49" s="41">
        <f t="shared" si="7"/>
        <v>0</v>
      </c>
      <c r="I49" s="52">
        <f t="shared" ref="I49:I72" si="9">H49-G49</f>
        <v>0</v>
      </c>
      <c r="J49" s="52"/>
      <c r="K49" s="129"/>
      <c r="L49" s="54">
        <f t="shared" ref="L49:L72" si="10">IF(K49&lt;&gt;0,+G49-K49,0)</f>
        <v>0</v>
      </c>
      <c r="M49" s="129"/>
      <c r="N49" s="54">
        <f t="shared" ref="N49:N72" si="11">IF(M49&lt;&gt;0,+H49-M49,0)</f>
        <v>0</v>
      </c>
      <c r="O49" s="54">
        <f t="shared" ref="O49:O72" si="12">+N49-L49</f>
        <v>0</v>
      </c>
      <c r="P49" s="1"/>
    </row>
    <row r="50" spans="2:17" ht="12.5">
      <c r="B50" s="7" t="str">
        <f t="shared" si="4"/>
        <v/>
      </c>
      <c r="C50" s="50">
        <f>IF(D11="","-",+C49+1)</f>
        <v>2041</v>
      </c>
      <c r="D50" s="55">
        <v>0</v>
      </c>
      <c r="E50" s="56">
        <f>IF(+I14&lt;F49,I14,D50)</f>
        <v>0</v>
      </c>
      <c r="F50" s="55">
        <f t="shared" si="8"/>
        <v>0</v>
      </c>
      <c r="G50" s="57">
        <f t="shared" si="6"/>
        <v>0</v>
      </c>
      <c r="H50" s="41">
        <f t="shared" si="7"/>
        <v>0</v>
      </c>
      <c r="I50" s="52">
        <f t="shared" si="9"/>
        <v>0</v>
      </c>
      <c r="J50" s="52"/>
      <c r="K50" s="129"/>
      <c r="L50" s="54">
        <f t="shared" si="10"/>
        <v>0</v>
      </c>
      <c r="M50" s="129"/>
      <c r="N50" s="54">
        <f t="shared" si="11"/>
        <v>0</v>
      </c>
      <c r="O50" s="54">
        <f t="shared" si="12"/>
        <v>0</v>
      </c>
      <c r="P50" s="1"/>
    </row>
    <row r="51" spans="2:17" ht="12.5">
      <c r="B51" s="7" t="str">
        <f t="shared" si="4"/>
        <v/>
      </c>
      <c r="C51" s="50">
        <f>IF(D11="","-",+C50+1)</f>
        <v>2042</v>
      </c>
      <c r="D51" s="55">
        <v>0</v>
      </c>
      <c r="E51" s="56">
        <f>IF(+I14&lt;F50,I14,D51)</f>
        <v>0</v>
      </c>
      <c r="F51" s="55">
        <f t="shared" si="8"/>
        <v>0</v>
      </c>
      <c r="G51" s="57">
        <f t="shared" si="6"/>
        <v>0</v>
      </c>
      <c r="H51" s="41">
        <f t="shared" si="7"/>
        <v>0</v>
      </c>
      <c r="I51" s="52">
        <f t="shared" si="9"/>
        <v>0</v>
      </c>
      <c r="J51" s="52"/>
      <c r="K51" s="129"/>
      <c r="L51" s="54">
        <f t="shared" si="10"/>
        <v>0</v>
      </c>
      <c r="M51" s="129"/>
      <c r="N51" s="54">
        <f t="shared" si="11"/>
        <v>0</v>
      </c>
      <c r="O51" s="54">
        <f t="shared" si="12"/>
        <v>0</v>
      </c>
      <c r="P51" s="1"/>
    </row>
    <row r="52" spans="2:17" ht="12.5">
      <c r="B52" s="7" t="str">
        <f t="shared" si="4"/>
        <v/>
      </c>
      <c r="C52" s="50">
        <f>IF(D11="","-",+C51+1)</f>
        <v>2043</v>
      </c>
      <c r="D52" s="55">
        <v>0</v>
      </c>
      <c r="E52" s="56">
        <f>IF(+I14&lt;F51,I14,D52)</f>
        <v>0</v>
      </c>
      <c r="F52" s="55">
        <f t="shared" si="8"/>
        <v>0</v>
      </c>
      <c r="G52" s="57">
        <f t="shared" si="6"/>
        <v>0</v>
      </c>
      <c r="H52" s="41">
        <f t="shared" si="7"/>
        <v>0</v>
      </c>
      <c r="I52" s="52">
        <f t="shared" si="9"/>
        <v>0</v>
      </c>
      <c r="J52" s="52"/>
      <c r="K52" s="129"/>
      <c r="L52" s="54">
        <f t="shared" si="10"/>
        <v>0</v>
      </c>
      <c r="M52" s="129"/>
      <c r="N52" s="54">
        <f t="shared" si="11"/>
        <v>0</v>
      </c>
      <c r="O52" s="54">
        <f t="shared" si="12"/>
        <v>0</v>
      </c>
      <c r="P52" s="1"/>
    </row>
    <row r="53" spans="2:17" ht="12.5">
      <c r="B53" s="7" t="str">
        <f t="shared" si="4"/>
        <v/>
      </c>
      <c r="C53" s="50">
        <f>IF(D11="","-",+C52+1)</f>
        <v>2044</v>
      </c>
      <c r="D53" s="55">
        <v>0</v>
      </c>
      <c r="E53" s="56">
        <f>IF(+I14&lt;F52,I14,D53)</f>
        <v>0</v>
      </c>
      <c r="F53" s="55">
        <f t="shared" si="8"/>
        <v>0</v>
      </c>
      <c r="G53" s="57">
        <f t="shared" si="6"/>
        <v>0</v>
      </c>
      <c r="H53" s="41">
        <f t="shared" si="7"/>
        <v>0</v>
      </c>
      <c r="I53" s="52">
        <f t="shared" si="9"/>
        <v>0</v>
      </c>
      <c r="J53" s="52"/>
      <c r="K53" s="129"/>
      <c r="L53" s="54">
        <f t="shared" si="10"/>
        <v>0</v>
      </c>
      <c r="M53" s="129"/>
      <c r="N53" s="54">
        <f t="shared" si="11"/>
        <v>0</v>
      </c>
      <c r="O53" s="54">
        <f t="shared" si="12"/>
        <v>0</v>
      </c>
      <c r="P53" s="1"/>
    </row>
    <row r="54" spans="2:17" ht="12.5">
      <c r="B54" s="7" t="str">
        <f t="shared" si="4"/>
        <v/>
      </c>
      <c r="C54" s="50">
        <f>IF(D11="","-",+C53+1)</f>
        <v>2045</v>
      </c>
      <c r="D54" s="55">
        <v>0</v>
      </c>
      <c r="E54" s="56">
        <f>IF(+I14&lt;F53,I14,D54)</f>
        <v>0</v>
      </c>
      <c r="F54" s="55">
        <f t="shared" si="8"/>
        <v>0</v>
      </c>
      <c r="G54" s="57">
        <f t="shared" ref="G54:G72" si="13">+I$12*((D54+F54)/2)+E54</f>
        <v>0</v>
      </c>
      <c r="H54" s="41">
        <f t="shared" ref="H54:H72" si="14">+I$13*((D54+F54)/2)+E54</f>
        <v>0</v>
      </c>
      <c r="I54" s="52">
        <f t="shared" si="9"/>
        <v>0</v>
      </c>
      <c r="J54" s="52"/>
      <c r="K54" s="129"/>
      <c r="L54" s="54">
        <f t="shared" si="10"/>
        <v>0</v>
      </c>
      <c r="M54" s="129"/>
      <c r="N54" s="54">
        <f t="shared" si="11"/>
        <v>0</v>
      </c>
      <c r="O54" s="54">
        <f t="shared" si="12"/>
        <v>0</v>
      </c>
      <c r="P54" s="1"/>
    </row>
    <row r="55" spans="2:17" ht="12.5">
      <c r="B55" s="7" t="str">
        <f t="shared" si="4"/>
        <v/>
      </c>
      <c r="C55" s="50">
        <f>IF(D11="","-",+C54+1)</f>
        <v>2046</v>
      </c>
      <c r="D55" s="55">
        <v>0</v>
      </c>
      <c r="E55" s="56">
        <f>IF(+I14&lt;F54,I14,D55)</f>
        <v>0</v>
      </c>
      <c r="F55" s="55">
        <f t="shared" si="8"/>
        <v>0</v>
      </c>
      <c r="G55" s="57">
        <f t="shared" si="13"/>
        <v>0</v>
      </c>
      <c r="H55" s="41">
        <f t="shared" si="14"/>
        <v>0</v>
      </c>
      <c r="I55" s="52">
        <f t="shared" si="9"/>
        <v>0</v>
      </c>
      <c r="J55" s="52"/>
      <c r="K55" s="129"/>
      <c r="L55" s="54">
        <f t="shared" si="10"/>
        <v>0</v>
      </c>
      <c r="M55" s="129"/>
      <c r="N55" s="54">
        <f t="shared" si="11"/>
        <v>0</v>
      </c>
      <c r="O55" s="54">
        <f t="shared" si="12"/>
        <v>0</v>
      </c>
      <c r="P55" s="1"/>
    </row>
    <row r="56" spans="2:17" ht="12.5">
      <c r="B56" s="7" t="str">
        <f t="shared" si="4"/>
        <v/>
      </c>
      <c r="C56" s="50">
        <f>IF(D11="","-",+C55+1)</f>
        <v>2047</v>
      </c>
      <c r="D56" s="55">
        <v>0</v>
      </c>
      <c r="E56" s="56">
        <f>IF(+I14&lt;F55,I14,D56)</f>
        <v>0</v>
      </c>
      <c r="F56" s="55">
        <f t="shared" si="8"/>
        <v>0</v>
      </c>
      <c r="G56" s="57">
        <f t="shared" si="13"/>
        <v>0</v>
      </c>
      <c r="H56" s="41">
        <f t="shared" si="14"/>
        <v>0</v>
      </c>
      <c r="I56" s="52">
        <f t="shared" si="9"/>
        <v>0</v>
      </c>
      <c r="J56" s="52"/>
      <c r="K56" s="129"/>
      <c r="L56" s="54">
        <f t="shared" si="10"/>
        <v>0</v>
      </c>
      <c r="M56" s="129"/>
      <c r="N56" s="54">
        <f t="shared" si="11"/>
        <v>0</v>
      </c>
      <c r="O56" s="54">
        <f t="shared" si="12"/>
        <v>0</v>
      </c>
      <c r="P56" s="1"/>
    </row>
    <row r="57" spans="2:17" ht="12.5">
      <c r="B57" s="7" t="str">
        <f t="shared" si="4"/>
        <v/>
      </c>
      <c r="C57" s="50">
        <f>IF(D11="","-",+C56+1)</f>
        <v>2048</v>
      </c>
      <c r="D57" s="55">
        <v>0</v>
      </c>
      <c r="E57" s="56">
        <f>IF(+I14&lt;F56,I14,D57)</f>
        <v>0</v>
      </c>
      <c r="F57" s="55">
        <f t="shared" si="8"/>
        <v>0</v>
      </c>
      <c r="G57" s="57">
        <f t="shared" si="13"/>
        <v>0</v>
      </c>
      <c r="H57" s="41">
        <f t="shared" si="14"/>
        <v>0</v>
      </c>
      <c r="I57" s="52">
        <f t="shared" si="9"/>
        <v>0</v>
      </c>
      <c r="J57" s="52"/>
      <c r="K57" s="129"/>
      <c r="L57" s="54">
        <f t="shared" si="10"/>
        <v>0</v>
      </c>
      <c r="M57" s="129"/>
      <c r="N57" s="54">
        <f t="shared" si="11"/>
        <v>0</v>
      </c>
      <c r="O57" s="54">
        <f t="shared" si="12"/>
        <v>0</v>
      </c>
      <c r="P57" s="1"/>
    </row>
    <row r="58" spans="2:17" ht="12.5">
      <c r="B58" s="7" t="str">
        <f t="shared" si="4"/>
        <v/>
      </c>
      <c r="C58" s="50">
        <f>IF(D11="","-",+C57+1)</f>
        <v>2049</v>
      </c>
      <c r="D58" s="55">
        <v>0</v>
      </c>
      <c r="E58" s="56">
        <f>IF(+I14&lt;F57,I14,D58)</f>
        <v>0</v>
      </c>
      <c r="F58" s="55">
        <f t="shared" si="8"/>
        <v>0</v>
      </c>
      <c r="G58" s="57">
        <f t="shared" si="13"/>
        <v>0</v>
      </c>
      <c r="H58" s="41">
        <f t="shared" si="14"/>
        <v>0</v>
      </c>
      <c r="I58" s="52">
        <f t="shared" si="9"/>
        <v>0</v>
      </c>
      <c r="J58" s="52"/>
      <c r="K58" s="129"/>
      <c r="L58" s="54">
        <f t="shared" si="10"/>
        <v>0</v>
      </c>
      <c r="M58" s="129"/>
      <c r="N58" s="54">
        <f t="shared" si="11"/>
        <v>0</v>
      </c>
      <c r="O58" s="54">
        <f t="shared" si="12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4"/>
        <v/>
      </c>
      <c r="C59" s="50">
        <f>IF(D11="","-",+C58+1)</f>
        <v>2050</v>
      </c>
      <c r="D59" s="55">
        <v>0</v>
      </c>
      <c r="E59" s="56">
        <f>IF(+I14&lt;F58,I14,D59)</f>
        <v>0</v>
      </c>
      <c r="F59" s="55">
        <f t="shared" si="8"/>
        <v>0</v>
      </c>
      <c r="G59" s="57">
        <f t="shared" si="13"/>
        <v>0</v>
      </c>
      <c r="H59" s="41">
        <f t="shared" si="14"/>
        <v>0</v>
      </c>
      <c r="I59" s="52">
        <f t="shared" si="9"/>
        <v>0</v>
      </c>
      <c r="J59" s="52"/>
      <c r="K59" s="129"/>
      <c r="L59" s="54">
        <f t="shared" si="10"/>
        <v>0</v>
      </c>
      <c r="M59" s="129"/>
      <c r="N59" s="54">
        <f t="shared" si="11"/>
        <v>0</v>
      </c>
      <c r="O59" s="54">
        <f t="shared" si="12"/>
        <v>0</v>
      </c>
      <c r="P59" s="1"/>
    </row>
    <row r="60" spans="2:17" ht="12.5">
      <c r="B60" s="7" t="str">
        <f t="shared" si="4"/>
        <v/>
      </c>
      <c r="C60" s="50">
        <f>IF(D11="","-",+C59+1)</f>
        <v>2051</v>
      </c>
      <c r="D60" s="55">
        <v>0</v>
      </c>
      <c r="E60" s="56">
        <f>IF(+I14&lt;F59,I14,D60)</f>
        <v>0</v>
      </c>
      <c r="F60" s="55">
        <f t="shared" si="8"/>
        <v>0</v>
      </c>
      <c r="G60" s="57">
        <f t="shared" si="13"/>
        <v>0</v>
      </c>
      <c r="H60" s="41">
        <f t="shared" si="14"/>
        <v>0</v>
      </c>
      <c r="I60" s="52">
        <f t="shared" si="9"/>
        <v>0</v>
      </c>
      <c r="J60" s="52"/>
      <c r="K60" s="129"/>
      <c r="L60" s="54">
        <f t="shared" si="10"/>
        <v>0</v>
      </c>
      <c r="M60" s="129"/>
      <c r="N60" s="54">
        <f t="shared" si="11"/>
        <v>0</v>
      </c>
      <c r="O60" s="54">
        <f t="shared" si="12"/>
        <v>0</v>
      </c>
      <c r="P60" s="1"/>
    </row>
    <row r="61" spans="2:17" ht="12.5">
      <c r="B61" s="7" t="str">
        <f t="shared" si="4"/>
        <v/>
      </c>
      <c r="C61" s="50">
        <f>IF(D11="","-",+C60+1)</f>
        <v>2052</v>
      </c>
      <c r="D61" s="55">
        <v>0</v>
      </c>
      <c r="E61" s="56">
        <f>IF(+I14&lt;F60,I14,D61)</f>
        <v>0</v>
      </c>
      <c r="F61" s="55">
        <f t="shared" si="8"/>
        <v>0</v>
      </c>
      <c r="G61" s="58">
        <f t="shared" si="13"/>
        <v>0</v>
      </c>
      <c r="H61" s="41">
        <f t="shared" si="14"/>
        <v>0</v>
      </c>
      <c r="I61" s="52">
        <f t="shared" si="9"/>
        <v>0</v>
      </c>
      <c r="J61" s="52"/>
      <c r="K61" s="129"/>
      <c r="L61" s="54">
        <f t="shared" si="10"/>
        <v>0</v>
      </c>
      <c r="M61" s="129"/>
      <c r="N61" s="54">
        <f t="shared" si="11"/>
        <v>0</v>
      </c>
      <c r="O61" s="54">
        <f t="shared" si="12"/>
        <v>0</v>
      </c>
      <c r="P61" s="1"/>
    </row>
    <row r="62" spans="2:17" ht="12.5">
      <c r="B62" s="7" t="str">
        <f t="shared" si="4"/>
        <v/>
      </c>
      <c r="C62" s="50">
        <f>IF(D11="","-",+C61+1)</f>
        <v>2053</v>
      </c>
      <c r="D62" s="55">
        <v>0</v>
      </c>
      <c r="E62" s="56">
        <f>IF(+I14&lt;F61,I14,D62)</f>
        <v>0</v>
      </c>
      <c r="F62" s="55">
        <f t="shared" si="8"/>
        <v>0</v>
      </c>
      <c r="G62" s="58">
        <f t="shared" si="13"/>
        <v>0</v>
      </c>
      <c r="H62" s="41">
        <f t="shared" si="14"/>
        <v>0</v>
      </c>
      <c r="I62" s="52">
        <f t="shared" si="9"/>
        <v>0</v>
      </c>
      <c r="J62" s="52"/>
      <c r="K62" s="129"/>
      <c r="L62" s="54">
        <f t="shared" si="10"/>
        <v>0</v>
      </c>
      <c r="M62" s="129"/>
      <c r="N62" s="54">
        <f t="shared" si="11"/>
        <v>0</v>
      </c>
      <c r="O62" s="54">
        <f t="shared" si="12"/>
        <v>0</v>
      </c>
      <c r="P62" s="1"/>
    </row>
    <row r="63" spans="2:17" ht="12.5">
      <c r="B63" s="7" t="str">
        <f t="shared" si="4"/>
        <v/>
      </c>
      <c r="C63" s="50">
        <f>IF(D11="","-",+C62+1)</f>
        <v>2054</v>
      </c>
      <c r="D63" s="55">
        <v>0</v>
      </c>
      <c r="E63" s="56">
        <f>IF(+I14&lt;F62,I14,D63)</f>
        <v>0</v>
      </c>
      <c r="F63" s="55">
        <f t="shared" si="8"/>
        <v>0</v>
      </c>
      <c r="G63" s="58">
        <f t="shared" si="13"/>
        <v>0</v>
      </c>
      <c r="H63" s="41">
        <f t="shared" si="14"/>
        <v>0</v>
      </c>
      <c r="I63" s="52">
        <f t="shared" si="9"/>
        <v>0</v>
      </c>
      <c r="J63" s="52"/>
      <c r="K63" s="129"/>
      <c r="L63" s="54">
        <f t="shared" si="10"/>
        <v>0</v>
      </c>
      <c r="M63" s="129"/>
      <c r="N63" s="54">
        <f t="shared" si="11"/>
        <v>0</v>
      </c>
      <c r="O63" s="54">
        <f t="shared" si="12"/>
        <v>0</v>
      </c>
      <c r="P63" s="1"/>
    </row>
    <row r="64" spans="2:17" ht="12.5">
      <c r="B64" s="7" t="str">
        <f t="shared" si="4"/>
        <v/>
      </c>
      <c r="C64" s="50">
        <f>IF(D11="","-",+C63+1)</f>
        <v>2055</v>
      </c>
      <c r="D64" s="55">
        <v>0</v>
      </c>
      <c r="E64" s="56">
        <f>IF(+I14&lt;F63,I14,D64)</f>
        <v>0</v>
      </c>
      <c r="F64" s="55">
        <f t="shared" si="8"/>
        <v>0</v>
      </c>
      <c r="G64" s="58">
        <f t="shared" si="13"/>
        <v>0</v>
      </c>
      <c r="H64" s="41">
        <f t="shared" si="14"/>
        <v>0</v>
      </c>
      <c r="I64" s="52">
        <f t="shared" si="9"/>
        <v>0</v>
      </c>
      <c r="J64" s="52"/>
      <c r="K64" s="129"/>
      <c r="L64" s="54">
        <f t="shared" si="10"/>
        <v>0</v>
      </c>
      <c r="M64" s="129"/>
      <c r="N64" s="54">
        <f t="shared" si="11"/>
        <v>0</v>
      </c>
      <c r="O64" s="54">
        <f t="shared" si="12"/>
        <v>0</v>
      </c>
      <c r="P64" s="1"/>
    </row>
    <row r="65" spans="1:16" ht="12.5">
      <c r="B65" s="7" t="str">
        <f t="shared" si="4"/>
        <v/>
      </c>
      <c r="C65" s="50">
        <f>IF(D11="","-",+C64+1)</f>
        <v>2056</v>
      </c>
      <c r="D65" s="55">
        <v>0</v>
      </c>
      <c r="E65" s="56">
        <f>IF(+I14&lt;F64,I14,D65)</f>
        <v>0</v>
      </c>
      <c r="F65" s="55">
        <f t="shared" si="8"/>
        <v>0</v>
      </c>
      <c r="G65" s="58">
        <f t="shared" si="13"/>
        <v>0</v>
      </c>
      <c r="H65" s="41">
        <f t="shared" si="14"/>
        <v>0</v>
      </c>
      <c r="I65" s="52">
        <f t="shared" si="9"/>
        <v>0</v>
      </c>
      <c r="J65" s="52"/>
      <c r="K65" s="129"/>
      <c r="L65" s="54">
        <f t="shared" si="10"/>
        <v>0</v>
      </c>
      <c r="M65" s="129"/>
      <c r="N65" s="54">
        <f t="shared" si="11"/>
        <v>0</v>
      </c>
      <c r="O65" s="54">
        <f t="shared" si="12"/>
        <v>0</v>
      </c>
      <c r="P65" s="1"/>
    </row>
    <row r="66" spans="1:16" ht="12.5">
      <c r="B66" s="7" t="str">
        <f t="shared" si="4"/>
        <v/>
      </c>
      <c r="C66" s="50">
        <f>IF(D11="","-",+C65+1)</f>
        <v>2057</v>
      </c>
      <c r="D66" s="55">
        <v>0</v>
      </c>
      <c r="E66" s="56">
        <f>IF(+I14&lt;F65,I14,D66)</f>
        <v>0</v>
      </c>
      <c r="F66" s="55">
        <f t="shared" si="8"/>
        <v>0</v>
      </c>
      <c r="G66" s="58">
        <f t="shared" si="13"/>
        <v>0</v>
      </c>
      <c r="H66" s="41">
        <f t="shared" si="14"/>
        <v>0</v>
      </c>
      <c r="I66" s="52">
        <f t="shared" si="9"/>
        <v>0</v>
      </c>
      <c r="J66" s="52"/>
      <c r="K66" s="129"/>
      <c r="L66" s="54">
        <f t="shared" si="10"/>
        <v>0</v>
      </c>
      <c r="M66" s="129"/>
      <c r="N66" s="54">
        <f t="shared" si="11"/>
        <v>0</v>
      </c>
      <c r="O66" s="54">
        <f t="shared" si="12"/>
        <v>0</v>
      </c>
      <c r="P66" s="1"/>
    </row>
    <row r="67" spans="1:16" ht="12.5">
      <c r="B67" s="7" t="str">
        <f t="shared" si="4"/>
        <v/>
      </c>
      <c r="C67" s="50">
        <f>IF(D11="","-",+C66+1)</f>
        <v>2058</v>
      </c>
      <c r="D67" s="55">
        <v>0</v>
      </c>
      <c r="E67" s="56">
        <f>IF(+I14&lt;F66,I14,D67)</f>
        <v>0</v>
      </c>
      <c r="F67" s="55">
        <f t="shared" si="8"/>
        <v>0</v>
      </c>
      <c r="G67" s="58">
        <f t="shared" si="13"/>
        <v>0</v>
      </c>
      <c r="H67" s="41">
        <f t="shared" si="14"/>
        <v>0</v>
      </c>
      <c r="I67" s="52">
        <f t="shared" si="9"/>
        <v>0</v>
      </c>
      <c r="J67" s="52"/>
      <c r="K67" s="129"/>
      <c r="L67" s="54">
        <f t="shared" si="10"/>
        <v>0</v>
      </c>
      <c r="M67" s="129"/>
      <c r="N67" s="54">
        <f t="shared" si="11"/>
        <v>0</v>
      </c>
      <c r="O67" s="54">
        <f t="shared" si="12"/>
        <v>0</v>
      </c>
      <c r="P67" s="1"/>
    </row>
    <row r="68" spans="1:16" ht="12.5">
      <c r="B68" s="7" t="str">
        <f t="shared" si="4"/>
        <v/>
      </c>
      <c r="C68" s="50">
        <f>IF(D11="","-",+C67+1)</f>
        <v>2059</v>
      </c>
      <c r="D68" s="55">
        <v>0</v>
      </c>
      <c r="E68" s="56">
        <f>IF(+I14&lt;F67,I14,D68)</f>
        <v>0</v>
      </c>
      <c r="F68" s="55">
        <f t="shared" si="8"/>
        <v>0</v>
      </c>
      <c r="G68" s="58">
        <f t="shared" si="13"/>
        <v>0</v>
      </c>
      <c r="H68" s="41">
        <f t="shared" si="14"/>
        <v>0</v>
      </c>
      <c r="I68" s="52">
        <f t="shared" si="9"/>
        <v>0</v>
      </c>
      <c r="J68" s="52"/>
      <c r="K68" s="129"/>
      <c r="L68" s="54">
        <f t="shared" si="10"/>
        <v>0</v>
      </c>
      <c r="M68" s="129"/>
      <c r="N68" s="54">
        <f t="shared" si="11"/>
        <v>0</v>
      </c>
      <c r="O68" s="54">
        <f t="shared" si="12"/>
        <v>0</v>
      </c>
      <c r="P68" s="1"/>
    </row>
    <row r="69" spans="1:16" ht="12.5">
      <c r="B69" s="7" t="str">
        <f t="shared" si="4"/>
        <v/>
      </c>
      <c r="C69" s="50">
        <f>IF(D11="","-",+C68+1)</f>
        <v>2060</v>
      </c>
      <c r="D69" s="55">
        <v>0</v>
      </c>
      <c r="E69" s="56">
        <f>IF(+I14&lt;F68,I14,D69)</f>
        <v>0</v>
      </c>
      <c r="F69" s="55">
        <f t="shared" si="8"/>
        <v>0</v>
      </c>
      <c r="G69" s="58">
        <f t="shared" si="13"/>
        <v>0</v>
      </c>
      <c r="H69" s="41">
        <f t="shared" si="14"/>
        <v>0</v>
      </c>
      <c r="I69" s="52">
        <f t="shared" si="9"/>
        <v>0</v>
      </c>
      <c r="J69" s="52"/>
      <c r="K69" s="129"/>
      <c r="L69" s="54">
        <f t="shared" si="10"/>
        <v>0</v>
      </c>
      <c r="M69" s="129"/>
      <c r="N69" s="54">
        <f t="shared" si="11"/>
        <v>0</v>
      </c>
      <c r="O69" s="54">
        <f t="shared" si="12"/>
        <v>0</v>
      </c>
      <c r="P69" s="1"/>
    </row>
    <row r="70" spans="1:16" ht="12.5">
      <c r="B70" s="7" t="str">
        <f t="shared" si="4"/>
        <v/>
      </c>
      <c r="C70" s="50">
        <f>IF(D11="","-",+C69+1)</f>
        <v>2061</v>
      </c>
      <c r="D70" s="55">
        <v>0</v>
      </c>
      <c r="E70" s="56">
        <f>IF(+I14&lt;F69,I14,D70)</f>
        <v>0</v>
      </c>
      <c r="F70" s="55">
        <f t="shared" si="8"/>
        <v>0</v>
      </c>
      <c r="G70" s="58">
        <f t="shared" si="13"/>
        <v>0</v>
      </c>
      <c r="H70" s="41">
        <f t="shared" si="14"/>
        <v>0</v>
      </c>
      <c r="I70" s="52">
        <f t="shared" si="9"/>
        <v>0</v>
      </c>
      <c r="J70" s="52"/>
      <c r="K70" s="129"/>
      <c r="L70" s="54">
        <f t="shared" si="10"/>
        <v>0</v>
      </c>
      <c r="M70" s="129"/>
      <c r="N70" s="54">
        <f t="shared" si="11"/>
        <v>0</v>
      </c>
      <c r="O70" s="54">
        <f t="shared" si="12"/>
        <v>0</v>
      </c>
      <c r="P70" s="1"/>
    </row>
    <row r="71" spans="1:16" ht="12.5">
      <c r="B71" s="7" t="str">
        <f t="shared" si="4"/>
        <v/>
      </c>
      <c r="C71" s="50">
        <f>IF(D11="","-",+C70+1)</f>
        <v>2062</v>
      </c>
      <c r="D71" s="55">
        <v>0</v>
      </c>
      <c r="E71" s="56">
        <f>IF(+I14&lt;F70,I14,D71)</f>
        <v>0</v>
      </c>
      <c r="F71" s="55">
        <f t="shared" si="8"/>
        <v>0</v>
      </c>
      <c r="G71" s="58">
        <f t="shared" si="13"/>
        <v>0</v>
      </c>
      <c r="H71" s="41">
        <f t="shared" si="14"/>
        <v>0</v>
      </c>
      <c r="I71" s="52">
        <f t="shared" si="9"/>
        <v>0</v>
      </c>
      <c r="J71" s="52"/>
      <c r="K71" s="129"/>
      <c r="L71" s="54">
        <f t="shared" si="10"/>
        <v>0</v>
      </c>
      <c r="M71" s="129"/>
      <c r="N71" s="54">
        <f t="shared" si="11"/>
        <v>0</v>
      </c>
      <c r="O71" s="54">
        <f t="shared" si="12"/>
        <v>0</v>
      </c>
      <c r="P71" s="1"/>
    </row>
    <row r="72" spans="1:16" ht="13" thickBot="1">
      <c r="B72" s="7" t="str">
        <f t="shared" si="4"/>
        <v/>
      </c>
      <c r="C72" s="59">
        <f>IF(D11="","-",+C71+1)</f>
        <v>2063</v>
      </c>
      <c r="D72" s="60">
        <v>0</v>
      </c>
      <c r="E72" s="61">
        <f>IF(+I14&lt;F71,I14,D72)</f>
        <v>0</v>
      </c>
      <c r="F72" s="60">
        <f t="shared" si="8"/>
        <v>0</v>
      </c>
      <c r="G72" s="62">
        <f t="shared" si="13"/>
        <v>0</v>
      </c>
      <c r="H72" s="28">
        <f t="shared" si="14"/>
        <v>0</v>
      </c>
      <c r="I72" s="63">
        <f t="shared" si="9"/>
        <v>0</v>
      </c>
      <c r="J72" s="52"/>
      <c r="K72" s="130"/>
      <c r="L72" s="64">
        <f t="shared" si="10"/>
        <v>0</v>
      </c>
      <c r="M72" s="130"/>
      <c r="N72" s="64">
        <f t="shared" si="11"/>
        <v>0</v>
      </c>
      <c r="O72" s="64">
        <f t="shared" si="12"/>
        <v>0</v>
      </c>
      <c r="P72" s="1"/>
    </row>
    <row r="73" spans="1:16" ht="12.5">
      <c r="C73" s="12" t="s">
        <v>78</v>
      </c>
      <c r="D73" s="15"/>
      <c r="E73" s="15"/>
      <c r="F73" s="15"/>
      <c r="G73" s="15"/>
      <c r="H73" s="15"/>
      <c r="I73" s="15">
        <f>SUM(I17:I72)</f>
        <v>0</v>
      </c>
      <c r="J73" s="15"/>
      <c r="K73" s="15"/>
      <c r="L73" s="15"/>
      <c r="M73" s="15"/>
      <c r="N73" s="15"/>
      <c r="O73" s="1"/>
      <c r="P73" s="1"/>
    </row>
    <row r="74" spans="1:16" ht="12.5">
      <c r="D74" s="2"/>
      <c r="E74" s="1"/>
      <c r="F74" s="1"/>
      <c r="G74" s="1"/>
      <c r="H74" s="3"/>
      <c r="I74" s="3"/>
      <c r="J74" s="15"/>
      <c r="K74" s="3"/>
      <c r="L74" s="3"/>
      <c r="M74" s="3"/>
      <c r="N74" s="3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3"/>
      <c r="I75" s="3"/>
      <c r="J75" s="15"/>
      <c r="K75" s="3"/>
      <c r="L75" s="3"/>
      <c r="M75" s="3"/>
      <c r="N75" s="3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3"/>
      <c r="I76" s="3"/>
      <c r="J76" s="15"/>
      <c r="K76" s="3"/>
      <c r="L76" s="3"/>
      <c r="M76" s="3"/>
      <c r="N76" s="3"/>
      <c r="O76" s="1"/>
      <c r="P76" s="1"/>
    </row>
    <row r="77" spans="1:16" ht="17.5">
      <c r="C77" s="25" t="s">
        <v>80</v>
      </c>
      <c r="D77" s="12"/>
      <c r="E77" s="12"/>
      <c r="F77" s="12"/>
      <c r="G77" s="15"/>
      <c r="H77" s="15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15"/>
      <c r="H78" s="15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3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3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3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3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3"/>
      <c r="L83" s="14"/>
      <c r="M83" s="14"/>
      <c r="P83" s="14" t="str">
        <f ca="1">P1</f>
        <v>SWEPCO Project 20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3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3"/>
      <c r="J85" s="3"/>
      <c r="K85" s="15"/>
      <c r="L85" s="3"/>
      <c r="M85" s="3"/>
      <c r="N85" s="3"/>
      <c r="O85" s="15"/>
      <c r="P85" s="1"/>
      <c r="Q85" s="1"/>
    </row>
    <row r="86" spans="1:17" ht="16" thickBot="1">
      <c r="C86" s="9"/>
      <c r="D86" s="2"/>
      <c r="E86" s="1"/>
      <c r="F86" s="1"/>
      <c r="G86" s="1"/>
      <c r="H86" s="1"/>
      <c r="I86" s="3"/>
      <c r="J86" s="3"/>
      <c r="K86" s="15"/>
      <c r="L86" s="120">
        <f>+J92</f>
        <v>2024</v>
      </c>
      <c r="M86" s="121" t="s">
        <v>9</v>
      </c>
      <c r="N86" s="125" t="s">
        <v>159</v>
      </c>
      <c r="O86" s="122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17"/>
      <c r="I87" s="1" t="s">
        <v>47</v>
      </c>
      <c r="J87" s="1"/>
      <c r="K87" s="116"/>
      <c r="L87" s="114" t="s">
        <v>394</v>
      </c>
      <c r="M87" s="68">
        <v>0</v>
      </c>
      <c r="N87" s="68">
        <v>0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21"/>
      <c r="J88" s="21"/>
      <c r="K88" s="118"/>
      <c r="L88" s="119" t="s">
        <v>395</v>
      </c>
      <c r="M88" s="70">
        <f>IF(J92&lt;D11,0,VLOOKUP(J92,C99:P154,6))</f>
        <v>0</v>
      </c>
      <c r="N88" s="70">
        <f>IF(J92&lt;D11,0,VLOOKUP(J92,C99:P154,7))</f>
        <v>0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27" t="str">
        <f>D7</f>
        <v>[NW Ark Area Improve - 2008]  Elm Springs, East Rogers, Shipe Road Stations</v>
      </c>
      <c r="E89" s="1"/>
      <c r="F89" s="1"/>
      <c r="G89" s="1"/>
      <c r="H89" s="1"/>
      <c r="I89" s="3"/>
      <c r="J89" s="3"/>
      <c r="K89" s="117"/>
      <c r="L89" s="115" t="s">
        <v>156</v>
      </c>
      <c r="M89" s="73">
        <f>+M88-M87</f>
        <v>0</v>
      </c>
      <c r="N89" s="73">
        <f>+N88-N87</f>
        <v>0</v>
      </c>
      <c r="O89" s="74">
        <f>+O88-O87</f>
        <v>0</v>
      </c>
      <c r="P89" s="1"/>
      <c r="Q89" s="1"/>
    </row>
    <row r="90" spans="1:17" ht="13.5" thickBot="1">
      <c r="C90" s="29"/>
      <c r="D90" s="143" t="str">
        <f>D8</f>
        <v>***2008 INVESTMENT NOW INCLUDED IN PROJECT S.003 ABOVE***</v>
      </c>
      <c r="E90" s="12"/>
      <c r="F90" s="12"/>
      <c r="G90" s="12"/>
      <c r="H90" s="11"/>
      <c r="I90" s="3"/>
      <c r="J90" s="3"/>
      <c r="K90" s="15"/>
      <c r="L90" s="3"/>
      <c r="M90" s="3"/>
      <c r="N90" s="3"/>
      <c r="O90" s="15"/>
      <c r="P90" s="1"/>
      <c r="Q90" s="1"/>
    </row>
    <row r="91" spans="1:17" ht="13.5" thickBot="1">
      <c r="C91" s="75" t="s">
        <v>85</v>
      </c>
      <c r="D91" s="91" t="str">
        <f>+D9</f>
        <v>TP2007103</v>
      </c>
      <c r="E91" s="76"/>
      <c r="F91" s="76"/>
      <c r="G91" s="76"/>
      <c r="H91" s="76"/>
      <c r="I91" s="76"/>
      <c r="J91" s="95"/>
      <c r="Q91" s="1"/>
    </row>
    <row r="92" spans="1:17" ht="13">
      <c r="C92" s="34" t="s">
        <v>51</v>
      </c>
      <c r="D92" s="35">
        <f>D10</f>
        <v>0</v>
      </c>
      <c r="E92" s="1" t="s">
        <v>86</v>
      </c>
      <c r="H92" s="2"/>
      <c r="I92" s="2"/>
      <c r="J92" s="36">
        <f>+'SWE.WS.G.BPU.ATRR.True-up'!M16</f>
        <v>2024</v>
      </c>
      <c r="K92" s="33"/>
      <c r="L92" s="15" t="s">
        <v>87</v>
      </c>
      <c r="P92" s="1"/>
      <c r="Q92" s="1"/>
    </row>
    <row r="93" spans="1:17" ht="12.5">
      <c r="C93" s="34" t="s">
        <v>54</v>
      </c>
      <c r="D93" s="88">
        <f>IF(D11=I10,"",D11)</f>
        <v>2008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87">
        <f>IF(D11=I10,"",D12)</f>
        <v>11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15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28">
        <f>IF(D92=0,0,D92/D95)</f>
        <v>0</v>
      </c>
      <c r="K96" s="15"/>
      <c r="L96" s="15"/>
      <c r="M96" s="15"/>
      <c r="N96" s="15"/>
      <c r="O96" s="15"/>
      <c r="P96" s="1"/>
      <c r="Q96" s="1"/>
    </row>
    <row r="97" spans="1:17" ht="39">
      <c r="A97" s="5"/>
      <c r="B97" s="5"/>
      <c r="C97" s="79" t="s">
        <v>51</v>
      </c>
      <c r="D97" s="80" t="s">
        <v>65</v>
      </c>
      <c r="E97" s="45" t="s">
        <v>66</v>
      </c>
      <c r="F97" s="45" t="s">
        <v>67</v>
      </c>
      <c r="G97" s="43" t="s">
        <v>89</v>
      </c>
      <c r="H97" s="157" t="s">
        <v>391</v>
      </c>
      <c r="I97" s="158" t="s">
        <v>392</v>
      </c>
      <c r="J97" s="79" t="s">
        <v>90</v>
      </c>
      <c r="K97" s="81"/>
      <c r="L97" s="126" t="s">
        <v>228</v>
      </c>
      <c r="M97" s="45" t="s">
        <v>91</v>
      </c>
      <c r="N97" s="126" t="s">
        <v>228</v>
      </c>
      <c r="O97" s="45" t="s">
        <v>91</v>
      </c>
      <c r="P97" s="45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155" t="s">
        <v>74</v>
      </c>
      <c r="I98" s="47" t="s">
        <v>75</v>
      </c>
      <c r="J98" s="46" t="s">
        <v>94</v>
      </c>
      <c r="K98" s="44"/>
      <c r="L98" s="48" t="s">
        <v>77</v>
      </c>
      <c r="M98" s="48" t="s">
        <v>77</v>
      </c>
      <c r="N98" s="48" t="s">
        <v>95</v>
      </c>
      <c r="O98" s="48" t="s">
        <v>95</v>
      </c>
      <c r="P98" s="48" t="s">
        <v>95</v>
      </c>
      <c r="Q98" s="1"/>
    </row>
    <row r="99" spans="1:17" ht="12.5">
      <c r="C99" s="50">
        <f>IF(D93= "","-",D93)</f>
        <v>2008</v>
      </c>
      <c r="D99" s="133">
        <v>0</v>
      </c>
      <c r="E99" s="136">
        <v>2625</v>
      </c>
      <c r="F99" s="137">
        <v>1162841</v>
      </c>
      <c r="G99" s="140">
        <v>581421</v>
      </c>
      <c r="H99" s="138">
        <v>95304</v>
      </c>
      <c r="I99" s="139">
        <v>95304</v>
      </c>
      <c r="J99" s="54">
        <f t="shared" ref="J99:J130" si="15">+I99-H99</f>
        <v>0</v>
      </c>
      <c r="K99" s="54"/>
      <c r="L99" s="112">
        <v>95304</v>
      </c>
      <c r="M99" s="53">
        <f t="shared" ref="M99:M130" si="16">IF(L99&lt;&gt;0,+H99-L99,0)</f>
        <v>0</v>
      </c>
      <c r="N99" s="112">
        <v>95304</v>
      </c>
      <c r="O99" s="53">
        <f t="shared" ref="O99:O130" si="17">IF(N99&lt;&gt;0,+I99-N99,0)</f>
        <v>0</v>
      </c>
      <c r="P99" s="53">
        <f t="shared" ref="P99:P130" si="18">+O99-M99</f>
        <v>0</v>
      </c>
      <c r="Q99" s="1"/>
    </row>
    <row r="100" spans="1:17" ht="12.5">
      <c r="B100" s="7" t="str">
        <f>IF(D100=F99,"","IU")</f>
        <v/>
      </c>
      <c r="C100" s="50">
        <f>IF(D93="","-",+C99+1)</f>
        <v>2009</v>
      </c>
      <c r="D100" s="133">
        <v>1162841</v>
      </c>
      <c r="E100" s="136">
        <v>30670.157894736843</v>
      </c>
      <c r="F100" s="137">
        <v>1132170.8421052631</v>
      </c>
      <c r="G100" s="137">
        <v>1147505.9210526315</v>
      </c>
      <c r="H100" s="136">
        <v>196757.48368197863</v>
      </c>
      <c r="I100" s="135">
        <v>196757.48368197863</v>
      </c>
      <c r="J100" s="54">
        <f t="shared" si="15"/>
        <v>0</v>
      </c>
      <c r="K100" s="54"/>
      <c r="L100" s="113">
        <f>H100</f>
        <v>196757.48368197863</v>
      </c>
      <c r="M100" s="54">
        <f t="shared" si="16"/>
        <v>0</v>
      </c>
      <c r="N100" s="113">
        <f>I100</f>
        <v>196757.48368197863</v>
      </c>
      <c r="O100" s="54">
        <f t="shared" si="17"/>
        <v>0</v>
      </c>
      <c r="P100" s="54">
        <f t="shared" si="18"/>
        <v>0</v>
      </c>
      <c r="Q100" s="1"/>
    </row>
    <row r="101" spans="1:17" ht="12.5">
      <c r="B101" s="7" t="str">
        <f t="shared" ref="B101:B154" si="19">IF(D101=F100,"","IU")</f>
        <v>IU</v>
      </c>
      <c r="C101" s="50">
        <f>IF(D93="","-",+C100+1)</f>
        <v>2010</v>
      </c>
      <c r="D101" s="145">
        <v>0</v>
      </c>
      <c r="E101" s="146">
        <f>IF(+J96&lt;F100,J96,D101)</f>
        <v>0</v>
      </c>
      <c r="F101" s="147">
        <f t="shared" ref="F101:F130" si="20">+D101-E101</f>
        <v>0</v>
      </c>
      <c r="G101" s="147">
        <f t="shared" ref="G101:G130" si="21">+(F101+D101)/2</f>
        <v>0</v>
      </c>
      <c r="H101" s="148">
        <f t="shared" ref="H101:H130" si="22">+J$94*G101+E101</f>
        <v>0</v>
      </c>
      <c r="I101" s="149">
        <f t="shared" ref="I101:I130" si="23">+J$95*G101+E101</f>
        <v>0</v>
      </c>
      <c r="J101" s="54">
        <f t="shared" si="15"/>
        <v>0</v>
      </c>
      <c r="K101" s="54"/>
      <c r="L101" s="113"/>
      <c r="M101" s="54">
        <f t="shared" si="16"/>
        <v>0</v>
      </c>
      <c r="N101" s="113"/>
      <c r="O101" s="54">
        <f t="shared" si="17"/>
        <v>0</v>
      </c>
      <c r="P101" s="54">
        <f t="shared" si="18"/>
        <v>0</v>
      </c>
      <c r="Q101" s="1"/>
    </row>
    <row r="102" spans="1:17" ht="12.5">
      <c r="B102" s="7" t="str">
        <f t="shared" si="19"/>
        <v/>
      </c>
      <c r="C102" s="50">
        <f>IF(D93="","-",+C101+1)</f>
        <v>2011</v>
      </c>
      <c r="D102" s="145">
        <v>0</v>
      </c>
      <c r="E102" s="146">
        <f>IF(+J96&lt;F101,J96,D102)</f>
        <v>0</v>
      </c>
      <c r="F102" s="147">
        <f t="shared" si="20"/>
        <v>0</v>
      </c>
      <c r="G102" s="147">
        <f t="shared" si="21"/>
        <v>0</v>
      </c>
      <c r="H102" s="148">
        <f t="shared" si="22"/>
        <v>0</v>
      </c>
      <c r="I102" s="149">
        <f t="shared" si="23"/>
        <v>0</v>
      </c>
      <c r="J102" s="54">
        <f t="shared" si="15"/>
        <v>0</v>
      </c>
      <c r="K102" s="54"/>
      <c r="L102" s="113"/>
      <c r="M102" s="54">
        <f t="shared" si="16"/>
        <v>0</v>
      </c>
      <c r="N102" s="113"/>
      <c r="O102" s="54">
        <f t="shared" si="17"/>
        <v>0</v>
      </c>
      <c r="P102" s="54">
        <f t="shared" si="18"/>
        <v>0</v>
      </c>
      <c r="Q102" s="1"/>
    </row>
    <row r="103" spans="1:17" ht="12.5">
      <c r="B103" s="7" t="str">
        <f t="shared" si="19"/>
        <v/>
      </c>
      <c r="C103" s="50">
        <f>IF(D93="","-",+C102+1)</f>
        <v>2012</v>
      </c>
      <c r="D103" s="133">
        <v>0</v>
      </c>
      <c r="E103" s="136">
        <v>0</v>
      </c>
      <c r="F103" s="137">
        <v>0</v>
      </c>
      <c r="G103" s="137">
        <v>0</v>
      </c>
      <c r="H103" s="136">
        <v>0</v>
      </c>
      <c r="I103" s="135">
        <v>0</v>
      </c>
      <c r="J103" s="54">
        <f t="shared" si="15"/>
        <v>0</v>
      </c>
      <c r="K103" s="54"/>
      <c r="L103" s="113">
        <f>H103</f>
        <v>0</v>
      </c>
      <c r="M103" s="54">
        <f t="shared" si="16"/>
        <v>0</v>
      </c>
      <c r="N103" s="113">
        <f>I103</f>
        <v>0</v>
      </c>
      <c r="O103" s="54">
        <f t="shared" si="17"/>
        <v>0</v>
      </c>
      <c r="P103" s="54">
        <f t="shared" si="18"/>
        <v>0</v>
      </c>
      <c r="Q103" s="1"/>
    </row>
    <row r="104" spans="1:17" ht="12.5">
      <c r="B104" s="7" t="str">
        <f t="shared" si="19"/>
        <v/>
      </c>
      <c r="C104" s="50">
        <f>IF(D93="","-",+C103+1)</f>
        <v>2013</v>
      </c>
      <c r="D104" s="12">
        <v>0</v>
      </c>
      <c r="E104" s="56">
        <f>IF(+J96&lt;F103,J96,D104)</f>
        <v>0</v>
      </c>
      <c r="F104" s="55">
        <f t="shared" si="20"/>
        <v>0</v>
      </c>
      <c r="G104" s="55">
        <f t="shared" si="21"/>
        <v>0</v>
      </c>
      <c r="H104" s="58">
        <f t="shared" si="22"/>
        <v>0</v>
      </c>
      <c r="I104" s="108">
        <f t="shared" si="23"/>
        <v>0</v>
      </c>
      <c r="J104" s="54">
        <f t="shared" si="15"/>
        <v>0</v>
      </c>
      <c r="K104" s="54"/>
      <c r="L104" s="129"/>
      <c r="M104" s="54">
        <f t="shared" si="16"/>
        <v>0</v>
      </c>
      <c r="N104" s="129"/>
      <c r="O104" s="54">
        <f t="shared" si="17"/>
        <v>0</v>
      </c>
      <c r="P104" s="54">
        <f t="shared" si="18"/>
        <v>0</v>
      </c>
      <c r="Q104" s="1"/>
    </row>
    <row r="105" spans="1:17" ht="12.5">
      <c r="B105" s="7" t="str">
        <f t="shared" si="19"/>
        <v/>
      </c>
      <c r="C105" s="50">
        <f>IF(D93="","-",+C104+1)</f>
        <v>2014</v>
      </c>
      <c r="D105" s="12">
        <v>0</v>
      </c>
      <c r="E105" s="56">
        <f>IF(+J96&lt;F104,J96,D105)</f>
        <v>0</v>
      </c>
      <c r="F105" s="55">
        <f t="shared" si="20"/>
        <v>0</v>
      </c>
      <c r="G105" s="55">
        <f t="shared" si="21"/>
        <v>0</v>
      </c>
      <c r="H105" s="58">
        <f t="shared" si="22"/>
        <v>0</v>
      </c>
      <c r="I105" s="108">
        <f t="shared" si="23"/>
        <v>0</v>
      </c>
      <c r="J105" s="54">
        <f t="shared" si="15"/>
        <v>0</v>
      </c>
      <c r="K105" s="54"/>
      <c r="L105" s="129"/>
      <c r="M105" s="54">
        <f t="shared" si="16"/>
        <v>0</v>
      </c>
      <c r="N105" s="129"/>
      <c r="O105" s="54">
        <f t="shared" si="17"/>
        <v>0</v>
      </c>
      <c r="P105" s="54">
        <f t="shared" si="18"/>
        <v>0</v>
      </c>
      <c r="Q105" s="1"/>
    </row>
    <row r="106" spans="1:17" ht="12.5">
      <c r="B106" s="7" t="str">
        <f t="shared" si="19"/>
        <v/>
      </c>
      <c r="C106" s="50">
        <f>IF(D93="","-",+C105+1)</f>
        <v>2015</v>
      </c>
      <c r="D106" s="12">
        <v>0</v>
      </c>
      <c r="E106" s="56">
        <f>IF(+J96&lt;F105,J96,D106)</f>
        <v>0</v>
      </c>
      <c r="F106" s="55">
        <f t="shared" si="20"/>
        <v>0</v>
      </c>
      <c r="G106" s="55">
        <f t="shared" si="21"/>
        <v>0</v>
      </c>
      <c r="H106" s="58">
        <f t="shared" si="22"/>
        <v>0</v>
      </c>
      <c r="I106" s="108">
        <f t="shared" si="23"/>
        <v>0</v>
      </c>
      <c r="J106" s="54">
        <f t="shared" si="15"/>
        <v>0</v>
      </c>
      <c r="K106" s="54"/>
      <c r="L106" s="129"/>
      <c r="M106" s="54">
        <f t="shared" si="16"/>
        <v>0</v>
      </c>
      <c r="N106" s="129"/>
      <c r="O106" s="54">
        <f t="shared" si="17"/>
        <v>0</v>
      </c>
      <c r="P106" s="54">
        <f t="shared" si="18"/>
        <v>0</v>
      </c>
      <c r="Q106" s="1"/>
    </row>
    <row r="107" spans="1:17" ht="12.5">
      <c r="B107" s="7" t="str">
        <f t="shared" si="19"/>
        <v/>
      </c>
      <c r="C107" s="50">
        <f>IF(D93="","-",+C106+1)</f>
        <v>2016</v>
      </c>
      <c r="D107" s="12">
        <v>0</v>
      </c>
      <c r="E107" s="56">
        <f>IF(+J96&lt;F106,J96,D107)</f>
        <v>0</v>
      </c>
      <c r="F107" s="55">
        <f t="shared" si="20"/>
        <v>0</v>
      </c>
      <c r="G107" s="55">
        <f t="shared" si="21"/>
        <v>0</v>
      </c>
      <c r="H107" s="58">
        <f t="shared" si="22"/>
        <v>0</v>
      </c>
      <c r="I107" s="108">
        <f t="shared" si="23"/>
        <v>0</v>
      </c>
      <c r="J107" s="54">
        <f t="shared" si="15"/>
        <v>0</v>
      </c>
      <c r="K107" s="54"/>
      <c r="L107" s="129"/>
      <c r="M107" s="54">
        <f t="shared" si="16"/>
        <v>0</v>
      </c>
      <c r="N107" s="129"/>
      <c r="O107" s="54">
        <f t="shared" si="17"/>
        <v>0</v>
      </c>
      <c r="P107" s="54">
        <f t="shared" si="18"/>
        <v>0</v>
      </c>
      <c r="Q107" s="1"/>
    </row>
    <row r="108" spans="1:17" ht="12.5">
      <c r="B108" s="7" t="str">
        <f t="shared" si="19"/>
        <v/>
      </c>
      <c r="C108" s="50">
        <f>IF(D93="","-",+C107+1)</f>
        <v>2017</v>
      </c>
      <c r="D108" s="12">
        <v>0</v>
      </c>
      <c r="E108" s="56">
        <f>IF(+J96&lt;F107,J96,D108)</f>
        <v>0</v>
      </c>
      <c r="F108" s="55">
        <f t="shared" si="20"/>
        <v>0</v>
      </c>
      <c r="G108" s="55">
        <f t="shared" si="21"/>
        <v>0</v>
      </c>
      <c r="H108" s="58">
        <f t="shared" si="22"/>
        <v>0</v>
      </c>
      <c r="I108" s="108">
        <f t="shared" si="23"/>
        <v>0</v>
      </c>
      <c r="J108" s="54">
        <f t="shared" si="15"/>
        <v>0</v>
      </c>
      <c r="K108" s="54"/>
      <c r="L108" s="129"/>
      <c r="M108" s="54">
        <f t="shared" si="16"/>
        <v>0</v>
      </c>
      <c r="N108" s="129"/>
      <c r="O108" s="54">
        <f t="shared" si="17"/>
        <v>0</v>
      </c>
      <c r="P108" s="54">
        <f t="shared" si="18"/>
        <v>0</v>
      </c>
      <c r="Q108" s="1"/>
    </row>
    <row r="109" spans="1:17" ht="12.5">
      <c r="B109" s="7" t="str">
        <f t="shared" si="19"/>
        <v/>
      </c>
      <c r="C109" s="50">
        <f>IF(D93="","-",+C108+1)</f>
        <v>2018</v>
      </c>
      <c r="D109" s="12">
        <v>0</v>
      </c>
      <c r="E109" s="56">
        <f>IF(+J96&lt;F108,J96,D109)</f>
        <v>0</v>
      </c>
      <c r="F109" s="55">
        <f t="shared" si="20"/>
        <v>0</v>
      </c>
      <c r="G109" s="55">
        <f t="shared" si="21"/>
        <v>0</v>
      </c>
      <c r="H109" s="58">
        <f t="shared" si="22"/>
        <v>0</v>
      </c>
      <c r="I109" s="108">
        <f t="shared" si="23"/>
        <v>0</v>
      </c>
      <c r="J109" s="54">
        <f t="shared" si="15"/>
        <v>0</v>
      </c>
      <c r="K109" s="54"/>
      <c r="L109" s="129"/>
      <c r="M109" s="54">
        <f t="shared" si="16"/>
        <v>0</v>
      </c>
      <c r="N109" s="129"/>
      <c r="O109" s="54">
        <f t="shared" si="17"/>
        <v>0</v>
      </c>
      <c r="P109" s="54">
        <f t="shared" si="18"/>
        <v>0</v>
      </c>
      <c r="Q109" s="1"/>
    </row>
    <row r="110" spans="1:17" ht="12.5">
      <c r="B110" s="7" t="str">
        <f t="shared" si="19"/>
        <v/>
      </c>
      <c r="C110" s="50">
        <f>IF(D93="","-",+C109+1)</f>
        <v>2019</v>
      </c>
      <c r="D110" s="12">
        <v>0</v>
      </c>
      <c r="E110" s="56">
        <f>IF(+J96&lt;F109,J96,D110)</f>
        <v>0</v>
      </c>
      <c r="F110" s="55">
        <f t="shared" si="20"/>
        <v>0</v>
      </c>
      <c r="G110" s="55">
        <f t="shared" si="21"/>
        <v>0</v>
      </c>
      <c r="H110" s="58">
        <f t="shared" si="22"/>
        <v>0</v>
      </c>
      <c r="I110" s="108">
        <f t="shared" si="23"/>
        <v>0</v>
      </c>
      <c r="J110" s="54">
        <f t="shared" si="15"/>
        <v>0</v>
      </c>
      <c r="K110" s="54"/>
      <c r="L110" s="129"/>
      <c r="M110" s="54">
        <f t="shared" si="16"/>
        <v>0</v>
      </c>
      <c r="N110" s="129"/>
      <c r="O110" s="54">
        <f t="shared" si="17"/>
        <v>0</v>
      </c>
      <c r="P110" s="54">
        <f t="shared" si="18"/>
        <v>0</v>
      </c>
      <c r="Q110" s="1"/>
    </row>
    <row r="111" spans="1:17" ht="12.5">
      <c r="B111" s="7" t="str">
        <f t="shared" si="19"/>
        <v/>
      </c>
      <c r="C111" s="50">
        <f>IF(D93="","-",+C110+1)</f>
        <v>2020</v>
      </c>
      <c r="D111" s="12">
        <v>0</v>
      </c>
      <c r="E111" s="56">
        <f>IF(+J96&lt;F110,J96,D111)</f>
        <v>0</v>
      </c>
      <c r="F111" s="55">
        <f t="shared" si="20"/>
        <v>0</v>
      </c>
      <c r="G111" s="55">
        <f t="shared" si="21"/>
        <v>0</v>
      </c>
      <c r="H111" s="58">
        <f t="shared" si="22"/>
        <v>0</v>
      </c>
      <c r="I111" s="108">
        <f t="shared" si="23"/>
        <v>0</v>
      </c>
      <c r="J111" s="54">
        <f t="shared" si="15"/>
        <v>0</v>
      </c>
      <c r="K111" s="54"/>
      <c r="L111" s="129"/>
      <c r="M111" s="54">
        <f t="shared" si="16"/>
        <v>0</v>
      </c>
      <c r="N111" s="129"/>
      <c r="O111" s="54">
        <f t="shared" si="17"/>
        <v>0</v>
      </c>
      <c r="P111" s="54">
        <f t="shared" si="18"/>
        <v>0</v>
      </c>
      <c r="Q111" s="1"/>
    </row>
    <row r="112" spans="1:17" ht="12.5">
      <c r="B112" s="7" t="str">
        <f t="shared" si="19"/>
        <v/>
      </c>
      <c r="C112" s="50">
        <f>IF(D93="","-",+C111+1)</f>
        <v>2021</v>
      </c>
      <c r="D112" s="12">
        <v>0</v>
      </c>
      <c r="E112" s="56">
        <f>IF(+J96&lt;F111,J96,D112)</f>
        <v>0</v>
      </c>
      <c r="F112" s="55">
        <f t="shared" si="20"/>
        <v>0</v>
      </c>
      <c r="G112" s="55">
        <f t="shared" si="21"/>
        <v>0</v>
      </c>
      <c r="H112" s="58">
        <f t="shared" si="22"/>
        <v>0</v>
      </c>
      <c r="I112" s="108">
        <f t="shared" si="23"/>
        <v>0</v>
      </c>
      <c r="J112" s="54">
        <f t="shared" si="15"/>
        <v>0</v>
      </c>
      <c r="K112" s="54"/>
      <c r="L112" s="129"/>
      <c r="M112" s="54">
        <f t="shared" si="16"/>
        <v>0</v>
      </c>
      <c r="N112" s="129"/>
      <c r="O112" s="54">
        <f t="shared" si="17"/>
        <v>0</v>
      </c>
      <c r="P112" s="54">
        <f t="shared" si="18"/>
        <v>0</v>
      </c>
      <c r="Q112" s="1"/>
    </row>
    <row r="113" spans="2:17" ht="12.5">
      <c r="B113" s="7" t="str">
        <f t="shared" si="19"/>
        <v/>
      </c>
      <c r="C113" s="50">
        <f>IF(D93="","-",+C112+1)</f>
        <v>2022</v>
      </c>
      <c r="D113" s="12">
        <v>0</v>
      </c>
      <c r="E113" s="56">
        <f>IF(+J96&lt;F112,J96,D113)</f>
        <v>0</v>
      </c>
      <c r="F113" s="55">
        <f t="shared" si="20"/>
        <v>0</v>
      </c>
      <c r="G113" s="55">
        <f t="shared" si="21"/>
        <v>0</v>
      </c>
      <c r="H113" s="58">
        <f t="shared" si="22"/>
        <v>0</v>
      </c>
      <c r="I113" s="108">
        <f t="shared" si="23"/>
        <v>0</v>
      </c>
      <c r="J113" s="54">
        <f t="shared" si="15"/>
        <v>0</v>
      </c>
      <c r="K113" s="54"/>
      <c r="L113" s="129"/>
      <c r="M113" s="54">
        <f t="shared" si="16"/>
        <v>0</v>
      </c>
      <c r="N113" s="129"/>
      <c r="O113" s="54">
        <f t="shared" si="17"/>
        <v>0</v>
      </c>
      <c r="P113" s="54">
        <f t="shared" si="18"/>
        <v>0</v>
      </c>
      <c r="Q113" s="1"/>
    </row>
    <row r="114" spans="2:17" ht="12.5">
      <c r="B114" s="7" t="str">
        <f t="shared" si="19"/>
        <v/>
      </c>
      <c r="C114" s="50">
        <f>IF(D93="","-",+C113+1)</f>
        <v>2023</v>
      </c>
      <c r="D114" s="12">
        <v>0</v>
      </c>
      <c r="E114" s="56">
        <f>IF(+J96&lt;F113,J96,D114)</f>
        <v>0</v>
      </c>
      <c r="F114" s="55">
        <f t="shared" si="20"/>
        <v>0</v>
      </c>
      <c r="G114" s="55">
        <f t="shared" si="21"/>
        <v>0</v>
      </c>
      <c r="H114" s="58">
        <f t="shared" si="22"/>
        <v>0</v>
      </c>
      <c r="I114" s="108">
        <f t="shared" si="23"/>
        <v>0</v>
      </c>
      <c r="J114" s="54">
        <f t="shared" si="15"/>
        <v>0</v>
      </c>
      <c r="K114" s="54"/>
      <c r="L114" s="129"/>
      <c r="M114" s="54">
        <f t="shared" si="16"/>
        <v>0</v>
      </c>
      <c r="N114" s="129"/>
      <c r="O114" s="54">
        <f t="shared" si="17"/>
        <v>0</v>
      </c>
      <c r="P114" s="54">
        <f t="shared" si="18"/>
        <v>0</v>
      </c>
      <c r="Q114" s="1"/>
    </row>
    <row r="115" spans="2:17" ht="12.5">
      <c r="B115" s="7" t="str">
        <f t="shared" si="19"/>
        <v/>
      </c>
      <c r="C115" s="50">
        <f>IF(D93="","-",+C114+1)</f>
        <v>2024</v>
      </c>
      <c r="D115" s="12">
        <v>0</v>
      </c>
      <c r="E115" s="56">
        <f>IF(+J96&lt;F114,J96,D115)</f>
        <v>0</v>
      </c>
      <c r="F115" s="55">
        <f t="shared" si="20"/>
        <v>0</v>
      </c>
      <c r="G115" s="55">
        <f t="shared" si="21"/>
        <v>0</v>
      </c>
      <c r="H115" s="58">
        <f t="shared" si="22"/>
        <v>0</v>
      </c>
      <c r="I115" s="108">
        <f t="shared" si="23"/>
        <v>0</v>
      </c>
      <c r="J115" s="54">
        <f t="shared" si="15"/>
        <v>0</v>
      </c>
      <c r="K115" s="54"/>
      <c r="L115" s="129"/>
      <c r="M115" s="54">
        <f t="shared" si="16"/>
        <v>0</v>
      </c>
      <c r="N115" s="129"/>
      <c r="O115" s="54">
        <f t="shared" si="17"/>
        <v>0</v>
      </c>
      <c r="P115" s="54">
        <f t="shared" si="18"/>
        <v>0</v>
      </c>
      <c r="Q115" s="1"/>
    </row>
    <row r="116" spans="2:17" ht="12.5">
      <c r="B116" s="7" t="str">
        <f t="shared" si="19"/>
        <v/>
      </c>
      <c r="C116" s="50">
        <f>IF(D93="","-",+C115+1)</f>
        <v>2025</v>
      </c>
      <c r="D116" s="12">
        <v>0</v>
      </c>
      <c r="E116" s="56">
        <f>IF(+J96&lt;F115,J96,D116)</f>
        <v>0</v>
      </c>
      <c r="F116" s="55">
        <f t="shared" si="20"/>
        <v>0</v>
      </c>
      <c r="G116" s="55">
        <f t="shared" si="21"/>
        <v>0</v>
      </c>
      <c r="H116" s="58">
        <f t="shared" si="22"/>
        <v>0</v>
      </c>
      <c r="I116" s="108">
        <f t="shared" si="23"/>
        <v>0</v>
      </c>
      <c r="J116" s="54">
        <f t="shared" si="15"/>
        <v>0</v>
      </c>
      <c r="K116" s="54"/>
      <c r="L116" s="129"/>
      <c r="M116" s="54">
        <f t="shared" si="16"/>
        <v>0</v>
      </c>
      <c r="N116" s="129"/>
      <c r="O116" s="54">
        <f t="shared" si="17"/>
        <v>0</v>
      </c>
      <c r="P116" s="54">
        <f t="shared" si="18"/>
        <v>0</v>
      </c>
      <c r="Q116" s="1"/>
    </row>
    <row r="117" spans="2:17" ht="12.5">
      <c r="B117" s="7" t="str">
        <f t="shared" si="19"/>
        <v/>
      </c>
      <c r="C117" s="50">
        <f>IF(D93="","-",+C116+1)</f>
        <v>2026</v>
      </c>
      <c r="D117" s="12">
        <v>0</v>
      </c>
      <c r="E117" s="56">
        <f>IF(+J96&lt;F116,J96,D117)</f>
        <v>0</v>
      </c>
      <c r="F117" s="55">
        <f t="shared" si="20"/>
        <v>0</v>
      </c>
      <c r="G117" s="55">
        <f t="shared" si="21"/>
        <v>0</v>
      </c>
      <c r="H117" s="58">
        <f t="shared" si="22"/>
        <v>0</v>
      </c>
      <c r="I117" s="108">
        <f t="shared" si="23"/>
        <v>0</v>
      </c>
      <c r="J117" s="54">
        <f t="shared" si="15"/>
        <v>0</v>
      </c>
      <c r="K117" s="54"/>
      <c r="L117" s="129"/>
      <c r="M117" s="54">
        <f t="shared" si="16"/>
        <v>0</v>
      </c>
      <c r="N117" s="129"/>
      <c r="O117" s="54">
        <f t="shared" si="17"/>
        <v>0</v>
      </c>
      <c r="P117" s="54">
        <f t="shared" si="18"/>
        <v>0</v>
      </c>
      <c r="Q117" s="1"/>
    </row>
    <row r="118" spans="2:17" ht="12.5">
      <c r="B118" s="7" t="str">
        <f t="shared" si="19"/>
        <v/>
      </c>
      <c r="C118" s="50">
        <f>IF(D93="","-",+C117+1)</f>
        <v>2027</v>
      </c>
      <c r="D118" s="12">
        <v>0</v>
      </c>
      <c r="E118" s="56">
        <f>IF(+J96&lt;F117,J96,D118)</f>
        <v>0</v>
      </c>
      <c r="F118" s="55">
        <f t="shared" si="20"/>
        <v>0</v>
      </c>
      <c r="G118" s="55">
        <f t="shared" si="21"/>
        <v>0</v>
      </c>
      <c r="H118" s="58">
        <f t="shared" si="22"/>
        <v>0</v>
      </c>
      <c r="I118" s="108">
        <f t="shared" si="23"/>
        <v>0</v>
      </c>
      <c r="J118" s="54">
        <f t="shared" si="15"/>
        <v>0</v>
      </c>
      <c r="K118" s="54"/>
      <c r="L118" s="129"/>
      <c r="M118" s="54">
        <f t="shared" si="16"/>
        <v>0</v>
      </c>
      <c r="N118" s="129"/>
      <c r="O118" s="54">
        <f t="shared" si="17"/>
        <v>0</v>
      </c>
      <c r="P118" s="54">
        <f t="shared" si="18"/>
        <v>0</v>
      </c>
      <c r="Q118" s="1"/>
    </row>
    <row r="119" spans="2:17" ht="12.5">
      <c r="B119" s="7" t="str">
        <f t="shared" si="19"/>
        <v/>
      </c>
      <c r="C119" s="50">
        <f>IF(D93="","-",+C118+1)</f>
        <v>2028</v>
      </c>
      <c r="D119" s="12">
        <v>0</v>
      </c>
      <c r="E119" s="56">
        <f>IF(+J96&lt;F118,J96,D119)</f>
        <v>0</v>
      </c>
      <c r="F119" s="55">
        <f t="shared" si="20"/>
        <v>0</v>
      </c>
      <c r="G119" s="55">
        <f t="shared" si="21"/>
        <v>0</v>
      </c>
      <c r="H119" s="58">
        <f t="shared" si="22"/>
        <v>0</v>
      </c>
      <c r="I119" s="108">
        <f t="shared" si="23"/>
        <v>0</v>
      </c>
      <c r="J119" s="54">
        <f t="shared" si="15"/>
        <v>0</v>
      </c>
      <c r="K119" s="54"/>
      <c r="L119" s="129"/>
      <c r="M119" s="54">
        <f t="shared" si="16"/>
        <v>0</v>
      </c>
      <c r="N119" s="129"/>
      <c r="O119" s="54">
        <f t="shared" si="17"/>
        <v>0</v>
      </c>
      <c r="P119" s="54">
        <f t="shared" si="18"/>
        <v>0</v>
      </c>
      <c r="Q119" s="1"/>
    </row>
    <row r="120" spans="2:17" ht="12.5">
      <c r="B120" s="7" t="str">
        <f t="shared" si="19"/>
        <v/>
      </c>
      <c r="C120" s="50">
        <f>IF(D93="","-",+C119+1)</f>
        <v>2029</v>
      </c>
      <c r="D120" s="12">
        <v>0</v>
      </c>
      <c r="E120" s="56">
        <f>IF(+J96&lt;F119,J96,D120)</f>
        <v>0</v>
      </c>
      <c r="F120" s="55">
        <f t="shared" si="20"/>
        <v>0</v>
      </c>
      <c r="G120" s="55">
        <f t="shared" si="21"/>
        <v>0</v>
      </c>
      <c r="H120" s="58">
        <f t="shared" si="22"/>
        <v>0</v>
      </c>
      <c r="I120" s="108">
        <f t="shared" si="23"/>
        <v>0</v>
      </c>
      <c r="J120" s="54">
        <f t="shared" si="15"/>
        <v>0</v>
      </c>
      <c r="K120" s="54"/>
      <c r="L120" s="129"/>
      <c r="M120" s="54">
        <f t="shared" si="16"/>
        <v>0</v>
      </c>
      <c r="N120" s="129"/>
      <c r="O120" s="54">
        <f t="shared" si="17"/>
        <v>0</v>
      </c>
      <c r="P120" s="54">
        <f t="shared" si="18"/>
        <v>0</v>
      </c>
      <c r="Q120" s="1"/>
    </row>
    <row r="121" spans="2:17" ht="12.5">
      <c r="B121" s="7" t="str">
        <f t="shared" si="19"/>
        <v/>
      </c>
      <c r="C121" s="50">
        <f>IF(D93="","-",+C120+1)</f>
        <v>2030</v>
      </c>
      <c r="D121" s="12">
        <v>0</v>
      </c>
      <c r="E121" s="56">
        <f>IF(+J96&lt;F120,J96,D121)</f>
        <v>0</v>
      </c>
      <c r="F121" s="55">
        <f t="shared" si="20"/>
        <v>0</v>
      </c>
      <c r="G121" s="55">
        <f t="shared" si="21"/>
        <v>0</v>
      </c>
      <c r="H121" s="58">
        <f t="shared" si="22"/>
        <v>0</v>
      </c>
      <c r="I121" s="108">
        <f t="shared" si="23"/>
        <v>0</v>
      </c>
      <c r="J121" s="54">
        <f t="shared" si="15"/>
        <v>0</v>
      </c>
      <c r="K121" s="54"/>
      <c r="L121" s="129"/>
      <c r="M121" s="54">
        <f t="shared" si="16"/>
        <v>0</v>
      </c>
      <c r="N121" s="129"/>
      <c r="O121" s="54">
        <f t="shared" si="17"/>
        <v>0</v>
      </c>
      <c r="P121" s="54">
        <f t="shared" si="18"/>
        <v>0</v>
      </c>
      <c r="Q121" s="1"/>
    </row>
    <row r="122" spans="2:17" ht="12.5">
      <c r="B122" s="7" t="str">
        <f t="shared" si="19"/>
        <v/>
      </c>
      <c r="C122" s="50">
        <f>IF(D93="","-",+C121+1)</f>
        <v>2031</v>
      </c>
      <c r="D122" s="12">
        <v>0</v>
      </c>
      <c r="E122" s="56">
        <f>IF(+J96&lt;F121,J96,D122)</f>
        <v>0</v>
      </c>
      <c r="F122" s="55">
        <f t="shared" si="20"/>
        <v>0</v>
      </c>
      <c r="G122" s="55">
        <f t="shared" si="21"/>
        <v>0</v>
      </c>
      <c r="H122" s="58">
        <f t="shared" si="22"/>
        <v>0</v>
      </c>
      <c r="I122" s="108">
        <f t="shared" si="23"/>
        <v>0</v>
      </c>
      <c r="J122" s="54">
        <f t="shared" si="15"/>
        <v>0</v>
      </c>
      <c r="K122" s="54"/>
      <c r="L122" s="129"/>
      <c r="M122" s="54">
        <f t="shared" si="16"/>
        <v>0</v>
      </c>
      <c r="N122" s="129"/>
      <c r="O122" s="54">
        <f t="shared" si="17"/>
        <v>0</v>
      </c>
      <c r="P122" s="54">
        <f t="shared" si="18"/>
        <v>0</v>
      </c>
      <c r="Q122" s="1"/>
    </row>
    <row r="123" spans="2:17" ht="12.5">
      <c r="B123" s="7" t="str">
        <f t="shared" si="19"/>
        <v/>
      </c>
      <c r="C123" s="50">
        <f>IF(D93="","-",+C122+1)</f>
        <v>2032</v>
      </c>
      <c r="D123" s="12">
        <v>0</v>
      </c>
      <c r="E123" s="56">
        <f>IF(+J96&lt;F122,J96,D123)</f>
        <v>0</v>
      </c>
      <c r="F123" s="55">
        <f t="shared" si="20"/>
        <v>0</v>
      </c>
      <c r="G123" s="55">
        <f t="shared" si="21"/>
        <v>0</v>
      </c>
      <c r="H123" s="58">
        <f t="shared" si="22"/>
        <v>0</v>
      </c>
      <c r="I123" s="108">
        <f t="shared" si="23"/>
        <v>0</v>
      </c>
      <c r="J123" s="54">
        <f t="shared" si="15"/>
        <v>0</v>
      </c>
      <c r="K123" s="54"/>
      <c r="L123" s="129"/>
      <c r="M123" s="54">
        <f t="shared" si="16"/>
        <v>0</v>
      </c>
      <c r="N123" s="129"/>
      <c r="O123" s="54">
        <f t="shared" si="17"/>
        <v>0</v>
      </c>
      <c r="P123" s="54">
        <f t="shared" si="18"/>
        <v>0</v>
      </c>
      <c r="Q123" s="1"/>
    </row>
    <row r="124" spans="2:17" ht="12.5">
      <c r="B124" s="7" t="str">
        <f t="shared" si="19"/>
        <v/>
      </c>
      <c r="C124" s="50">
        <f>IF(D93="","-",+C123+1)</f>
        <v>2033</v>
      </c>
      <c r="D124" s="12">
        <v>0</v>
      </c>
      <c r="E124" s="56">
        <f>IF(+J96&lt;F123,J96,D124)</f>
        <v>0</v>
      </c>
      <c r="F124" s="55">
        <f t="shared" si="20"/>
        <v>0</v>
      </c>
      <c r="G124" s="55">
        <f t="shared" si="21"/>
        <v>0</v>
      </c>
      <c r="H124" s="58">
        <f t="shared" si="22"/>
        <v>0</v>
      </c>
      <c r="I124" s="108">
        <f t="shared" si="23"/>
        <v>0</v>
      </c>
      <c r="J124" s="54">
        <f t="shared" si="15"/>
        <v>0</v>
      </c>
      <c r="K124" s="54"/>
      <c r="L124" s="129"/>
      <c r="M124" s="54">
        <f t="shared" si="16"/>
        <v>0</v>
      </c>
      <c r="N124" s="129"/>
      <c r="O124" s="54">
        <f t="shared" si="17"/>
        <v>0</v>
      </c>
      <c r="P124" s="54">
        <f t="shared" si="18"/>
        <v>0</v>
      </c>
      <c r="Q124" s="1"/>
    </row>
    <row r="125" spans="2:17" ht="12.5">
      <c r="B125" s="7" t="str">
        <f t="shared" si="19"/>
        <v/>
      </c>
      <c r="C125" s="50">
        <f>IF(D93="","-",+C124+1)</f>
        <v>2034</v>
      </c>
      <c r="D125" s="12">
        <v>0</v>
      </c>
      <c r="E125" s="56">
        <f>IF(+J96&lt;F124,J96,D125)</f>
        <v>0</v>
      </c>
      <c r="F125" s="55">
        <f t="shared" si="20"/>
        <v>0</v>
      </c>
      <c r="G125" s="55">
        <f t="shared" si="21"/>
        <v>0</v>
      </c>
      <c r="H125" s="58">
        <f t="shared" si="22"/>
        <v>0</v>
      </c>
      <c r="I125" s="108">
        <f t="shared" si="23"/>
        <v>0</v>
      </c>
      <c r="J125" s="54">
        <f t="shared" si="15"/>
        <v>0</v>
      </c>
      <c r="K125" s="54"/>
      <c r="L125" s="129"/>
      <c r="M125" s="54">
        <f t="shared" si="16"/>
        <v>0</v>
      </c>
      <c r="N125" s="129"/>
      <c r="O125" s="54">
        <f t="shared" si="17"/>
        <v>0</v>
      </c>
      <c r="P125" s="54">
        <f t="shared" si="18"/>
        <v>0</v>
      </c>
      <c r="Q125" s="1"/>
    </row>
    <row r="126" spans="2:17" ht="12.5">
      <c r="B126" s="7" t="str">
        <f t="shared" si="19"/>
        <v/>
      </c>
      <c r="C126" s="50">
        <f>IF(D93="","-",+C125+1)</f>
        <v>2035</v>
      </c>
      <c r="D126" s="12">
        <v>0</v>
      </c>
      <c r="E126" s="56">
        <f>IF(+J96&lt;F125,J96,D126)</f>
        <v>0</v>
      </c>
      <c r="F126" s="55">
        <f t="shared" si="20"/>
        <v>0</v>
      </c>
      <c r="G126" s="55">
        <f t="shared" si="21"/>
        <v>0</v>
      </c>
      <c r="H126" s="58">
        <f t="shared" si="22"/>
        <v>0</v>
      </c>
      <c r="I126" s="108">
        <f t="shared" si="23"/>
        <v>0</v>
      </c>
      <c r="J126" s="54">
        <f t="shared" si="15"/>
        <v>0</v>
      </c>
      <c r="K126" s="54"/>
      <c r="L126" s="129"/>
      <c r="M126" s="54">
        <f t="shared" si="16"/>
        <v>0</v>
      </c>
      <c r="N126" s="129"/>
      <c r="O126" s="54">
        <f t="shared" si="17"/>
        <v>0</v>
      </c>
      <c r="P126" s="54">
        <f t="shared" si="18"/>
        <v>0</v>
      </c>
      <c r="Q126" s="1"/>
    </row>
    <row r="127" spans="2:17" ht="12.5">
      <c r="B127" s="7" t="str">
        <f t="shared" si="19"/>
        <v/>
      </c>
      <c r="C127" s="50">
        <f>IF(D93="","-",+C126+1)</f>
        <v>2036</v>
      </c>
      <c r="D127" s="12">
        <v>0</v>
      </c>
      <c r="E127" s="56">
        <f>IF(+J96&lt;F126,J96,D127)</f>
        <v>0</v>
      </c>
      <c r="F127" s="55">
        <f t="shared" si="20"/>
        <v>0</v>
      </c>
      <c r="G127" s="55">
        <f t="shared" si="21"/>
        <v>0</v>
      </c>
      <c r="H127" s="58">
        <f t="shared" si="22"/>
        <v>0</v>
      </c>
      <c r="I127" s="108">
        <f t="shared" si="23"/>
        <v>0</v>
      </c>
      <c r="J127" s="54">
        <f t="shared" si="15"/>
        <v>0</v>
      </c>
      <c r="K127" s="54"/>
      <c r="L127" s="129"/>
      <c r="M127" s="54">
        <f t="shared" si="16"/>
        <v>0</v>
      </c>
      <c r="N127" s="129"/>
      <c r="O127" s="54">
        <f t="shared" si="17"/>
        <v>0</v>
      </c>
      <c r="P127" s="54">
        <f t="shared" si="18"/>
        <v>0</v>
      </c>
      <c r="Q127" s="1"/>
    </row>
    <row r="128" spans="2:17" ht="12.5">
      <c r="B128" s="7" t="str">
        <f t="shared" si="19"/>
        <v/>
      </c>
      <c r="C128" s="50">
        <f>IF(D93="","-",+C127+1)</f>
        <v>2037</v>
      </c>
      <c r="D128" s="12">
        <v>0</v>
      </c>
      <c r="E128" s="56">
        <f>IF(+J96&lt;F127,J96,D128)</f>
        <v>0</v>
      </c>
      <c r="F128" s="55">
        <f t="shared" si="20"/>
        <v>0</v>
      </c>
      <c r="G128" s="55">
        <f t="shared" si="21"/>
        <v>0</v>
      </c>
      <c r="H128" s="58">
        <f t="shared" si="22"/>
        <v>0</v>
      </c>
      <c r="I128" s="108">
        <f t="shared" si="23"/>
        <v>0</v>
      </c>
      <c r="J128" s="54">
        <f t="shared" si="15"/>
        <v>0</v>
      </c>
      <c r="K128" s="54"/>
      <c r="L128" s="129"/>
      <c r="M128" s="54">
        <f t="shared" si="16"/>
        <v>0</v>
      </c>
      <c r="N128" s="129"/>
      <c r="O128" s="54">
        <f t="shared" si="17"/>
        <v>0</v>
      </c>
      <c r="P128" s="54">
        <f t="shared" si="18"/>
        <v>0</v>
      </c>
      <c r="Q128" s="1"/>
    </row>
    <row r="129" spans="2:17" ht="12.5">
      <c r="B129" s="7" t="str">
        <f t="shared" si="19"/>
        <v/>
      </c>
      <c r="C129" s="50">
        <f>IF(D93="","-",+C128+1)</f>
        <v>2038</v>
      </c>
      <c r="D129" s="12">
        <v>0</v>
      </c>
      <c r="E129" s="56">
        <f>IF(+J96&lt;F128,J96,D129)</f>
        <v>0</v>
      </c>
      <c r="F129" s="55">
        <f t="shared" si="20"/>
        <v>0</v>
      </c>
      <c r="G129" s="55">
        <f t="shared" si="21"/>
        <v>0</v>
      </c>
      <c r="H129" s="58">
        <f t="shared" si="22"/>
        <v>0</v>
      </c>
      <c r="I129" s="108">
        <f t="shared" si="23"/>
        <v>0</v>
      </c>
      <c r="J129" s="54">
        <f t="shared" si="15"/>
        <v>0</v>
      </c>
      <c r="K129" s="54"/>
      <c r="L129" s="129"/>
      <c r="M129" s="54">
        <f t="shared" si="16"/>
        <v>0</v>
      </c>
      <c r="N129" s="129"/>
      <c r="O129" s="54">
        <f t="shared" si="17"/>
        <v>0</v>
      </c>
      <c r="P129" s="54">
        <f t="shared" si="18"/>
        <v>0</v>
      </c>
      <c r="Q129" s="1"/>
    </row>
    <row r="130" spans="2:17" ht="12.5">
      <c r="B130" s="7" t="str">
        <f t="shared" si="19"/>
        <v/>
      </c>
      <c r="C130" s="50">
        <f>IF(D93="","-",+C129+1)</f>
        <v>2039</v>
      </c>
      <c r="D130" s="12">
        <v>0</v>
      </c>
      <c r="E130" s="56">
        <f>IF(+J96&lt;F129,J96,D130)</f>
        <v>0</v>
      </c>
      <c r="F130" s="55">
        <f t="shared" si="20"/>
        <v>0</v>
      </c>
      <c r="G130" s="55">
        <f t="shared" si="21"/>
        <v>0</v>
      </c>
      <c r="H130" s="58">
        <f t="shared" si="22"/>
        <v>0</v>
      </c>
      <c r="I130" s="108">
        <f t="shared" si="23"/>
        <v>0</v>
      </c>
      <c r="J130" s="54">
        <f t="shared" si="15"/>
        <v>0</v>
      </c>
      <c r="K130" s="54"/>
      <c r="L130" s="129"/>
      <c r="M130" s="54">
        <f t="shared" si="16"/>
        <v>0</v>
      </c>
      <c r="N130" s="129"/>
      <c r="O130" s="54">
        <f t="shared" si="17"/>
        <v>0</v>
      </c>
      <c r="P130" s="54">
        <f t="shared" si="18"/>
        <v>0</v>
      </c>
      <c r="Q130" s="1"/>
    </row>
    <row r="131" spans="2:17" ht="12.5">
      <c r="B131" s="7" t="str">
        <f t="shared" si="19"/>
        <v/>
      </c>
      <c r="C131" s="50">
        <f>IF(D93="","-",+C130+1)</f>
        <v>2040</v>
      </c>
      <c r="D131" s="12">
        <v>0</v>
      </c>
      <c r="E131" s="56">
        <f>IF(+J96&lt;F130,J96,D131)</f>
        <v>0</v>
      </c>
      <c r="F131" s="55">
        <f t="shared" ref="F131:F154" si="24">+D131-E131</f>
        <v>0</v>
      </c>
      <c r="G131" s="55">
        <f t="shared" ref="G131:G154" si="25">+(F131+D131)/2</f>
        <v>0</v>
      </c>
      <c r="H131" s="58">
        <f t="shared" ref="H131:H154" si="26">+J$94*G131+E131</f>
        <v>0</v>
      </c>
      <c r="I131" s="108">
        <f t="shared" ref="I131:I154" si="27">+J$95*G131+E131</f>
        <v>0</v>
      </c>
      <c r="J131" s="54">
        <f t="shared" ref="J131:J154" si="28">+I131-H131</f>
        <v>0</v>
      </c>
      <c r="K131" s="54"/>
      <c r="L131" s="129"/>
      <c r="M131" s="54">
        <f t="shared" ref="M131:M154" si="29">IF(L131&lt;&gt;0,+H131-L131,0)</f>
        <v>0</v>
      </c>
      <c r="N131" s="129"/>
      <c r="O131" s="54">
        <f t="shared" ref="O131:O154" si="30">IF(N131&lt;&gt;0,+I131-N131,0)</f>
        <v>0</v>
      </c>
      <c r="P131" s="54">
        <f t="shared" ref="P131:P154" si="31">+O131-M131</f>
        <v>0</v>
      </c>
      <c r="Q131" s="1"/>
    </row>
    <row r="132" spans="2:17" ht="12.5">
      <c r="B132" s="7" t="str">
        <f t="shared" si="19"/>
        <v/>
      </c>
      <c r="C132" s="50">
        <f>IF(D93="","-",+C131+1)</f>
        <v>2041</v>
      </c>
      <c r="D132" s="12">
        <v>0</v>
      </c>
      <c r="E132" s="56">
        <f>IF(+J96&lt;F131,J96,D132)</f>
        <v>0</v>
      </c>
      <c r="F132" s="55">
        <f t="shared" si="24"/>
        <v>0</v>
      </c>
      <c r="G132" s="55">
        <f t="shared" si="25"/>
        <v>0</v>
      </c>
      <c r="H132" s="58">
        <f t="shared" si="26"/>
        <v>0</v>
      </c>
      <c r="I132" s="108">
        <f t="shared" si="27"/>
        <v>0</v>
      </c>
      <c r="J132" s="54">
        <f t="shared" si="28"/>
        <v>0</v>
      </c>
      <c r="K132" s="54"/>
      <c r="L132" s="129"/>
      <c r="M132" s="54">
        <f t="shared" si="29"/>
        <v>0</v>
      </c>
      <c r="N132" s="129"/>
      <c r="O132" s="54">
        <f t="shared" si="30"/>
        <v>0</v>
      </c>
      <c r="P132" s="54">
        <f t="shared" si="31"/>
        <v>0</v>
      </c>
      <c r="Q132" s="1"/>
    </row>
    <row r="133" spans="2:17" ht="12.5">
      <c r="B133" s="7" t="str">
        <f t="shared" si="19"/>
        <v/>
      </c>
      <c r="C133" s="50">
        <f>IF(D93="","-",+C132+1)</f>
        <v>2042</v>
      </c>
      <c r="D133" s="12">
        <v>0</v>
      </c>
      <c r="E133" s="56">
        <f>IF(+J96&lt;F132,J96,D133)</f>
        <v>0</v>
      </c>
      <c r="F133" s="55">
        <f t="shared" si="24"/>
        <v>0</v>
      </c>
      <c r="G133" s="55">
        <f t="shared" si="25"/>
        <v>0</v>
      </c>
      <c r="H133" s="58">
        <f t="shared" si="26"/>
        <v>0</v>
      </c>
      <c r="I133" s="108">
        <f t="shared" si="27"/>
        <v>0</v>
      </c>
      <c r="J133" s="54">
        <f t="shared" si="28"/>
        <v>0</v>
      </c>
      <c r="K133" s="54"/>
      <c r="L133" s="129"/>
      <c r="M133" s="54">
        <f t="shared" si="29"/>
        <v>0</v>
      </c>
      <c r="N133" s="129"/>
      <c r="O133" s="54">
        <f t="shared" si="30"/>
        <v>0</v>
      </c>
      <c r="P133" s="54">
        <f t="shared" si="31"/>
        <v>0</v>
      </c>
      <c r="Q133" s="1"/>
    </row>
    <row r="134" spans="2:17" ht="12.5">
      <c r="B134" s="7" t="str">
        <f t="shared" si="19"/>
        <v/>
      </c>
      <c r="C134" s="50">
        <f>IF(D93="","-",+C133+1)</f>
        <v>2043</v>
      </c>
      <c r="D134" s="12">
        <v>0</v>
      </c>
      <c r="E134" s="56">
        <f>IF(+J96&lt;F133,J96,D134)</f>
        <v>0</v>
      </c>
      <c r="F134" s="55">
        <f t="shared" si="24"/>
        <v>0</v>
      </c>
      <c r="G134" s="55">
        <f t="shared" si="25"/>
        <v>0</v>
      </c>
      <c r="H134" s="58">
        <f t="shared" si="26"/>
        <v>0</v>
      </c>
      <c r="I134" s="108">
        <f t="shared" si="27"/>
        <v>0</v>
      </c>
      <c r="J134" s="54">
        <f t="shared" si="28"/>
        <v>0</v>
      </c>
      <c r="K134" s="54"/>
      <c r="L134" s="129"/>
      <c r="M134" s="54">
        <f t="shared" si="29"/>
        <v>0</v>
      </c>
      <c r="N134" s="129"/>
      <c r="O134" s="54">
        <f t="shared" si="30"/>
        <v>0</v>
      </c>
      <c r="P134" s="54">
        <f t="shared" si="31"/>
        <v>0</v>
      </c>
      <c r="Q134" s="1"/>
    </row>
    <row r="135" spans="2:17" ht="12.5">
      <c r="B135" s="7" t="str">
        <f t="shared" si="19"/>
        <v/>
      </c>
      <c r="C135" s="50">
        <f>IF(D93="","-",+C134+1)</f>
        <v>2044</v>
      </c>
      <c r="D135" s="12">
        <v>0</v>
      </c>
      <c r="E135" s="56">
        <f>IF(+J96&lt;F134,J96,D135)</f>
        <v>0</v>
      </c>
      <c r="F135" s="55">
        <f t="shared" si="24"/>
        <v>0</v>
      </c>
      <c r="G135" s="55">
        <f t="shared" si="25"/>
        <v>0</v>
      </c>
      <c r="H135" s="58">
        <f t="shared" si="26"/>
        <v>0</v>
      </c>
      <c r="I135" s="108">
        <f t="shared" si="27"/>
        <v>0</v>
      </c>
      <c r="J135" s="54">
        <f t="shared" si="28"/>
        <v>0</v>
      </c>
      <c r="K135" s="54"/>
      <c r="L135" s="129"/>
      <c r="M135" s="54">
        <f t="shared" si="29"/>
        <v>0</v>
      </c>
      <c r="N135" s="129"/>
      <c r="O135" s="54">
        <f t="shared" si="30"/>
        <v>0</v>
      </c>
      <c r="P135" s="54">
        <f t="shared" si="31"/>
        <v>0</v>
      </c>
      <c r="Q135" s="1"/>
    </row>
    <row r="136" spans="2:17" ht="12.5">
      <c r="B136" s="7" t="str">
        <f t="shared" si="19"/>
        <v/>
      </c>
      <c r="C136" s="50">
        <f>IF(D93="","-",+C135+1)</f>
        <v>2045</v>
      </c>
      <c r="D136" s="12">
        <v>0</v>
      </c>
      <c r="E136" s="56">
        <f>IF(+J96&lt;F135,J96,D136)</f>
        <v>0</v>
      </c>
      <c r="F136" s="55">
        <f t="shared" si="24"/>
        <v>0</v>
      </c>
      <c r="G136" s="55">
        <f t="shared" si="25"/>
        <v>0</v>
      </c>
      <c r="H136" s="58">
        <f t="shared" si="26"/>
        <v>0</v>
      </c>
      <c r="I136" s="108">
        <f t="shared" si="27"/>
        <v>0</v>
      </c>
      <c r="J136" s="54">
        <f t="shared" si="28"/>
        <v>0</v>
      </c>
      <c r="K136" s="54"/>
      <c r="L136" s="129"/>
      <c r="M136" s="54">
        <f t="shared" si="29"/>
        <v>0</v>
      </c>
      <c r="N136" s="129"/>
      <c r="O136" s="54">
        <f t="shared" si="30"/>
        <v>0</v>
      </c>
      <c r="P136" s="54">
        <f t="shared" si="31"/>
        <v>0</v>
      </c>
      <c r="Q136" s="1"/>
    </row>
    <row r="137" spans="2:17" ht="12.5">
      <c r="B137" s="7" t="str">
        <f t="shared" si="19"/>
        <v/>
      </c>
      <c r="C137" s="50">
        <f>IF(D93="","-",+C136+1)</f>
        <v>2046</v>
      </c>
      <c r="D137" s="12">
        <v>0</v>
      </c>
      <c r="E137" s="56">
        <f>IF(+J96&lt;F136,J96,D137)</f>
        <v>0</v>
      </c>
      <c r="F137" s="55">
        <f t="shared" si="24"/>
        <v>0</v>
      </c>
      <c r="G137" s="55">
        <f t="shared" si="25"/>
        <v>0</v>
      </c>
      <c r="H137" s="58">
        <f t="shared" si="26"/>
        <v>0</v>
      </c>
      <c r="I137" s="108">
        <f t="shared" si="27"/>
        <v>0</v>
      </c>
      <c r="J137" s="54">
        <f t="shared" si="28"/>
        <v>0</v>
      </c>
      <c r="K137" s="54"/>
      <c r="L137" s="129"/>
      <c r="M137" s="54">
        <f t="shared" si="29"/>
        <v>0</v>
      </c>
      <c r="N137" s="129"/>
      <c r="O137" s="54">
        <f t="shared" si="30"/>
        <v>0</v>
      </c>
      <c r="P137" s="54">
        <f t="shared" si="31"/>
        <v>0</v>
      </c>
      <c r="Q137" s="1"/>
    </row>
    <row r="138" spans="2:17" ht="12.5">
      <c r="B138" s="7" t="str">
        <f t="shared" si="19"/>
        <v/>
      </c>
      <c r="C138" s="50">
        <f>IF(D93="","-",+C137+1)</f>
        <v>2047</v>
      </c>
      <c r="D138" s="12">
        <v>0</v>
      </c>
      <c r="E138" s="56">
        <f>IF(+J96&lt;F137,J96,D138)</f>
        <v>0</v>
      </c>
      <c r="F138" s="55">
        <f t="shared" si="24"/>
        <v>0</v>
      </c>
      <c r="G138" s="55">
        <f t="shared" si="25"/>
        <v>0</v>
      </c>
      <c r="H138" s="58">
        <f t="shared" si="26"/>
        <v>0</v>
      </c>
      <c r="I138" s="108">
        <f t="shared" si="27"/>
        <v>0</v>
      </c>
      <c r="J138" s="54">
        <f t="shared" si="28"/>
        <v>0</v>
      </c>
      <c r="K138" s="54"/>
      <c r="L138" s="129"/>
      <c r="M138" s="54">
        <f t="shared" si="29"/>
        <v>0</v>
      </c>
      <c r="N138" s="129"/>
      <c r="O138" s="54">
        <f t="shared" si="30"/>
        <v>0</v>
      </c>
      <c r="P138" s="54">
        <f t="shared" si="31"/>
        <v>0</v>
      </c>
      <c r="Q138" s="1"/>
    </row>
    <row r="139" spans="2:17" ht="12.5">
      <c r="B139" s="7" t="str">
        <f t="shared" si="19"/>
        <v/>
      </c>
      <c r="C139" s="50">
        <f>IF(D93="","-",+C138+1)</f>
        <v>2048</v>
      </c>
      <c r="D139" s="12">
        <v>0</v>
      </c>
      <c r="E139" s="56">
        <f>IF(+J96&lt;F138,J96,D139)</f>
        <v>0</v>
      </c>
      <c r="F139" s="55">
        <f t="shared" si="24"/>
        <v>0</v>
      </c>
      <c r="G139" s="55">
        <f t="shared" si="25"/>
        <v>0</v>
      </c>
      <c r="H139" s="58">
        <f t="shared" si="26"/>
        <v>0</v>
      </c>
      <c r="I139" s="108">
        <f t="shared" si="27"/>
        <v>0</v>
      </c>
      <c r="J139" s="54">
        <f t="shared" si="28"/>
        <v>0</v>
      </c>
      <c r="K139" s="54"/>
      <c r="L139" s="129"/>
      <c r="M139" s="54">
        <f t="shared" si="29"/>
        <v>0</v>
      </c>
      <c r="N139" s="129"/>
      <c r="O139" s="54">
        <f t="shared" si="30"/>
        <v>0</v>
      </c>
      <c r="P139" s="54">
        <f t="shared" si="31"/>
        <v>0</v>
      </c>
      <c r="Q139" s="1"/>
    </row>
    <row r="140" spans="2:17" ht="12.5">
      <c r="B140" s="7" t="str">
        <f t="shared" si="19"/>
        <v/>
      </c>
      <c r="C140" s="50">
        <f>IF(D93="","-",+C139+1)</f>
        <v>2049</v>
      </c>
      <c r="D140" s="12">
        <v>0</v>
      </c>
      <c r="E140" s="56">
        <f>IF(+J96&lt;F139,J96,D140)</f>
        <v>0</v>
      </c>
      <c r="F140" s="55">
        <f t="shared" si="24"/>
        <v>0</v>
      </c>
      <c r="G140" s="55">
        <f t="shared" si="25"/>
        <v>0</v>
      </c>
      <c r="H140" s="58">
        <f t="shared" si="26"/>
        <v>0</v>
      </c>
      <c r="I140" s="108">
        <f t="shared" si="27"/>
        <v>0</v>
      </c>
      <c r="J140" s="54">
        <f t="shared" si="28"/>
        <v>0</v>
      </c>
      <c r="K140" s="54"/>
      <c r="L140" s="129"/>
      <c r="M140" s="54">
        <f t="shared" si="29"/>
        <v>0</v>
      </c>
      <c r="N140" s="129"/>
      <c r="O140" s="54">
        <f t="shared" si="30"/>
        <v>0</v>
      </c>
      <c r="P140" s="54">
        <f t="shared" si="31"/>
        <v>0</v>
      </c>
      <c r="Q140" s="1"/>
    </row>
    <row r="141" spans="2:17" ht="12.5">
      <c r="B141" s="7" t="str">
        <f t="shared" si="19"/>
        <v/>
      </c>
      <c r="C141" s="50">
        <f>IF(D93="","-",+C140+1)</f>
        <v>2050</v>
      </c>
      <c r="D141" s="12">
        <v>0</v>
      </c>
      <c r="E141" s="56">
        <f>IF(+J96&lt;F140,J96,D141)</f>
        <v>0</v>
      </c>
      <c r="F141" s="55">
        <f t="shared" si="24"/>
        <v>0</v>
      </c>
      <c r="G141" s="55">
        <f t="shared" si="25"/>
        <v>0</v>
      </c>
      <c r="H141" s="58">
        <f t="shared" si="26"/>
        <v>0</v>
      </c>
      <c r="I141" s="108">
        <f t="shared" si="27"/>
        <v>0</v>
      </c>
      <c r="J141" s="54">
        <f t="shared" si="28"/>
        <v>0</v>
      </c>
      <c r="K141" s="54"/>
      <c r="L141" s="129"/>
      <c r="M141" s="54">
        <f t="shared" si="29"/>
        <v>0</v>
      </c>
      <c r="N141" s="129"/>
      <c r="O141" s="54">
        <f t="shared" si="30"/>
        <v>0</v>
      </c>
      <c r="P141" s="54">
        <f t="shared" si="31"/>
        <v>0</v>
      </c>
      <c r="Q141" s="1"/>
    </row>
    <row r="142" spans="2:17" ht="12.5">
      <c r="B142" s="7" t="str">
        <f t="shared" si="19"/>
        <v/>
      </c>
      <c r="C142" s="50">
        <f>IF(D93="","-",+C141+1)</f>
        <v>2051</v>
      </c>
      <c r="D142" s="12">
        <v>0</v>
      </c>
      <c r="E142" s="56">
        <f>IF(+J96&lt;F141,J96,D142)</f>
        <v>0</v>
      </c>
      <c r="F142" s="55">
        <f t="shared" si="24"/>
        <v>0</v>
      </c>
      <c r="G142" s="55">
        <f t="shared" si="25"/>
        <v>0</v>
      </c>
      <c r="H142" s="58">
        <f t="shared" si="26"/>
        <v>0</v>
      </c>
      <c r="I142" s="108">
        <f t="shared" si="27"/>
        <v>0</v>
      </c>
      <c r="J142" s="54">
        <f t="shared" si="28"/>
        <v>0</v>
      </c>
      <c r="K142" s="54"/>
      <c r="L142" s="129"/>
      <c r="M142" s="54">
        <f t="shared" si="29"/>
        <v>0</v>
      </c>
      <c r="N142" s="129"/>
      <c r="O142" s="54">
        <f t="shared" si="30"/>
        <v>0</v>
      </c>
      <c r="P142" s="54">
        <f t="shared" si="31"/>
        <v>0</v>
      </c>
      <c r="Q142" s="1"/>
    </row>
    <row r="143" spans="2:17" ht="12.5">
      <c r="B143" s="7" t="str">
        <f t="shared" si="19"/>
        <v/>
      </c>
      <c r="C143" s="50">
        <f>IF(D93="","-",+C142+1)</f>
        <v>2052</v>
      </c>
      <c r="D143" s="12">
        <v>0</v>
      </c>
      <c r="E143" s="56">
        <f>IF(+J96&lt;F142,J96,D143)</f>
        <v>0</v>
      </c>
      <c r="F143" s="55">
        <f t="shared" si="24"/>
        <v>0</v>
      </c>
      <c r="G143" s="55">
        <f t="shared" si="25"/>
        <v>0</v>
      </c>
      <c r="H143" s="58">
        <f t="shared" si="26"/>
        <v>0</v>
      </c>
      <c r="I143" s="108">
        <f t="shared" si="27"/>
        <v>0</v>
      </c>
      <c r="J143" s="54">
        <f t="shared" si="28"/>
        <v>0</v>
      </c>
      <c r="K143" s="54"/>
      <c r="L143" s="129"/>
      <c r="M143" s="54">
        <f t="shared" si="29"/>
        <v>0</v>
      </c>
      <c r="N143" s="129"/>
      <c r="O143" s="54">
        <f t="shared" si="30"/>
        <v>0</v>
      </c>
      <c r="P143" s="54">
        <f t="shared" si="31"/>
        <v>0</v>
      </c>
      <c r="Q143" s="1"/>
    </row>
    <row r="144" spans="2:17" ht="12.5">
      <c r="B144" s="7" t="str">
        <f t="shared" si="19"/>
        <v/>
      </c>
      <c r="C144" s="50">
        <f>IF(D93="","-",+C143+1)</f>
        <v>2053</v>
      </c>
      <c r="D144" s="12">
        <v>0</v>
      </c>
      <c r="E144" s="56">
        <f>IF(+J96&lt;F143,J96,D144)</f>
        <v>0</v>
      </c>
      <c r="F144" s="55">
        <f t="shared" si="24"/>
        <v>0</v>
      </c>
      <c r="G144" s="55">
        <f t="shared" si="25"/>
        <v>0</v>
      </c>
      <c r="H144" s="58">
        <f t="shared" si="26"/>
        <v>0</v>
      </c>
      <c r="I144" s="108">
        <f t="shared" si="27"/>
        <v>0</v>
      </c>
      <c r="J144" s="54">
        <f t="shared" si="28"/>
        <v>0</v>
      </c>
      <c r="K144" s="54"/>
      <c r="L144" s="129"/>
      <c r="M144" s="54">
        <f t="shared" si="29"/>
        <v>0</v>
      </c>
      <c r="N144" s="129"/>
      <c r="O144" s="54">
        <f t="shared" si="30"/>
        <v>0</v>
      </c>
      <c r="P144" s="54">
        <f t="shared" si="31"/>
        <v>0</v>
      </c>
      <c r="Q144" s="1"/>
    </row>
    <row r="145" spans="2:17" ht="12.5">
      <c r="B145" s="7" t="str">
        <f t="shared" si="19"/>
        <v/>
      </c>
      <c r="C145" s="50">
        <f>IF(D93="","-",+C144+1)</f>
        <v>2054</v>
      </c>
      <c r="D145" s="12">
        <v>0</v>
      </c>
      <c r="E145" s="56">
        <f>IF(+J96&lt;F144,J96,D145)</f>
        <v>0</v>
      </c>
      <c r="F145" s="55">
        <f t="shared" si="24"/>
        <v>0</v>
      </c>
      <c r="G145" s="55">
        <f t="shared" si="25"/>
        <v>0</v>
      </c>
      <c r="H145" s="58">
        <f t="shared" si="26"/>
        <v>0</v>
      </c>
      <c r="I145" s="108">
        <f t="shared" si="27"/>
        <v>0</v>
      </c>
      <c r="J145" s="54">
        <f t="shared" si="28"/>
        <v>0</v>
      </c>
      <c r="K145" s="54"/>
      <c r="L145" s="129"/>
      <c r="M145" s="54">
        <f t="shared" si="29"/>
        <v>0</v>
      </c>
      <c r="N145" s="129"/>
      <c r="O145" s="54">
        <f t="shared" si="30"/>
        <v>0</v>
      </c>
      <c r="P145" s="54">
        <f t="shared" si="31"/>
        <v>0</v>
      </c>
      <c r="Q145" s="1"/>
    </row>
    <row r="146" spans="2:17" ht="12.5">
      <c r="B146" s="7" t="str">
        <f t="shared" si="19"/>
        <v/>
      </c>
      <c r="C146" s="50">
        <f>IF(D93="","-",+C145+1)</f>
        <v>2055</v>
      </c>
      <c r="D146" s="12">
        <v>0</v>
      </c>
      <c r="E146" s="56">
        <f>IF(+J96&lt;F145,J96,D146)</f>
        <v>0</v>
      </c>
      <c r="F146" s="55">
        <f t="shared" si="24"/>
        <v>0</v>
      </c>
      <c r="G146" s="55">
        <f t="shared" si="25"/>
        <v>0</v>
      </c>
      <c r="H146" s="58">
        <f t="shared" si="26"/>
        <v>0</v>
      </c>
      <c r="I146" s="108">
        <f t="shared" si="27"/>
        <v>0</v>
      </c>
      <c r="J146" s="54">
        <f t="shared" si="28"/>
        <v>0</v>
      </c>
      <c r="K146" s="54"/>
      <c r="L146" s="129"/>
      <c r="M146" s="54">
        <f t="shared" si="29"/>
        <v>0</v>
      </c>
      <c r="N146" s="129"/>
      <c r="O146" s="54">
        <f t="shared" si="30"/>
        <v>0</v>
      </c>
      <c r="P146" s="54">
        <f t="shared" si="31"/>
        <v>0</v>
      </c>
      <c r="Q146" s="1"/>
    </row>
    <row r="147" spans="2:17" ht="12.5">
      <c r="B147" s="7" t="str">
        <f t="shared" si="19"/>
        <v/>
      </c>
      <c r="C147" s="50">
        <f>IF(D93="","-",+C146+1)</f>
        <v>2056</v>
      </c>
      <c r="D147" s="12">
        <v>0</v>
      </c>
      <c r="E147" s="56">
        <f>IF(+J96&lt;F146,J96,D147)</f>
        <v>0</v>
      </c>
      <c r="F147" s="55">
        <f t="shared" si="24"/>
        <v>0</v>
      </c>
      <c r="G147" s="55">
        <f t="shared" si="25"/>
        <v>0</v>
      </c>
      <c r="H147" s="58">
        <f t="shared" si="26"/>
        <v>0</v>
      </c>
      <c r="I147" s="108">
        <f t="shared" si="27"/>
        <v>0</v>
      </c>
      <c r="J147" s="54">
        <f t="shared" si="28"/>
        <v>0</v>
      </c>
      <c r="K147" s="54"/>
      <c r="L147" s="129"/>
      <c r="M147" s="54">
        <f t="shared" si="29"/>
        <v>0</v>
      </c>
      <c r="N147" s="129"/>
      <c r="O147" s="54">
        <f t="shared" si="30"/>
        <v>0</v>
      </c>
      <c r="P147" s="54">
        <f t="shared" si="31"/>
        <v>0</v>
      </c>
      <c r="Q147" s="1"/>
    </row>
    <row r="148" spans="2:17" ht="12.5">
      <c r="B148" s="7" t="str">
        <f t="shared" si="19"/>
        <v/>
      </c>
      <c r="C148" s="50">
        <f>IF(D93="","-",+C147+1)</f>
        <v>2057</v>
      </c>
      <c r="D148" s="12">
        <v>0</v>
      </c>
      <c r="E148" s="56">
        <f>IF(+J96&lt;F147,J96,D148)</f>
        <v>0</v>
      </c>
      <c r="F148" s="55">
        <f t="shared" si="24"/>
        <v>0</v>
      </c>
      <c r="G148" s="55">
        <f t="shared" si="25"/>
        <v>0</v>
      </c>
      <c r="H148" s="58">
        <f t="shared" si="26"/>
        <v>0</v>
      </c>
      <c r="I148" s="108">
        <f t="shared" si="27"/>
        <v>0</v>
      </c>
      <c r="J148" s="54">
        <f t="shared" si="28"/>
        <v>0</v>
      </c>
      <c r="K148" s="54"/>
      <c r="L148" s="129"/>
      <c r="M148" s="54">
        <f t="shared" si="29"/>
        <v>0</v>
      </c>
      <c r="N148" s="129"/>
      <c r="O148" s="54">
        <f t="shared" si="30"/>
        <v>0</v>
      </c>
      <c r="P148" s="54">
        <f t="shared" si="31"/>
        <v>0</v>
      </c>
      <c r="Q148" s="1"/>
    </row>
    <row r="149" spans="2:17" ht="12.5">
      <c r="B149" s="7" t="str">
        <f t="shared" si="19"/>
        <v/>
      </c>
      <c r="C149" s="50">
        <f>IF(D93="","-",+C148+1)</f>
        <v>2058</v>
      </c>
      <c r="D149" s="12">
        <v>0</v>
      </c>
      <c r="E149" s="56">
        <f>IF(+J96&lt;F148,J96,D149)</f>
        <v>0</v>
      </c>
      <c r="F149" s="55">
        <f t="shared" si="24"/>
        <v>0</v>
      </c>
      <c r="G149" s="55">
        <f t="shared" si="25"/>
        <v>0</v>
      </c>
      <c r="H149" s="58">
        <f t="shared" si="26"/>
        <v>0</v>
      </c>
      <c r="I149" s="108">
        <f t="shared" si="27"/>
        <v>0</v>
      </c>
      <c r="J149" s="54">
        <f t="shared" si="28"/>
        <v>0</v>
      </c>
      <c r="K149" s="54"/>
      <c r="L149" s="129"/>
      <c r="M149" s="54">
        <f t="shared" si="29"/>
        <v>0</v>
      </c>
      <c r="N149" s="129"/>
      <c r="O149" s="54">
        <f t="shared" si="30"/>
        <v>0</v>
      </c>
      <c r="P149" s="54">
        <f t="shared" si="31"/>
        <v>0</v>
      </c>
      <c r="Q149" s="1"/>
    </row>
    <row r="150" spans="2:17" ht="12.5">
      <c r="B150" s="7" t="str">
        <f t="shared" si="19"/>
        <v/>
      </c>
      <c r="C150" s="50">
        <f>IF(D93="","-",+C149+1)</f>
        <v>2059</v>
      </c>
      <c r="D150" s="12">
        <v>0</v>
      </c>
      <c r="E150" s="56">
        <f>IF(+J96&lt;F149,J96,D150)</f>
        <v>0</v>
      </c>
      <c r="F150" s="55">
        <f t="shared" si="24"/>
        <v>0</v>
      </c>
      <c r="G150" s="55">
        <f t="shared" si="25"/>
        <v>0</v>
      </c>
      <c r="H150" s="58">
        <f t="shared" si="26"/>
        <v>0</v>
      </c>
      <c r="I150" s="108">
        <f t="shared" si="27"/>
        <v>0</v>
      </c>
      <c r="J150" s="54">
        <f t="shared" si="28"/>
        <v>0</v>
      </c>
      <c r="K150" s="54"/>
      <c r="L150" s="129"/>
      <c r="M150" s="54">
        <f t="shared" si="29"/>
        <v>0</v>
      </c>
      <c r="N150" s="129"/>
      <c r="O150" s="54">
        <f t="shared" si="30"/>
        <v>0</v>
      </c>
      <c r="P150" s="54">
        <f t="shared" si="31"/>
        <v>0</v>
      </c>
      <c r="Q150" s="1"/>
    </row>
    <row r="151" spans="2:17" ht="12.5">
      <c r="B151" s="7" t="str">
        <f t="shared" si="19"/>
        <v/>
      </c>
      <c r="C151" s="50">
        <f>IF(D93="","-",+C150+1)</f>
        <v>2060</v>
      </c>
      <c r="D151" s="12">
        <v>0</v>
      </c>
      <c r="E151" s="56">
        <f>IF(+J96&lt;F150,J96,D151)</f>
        <v>0</v>
      </c>
      <c r="F151" s="55">
        <f t="shared" si="24"/>
        <v>0</v>
      </c>
      <c r="G151" s="55">
        <f t="shared" si="25"/>
        <v>0</v>
      </c>
      <c r="H151" s="58">
        <f t="shared" si="26"/>
        <v>0</v>
      </c>
      <c r="I151" s="108">
        <f t="shared" si="27"/>
        <v>0</v>
      </c>
      <c r="J151" s="54">
        <f t="shared" si="28"/>
        <v>0</v>
      </c>
      <c r="K151" s="54"/>
      <c r="L151" s="129"/>
      <c r="M151" s="54">
        <f t="shared" si="29"/>
        <v>0</v>
      </c>
      <c r="N151" s="129"/>
      <c r="O151" s="54">
        <f t="shared" si="30"/>
        <v>0</v>
      </c>
      <c r="P151" s="54">
        <f t="shared" si="31"/>
        <v>0</v>
      </c>
      <c r="Q151" s="1"/>
    </row>
    <row r="152" spans="2:17" ht="12.5">
      <c r="B152" s="7" t="str">
        <f t="shared" si="19"/>
        <v/>
      </c>
      <c r="C152" s="50">
        <f>IF(D93="","-",+C151+1)</f>
        <v>2061</v>
      </c>
      <c r="D152" s="12">
        <v>0</v>
      </c>
      <c r="E152" s="56">
        <f>IF(+J96&lt;F151,J96,D152)</f>
        <v>0</v>
      </c>
      <c r="F152" s="55">
        <f t="shared" si="24"/>
        <v>0</v>
      </c>
      <c r="G152" s="55">
        <f t="shared" si="25"/>
        <v>0</v>
      </c>
      <c r="H152" s="58">
        <f t="shared" si="26"/>
        <v>0</v>
      </c>
      <c r="I152" s="108">
        <f t="shared" si="27"/>
        <v>0</v>
      </c>
      <c r="J152" s="54">
        <f t="shared" si="28"/>
        <v>0</v>
      </c>
      <c r="K152" s="54"/>
      <c r="L152" s="129"/>
      <c r="M152" s="54">
        <f t="shared" si="29"/>
        <v>0</v>
      </c>
      <c r="N152" s="129"/>
      <c r="O152" s="54">
        <f t="shared" si="30"/>
        <v>0</v>
      </c>
      <c r="P152" s="54">
        <f t="shared" si="31"/>
        <v>0</v>
      </c>
      <c r="Q152" s="1"/>
    </row>
    <row r="153" spans="2:17" ht="12.5">
      <c r="B153" s="7" t="str">
        <f t="shared" si="19"/>
        <v/>
      </c>
      <c r="C153" s="50">
        <f>IF(D93="","-",+C152+1)</f>
        <v>2062</v>
      </c>
      <c r="D153" s="12">
        <v>0</v>
      </c>
      <c r="E153" s="56">
        <f>IF(+J96&lt;F152,J96,D153)</f>
        <v>0</v>
      </c>
      <c r="F153" s="55">
        <f t="shared" si="24"/>
        <v>0</v>
      </c>
      <c r="G153" s="55">
        <f t="shared" si="25"/>
        <v>0</v>
      </c>
      <c r="H153" s="58">
        <f t="shared" si="26"/>
        <v>0</v>
      </c>
      <c r="I153" s="108">
        <f t="shared" si="27"/>
        <v>0</v>
      </c>
      <c r="J153" s="54">
        <f t="shared" si="28"/>
        <v>0</v>
      </c>
      <c r="K153" s="54"/>
      <c r="L153" s="129"/>
      <c r="M153" s="54">
        <f t="shared" si="29"/>
        <v>0</v>
      </c>
      <c r="N153" s="129"/>
      <c r="O153" s="54">
        <f t="shared" si="30"/>
        <v>0</v>
      </c>
      <c r="P153" s="54">
        <f t="shared" si="31"/>
        <v>0</v>
      </c>
      <c r="Q153" s="1"/>
    </row>
    <row r="154" spans="2:17" ht="13" thickBot="1">
      <c r="B154" s="7" t="str">
        <f t="shared" si="19"/>
        <v/>
      </c>
      <c r="C154" s="59">
        <f>IF(D93="","-",+C153+1)</f>
        <v>2063</v>
      </c>
      <c r="D154" s="84">
        <v>0</v>
      </c>
      <c r="E154" s="61">
        <f>IF(+J96&lt;F153,J96,D154)</f>
        <v>0</v>
      </c>
      <c r="F154" s="60">
        <f t="shared" si="24"/>
        <v>0</v>
      </c>
      <c r="G154" s="60">
        <f t="shared" si="25"/>
        <v>0</v>
      </c>
      <c r="H154" s="62">
        <f t="shared" si="26"/>
        <v>0</v>
      </c>
      <c r="I154" s="109">
        <f t="shared" si="27"/>
        <v>0</v>
      </c>
      <c r="J154" s="64">
        <f t="shared" si="28"/>
        <v>0</v>
      </c>
      <c r="K154" s="54"/>
      <c r="L154" s="130"/>
      <c r="M154" s="64">
        <f t="shared" si="29"/>
        <v>0</v>
      </c>
      <c r="N154" s="130"/>
      <c r="O154" s="64">
        <f t="shared" si="30"/>
        <v>0</v>
      </c>
      <c r="P154" s="64">
        <f t="shared" si="31"/>
        <v>0</v>
      </c>
      <c r="Q154" s="1"/>
    </row>
    <row r="155" spans="2:17" ht="12.5">
      <c r="C155" s="12" t="s">
        <v>78</v>
      </c>
      <c r="D155" s="15"/>
      <c r="E155" s="15"/>
      <c r="F155" s="15"/>
      <c r="G155" s="15"/>
      <c r="H155" s="15"/>
      <c r="I155" s="15"/>
      <c r="J155" s="15">
        <f>SUM(J99:J154)</f>
        <v>0</v>
      </c>
      <c r="K155" s="15"/>
      <c r="L155" s="15"/>
      <c r="M155" s="15"/>
      <c r="N155" s="15"/>
      <c r="O155" s="15"/>
      <c r="P155" s="1"/>
      <c r="Q155" s="1"/>
    </row>
    <row r="156" spans="2:17" ht="12.5">
      <c r="D156" s="2"/>
      <c r="E156" s="1"/>
      <c r="F156" s="1"/>
      <c r="G156" s="1"/>
      <c r="H156" s="1"/>
      <c r="I156" s="3"/>
      <c r="J156" s="3"/>
      <c r="K156" s="15"/>
      <c r="L156" s="3"/>
      <c r="M156" s="3"/>
      <c r="N156" s="3"/>
      <c r="O156" s="3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3"/>
      <c r="J157" s="3"/>
      <c r="K157" s="15"/>
      <c r="L157" s="3"/>
      <c r="M157" s="3"/>
      <c r="N157" s="3"/>
      <c r="O157" s="3"/>
      <c r="P157" s="1"/>
      <c r="Q157" s="1"/>
    </row>
    <row r="158" spans="2:17" ht="12.5">
      <c r="D158" s="2"/>
      <c r="E158" s="1"/>
      <c r="F158" s="1"/>
      <c r="G158" s="1"/>
      <c r="H158" s="1"/>
      <c r="I158" s="3"/>
      <c r="J158" s="3"/>
      <c r="K158" s="15"/>
      <c r="L158" s="3"/>
      <c r="M158" s="3"/>
      <c r="N158" s="3"/>
      <c r="O158" s="3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15"/>
      <c r="I159" s="15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15"/>
      <c r="I160" s="15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15"/>
      <c r="I161" s="15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15"/>
      <c r="I162" s="15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17" priority="1" stopIfTrue="1" operator="equal">
      <formula>$I$10</formula>
    </cfRule>
  </conditionalFormatting>
  <conditionalFormatting sqref="C99:C154">
    <cfRule type="cellIs" dxfId="11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72"/>
  <dimension ref="A1:Q162"/>
  <sheetViews>
    <sheetView topLeftCell="A77" zoomScaleNormal="100" zoomScaleSheetLayoutView="75" workbookViewId="0">
      <selection activeCell="D31" sqref="D31:H3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21 of 77</v>
      </c>
      <c r="Q1" s="13"/>
    </row>
    <row r="2" spans="1:17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166712.5440494052</v>
      </c>
      <c r="P5" s="1"/>
    </row>
    <row r="6" spans="1:17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166712.5440494052</v>
      </c>
      <c r="O6" s="1"/>
      <c r="P6" s="1"/>
    </row>
    <row r="7" spans="1:17" ht="13.5" thickBot="1">
      <c r="C7" s="25" t="s">
        <v>48</v>
      </c>
      <c r="D7" s="127" t="s">
        <v>261</v>
      </c>
      <c r="E7" s="1"/>
      <c r="F7" s="1"/>
      <c r="G7" s="29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85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248</v>
      </c>
      <c r="E9" s="31" t="s">
        <v>494</v>
      </c>
      <c r="F9" s="462">
        <v>349</v>
      </c>
      <c r="G9" s="31"/>
      <c r="H9" s="31"/>
      <c r="I9" s="32"/>
      <c r="J9" s="33"/>
      <c r="P9" s="1"/>
    </row>
    <row r="10" spans="1:17" ht="13">
      <c r="C10" s="34" t="s">
        <v>51</v>
      </c>
      <c r="D10" s="363">
        <v>1642817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7" ht="12.5">
      <c r="C11" s="34" t="s">
        <v>54</v>
      </c>
      <c r="D11" s="37">
        <v>2010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3">
        <v>6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37336.75</v>
      </c>
      <c r="J14" s="293"/>
      <c r="K14" s="293"/>
      <c r="L14" s="293"/>
      <c r="M14" s="293"/>
      <c r="N14" s="293"/>
      <c r="O14" s="1"/>
      <c r="P14" s="1"/>
    </row>
    <row r="15" spans="1:17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2010</v>
      </c>
      <c r="D17" s="133">
        <v>2389000</v>
      </c>
      <c r="E17" s="374">
        <v>31434.210526315794</v>
      </c>
      <c r="F17" s="133">
        <v>2357565.789473684</v>
      </c>
      <c r="G17" s="374">
        <v>370369.65443341201</v>
      </c>
      <c r="H17" s="375">
        <v>370369.65443341201</v>
      </c>
      <c r="I17" s="141">
        <v>0</v>
      </c>
      <c r="J17" s="52"/>
      <c r="K17" s="112">
        <f t="shared" ref="K17:K22" si="0">G17</f>
        <v>370369.65443341201</v>
      </c>
      <c r="L17" s="53">
        <f t="shared" ref="L17:L48" si="1">IF(K17&lt;&gt;0,+G17-K17,0)</f>
        <v>0</v>
      </c>
      <c r="M17" s="112">
        <f t="shared" ref="M17:M22" si="2">H17</f>
        <v>370369.65443341201</v>
      </c>
      <c r="N17" s="53">
        <f t="shared" ref="N17:N48" si="3">IF(M17&lt;&gt;0,+H17-M17,0)</f>
        <v>0</v>
      </c>
      <c r="O17" s="54">
        <f t="shared" ref="O17:O48" si="4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2011</v>
      </c>
      <c r="D18" s="137">
        <v>1578368.7894736843</v>
      </c>
      <c r="E18" s="376">
        <v>39263.487804878052</v>
      </c>
      <c r="F18" s="137">
        <v>1539105.3016688062</v>
      </c>
      <c r="G18" s="376">
        <v>279659.70688308566</v>
      </c>
      <c r="H18" s="375">
        <v>279659.70688308566</v>
      </c>
      <c r="I18" s="141">
        <v>0</v>
      </c>
      <c r="J18" s="52"/>
      <c r="K18" s="113">
        <f t="shared" si="0"/>
        <v>279659.70688308566</v>
      </c>
      <c r="L18" s="54">
        <f t="shared" si="1"/>
        <v>0</v>
      </c>
      <c r="M18" s="113">
        <f t="shared" si="2"/>
        <v>279659.70688308566</v>
      </c>
      <c r="N18" s="54">
        <f t="shared" si="3"/>
        <v>0</v>
      </c>
      <c r="O18" s="54">
        <f t="shared" si="4"/>
        <v>0</v>
      </c>
      <c r="P18" s="1"/>
    </row>
    <row r="19" spans="2:16" ht="12.5">
      <c r="B19" s="7" t="str">
        <f>IF(D19=F18,"","IU")</f>
        <v>IU</v>
      </c>
      <c r="C19" s="50">
        <f>IF(D11="","-",+C18+1)</f>
        <v>2012</v>
      </c>
      <c r="D19" s="137">
        <v>1568274.3016688062</v>
      </c>
      <c r="E19" s="376">
        <v>39023.142857142855</v>
      </c>
      <c r="F19" s="137">
        <v>1529251.1588116633</v>
      </c>
      <c r="G19" s="376">
        <v>266453.58939381945</v>
      </c>
      <c r="H19" s="375">
        <v>266453.58939381945</v>
      </c>
      <c r="I19" s="141">
        <v>0</v>
      </c>
      <c r="J19" s="52"/>
      <c r="K19" s="113">
        <f t="shared" si="0"/>
        <v>266453.58939381945</v>
      </c>
      <c r="L19" s="54">
        <f t="shared" si="1"/>
        <v>0</v>
      </c>
      <c r="M19" s="113">
        <f t="shared" si="2"/>
        <v>266453.58939381945</v>
      </c>
      <c r="N19" s="54">
        <f t="shared" si="3"/>
        <v>0</v>
      </c>
      <c r="O19" s="54">
        <f t="shared" si="4"/>
        <v>0</v>
      </c>
      <c r="P19" s="1"/>
    </row>
    <row r="20" spans="2:16" ht="12.5">
      <c r="B20" s="7" t="str">
        <f t="shared" ref="B20:B72" si="5">IF(D20=F19,"","IU")</f>
        <v/>
      </c>
      <c r="C20" s="50">
        <f>IF(D11="","-",+C19+1)</f>
        <v>2013</v>
      </c>
      <c r="D20" s="151">
        <v>1529251.1588116633</v>
      </c>
      <c r="E20" s="420">
        <v>39023.142857142855</v>
      </c>
      <c r="F20" s="151">
        <v>1490228.0159545203</v>
      </c>
      <c r="G20" s="420">
        <v>247635.81443822815</v>
      </c>
      <c r="H20" s="421">
        <v>247635.81443822815</v>
      </c>
      <c r="I20" s="153">
        <v>0</v>
      </c>
      <c r="J20" s="52"/>
      <c r="K20" s="113">
        <f t="shared" si="0"/>
        <v>247635.81443822815</v>
      </c>
      <c r="L20" s="54">
        <f t="shared" ref="L20:L25" si="6">IF(K20&lt;&gt;0,+G20-K20,0)</f>
        <v>0</v>
      </c>
      <c r="M20" s="113">
        <f t="shared" si="2"/>
        <v>247635.81443822815</v>
      </c>
      <c r="N20" s="54">
        <f t="shared" ref="N20:N25" si="7">IF(M20&lt;&gt;0,+H20-M20,0)</f>
        <v>0</v>
      </c>
      <c r="O20" s="54">
        <f t="shared" ref="O20:O25" si="8">+N20-L20</f>
        <v>0</v>
      </c>
      <c r="P20" s="1"/>
    </row>
    <row r="21" spans="2:16" ht="12.5">
      <c r="B21" s="7" t="str">
        <f t="shared" si="5"/>
        <v/>
      </c>
      <c r="C21" s="50">
        <f>IF(D12="","-",+C20+1)</f>
        <v>2014</v>
      </c>
      <c r="D21" s="151">
        <v>1490228.0159545203</v>
      </c>
      <c r="E21" s="420">
        <v>39023.142857142855</v>
      </c>
      <c r="F21" s="151">
        <v>1451204.8730973774</v>
      </c>
      <c r="G21" s="420">
        <v>234805.92986157897</v>
      </c>
      <c r="H21" s="421">
        <v>234805.92986157897</v>
      </c>
      <c r="I21" s="153">
        <v>0</v>
      </c>
      <c r="J21" s="52"/>
      <c r="K21" s="113">
        <f t="shared" si="0"/>
        <v>234805.92986157897</v>
      </c>
      <c r="L21" s="54">
        <f t="shared" si="6"/>
        <v>0</v>
      </c>
      <c r="M21" s="113">
        <f t="shared" si="2"/>
        <v>234805.92986157897</v>
      </c>
      <c r="N21" s="54">
        <f t="shared" si="7"/>
        <v>0</v>
      </c>
      <c r="O21" s="54">
        <f t="shared" si="8"/>
        <v>0</v>
      </c>
      <c r="P21" s="1"/>
    </row>
    <row r="22" spans="2:16" ht="12.5">
      <c r="B22" s="7" t="str">
        <f t="shared" si="5"/>
        <v>IU</v>
      </c>
      <c r="C22" s="50">
        <f>IF(D11="","-",+C21+1)</f>
        <v>2015</v>
      </c>
      <c r="D22" s="151">
        <v>1455049.8730973776</v>
      </c>
      <c r="E22" s="420">
        <v>39114.690476190473</v>
      </c>
      <c r="F22" s="151">
        <v>1415935.1826211871</v>
      </c>
      <c r="G22" s="420">
        <v>225600.1518969718</v>
      </c>
      <c r="H22" s="421">
        <v>225600.1518969718</v>
      </c>
      <c r="I22" s="52">
        <v>0</v>
      </c>
      <c r="J22" s="52"/>
      <c r="K22" s="113">
        <f t="shared" si="0"/>
        <v>225600.1518969718</v>
      </c>
      <c r="L22" s="54">
        <f t="shared" si="6"/>
        <v>0</v>
      </c>
      <c r="M22" s="113">
        <f t="shared" si="2"/>
        <v>225600.1518969718</v>
      </c>
      <c r="N22" s="54">
        <f t="shared" si="7"/>
        <v>0</v>
      </c>
      <c r="O22" s="54">
        <f t="shared" si="8"/>
        <v>0</v>
      </c>
      <c r="P22" s="1"/>
    </row>
    <row r="23" spans="2:16" ht="12.5">
      <c r="B23" s="7" t="str">
        <f t="shared" si="5"/>
        <v/>
      </c>
      <c r="C23" s="50">
        <f>IF(D11="","-",+C22+1)</f>
        <v>2016</v>
      </c>
      <c r="D23" s="151">
        <v>1415935.1826211871</v>
      </c>
      <c r="E23" s="420">
        <v>39114.690476190473</v>
      </c>
      <c r="F23" s="151">
        <v>1376820.4921449965</v>
      </c>
      <c r="G23" s="420">
        <v>218211.46569994657</v>
      </c>
      <c r="H23" s="421">
        <v>218211.46569994657</v>
      </c>
      <c r="I23" s="52">
        <f t="shared" ref="I23:I48" si="9">H23-G23</f>
        <v>0</v>
      </c>
      <c r="J23" s="52"/>
      <c r="K23" s="113">
        <f t="shared" ref="K23:K28" si="10">G23</f>
        <v>218211.46569994657</v>
      </c>
      <c r="L23" s="54">
        <f t="shared" si="6"/>
        <v>0</v>
      </c>
      <c r="M23" s="113">
        <f t="shared" ref="M23:M28" si="11">H23</f>
        <v>218211.46569994657</v>
      </c>
      <c r="N23" s="54">
        <f t="shared" si="7"/>
        <v>0</v>
      </c>
      <c r="O23" s="54">
        <f t="shared" si="8"/>
        <v>0</v>
      </c>
      <c r="P23" s="1"/>
    </row>
    <row r="24" spans="2:16" ht="12.5">
      <c r="B24" s="7" t="str">
        <f t="shared" si="5"/>
        <v/>
      </c>
      <c r="C24" s="50">
        <f>IF(D11="","-",+C23+1)</f>
        <v>2017</v>
      </c>
      <c r="D24" s="151">
        <v>1376820.4921449965</v>
      </c>
      <c r="E24" s="420">
        <v>38205.046511627908</v>
      </c>
      <c r="F24" s="151">
        <v>1338615.4456333686</v>
      </c>
      <c r="G24" s="420">
        <v>206416.1656138415</v>
      </c>
      <c r="H24" s="421">
        <v>206416.1656138415</v>
      </c>
      <c r="I24" s="52">
        <f t="shared" si="9"/>
        <v>0</v>
      </c>
      <c r="J24" s="52"/>
      <c r="K24" s="113">
        <f t="shared" si="10"/>
        <v>206416.1656138415</v>
      </c>
      <c r="L24" s="54">
        <f t="shared" si="6"/>
        <v>0</v>
      </c>
      <c r="M24" s="113">
        <f t="shared" si="11"/>
        <v>206416.1656138415</v>
      </c>
      <c r="N24" s="54">
        <f t="shared" si="7"/>
        <v>0</v>
      </c>
      <c r="O24" s="54">
        <f t="shared" si="8"/>
        <v>0</v>
      </c>
      <c r="P24" s="1"/>
    </row>
    <row r="25" spans="2:16" ht="12.5">
      <c r="B25" s="7" t="str">
        <f t="shared" si="5"/>
        <v/>
      </c>
      <c r="C25" s="50">
        <f>IF(D11="","-",+C24+1)</f>
        <v>2018</v>
      </c>
      <c r="D25" s="151">
        <v>1338615.4456333686</v>
      </c>
      <c r="E25" s="420">
        <v>40068.707317073167</v>
      </c>
      <c r="F25" s="151">
        <v>1298546.7383162954</v>
      </c>
      <c r="G25" s="420">
        <v>207652.58306545476</v>
      </c>
      <c r="H25" s="421">
        <v>207652.58306545476</v>
      </c>
      <c r="I25" s="52">
        <f t="shared" si="9"/>
        <v>0</v>
      </c>
      <c r="J25" s="52"/>
      <c r="K25" s="113">
        <f t="shared" si="10"/>
        <v>207652.58306545476</v>
      </c>
      <c r="L25" s="54">
        <f t="shared" si="6"/>
        <v>0</v>
      </c>
      <c r="M25" s="113">
        <f t="shared" si="11"/>
        <v>207652.58306545476</v>
      </c>
      <c r="N25" s="54">
        <f t="shared" si="7"/>
        <v>0</v>
      </c>
      <c r="O25" s="54">
        <f t="shared" si="8"/>
        <v>0</v>
      </c>
      <c r="P25" s="1"/>
    </row>
    <row r="26" spans="2:16" ht="12.5">
      <c r="B26" s="7" t="str">
        <f t="shared" si="5"/>
        <v/>
      </c>
      <c r="C26" s="50">
        <f>IF(D11="","-",+C25+1)</f>
        <v>2019</v>
      </c>
      <c r="D26" s="151">
        <v>1298546.7383162954</v>
      </c>
      <c r="E26" s="420">
        <v>40068.707317073167</v>
      </c>
      <c r="F26" s="151">
        <v>1258478.0309992223</v>
      </c>
      <c r="G26" s="420">
        <v>202560.08681377117</v>
      </c>
      <c r="H26" s="421">
        <v>202560.08681377117</v>
      </c>
      <c r="I26" s="52">
        <f t="shared" si="9"/>
        <v>0</v>
      </c>
      <c r="J26" s="52"/>
      <c r="K26" s="113">
        <f t="shared" si="10"/>
        <v>202560.08681377117</v>
      </c>
      <c r="L26" s="54">
        <f t="shared" ref="L26" si="12">IF(K26&lt;&gt;0,+G26-K26,0)</f>
        <v>0</v>
      </c>
      <c r="M26" s="113">
        <f t="shared" si="11"/>
        <v>202560.08681377117</v>
      </c>
      <c r="N26" s="54">
        <f t="shared" si="3"/>
        <v>0</v>
      </c>
      <c r="O26" s="54">
        <f t="shared" si="4"/>
        <v>0</v>
      </c>
      <c r="P26" s="1"/>
    </row>
    <row r="27" spans="2:16" ht="12.5">
      <c r="B27" s="7" t="str">
        <f t="shared" si="5"/>
        <v/>
      </c>
      <c r="C27" s="50">
        <f>IF(D11="","-",+C26+1)</f>
        <v>2020</v>
      </c>
      <c r="D27" s="151">
        <v>1258478.0309992223</v>
      </c>
      <c r="E27" s="420">
        <v>40068.707317073167</v>
      </c>
      <c r="F27" s="151">
        <v>1218409.3236821492</v>
      </c>
      <c r="G27" s="420">
        <v>166805.4048847931</v>
      </c>
      <c r="H27" s="421">
        <v>166805.4048847931</v>
      </c>
      <c r="I27" s="52">
        <f t="shared" si="9"/>
        <v>0</v>
      </c>
      <c r="J27" s="52"/>
      <c r="K27" s="113">
        <f t="shared" si="10"/>
        <v>166805.4048847931</v>
      </c>
      <c r="L27" s="54">
        <f t="shared" ref="L27" si="13">IF(K27&lt;&gt;0,+G27-K27,0)</f>
        <v>0</v>
      </c>
      <c r="M27" s="113">
        <f t="shared" si="11"/>
        <v>166805.4048847931</v>
      </c>
      <c r="N27" s="54">
        <f t="shared" si="3"/>
        <v>0</v>
      </c>
      <c r="O27" s="54">
        <f t="shared" si="4"/>
        <v>0</v>
      </c>
      <c r="P27" s="1"/>
    </row>
    <row r="28" spans="2:16" ht="12.5">
      <c r="B28" s="7" t="str">
        <f t="shared" si="5"/>
        <v>IU</v>
      </c>
      <c r="C28" s="50">
        <f>IF(D11="","-",+C27+1)</f>
        <v>2021</v>
      </c>
      <c r="D28" s="151">
        <v>1220272.9844875946</v>
      </c>
      <c r="E28" s="420">
        <v>39114.690476190473</v>
      </c>
      <c r="F28" s="151">
        <v>1181158.294011404</v>
      </c>
      <c r="G28" s="420">
        <v>166396.00554039481</v>
      </c>
      <c r="H28" s="421">
        <v>166396.00554039481</v>
      </c>
      <c r="I28" s="52">
        <f t="shared" si="9"/>
        <v>0</v>
      </c>
      <c r="J28" s="52"/>
      <c r="K28" s="113">
        <f t="shared" si="10"/>
        <v>166396.00554039481</v>
      </c>
      <c r="L28" s="54">
        <f t="shared" ref="L28" si="14">IF(K28&lt;&gt;0,+G28-K28,0)</f>
        <v>0</v>
      </c>
      <c r="M28" s="113">
        <f t="shared" si="11"/>
        <v>166396.00554039481</v>
      </c>
      <c r="N28" s="54">
        <f t="shared" si="3"/>
        <v>0</v>
      </c>
      <c r="O28" s="54">
        <f t="shared" si="4"/>
        <v>0</v>
      </c>
      <c r="P28" s="1"/>
    </row>
    <row r="29" spans="2:16" ht="12.5">
      <c r="B29" s="7" t="str">
        <f t="shared" si="5"/>
        <v>IU</v>
      </c>
      <c r="C29" s="50">
        <f>IF(D11="","-",+C28+1)</f>
        <v>2022</v>
      </c>
      <c r="D29" s="151">
        <v>1179294.6332059586</v>
      </c>
      <c r="E29" s="420">
        <v>39114.690476190473</v>
      </c>
      <c r="F29" s="151">
        <v>1140179.9427297681</v>
      </c>
      <c r="G29" s="420">
        <v>169520.30244335823</v>
      </c>
      <c r="H29" s="421">
        <v>169520.30244335823</v>
      </c>
      <c r="I29" s="52">
        <f t="shared" si="9"/>
        <v>0</v>
      </c>
      <c r="J29" s="52"/>
      <c r="K29" s="113">
        <f t="shared" ref="K29" si="15">G29</f>
        <v>169520.30244335823</v>
      </c>
      <c r="L29" s="54">
        <f t="shared" ref="L29" si="16">IF(K29&lt;&gt;0,+G29-K29,0)</f>
        <v>0</v>
      </c>
      <c r="M29" s="113">
        <f t="shared" ref="M29" si="17">H29</f>
        <v>169520.30244335823</v>
      </c>
      <c r="N29" s="54">
        <f t="shared" si="3"/>
        <v>0</v>
      </c>
      <c r="O29" s="54">
        <f t="shared" si="4"/>
        <v>0</v>
      </c>
      <c r="P29" s="1"/>
    </row>
    <row r="30" spans="2:16" ht="12.5">
      <c r="B30" s="7" t="str">
        <f t="shared" si="5"/>
        <v/>
      </c>
      <c r="C30" s="50">
        <f>IF(D11="","-",+C29+1)</f>
        <v>2023</v>
      </c>
      <c r="D30" s="151">
        <v>1140179.9427297681</v>
      </c>
      <c r="E30" s="420">
        <v>39114.690476190473</v>
      </c>
      <c r="F30" s="151">
        <v>1101065.2522535776</v>
      </c>
      <c r="G30" s="420">
        <v>180679.34375469992</v>
      </c>
      <c r="H30" s="421">
        <v>180679.34375469992</v>
      </c>
      <c r="I30" s="52">
        <f t="shared" si="9"/>
        <v>0</v>
      </c>
      <c r="J30" s="52"/>
      <c r="K30" s="113">
        <f t="shared" ref="K30" si="18">G30</f>
        <v>180679.34375469992</v>
      </c>
      <c r="L30" s="54">
        <f t="shared" ref="L30" si="19">IF(K30&lt;&gt;0,+G30-K30,0)</f>
        <v>0</v>
      </c>
      <c r="M30" s="113">
        <f t="shared" ref="M30" si="20">H30</f>
        <v>180679.34375469992</v>
      </c>
      <c r="N30" s="54">
        <f t="shared" si="3"/>
        <v>0</v>
      </c>
      <c r="O30" s="54">
        <f t="shared" si="4"/>
        <v>0</v>
      </c>
      <c r="P30" s="1"/>
    </row>
    <row r="31" spans="2:16" ht="12.5">
      <c r="B31" s="7" t="str">
        <f t="shared" si="5"/>
        <v/>
      </c>
      <c r="C31" s="50">
        <f>IF(D11="","-",+C30+1)</f>
        <v>2024</v>
      </c>
      <c r="D31" s="151">
        <v>1101065.2522535776</v>
      </c>
      <c r="E31" s="420">
        <v>37336.75</v>
      </c>
      <c r="F31" s="151">
        <v>1063728.5022535776</v>
      </c>
      <c r="G31" s="420">
        <v>166712.5440494052</v>
      </c>
      <c r="H31" s="421">
        <v>166712.5440494052</v>
      </c>
      <c r="I31" s="52">
        <f t="shared" si="9"/>
        <v>0</v>
      </c>
      <c r="J31" s="52"/>
      <c r="K31" s="113">
        <f t="shared" ref="K31" si="21">G31</f>
        <v>166712.5440494052</v>
      </c>
      <c r="L31" s="54">
        <f t="shared" ref="L31" si="22">IF(K31&lt;&gt;0,+G31-K31,0)</f>
        <v>0</v>
      </c>
      <c r="M31" s="113">
        <f t="shared" ref="M31" si="23">H31</f>
        <v>166712.5440494052</v>
      </c>
      <c r="N31" s="54">
        <f t="shared" ref="N31" si="24">IF(M31&lt;&gt;0,+H31-M31,0)</f>
        <v>0</v>
      </c>
      <c r="O31" s="54">
        <f t="shared" ref="O31" si="25">+N31-L31</f>
        <v>0</v>
      </c>
      <c r="P31" s="1"/>
    </row>
    <row r="32" spans="2:16" ht="12.5">
      <c r="B32" s="7" t="str">
        <f t="shared" si="5"/>
        <v/>
      </c>
      <c r="C32" s="50">
        <f>IF(D11="","-",+C31+1)</f>
        <v>2025</v>
      </c>
      <c r="D32" s="55">
        <f>IF(F31+SUM(E$17:E31)=D$10,F31,D$10-SUM(E$17:E31))</f>
        <v>1063728.5022535776</v>
      </c>
      <c r="E32" s="378">
        <f>IF(+I14&lt;F31,I14,D32)</f>
        <v>37336.75</v>
      </c>
      <c r="F32" s="55">
        <f t="shared" ref="F32:F48" si="26">+D32-E32</f>
        <v>1026391.7522535776</v>
      </c>
      <c r="G32" s="379">
        <f t="shared" ref="G32:G55" si="27">+I$12*((D32+F32)/2)+E32</f>
        <v>162249.78941662141</v>
      </c>
      <c r="H32" s="364">
        <f t="shared" ref="H32:H55" si="28">+I$13*((D32+F32)/2)+E32</f>
        <v>162249.78941662141</v>
      </c>
      <c r="I32" s="52">
        <f t="shared" si="9"/>
        <v>0</v>
      </c>
      <c r="J32" s="52"/>
      <c r="K32" s="129"/>
      <c r="L32" s="54">
        <f t="shared" si="1"/>
        <v>0</v>
      </c>
      <c r="M32" s="129"/>
      <c r="N32" s="54">
        <f t="shared" si="3"/>
        <v>0</v>
      </c>
      <c r="O32" s="54">
        <f t="shared" si="4"/>
        <v>0</v>
      </c>
      <c r="P32" s="1"/>
    </row>
    <row r="33" spans="2:16" ht="12.5">
      <c r="B33" s="7" t="str">
        <f t="shared" si="5"/>
        <v/>
      </c>
      <c r="C33" s="50">
        <f>IF(D11="","-",+C32+1)</f>
        <v>2026</v>
      </c>
      <c r="D33" s="55">
        <f>IF(F32+SUM(E$17:E32)=D$10,F32,D$10-SUM(E$17:E32))</f>
        <v>1026391.7522535776</v>
      </c>
      <c r="E33" s="378">
        <f>IF(+I14&lt;F32,I14,D33)</f>
        <v>37336.75</v>
      </c>
      <c r="F33" s="55">
        <f t="shared" si="26"/>
        <v>989055.00225357758</v>
      </c>
      <c r="G33" s="379">
        <f t="shared" si="27"/>
        <v>157787.03478383759</v>
      </c>
      <c r="H33" s="364">
        <f t="shared" si="28"/>
        <v>157787.03478383759</v>
      </c>
      <c r="I33" s="52">
        <f t="shared" si="9"/>
        <v>0</v>
      </c>
      <c r="J33" s="52"/>
      <c r="K33" s="129"/>
      <c r="L33" s="54">
        <f t="shared" si="1"/>
        <v>0</v>
      </c>
      <c r="M33" s="129"/>
      <c r="N33" s="54">
        <f t="shared" si="3"/>
        <v>0</v>
      </c>
      <c r="O33" s="54">
        <f t="shared" si="4"/>
        <v>0</v>
      </c>
      <c r="P33" s="1"/>
    </row>
    <row r="34" spans="2:16" ht="12.5">
      <c r="B34" s="7" t="str">
        <f t="shared" si="5"/>
        <v/>
      </c>
      <c r="C34" s="50">
        <f>IF(D11="","-",+C33+1)</f>
        <v>2027</v>
      </c>
      <c r="D34" s="55">
        <f>IF(F33+SUM(E$17:E33)=D$10,F33,D$10-SUM(E$17:E33))</f>
        <v>989055.00225357758</v>
      </c>
      <c r="E34" s="378">
        <f>IF(+I14&lt;F33,I14,D34)</f>
        <v>37336.75</v>
      </c>
      <c r="F34" s="55">
        <f t="shared" si="26"/>
        <v>951718.25225357758</v>
      </c>
      <c r="G34" s="379">
        <f t="shared" si="27"/>
        <v>153324.2801510538</v>
      </c>
      <c r="H34" s="364">
        <f t="shared" si="28"/>
        <v>153324.2801510538</v>
      </c>
      <c r="I34" s="52">
        <f t="shared" si="9"/>
        <v>0</v>
      </c>
      <c r="J34" s="52"/>
      <c r="K34" s="129"/>
      <c r="L34" s="54">
        <f t="shared" si="1"/>
        <v>0</v>
      </c>
      <c r="M34" s="129"/>
      <c r="N34" s="54">
        <f t="shared" si="3"/>
        <v>0</v>
      </c>
      <c r="O34" s="54">
        <f t="shared" si="4"/>
        <v>0</v>
      </c>
      <c r="P34" s="1"/>
    </row>
    <row r="35" spans="2:16" ht="12.5">
      <c r="B35" s="7" t="str">
        <f t="shared" si="5"/>
        <v/>
      </c>
      <c r="C35" s="50">
        <f>IF(D11="","-",+C34+1)</f>
        <v>2028</v>
      </c>
      <c r="D35" s="55">
        <f>IF(F34+SUM(E$17:E34)=D$10,F34,D$10-SUM(E$17:E34))</f>
        <v>951718.25225357758</v>
      </c>
      <c r="E35" s="378">
        <f>IF(+I14&lt;F34,I14,D35)</f>
        <v>37336.75</v>
      </c>
      <c r="F35" s="55">
        <f t="shared" si="26"/>
        <v>914381.50225357758</v>
      </c>
      <c r="G35" s="379">
        <f t="shared" si="27"/>
        <v>148861.52551826998</v>
      </c>
      <c r="H35" s="364">
        <f t="shared" si="28"/>
        <v>148861.52551826998</v>
      </c>
      <c r="I35" s="52">
        <f t="shared" si="9"/>
        <v>0</v>
      </c>
      <c r="J35" s="52"/>
      <c r="K35" s="129"/>
      <c r="L35" s="54">
        <f t="shared" si="1"/>
        <v>0</v>
      </c>
      <c r="M35" s="129"/>
      <c r="N35" s="54">
        <f t="shared" si="3"/>
        <v>0</v>
      </c>
      <c r="O35" s="54">
        <f t="shared" si="4"/>
        <v>0</v>
      </c>
      <c r="P35" s="1"/>
    </row>
    <row r="36" spans="2:16" ht="12.5">
      <c r="B36" s="7" t="str">
        <f t="shared" si="5"/>
        <v/>
      </c>
      <c r="C36" s="50">
        <f>IF(D11="","-",+C35+1)</f>
        <v>2029</v>
      </c>
      <c r="D36" s="55">
        <f>IF(F35+SUM(E$17:E35)=D$10,F35,D$10-SUM(E$17:E35))</f>
        <v>914381.50225357758</v>
      </c>
      <c r="E36" s="378">
        <f>IF(+I14&lt;F35,I14,D36)</f>
        <v>37336.75</v>
      </c>
      <c r="F36" s="55">
        <f t="shared" si="26"/>
        <v>877044.75225357758</v>
      </c>
      <c r="G36" s="379">
        <f t="shared" si="27"/>
        <v>144398.77088548616</v>
      </c>
      <c r="H36" s="364">
        <f t="shared" si="28"/>
        <v>144398.77088548616</v>
      </c>
      <c r="I36" s="52">
        <f t="shared" si="9"/>
        <v>0</v>
      </c>
      <c r="J36" s="52"/>
      <c r="K36" s="129"/>
      <c r="L36" s="54">
        <f t="shared" si="1"/>
        <v>0</v>
      </c>
      <c r="M36" s="129"/>
      <c r="N36" s="54">
        <f t="shared" si="3"/>
        <v>0</v>
      </c>
      <c r="O36" s="54">
        <f t="shared" si="4"/>
        <v>0</v>
      </c>
      <c r="P36" s="1"/>
    </row>
    <row r="37" spans="2:16" ht="12.5">
      <c r="B37" s="7" t="str">
        <f t="shared" si="5"/>
        <v/>
      </c>
      <c r="C37" s="50">
        <f>IF(D11="","-",+C36+1)</f>
        <v>2030</v>
      </c>
      <c r="D37" s="55">
        <f>IF(F36+SUM(E$17:E36)=D$10,F36,D$10-SUM(E$17:E36))</f>
        <v>877044.75225357758</v>
      </c>
      <c r="E37" s="378">
        <f>IF(+I14&lt;F36,I14,D37)</f>
        <v>37336.75</v>
      </c>
      <c r="F37" s="55">
        <f t="shared" si="26"/>
        <v>839708.00225357758</v>
      </c>
      <c r="G37" s="379">
        <f t="shared" si="27"/>
        <v>139936.01625270236</v>
      </c>
      <c r="H37" s="364">
        <f t="shared" si="28"/>
        <v>139936.01625270236</v>
      </c>
      <c r="I37" s="52">
        <f t="shared" si="9"/>
        <v>0</v>
      </c>
      <c r="J37" s="52"/>
      <c r="K37" s="129"/>
      <c r="L37" s="54">
        <f t="shared" si="1"/>
        <v>0</v>
      </c>
      <c r="M37" s="129"/>
      <c r="N37" s="54">
        <f t="shared" si="3"/>
        <v>0</v>
      </c>
      <c r="O37" s="54">
        <f t="shared" si="4"/>
        <v>0</v>
      </c>
      <c r="P37" s="1"/>
    </row>
    <row r="38" spans="2:16" ht="12.5">
      <c r="B38" s="7" t="str">
        <f t="shared" si="5"/>
        <v/>
      </c>
      <c r="C38" s="50">
        <f>IF(D11="","-",+C37+1)</f>
        <v>2031</v>
      </c>
      <c r="D38" s="55">
        <f>IF(F37+SUM(E$17:E37)=D$10,F37,D$10-SUM(E$17:E37))</f>
        <v>839708.00225357758</v>
      </c>
      <c r="E38" s="378">
        <f>IF(+I14&lt;F37,I14,D38)</f>
        <v>37336.75</v>
      </c>
      <c r="F38" s="55">
        <f t="shared" si="26"/>
        <v>802371.25225357758</v>
      </c>
      <c r="G38" s="379">
        <f t="shared" si="27"/>
        <v>135473.26161991857</v>
      </c>
      <c r="H38" s="364">
        <f t="shared" si="28"/>
        <v>135473.26161991857</v>
      </c>
      <c r="I38" s="52">
        <f t="shared" si="9"/>
        <v>0</v>
      </c>
      <c r="J38" s="52"/>
      <c r="K38" s="129"/>
      <c r="L38" s="54">
        <f t="shared" si="1"/>
        <v>0</v>
      </c>
      <c r="M38" s="129"/>
      <c r="N38" s="54">
        <f t="shared" si="3"/>
        <v>0</v>
      </c>
      <c r="O38" s="54">
        <f t="shared" si="4"/>
        <v>0</v>
      </c>
      <c r="P38" s="1"/>
    </row>
    <row r="39" spans="2:16" ht="12.5">
      <c r="B39" s="7" t="str">
        <f t="shared" si="5"/>
        <v/>
      </c>
      <c r="C39" s="50">
        <f>IF(D11="","-",+C38+1)</f>
        <v>2032</v>
      </c>
      <c r="D39" s="55">
        <f>IF(F38+SUM(E$17:E38)=D$10,F38,D$10-SUM(E$17:E38))</f>
        <v>802371.25225357758</v>
      </c>
      <c r="E39" s="378">
        <f>IF(+I14&lt;F38,I14,D39)</f>
        <v>37336.75</v>
      </c>
      <c r="F39" s="55">
        <f t="shared" si="26"/>
        <v>765034.50225357758</v>
      </c>
      <c r="G39" s="379">
        <f t="shared" si="27"/>
        <v>131010.50698713475</v>
      </c>
      <c r="H39" s="364">
        <f t="shared" si="28"/>
        <v>131010.50698713475</v>
      </c>
      <c r="I39" s="52">
        <f t="shared" si="9"/>
        <v>0</v>
      </c>
      <c r="J39" s="52"/>
      <c r="K39" s="129"/>
      <c r="L39" s="54">
        <f t="shared" si="1"/>
        <v>0</v>
      </c>
      <c r="M39" s="129"/>
      <c r="N39" s="54">
        <f t="shared" si="3"/>
        <v>0</v>
      </c>
      <c r="O39" s="54">
        <f t="shared" si="4"/>
        <v>0</v>
      </c>
      <c r="P39" s="1"/>
    </row>
    <row r="40" spans="2:16" ht="12.5">
      <c r="B40" s="7" t="str">
        <f t="shared" si="5"/>
        <v/>
      </c>
      <c r="C40" s="50">
        <f>IF(D11="","-",+C39+1)</f>
        <v>2033</v>
      </c>
      <c r="D40" s="55">
        <f>IF(F39+SUM(E$17:E39)=D$10,F39,D$10-SUM(E$17:E39))</f>
        <v>765034.50225357758</v>
      </c>
      <c r="E40" s="378">
        <f>IF(+I14&lt;F39,I14,D40)</f>
        <v>37336.75</v>
      </c>
      <c r="F40" s="55">
        <f t="shared" si="26"/>
        <v>727697.75225357758</v>
      </c>
      <c r="G40" s="379">
        <f t="shared" si="27"/>
        <v>126547.75235435095</v>
      </c>
      <c r="H40" s="364">
        <f t="shared" si="28"/>
        <v>126547.75235435095</v>
      </c>
      <c r="I40" s="52">
        <f t="shared" si="9"/>
        <v>0</v>
      </c>
      <c r="J40" s="52"/>
      <c r="K40" s="129"/>
      <c r="L40" s="54">
        <f t="shared" si="1"/>
        <v>0</v>
      </c>
      <c r="M40" s="129"/>
      <c r="N40" s="54">
        <f t="shared" si="3"/>
        <v>0</v>
      </c>
      <c r="O40" s="54">
        <f t="shared" si="4"/>
        <v>0</v>
      </c>
      <c r="P40" s="1"/>
    </row>
    <row r="41" spans="2:16" ht="12.5">
      <c r="B41" s="7" t="str">
        <f t="shared" si="5"/>
        <v/>
      </c>
      <c r="C41" s="50">
        <f>IF(D11="","-",+C40+1)</f>
        <v>2034</v>
      </c>
      <c r="D41" s="55">
        <f>IF(F40+SUM(E$17:E40)=D$10,F40,D$10-SUM(E$17:E40))</f>
        <v>727697.75225357758</v>
      </c>
      <c r="E41" s="378">
        <f>IF(+I14&lt;F40,I14,D41)</f>
        <v>37336.75</v>
      </c>
      <c r="F41" s="55">
        <f t="shared" si="26"/>
        <v>690361.00225357758</v>
      </c>
      <c r="G41" s="379">
        <f t="shared" si="27"/>
        <v>122084.99772156714</v>
      </c>
      <c r="H41" s="364">
        <f t="shared" si="28"/>
        <v>122084.99772156714</v>
      </c>
      <c r="I41" s="52">
        <f t="shared" si="9"/>
        <v>0</v>
      </c>
      <c r="J41" s="52"/>
      <c r="K41" s="129"/>
      <c r="L41" s="54">
        <f t="shared" si="1"/>
        <v>0</v>
      </c>
      <c r="M41" s="129"/>
      <c r="N41" s="54">
        <f t="shared" si="3"/>
        <v>0</v>
      </c>
      <c r="O41" s="54">
        <f t="shared" si="4"/>
        <v>0</v>
      </c>
      <c r="P41" s="1"/>
    </row>
    <row r="42" spans="2:16" ht="12.5">
      <c r="B42" s="7" t="str">
        <f t="shared" si="5"/>
        <v/>
      </c>
      <c r="C42" s="50">
        <f>IF(D11="","-",+C41+1)</f>
        <v>2035</v>
      </c>
      <c r="D42" s="55">
        <f>IF(F41+SUM(E$17:E41)=D$10,F41,D$10-SUM(E$17:E41))</f>
        <v>690361.00225357758</v>
      </c>
      <c r="E42" s="378">
        <f>IF(+I14&lt;F41,I14,D42)</f>
        <v>37336.75</v>
      </c>
      <c r="F42" s="55">
        <f t="shared" si="26"/>
        <v>653024.25225357758</v>
      </c>
      <c r="G42" s="379">
        <f t="shared" si="27"/>
        <v>117622.24308878332</v>
      </c>
      <c r="H42" s="364">
        <f t="shared" si="28"/>
        <v>117622.24308878332</v>
      </c>
      <c r="I42" s="52">
        <f t="shared" si="9"/>
        <v>0</v>
      </c>
      <c r="J42" s="52"/>
      <c r="K42" s="129"/>
      <c r="L42" s="54">
        <f t="shared" si="1"/>
        <v>0</v>
      </c>
      <c r="M42" s="129"/>
      <c r="N42" s="54">
        <f t="shared" si="3"/>
        <v>0</v>
      </c>
      <c r="O42" s="54">
        <f t="shared" si="4"/>
        <v>0</v>
      </c>
      <c r="P42" s="1"/>
    </row>
    <row r="43" spans="2:16" ht="12.5">
      <c r="B43" s="7" t="str">
        <f t="shared" si="5"/>
        <v/>
      </c>
      <c r="C43" s="50">
        <f>IF(D11="","-",+C42+1)</f>
        <v>2036</v>
      </c>
      <c r="D43" s="55">
        <f>IF(F42+SUM(E$17:E42)=D$10,F42,D$10-SUM(E$17:E42))</f>
        <v>653024.25225357758</v>
      </c>
      <c r="E43" s="378">
        <f>IF(+I14&lt;F42,I14,D43)</f>
        <v>37336.75</v>
      </c>
      <c r="F43" s="55">
        <f t="shared" si="26"/>
        <v>615687.50225357758</v>
      </c>
      <c r="G43" s="379">
        <f t="shared" si="27"/>
        <v>113159.48845599951</v>
      </c>
      <c r="H43" s="364">
        <f t="shared" si="28"/>
        <v>113159.48845599951</v>
      </c>
      <c r="I43" s="52">
        <f t="shared" si="9"/>
        <v>0</v>
      </c>
      <c r="J43" s="52"/>
      <c r="K43" s="129"/>
      <c r="L43" s="54">
        <f t="shared" si="1"/>
        <v>0</v>
      </c>
      <c r="M43" s="129"/>
      <c r="N43" s="54">
        <f t="shared" si="3"/>
        <v>0</v>
      </c>
      <c r="O43" s="54">
        <f t="shared" si="4"/>
        <v>0</v>
      </c>
      <c r="P43" s="1"/>
    </row>
    <row r="44" spans="2:16" ht="12.5">
      <c r="B44" s="7" t="str">
        <f t="shared" si="5"/>
        <v/>
      </c>
      <c r="C44" s="50">
        <f>IF(D11="","-",+C43+1)</f>
        <v>2037</v>
      </c>
      <c r="D44" s="55">
        <f>IF(F43+SUM(E$17:E43)=D$10,F43,D$10-SUM(E$17:E43))</f>
        <v>615687.50225357758</v>
      </c>
      <c r="E44" s="378">
        <f>IF(+I14&lt;F43,I14,D44)</f>
        <v>37336.75</v>
      </c>
      <c r="F44" s="55">
        <f t="shared" si="26"/>
        <v>578350.75225357758</v>
      </c>
      <c r="G44" s="379">
        <f t="shared" si="27"/>
        <v>108696.73382321571</v>
      </c>
      <c r="H44" s="364">
        <f t="shared" si="28"/>
        <v>108696.73382321571</v>
      </c>
      <c r="I44" s="52">
        <f t="shared" si="9"/>
        <v>0</v>
      </c>
      <c r="J44" s="52"/>
      <c r="K44" s="129"/>
      <c r="L44" s="54">
        <f t="shared" si="1"/>
        <v>0</v>
      </c>
      <c r="M44" s="129"/>
      <c r="N44" s="54">
        <f t="shared" si="3"/>
        <v>0</v>
      </c>
      <c r="O44" s="54">
        <f t="shared" si="4"/>
        <v>0</v>
      </c>
      <c r="P44" s="1"/>
    </row>
    <row r="45" spans="2:16" ht="12.5">
      <c r="B45" s="7" t="str">
        <f t="shared" si="5"/>
        <v/>
      </c>
      <c r="C45" s="50">
        <f>IF(D11="","-",+C44+1)</f>
        <v>2038</v>
      </c>
      <c r="D45" s="55">
        <f>IF(F44+SUM(E$17:E44)=D$10,F44,D$10-SUM(E$17:E44))</f>
        <v>578350.75225357758</v>
      </c>
      <c r="E45" s="378">
        <f>IF(+I14&lt;F44,I14,D45)</f>
        <v>37336.75</v>
      </c>
      <c r="F45" s="55">
        <f t="shared" si="26"/>
        <v>541014.00225357758</v>
      </c>
      <c r="G45" s="379">
        <f t="shared" si="27"/>
        <v>104233.9791904319</v>
      </c>
      <c r="H45" s="364">
        <f t="shared" si="28"/>
        <v>104233.9791904319</v>
      </c>
      <c r="I45" s="52">
        <f t="shared" si="9"/>
        <v>0</v>
      </c>
      <c r="J45" s="52"/>
      <c r="K45" s="129"/>
      <c r="L45" s="54">
        <f t="shared" si="1"/>
        <v>0</v>
      </c>
      <c r="M45" s="129"/>
      <c r="N45" s="54">
        <f t="shared" si="3"/>
        <v>0</v>
      </c>
      <c r="O45" s="54">
        <f t="shared" si="4"/>
        <v>0</v>
      </c>
      <c r="P45" s="1"/>
    </row>
    <row r="46" spans="2:16" ht="12.5">
      <c r="B46" s="7" t="str">
        <f t="shared" si="5"/>
        <v/>
      </c>
      <c r="C46" s="50">
        <f>IF(D11="","-",+C45+1)</f>
        <v>2039</v>
      </c>
      <c r="D46" s="55">
        <f>IF(F45+SUM(E$17:E45)=D$10,F45,D$10-SUM(E$17:E45))</f>
        <v>541014.00225357758</v>
      </c>
      <c r="E46" s="378">
        <f>IF(+I14&lt;F45,I14,D46)</f>
        <v>37336.75</v>
      </c>
      <c r="F46" s="55">
        <f t="shared" si="26"/>
        <v>503677.25225357758</v>
      </c>
      <c r="G46" s="379">
        <f t="shared" si="27"/>
        <v>99771.224557648093</v>
      </c>
      <c r="H46" s="364">
        <f t="shared" si="28"/>
        <v>99771.224557648093</v>
      </c>
      <c r="I46" s="52">
        <f t="shared" si="9"/>
        <v>0</v>
      </c>
      <c r="J46" s="52"/>
      <c r="K46" s="129"/>
      <c r="L46" s="54">
        <f t="shared" si="1"/>
        <v>0</v>
      </c>
      <c r="M46" s="129"/>
      <c r="N46" s="54">
        <f t="shared" si="3"/>
        <v>0</v>
      </c>
      <c r="O46" s="54">
        <f t="shared" si="4"/>
        <v>0</v>
      </c>
      <c r="P46" s="1"/>
    </row>
    <row r="47" spans="2:16" ht="12.5">
      <c r="B47" s="7" t="str">
        <f t="shared" si="5"/>
        <v/>
      </c>
      <c r="C47" s="50">
        <f>IF(D11="","-",+C46+1)</f>
        <v>2040</v>
      </c>
      <c r="D47" s="55">
        <f>IF(F46+SUM(E$17:E46)=D$10,F46,D$10-SUM(E$17:E46))</f>
        <v>503677.25225357758</v>
      </c>
      <c r="E47" s="378">
        <f>IF(+I14&lt;F46,I14,D47)</f>
        <v>37336.75</v>
      </c>
      <c r="F47" s="55">
        <f t="shared" si="26"/>
        <v>466340.50225357758</v>
      </c>
      <c r="G47" s="379">
        <f t="shared" si="27"/>
        <v>95308.469924864286</v>
      </c>
      <c r="H47" s="364">
        <f t="shared" si="28"/>
        <v>95308.469924864286</v>
      </c>
      <c r="I47" s="52">
        <f t="shared" si="9"/>
        <v>0</v>
      </c>
      <c r="J47" s="52"/>
      <c r="K47" s="129"/>
      <c r="L47" s="54">
        <f t="shared" si="1"/>
        <v>0</v>
      </c>
      <c r="M47" s="129"/>
      <c r="N47" s="54">
        <f t="shared" si="3"/>
        <v>0</v>
      </c>
      <c r="O47" s="54">
        <f t="shared" si="4"/>
        <v>0</v>
      </c>
      <c r="P47" s="1"/>
    </row>
    <row r="48" spans="2:16" ht="12.5">
      <c r="B48" s="7" t="str">
        <f t="shared" si="5"/>
        <v/>
      </c>
      <c r="C48" s="50">
        <f>IF(D11="","-",+C47+1)</f>
        <v>2041</v>
      </c>
      <c r="D48" s="55">
        <f>IF(F47+SUM(E$17:E47)=D$10,F47,D$10-SUM(E$17:E47))</f>
        <v>466340.50225357758</v>
      </c>
      <c r="E48" s="378">
        <f>IF(+I14&lt;F47,I14,D48)</f>
        <v>37336.75</v>
      </c>
      <c r="F48" s="55">
        <f t="shared" si="26"/>
        <v>429003.75225357758</v>
      </c>
      <c r="G48" s="379">
        <f t="shared" si="27"/>
        <v>90845.71529208048</v>
      </c>
      <c r="H48" s="364">
        <f t="shared" si="28"/>
        <v>90845.71529208048</v>
      </c>
      <c r="I48" s="52">
        <f t="shared" si="9"/>
        <v>0</v>
      </c>
      <c r="J48" s="52"/>
      <c r="K48" s="129"/>
      <c r="L48" s="54">
        <f t="shared" si="1"/>
        <v>0</v>
      </c>
      <c r="M48" s="129"/>
      <c r="N48" s="54">
        <f t="shared" si="3"/>
        <v>0</v>
      </c>
      <c r="O48" s="54">
        <f t="shared" si="4"/>
        <v>0</v>
      </c>
      <c r="P48" s="1"/>
    </row>
    <row r="49" spans="2:17" ht="12.5">
      <c r="B49" s="7" t="str">
        <f t="shared" si="5"/>
        <v/>
      </c>
      <c r="C49" s="50">
        <f>IF(D11="","-",+C48+1)</f>
        <v>2042</v>
      </c>
      <c r="D49" s="55">
        <f>IF(F48+SUM(E$17:E48)=D$10,F48,D$10-SUM(E$17:E48))</f>
        <v>429003.75225357758</v>
      </c>
      <c r="E49" s="378">
        <f>IF(+I14&lt;F48,I14,D49)</f>
        <v>37336.75</v>
      </c>
      <c r="F49" s="55">
        <f t="shared" ref="F49:F72" si="29">+D49-E49</f>
        <v>391667.00225357758</v>
      </c>
      <c r="G49" s="379">
        <f t="shared" si="27"/>
        <v>86382.960659296659</v>
      </c>
      <c r="H49" s="364">
        <f t="shared" si="28"/>
        <v>86382.960659296659</v>
      </c>
      <c r="I49" s="52">
        <f t="shared" ref="I49:I72" si="30">H49-G49</f>
        <v>0</v>
      </c>
      <c r="J49" s="52"/>
      <c r="K49" s="129"/>
      <c r="L49" s="54">
        <f t="shared" ref="L49:L72" si="31">IF(K49&lt;&gt;0,+G49-K49,0)</f>
        <v>0</v>
      </c>
      <c r="M49" s="129"/>
      <c r="N49" s="54">
        <f t="shared" ref="N49:N72" si="32">IF(M49&lt;&gt;0,+H49-M49,0)</f>
        <v>0</v>
      </c>
      <c r="O49" s="54">
        <f t="shared" ref="O49:O72" si="33">+N49-L49</f>
        <v>0</v>
      </c>
      <c r="P49" s="1"/>
    </row>
    <row r="50" spans="2:17" ht="12.5">
      <c r="B50" s="7" t="str">
        <f t="shared" si="5"/>
        <v/>
      </c>
      <c r="C50" s="50">
        <f>IF(D11="","-",+C49+1)</f>
        <v>2043</v>
      </c>
      <c r="D50" s="55">
        <f>IF(F49+SUM(E$17:E49)=D$10,F49,D$10-SUM(E$17:E49))</f>
        <v>391667.00225357758</v>
      </c>
      <c r="E50" s="378">
        <f>IF(+I14&lt;F49,I14,D50)</f>
        <v>37336.75</v>
      </c>
      <c r="F50" s="55">
        <f t="shared" si="29"/>
        <v>354330.25225357758</v>
      </c>
      <c r="G50" s="379">
        <f t="shared" si="27"/>
        <v>81920.206026512868</v>
      </c>
      <c r="H50" s="364">
        <f t="shared" si="28"/>
        <v>81920.206026512868</v>
      </c>
      <c r="I50" s="52">
        <f t="shared" si="30"/>
        <v>0</v>
      </c>
      <c r="J50" s="52"/>
      <c r="K50" s="129"/>
      <c r="L50" s="54">
        <f t="shared" si="31"/>
        <v>0</v>
      </c>
      <c r="M50" s="129"/>
      <c r="N50" s="54">
        <f t="shared" si="32"/>
        <v>0</v>
      </c>
      <c r="O50" s="54">
        <f t="shared" si="33"/>
        <v>0</v>
      </c>
      <c r="P50" s="1"/>
    </row>
    <row r="51" spans="2:17" ht="12.5">
      <c r="B51" s="7" t="str">
        <f t="shared" si="5"/>
        <v/>
      </c>
      <c r="C51" s="50">
        <f>IF(D11="","-",+C50+1)</f>
        <v>2044</v>
      </c>
      <c r="D51" s="55">
        <f>IF(F50+SUM(E$17:E50)=D$10,F50,D$10-SUM(E$17:E50))</f>
        <v>354330.25225357758</v>
      </c>
      <c r="E51" s="378">
        <f>IF(+I14&lt;F50,I14,D51)</f>
        <v>37336.75</v>
      </c>
      <c r="F51" s="55">
        <f t="shared" si="29"/>
        <v>316993.50225357758</v>
      </c>
      <c r="G51" s="379">
        <f t="shared" si="27"/>
        <v>77457.451393729047</v>
      </c>
      <c r="H51" s="364">
        <f t="shared" si="28"/>
        <v>77457.451393729047</v>
      </c>
      <c r="I51" s="52">
        <f t="shared" si="30"/>
        <v>0</v>
      </c>
      <c r="J51" s="52"/>
      <c r="K51" s="129"/>
      <c r="L51" s="54">
        <f t="shared" si="31"/>
        <v>0</v>
      </c>
      <c r="M51" s="129"/>
      <c r="N51" s="54">
        <f t="shared" si="32"/>
        <v>0</v>
      </c>
      <c r="O51" s="54">
        <f t="shared" si="33"/>
        <v>0</v>
      </c>
      <c r="P51" s="1"/>
    </row>
    <row r="52" spans="2:17" ht="12.5">
      <c r="B52" s="7" t="str">
        <f t="shared" si="5"/>
        <v/>
      </c>
      <c r="C52" s="50">
        <f>IF(D11="","-",+C51+1)</f>
        <v>2045</v>
      </c>
      <c r="D52" s="55">
        <f>IF(F51+SUM(E$17:E51)=D$10,F51,D$10-SUM(E$17:E51))</f>
        <v>316993.50225357758</v>
      </c>
      <c r="E52" s="378">
        <f>IF(+I14&lt;F51,I14,D52)</f>
        <v>37336.75</v>
      </c>
      <c r="F52" s="55">
        <f t="shared" si="29"/>
        <v>279656.75225357758</v>
      </c>
      <c r="G52" s="379">
        <f t="shared" si="27"/>
        <v>72994.696760945255</v>
      </c>
      <c r="H52" s="364">
        <f t="shared" si="28"/>
        <v>72994.696760945255</v>
      </c>
      <c r="I52" s="52">
        <f t="shared" si="30"/>
        <v>0</v>
      </c>
      <c r="J52" s="52"/>
      <c r="K52" s="129"/>
      <c r="L52" s="54">
        <f t="shared" si="31"/>
        <v>0</v>
      </c>
      <c r="M52" s="129"/>
      <c r="N52" s="54">
        <f t="shared" si="32"/>
        <v>0</v>
      </c>
      <c r="O52" s="54">
        <f t="shared" si="33"/>
        <v>0</v>
      </c>
      <c r="P52" s="1"/>
    </row>
    <row r="53" spans="2:17" ht="12.5">
      <c r="B53" s="7" t="str">
        <f t="shared" si="5"/>
        <v/>
      </c>
      <c r="C53" s="50">
        <f>IF(D11="","-",+C52+1)</f>
        <v>2046</v>
      </c>
      <c r="D53" s="55">
        <f>IF(F52+SUM(E$17:E52)=D$10,F52,D$10-SUM(E$17:E52))</f>
        <v>279656.75225357758</v>
      </c>
      <c r="E53" s="378">
        <f>IF(+I14&lt;F52,I14,D53)</f>
        <v>37336.75</v>
      </c>
      <c r="F53" s="55">
        <f t="shared" si="29"/>
        <v>242320.00225357758</v>
      </c>
      <c r="G53" s="379">
        <f t="shared" si="27"/>
        <v>68531.942128161434</v>
      </c>
      <c r="H53" s="364">
        <f t="shared" si="28"/>
        <v>68531.942128161434</v>
      </c>
      <c r="I53" s="52">
        <f t="shared" si="30"/>
        <v>0</v>
      </c>
      <c r="J53" s="52"/>
      <c r="K53" s="129"/>
      <c r="L53" s="54">
        <f t="shared" si="31"/>
        <v>0</v>
      </c>
      <c r="M53" s="129"/>
      <c r="N53" s="54">
        <f t="shared" si="32"/>
        <v>0</v>
      </c>
      <c r="O53" s="54">
        <f t="shared" si="33"/>
        <v>0</v>
      </c>
      <c r="P53" s="1"/>
    </row>
    <row r="54" spans="2:17" ht="12.5">
      <c r="B54" s="7" t="str">
        <f t="shared" si="5"/>
        <v/>
      </c>
      <c r="C54" s="50">
        <f>IF(D11="","-",+C53+1)</f>
        <v>2047</v>
      </c>
      <c r="D54" s="55">
        <f>IF(F53+SUM(E$17:E53)=D$10,F53,D$10-SUM(E$17:E53))</f>
        <v>242320.00225357758</v>
      </c>
      <c r="E54" s="378">
        <f>IF(+I14&lt;F53,I14,D54)</f>
        <v>37336.75</v>
      </c>
      <c r="F54" s="55">
        <f t="shared" si="29"/>
        <v>204983.25225357758</v>
      </c>
      <c r="G54" s="379">
        <f t="shared" si="27"/>
        <v>64069.187495377628</v>
      </c>
      <c r="H54" s="364">
        <f t="shared" si="28"/>
        <v>64069.187495377628</v>
      </c>
      <c r="I54" s="52">
        <f t="shared" si="30"/>
        <v>0</v>
      </c>
      <c r="J54" s="52"/>
      <c r="K54" s="129"/>
      <c r="L54" s="54">
        <f t="shared" si="31"/>
        <v>0</v>
      </c>
      <c r="M54" s="129"/>
      <c r="N54" s="54">
        <f t="shared" si="32"/>
        <v>0</v>
      </c>
      <c r="O54" s="54">
        <f t="shared" si="33"/>
        <v>0</v>
      </c>
      <c r="P54" s="1"/>
    </row>
    <row r="55" spans="2:17" ht="12.5">
      <c r="B55" s="7" t="str">
        <f t="shared" si="5"/>
        <v/>
      </c>
      <c r="C55" s="50">
        <f>IF(D11="","-",+C54+1)</f>
        <v>2048</v>
      </c>
      <c r="D55" s="55">
        <f>IF(F54+SUM(E$17:E54)=D$10,F54,D$10-SUM(E$17:E54))</f>
        <v>204983.25225357758</v>
      </c>
      <c r="E55" s="378">
        <f>IF(+I14&lt;F54,I14,D55)</f>
        <v>37336.75</v>
      </c>
      <c r="F55" s="55">
        <f t="shared" si="29"/>
        <v>167646.50225357758</v>
      </c>
      <c r="G55" s="379">
        <f t="shared" si="27"/>
        <v>59606.432862593821</v>
      </c>
      <c r="H55" s="364">
        <f t="shared" si="28"/>
        <v>59606.432862593821</v>
      </c>
      <c r="I55" s="52">
        <f t="shared" si="30"/>
        <v>0</v>
      </c>
      <c r="J55" s="52"/>
      <c r="K55" s="129"/>
      <c r="L55" s="54">
        <f t="shared" si="31"/>
        <v>0</v>
      </c>
      <c r="M55" s="129"/>
      <c r="N55" s="54">
        <f t="shared" si="32"/>
        <v>0</v>
      </c>
      <c r="O55" s="54">
        <f t="shared" si="33"/>
        <v>0</v>
      </c>
      <c r="P55" s="1"/>
    </row>
    <row r="56" spans="2:17" ht="12.5">
      <c r="B56" s="7" t="str">
        <f t="shared" si="5"/>
        <v/>
      </c>
      <c r="C56" s="50">
        <f>IF(D11="","-",+C55+1)</f>
        <v>2049</v>
      </c>
      <c r="D56" s="55">
        <f>IF(F55+SUM(E$17:E55)=D$10,F55,D$10-SUM(E$17:E55))</f>
        <v>167646.50225357758</v>
      </c>
      <c r="E56" s="378">
        <f>IF(+I14&lt;F55,I14,D56)</f>
        <v>37336.75</v>
      </c>
      <c r="F56" s="55">
        <f t="shared" si="29"/>
        <v>130309.75225357758</v>
      </c>
      <c r="G56" s="379">
        <f t="shared" ref="G56:G72" si="34">+I$12*((D56+F56)/2)+E56</f>
        <v>55143.678229810015</v>
      </c>
      <c r="H56" s="364">
        <f t="shared" ref="H56:H72" si="35">+I$13*((D56+F56)/2)+E56</f>
        <v>55143.678229810015</v>
      </c>
      <c r="I56" s="52">
        <f t="shared" si="30"/>
        <v>0</v>
      </c>
      <c r="J56" s="52"/>
      <c r="K56" s="129"/>
      <c r="L56" s="54">
        <f t="shared" si="31"/>
        <v>0</v>
      </c>
      <c r="M56" s="129"/>
      <c r="N56" s="54">
        <f t="shared" si="32"/>
        <v>0</v>
      </c>
      <c r="O56" s="54">
        <f t="shared" si="33"/>
        <v>0</v>
      </c>
      <c r="P56" s="1"/>
    </row>
    <row r="57" spans="2:17" ht="12.5">
      <c r="B57" s="7" t="str">
        <f t="shared" si="5"/>
        <v/>
      </c>
      <c r="C57" s="50">
        <f>IF(D11="","-",+C56+1)</f>
        <v>2050</v>
      </c>
      <c r="D57" s="55">
        <f>IF(F56+SUM(E$17:E56)=D$10,F56,D$10-SUM(E$17:E56))</f>
        <v>130309.75225357758</v>
      </c>
      <c r="E57" s="378">
        <f>IF(+I14&lt;F56,I14,D57)</f>
        <v>37336.75</v>
      </c>
      <c r="F57" s="55">
        <f t="shared" si="29"/>
        <v>92973.002253577579</v>
      </c>
      <c r="G57" s="379">
        <f t="shared" si="34"/>
        <v>50680.923597026209</v>
      </c>
      <c r="H57" s="364">
        <f t="shared" si="35"/>
        <v>50680.923597026209</v>
      </c>
      <c r="I57" s="52">
        <f t="shared" si="30"/>
        <v>0</v>
      </c>
      <c r="J57" s="52"/>
      <c r="K57" s="129"/>
      <c r="L57" s="54">
        <f t="shared" si="31"/>
        <v>0</v>
      </c>
      <c r="M57" s="129"/>
      <c r="N57" s="54">
        <f t="shared" si="32"/>
        <v>0</v>
      </c>
      <c r="O57" s="54">
        <f t="shared" si="33"/>
        <v>0</v>
      </c>
      <c r="P57" s="1"/>
    </row>
    <row r="58" spans="2:17" ht="12.5">
      <c r="B58" s="7" t="str">
        <f t="shared" si="5"/>
        <v/>
      </c>
      <c r="C58" s="50">
        <f>IF(D11="","-",+C57+1)</f>
        <v>2051</v>
      </c>
      <c r="D58" s="55">
        <f>IF(F57+SUM(E$17:E57)=D$10,F57,D$10-SUM(E$17:E57))</f>
        <v>92973.002253577579</v>
      </c>
      <c r="E58" s="378">
        <f>IF(+I14&lt;F57,I14,D58)</f>
        <v>37336.75</v>
      </c>
      <c r="F58" s="55">
        <f t="shared" si="29"/>
        <v>55636.252253577579</v>
      </c>
      <c r="G58" s="379">
        <f t="shared" si="34"/>
        <v>46218.168964242395</v>
      </c>
      <c r="H58" s="364">
        <f t="shared" si="35"/>
        <v>46218.168964242395</v>
      </c>
      <c r="I58" s="52">
        <f t="shared" si="30"/>
        <v>0</v>
      </c>
      <c r="J58" s="52"/>
      <c r="K58" s="129"/>
      <c r="L58" s="54">
        <f t="shared" si="31"/>
        <v>0</v>
      </c>
      <c r="M58" s="129"/>
      <c r="N58" s="54">
        <f t="shared" si="32"/>
        <v>0</v>
      </c>
      <c r="O58" s="54">
        <f t="shared" si="33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5"/>
        <v/>
      </c>
      <c r="C59" s="50">
        <f>IF(D11="","-",+C58+1)</f>
        <v>2052</v>
      </c>
      <c r="D59" s="55">
        <f>IF(F58+SUM(E$17:E58)=D$10,F58,D$10-SUM(E$17:E58))</f>
        <v>55636.252253577579</v>
      </c>
      <c r="E59" s="378">
        <f>IF(+I14&lt;F58,I14,D59)</f>
        <v>37336.75</v>
      </c>
      <c r="F59" s="55">
        <f t="shared" si="29"/>
        <v>18299.502253577579</v>
      </c>
      <c r="G59" s="379">
        <f t="shared" si="34"/>
        <v>41755.414331458589</v>
      </c>
      <c r="H59" s="364">
        <f t="shared" si="35"/>
        <v>41755.414331458589</v>
      </c>
      <c r="I59" s="52">
        <f t="shared" si="30"/>
        <v>0</v>
      </c>
      <c r="J59" s="52"/>
      <c r="K59" s="129"/>
      <c r="L59" s="54">
        <f t="shared" si="31"/>
        <v>0</v>
      </c>
      <c r="M59" s="129"/>
      <c r="N59" s="54">
        <f t="shared" si="32"/>
        <v>0</v>
      </c>
      <c r="O59" s="54">
        <f t="shared" si="33"/>
        <v>0</v>
      </c>
      <c r="P59" s="1"/>
    </row>
    <row r="60" spans="2:17" ht="12.5">
      <c r="B60" s="7" t="str">
        <f t="shared" si="5"/>
        <v/>
      </c>
      <c r="C60" s="50">
        <f>IF(D11="","-",+C59+1)</f>
        <v>2053</v>
      </c>
      <c r="D60" s="55">
        <f>IF(F59+SUM(E$17:E59)=D$10,F59,D$10-SUM(E$17:E59))</f>
        <v>18299.502253577579</v>
      </c>
      <c r="E60" s="378">
        <f>IF(+I14&lt;F59,I14,D60)</f>
        <v>18299.502253577579</v>
      </c>
      <c r="F60" s="55">
        <f t="shared" si="29"/>
        <v>0</v>
      </c>
      <c r="G60" s="379">
        <f t="shared" si="34"/>
        <v>19393.145761110922</v>
      </c>
      <c r="H60" s="364">
        <f t="shared" si="35"/>
        <v>19393.145761110922</v>
      </c>
      <c r="I60" s="52">
        <f t="shared" si="30"/>
        <v>0</v>
      </c>
      <c r="J60" s="52"/>
      <c r="K60" s="129"/>
      <c r="L60" s="54">
        <f t="shared" si="31"/>
        <v>0</v>
      </c>
      <c r="M60" s="129"/>
      <c r="N60" s="54">
        <f t="shared" si="32"/>
        <v>0</v>
      </c>
      <c r="O60" s="54">
        <f t="shared" si="33"/>
        <v>0</v>
      </c>
      <c r="P60" s="1"/>
    </row>
    <row r="61" spans="2:17" ht="12.5">
      <c r="B61" s="7" t="str">
        <f t="shared" si="5"/>
        <v/>
      </c>
      <c r="C61" s="50">
        <f>IF(D11="","-",+C60+1)</f>
        <v>2054</v>
      </c>
      <c r="D61" s="55">
        <f>IF(F60+SUM(E$17:E60)=D$10,F60,D$10-SUM(E$17:E60))</f>
        <v>0</v>
      </c>
      <c r="E61" s="378">
        <f>IF(+I14&lt;F60,I14,D61)</f>
        <v>0</v>
      </c>
      <c r="F61" s="55">
        <f t="shared" si="29"/>
        <v>0</v>
      </c>
      <c r="G61" s="380">
        <f t="shared" si="34"/>
        <v>0</v>
      </c>
      <c r="H61" s="364">
        <f t="shared" si="35"/>
        <v>0</v>
      </c>
      <c r="I61" s="52">
        <f t="shared" si="30"/>
        <v>0</v>
      </c>
      <c r="J61" s="52"/>
      <c r="K61" s="129"/>
      <c r="L61" s="54">
        <f t="shared" si="31"/>
        <v>0</v>
      </c>
      <c r="M61" s="129"/>
      <c r="N61" s="54">
        <f t="shared" si="32"/>
        <v>0</v>
      </c>
      <c r="O61" s="54">
        <f t="shared" si="33"/>
        <v>0</v>
      </c>
      <c r="P61" s="1"/>
    </row>
    <row r="62" spans="2:17" ht="12.5">
      <c r="B62" s="7" t="str">
        <f t="shared" si="5"/>
        <v/>
      </c>
      <c r="C62" s="50">
        <f>IF(D11="","-",+C61+1)</f>
        <v>2055</v>
      </c>
      <c r="D62" s="55">
        <f>IF(F61+SUM(E$17:E61)=D$10,F61,D$10-SUM(E$17:E61))</f>
        <v>0</v>
      </c>
      <c r="E62" s="378">
        <f>IF(+I14&lt;F61,I14,D62)</f>
        <v>0</v>
      </c>
      <c r="F62" s="55">
        <f t="shared" si="29"/>
        <v>0</v>
      </c>
      <c r="G62" s="380">
        <f t="shared" si="34"/>
        <v>0</v>
      </c>
      <c r="H62" s="364">
        <f t="shared" si="35"/>
        <v>0</v>
      </c>
      <c r="I62" s="52">
        <f t="shared" si="30"/>
        <v>0</v>
      </c>
      <c r="J62" s="52"/>
      <c r="K62" s="129"/>
      <c r="L62" s="54">
        <f t="shared" si="31"/>
        <v>0</v>
      </c>
      <c r="M62" s="129"/>
      <c r="N62" s="54">
        <f t="shared" si="32"/>
        <v>0</v>
      </c>
      <c r="O62" s="54">
        <f t="shared" si="33"/>
        <v>0</v>
      </c>
      <c r="P62" s="1"/>
    </row>
    <row r="63" spans="2:17" ht="12.5">
      <c r="B63" s="7" t="str">
        <f t="shared" si="5"/>
        <v/>
      </c>
      <c r="C63" s="50">
        <f>IF(D11="","-",+C62+1)</f>
        <v>2056</v>
      </c>
      <c r="D63" s="55">
        <f>IF(F62+SUM(E$17:E62)=D$10,F62,D$10-SUM(E$17:E62))</f>
        <v>0</v>
      </c>
      <c r="E63" s="378">
        <f>IF(+I14&lt;F62,I14,D63)</f>
        <v>0</v>
      </c>
      <c r="F63" s="55">
        <f t="shared" si="29"/>
        <v>0</v>
      </c>
      <c r="G63" s="380">
        <f t="shared" si="34"/>
        <v>0</v>
      </c>
      <c r="H63" s="364">
        <f t="shared" si="35"/>
        <v>0</v>
      </c>
      <c r="I63" s="52">
        <f t="shared" si="30"/>
        <v>0</v>
      </c>
      <c r="J63" s="52"/>
      <c r="K63" s="129"/>
      <c r="L63" s="54">
        <f t="shared" si="31"/>
        <v>0</v>
      </c>
      <c r="M63" s="129"/>
      <c r="N63" s="54">
        <f t="shared" si="32"/>
        <v>0</v>
      </c>
      <c r="O63" s="54">
        <f t="shared" si="33"/>
        <v>0</v>
      </c>
      <c r="P63" s="1"/>
    </row>
    <row r="64" spans="2:17" ht="12.5">
      <c r="B64" s="7" t="str">
        <f t="shared" si="5"/>
        <v/>
      </c>
      <c r="C64" s="50">
        <f>IF(D11="","-",+C63+1)</f>
        <v>2057</v>
      </c>
      <c r="D64" s="55">
        <f>IF(F63+SUM(E$17:E63)=D$10,F63,D$10-SUM(E$17:E63))</f>
        <v>0</v>
      </c>
      <c r="E64" s="378">
        <f>IF(+I14&lt;F63,I14,D64)</f>
        <v>0</v>
      </c>
      <c r="F64" s="55">
        <f t="shared" si="29"/>
        <v>0</v>
      </c>
      <c r="G64" s="380">
        <f t="shared" si="34"/>
        <v>0</v>
      </c>
      <c r="H64" s="364">
        <f t="shared" si="35"/>
        <v>0</v>
      </c>
      <c r="I64" s="52">
        <f t="shared" si="30"/>
        <v>0</v>
      </c>
      <c r="J64" s="52"/>
      <c r="K64" s="129"/>
      <c r="L64" s="54">
        <f t="shared" si="31"/>
        <v>0</v>
      </c>
      <c r="M64" s="129"/>
      <c r="N64" s="54">
        <f t="shared" si="32"/>
        <v>0</v>
      </c>
      <c r="O64" s="54">
        <f t="shared" si="33"/>
        <v>0</v>
      </c>
      <c r="P64" s="1"/>
    </row>
    <row r="65" spans="1:16" ht="12.5">
      <c r="B65" s="7" t="str">
        <f t="shared" si="5"/>
        <v/>
      </c>
      <c r="C65" s="50">
        <f>IF(D11="","-",+C64+1)</f>
        <v>2058</v>
      </c>
      <c r="D65" s="55">
        <f>IF(F64+SUM(E$17:E64)=D$10,F64,D$10-SUM(E$17:E64))</f>
        <v>0</v>
      </c>
      <c r="E65" s="378">
        <f>IF(+I14&lt;F64,I14,D65)</f>
        <v>0</v>
      </c>
      <c r="F65" s="55">
        <f t="shared" si="29"/>
        <v>0</v>
      </c>
      <c r="G65" s="380">
        <f t="shared" si="34"/>
        <v>0</v>
      </c>
      <c r="H65" s="364">
        <f t="shared" si="35"/>
        <v>0</v>
      </c>
      <c r="I65" s="52">
        <f t="shared" si="30"/>
        <v>0</v>
      </c>
      <c r="J65" s="52"/>
      <c r="K65" s="129"/>
      <c r="L65" s="54">
        <f t="shared" si="31"/>
        <v>0</v>
      </c>
      <c r="M65" s="129"/>
      <c r="N65" s="54">
        <f t="shared" si="32"/>
        <v>0</v>
      </c>
      <c r="O65" s="54">
        <f t="shared" si="33"/>
        <v>0</v>
      </c>
      <c r="P65" s="1"/>
    </row>
    <row r="66" spans="1:16" ht="12.5">
      <c r="B66" s="7" t="str">
        <f t="shared" si="5"/>
        <v/>
      </c>
      <c r="C66" s="50">
        <f>IF(D11="","-",+C65+1)</f>
        <v>2059</v>
      </c>
      <c r="D66" s="55">
        <f>IF(F65+SUM(E$17:E65)=D$10,F65,D$10-SUM(E$17:E65))</f>
        <v>0</v>
      </c>
      <c r="E66" s="378">
        <f>IF(+I14&lt;F65,I14,D66)</f>
        <v>0</v>
      </c>
      <c r="F66" s="55">
        <f t="shared" si="29"/>
        <v>0</v>
      </c>
      <c r="G66" s="380">
        <f t="shared" si="34"/>
        <v>0</v>
      </c>
      <c r="H66" s="364">
        <f t="shared" si="35"/>
        <v>0</v>
      </c>
      <c r="I66" s="52">
        <f t="shared" si="30"/>
        <v>0</v>
      </c>
      <c r="J66" s="52"/>
      <c r="K66" s="129"/>
      <c r="L66" s="54">
        <f t="shared" si="31"/>
        <v>0</v>
      </c>
      <c r="M66" s="129"/>
      <c r="N66" s="54">
        <f t="shared" si="32"/>
        <v>0</v>
      </c>
      <c r="O66" s="54">
        <f t="shared" si="33"/>
        <v>0</v>
      </c>
      <c r="P66" s="1"/>
    </row>
    <row r="67" spans="1:16" ht="12.5">
      <c r="B67" s="7" t="str">
        <f t="shared" si="5"/>
        <v/>
      </c>
      <c r="C67" s="50">
        <f>IF(D11="","-",+C66+1)</f>
        <v>2060</v>
      </c>
      <c r="D67" s="55">
        <f>IF(F66+SUM(E$17:E66)=D$10,F66,D$10-SUM(E$17:E66))</f>
        <v>0</v>
      </c>
      <c r="E67" s="378">
        <f>IF(+I14&lt;F66,I14,D67)</f>
        <v>0</v>
      </c>
      <c r="F67" s="55">
        <f t="shared" si="29"/>
        <v>0</v>
      </c>
      <c r="G67" s="380">
        <f t="shared" si="34"/>
        <v>0</v>
      </c>
      <c r="H67" s="364">
        <f t="shared" si="35"/>
        <v>0</v>
      </c>
      <c r="I67" s="52">
        <f t="shared" si="30"/>
        <v>0</v>
      </c>
      <c r="J67" s="52"/>
      <c r="K67" s="129"/>
      <c r="L67" s="54">
        <f t="shared" si="31"/>
        <v>0</v>
      </c>
      <c r="M67" s="129"/>
      <c r="N67" s="54">
        <f t="shared" si="32"/>
        <v>0</v>
      </c>
      <c r="O67" s="54">
        <f t="shared" si="33"/>
        <v>0</v>
      </c>
      <c r="P67" s="1"/>
    </row>
    <row r="68" spans="1:16" ht="12.5">
      <c r="B68" s="7" t="str">
        <f t="shared" si="5"/>
        <v/>
      </c>
      <c r="C68" s="50">
        <f>IF(D11="","-",+C67+1)</f>
        <v>2061</v>
      </c>
      <c r="D68" s="55">
        <f>IF(F67+SUM(E$17:E67)=D$10,F67,D$10-SUM(E$17:E67))</f>
        <v>0</v>
      </c>
      <c r="E68" s="378">
        <f>IF(+I14&lt;F67,I14,D68)</f>
        <v>0</v>
      </c>
      <c r="F68" s="55">
        <f t="shared" si="29"/>
        <v>0</v>
      </c>
      <c r="G68" s="380">
        <f t="shared" si="34"/>
        <v>0</v>
      </c>
      <c r="H68" s="364">
        <f t="shared" si="35"/>
        <v>0</v>
      </c>
      <c r="I68" s="52">
        <f t="shared" si="30"/>
        <v>0</v>
      </c>
      <c r="J68" s="52"/>
      <c r="K68" s="129"/>
      <c r="L68" s="54">
        <f t="shared" si="31"/>
        <v>0</v>
      </c>
      <c r="M68" s="129"/>
      <c r="N68" s="54">
        <f t="shared" si="32"/>
        <v>0</v>
      </c>
      <c r="O68" s="54">
        <f t="shared" si="33"/>
        <v>0</v>
      </c>
      <c r="P68" s="1"/>
    </row>
    <row r="69" spans="1:16" ht="12.5">
      <c r="B69" s="7" t="str">
        <f t="shared" si="5"/>
        <v/>
      </c>
      <c r="C69" s="50">
        <f>IF(D11="","-",+C68+1)</f>
        <v>2062</v>
      </c>
      <c r="D69" s="55">
        <f>IF(F68+SUM(E$17:E68)=D$10,F68,D$10-SUM(E$17:E68))</f>
        <v>0</v>
      </c>
      <c r="E69" s="378">
        <f>IF(+I14&lt;F68,I14,D69)</f>
        <v>0</v>
      </c>
      <c r="F69" s="55">
        <f t="shared" si="29"/>
        <v>0</v>
      </c>
      <c r="G69" s="380">
        <f t="shared" si="34"/>
        <v>0</v>
      </c>
      <c r="H69" s="364">
        <f t="shared" si="35"/>
        <v>0</v>
      </c>
      <c r="I69" s="52">
        <f t="shared" si="30"/>
        <v>0</v>
      </c>
      <c r="J69" s="52"/>
      <c r="K69" s="129"/>
      <c r="L69" s="54">
        <f t="shared" si="31"/>
        <v>0</v>
      </c>
      <c r="M69" s="129"/>
      <c r="N69" s="54">
        <f t="shared" si="32"/>
        <v>0</v>
      </c>
      <c r="O69" s="54">
        <f t="shared" si="33"/>
        <v>0</v>
      </c>
      <c r="P69" s="1"/>
    </row>
    <row r="70" spans="1:16" ht="12.5">
      <c r="B70" s="7" t="str">
        <f t="shared" si="5"/>
        <v/>
      </c>
      <c r="C70" s="50">
        <f>IF(D11="","-",+C69+1)</f>
        <v>2063</v>
      </c>
      <c r="D70" s="55">
        <f>IF(F69+SUM(E$17:E69)=D$10,F69,D$10-SUM(E$17:E69))</f>
        <v>0</v>
      </c>
      <c r="E70" s="378">
        <f>IF(+I14&lt;F69,I14,D70)</f>
        <v>0</v>
      </c>
      <c r="F70" s="55">
        <f t="shared" si="29"/>
        <v>0</v>
      </c>
      <c r="G70" s="380">
        <f t="shared" si="34"/>
        <v>0</v>
      </c>
      <c r="H70" s="364">
        <f t="shared" si="35"/>
        <v>0</v>
      </c>
      <c r="I70" s="52">
        <f t="shared" si="30"/>
        <v>0</v>
      </c>
      <c r="J70" s="52"/>
      <c r="K70" s="129"/>
      <c r="L70" s="54">
        <f t="shared" si="31"/>
        <v>0</v>
      </c>
      <c r="M70" s="129"/>
      <c r="N70" s="54">
        <f t="shared" si="32"/>
        <v>0</v>
      </c>
      <c r="O70" s="54">
        <f t="shared" si="33"/>
        <v>0</v>
      </c>
      <c r="P70" s="1"/>
    </row>
    <row r="71" spans="1:16" ht="12.5">
      <c r="B71" s="7" t="str">
        <f t="shared" si="5"/>
        <v/>
      </c>
      <c r="C71" s="50">
        <f>IF(D11="","-",+C70+1)</f>
        <v>2064</v>
      </c>
      <c r="D71" s="55">
        <f>IF(F70+SUM(E$17:E70)=D$10,F70,D$10-SUM(E$17:E70))</f>
        <v>0</v>
      </c>
      <c r="E71" s="378">
        <f>IF(+I14&lt;F70,I14,D71)</f>
        <v>0</v>
      </c>
      <c r="F71" s="55">
        <f t="shared" si="29"/>
        <v>0</v>
      </c>
      <c r="G71" s="380">
        <f t="shared" si="34"/>
        <v>0</v>
      </c>
      <c r="H71" s="364">
        <f t="shared" si="35"/>
        <v>0</v>
      </c>
      <c r="I71" s="52">
        <f t="shared" si="30"/>
        <v>0</v>
      </c>
      <c r="J71" s="52"/>
      <c r="K71" s="129"/>
      <c r="L71" s="54">
        <f t="shared" si="31"/>
        <v>0</v>
      </c>
      <c r="M71" s="129"/>
      <c r="N71" s="54">
        <f t="shared" si="32"/>
        <v>0</v>
      </c>
      <c r="O71" s="54">
        <f t="shared" si="33"/>
        <v>0</v>
      </c>
      <c r="P71" s="1"/>
    </row>
    <row r="72" spans="1:16" ht="13" thickBot="1">
      <c r="B72" s="7" t="str">
        <f t="shared" si="5"/>
        <v/>
      </c>
      <c r="C72" s="59">
        <f>IF(D11="","-",+C71+1)</f>
        <v>2065</v>
      </c>
      <c r="D72" s="60">
        <f>IF(F71+SUM(E$17:E71)=D$10,F71,D$10-SUM(E$17:E71))</f>
        <v>0</v>
      </c>
      <c r="E72" s="381">
        <f>IF(+I14&lt;F71,I14,D72)</f>
        <v>0</v>
      </c>
      <c r="F72" s="60">
        <f t="shared" si="29"/>
        <v>0</v>
      </c>
      <c r="G72" s="382">
        <f t="shared" si="34"/>
        <v>0</v>
      </c>
      <c r="H72" s="362">
        <f t="shared" si="35"/>
        <v>0</v>
      </c>
      <c r="I72" s="63">
        <f t="shared" si="30"/>
        <v>0</v>
      </c>
      <c r="J72" s="52"/>
      <c r="K72" s="130"/>
      <c r="L72" s="64">
        <f t="shared" si="31"/>
        <v>0</v>
      </c>
      <c r="M72" s="130"/>
      <c r="N72" s="64">
        <f t="shared" si="32"/>
        <v>0</v>
      </c>
      <c r="O72" s="64">
        <f t="shared" si="33"/>
        <v>0</v>
      </c>
      <c r="P72" s="1"/>
    </row>
    <row r="73" spans="1:16" ht="12.5">
      <c r="C73" s="12" t="s">
        <v>78</v>
      </c>
      <c r="D73" s="293"/>
      <c r="E73" s="293">
        <f>SUM(E17:E72)</f>
        <v>1642816.9999999998</v>
      </c>
      <c r="F73" s="293"/>
      <c r="G73" s="293">
        <f>SUM(G17:G72)</f>
        <v>6184944.7470069919</v>
      </c>
      <c r="H73" s="293">
        <f>SUM(H17:H72)</f>
        <v>6184944.7470069919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7.5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21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166712.5440494052</v>
      </c>
      <c r="N87" s="387">
        <f>IF(J92&lt;D11,0,VLOOKUP(J92,C17:O72,11))</f>
        <v>166712.5440494052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174184.21189681921</v>
      </c>
      <c r="N88" s="390">
        <f>IF(J92&lt;D11,0,VLOOKUP(J92,C99:P154,7))</f>
        <v>174184.21189681921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27" t="str">
        <f>D7</f>
        <v>Reconductor 4 mi. of McNabb-Turk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7471.6678474140062</v>
      </c>
      <c r="N89" s="392">
        <f>+N88-N87</f>
        <v>7471.6678474140062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TP2006077</v>
      </c>
      <c r="E91" s="76" t="s">
        <v>494</v>
      </c>
      <c r="F91" s="463">
        <f>F9</f>
        <v>349</v>
      </c>
      <c r="G91" s="76"/>
      <c r="H91" s="76"/>
      <c r="I91" s="76"/>
      <c r="J91" s="95"/>
      <c r="Q91" s="1"/>
    </row>
    <row r="92" spans="1:17" ht="13">
      <c r="C92" s="34" t="s">
        <v>51</v>
      </c>
      <c r="D92" s="363">
        <f>D10</f>
        <v>1642817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  <c r="Q92" s="1"/>
    </row>
    <row r="93" spans="1:17" ht="12.5">
      <c r="C93" s="34" t="s">
        <v>54</v>
      </c>
      <c r="D93" s="88">
        <f>IF(D11=I10,"",D11)</f>
        <v>2010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4">
        <f>IF(D11=I10,"",D12)</f>
        <v>6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37336.75</v>
      </c>
      <c r="K96" s="293"/>
      <c r="L96" s="293"/>
      <c r="M96" s="293"/>
      <c r="N96" s="293"/>
      <c r="O96" s="293"/>
      <c r="P96" s="1"/>
      <c r="Q96" s="1"/>
    </row>
    <row r="97" spans="1:17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 ht="12.5">
      <c r="C99" s="50">
        <f>IF(D93= "","-",D93)</f>
        <v>2010</v>
      </c>
      <c r="D99" s="133">
        <v>0</v>
      </c>
      <c r="E99" s="376">
        <v>19631.743902439026</v>
      </c>
      <c r="F99" s="137">
        <v>1590171.256097561</v>
      </c>
      <c r="G99" s="140">
        <v>795085.62804878049</v>
      </c>
      <c r="H99" s="397">
        <v>150889.3151810994</v>
      </c>
      <c r="I99" s="398">
        <v>150889.3151810994</v>
      </c>
      <c r="J99" s="154">
        <f t="shared" ref="J99:J130" si="36">+I99-H99</f>
        <v>0</v>
      </c>
      <c r="K99" s="54"/>
      <c r="L99" s="112">
        <f t="shared" ref="L99:L104" si="37">H99</f>
        <v>150889.3151810994</v>
      </c>
      <c r="M99" s="53">
        <f t="shared" ref="M99:M130" si="38">IF(L99&lt;&gt;0,+H99-L99,0)</f>
        <v>0</v>
      </c>
      <c r="N99" s="112">
        <f t="shared" ref="N99:N104" si="39">I99</f>
        <v>150889.3151810994</v>
      </c>
      <c r="O99" s="53">
        <f t="shared" ref="O99:O130" si="40">IF(N99&lt;&gt;0,+I99-N99,0)</f>
        <v>0</v>
      </c>
      <c r="P99" s="53">
        <f t="shared" ref="P99:P130" si="41">+O99-M99</f>
        <v>0</v>
      </c>
      <c r="Q99" s="1"/>
    </row>
    <row r="100" spans="1:17" ht="12.5">
      <c r="B100" s="7" t="str">
        <f>IF(D100=F99,"","IU")</f>
        <v>IU</v>
      </c>
      <c r="C100" s="50">
        <f>IF(D93="","-",+C99+1)</f>
        <v>2011</v>
      </c>
      <c r="D100" s="133">
        <v>1619340.256097561</v>
      </c>
      <c r="E100" s="376">
        <v>39023.142857142855</v>
      </c>
      <c r="F100" s="137">
        <v>1580317.113240418</v>
      </c>
      <c r="G100" s="137">
        <v>1599828.6846689894</v>
      </c>
      <c r="H100" s="376">
        <v>279605.22250297031</v>
      </c>
      <c r="I100" s="375">
        <v>279605.22250297031</v>
      </c>
      <c r="J100" s="154">
        <f t="shared" si="36"/>
        <v>0</v>
      </c>
      <c r="K100" s="54"/>
      <c r="L100" s="113">
        <f t="shared" si="37"/>
        <v>279605.22250297031</v>
      </c>
      <c r="M100" s="54">
        <f t="shared" si="38"/>
        <v>0</v>
      </c>
      <c r="N100" s="113">
        <f t="shared" si="39"/>
        <v>279605.22250297031</v>
      </c>
      <c r="O100" s="54">
        <f t="shared" si="40"/>
        <v>0</v>
      </c>
      <c r="P100" s="54">
        <f t="shared" si="41"/>
        <v>0</v>
      </c>
      <c r="Q100" s="1"/>
    </row>
    <row r="101" spans="1:17" ht="12.5">
      <c r="B101" s="7" t="str">
        <f t="shared" ref="B101:B154" si="42">IF(D101=F100,"","IU")</f>
        <v/>
      </c>
      <c r="C101" s="50">
        <f>IF(D93="","-",+C100+1)</f>
        <v>2012</v>
      </c>
      <c r="D101" s="133">
        <v>1580317.113240418</v>
      </c>
      <c r="E101" s="376">
        <v>39023.142857142855</v>
      </c>
      <c r="F101" s="137">
        <v>1541293.9703832751</v>
      </c>
      <c r="G101" s="137">
        <v>1560805.5418118467</v>
      </c>
      <c r="H101" s="376">
        <v>268701.81510397862</v>
      </c>
      <c r="I101" s="375">
        <v>268701.81510397862</v>
      </c>
      <c r="J101" s="154">
        <f t="shared" si="36"/>
        <v>0</v>
      </c>
      <c r="K101" s="54"/>
      <c r="L101" s="113">
        <f t="shared" si="37"/>
        <v>268701.81510397862</v>
      </c>
      <c r="M101" s="54">
        <f t="shared" si="38"/>
        <v>0</v>
      </c>
      <c r="N101" s="113">
        <f t="shared" si="39"/>
        <v>268701.81510397862</v>
      </c>
      <c r="O101" s="54">
        <f t="shared" si="40"/>
        <v>0</v>
      </c>
      <c r="P101" s="54">
        <f t="shared" si="41"/>
        <v>0</v>
      </c>
      <c r="Q101" s="1"/>
    </row>
    <row r="102" spans="1:17" ht="12.5">
      <c r="B102" s="7" t="str">
        <f t="shared" si="42"/>
        <v>IU</v>
      </c>
      <c r="C102" s="50">
        <f>IF(D93="","-",+C101+1)</f>
        <v>2013</v>
      </c>
      <c r="D102" s="133">
        <v>1541294</v>
      </c>
      <c r="E102" s="376">
        <v>39023</v>
      </c>
      <c r="F102" s="137">
        <v>1502271</v>
      </c>
      <c r="G102" s="137">
        <v>1521782.5</v>
      </c>
      <c r="H102" s="376">
        <v>244907.54496972694</v>
      </c>
      <c r="I102" s="375">
        <v>244907.54496972694</v>
      </c>
      <c r="J102" s="154">
        <f t="shared" si="36"/>
        <v>0</v>
      </c>
      <c r="K102" s="54"/>
      <c r="L102" s="113">
        <f t="shared" si="37"/>
        <v>244907.54496972694</v>
      </c>
      <c r="M102" s="54">
        <f t="shared" ref="M102:M107" si="43">IF(L102&lt;&gt;0,+H102-L102,0)</f>
        <v>0</v>
      </c>
      <c r="N102" s="113">
        <f t="shared" si="39"/>
        <v>244907.54496972694</v>
      </c>
      <c r="O102" s="54">
        <f>IF(N102&lt;&gt;0,+I102-N102,0)</f>
        <v>0</v>
      </c>
      <c r="P102" s="54">
        <f>+O102-M102</f>
        <v>0</v>
      </c>
      <c r="Q102" s="1"/>
    </row>
    <row r="103" spans="1:17" ht="12.5">
      <c r="B103" s="7" t="str">
        <f t="shared" si="42"/>
        <v>IU</v>
      </c>
      <c r="C103" s="50">
        <f>IF(D93="","-",+C102+1)</f>
        <v>2014</v>
      </c>
      <c r="D103" s="133">
        <v>1506115.9703832753</v>
      </c>
      <c r="E103" s="376">
        <v>39114.690476190473</v>
      </c>
      <c r="F103" s="137">
        <v>1467001.2799070848</v>
      </c>
      <c r="G103" s="137">
        <v>1486558.6251451802</v>
      </c>
      <c r="H103" s="376">
        <v>241172.88194864732</v>
      </c>
      <c r="I103" s="375">
        <v>241172.88194864732</v>
      </c>
      <c r="J103" s="54">
        <v>0</v>
      </c>
      <c r="K103" s="54"/>
      <c r="L103" s="113">
        <f t="shared" si="37"/>
        <v>241172.88194864732</v>
      </c>
      <c r="M103" s="54">
        <f t="shared" si="43"/>
        <v>0</v>
      </c>
      <c r="N103" s="113">
        <f t="shared" si="39"/>
        <v>241172.88194864732</v>
      </c>
      <c r="O103" s="54">
        <f>IF(N103&lt;&gt;0,+I103-N103,0)</f>
        <v>0</v>
      </c>
      <c r="P103" s="54">
        <f>+O103-M103</f>
        <v>0</v>
      </c>
      <c r="Q103" s="1"/>
    </row>
    <row r="104" spans="1:17" ht="12.5">
      <c r="B104" s="7" t="str">
        <f t="shared" si="42"/>
        <v/>
      </c>
      <c r="C104" s="50">
        <f>IF(D93="","-",+C103+1)</f>
        <v>2015</v>
      </c>
      <c r="D104" s="133">
        <v>1467001.2799070848</v>
      </c>
      <c r="E104" s="376">
        <v>39114.690476190473</v>
      </c>
      <c r="F104" s="137">
        <v>1427886.5894308942</v>
      </c>
      <c r="G104" s="137">
        <v>1447443.9346689894</v>
      </c>
      <c r="H104" s="376">
        <v>229842.75353448547</v>
      </c>
      <c r="I104" s="375">
        <v>229842.75353448547</v>
      </c>
      <c r="J104" s="54">
        <f t="shared" si="36"/>
        <v>0</v>
      </c>
      <c r="K104" s="54"/>
      <c r="L104" s="113">
        <f t="shared" si="37"/>
        <v>229842.75353448547</v>
      </c>
      <c r="M104" s="54">
        <f t="shared" si="43"/>
        <v>0</v>
      </c>
      <c r="N104" s="113">
        <f t="shared" si="39"/>
        <v>229842.75353448547</v>
      </c>
      <c r="O104" s="54">
        <f>IF(N104&lt;&gt;0,+I104-N104,0)</f>
        <v>0</v>
      </c>
      <c r="P104" s="54">
        <f>+O104-M104</f>
        <v>0</v>
      </c>
      <c r="Q104" s="1"/>
    </row>
    <row r="105" spans="1:17" ht="12.5">
      <c r="B105" s="7" t="str">
        <f t="shared" si="42"/>
        <v/>
      </c>
      <c r="C105" s="50">
        <f>IF(D93="","-",+C104+1)</f>
        <v>2016</v>
      </c>
      <c r="D105" s="133">
        <v>1427886.5894308942</v>
      </c>
      <c r="E105" s="376">
        <v>38205.046511627908</v>
      </c>
      <c r="F105" s="137">
        <v>1389681.5429192663</v>
      </c>
      <c r="G105" s="137">
        <v>1408784.0661750804</v>
      </c>
      <c r="H105" s="376">
        <v>217050.16721338526</v>
      </c>
      <c r="I105" s="375">
        <v>217050.16721338526</v>
      </c>
      <c r="J105" s="54">
        <f t="shared" si="36"/>
        <v>0</v>
      </c>
      <c r="K105" s="54"/>
      <c r="L105" s="113">
        <f t="shared" ref="L105:L110" si="44">H105</f>
        <v>217050.16721338526</v>
      </c>
      <c r="M105" s="54">
        <f t="shared" si="43"/>
        <v>0</v>
      </c>
      <c r="N105" s="113">
        <f t="shared" ref="N105:N110" si="45">I105</f>
        <v>217050.16721338526</v>
      </c>
      <c r="O105" s="54">
        <f>IF(N105&lt;&gt;0,+I105-N105,0)</f>
        <v>0</v>
      </c>
      <c r="P105" s="54">
        <f>+O105-M105</f>
        <v>0</v>
      </c>
      <c r="Q105" s="1"/>
    </row>
    <row r="106" spans="1:17" ht="12.5">
      <c r="B106" s="7" t="str">
        <f t="shared" si="42"/>
        <v/>
      </c>
      <c r="C106" s="50">
        <f>IF(D93="","-",+C105+1)</f>
        <v>2017</v>
      </c>
      <c r="D106" s="133">
        <v>1389681.5429192663</v>
      </c>
      <c r="E106" s="376">
        <v>39114.690476190473</v>
      </c>
      <c r="F106" s="137">
        <v>1350566.8524430757</v>
      </c>
      <c r="G106" s="137">
        <v>1370124.1976811709</v>
      </c>
      <c r="H106" s="376">
        <v>205545.67397661868</v>
      </c>
      <c r="I106" s="375">
        <v>205545.67397661868</v>
      </c>
      <c r="J106" s="54">
        <f t="shared" si="36"/>
        <v>0</v>
      </c>
      <c r="K106" s="54"/>
      <c r="L106" s="113">
        <f t="shared" si="44"/>
        <v>205545.67397661868</v>
      </c>
      <c r="M106" s="54">
        <f t="shared" si="43"/>
        <v>0</v>
      </c>
      <c r="N106" s="113">
        <f t="shared" si="45"/>
        <v>205545.67397661868</v>
      </c>
      <c r="O106" s="54">
        <f>IF(N106&lt;&gt;0,+I106-N106,0)</f>
        <v>0</v>
      </c>
      <c r="P106" s="54">
        <f>+O106-M106</f>
        <v>0</v>
      </c>
      <c r="Q106" s="1"/>
    </row>
    <row r="107" spans="1:17" ht="12.5">
      <c r="B107" s="7" t="str">
        <f t="shared" si="42"/>
        <v/>
      </c>
      <c r="C107" s="50">
        <f>IF(D93="","-",+C106+1)</f>
        <v>2018</v>
      </c>
      <c r="D107" s="133">
        <v>1350566.8524430757</v>
      </c>
      <c r="E107" s="376">
        <v>39114.690476190473</v>
      </c>
      <c r="F107" s="137">
        <v>1311452.1619668852</v>
      </c>
      <c r="G107" s="137">
        <v>1331009.5072049806</v>
      </c>
      <c r="H107" s="376">
        <v>179675.39820677435</v>
      </c>
      <c r="I107" s="375">
        <v>179675.39820677435</v>
      </c>
      <c r="J107" s="54">
        <f t="shared" si="36"/>
        <v>0</v>
      </c>
      <c r="K107" s="54"/>
      <c r="L107" s="113">
        <f t="shared" si="44"/>
        <v>179675.39820677435</v>
      </c>
      <c r="M107" s="54">
        <f t="shared" si="43"/>
        <v>0</v>
      </c>
      <c r="N107" s="113">
        <f t="shared" si="45"/>
        <v>179675.39820677435</v>
      </c>
      <c r="O107" s="54">
        <f t="shared" si="40"/>
        <v>0</v>
      </c>
      <c r="P107" s="54">
        <f t="shared" si="41"/>
        <v>0</v>
      </c>
      <c r="Q107" s="1"/>
    </row>
    <row r="108" spans="1:17" ht="12.5">
      <c r="B108" s="7" t="str">
        <f t="shared" si="42"/>
        <v/>
      </c>
      <c r="C108" s="50">
        <f>IF(D93="","-",+C107+1)</f>
        <v>2019</v>
      </c>
      <c r="D108" s="133">
        <v>1311452.1619668852</v>
      </c>
      <c r="E108" s="376">
        <v>38205.046511627908</v>
      </c>
      <c r="F108" s="137">
        <v>1273247.1154552572</v>
      </c>
      <c r="G108" s="137">
        <v>1292349.6387110711</v>
      </c>
      <c r="H108" s="376">
        <v>176538.85816269691</v>
      </c>
      <c r="I108" s="375">
        <v>176538.85816269691</v>
      </c>
      <c r="J108" s="54">
        <f t="shared" si="36"/>
        <v>0</v>
      </c>
      <c r="K108" s="54"/>
      <c r="L108" s="113">
        <f t="shared" si="44"/>
        <v>176538.85816269691</v>
      </c>
      <c r="M108" s="54">
        <f t="shared" ref="M108" si="46">IF(L108&lt;&gt;0,+H108-L108,0)</f>
        <v>0</v>
      </c>
      <c r="N108" s="113">
        <f t="shared" si="45"/>
        <v>176538.85816269691</v>
      </c>
      <c r="O108" s="54">
        <f t="shared" si="40"/>
        <v>0</v>
      </c>
      <c r="P108" s="54">
        <f t="shared" si="41"/>
        <v>0</v>
      </c>
      <c r="Q108" s="1"/>
    </row>
    <row r="109" spans="1:17" ht="12.5">
      <c r="B109" s="7" t="str">
        <f t="shared" si="42"/>
        <v/>
      </c>
      <c r="C109" s="50">
        <f>IF(D93="","-",+C108+1)</f>
        <v>2020</v>
      </c>
      <c r="D109" s="133">
        <v>1273247.1154552572</v>
      </c>
      <c r="E109" s="376">
        <v>39114.690476190473</v>
      </c>
      <c r="F109" s="137">
        <v>1234132.4249790667</v>
      </c>
      <c r="G109" s="137">
        <v>1253689.7702171621</v>
      </c>
      <c r="H109" s="376">
        <v>173978.90382541961</v>
      </c>
      <c r="I109" s="375">
        <v>173978.90382541961</v>
      </c>
      <c r="J109" s="54">
        <f t="shared" si="36"/>
        <v>0</v>
      </c>
      <c r="K109" s="54"/>
      <c r="L109" s="113">
        <f t="shared" si="44"/>
        <v>173978.90382541961</v>
      </c>
      <c r="M109" s="54">
        <f t="shared" ref="M109" si="47">IF(L109&lt;&gt;0,+H109-L109,0)</f>
        <v>0</v>
      </c>
      <c r="N109" s="113">
        <f t="shared" si="45"/>
        <v>173978.90382541961</v>
      </c>
      <c r="O109" s="54">
        <f t="shared" si="40"/>
        <v>0</v>
      </c>
      <c r="P109" s="54">
        <f t="shared" si="41"/>
        <v>0</v>
      </c>
      <c r="Q109" s="1"/>
    </row>
    <row r="110" spans="1:17" ht="12.5">
      <c r="B110" s="7" t="str">
        <f t="shared" si="42"/>
        <v/>
      </c>
      <c r="C110" s="50">
        <f>IF(D93="","-",+C109+1)</f>
        <v>2021</v>
      </c>
      <c r="D110" s="133">
        <v>1234132.4249790667</v>
      </c>
      <c r="E110" s="376">
        <v>40068.707317073167</v>
      </c>
      <c r="F110" s="137">
        <v>1194063.7176619936</v>
      </c>
      <c r="G110" s="137">
        <v>1214098.07132053</v>
      </c>
      <c r="H110" s="376">
        <v>177886.11062251645</v>
      </c>
      <c r="I110" s="375">
        <v>177886.11062251645</v>
      </c>
      <c r="J110" s="54">
        <f t="shared" si="36"/>
        <v>0</v>
      </c>
      <c r="K110" s="54"/>
      <c r="L110" s="113">
        <f t="shared" si="44"/>
        <v>177886.11062251645</v>
      </c>
      <c r="M110" s="54">
        <f t="shared" ref="M110" si="48">IF(L110&lt;&gt;0,+H110-L110,0)</f>
        <v>0</v>
      </c>
      <c r="N110" s="113">
        <f t="shared" si="45"/>
        <v>177886.11062251645</v>
      </c>
      <c r="O110" s="54">
        <f t="shared" si="40"/>
        <v>0</v>
      </c>
      <c r="P110" s="54">
        <f t="shared" si="41"/>
        <v>0</v>
      </c>
      <c r="Q110" s="1"/>
    </row>
    <row r="111" spans="1:17" ht="12.5">
      <c r="B111" s="7" t="str">
        <f t="shared" si="42"/>
        <v/>
      </c>
      <c r="C111" s="50">
        <f>IF(D93="","-",+C110+1)</f>
        <v>2022</v>
      </c>
      <c r="D111" s="133">
        <v>1194063.7176619936</v>
      </c>
      <c r="E111" s="376">
        <v>39114.690476190473</v>
      </c>
      <c r="F111" s="137">
        <v>1154949.027185803</v>
      </c>
      <c r="G111" s="137">
        <v>1174506.3724238984</v>
      </c>
      <c r="H111" s="376">
        <v>177069.67562066831</v>
      </c>
      <c r="I111" s="375">
        <v>177069.67562066831</v>
      </c>
      <c r="J111" s="54">
        <f t="shared" si="36"/>
        <v>0</v>
      </c>
      <c r="K111" s="54"/>
      <c r="L111" s="113">
        <f t="shared" ref="L111" si="49">H111</f>
        <v>177069.67562066831</v>
      </c>
      <c r="M111" s="54">
        <f t="shared" ref="M111" si="50">IF(L111&lt;&gt;0,+H111-L111,0)</f>
        <v>0</v>
      </c>
      <c r="N111" s="113">
        <f t="shared" ref="N111" si="51">I111</f>
        <v>177069.67562066831</v>
      </c>
      <c r="O111" s="54">
        <f t="shared" ref="O111" si="52">IF(N111&lt;&gt;0,+I111-N111,0)</f>
        <v>0</v>
      </c>
      <c r="P111" s="54">
        <f t="shared" ref="P111" si="53">+O111-M111</f>
        <v>0</v>
      </c>
      <c r="Q111" s="1"/>
    </row>
    <row r="112" spans="1:17" ht="12.5">
      <c r="B112" s="7" t="str">
        <f t="shared" si="42"/>
        <v/>
      </c>
      <c r="C112" s="50">
        <f>IF(D93="","-",+C111+1)</f>
        <v>2023</v>
      </c>
      <c r="D112" s="133">
        <v>1154949.027185803</v>
      </c>
      <c r="E112" s="376">
        <v>37336.75</v>
      </c>
      <c r="F112" s="137">
        <v>1117612.277185803</v>
      </c>
      <c r="G112" s="137">
        <v>1136280.652185803</v>
      </c>
      <c r="H112" s="376">
        <v>177514.07653301622</v>
      </c>
      <c r="I112" s="375">
        <v>177514.07653301622</v>
      </c>
      <c r="J112" s="54">
        <f t="shared" si="36"/>
        <v>0</v>
      </c>
      <c r="K112" s="54"/>
      <c r="L112" s="113">
        <f t="shared" ref="L112" si="54">H112</f>
        <v>177514.07653301622</v>
      </c>
      <c r="M112" s="54">
        <f t="shared" ref="M112" si="55">IF(L112&lt;&gt;0,+H112-L112,0)</f>
        <v>0</v>
      </c>
      <c r="N112" s="113">
        <f t="shared" ref="N112" si="56">I112</f>
        <v>177514.07653301622</v>
      </c>
      <c r="O112" s="54">
        <f t="shared" ref="O112" si="57">IF(N112&lt;&gt;0,+I112-N112,0)</f>
        <v>0</v>
      </c>
      <c r="P112" s="54">
        <f t="shared" ref="P112" si="58">+O112-M112</f>
        <v>0</v>
      </c>
      <c r="Q112" s="1"/>
    </row>
    <row r="113" spans="2:17" ht="12.5">
      <c r="B113" s="7" t="str">
        <f t="shared" si="42"/>
        <v/>
      </c>
      <c r="C113" s="50">
        <f>IF(D93="","-",+C112+1)</f>
        <v>2024</v>
      </c>
      <c r="D113" s="12">
        <f>IF(F112+SUM(E$99:E112)=D$92,F112,D$92-SUM(E$99:E112))</f>
        <v>1117612.277185803</v>
      </c>
      <c r="E113" s="378">
        <f>IF(+J96&lt;F112,J96,D113)</f>
        <v>37336.75</v>
      </c>
      <c r="F113" s="55">
        <f t="shared" ref="F113:F131" si="59">+D113-E113</f>
        <v>1080275.527185803</v>
      </c>
      <c r="G113" s="55">
        <f t="shared" ref="G113:G130" si="60">+(F113+D113)/2</f>
        <v>1098943.902185803</v>
      </c>
      <c r="H113" s="380">
        <f t="shared" ref="H113:H130" si="61">+J$94*G113+E113</f>
        <v>174184.21189681921</v>
      </c>
      <c r="I113" s="399">
        <f t="shared" ref="I113:I130" si="62">+J$95*G113+E113</f>
        <v>174184.21189681921</v>
      </c>
      <c r="J113" s="54">
        <f t="shared" si="36"/>
        <v>0</v>
      </c>
      <c r="K113" s="54"/>
      <c r="L113" s="129"/>
      <c r="M113" s="54">
        <f t="shared" si="38"/>
        <v>0</v>
      </c>
      <c r="N113" s="129"/>
      <c r="O113" s="54">
        <f t="shared" si="40"/>
        <v>0</v>
      </c>
      <c r="P113" s="54">
        <f t="shared" si="41"/>
        <v>0</v>
      </c>
      <c r="Q113" s="1"/>
    </row>
    <row r="114" spans="2:17" ht="12.5">
      <c r="B114" s="7" t="str">
        <f t="shared" si="42"/>
        <v/>
      </c>
      <c r="C114" s="50">
        <f>IF(D93="","-",+C113+1)</f>
        <v>2025</v>
      </c>
      <c r="D114" s="12">
        <f>IF(F113+SUM(E$99:E113)=D$92,F113,D$92-SUM(E$99:E113))</f>
        <v>1080275.527185803</v>
      </c>
      <c r="E114" s="378">
        <f>IF(+J96&lt;F113,J96,D114)</f>
        <v>37336.75</v>
      </c>
      <c r="F114" s="55">
        <f t="shared" si="59"/>
        <v>1042938.777185803</v>
      </c>
      <c r="G114" s="55">
        <f t="shared" si="60"/>
        <v>1061607.152185803</v>
      </c>
      <c r="H114" s="380">
        <f t="shared" si="61"/>
        <v>169534.80307548324</v>
      </c>
      <c r="I114" s="399">
        <f t="shared" si="62"/>
        <v>169534.80307548324</v>
      </c>
      <c r="J114" s="54">
        <f t="shared" si="36"/>
        <v>0</v>
      </c>
      <c r="K114" s="54"/>
      <c r="L114" s="129"/>
      <c r="M114" s="54">
        <f t="shared" si="38"/>
        <v>0</v>
      </c>
      <c r="N114" s="129"/>
      <c r="O114" s="54">
        <f t="shared" si="40"/>
        <v>0</v>
      </c>
      <c r="P114" s="54">
        <f t="shared" si="41"/>
        <v>0</v>
      </c>
      <c r="Q114" s="1"/>
    </row>
    <row r="115" spans="2:17" ht="12.5">
      <c r="B115" s="7" t="str">
        <f t="shared" si="42"/>
        <v/>
      </c>
      <c r="C115" s="50">
        <f>IF(D93="","-",+C114+1)</f>
        <v>2026</v>
      </c>
      <c r="D115" s="12">
        <f>IF(F114+SUM(E$99:E114)=D$92,F114,D$92-SUM(E$99:E114))</f>
        <v>1042938.777185803</v>
      </c>
      <c r="E115" s="378">
        <f>IF(+J96&lt;F114,J96,D115)</f>
        <v>37336.75</v>
      </c>
      <c r="F115" s="55">
        <f t="shared" si="59"/>
        <v>1005602.027185803</v>
      </c>
      <c r="G115" s="55">
        <f t="shared" si="60"/>
        <v>1024270.402185803</v>
      </c>
      <c r="H115" s="380">
        <f t="shared" si="61"/>
        <v>164885.39425414725</v>
      </c>
      <c r="I115" s="399">
        <f t="shared" si="62"/>
        <v>164885.39425414725</v>
      </c>
      <c r="J115" s="54">
        <f t="shared" si="36"/>
        <v>0</v>
      </c>
      <c r="K115" s="54"/>
      <c r="L115" s="129"/>
      <c r="M115" s="54">
        <f t="shared" si="38"/>
        <v>0</v>
      </c>
      <c r="N115" s="129"/>
      <c r="O115" s="54">
        <f t="shared" si="40"/>
        <v>0</v>
      </c>
      <c r="P115" s="54">
        <f t="shared" si="41"/>
        <v>0</v>
      </c>
      <c r="Q115" s="1"/>
    </row>
    <row r="116" spans="2:17" ht="12.5">
      <c r="B116" s="7" t="str">
        <f t="shared" si="42"/>
        <v/>
      </c>
      <c r="C116" s="50">
        <f>IF(D93="","-",+C115+1)</f>
        <v>2027</v>
      </c>
      <c r="D116" s="12">
        <f>IF(F115+SUM(E$99:E115)=D$92,F115,D$92-SUM(E$99:E115))</f>
        <v>1005602.027185803</v>
      </c>
      <c r="E116" s="378">
        <f>IF(+J96&lt;F115,J96,D116)</f>
        <v>37336.75</v>
      </c>
      <c r="F116" s="55">
        <f t="shared" si="59"/>
        <v>968265.27718580305</v>
      </c>
      <c r="G116" s="55">
        <f t="shared" si="60"/>
        <v>986933.65218580305</v>
      </c>
      <c r="H116" s="380">
        <f t="shared" si="61"/>
        <v>160235.98543281126</v>
      </c>
      <c r="I116" s="399">
        <f t="shared" si="62"/>
        <v>160235.98543281126</v>
      </c>
      <c r="J116" s="54">
        <f t="shared" si="36"/>
        <v>0</v>
      </c>
      <c r="K116" s="54"/>
      <c r="L116" s="129"/>
      <c r="M116" s="54">
        <f t="shared" si="38"/>
        <v>0</v>
      </c>
      <c r="N116" s="129"/>
      <c r="O116" s="54">
        <f t="shared" si="40"/>
        <v>0</v>
      </c>
      <c r="P116" s="54">
        <f t="shared" si="41"/>
        <v>0</v>
      </c>
      <c r="Q116" s="1"/>
    </row>
    <row r="117" spans="2:17" ht="12.5">
      <c r="B117" s="7" t="str">
        <f t="shared" si="42"/>
        <v/>
      </c>
      <c r="C117" s="50">
        <f>IF(D93="","-",+C116+1)</f>
        <v>2028</v>
      </c>
      <c r="D117" s="12">
        <f>IF(F116+SUM(E$99:E116)=D$92,F116,D$92-SUM(E$99:E116))</f>
        <v>968265.27718580305</v>
      </c>
      <c r="E117" s="378">
        <f>IF(+J96&lt;F116,J96,D117)</f>
        <v>37336.75</v>
      </c>
      <c r="F117" s="55">
        <f t="shared" si="59"/>
        <v>930928.52718580305</v>
      </c>
      <c r="G117" s="55">
        <f t="shared" si="60"/>
        <v>949596.90218580305</v>
      </c>
      <c r="H117" s="380">
        <f t="shared" si="61"/>
        <v>155586.57661147526</v>
      </c>
      <c r="I117" s="399">
        <f t="shared" si="62"/>
        <v>155586.57661147526</v>
      </c>
      <c r="J117" s="54">
        <f t="shared" si="36"/>
        <v>0</v>
      </c>
      <c r="K117" s="54"/>
      <c r="L117" s="129"/>
      <c r="M117" s="54">
        <f t="shared" si="38"/>
        <v>0</v>
      </c>
      <c r="N117" s="129"/>
      <c r="O117" s="54">
        <f t="shared" si="40"/>
        <v>0</v>
      </c>
      <c r="P117" s="54">
        <f t="shared" si="41"/>
        <v>0</v>
      </c>
      <c r="Q117" s="1"/>
    </row>
    <row r="118" spans="2:17" ht="12.5">
      <c r="B118" s="7" t="str">
        <f t="shared" si="42"/>
        <v/>
      </c>
      <c r="C118" s="50">
        <f>IF(D93="","-",+C117+1)</f>
        <v>2029</v>
      </c>
      <c r="D118" s="12">
        <f>IF(F117+SUM(E$99:E117)=D$92,F117,D$92-SUM(E$99:E117))</f>
        <v>930928.52718580305</v>
      </c>
      <c r="E118" s="378">
        <f>IF(+J96&lt;F117,J96,D118)</f>
        <v>37336.75</v>
      </c>
      <c r="F118" s="55">
        <f t="shared" si="59"/>
        <v>893591.77718580305</v>
      </c>
      <c r="G118" s="55">
        <f t="shared" si="60"/>
        <v>912260.15218580305</v>
      </c>
      <c r="H118" s="380">
        <f t="shared" si="61"/>
        <v>150937.16779013927</v>
      </c>
      <c r="I118" s="399">
        <f t="shared" si="62"/>
        <v>150937.16779013927</v>
      </c>
      <c r="J118" s="54">
        <f t="shared" si="36"/>
        <v>0</v>
      </c>
      <c r="K118" s="54"/>
      <c r="L118" s="129"/>
      <c r="M118" s="54">
        <f t="shared" si="38"/>
        <v>0</v>
      </c>
      <c r="N118" s="129"/>
      <c r="O118" s="54">
        <f t="shared" si="40"/>
        <v>0</v>
      </c>
      <c r="P118" s="54">
        <f t="shared" si="41"/>
        <v>0</v>
      </c>
      <c r="Q118" s="1"/>
    </row>
    <row r="119" spans="2:17" ht="12.5">
      <c r="B119" s="7" t="str">
        <f t="shared" si="42"/>
        <v/>
      </c>
      <c r="C119" s="50">
        <f>IF(D93="","-",+C118+1)</f>
        <v>2030</v>
      </c>
      <c r="D119" s="12">
        <f>IF(F118+SUM(E$99:E118)=D$92,F118,D$92-SUM(E$99:E118))</f>
        <v>893591.77718580305</v>
      </c>
      <c r="E119" s="378">
        <f>IF(+J96&lt;F118,J96,D119)</f>
        <v>37336.75</v>
      </c>
      <c r="F119" s="55">
        <f t="shared" si="59"/>
        <v>856255.02718580305</v>
      </c>
      <c r="G119" s="55">
        <f t="shared" si="60"/>
        <v>874923.40218580305</v>
      </c>
      <c r="H119" s="380">
        <f t="shared" si="61"/>
        <v>146287.75896880327</v>
      </c>
      <c r="I119" s="399">
        <f t="shared" si="62"/>
        <v>146287.75896880327</v>
      </c>
      <c r="J119" s="54">
        <f t="shared" si="36"/>
        <v>0</v>
      </c>
      <c r="K119" s="54"/>
      <c r="L119" s="129"/>
      <c r="M119" s="54">
        <f t="shared" si="38"/>
        <v>0</v>
      </c>
      <c r="N119" s="129"/>
      <c r="O119" s="54">
        <f t="shared" si="40"/>
        <v>0</v>
      </c>
      <c r="P119" s="54">
        <f t="shared" si="41"/>
        <v>0</v>
      </c>
      <c r="Q119" s="1"/>
    </row>
    <row r="120" spans="2:17" ht="12.5">
      <c r="B120" s="7" t="str">
        <f t="shared" si="42"/>
        <v/>
      </c>
      <c r="C120" s="50">
        <f>IF(D93="","-",+C119+1)</f>
        <v>2031</v>
      </c>
      <c r="D120" s="12">
        <f>IF(F119+SUM(E$99:E119)=D$92,F119,D$92-SUM(E$99:E119))</f>
        <v>856255.02718580305</v>
      </c>
      <c r="E120" s="378">
        <f>IF(+J96&lt;F119,J96,D120)</f>
        <v>37336.75</v>
      </c>
      <c r="F120" s="55">
        <f t="shared" si="59"/>
        <v>818918.27718580305</v>
      </c>
      <c r="G120" s="55">
        <f t="shared" si="60"/>
        <v>837586.65218580305</v>
      </c>
      <c r="H120" s="380">
        <f t="shared" si="61"/>
        <v>141638.35014746731</v>
      </c>
      <c r="I120" s="399">
        <f t="shared" si="62"/>
        <v>141638.35014746731</v>
      </c>
      <c r="J120" s="54">
        <f t="shared" si="36"/>
        <v>0</v>
      </c>
      <c r="K120" s="54"/>
      <c r="L120" s="129"/>
      <c r="M120" s="54">
        <f t="shared" si="38"/>
        <v>0</v>
      </c>
      <c r="N120" s="129"/>
      <c r="O120" s="54">
        <f t="shared" si="40"/>
        <v>0</v>
      </c>
      <c r="P120" s="54">
        <f t="shared" si="41"/>
        <v>0</v>
      </c>
      <c r="Q120" s="1"/>
    </row>
    <row r="121" spans="2:17" ht="12.5">
      <c r="B121" s="7" t="str">
        <f t="shared" si="42"/>
        <v/>
      </c>
      <c r="C121" s="50">
        <f>IF(D93="","-",+C120+1)</f>
        <v>2032</v>
      </c>
      <c r="D121" s="12">
        <f>IF(F120+SUM(E$99:E120)=D$92,F120,D$92-SUM(E$99:E120))</f>
        <v>818918.27718580305</v>
      </c>
      <c r="E121" s="378">
        <f>IF(+J96&lt;F120,J96,D121)</f>
        <v>37336.75</v>
      </c>
      <c r="F121" s="55">
        <f t="shared" si="59"/>
        <v>781581.52718580305</v>
      </c>
      <c r="G121" s="55">
        <f t="shared" si="60"/>
        <v>800249.90218580305</v>
      </c>
      <c r="H121" s="380">
        <f t="shared" si="61"/>
        <v>136988.94132613132</v>
      </c>
      <c r="I121" s="399">
        <f t="shared" si="62"/>
        <v>136988.94132613132</v>
      </c>
      <c r="J121" s="54">
        <f t="shared" si="36"/>
        <v>0</v>
      </c>
      <c r="K121" s="54"/>
      <c r="L121" s="129"/>
      <c r="M121" s="54">
        <f t="shared" si="38"/>
        <v>0</v>
      </c>
      <c r="N121" s="129"/>
      <c r="O121" s="54">
        <f t="shared" si="40"/>
        <v>0</v>
      </c>
      <c r="P121" s="54">
        <f t="shared" si="41"/>
        <v>0</v>
      </c>
      <c r="Q121" s="1"/>
    </row>
    <row r="122" spans="2:17" ht="12.5">
      <c r="B122" s="7" t="str">
        <f t="shared" si="42"/>
        <v/>
      </c>
      <c r="C122" s="50">
        <f>IF(D93="","-",+C121+1)</f>
        <v>2033</v>
      </c>
      <c r="D122" s="12">
        <f>IF(F121+SUM(E$99:E121)=D$92,F121,D$92-SUM(E$99:E121))</f>
        <v>781581.52718580305</v>
      </c>
      <c r="E122" s="378">
        <f>IF(+J96&lt;F121,J96,D122)</f>
        <v>37336.75</v>
      </c>
      <c r="F122" s="55">
        <f t="shared" si="59"/>
        <v>744244.77718580305</v>
      </c>
      <c r="G122" s="55">
        <f t="shared" si="60"/>
        <v>762913.15218580305</v>
      </c>
      <c r="H122" s="380">
        <f t="shared" si="61"/>
        <v>132339.53250479535</v>
      </c>
      <c r="I122" s="399">
        <f t="shared" si="62"/>
        <v>132339.53250479535</v>
      </c>
      <c r="J122" s="54">
        <f t="shared" si="36"/>
        <v>0</v>
      </c>
      <c r="K122" s="54"/>
      <c r="L122" s="129"/>
      <c r="M122" s="54">
        <f t="shared" si="38"/>
        <v>0</v>
      </c>
      <c r="N122" s="129"/>
      <c r="O122" s="54">
        <f t="shared" si="40"/>
        <v>0</v>
      </c>
      <c r="P122" s="54">
        <f t="shared" si="41"/>
        <v>0</v>
      </c>
      <c r="Q122" s="1"/>
    </row>
    <row r="123" spans="2:17" ht="12.5">
      <c r="B123" s="7" t="str">
        <f t="shared" si="42"/>
        <v/>
      </c>
      <c r="C123" s="50">
        <f>IF(D93="","-",+C122+1)</f>
        <v>2034</v>
      </c>
      <c r="D123" s="12">
        <f>IF(F122+SUM(E$99:E122)=D$92,F122,D$92-SUM(E$99:E122))</f>
        <v>744244.77718580305</v>
      </c>
      <c r="E123" s="378">
        <f>IF(+J96&lt;F122,J96,D123)</f>
        <v>37336.75</v>
      </c>
      <c r="F123" s="55">
        <f t="shared" si="59"/>
        <v>706908.02718580305</v>
      </c>
      <c r="G123" s="55">
        <f t="shared" si="60"/>
        <v>725576.40218580305</v>
      </c>
      <c r="H123" s="380">
        <f t="shared" si="61"/>
        <v>127690.12368345934</v>
      </c>
      <c r="I123" s="399">
        <f t="shared" si="62"/>
        <v>127690.12368345934</v>
      </c>
      <c r="J123" s="54">
        <f t="shared" si="36"/>
        <v>0</v>
      </c>
      <c r="K123" s="54"/>
      <c r="L123" s="129"/>
      <c r="M123" s="54">
        <f t="shared" si="38"/>
        <v>0</v>
      </c>
      <c r="N123" s="129"/>
      <c r="O123" s="54">
        <f t="shared" si="40"/>
        <v>0</v>
      </c>
      <c r="P123" s="54">
        <f t="shared" si="41"/>
        <v>0</v>
      </c>
      <c r="Q123" s="1"/>
    </row>
    <row r="124" spans="2:17" ht="12.5">
      <c r="B124" s="7" t="str">
        <f t="shared" si="42"/>
        <v/>
      </c>
      <c r="C124" s="50">
        <f>IF(D93="","-",+C123+1)</f>
        <v>2035</v>
      </c>
      <c r="D124" s="12">
        <f>IF(F123+SUM(E$99:E123)=D$92,F123,D$92-SUM(E$99:E123))</f>
        <v>706908.02718580305</v>
      </c>
      <c r="E124" s="378">
        <f>IF(+J96&lt;F123,J96,D124)</f>
        <v>37336.75</v>
      </c>
      <c r="F124" s="55">
        <f t="shared" si="59"/>
        <v>669571.27718580305</v>
      </c>
      <c r="G124" s="55">
        <f t="shared" si="60"/>
        <v>688239.65218580305</v>
      </c>
      <c r="H124" s="380">
        <f t="shared" si="61"/>
        <v>123040.71486212336</v>
      </c>
      <c r="I124" s="399">
        <f t="shared" si="62"/>
        <v>123040.71486212336</v>
      </c>
      <c r="J124" s="54">
        <f t="shared" si="36"/>
        <v>0</v>
      </c>
      <c r="K124" s="54"/>
      <c r="L124" s="129"/>
      <c r="M124" s="54">
        <f t="shared" si="38"/>
        <v>0</v>
      </c>
      <c r="N124" s="129"/>
      <c r="O124" s="54">
        <f t="shared" si="40"/>
        <v>0</v>
      </c>
      <c r="P124" s="54">
        <f t="shared" si="41"/>
        <v>0</v>
      </c>
      <c r="Q124" s="1"/>
    </row>
    <row r="125" spans="2:17" ht="12.5">
      <c r="B125" s="7" t="str">
        <f t="shared" si="42"/>
        <v/>
      </c>
      <c r="C125" s="50">
        <f>IF(D93="","-",+C124+1)</f>
        <v>2036</v>
      </c>
      <c r="D125" s="12">
        <f>IF(F124+SUM(E$99:E124)=D$92,F124,D$92-SUM(E$99:E124))</f>
        <v>669571.27718580305</v>
      </c>
      <c r="E125" s="378">
        <f>IF(+J96&lt;F124,J96,D125)</f>
        <v>37336.75</v>
      </c>
      <c r="F125" s="55">
        <f t="shared" si="59"/>
        <v>632234.52718580305</v>
      </c>
      <c r="G125" s="55">
        <f t="shared" si="60"/>
        <v>650902.90218580305</v>
      </c>
      <c r="H125" s="380">
        <f t="shared" si="61"/>
        <v>118391.30604078737</v>
      </c>
      <c r="I125" s="399">
        <f t="shared" si="62"/>
        <v>118391.30604078737</v>
      </c>
      <c r="J125" s="54">
        <f t="shared" si="36"/>
        <v>0</v>
      </c>
      <c r="K125" s="54"/>
      <c r="L125" s="129"/>
      <c r="M125" s="54">
        <f t="shared" si="38"/>
        <v>0</v>
      </c>
      <c r="N125" s="129"/>
      <c r="O125" s="54">
        <f t="shared" si="40"/>
        <v>0</v>
      </c>
      <c r="P125" s="54">
        <f t="shared" si="41"/>
        <v>0</v>
      </c>
      <c r="Q125" s="1"/>
    </row>
    <row r="126" spans="2:17" ht="12.5">
      <c r="B126" s="7" t="str">
        <f t="shared" si="42"/>
        <v/>
      </c>
      <c r="C126" s="50">
        <f>IF(D93="","-",+C125+1)</f>
        <v>2037</v>
      </c>
      <c r="D126" s="12">
        <f>IF(F125+SUM(E$99:E125)=D$92,F125,D$92-SUM(E$99:E125))</f>
        <v>632234.52718580305</v>
      </c>
      <c r="E126" s="378">
        <f>IF(+J96&lt;F125,J96,D126)</f>
        <v>37336.75</v>
      </c>
      <c r="F126" s="55">
        <f t="shared" si="59"/>
        <v>594897.77718580305</v>
      </c>
      <c r="G126" s="55">
        <f t="shared" si="60"/>
        <v>613566.15218580305</v>
      </c>
      <c r="H126" s="380">
        <f t="shared" si="61"/>
        <v>113741.89721945139</v>
      </c>
      <c r="I126" s="399">
        <f t="shared" si="62"/>
        <v>113741.89721945139</v>
      </c>
      <c r="J126" s="54">
        <f t="shared" si="36"/>
        <v>0</v>
      </c>
      <c r="K126" s="54"/>
      <c r="L126" s="129"/>
      <c r="M126" s="54">
        <f t="shared" si="38"/>
        <v>0</v>
      </c>
      <c r="N126" s="129"/>
      <c r="O126" s="54">
        <f t="shared" si="40"/>
        <v>0</v>
      </c>
      <c r="P126" s="54">
        <f t="shared" si="41"/>
        <v>0</v>
      </c>
      <c r="Q126" s="1"/>
    </row>
    <row r="127" spans="2:17" ht="12.5">
      <c r="B127" s="7" t="str">
        <f t="shared" si="42"/>
        <v/>
      </c>
      <c r="C127" s="50">
        <f>IF(D93="","-",+C126+1)</f>
        <v>2038</v>
      </c>
      <c r="D127" s="12">
        <f>IF(F126+SUM(E$99:E126)=D$92,F126,D$92-SUM(E$99:E126))</f>
        <v>594897.77718580305</v>
      </c>
      <c r="E127" s="378">
        <f>IF(+J96&lt;F126,J96,D127)</f>
        <v>37336.75</v>
      </c>
      <c r="F127" s="55">
        <f t="shared" si="59"/>
        <v>557561.02718580305</v>
      </c>
      <c r="G127" s="55">
        <f t="shared" si="60"/>
        <v>576229.40218580305</v>
      </c>
      <c r="H127" s="380">
        <f t="shared" si="61"/>
        <v>109092.4883981154</v>
      </c>
      <c r="I127" s="399">
        <f t="shared" si="62"/>
        <v>109092.4883981154</v>
      </c>
      <c r="J127" s="54">
        <f t="shared" si="36"/>
        <v>0</v>
      </c>
      <c r="K127" s="54"/>
      <c r="L127" s="129"/>
      <c r="M127" s="54">
        <f t="shared" si="38"/>
        <v>0</v>
      </c>
      <c r="N127" s="129"/>
      <c r="O127" s="54">
        <f t="shared" si="40"/>
        <v>0</v>
      </c>
      <c r="P127" s="54">
        <f t="shared" si="41"/>
        <v>0</v>
      </c>
      <c r="Q127" s="1"/>
    </row>
    <row r="128" spans="2:17" ht="12.5">
      <c r="B128" s="7" t="str">
        <f t="shared" si="42"/>
        <v/>
      </c>
      <c r="C128" s="50">
        <f>IF(D93="","-",+C127+1)</f>
        <v>2039</v>
      </c>
      <c r="D128" s="12">
        <f>IF(F127+SUM(E$99:E127)=D$92,F127,D$92-SUM(E$99:E127))</f>
        <v>557561.02718580305</v>
      </c>
      <c r="E128" s="378">
        <f>IF(+J96&lt;F127,J96,D128)</f>
        <v>37336.75</v>
      </c>
      <c r="F128" s="55">
        <f t="shared" si="59"/>
        <v>520224.27718580305</v>
      </c>
      <c r="G128" s="55">
        <f t="shared" si="60"/>
        <v>538892.65218580305</v>
      </c>
      <c r="H128" s="380">
        <f t="shared" si="61"/>
        <v>104443.0795767794</v>
      </c>
      <c r="I128" s="399">
        <f t="shared" si="62"/>
        <v>104443.0795767794</v>
      </c>
      <c r="J128" s="54">
        <f t="shared" si="36"/>
        <v>0</v>
      </c>
      <c r="K128" s="54"/>
      <c r="L128" s="129"/>
      <c r="M128" s="54">
        <f t="shared" si="38"/>
        <v>0</v>
      </c>
      <c r="N128" s="129"/>
      <c r="O128" s="54">
        <f t="shared" si="40"/>
        <v>0</v>
      </c>
      <c r="P128" s="54">
        <f t="shared" si="41"/>
        <v>0</v>
      </c>
      <c r="Q128" s="1"/>
    </row>
    <row r="129" spans="2:17" ht="12.5">
      <c r="B129" s="7" t="str">
        <f t="shared" si="42"/>
        <v/>
      </c>
      <c r="C129" s="50">
        <f>IF(D93="","-",+C128+1)</f>
        <v>2040</v>
      </c>
      <c r="D129" s="12">
        <f>IF(F128+SUM(E$99:E128)=D$92,F128,D$92-SUM(E$99:E128))</f>
        <v>520224.27718580305</v>
      </c>
      <c r="E129" s="378">
        <f>IF(+J96&lt;F128,J96,D129)</f>
        <v>37336.75</v>
      </c>
      <c r="F129" s="55">
        <f t="shared" si="59"/>
        <v>482887.52718580305</v>
      </c>
      <c r="G129" s="55">
        <f t="shared" si="60"/>
        <v>501555.90218580305</v>
      </c>
      <c r="H129" s="380">
        <f t="shared" si="61"/>
        <v>99793.670755443425</v>
      </c>
      <c r="I129" s="399">
        <f t="shared" si="62"/>
        <v>99793.670755443425</v>
      </c>
      <c r="J129" s="54">
        <f t="shared" si="36"/>
        <v>0</v>
      </c>
      <c r="K129" s="54"/>
      <c r="L129" s="129"/>
      <c r="M129" s="54">
        <f t="shared" si="38"/>
        <v>0</v>
      </c>
      <c r="N129" s="129"/>
      <c r="O129" s="54">
        <f t="shared" si="40"/>
        <v>0</v>
      </c>
      <c r="P129" s="54">
        <f t="shared" si="41"/>
        <v>0</v>
      </c>
      <c r="Q129" s="1"/>
    </row>
    <row r="130" spans="2:17" ht="12.5">
      <c r="B130" s="7" t="str">
        <f t="shared" si="42"/>
        <v/>
      </c>
      <c r="C130" s="50">
        <f>IF(D93="","-",+C129+1)</f>
        <v>2041</v>
      </c>
      <c r="D130" s="12">
        <f>IF(F129+SUM(E$99:E129)=D$92,F129,D$92-SUM(E$99:E129))</f>
        <v>482887.52718580305</v>
      </c>
      <c r="E130" s="378">
        <f>IF(+J96&lt;F129,J96,D130)</f>
        <v>37336.75</v>
      </c>
      <c r="F130" s="55">
        <f t="shared" si="59"/>
        <v>445550.77718580305</v>
      </c>
      <c r="G130" s="55">
        <f t="shared" si="60"/>
        <v>464219.15218580305</v>
      </c>
      <c r="H130" s="380">
        <f t="shared" si="61"/>
        <v>95144.261934107431</v>
      </c>
      <c r="I130" s="399">
        <f t="shared" si="62"/>
        <v>95144.261934107431</v>
      </c>
      <c r="J130" s="54">
        <f t="shared" si="36"/>
        <v>0</v>
      </c>
      <c r="K130" s="54"/>
      <c r="L130" s="129"/>
      <c r="M130" s="54">
        <f t="shared" si="38"/>
        <v>0</v>
      </c>
      <c r="N130" s="129"/>
      <c r="O130" s="54">
        <f t="shared" si="40"/>
        <v>0</v>
      </c>
      <c r="P130" s="54">
        <f t="shared" si="41"/>
        <v>0</v>
      </c>
      <c r="Q130" s="1"/>
    </row>
    <row r="131" spans="2:17" ht="12.5">
      <c r="B131" s="7" t="str">
        <f t="shared" si="42"/>
        <v/>
      </c>
      <c r="C131" s="50">
        <f>IF(D93="","-",+C130+1)</f>
        <v>2042</v>
      </c>
      <c r="D131" s="12">
        <f>IF(F130+SUM(E$99:E130)=D$92,F130,D$92-SUM(E$99:E130))</f>
        <v>445550.77718580305</v>
      </c>
      <c r="E131" s="378">
        <f>IF(+J96&lt;F130,J96,D131)</f>
        <v>37336.75</v>
      </c>
      <c r="F131" s="55">
        <f t="shared" si="59"/>
        <v>408214.02718580305</v>
      </c>
      <c r="G131" s="55">
        <f t="shared" ref="G131:G154" si="63">+(F131+D131)/2</f>
        <v>426882.40218580305</v>
      </c>
      <c r="H131" s="380">
        <f t="shared" ref="H131:H154" si="64">+J$94*G131+E131</f>
        <v>90494.853112771438</v>
      </c>
      <c r="I131" s="399">
        <f t="shared" ref="I131:I154" si="65">+J$95*G131+E131</f>
        <v>90494.853112771438</v>
      </c>
      <c r="J131" s="54">
        <f t="shared" ref="J131:J154" si="66">+I131-H131</f>
        <v>0</v>
      </c>
      <c r="K131" s="54"/>
      <c r="L131" s="129"/>
      <c r="M131" s="54">
        <f t="shared" ref="M131:M154" si="67">IF(L131&lt;&gt;0,+H131-L131,0)</f>
        <v>0</v>
      </c>
      <c r="N131" s="129"/>
      <c r="O131" s="54">
        <f t="shared" ref="O131:O154" si="68">IF(N131&lt;&gt;0,+I131-N131,0)</f>
        <v>0</v>
      </c>
      <c r="P131" s="54">
        <f t="shared" ref="P131:P154" si="69">+O131-M131</f>
        <v>0</v>
      </c>
      <c r="Q131" s="1"/>
    </row>
    <row r="132" spans="2:17" ht="12.5">
      <c r="B132" s="7" t="str">
        <f t="shared" si="42"/>
        <v/>
      </c>
      <c r="C132" s="50">
        <f>IF(D93="","-",+C131+1)</f>
        <v>2043</v>
      </c>
      <c r="D132" s="12">
        <f>IF(F131+SUM(E$99:E131)=D$92,F131,D$92-SUM(E$99:E131))</f>
        <v>408214.02718580305</v>
      </c>
      <c r="E132" s="378">
        <f>IF(+J96&lt;F131,J96,D132)</f>
        <v>37336.75</v>
      </c>
      <c r="F132" s="55">
        <f t="shared" ref="F132:F154" si="70">+D132-E132</f>
        <v>370877.27718580305</v>
      </c>
      <c r="G132" s="55">
        <f t="shared" si="63"/>
        <v>389545.65218580305</v>
      </c>
      <c r="H132" s="380">
        <f t="shared" si="64"/>
        <v>85845.444291435459</v>
      </c>
      <c r="I132" s="399">
        <f t="shared" si="65"/>
        <v>85845.444291435459</v>
      </c>
      <c r="J132" s="54">
        <f t="shared" si="66"/>
        <v>0</v>
      </c>
      <c r="K132" s="54"/>
      <c r="L132" s="129"/>
      <c r="M132" s="54">
        <f t="shared" si="67"/>
        <v>0</v>
      </c>
      <c r="N132" s="129"/>
      <c r="O132" s="54">
        <f t="shared" si="68"/>
        <v>0</v>
      </c>
      <c r="P132" s="54">
        <f t="shared" si="69"/>
        <v>0</v>
      </c>
      <c r="Q132" s="1"/>
    </row>
    <row r="133" spans="2:17" ht="12.5">
      <c r="B133" s="7" t="str">
        <f t="shared" si="42"/>
        <v/>
      </c>
      <c r="C133" s="50">
        <f>IF(D93="","-",+C132+1)</f>
        <v>2044</v>
      </c>
      <c r="D133" s="12">
        <f>IF(F132+SUM(E$99:E132)=D$92,F132,D$92-SUM(E$99:E132))</f>
        <v>370877.27718580305</v>
      </c>
      <c r="E133" s="378">
        <f>IF(+J96&lt;F132,J96,D133)</f>
        <v>37336.75</v>
      </c>
      <c r="F133" s="55">
        <f t="shared" si="70"/>
        <v>333540.52718580305</v>
      </c>
      <c r="G133" s="55">
        <f t="shared" si="63"/>
        <v>352208.90218580305</v>
      </c>
      <c r="H133" s="380">
        <f t="shared" si="64"/>
        <v>81196.035470099479</v>
      </c>
      <c r="I133" s="399">
        <f t="shared" si="65"/>
        <v>81196.035470099479</v>
      </c>
      <c r="J133" s="54">
        <f t="shared" si="66"/>
        <v>0</v>
      </c>
      <c r="K133" s="54"/>
      <c r="L133" s="129"/>
      <c r="M133" s="54">
        <f t="shared" si="67"/>
        <v>0</v>
      </c>
      <c r="N133" s="129"/>
      <c r="O133" s="54">
        <f t="shared" si="68"/>
        <v>0</v>
      </c>
      <c r="P133" s="54">
        <f t="shared" si="69"/>
        <v>0</v>
      </c>
      <c r="Q133" s="1"/>
    </row>
    <row r="134" spans="2:17" ht="12.5">
      <c r="B134" s="7" t="str">
        <f t="shared" si="42"/>
        <v/>
      </c>
      <c r="C134" s="50">
        <f>IF(D93="","-",+C133+1)</f>
        <v>2045</v>
      </c>
      <c r="D134" s="12">
        <f>IF(F133+SUM(E$99:E133)=D$92,F133,D$92-SUM(E$99:E133))</f>
        <v>333540.52718580305</v>
      </c>
      <c r="E134" s="378">
        <f>IF(+J96&lt;F133,J96,D134)</f>
        <v>37336.75</v>
      </c>
      <c r="F134" s="55">
        <f t="shared" si="70"/>
        <v>296203.77718580305</v>
      </c>
      <c r="G134" s="55">
        <f t="shared" si="63"/>
        <v>314872.15218580305</v>
      </c>
      <c r="H134" s="380">
        <f t="shared" si="64"/>
        <v>76546.626648763486</v>
      </c>
      <c r="I134" s="399">
        <f t="shared" si="65"/>
        <v>76546.626648763486</v>
      </c>
      <c r="J134" s="54">
        <f t="shared" si="66"/>
        <v>0</v>
      </c>
      <c r="K134" s="54"/>
      <c r="L134" s="129"/>
      <c r="M134" s="54">
        <f t="shared" si="67"/>
        <v>0</v>
      </c>
      <c r="N134" s="129"/>
      <c r="O134" s="54">
        <f t="shared" si="68"/>
        <v>0</v>
      </c>
      <c r="P134" s="54">
        <f t="shared" si="69"/>
        <v>0</v>
      </c>
      <c r="Q134" s="1"/>
    </row>
    <row r="135" spans="2:17" ht="12.5">
      <c r="B135" s="7" t="str">
        <f t="shared" si="42"/>
        <v/>
      </c>
      <c r="C135" s="50">
        <f>IF(D93="","-",+C134+1)</f>
        <v>2046</v>
      </c>
      <c r="D135" s="12">
        <f>IF(F134+SUM(E$99:E134)=D$92,F134,D$92-SUM(E$99:E134))</f>
        <v>296203.77718580305</v>
      </c>
      <c r="E135" s="378">
        <f>IF(+J96&lt;F134,J96,D135)</f>
        <v>37336.75</v>
      </c>
      <c r="F135" s="55">
        <f t="shared" si="70"/>
        <v>258867.02718580305</v>
      </c>
      <c r="G135" s="55">
        <f t="shared" si="63"/>
        <v>277535.40218580305</v>
      </c>
      <c r="H135" s="380">
        <f t="shared" si="64"/>
        <v>71897.217827427492</v>
      </c>
      <c r="I135" s="399">
        <f t="shared" si="65"/>
        <v>71897.217827427492</v>
      </c>
      <c r="J135" s="54">
        <f t="shared" si="66"/>
        <v>0</v>
      </c>
      <c r="K135" s="54"/>
      <c r="L135" s="129"/>
      <c r="M135" s="54">
        <f t="shared" si="67"/>
        <v>0</v>
      </c>
      <c r="N135" s="129"/>
      <c r="O135" s="54">
        <f t="shared" si="68"/>
        <v>0</v>
      </c>
      <c r="P135" s="54">
        <f t="shared" si="69"/>
        <v>0</v>
      </c>
      <c r="Q135" s="1"/>
    </row>
    <row r="136" spans="2:17" ht="12.5">
      <c r="B136" s="7" t="str">
        <f t="shared" si="42"/>
        <v/>
      </c>
      <c r="C136" s="50">
        <f>IF(D93="","-",+C135+1)</f>
        <v>2047</v>
      </c>
      <c r="D136" s="12">
        <f>IF(F135+SUM(E$99:E135)=D$92,F135,D$92-SUM(E$99:E135))</f>
        <v>258867.02718580305</v>
      </c>
      <c r="E136" s="378">
        <f>IF(+J96&lt;F135,J96,D136)</f>
        <v>37336.75</v>
      </c>
      <c r="F136" s="55">
        <f t="shared" si="70"/>
        <v>221530.27718580305</v>
      </c>
      <c r="G136" s="55">
        <f t="shared" si="63"/>
        <v>240198.65218580305</v>
      </c>
      <c r="H136" s="380">
        <f t="shared" si="64"/>
        <v>67247.809006091513</v>
      </c>
      <c r="I136" s="399">
        <f t="shared" si="65"/>
        <v>67247.809006091513</v>
      </c>
      <c r="J136" s="54">
        <f t="shared" si="66"/>
        <v>0</v>
      </c>
      <c r="K136" s="54"/>
      <c r="L136" s="129"/>
      <c r="M136" s="54">
        <f t="shared" si="67"/>
        <v>0</v>
      </c>
      <c r="N136" s="129"/>
      <c r="O136" s="54">
        <f t="shared" si="68"/>
        <v>0</v>
      </c>
      <c r="P136" s="54">
        <f t="shared" si="69"/>
        <v>0</v>
      </c>
      <c r="Q136" s="1"/>
    </row>
    <row r="137" spans="2:17" ht="12.5">
      <c r="B137" s="7" t="str">
        <f t="shared" si="42"/>
        <v/>
      </c>
      <c r="C137" s="50">
        <f>IF(D93="","-",+C136+1)</f>
        <v>2048</v>
      </c>
      <c r="D137" s="12">
        <f>IF(F136+SUM(E$99:E136)=D$92,F136,D$92-SUM(E$99:E136))</f>
        <v>221530.27718580305</v>
      </c>
      <c r="E137" s="378">
        <f>IF(+J96&lt;F136,J96,D137)</f>
        <v>37336.75</v>
      </c>
      <c r="F137" s="55">
        <f t="shared" si="70"/>
        <v>184193.52718580305</v>
      </c>
      <c r="G137" s="55">
        <f t="shared" si="63"/>
        <v>202861.90218580305</v>
      </c>
      <c r="H137" s="380">
        <f t="shared" si="64"/>
        <v>62598.400184755526</v>
      </c>
      <c r="I137" s="399">
        <f t="shared" si="65"/>
        <v>62598.400184755526</v>
      </c>
      <c r="J137" s="54">
        <f t="shared" si="66"/>
        <v>0</v>
      </c>
      <c r="K137" s="54"/>
      <c r="L137" s="129"/>
      <c r="M137" s="54">
        <f t="shared" si="67"/>
        <v>0</v>
      </c>
      <c r="N137" s="129"/>
      <c r="O137" s="54">
        <f t="shared" si="68"/>
        <v>0</v>
      </c>
      <c r="P137" s="54">
        <f t="shared" si="69"/>
        <v>0</v>
      </c>
      <c r="Q137" s="1"/>
    </row>
    <row r="138" spans="2:17" ht="12.5">
      <c r="B138" s="7" t="str">
        <f t="shared" si="42"/>
        <v/>
      </c>
      <c r="C138" s="50">
        <f>IF(D93="","-",+C137+1)</f>
        <v>2049</v>
      </c>
      <c r="D138" s="12">
        <f>IF(F137+SUM(E$99:E137)=D$92,F137,D$92-SUM(E$99:E137))</f>
        <v>184193.52718580305</v>
      </c>
      <c r="E138" s="378">
        <f>IF(+J96&lt;F137,J96,D138)</f>
        <v>37336.75</v>
      </c>
      <c r="F138" s="55">
        <f t="shared" si="70"/>
        <v>146856.77718580305</v>
      </c>
      <c r="G138" s="55">
        <f t="shared" si="63"/>
        <v>165525.15218580305</v>
      </c>
      <c r="H138" s="380">
        <f t="shared" si="64"/>
        <v>57948.99136341954</v>
      </c>
      <c r="I138" s="399">
        <f t="shared" si="65"/>
        <v>57948.99136341954</v>
      </c>
      <c r="J138" s="54">
        <f t="shared" si="66"/>
        <v>0</v>
      </c>
      <c r="K138" s="54"/>
      <c r="L138" s="129"/>
      <c r="M138" s="54">
        <f t="shared" si="67"/>
        <v>0</v>
      </c>
      <c r="N138" s="129"/>
      <c r="O138" s="54">
        <f t="shared" si="68"/>
        <v>0</v>
      </c>
      <c r="P138" s="54">
        <f t="shared" si="69"/>
        <v>0</v>
      </c>
      <c r="Q138" s="1"/>
    </row>
    <row r="139" spans="2:17" ht="12.5">
      <c r="B139" s="7" t="str">
        <f t="shared" si="42"/>
        <v/>
      </c>
      <c r="C139" s="50">
        <f>IF(D93="","-",+C138+1)</f>
        <v>2050</v>
      </c>
      <c r="D139" s="12">
        <f>IF(F138+SUM(E$99:E138)=D$92,F138,D$92-SUM(E$99:E138))</f>
        <v>146856.77718580305</v>
      </c>
      <c r="E139" s="378">
        <f>IF(+J96&lt;F138,J96,D139)</f>
        <v>37336.75</v>
      </c>
      <c r="F139" s="55">
        <f t="shared" si="70"/>
        <v>109520.02718580305</v>
      </c>
      <c r="G139" s="55">
        <f t="shared" si="63"/>
        <v>128188.40218580305</v>
      </c>
      <c r="H139" s="380">
        <f t="shared" si="64"/>
        <v>53299.582542083554</v>
      </c>
      <c r="I139" s="399">
        <f t="shared" si="65"/>
        <v>53299.582542083554</v>
      </c>
      <c r="J139" s="54">
        <f t="shared" si="66"/>
        <v>0</v>
      </c>
      <c r="K139" s="54"/>
      <c r="L139" s="129"/>
      <c r="M139" s="54">
        <f t="shared" si="67"/>
        <v>0</v>
      </c>
      <c r="N139" s="129"/>
      <c r="O139" s="54">
        <f t="shared" si="68"/>
        <v>0</v>
      </c>
      <c r="P139" s="54">
        <f t="shared" si="69"/>
        <v>0</v>
      </c>
      <c r="Q139" s="1"/>
    </row>
    <row r="140" spans="2:17" ht="12.5">
      <c r="B140" s="7" t="str">
        <f t="shared" si="42"/>
        <v/>
      </c>
      <c r="C140" s="50">
        <f>IF(D93="","-",+C139+1)</f>
        <v>2051</v>
      </c>
      <c r="D140" s="12">
        <f>IF(F139+SUM(E$99:E139)=D$92,F139,D$92-SUM(E$99:E139))</f>
        <v>109520.02718580305</v>
      </c>
      <c r="E140" s="378">
        <f>IF(+J96&lt;F139,J96,D140)</f>
        <v>37336.75</v>
      </c>
      <c r="F140" s="55">
        <f t="shared" si="70"/>
        <v>72183.277185803046</v>
      </c>
      <c r="G140" s="55">
        <f t="shared" si="63"/>
        <v>90851.652185803046</v>
      </c>
      <c r="H140" s="380">
        <f t="shared" si="64"/>
        <v>48650.173720747567</v>
      </c>
      <c r="I140" s="399">
        <f t="shared" si="65"/>
        <v>48650.173720747567</v>
      </c>
      <c r="J140" s="54">
        <f t="shared" si="66"/>
        <v>0</v>
      </c>
      <c r="K140" s="54"/>
      <c r="L140" s="129"/>
      <c r="M140" s="54">
        <f t="shared" si="67"/>
        <v>0</v>
      </c>
      <c r="N140" s="129"/>
      <c r="O140" s="54">
        <f t="shared" si="68"/>
        <v>0</v>
      </c>
      <c r="P140" s="54">
        <f t="shared" si="69"/>
        <v>0</v>
      </c>
      <c r="Q140" s="1"/>
    </row>
    <row r="141" spans="2:17" ht="12.5">
      <c r="B141" s="7" t="str">
        <f t="shared" si="42"/>
        <v/>
      </c>
      <c r="C141" s="50">
        <f>IF(D93="","-",+C140+1)</f>
        <v>2052</v>
      </c>
      <c r="D141" s="12">
        <f>IF(F140+SUM(E$99:E140)=D$92,F140,D$92-SUM(E$99:E140))</f>
        <v>72183.277185803046</v>
      </c>
      <c r="E141" s="378">
        <f>IF(+J96&lt;F140,J96,D141)</f>
        <v>37336.75</v>
      </c>
      <c r="F141" s="55">
        <f t="shared" si="70"/>
        <v>34846.527185803046</v>
      </c>
      <c r="G141" s="55">
        <f t="shared" si="63"/>
        <v>53514.902185803046</v>
      </c>
      <c r="H141" s="380">
        <f t="shared" si="64"/>
        <v>44000.764899411573</v>
      </c>
      <c r="I141" s="399">
        <f t="shared" si="65"/>
        <v>44000.764899411573</v>
      </c>
      <c r="J141" s="54">
        <f t="shared" si="66"/>
        <v>0</v>
      </c>
      <c r="K141" s="54"/>
      <c r="L141" s="129"/>
      <c r="M141" s="54">
        <f t="shared" si="67"/>
        <v>0</v>
      </c>
      <c r="N141" s="129"/>
      <c r="O141" s="54">
        <f t="shared" si="68"/>
        <v>0</v>
      </c>
      <c r="P141" s="54">
        <f t="shared" si="69"/>
        <v>0</v>
      </c>
      <c r="Q141" s="1"/>
    </row>
    <row r="142" spans="2:17" ht="12.5">
      <c r="B142" s="7" t="str">
        <f t="shared" si="42"/>
        <v/>
      </c>
      <c r="C142" s="50">
        <f>IF(D93="","-",+C141+1)</f>
        <v>2053</v>
      </c>
      <c r="D142" s="12">
        <f>IF(F141+SUM(E$99:E141)=D$92,F141,D$92-SUM(E$99:E141))</f>
        <v>34846.527185803046</v>
      </c>
      <c r="E142" s="378">
        <f>IF(+J96&lt;F141,J96,D142)</f>
        <v>34846.527185803046</v>
      </c>
      <c r="F142" s="55">
        <f t="shared" si="70"/>
        <v>0</v>
      </c>
      <c r="G142" s="55">
        <f t="shared" si="63"/>
        <v>17423.263592901523</v>
      </c>
      <c r="H142" s="380">
        <f t="shared" si="64"/>
        <v>37016.182430174835</v>
      </c>
      <c r="I142" s="399">
        <f t="shared" si="65"/>
        <v>37016.182430174835</v>
      </c>
      <c r="J142" s="54">
        <f t="shared" si="66"/>
        <v>0</v>
      </c>
      <c r="K142" s="54"/>
      <c r="L142" s="129"/>
      <c r="M142" s="54">
        <f t="shared" si="67"/>
        <v>0</v>
      </c>
      <c r="N142" s="129"/>
      <c r="O142" s="54">
        <f t="shared" si="68"/>
        <v>0</v>
      </c>
      <c r="P142" s="54">
        <f t="shared" si="69"/>
        <v>0</v>
      </c>
      <c r="Q142" s="1"/>
    </row>
    <row r="143" spans="2:17" ht="12.5">
      <c r="B143" s="7" t="str">
        <f t="shared" si="42"/>
        <v/>
      </c>
      <c r="C143" s="50">
        <f>IF(D93="","-",+C142+1)</f>
        <v>2054</v>
      </c>
      <c r="D143" s="12">
        <f>IF(F142+SUM(E$99:E142)=D$92,F142,D$92-SUM(E$99:E142))</f>
        <v>0</v>
      </c>
      <c r="E143" s="378">
        <f>IF(+J96&lt;F142,J96,D143)</f>
        <v>0</v>
      </c>
      <c r="F143" s="55">
        <f t="shared" si="70"/>
        <v>0</v>
      </c>
      <c r="G143" s="55">
        <f t="shared" si="63"/>
        <v>0</v>
      </c>
      <c r="H143" s="380">
        <f t="shared" si="64"/>
        <v>0</v>
      </c>
      <c r="I143" s="399">
        <f t="shared" si="65"/>
        <v>0</v>
      </c>
      <c r="J143" s="54">
        <f t="shared" si="66"/>
        <v>0</v>
      </c>
      <c r="K143" s="54"/>
      <c r="L143" s="129"/>
      <c r="M143" s="54">
        <f t="shared" si="67"/>
        <v>0</v>
      </c>
      <c r="N143" s="129"/>
      <c r="O143" s="54">
        <f t="shared" si="68"/>
        <v>0</v>
      </c>
      <c r="P143" s="54">
        <f t="shared" si="69"/>
        <v>0</v>
      </c>
      <c r="Q143" s="1"/>
    </row>
    <row r="144" spans="2:17" ht="12.5">
      <c r="B144" s="7" t="str">
        <f t="shared" si="42"/>
        <v/>
      </c>
      <c r="C144" s="50">
        <f>IF(D93="","-",+C143+1)</f>
        <v>2055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70"/>
        <v>0</v>
      </c>
      <c r="G144" s="55">
        <f t="shared" si="63"/>
        <v>0</v>
      </c>
      <c r="H144" s="380">
        <f t="shared" si="64"/>
        <v>0</v>
      </c>
      <c r="I144" s="399">
        <f t="shared" si="65"/>
        <v>0</v>
      </c>
      <c r="J144" s="54">
        <f t="shared" si="66"/>
        <v>0</v>
      </c>
      <c r="K144" s="54"/>
      <c r="L144" s="129"/>
      <c r="M144" s="54">
        <f t="shared" si="67"/>
        <v>0</v>
      </c>
      <c r="N144" s="129"/>
      <c r="O144" s="54">
        <f t="shared" si="68"/>
        <v>0</v>
      </c>
      <c r="P144" s="54">
        <f t="shared" si="69"/>
        <v>0</v>
      </c>
      <c r="Q144" s="1"/>
    </row>
    <row r="145" spans="2:17" ht="12.5">
      <c r="B145" s="7" t="str">
        <f t="shared" si="42"/>
        <v/>
      </c>
      <c r="C145" s="50">
        <f>IF(D93="","-",+C144+1)</f>
        <v>2056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70"/>
        <v>0</v>
      </c>
      <c r="G145" s="55">
        <f t="shared" si="63"/>
        <v>0</v>
      </c>
      <c r="H145" s="380">
        <f t="shared" si="64"/>
        <v>0</v>
      </c>
      <c r="I145" s="399">
        <f t="shared" si="65"/>
        <v>0</v>
      </c>
      <c r="J145" s="54">
        <f t="shared" si="66"/>
        <v>0</v>
      </c>
      <c r="K145" s="54"/>
      <c r="L145" s="129"/>
      <c r="M145" s="54">
        <f t="shared" si="67"/>
        <v>0</v>
      </c>
      <c r="N145" s="129"/>
      <c r="O145" s="54">
        <f t="shared" si="68"/>
        <v>0</v>
      </c>
      <c r="P145" s="54">
        <f t="shared" si="69"/>
        <v>0</v>
      </c>
      <c r="Q145" s="1"/>
    </row>
    <row r="146" spans="2:17" ht="12.5">
      <c r="B146" s="7" t="str">
        <f t="shared" si="42"/>
        <v/>
      </c>
      <c r="C146" s="50">
        <f>IF(D93="","-",+C145+1)</f>
        <v>2057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70"/>
        <v>0</v>
      </c>
      <c r="G146" s="55">
        <f t="shared" si="63"/>
        <v>0</v>
      </c>
      <c r="H146" s="380">
        <f t="shared" si="64"/>
        <v>0</v>
      </c>
      <c r="I146" s="399">
        <f t="shared" si="65"/>
        <v>0</v>
      </c>
      <c r="J146" s="54">
        <f t="shared" si="66"/>
        <v>0</v>
      </c>
      <c r="K146" s="54"/>
      <c r="L146" s="129"/>
      <c r="M146" s="54">
        <f t="shared" si="67"/>
        <v>0</v>
      </c>
      <c r="N146" s="129"/>
      <c r="O146" s="54">
        <f t="shared" si="68"/>
        <v>0</v>
      </c>
      <c r="P146" s="54">
        <f t="shared" si="69"/>
        <v>0</v>
      </c>
      <c r="Q146" s="1"/>
    </row>
    <row r="147" spans="2:17" ht="12.5">
      <c r="B147" s="7" t="str">
        <f t="shared" si="42"/>
        <v/>
      </c>
      <c r="C147" s="50">
        <f>IF(D93="","-",+C146+1)</f>
        <v>2058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70"/>
        <v>0</v>
      </c>
      <c r="G147" s="55">
        <f t="shared" si="63"/>
        <v>0</v>
      </c>
      <c r="H147" s="380">
        <f t="shared" si="64"/>
        <v>0</v>
      </c>
      <c r="I147" s="399">
        <f t="shared" si="65"/>
        <v>0</v>
      </c>
      <c r="J147" s="54">
        <f t="shared" si="66"/>
        <v>0</v>
      </c>
      <c r="K147" s="54"/>
      <c r="L147" s="129"/>
      <c r="M147" s="54">
        <f t="shared" si="67"/>
        <v>0</v>
      </c>
      <c r="N147" s="129"/>
      <c r="O147" s="54">
        <f t="shared" si="68"/>
        <v>0</v>
      </c>
      <c r="P147" s="54">
        <f t="shared" si="69"/>
        <v>0</v>
      </c>
      <c r="Q147" s="1"/>
    </row>
    <row r="148" spans="2:17" ht="12.5">
      <c r="B148" s="7" t="str">
        <f t="shared" si="42"/>
        <v/>
      </c>
      <c r="C148" s="50">
        <f>IF(D93="","-",+C147+1)</f>
        <v>2059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70"/>
        <v>0</v>
      </c>
      <c r="G148" s="55">
        <f t="shared" si="63"/>
        <v>0</v>
      </c>
      <c r="H148" s="380">
        <f t="shared" si="64"/>
        <v>0</v>
      </c>
      <c r="I148" s="399">
        <f t="shared" si="65"/>
        <v>0</v>
      </c>
      <c r="J148" s="54">
        <f t="shared" si="66"/>
        <v>0</v>
      </c>
      <c r="K148" s="54"/>
      <c r="L148" s="129"/>
      <c r="M148" s="54">
        <f t="shared" si="67"/>
        <v>0</v>
      </c>
      <c r="N148" s="129"/>
      <c r="O148" s="54">
        <f t="shared" si="68"/>
        <v>0</v>
      </c>
      <c r="P148" s="54">
        <f t="shared" si="69"/>
        <v>0</v>
      </c>
      <c r="Q148" s="1"/>
    </row>
    <row r="149" spans="2:17" ht="12.5">
      <c r="B149" s="7" t="str">
        <f t="shared" si="42"/>
        <v/>
      </c>
      <c r="C149" s="50">
        <f>IF(D93="","-",+C148+1)</f>
        <v>2060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70"/>
        <v>0</v>
      </c>
      <c r="G149" s="55">
        <f t="shared" si="63"/>
        <v>0</v>
      </c>
      <c r="H149" s="380">
        <f t="shared" si="64"/>
        <v>0</v>
      </c>
      <c r="I149" s="399">
        <f t="shared" si="65"/>
        <v>0</v>
      </c>
      <c r="J149" s="54">
        <f t="shared" si="66"/>
        <v>0</v>
      </c>
      <c r="K149" s="54"/>
      <c r="L149" s="129"/>
      <c r="M149" s="54">
        <f t="shared" si="67"/>
        <v>0</v>
      </c>
      <c r="N149" s="129"/>
      <c r="O149" s="54">
        <f t="shared" si="68"/>
        <v>0</v>
      </c>
      <c r="P149" s="54">
        <f t="shared" si="69"/>
        <v>0</v>
      </c>
      <c r="Q149" s="1"/>
    </row>
    <row r="150" spans="2:17" ht="12.5">
      <c r="B150" s="7" t="str">
        <f t="shared" si="42"/>
        <v/>
      </c>
      <c r="C150" s="50">
        <f>IF(D93="","-",+C149+1)</f>
        <v>2061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70"/>
        <v>0</v>
      </c>
      <c r="G150" s="55">
        <f t="shared" si="63"/>
        <v>0</v>
      </c>
      <c r="H150" s="380">
        <f t="shared" si="64"/>
        <v>0</v>
      </c>
      <c r="I150" s="399">
        <f t="shared" si="65"/>
        <v>0</v>
      </c>
      <c r="J150" s="54">
        <f t="shared" si="66"/>
        <v>0</v>
      </c>
      <c r="K150" s="54"/>
      <c r="L150" s="129"/>
      <c r="M150" s="54">
        <f t="shared" si="67"/>
        <v>0</v>
      </c>
      <c r="N150" s="129"/>
      <c r="O150" s="54">
        <f t="shared" si="68"/>
        <v>0</v>
      </c>
      <c r="P150" s="54">
        <f t="shared" si="69"/>
        <v>0</v>
      </c>
      <c r="Q150" s="1"/>
    </row>
    <row r="151" spans="2:17" ht="12.5">
      <c r="B151" s="7" t="str">
        <f t="shared" si="42"/>
        <v/>
      </c>
      <c r="C151" s="50">
        <f>IF(D93="","-",+C150+1)</f>
        <v>2062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70"/>
        <v>0</v>
      </c>
      <c r="G151" s="55">
        <f t="shared" si="63"/>
        <v>0</v>
      </c>
      <c r="H151" s="380">
        <f t="shared" si="64"/>
        <v>0</v>
      </c>
      <c r="I151" s="399">
        <f t="shared" si="65"/>
        <v>0</v>
      </c>
      <c r="J151" s="54">
        <f t="shared" si="66"/>
        <v>0</v>
      </c>
      <c r="K151" s="54"/>
      <c r="L151" s="129"/>
      <c r="M151" s="54">
        <f t="shared" si="67"/>
        <v>0</v>
      </c>
      <c r="N151" s="129"/>
      <c r="O151" s="54">
        <f t="shared" si="68"/>
        <v>0</v>
      </c>
      <c r="P151" s="54">
        <f t="shared" si="69"/>
        <v>0</v>
      </c>
      <c r="Q151" s="1"/>
    </row>
    <row r="152" spans="2:17" ht="12.5">
      <c r="B152" s="7" t="str">
        <f t="shared" si="42"/>
        <v/>
      </c>
      <c r="C152" s="50">
        <f>IF(D93="","-",+C151+1)</f>
        <v>2063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70"/>
        <v>0</v>
      </c>
      <c r="G152" s="55">
        <f t="shared" si="63"/>
        <v>0</v>
      </c>
      <c r="H152" s="380">
        <f t="shared" si="64"/>
        <v>0</v>
      </c>
      <c r="I152" s="399">
        <f t="shared" si="65"/>
        <v>0</v>
      </c>
      <c r="J152" s="54">
        <f t="shared" si="66"/>
        <v>0</v>
      </c>
      <c r="K152" s="54"/>
      <c r="L152" s="129"/>
      <c r="M152" s="54">
        <f t="shared" si="67"/>
        <v>0</v>
      </c>
      <c r="N152" s="129"/>
      <c r="O152" s="54">
        <f t="shared" si="68"/>
        <v>0</v>
      </c>
      <c r="P152" s="54">
        <f t="shared" si="69"/>
        <v>0</v>
      </c>
      <c r="Q152" s="1"/>
    </row>
    <row r="153" spans="2:17" ht="12.5">
      <c r="B153" s="7" t="str">
        <f t="shared" si="42"/>
        <v/>
      </c>
      <c r="C153" s="50">
        <f>IF(D93="","-",+C152+1)</f>
        <v>2064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70"/>
        <v>0</v>
      </c>
      <c r="G153" s="55">
        <f t="shared" si="63"/>
        <v>0</v>
      </c>
      <c r="H153" s="380">
        <f t="shared" si="64"/>
        <v>0</v>
      </c>
      <c r="I153" s="399">
        <f t="shared" si="65"/>
        <v>0</v>
      </c>
      <c r="J153" s="54">
        <f t="shared" si="66"/>
        <v>0</v>
      </c>
      <c r="K153" s="54"/>
      <c r="L153" s="129"/>
      <c r="M153" s="54">
        <f t="shared" si="67"/>
        <v>0</v>
      </c>
      <c r="N153" s="129"/>
      <c r="O153" s="54">
        <f t="shared" si="68"/>
        <v>0</v>
      </c>
      <c r="P153" s="54">
        <f t="shared" si="69"/>
        <v>0</v>
      </c>
      <c r="Q153" s="1"/>
    </row>
    <row r="154" spans="2:17" ht="13" thickBot="1">
      <c r="B154" s="7" t="str">
        <f t="shared" si="42"/>
        <v/>
      </c>
      <c r="C154" s="59">
        <f>IF(D93="","-",+C153+1)</f>
        <v>2065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70"/>
        <v>0</v>
      </c>
      <c r="G154" s="60">
        <f t="shared" si="63"/>
        <v>0</v>
      </c>
      <c r="H154" s="382">
        <f t="shared" si="64"/>
        <v>0</v>
      </c>
      <c r="I154" s="400">
        <f t="shared" si="65"/>
        <v>0</v>
      </c>
      <c r="J154" s="64">
        <f t="shared" si="66"/>
        <v>0</v>
      </c>
      <c r="K154" s="54"/>
      <c r="L154" s="130"/>
      <c r="M154" s="64">
        <f t="shared" si="67"/>
        <v>0</v>
      </c>
      <c r="N154" s="130"/>
      <c r="O154" s="64">
        <f t="shared" si="68"/>
        <v>0</v>
      </c>
      <c r="P154" s="64">
        <f t="shared" si="69"/>
        <v>0</v>
      </c>
      <c r="Q154" s="1"/>
    </row>
    <row r="155" spans="2:17" ht="12.5">
      <c r="C155" s="12" t="s">
        <v>78</v>
      </c>
      <c r="D155" s="293"/>
      <c r="E155" s="293">
        <f>SUM(E99:E154)</f>
        <v>1642816.9999999995</v>
      </c>
      <c r="F155" s="293"/>
      <c r="G155" s="293"/>
      <c r="H155" s="293">
        <f>SUM(H99:H154)</f>
        <v>6101076.7433775179</v>
      </c>
      <c r="I155" s="293">
        <f>SUM(I99:I154)</f>
        <v>6101076.7433775179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 ht="12.5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 ht="12.5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15" priority="1" stopIfTrue="1" operator="equal">
      <formula>$I$10</formula>
    </cfRule>
  </conditionalFormatting>
  <conditionalFormatting sqref="C99:C154">
    <cfRule type="cellIs" dxfId="11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73"/>
  <dimension ref="A1:Q162"/>
  <sheetViews>
    <sheetView topLeftCell="A82" zoomScaleNormal="100" zoomScaleSheetLayoutView="75" workbookViewId="0">
      <selection activeCell="I20" sqref="I20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22 of 77</v>
      </c>
      <c r="Q1" s="13"/>
    </row>
    <row r="2" spans="1:17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21025.43403027673</v>
      </c>
      <c r="P5" s="1"/>
    </row>
    <row r="6" spans="1:17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21025.43403027673</v>
      </c>
      <c r="O6" s="1"/>
      <c r="P6" s="1"/>
    </row>
    <row r="7" spans="1:17" ht="13.5" thickBot="1">
      <c r="C7" s="25" t="s">
        <v>48</v>
      </c>
      <c r="D7" s="127" t="s">
        <v>262</v>
      </c>
      <c r="E7" s="1"/>
      <c r="F7" s="1"/>
      <c r="G7" s="29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85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249</v>
      </c>
      <c r="E9" s="31" t="s">
        <v>496</v>
      </c>
      <c r="F9" s="462">
        <v>30153</v>
      </c>
      <c r="G9" s="31"/>
      <c r="H9" s="31"/>
      <c r="I9" s="32"/>
      <c r="J9" s="33"/>
      <c r="P9" s="1"/>
    </row>
    <row r="10" spans="1:17" ht="13">
      <c r="C10" s="34" t="s">
        <v>51</v>
      </c>
      <c r="D10" s="363">
        <v>205882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7" ht="12.5">
      <c r="C11" s="34" t="s">
        <v>54</v>
      </c>
      <c r="D11" s="37">
        <v>2010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3">
        <v>6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4679.136363636364</v>
      </c>
      <c r="J14" s="293"/>
      <c r="K14" s="293"/>
      <c r="L14" s="293"/>
      <c r="M14" s="293"/>
      <c r="N14" s="293"/>
      <c r="O14" s="1"/>
      <c r="P14" s="1"/>
    </row>
    <row r="15" spans="1:17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2010</v>
      </c>
      <c r="D17" s="133">
        <v>187900</v>
      </c>
      <c r="E17" s="374">
        <v>2472.3684210526317</v>
      </c>
      <c r="F17" s="133">
        <v>185427.63157894736</v>
      </c>
      <c r="G17" s="374">
        <v>29130.371732121435</v>
      </c>
      <c r="H17" s="375">
        <v>29130.371732121435</v>
      </c>
      <c r="I17" s="141">
        <v>0</v>
      </c>
      <c r="J17" s="52"/>
      <c r="K17" s="112">
        <f t="shared" ref="K17:K22" si="0">G17</f>
        <v>29130.371732121435</v>
      </c>
      <c r="L17" s="53">
        <f t="shared" ref="L17:L48" si="1">IF(K17&lt;&gt;0,+G17-K17,0)</f>
        <v>0</v>
      </c>
      <c r="M17" s="112">
        <f t="shared" ref="M17:M22" si="2">H17</f>
        <v>29130.371732121435</v>
      </c>
      <c r="N17" s="53">
        <f t="shared" ref="N17:N48" si="3">IF(M17&lt;&gt;0,+H17-M17,0)</f>
        <v>0</v>
      </c>
      <c r="O17" s="54">
        <f t="shared" ref="O17:O48" si="4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2011</v>
      </c>
      <c r="D18" s="137">
        <v>212527.63157894736</v>
      </c>
      <c r="E18" s="376">
        <v>5243.9024390243903</v>
      </c>
      <c r="F18" s="137">
        <v>207283.72913992297</v>
      </c>
      <c r="G18" s="376">
        <v>37620.000882476787</v>
      </c>
      <c r="H18" s="375">
        <v>37620.000882476787</v>
      </c>
      <c r="I18" s="141">
        <v>0</v>
      </c>
      <c r="J18" s="52"/>
      <c r="K18" s="113">
        <f t="shared" si="0"/>
        <v>37620.000882476787</v>
      </c>
      <c r="L18" s="54">
        <f t="shared" si="1"/>
        <v>0</v>
      </c>
      <c r="M18" s="113">
        <f t="shared" si="2"/>
        <v>37620.000882476787</v>
      </c>
      <c r="N18" s="54">
        <f t="shared" si="3"/>
        <v>0</v>
      </c>
      <c r="O18" s="54">
        <f t="shared" si="4"/>
        <v>0</v>
      </c>
      <c r="P18" s="1"/>
    </row>
    <row r="19" spans="2:16" ht="12.5">
      <c r="B19" s="7" t="str">
        <f>IF(D19=F18,"","IU")</f>
        <v>IU</v>
      </c>
      <c r="C19" s="50">
        <f>IF(D11="","-",+C18+1)</f>
        <v>2012</v>
      </c>
      <c r="D19" s="137">
        <v>198165.72913992297</v>
      </c>
      <c r="E19" s="376">
        <v>4901.9523809523807</v>
      </c>
      <c r="F19" s="137">
        <v>193263.77675897061</v>
      </c>
      <c r="G19" s="376">
        <v>33644.168330497712</v>
      </c>
      <c r="H19" s="375">
        <v>33644.168330497712</v>
      </c>
      <c r="I19" s="141">
        <v>0</v>
      </c>
      <c r="J19" s="52"/>
      <c r="K19" s="113">
        <f t="shared" si="0"/>
        <v>33644.168330497712</v>
      </c>
      <c r="L19" s="54">
        <f t="shared" si="1"/>
        <v>0</v>
      </c>
      <c r="M19" s="113">
        <f t="shared" si="2"/>
        <v>33644.168330497712</v>
      </c>
      <c r="N19" s="54">
        <f t="shared" si="3"/>
        <v>0</v>
      </c>
      <c r="O19" s="54">
        <f t="shared" si="4"/>
        <v>0</v>
      </c>
      <c r="P19" s="1"/>
    </row>
    <row r="20" spans="2:16" ht="12.5">
      <c r="B20" s="7" t="str">
        <f t="shared" ref="B20:B72" si="5">IF(D20=F19,"","IU")</f>
        <v/>
      </c>
      <c r="C20" s="50">
        <f>IF(D11="","-",+C19+1)</f>
        <v>2013</v>
      </c>
      <c r="D20" s="151">
        <v>193263.77675897061</v>
      </c>
      <c r="E20" s="420">
        <v>4901.9523809523807</v>
      </c>
      <c r="F20" s="151">
        <v>188361.82437801824</v>
      </c>
      <c r="G20" s="420">
        <v>31270.174550105858</v>
      </c>
      <c r="H20" s="421">
        <v>31270.174550105858</v>
      </c>
      <c r="I20" s="153">
        <v>0</v>
      </c>
      <c r="J20" s="52"/>
      <c r="K20" s="113">
        <f t="shared" si="0"/>
        <v>31270.174550105858</v>
      </c>
      <c r="L20" s="54">
        <f t="shared" ref="L20:L25" si="6">IF(K20&lt;&gt;0,+G20-K20,0)</f>
        <v>0</v>
      </c>
      <c r="M20" s="113">
        <f t="shared" si="2"/>
        <v>31270.174550105858</v>
      </c>
      <c r="N20" s="54">
        <f t="shared" ref="N20:N25" si="7">IF(M20&lt;&gt;0,+H20-M20,0)</f>
        <v>0</v>
      </c>
      <c r="O20" s="54">
        <f t="shared" ref="O20:O25" si="8">+N20-L20</f>
        <v>0</v>
      </c>
      <c r="P20" s="1"/>
    </row>
    <row r="21" spans="2:16" ht="12.5">
      <c r="B21" s="7" t="str">
        <f t="shared" si="5"/>
        <v/>
      </c>
      <c r="C21" s="50">
        <f>IF(D12="","-",+C20+1)</f>
        <v>2014</v>
      </c>
      <c r="D21" s="151">
        <v>188361.82437801824</v>
      </c>
      <c r="E21" s="420">
        <v>4901.9523809523807</v>
      </c>
      <c r="F21" s="151">
        <v>183459.87199706587</v>
      </c>
      <c r="G21" s="420">
        <v>29652.616955555495</v>
      </c>
      <c r="H21" s="421">
        <v>29652.616955555495</v>
      </c>
      <c r="I21" s="153">
        <v>0</v>
      </c>
      <c r="J21" s="52"/>
      <c r="K21" s="113">
        <f t="shared" si="0"/>
        <v>29652.616955555495</v>
      </c>
      <c r="L21" s="54">
        <f t="shared" si="6"/>
        <v>0</v>
      </c>
      <c r="M21" s="113">
        <f t="shared" si="2"/>
        <v>29652.616955555495</v>
      </c>
      <c r="N21" s="54">
        <f t="shared" si="7"/>
        <v>0</v>
      </c>
      <c r="O21" s="54">
        <f t="shared" si="8"/>
        <v>0</v>
      </c>
      <c r="P21" s="1"/>
    </row>
    <row r="22" spans="2:16" ht="12.5">
      <c r="B22" s="7" t="str">
        <f t="shared" si="5"/>
        <v/>
      </c>
      <c r="C22" s="50">
        <f>IF(D11="","-",+C21+1)</f>
        <v>2015</v>
      </c>
      <c r="D22" s="151">
        <v>183459.87199706587</v>
      </c>
      <c r="E22" s="420">
        <v>4901.9523809523807</v>
      </c>
      <c r="F22" s="151">
        <v>178557.9196161135</v>
      </c>
      <c r="G22" s="420">
        <v>28418.887646522533</v>
      </c>
      <c r="H22" s="421">
        <v>28418.887646522533</v>
      </c>
      <c r="I22" s="52">
        <v>0</v>
      </c>
      <c r="J22" s="52"/>
      <c r="K22" s="113">
        <f t="shared" si="0"/>
        <v>28418.887646522533</v>
      </c>
      <c r="L22" s="54">
        <f t="shared" si="6"/>
        <v>0</v>
      </c>
      <c r="M22" s="113">
        <f t="shared" si="2"/>
        <v>28418.887646522533</v>
      </c>
      <c r="N22" s="54">
        <f t="shared" si="7"/>
        <v>0</v>
      </c>
      <c r="O22" s="54">
        <f t="shared" si="8"/>
        <v>0</v>
      </c>
      <c r="P22" s="1"/>
    </row>
    <row r="23" spans="2:16" ht="12.5">
      <c r="B23" s="7" t="str">
        <f t="shared" si="5"/>
        <v/>
      </c>
      <c r="C23" s="50">
        <f>IF(D11="","-",+C22+1)</f>
        <v>2016</v>
      </c>
      <c r="D23" s="151">
        <v>178557.9196161135</v>
      </c>
      <c r="E23" s="420">
        <v>4901.9523809523807</v>
      </c>
      <c r="F23" s="151">
        <v>173655.96723516114</v>
      </c>
      <c r="G23" s="420">
        <v>27491.116260788254</v>
      </c>
      <c r="H23" s="421">
        <v>27491.116260788254</v>
      </c>
      <c r="I23" s="52">
        <f t="shared" ref="I23:I48" si="9">H23-G23</f>
        <v>0</v>
      </c>
      <c r="J23" s="52"/>
      <c r="K23" s="113">
        <f t="shared" ref="K23:K28" si="10">G23</f>
        <v>27491.116260788254</v>
      </c>
      <c r="L23" s="54">
        <f t="shared" si="6"/>
        <v>0</v>
      </c>
      <c r="M23" s="113">
        <f t="shared" ref="M23:M28" si="11">H23</f>
        <v>27491.116260788254</v>
      </c>
      <c r="N23" s="54">
        <f t="shared" si="7"/>
        <v>0</v>
      </c>
      <c r="O23" s="54">
        <f t="shared" si="8"/>
        <v>0</v>
      </c>
      <c r="P23" s="1"/>
    </row>
    <row r="24" spans="2:16" ht="12.5">
      <c r="B24" s="7" t="str">
        <f t="shared" si="5"/>
        <v/>
      </c>
      <c r="C24" s="50">
        <f>IF(D11="","-",+C23+1)</f>
        <v>2017</v>
      </c>
      <c r="D24" s="151">
        <v>173655.96723516114</v>
      </c>
      <c r="E24" s="420">
        <v>4787.9534883720926</v>
      </c>
      <c r="F24" s="151">
        <v>168868.01374678905</v>
      </c>
      <c r="G24" s="420">
        <v>26006.03540248935</v>
      </c>
      <c r="H24" s="421">
        <v>26006.03540248935</v>
      </c>
      <c r="I24" s="52">
        <f t="shared" si="9"/>
        <v>0</v>
      </c>
      <c r="J24" s="52"/>
      <c r="K24" s="113">
        <f t="shared" si="10"/>
        <v>26006.03540248935</v>
      </c>
      <c r="L24" s="54">
        <f t="shared" si="6"/>
        <v>0</v>
      </c>
      <c r="M24" s="113">
        <f t="shared" si="11"/>
        <v>26006.03540248935</v>
      </c>
      <c r="N24" s="54">
        <f t="shared" si="7"/>
        <v>0</v>
      </c>
      <c r="O24" s="54">
        <f t="shared" si="8"/>
        <v>0</v>
      </c>
      <c r="P24" s="1"/>
    </row>
    <row r="25" spans="2:16" ht="12.5">
      <c r="B25" s="7" t="str">
        <f t="shared" si="5"/>
        <v/>
      </c>
      <c r="C25" s="50">
        <f>IF(D11="","-",+C24+1)</f>
        <v>2018</v>
      </c>
      <c r="D25" s="151">
        <v>168868.01374678905</v>
      </c>
      <c r="E25" s="420">
        <v>5021.5121951219517</v>
      </c>
      <c r="F25" s="151">
        <v>163846.50155166708</v>
      </c>
      <c r="G25" s="420">
        <v>26164.537956226875</v>
      </c>
      <c r="H25" s="421">
        <v>26164.537956226875</v>
      </c>
      <c r="I25" s="52">
        <f t="shared" si="9"/>
        <v>0</v>
      </c>
      <c r="J25" s="52"/>
      <c r="K25" s="113">
        <f t="shared" si="10"/>
        <v>26164.537956226875</v>
      </c>
      <c r="L25" s="54">
        <f t="shared" si="6"/>
        <v>0</v>
      </c>
      <c r="M25" s="113">
        <f t="shared" si="11"/>
        <v>26164.537956226875</v>
      </c>
      <c r="N25" s="54">
        <f t="shared" si="7"/>
        <v>0</v>
      </c>
      <c r="O25" s="54">
        <f t="shared" si="8"/>
        <v>0</v>
      </c>
      <c r="P25" s="1"/>
    </row>
    <row r="26" spans="2:16" ht="12.5">
      <c r="B26" s="7" t="str">
        <f t="shared" si="5"/>
        <v/>
      </c>
      <c r="C26" s="50">
        <f>IF(D11="","-",+C25+1)</f>
        <v>2019</v>
      </c>
      <c r="D26" s="151">
        <v>163846.50155166708</v>
      </c>
      <c r="E26" s="420">
        <v>5021.5121951219517</v>
      </c>
      <c r="F26" s="151">
        <v>158824.98935654512</v>
      </c>
      <c r="G26" s="420">
        <v>25526.333388530584</v>
      </c>
      <c r="H26" s="421">
        <v>25526.333388530584</v>
      </c>
      <c r="I26" s="52">
        <f t="shared" si="9"/>
        <v>0</v>
      </c>
      <c r="J26" s="52"/>
      <c r="K26" s="113">
        <f t="shared" si="10"/>
        <v>25526.333388530584</v>
      </c>
      <c r="L26" s="54">
        <f t="shared" ref="L26" si="12">IF(K26&lt;&gt;0,+G26-K26,0)</f>
        <v>0</v>
      </c>
      <c r="M26" s="113">
        <f t="shared" si="11"/>
        <v>25526.333388530584</v>
      </c>
      <c r="N26" s="54">
        <f t="shared" si="3"/>
        <v>0</v>
      </c>
      <c r="O26" s="54">
        <f t="shared" si="4"/>
        <v>0</v>
      </c>
      <c r="P26" s="1"/>
    </row>
    <row r="27" spans="2:16" ht="12.5">
      <c r="B27" s="7" t="str">
        <f t="shared" si="5"/>
        <v/>
      </c>
      <c r="C27" s="50">
        <f>IF(D11="","-",+C26+1)</f>
        <v>2020</v>
      </c>
      <c r="D27" s="151">
        <v>158824.98935654512</v>
      </c>
      <c r="E27" s="420">
        <v>5021.5121951219517</v>
      </c>
      <c r="F27" s="151">
        <v>153803.47716142316</v>
      </c>
      <c r="G27" s="420">
        <v>21018.000423487403</v>
      </c>
      <c r="H27" s="421">
        <v>21018.000423487403</v>
      </c>
      <c r="I27" s="52">
        <f t="shared" si="9"/>
        <v>0</v>
      </c>
      <c r="J27" s="52"/>
      <c r="K27" s="113">
        <f t="shared" si="10"/>
        <v>21018.000423487403</v>
      </c>
      <c r="L27" s="54">
        <f t="shared" ref="L27" si="13">IF(K27&lt;&gt;0,+G27-K27,0)</f>
        <v>0</v>
      </c>
      <c r="M27" s="113">
        <f t="shared" si="11"/>
        <v>21018.000423487403</v>
      </c>
      <c r="N27" s="54">
        <f t="shared" si="3"/>
        <v>0</v>
      </c>
      <c r="O27" s="54">
        <f t="shared" si="4"/>
        <v>0</v>
      </c>
      <c r="P27" s="1"/>
    </row>
    <row r="28" spans="2:16" ht="12.5">
      <c r="B28" s="7" t="str">
        <f t="shared" si="5"/>
        <v>IU</v>
      </c>
      <c r="C28" s="50">
        <f>IF(D11="","-",+C27+1)</f>
        <v>2021</v>
      </c>
      <c r="D28" s="151">
        <v>154037.035868173</v>
      </c>
      <c r="E28" s="420">
        <v>4901.9523809523807</v>
      </c>
      <c r="F28" s="151">
        <v>149135.08348722063</v>
      </c>
      <c r="G28" s="420">
        <v>20970.763671890392</v>
      </c>
      <c r="H28" s="421">
        <v>20970.763671890392</v>
      </c>
      <c r="I28" s="52">
        <f t="shared" si="9"/>
        <v>0</v>
      </c>
      <c r="J28" s="52"/>
      <c r="K28" s="113">
        <f t="shared" si="10"/>
        <v>20970.763671890392</v>
      </c>
      <c r="L28" s="54">
        <f t="shared" ref="L28" si="14">IF(K28&lt;&gt;0,+G28-K28,0)</f>
        <v>0</v>
      </c>
      <c r="M28" s="113">
        <f t="shared" si="11"/>
        <v>20970.763671890392</v>
      </c>
      <c r="N28" s="54">
        <f t="shared" si="3"/>
        <v>0</v>
      </c>
      <c r="O28" s="54">
        <f t="shared" si="4"/>
        <v>0</v>
      </c>
      <c r="P28" s="1"/>
    </row>
    <row r="29" spans="2:16" ht="12.5">
      <c r="B29" s="7" t="str">
        <f t="shared" si="5"/>
        <v>IU</v>
      </c>
      <c r="C29" s="50">
        <f>IF(D11="","-",+C28+1)</f>
        <v>2022</v>
      </c>
      <c r="D29" s="151">
        <v>148901.52478047076</v>
      </c>
      <c r="E29" s="420">
        <v>4901.9523809523807</v>
      </c>
      <c r="F29" s="151">
        <v>143999.57239951839</v>
      </c>
      <c r="G29" s="420">
        <v>21369.452055184542</v>
      </c>
      <c r="H29" s="421">
        <v>21369.452055184542</v>
      </c>
      <c r="I29" s="52">
        <f t="shared" si="9"/>
        <v>0</v>
      </c>
      <c r="J29" s="52"/>
      <c r="K29" s="113">
        <f t="shared" ref="K29" si="15">G29</f>
        <v>21369.452055184542</v>
      </c>
      <c r="L29" s="54">
        <f t="shared" ref="L29" si="16">IF(K29&lt;&gt;0,+G29-K29,0)</f>
        <v>0</v>
      </c>
      <c r="M29" s="113">
        <f t="shared" ref="M29" si="17">H29</f>
        <v>21369.452055184542</v>
      </c>
      <c r="N29" s="54">
        <f t="shared" si="3"/>
        <v>0</v>
      </c>
      <c r="O29" s="54">
        <f t="shared" si="4"/>
        <v>0</v>
      </c>
      <c r="P29" s="1"/>
    </row>
    <row r="30" spans="2:16" ht="12.5">
      <c r="B30" s="7" t="str">
        <f t="shared" si="5"/>
        <v/>
      </c>
      <c r="C30" s="50">
        <f>IF(D11="","-",+C29+1)</f>
        <v>2023</v>
      </c>
      <c r="D30" s="151">
        <v>143999.57239951839</v>
      </c>
      <c r="E30" s="420">
        <v>4901.9523809523807</v>
      </c>
      <c r="F30" s="151">
        <v>139097.62001856603</v>
      </c>
      <c r="G30" s="420">
        <v>22783.331883065894</v>
      </c>
      <c r="H30" s="421">
        <v>22783.331883065894</v>
      </c>
      <c r="I30" s="52">
        <f t="shared" si="9"/>
        <v>0</v>
      </c>
      <c r="J30" s="52"/>
      <c r="K30" s="113">
        <f t="shared" ref="K30" si="18">G30</f>
        <v>22783.331883065894</v>
      </c>
      <c r="L30" s="54">
        <f t="shared" ref="L30" si="19">IF(K30&lt;&gt;0,+G30-K30,0)</f>
        <v>0</v>
      </c>
      <c r="M30" s="113">
        <f t="shared" ref="M30" si="20">H30</f>
        <v>22783.331883065894</v>
      </c>
      <c r="N30" s="54">
        <f t="shared" si="3"/>
        <v>0</v>
      </c>
      <c r="O30" s="54">
        <f t="shared" si="4"/>
        <v>0</v>
      </c>
      <c r="P30" s="1"/>
    </row>
    <row r="31" spans="2:16" ht="12.5">
      <c r="B31" s="7" t="str">
        <f t="shared" si="5"/>
        <v/>
      </c>
      <c r="C31" s="50">
        <f>IF(D11="","-",+C30+1)</f>
        <v>2024</v>
      </c>
      <c r="D31" s="151">
        <v>139097.62001856603</v>
      </c>
      <c r="E31" s="420">
        <v>4679.136363636364</v>
      </c>
      <c r="F31" s="151">
        <v>134418.48365492967</v>
      </c>
      <c r="G31" s="420">
        <v>21025.43403027673</v>
      </c>
      <c r="H31" s="421">
        <v>21025.43403027673</v>
      </c>
      <c r="I31" s="52">
        <f t="shared" si="9"/>
        <v>0</v>
      </c>
      <c r="J31" s="52"/>
      <c r="K31" s="113">
        <f t="shared" ref="K31" si="21">G31</f>
        <v>21025.43403027673</v>
      </c>
      <c r="L31" s="54">
        <f t="shared" ref="L31" si="22">IF(K31&lt;&gt;0,+G31-K31,0)</f>
        <v>0</v>
      </c>
      <c r="M31" s="113">
        <f t="shared" ref="M31" si="23">H31</f>
        <v>21025.43403027673</v>
      </c>
      <c r="N31" s="54">
        <f t="shared" ref="N31" si="24">IF(M31&lt;&gt;0,+H31-M31,0)</f>
        <v>0</v>
      </c>
      <c r="O31" s="54">
        <f t="shared" ref="O31" si="25">+N31-L31</f>
        <v>0</v>
      </c>
      <c r="P31" s="1"/>
    </row>
    <row r="32" spans="2:16" ht="12.5">
      <c r="B32" s="7" t="str">
        <f t="shared" si="5"/>
        <v/>
      </c>
      <c r="C32" s="50">
        <f>IF(D11="","-",+C31+1)</f>
        <v>2025</v>
      </c>
      <c r="D32" s="55">
        <f>IF(F31+SUM(E$17:E31)=D$10,F31,D$10-SUM(E$17:E31))</f>
        <v>134418.48365492967</v>
      </c>
      <c r="E32" s="378">
        <f>IF(+I14&lt;F31,I14,D32)</f>
        <v>4679.136363636364</v>
      </c>
      <c r="F32" s="55">
        <f t="shared" ref="F32:F48" si="26">+D32-E32</f>
        <v>129739.34729129331</v>
      </c>
      <c r="G32" s="379">
        <f t="shared" ref="G32:G55" si="27">+I$12*((D32+F32)/2)+E32</f>
        <v>20466.15028211318</v>
      </c>
      <c r="H32" s="364">
        <f t="shared" ref="H32:H55" si="28">+I$13*((D32+F32)/2)+E32</f>
        <v>20466.15028211318</v>
      </c>
      <c r="I32" s="52">
        <f t="shared" si="9"/>
        <v>0</v>
      </c>
      <c r="J32" s="52"/>
      <c r="K32" s="129"/>
      <c r="L32" s="54">
        <f t="shared" si="1"/>
        <v>0</v>
      </c>
      <c r="M32" s="129"/>
      <c r="N32" s="54">
        <f t="shared" si="3"/>
        <v>0</v>
      </c>
      <c r="O32" s="54">
        <f t="shared" si="4"/>
        <v>0</v>
      </c>
      <c r="P32" s="1"/>
    </row>
    <row r="33" spans="2:16" ht="12.5">
      <c r="B33" s="7" t="str">
        <f t="shared" si="5"/>
        <v/>
      </c>
      <c r="C33" s="50">
        <f>IF(D11="","-",+C32+1)</f>
        <v>2026</v>
      </c>
      <c r="D33" s="55">
        <f>IF(F32+SUM(E$17:E32)=D$10,F32,D$10-SUM(E$17:E32))</f>
        <v>129739.34729129331</v>
      </c>
      <c r="E33" s="378">
        <f>IF(+I14&lt;F32,I14,D33)</f>
        <v>4679.136363636364</v>
      </c>
      <c r="F33" s="55">
        <f t="shared" si="26"/>
        <v>125060.21092765694</v>
      </c>
      <c r="G33" s="379">
        <f t="shared" si="27"/>
        <v>19906.866533949629</v>
      </c>
      <c r="H33" s="364">
        <f t="shared" si="28"/>
        <v>19906.866533949629</v>
      </c>
      <c r="I33" s="52">
        <f t="shared" si="9"/>
        <v>0</v>
      </c>
      <c r="J33" s="52"/>
      <c r="K33" s="129"/>
      <c r="L33" s="54">
        <f t="shared" si="1"/>
        <v>0</v>
      </c>
      <c r="M33" s="129"/>
      <c r="N33" s="54">
        <f t="shared" si="3"/>
        <v>0</v>
      </c>
      <c r="O33" s="54">
        <f t="shared" si="4"/>
        <v>0</v>
      </c>
      <c r="P33" s="1"/>
    </row>
    <row r="34" spans="2:16" ht="12.5">
      <c r="B34" s="7" t="str">
        <f t="shared" si="5"/>
        <v/>
      </c>
      <c r="C34" s="50">
        <f>IF(D11="","-",+C33+1)</f>
        <v>2027</v>
      </c>
      <c r="D34" s="55">
        <f>IF(F33+SUM(E$17:E33)=D$10,F33,D$10-SUM(E$17:E33))</f>
        <v>125060.21092765694</v>
      </c>
      <c r="E34" s="378">
        <f>IF(+I14&lt;F33,I14,D34)</f>
        <v>4679.136363636364</v>
      </c>
      <c r="F34" s="55">
        <f t="shared" si="26"/>
        <v>120381.07456402057</v>
      </c>
      <c r="G34" s="379">
        <f t="shared" si="27"/>
        <v>19347.582785786086</v>
      </c>
      <c r="H34" s="364">
        <f t="shared" si="28"/>
        <v>19347.582785786086</v>
      </c>
      <c r="I34" s="52">
        <f t="shared" si="9"/>
        <v>0</v>
      </c>
      <c r="J34" s="52"/>
      <c r="K34" s="129"/>
      <c r="L34" s="54">
        <f t="shared" si="1"/>
        <v>0</v>
      </c>
      <c r="M34" s="129"/>
      <c r="N34" s="54">
        <f t="shared" si="3"/>
        <v>0</v>
      </c>
      <c r="O34" s="54">
        <f t="shared" si="4"/>
        <v>0</v>
      </c>
      <c r="P34" s="1"/>
    </row>
    <row r="35" spans="2:16" ht="12.5">
      <c r="B35" s="7" t="str">
        <f t="shared" si="5"/>
        <v/>
      </c>
      <c r="C35" s="50">
        <f>IF(D11="","-",+C34+1)</f>
        <v>2028</v>
      </c>
      <c r="D35" s="55">
        <f>IF(F34+SUM(E$17:E34)=D$10,F34,D$10-SUM(E$17:E34))</f>
        <v>120381.07456402057</v>
      </c>
      <c r="E35" s="378">
        <f>IF(+I14&lt;F34,I14,D35)</f>
        <v>4679.136363636364</v>
      </c>
      <c r="F35" s="55">
        <f t="shared" si="26"/>
        <v>115701.9382003842</v>
      </c>
      <c r="G35" s="379">
        <f t="shared" si="27"/>
        <v>18788.299037622535</v>
      </c>
      <c r="H35" s="364">
        <f t="shared" si="28"/>
        <v>18788.299037622535</v>
      </c>
      <c r="I35" s="52">
        <f t="shared" si="9"/>
        <v>0</v>
      </c>
      <c r="J35" s="52"/>
      <c r="K35" s="129"/>
      <c r="L35" s="54">
        <f t="shared" si="1"/>
        <v>0</v>
      </c>
      <c r="M35" s="129"/>
      <c r="N35" s="54">
        <f t="shared" si="3"/>
        <v>0</v>
      </c>
      <c r="O35" s="54">
        <f t="shared" si="4"/>
        <v>0</v>
      </c>
      <c r="P35" s="1"/>
    </row>
    <row r="36" spans="2:16" ht="12.5">
      <c r="B36" s="7" t="str">
        <f t="shared" si="5"/>
        <v/>
      </c>
      <c r="C36" s="50">
        <f>IF(D11="","-",+C35+1)</f>
        <v>2029</v>
      </c>
      <c r="D36" s="55">
        <f>IF(F35+SUM(E$17:E35)=D$10,F35,D$10-SUM(E$17:E35))</f>
        <v>115701.9382003842</v>
      </c>
      <c r="E36" s="378">
        <f>IF(+I14&lt;F35,I14,D36)</f>
        <v>4679.136363636364</v>
      </c>
      <c r="F36" s="55">
        <f t="shared" si="26"/>
        <v>111022.80183674784</v>
      </c>
      <c r="G36" s="379">
        <f t="shared" si="27"/>
        <v>18229.015289458985</v>
      </c>
      <c r="H36" s="364">
        <f t="shared" si="28"/>
        <v>18229.015289458985</v>
      </c>
      <c r="I36" s="52">
        <f t="shared" si="9"/>
        <v>0</v>
      </c>
      <c r="J36" s="52"/>
      <c r="K36" s="129"/>
      <c r="L36" s="54">
        <f t="shared" si="1"/>
        <v>0</v>
      </c>
      <c r="M36" s="129"/>
      <c r="N36" s="54">
        <f t="shared" si="3"/>
        <v>0</v>
      </c>
      <c r="O36" s="54">
        <f t="shared" si="4"/>
        <v>0</v>
      </c>
      <c r="P36" s="1"/>
    </row>
    <row r="37" spans="2:16" ht="12.5">
      <c r="B37" s="7" t="str">
        <f t="shared" si="5"/>
        <v/>
      </c>
      <c r="C37" s="50">
        <f>IF(D11="","-",+C36+1)</f>
        <v>2030</v>
      </c>
      <c r="D37" s="55">
        <f>IF(F36+SUM(E$17:E36)=D$10,F36,D$10-SUM(E$17:E36))</f>
        <v>111022.80183674784</v>
      </c>
      <c r="E37" s="378">
        <f>IF(+I14&lt;F36,I14,D37)</f>
        <v>4679.136363636364</v>
      </c>
      <c r="F37" s="55">
        <f t="shared" si="26"/>
        <v>106343.66547311147</v>
      </c>
      <c r="G37" s="379">
        <f t="shared" si="27"/>
        <v>17669.731541295434</v>
      </c>
      <c r="H37" s="364">
        <f t="shared" si="28"/>
        <v>17669.731541295434</v>
      </c>
      <c r="I37" s="52">
        <f t="shared" si="9"/>
        <v>0</v>
      </c>
      <c r="J37" s="52"/>
      <c r="K37" s="129"/>
      <c r="L37" s="54">
        <f t="shared" si="1"/>
        <v>0</v>
      </c>
      <c r="M37" s="129"/>
      <c r="N37" s="54">
        <f t="shared" si="3"/>
        <v>0</v>
      </c>
      <c r="O37" s="54">
        <f t="shared" si="4"/>
        <v>0</v>
      </c>
      <c r="P37" s="1"/>
    </row>
    <row r="38" spans="2:16" ht="12.5">
      <c r="B38" s="7" t="str">
        <f t="shared" si="5"/>
        <v/>
      </c>
      <c r="C38" s="50">
        <f>IF(D11="","-",+C37+1)</f>
        <v>2031</v>
      </c>
      <c r="D38" s="55">
        <f>IF(F37+SUM(E$17:E37)=D$10,F37,D$10-SUM(E$17:E37))</f>
        <v>106343.66547311147</v>
      </c>
      <c r="E38" s="378">
        <f>IF(+I14&lt;F37,I14,D38)</f>
        <v>4679.136363636364</v>
      </c>
      <c r="F38" s="55">
        <f t="shared" si="26"/>
        <v>101664.5291094751</v>
      </c>
      <c r="G38" s="379">
        <f t="shared" si="27"/>
        <v>17110.447793131891</v>
      </c>
      <c r="H38" s="364">
        <f t="shared" si="28"/>
        <v>17110.447793131891</v>
      </c>
      <c r="I38" s="52">
        <f t="shared" si="9"/>
        <v>0</v>
      </c>
      <c r="J38" s="52"/>
      <c r="K38" s="129"/>
      <c r="L38" s="54">
        <f t="shared" si="1"/>
        <v>0</v>
      </c>
      <c r="M38" s="129"/>
      <c r="N38" s="54">
        <f t="shared" si="3"/>
        <v>0</v>
      </c>
      <c r="O38" s="54">
        <f t="shared" si="4"/>
        <v>0</v>
      </c>
      <c r="P38" s="1"/>
    </row>
    <row r="39" spans="2:16" ht="12.5">
      <c r="B39" s="7" t="str">
        <f t="shared" si="5"/>
        <v/>
      </c>
      <c r="C39" s="50">
        <f>IF(D11="","-",+C38+1)</f>
        <v>2032</v>
      </c>
      <c r="D39" s="55">
        <f>IF(F38+SUM(E$17:E38)=D$10,F38,D$10-SUM(E$17:E38))</f>
        <v>101664.5291094751</v>
      </c>
      <c r="E39" s="378">
        <f>IF(+I14&lt;F38,I14,D39)</f>
        <v>4679.136363636364</v>
      </c>
      <c r="F39" s="55">
        <f t="shared" si="26"/>
        <v>96985.392745838733</v>
      </c>
      <c r="G39" s="379">
        <f t="shared" si="27"/>
        <v>16551.16404496834</v>
      </c>
      <c r="H39" s="364">
        <f t="shared" si="28"/>
        <v>16551.16404496834</v>
      </c>
      <c r="I39" s="52">
        <f t="shared" si="9"/>
        <v>0</v>
      </c>
      <c r="J39" s="52"/>
      <c r="K39" s="129"/>
      <c r="L39" s="54">
        <f t="shared" si="1"/>
        <v>0</v>
      </c>
      <c r="M39" s="129"/>
      <c r="N39" s="54">
        <f t="shared" si="3"/>
        <v>0</v>
      </c>
      <c r="O39" s="54">
        <f t="shared" si="4"/>
        <v>0</v>
      </c>
      <c r="P39" s="1"/>
    </row>
    <row r="40" spans="2:16" ht="12.5">
      <c r="B40" s="7" t="str">
        <f t="shared" si="5"/>
        <v/>
      </c>
      <c r="C40" s="50">
        <f>IF(D11="","-",+C39+1)</f>
        <v>2033</v>
      </c>
      <c r="D40" s="55">
        <f>IF(F39+SUM(E$17:E39)=D$10,F39,D$10-SUM(E$17:E39))</f>
        <v>96985.392745838733</v>
      </c>
      <c r="E40" s="378">
        <f>IF(+I14&lt;F39,I14,D40)</f>
        <v>4679.136363636364</v>
      </c>
      <c r="F40" s="55">
        <f t="shared" si="26"/>
        <v>92306.256382202366</v>
      </c>
      <c r="G40" s="379">
        <f t="shared" si="27"/>
        <v>15991.880296804791</v>
      </c>
      <c r="H40" s="364">
        <f t="shared" si="28"/>
        <v>15991.880296804791</v>
      </c>
      <c r="I40" s="52">
        <f t="shared" si="9"/>
        <v>0</v>
      </c>
      <c r="J40" s="52"/>
      <c r="K40" s="129"/>
      <c r="L40" s="54">
        <f t="shared" si="1"/>
        <v>0</v>
      </c>
      <c r="M40" s="129"/>
      <c r="N40" s="54">
        <f t="shared" si="3"/>
        <v>0</v>
      </c>
      <c r="O40" s="54">
        <f t="shared" si="4"/>
        <v>0</v>
      </c>
      <c r="P40" s="1"/>
    </row>
    <row r="41" spans="2:16" ht="12.5">
      <c r="B41" s="7" t="str">
        <f t="shared" si="5"/>
        <v/>
      </c>
      <c r="C41" s="50">
        <f>IF(D11="","-",+C40+1)</f>
        <v>2034</v>
      </c>
      <c r="D41" s="55">
        <f>IF(F40+SUM(E$17:E40)=D$10,F40,D$10-SUM(E$17:E40))</f>
        <v>92306.256382202366</v>
      </c>
      <c r="E41" s="378">
        <f>IF(+I14&lt;F40,I14,D41)</f>
        <v>4679.136363636364</v>
      </c>
      <c r="F41" s="55">
        <f t="shared" si="26"/>
        <v>87627.120018565998</v>
      </c>
      <c r="G41" s="379">
        <f t="shared" si="27"/>
        <v>15432.596548641241</v>
      </c>
      <c r="H41" s="364">
        <f t="shared" si="28"/>
        <v>15432.596548641241</v>
      </c>
      <c r="I41" s="52">
        <f t="shared" si="9"/>
        <v>0</v>
      </c>
      <c r="J41" s="52"/>
      <c r="K41" s="129"/>
      <c r="L41" s="54">
        <f t="shared" si="1"/>
        <v>0</v>
      </c>
      <c r="M41" s="129"/>
      <c r="N41" s="54">
        <f t="shared" si="3"/>
        <v>0</v>
      </c>
      <c r="O41" s="54">
        <f t="shared" si="4"/>
        <v>0</v>
      </c>
      <c r="P41" s="1"/>
    </row>
    <row r="42" spans="2:16" ht="12.5">
      <c r="B42" s="7" t="str">
        <f t="shared" si="5"/>
        <v/>
      </c>
      <c r="C42" s="50">
        <f>IF(D11="","-",+C41+1)</f>
        <v>2035</v>
      </c>
      <c r="D42" s="55">
        <f>IF(F41+SUM(E$17:E41)=D$10,F41,D$10-SUM(E$17:E41))</f>
        <v>87627.120018565998</v>
      </c>
      <c r="E42" s="378">
        <f>IF(+I14&lt;F41,I14,D42)</f>
        <v>4679.136363636364</v>
      </c>
      <c r="F42" s="55">
        <f t="shared" si="26"/>
        <v>82947.983654929631</v>
      </c>
      <c r="G42" s="379">
        <f t="shared" si="27"/>
        <v>14873.312800477694</v>
      </c>
      <c r="H42" s="364">
        <f t="shared" si="28"/>
        <v>14873.312800477694</v>
      </c>
      <c r="I42" s="52">
        <f t="shared" si="9"/>
        <v>0</v>
      </c>
      <c r="J42" s="52"/>
      <c r="K42" s="129"/>
      <c r="L42" s="54">
        <f t="shared" si="1"/>
        <v>0</v>
      </c>
      <c r="M42" s="129"/>
      <c r="N42" s="54">
        <f t="shared" si="3"/>
        <v>0</v>
      </c>
      <c r="O42" s="54">
        <f t="shared" si="4"/>
        <v>0</v>
      </c>
      <c r="P42" s="1"/>
    </row>
    <row r="43" spans="2:16" ht="12.5">
      <c r="B43" s="7" t="str">
        <f t="shared" si="5"/>
        <v/>
      </c>
      <c r="C43" s="50">
        <f>IF(D11="","-",+C42+1)</f>
        <v>2036</v>
      </c>
      <c r="D43" s="55">
        <f>IF(F42+SUM(E$17:E42)=D$10,F42,D$10-SUM(E$17:E42))</f>
        <v>82947.983654929631</v>
      </c>
      <c r="E43" s="378">
        <f>IF(+I14&lt;F42,I14,D43)</f>
        <v>4679.136363636364</v>
      </c>
      <c r="F43" s="55">
        <f t="shared" si="26"/>
        <v>78268.847291293263</v>
      </c>
      <c r="G43" s="379">
        <f t="shared" si="27"/>
        <v>14314.029052314143</v>
      </c>
      <c r="H43" s="364">
        <f t="shared" si="28"/>
        <v>14314.029052314143</v>
      </c>
      <c r="I43" s="52">
        <f t="shared" si="9"/>
        <v>0</v>
      </c>
      <c r="J43" s="52"/>
      <c r="K43" s="129"/>
      <c r="L43" s="54">
        <f t="shared" si="1"/>
        <v>0</v>
      </c>
      <c r="M43" s="129"/>
      <c r="N43" s="54">
        <f t="shared" si="3"/>
        <v>0</v>
      </c>
      <c r="O43" s="54">
        <f t="shared" si="4"/>
        <v>0</v>
      </c>
      <c r="P43" s="1"/>
    </row>
    <row r="44" spans="2:16" ht="12.5">
      <c r="B44" s="7" t="str">
        <f t="shared" si="5"/>
        <v/>
      </c>
      <c r="C44" s="50">
        <f>IF(D11="","-",+C43+1)</f>
        <v>2037</v>
      </c>
      <c r="D44" s="55">
        <f>IF(F43+SUM(E$17:E43)=D$10,F43,D$10-SUM(E$17:E43))</f>
        <v>78268.847291293263</v>
      </c>
      <c r="E44" s="378">
        <f>IF(+I14&lt;F43,I14,D44)</f>
        <v>4679.136363636364</v>
      </c>
      <c r="F44" s="55">
        <f t="shared" si="26"/>
        <v>73589.710927656895</v>
      </c>
      <c r="G44" s="379">
        <f t="shared" si="27"/>
        <v>13754.745304150596</v>
      </c>
      <c r="H44" s="364">
        <f t="shared" si="28"/>
        <v>13754.745304150596</v>
      </c>
      <c r="I44" s="52">
        <f t="shared" si="9"/>
        <v>0</v>
      </c>
      <c r="J44" s="52"/>
      <c r="K44" s="129"/>
      <c r="L44" s="54">
        <f t="shared" si="1"/>
        <v>0</v>
      </c>
      <c r="M44" s="129"/>
      <c r="N44" s="54">
        <f t="shared" si="3"/>
        <v>0</v>
      </c>
      <c r="O44" s="54">
        <f t="shared" si="4"/>
        <v>0</v>
      </c>
      <c r="P44" s="1"/>
    </row>
    <row r="45" spans="2:16" ht="12.5">
      <c r="B45" s="7" t="str">
        <f t="shared" si="5"/>
        <v/>
      </c>
      <c r="C45" s="50">
        <f>IF(D11="","-",+C44+1)</f>
        <v>2038</v>
      </c>
      <c r="D45" s="55">
        <f>IF(F44+SUM(E$17:E44)=D$10,F44,D$10-SUM(E$17:E44))</f>
        <v>73589.710927656895</v>
      </c>
      <c r="E45" s="378">
        <f>IF(+I14&lt;F44,I14,D45)</f>
        <v>4679.136363636364</v>
      </c>
      <c r="F45" s="55">
        <f t="shared" si="26"/>
        <v>68910.574564020528</v>
      </c>
      <c r="G45" s="379">
        <f t="shared" si="27"/>
        <v>13195.461555987045</v>
      </c>
      <c r="H45" s="364">
        <f t="shared" si="28"/>
        <v>13195.461555987045</v>
      </c>
      <c r="I45" s="52">
        <f t="shared" si="9"/>
        <v>0</v>
      </c>
      <c r="J45" s="52"/>
      <c r="K45" s="129"/>
      <c r="L45" s="54">
        <f t="shared" si="1"/>
        <v>0</v>
      </c>
      <c r="M45" s="129"/>
      <c r="N45" s="54">
        <f t="shared" si="3"/>
        <v>0</v>
      </c>
      <c r="O45" s="54">
        <f t="shared" si="4"/>
        <v>0</v>
      </c>
      <c r="P45" s="1"/>
    </row>
    <row r="46" spans="2:16" ht="12.5">
      <c r="B46" s="7" t="str">
        <f t="shared" si="5"/>
        <v/>
      </c>
      <c r="C46" s="50">
        <f>IF(D11="","-",+C45+1)</f>
        <v>2039</v>
      </c>
      <c r="D46" s="55">
        <f>IF(F45+SUM(E$17:E45)=D$10,F45,D$10-SUM(E$17:E45))</f>
        <v>68910.574564020528</v>
      </c>
      <c r="E46" s="378">
        <f>IF(+I14&lt;F45,I14,D46)</f>
        <v>4679.136363636364</v>
      </c>
      <c r="F46" s="55">
        <f t="shared" si="26"/>
        <v>64231.43820038416</v>
      </c>
      <c r="G46" s="379">
        <f t="shared" si="27"/>
        <v>12636.177807823498</v>
      </c>
      <c r="H46" s="364">
        <f t="shared" si="28"/>
        <v>12636.177807823498</v>
      </c>
      <c r="I46" s="52">
        <f t="shared" si="9"/>
        <v>0</v>
      </c>
      <c r="J46" s="52"/>
      <c r="K46" s="129"/>
      <c r="L46" s="54">
        <f t="shared" si="1"/>
        <v>0</v>
      </c>
      <c r="M46" s="129"/>
      <c r="N46" s="54">
        <f t="shared" si="3"/>
        <v>0</v>
      </c>
      <c r="O46" s="54">
        <f t="shared" si="4"/>
        <v>0</v>
      </c>
      <c r="P46" s="1"/>
    </row>
    <row r="47" spans="2:16" ht="12.5">
      <c r="B47" s="7" t="str">
        <f t="shared" si="5"/>
        <v/>
      </c>
      <c r="C47" s="50">
        <f>IF(D11="","-",+C46+1)</f>
        <v>2040</v>
      </c>
      <c r="D47" s="55">
        <f>IF(F46+SUM(E$17:E46)=D$10,F46,D$10-SUM(E$17:E46))</f>
        <v>64231.43820038416</v>
      </c>
      <c r="E47" s="378">
        <f>IF(+I14&lt;F46,I14,D47)</f>
        <v>4679.136363636364</v>
      </c>
      <c r="F47" s="55">
        <f t="shared" si="26"/>
        <v>59552.301836747793</v>
      </c>
      <c r="G47" s="379">
        <f t="shared" si="27"/>
        <v>12076.89405965995</v>
      </c>
      <c r="H47" s="364">
        <f t="shared" si="28"/>
        <v>12076.89405965995</v>
      </c>
      <c r="I47" s="52">
        <f t="shared" si="9"/>
        <v>0</v>
      </c>
      <c r="J47" s="52"/>
      <c r="K47" s="129"/>
      <c r="L47" s="54">
        <f t="shared" si="1"/>
        <v>0</v>
      </c>
      <c r="M47" s="129"/>
      <c r="N47" s="54">
        <f t="shared" si="3"/>
        <v>0</v>
      </c>
      <c r="O47" s="54">
        <f t="shared" si="4"/>
        <v>0</v>
      </c>
      <c r="P47" s="1"/>
    </row>
    <row r="48" spans="2:16" ht="12.5">
      <c r="B48" s="7" t="str">
        <f t="shared" si="5"/>
        <v/>
      </c>
      <c r="C48" s="50">
        <f>IF(D11="","-",+C47+1)</f>
        <v>2041</v>
      </c>
      <c r="D48" s="55">
        <f>IF(F47+SUM(E$17:E47)=D$10,F47,D$10-SUM(E$17:E47))</f>
        <v>59552.301836747793</v>
      </c>
      <c r="E48" s="378">
        <f>IF(+I14&lt;F47,I14,D48)</f>
        <v>4679.136363636364</v>
      </c>
      <c r="F48" s="55">
        <f t="shared" si="26"/>
        <v>54873.165473111425</v>
      </c>
      <c r="G48" s="379">
        <f t="shared" si="27"/>
        <v>11517.610311496399</v>
      </c>
      <c r="H48" s="364">
        <f t="shared" si="28"/>
        <v>11517.610311496399</v>
      </c>
      <c r="I48" s="52">
        <f t="shared" si="9"/>
        <v>0</v>
      </c>
      <c r="J48" s="52"/>
      <c r="K48" s="129"/>
      <c r="L48" s="54">
        <f t="shared" si="1"/>
        <v>0</v>
      </c>
      <c r="M48" s="129"/>
      <c r="N48" s="54">
        <f t="shared" si="3"/>
        <v>0</v>
      </c>
      <c r="O48" s="54">
        <f t="shared" si="4"/>
        <v>0</v>
      </c>
      <c r="P48" s="1"/>
    </row>
    <row r="49" spans="2:17" ht="12.5">
      <c r="B49" s="7" t="str">
        <f t="shared" si="5"/>
        <v/>
      </c>
      <c r="C49" s="50">
        <f>IF(D11="","-",+C48+1)</f>
        <v>2042</v>
      </c>
      <c r="D49" s="55">
        <f>IF(F48+SUM(E$17:E48)=D$10,F48,D$10-SUM(E$17:E48))</f>
        <v>54873.165473111425</v>
      </c>
      <c r="E49" s="378">
        <f>IF(+I14&lt;F48,I14,D49)</f>
        <v>4679.136363636364</v>
      </c>
      <c r="F49" s="55">
        <f t="shared" ref="F49:F72" si="29">+D49-E49</f>
        <v>50194.029109475057</v>
      </c>
      <c r="G49" s="379">
        <f t="shared" si="27"/>
        <v>10958.326563332852</v>
      </c>
      <c r="H49" s="364">
        <f t="shared" si="28"/>
        <v>10958.326563332852</v>
      </c>
      <c r="I49" s="52">
        <f t="shared" ref="I49:I72" si="30">H49-G49</f>
        <v>0</v>
      </c>
      <c r="J49" s="52"/>
      <c r="K49" s="129"/>
      <c r="L49" s="54">
        <f t="shared" ref="L49:L72" si="31">IF(K49&lt;&gt;0,+G49-K49,0)</f>
        <v>0</v>
      </c>
      <c r="M49" s="129"/>
      <c r="N49" s="54">
        <f t="shared" ref="N49:N72" si="32">IF(M49&lt;&gt;0,+H49-M49,0)</f>
        <v>0</v>
      </c>
      <c r="O49" s="54">
        <f t="shared" ref="O49:O72" si="33">+N49-L49</f>
        <v>0</v>
      </c>
      <c r="P49" s="1"/>
    </row>
    <row r="50" spans="2:17" ht="12.5">
      <c r="B50" s="7" t="str">
        <f t="shared" si="5"/>
        <v/>
      </c>
      <c r="C50" s="50">
        <f>IF(D11="","-",+C49+1)</f>
        <v>2043</v>
      </c>
      <c r="D50" s="55">
        <f>IF(F49+SUM(E$17:E49)=D$10,F49,D$10-SUM(E$17:E49))</f>
        <v>50194.029109475057</v>
      </c>
      <c r="E50" s="378">
        <f>IF(+I14&lt;F49,I14,D50)</f>
        <v>4679.136363636364</v>
      </c>
      <c r="F50" s="55">
        <f t="shared" si="29"/>
        <v>45514.89274583869</v>
      </c>
      <c r="G50" s="379">
        <f t="shared" si="27"/>
        <v>10399.042815169301</v>
      </c>
      <c r="H50" s="364">
        <f t="shared" si="28"/>
        <v>10399.042815169301</v>
      </c>
      <c r="I50" s="52">
        <f t="shared" si="30"/>
        <v>0</v>
      </c>
      <c r="J50" s="52"/>
      <c r="K50" s="129"/>
      <c r="L50" s="54">
        <f t="shared" si="31"/>
        <v>0</v>
      </c>
      <c r="M50" s="129"/>
      <c r="N50" s="54">
        <f t="shared" si="32"/>
        <v>0</v>
      </c>
      <c r="O50" s="54">
        <f t="shared" si="33"/>
        <v>0</v>
      </c>
      <c r="P50" s="1"/>
    </row>
    <row r="51" spans="2:17" ht="12.5">
      <c r="B51" s="7" t="str">
        <f t="shared" si="5"/>
        <v/>
      </c>
      <c r="C51" s="50">
        <f>IF(D11="","-",+C50+1)</f>
        <v>2044</v>
      </c>
      <c r="D51" s="55">
        <f>IF(F50+SUM(E$17:E50)=D$10,F50,D$10-SUM(E$17:E50))</f>
        <v>45514.89274583869</v>
      </c>
      <c r="E51" s="378">
        <f>IF(+I14&lt;F50,I14,D51)</f>
        <v>4679.136363636364</v>
      </c>
      <c r="F51" s="55">
        <f t="shared" si="29"/>
        <v>40835.756382202322</v>
      </c>
      <c r="G51" s="379">
        <f t="shared" si="27"/>
        <v>9839.7590670057543</v>
      </c>
      <c r="H51" s="364">
        <f t="shared" si="28"/>
        <v>9839.7590670057543</v>
      </c>
      <c r="I51" s="52">
        <f t="shared" si="30"/>
        <v>0</v>
      </c>
      <c r="J51" s="52"/>
      <c r="K51" s="129"/>
      <c r="L51" s="54">
        <f t="shared" si="31"/>
        <v>0</v>
      </c>
      <c r="M51" s="129"/>
      <c r="N51" s="54">
        <f t="shared" si="32"/>
        <v>0</v>
      </c>
      <c r="O51" s="54">
        <f t="shared" si="33"/>
        <v>0</v>
      </c>
      <c r="P51" s="1"/>
    </row>
    <row r="52" spans="2:17" ht="12.5">
      <c r="B52" s="7" t="str">
        <f t="shared" si="5"/>
        <v/>
      </c>
      <c r="C52" s="50">
        <f>IF(D11="","-",+C51+1)</f>
        <v>2045</v>
      </c>
      <c r="D52" s="55">
        <f>IF(F51+SUM(E$17:E51)=D$10,F51,D$10-SUM(E$17:E51))</f>
        <v>40835.756382202322</v>
      </c>
      <c r="E52" s="378">
        <f>IF(+I14&lt;F51,I14,D52)</f>
        <v>4679.136363636364</v>
      </c>
      <c r="F52" s="55">
        <f t="shared" si="29"/>
        <v>36156.620018565955</v>
      </c>
      <c r="G52" s="379">
        <f t="shared" si="27"/>
        <v>9280.4753188422037</v>
      </c>
      <c r="H52" s="364">
        <f t="shared" si="28"/>
        <v>9280.4753188422037</v>
      </c>
      <c r="I52" s="52">
        <f t="shared" si="30"/>
        <v>0</v>
      </c>
      <c r="J52" s="52"/>
      <c r="K52" s="129"/>
      <c r="L52" s="54">
        <f t="shared" si="31"/>
        <v>0</v>
      </c>
      <c r="M52" s="129"/>
      <c r="N52" s="54">
        <f t="shared" si="32"/>
        <v>0</v>
      </c>
      <c r="O52" s="54">
        <f t="shared" si="33"/>
        <v>0</v>
      </c>
      <c r="P52" s="1"/>
    </row>
    <row r="53" spans="2:17" ht="12.5">
      <c r="B53" s="7" t="str">
        <f t="shared" si="5"/>
        <v/>
      </c>
      <c r="C53" s="50">
        <f>IF(D11="","-",+C52+1)</f>
        <v>2046</v>
      </c>
      <c r="D53" s="55">
        <f>IF(F52+SUM(E$17:E52)=D$10,F52,D$10-SUM(E$17:E52))</f>
        <v>36156.620018565955</v>
      </c>
      <c r="E53" s="378">
        <f>IF(+I14&lt;F52,I14,D53)</f>
        <v>4679.136363636364</v>
      </c>
      <c r="F53" s="55">
        <f t="shared" si="29"/>
        <v>31477.483654929591</v>
      </c>
      <c r="G53" s="379">
        <f t="shared" si="27"/>
        <v>8721.1915706786567</v>
      </c>
      <c r="H53" s="364">
        <f t="shared" si="28"/>
        <v>8721.1915706786567</v>
      </c>
      <c r="I53" s="52">
        <f t="shared" si="30"/>
        <v>0</v>
      </c>
      <c r="J53" s="52"/>
      <c r="K53" s="129"/>
      <c r="L53" s="54">
        <f t="shared" si="31"/>
        <v>0</v>
      </c>
      <c r="M53" s="129"/>
      <c r="N53" s="54">
        <f t="shared" si="32"/>
        <v>0</v>
      </c>
      <c r="O53" s="54">
        <f t="shared" si="33"/>
        <v>0</v>
      </c>
      <c r="P53" s="1"/>
    </row>
    <row r="54" spans="2:17" ht="12.5">
      <c r="B54" s="7" t="str">
        <f t="shared" si="5"/>
        <v/>
      </c>
      <c r="C54" s="50">
        <f>IF(D11="","-",+C53+1)</f>
        <v>2047</v>
      </c>
      <c r="D54" s="55">
        <f>IF(F53+SUM(E$17:E53)=D$10,F53,D$10-SUM(E$17:E53))</f>
        <v>31477.483654929591</v>
      </c>
      <c r="E54" s="378">
        <f>IF(+I14&lt;F53,I14,D54)</f>
        <v>4679.136363636364</v>
      </c>
      <c r="F54" s="55">
        <f t="shared" si="29"/>
        <v>26798.347291293227</v>
      </c>
      <c r="G54" s="379">
        <f t="shared" si="27"/>
        <v>8161.9078225151079</v>
      </c>
      <c r="H54" s="364">
        <f t="shared" si="28"/>
        <v>8161.9078225151079</v>
      </c>
      <c r="I54" s="52">
        <f t="shared" si="30"/>
        <v>0</v>
      </c>
      <c r="J54" s="52"/>
      <c r="K54" s="129"/>
      <c r="L54" s="54">
        <f t="shared" si="31"/>
        <v>0</v>
      </c>
      <c r="M54" s="129"/>
      <c r="N54" s="54">
        <f t="shared" si="32"/>
        <v>0</v>
      </c>
      <c r="O54" s="54">
        <f t="shared" si="33"/>
        <v>0</v>
      </c>
      <c r="P54" s="1"/>
    </row>
    <row r="55" spans="2:17" ht="12.5">
      <c r="B55" s="7" t="str">
        <f t="shared" si="5"/>
        <v/>
      </c>
      <c r="C55" s="50">
        <f>IF(D11="","-",+C54+1)</f>
        <v>2048</v>
      </c>
      <c r="D55" s="55">
        <f>IF(F54+SUM(E$17:E54)=D$10,F54,D$10-SUM(E$17:E54))</f>
        <v>26798.347291293227</v>
      </c>
      <c r="E55" s="378">
        <f>IF(+I14&lt;F54,I14,D55)</f>
        <v>4679.136363636364</v>
      </c>
      <c r="F55" s="55">
        <f t="shared" si="29"/>
        <v>22119.210927656863</v>
      </c>
      <c r="G55" s="379">
        <f t="shared" si="27"/>
        <v>7602.6240743515591</v>
      </c>
      <c r="H55" s="364">
        <f t="shared" si="28"/>
        <v>7602.6240743515591</v>
      </c>
      <c r="I55" s="52">
        <f t="shared" si="30"/>
        <v>0</v>
      </c>
      <c r="J55" s="52"/>
      <c r="K55" s="129"/>
      <c r="L55" s="54">
        <f t="shared" si="31"/>
        <v>0</v>
      </c>
      <c r="M55" s="129"/>
      <c r="N55" s="54">
        <f t="shared" si="32"/>
        <v>0</v>
      </c>
      <c r="O55" s="54">
        <f t="shared" si="33"/>
        <v>0</v>
      </c>
      <c r="P55" s="1"/>
    </row>
    <row r="56" spans="2:17" ht="12.5">
      <c r="B56" s="7" t="str">
        <f t="shared" si="5"/>
        <v/>
      </c>
      <c r="C56" s="50">
        <f>IF(D11="","-",+C55+1)</f>
        <v>2049</v>
      </c>
      <c r="D56" s="55">
        <f>IF(F55+SUM(E$17:E55)=D$10,F55,D$10-SUM(E$17:E55))</f>
        <v>22119.210927656863</v>
      </c>
      <c r="E56" s="378">
        <f>IF(+I14&lt;F55,I14,D56)</f>
        <v>4679.136363636364</v>
      </c>
      <c r="F56" s="55">
        <f t="shared" si="29"/>
        <v>17440.074564020499</v>
      </c>
      <c r="G56" s="379">
        <f t="shared" ref="G56:G72" si="34">+I$12*((D56+F56)/2)+E56</f>
        <v>7043.3403261880112</v>
      </c>
      <c r="H56" s="364">
        <f t="shared" ref="H56:H72" si="35">+I$13*((D56+F56)/2)+E56</f>
        <v>7043.3403261880112</v>
      </c>
      <c r="I56" s="52">
        <f t="shared" si="30"/>
        <v>0</v>
      </c>
      <c r="J56" s="52"/>
      <c r="K56" s="129"/>
      <c r="L56" s="54">
        <f t="shared" si="31"/>
        <v>0</v>
      </c>
      <c r="M56" s="129"/>
      <c r="N56" s="54">
        <f t="shared" si="32"/>
        <v>0</v>
      </c>
      <c r="O56" s="54">
        <f t="shared" si="33"/>
        <v>0</v>
      </c>
      <c r="P56" s="1"/>
    </row>
    <row r="57" spans="2:17" ht="12.5">
      <c r="B57" s="7" t="str">
        <f t="shared" si="5"/>
        <v/>
      </c>
      <c r="C57" s="50">
        <f>IF(D11="","-",+C56+1)</f>
        <v>2050</v>
      </c>
      <c r="D57" s="55">
        <f>IF(F56+SUM(E$17:E56)=D$10,F56,D$10-SUM(E$17:E56))</f>
        <v>17440.074564020499</v>
      </c>
      <c r="E57" s="378">
        <f>IF(+I14&lt;F56,I14,D57)</f>
        <v>4679.136363636364</v>
      </c>
      <c r="F57" s="55">
        <f t="shared" si="29"/>
        <v>12760.938200384135</v>
      </c>
      <c r="G57" s="379">
        <f t="shared" si="34"/>
        <v>6484.0565780244633</v>
      </c>
      <c r="H57" s="364">
        <f t="shared" si="35"/>
        <v>6484.0565780244633</v>
      </c>
      <c r="I57" s="52">
        <f t="shared" si="30"/>
        <v>0</v>
      </c>
      <c r="J57" s="52"/>
      <c r="K57" s="129"/>
      <c r="L57" s="54">
        <f t="shared" si="31"/>
        <v>0</v>
      </c>
      <c r="M57" s="129"/>
      <c r="N57" s="54">
        <f t="shared" si="32"/>
        <v>0</v>
      </c>
      <c r="O57" s="54">
        <f t="shared" si="33"/>
        <v>0</v>
      </c>
      <c r="P57" s="1"/>
    </row>
    <row r="58" spans="2:17" ht="12.5">
      <c r="B58" s="7" t="str">
        <f t="shared" si="5"/>
        <v/>
      </c>
      <c r="C58" s="50">
        <f>IF(D11="","-",+C57+1)</f>
        <v>2051</v>
      </c>
      <c r="D58" s="55">
        <f>IF(F57+SUM(E$17:E57)=D$10,F57,D$10-SUM(E$17:E57))</f>
        <v>12760.938200384135</v>
      </c>
      <c r="E58" s="378">
        <f>IF(+I14&lt;F57,I14,D58)</f>
        <v>4679.136363636364</v>
      </c>
      <c r="F58" s="55">
        <f t="shared" si="29"/>
        <v>8081.8018367477707</v>
      </c>
      <c r="G58" s="379">
        <f t="shared" si="34"/>
        <v>5924.7728298609145</v>
      </c>
      <c r="H58" s="364">
        <f t="shared" si="35"/>
        <v>5924.7728298609145</v>
      </c>
      <c r="I58" s="52">
        <f t="shared" si="30"/>
        <v>0</v>
      </c>
      <c r="J58" s="52"/>
      <c r="K58" s="129"/>
      <c r="L58" s="54">
        <f t="shared" si="31"/>
        <v>0</v>
      </c>
      <c r="M58" s="129"/>
      <c r="N58" s="54">
        <f t="shared" si="32"/>
        <v>0</v>
      </c>
      <c r="O58" s="54">
        <f t="shared" si="33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5"/>
        <v/>
      </c>
      <c r="C59" s="50">
        <f>IF(D11="","-",+C58+1)</f>
        <v>2052</v>
      </c>
      <c r="D59" s="55">
        <f>IF(F58+SUM(E$17:E58)=D$10,F58,D$10-SUM(E$17:E58))</f>
        <v>8081.8018367477707</v>
      </c>
      <c r="E59" s="378">
        <f>IF(+I14&lt;F58,I14,D59)</f>
        <v>4679.136363636364</v>
      </c>
      <c r="F59" s="55">
        <f t="shared" si="29"/>
        <v>3402.6654731114068</v>
      </c>
      <c r="G59" s="379">
        <f t="shared" si="34"/>
        <v>5365.4890816973657</v>
      </c>
      <c r="H59" s="364">
        <f t="shared" si="35"/>
        <v>5365.4890816973657</v>
      </c>
      <c r="I59" s="52">
        <f t="shared" si="30"/>
        <v>0</v>
      </c>
      <c r="J59" s="52"/>
      <c r="K59" s="129"/>
      <c r="L59" s="54">
        <f t="shared" si="31"/>
        <v>0</v>
      </c>
      <c r="M59" s="129"/>
      <c r="N59" s="54">
        <f t="shared" si="32"/>
        <v>0</v>
      </c>
      <c r="O59" s="54">
        <f t="shared" si="33"/>
        <v>0</v>
      </c>
      <c r="P59" s="1"/>
    </row>
    <row r="60" spans="2:17" ht="12.5">
      <c r="B60" s="7" t="str">
        <f t="shared" si="5"/>
        <v/>
      </c>
      <c r="C60" s="50">
        <f>IF(D11="","-",+C59+1)</f>
        <v>2053</v>
      </c>
      <c r="D60" s="55">
        <f>IF(F59+SUM(E$17:E59)=D$10,F59,D$10-SUM(E$17:E59))</f>
        <v>3402.6654731114068</v>
      </c>
      <c r="E60" s="378">
        <f>IF(+I14&lt;F59,I14,D60)</f>
        <v>3402.6654731114068</v>
      </c>
      <c r="F60" s="55">
        <f t="shared" si="29"/>
        <v>0</v>
      </c>
      <c r="G60" s="379">
        <f t="shared" si="34"/>
        <v>3606.0208951010209</v>
      </c>
      <c r="H60" s="364">
        <f t="shared" si="35"/>
        <v>3606.0208951010209</v>
      </c>
      <c r="I60" s="52">
        <f t="shared" si="30"/>
        <v>0</v>
      </c>
      <c r="J60" s="52"/>
      <c r="K60" s="129"/>
      <c r="L60" s="54">
        <f t="shared" si="31"/>
        <v>0</v>
      </c>
      <c r="M60" s="129"/>
      <c r="N60" s="54">
        <f t="shared" si="32"/>
        <v>0</v>
      </c>
      <c r="O60" s="54">
        <f t="shared" si="33"/>
        <v>0</v>
      </c>
      <c r="P60" s="1"/>
    </row>
    <row r="61" spans="2:17" ht="12.5">
      <c r="B61" s="7" t="str">
        <f t="shared" si="5"/>
        <v/>
      </c>
      <c r="C61" s="50">
        <f>IF(D11="","-",+C60+1)</f>
        <v>2054</v>
      </c>
      <c r="D61" s="55">
        <f>IF(F60+SUM(E$17:E60)=D$10,F60,D$10-SUM(E$17:E60))</f>
        <v>0</v>
      </c>
      <c r="E61" s="378">
        <f>IF(+I14&lt;F60,I14,D61)</f>
        <v>0</v>
      </c>
      <c r="F61" s="55">
        <f t="shared" si="29"/>
        <v>0</v>
      </c>
      <c r="G61" s="380">
        <f t="shared" si="34"/>
        <v>0</v>
      </c>
      <c r="H61" s="364">
        <f t="shared" si="35"/>
        <v>0</v>
      </c>
      <c r="I61" s="52">
        <f t="shared" si="30"/>
        <v>0</v>
      </c>
      <c r="J61" s="52"/>
      <c r="K61" s="129"/>
      <c r="L61" s="54">
        <f t="shared" si="31"/>
        <v>0</v>
      </c>
      <c r="M61" s="129"/>
      <c r="N61" s="54">
        <f t="shared" si="32"/>
        <v>0</v>
      </c>
      <c r="O61" s="54">
        <f t="shared" si="33"/>
        <v>0</v>
      </c>
      <c r="P61" s="1"/>
    </row>
    <row r="62" spans="2:17" ht="12.5">
      <c r="B62" s="7" t="str">
        <f t="shared" si="5"/>
        <v/>
      </c>
      <c r="C62" s="50">
        <f>IF(D11="","-",+C61+1)</f>
        <v>2055</v>
      </c>
      <c r="D62" s="55">
        <f>IF(F61+SUM(E$17:E61)=D$10,F61,D$10-SUM(E$17:E61))</f>
        <v>0</v>
      </c>
      <c r="E62" s="378">
        <f>IF(+I14&lt;F61,I14,D62)</f>
        <v>0</v>
      </c>
      <c r="F62" s="55">
        <f t="shared" si="29"/>
        <v>0</v>
      </c>
      <c r="G62" s="380">
        <f t="shared" si="34"/>
        <v>0</v>
      </c>
      <c r="H62" s="364">
        <f t="shared" si="35"/>
        <v>0</v>
      </c>
      <c r="I62" s="52">
        <f t="shared" si="30"/>
        <v>0</v>
      </c>
      <c r="J62" s="52"/>
      <c r="K62" s="129"/>
      <c r="L62" s="54">
        <f t="shared" si="31"/>
        <v>0</v>
      </c>
      <c r="M62" s="129"/>
      <c r="N62" s="54">
        <f t="shared" si="32"/>
        <v>0</v>
      </c>
      <c r="O62" s="54">
        <f t="shared" si="33"/>
        <v>0</v>
      </c>
      <c r="P62" s="1"/>
    </row>
    <row r="63" spans="2:17" ht="12.5">
      <c r="B63" s="7" t="str">
        <f t="shared" si="5"/>
        <v/>
      </c>
      <c r="C63" s="50">
        <f>IF(D11="","-",+C62+1)</f>
        <v>2056</v>
      </c>
      <c r="D63" s="55">
        <f>IF(F62+SUM(E$17:E62)=D$10,F62,D$10-SUM(E$17:E62))</f>
        <v>0</v>
      </c>
      <c r="E63" s="378">
        <f>IF(+I14&lt;F62,I14,D63)</f>
        <v>0</v>
      </c>
      <c r="F63" s="55">
        <f t="shared" si="29"/>
        <v>0</v>
      </c>
      <c r="G63" s="380">
        <f t="shared" si="34"/>
        <v>0</v>
      </c>
      <c r="H63" s="364">
        <f t="shared" si="35"/>
        <v>0</v>
      </c>
      <c r="I63" s="52">
        <f t="shared" si="30"/>
        <v>0</v>
      </c>
      <c r="J63" s="52"/>
      <c r="K63" s="129"/>
      <c r="L63" s="54">
        <f t="shared" si="31"/>
        <v>0</v>
      </c>
      <c r="M63" s="129"/>
      <c r="N63" s="54">
        <f t="shared" si="32"/>
        <v>0</v>
      </c>
      <c r="O63" s="54">
        <f t="shared" si="33"/>
        <v>0</v>
      </c>
      <c r="P63" s="1"/>
    </row>
    <row r="64" spans="2:17" ht="12.5">
      <c r="B64" s="7" t="str">
        <f t="shared" si="5"/>
        <v/>
      </c>
      <c r="C64" s="50">
        <f>IF(D11="","-",+C63+1)</f>
        <v>2057</v>
      </c>
      <c r="D64" s="55">
        <f>IF(F63+SUM(E$17:E63)=D$10,F63,D$10-SUM(E$17:E63))</f>
        <v>0</v>
      </c>
      <c r="E64" s="378">
        <f>IF(+I14&lt;F63,I14,D64)</f>
        <v>0</v>
      </c>
      <c r="F64" s="55">
        <f t="shared" si="29"/>
        <v>0</v>
      </c>
      <c r="G64" s="380">
        <f t="shared" si="34"/>
        <v>0</v>
      </c>
      <c r="H64" s="364">
        <f t="shared" si="35"/>
        <v>0</v>
      </c>
      <c r="I64" s="52">
        <f t="shared" si="30"/>
        <v>0</v>
      </c>
      <c r="J64" s="52"/>
      <c r="K64" s="129"/>
      <c r="L64" s="54">
        <f t="shared" si="31"/>
        <v>0</v>
      </c>
      <c r="M64" s="129"/>
      <c r="N64" s="54">
        <f t="shared" si="32"/>
        <v>0</v>
      </c>
      <c r="O64" s="54">
        <f t="shared" si="33"/>
        <v>0</v>
      </c>
      <c r="P64" s="1"/>
    </row>
    <row r="65" spans="1:16" ht="12.5">
      <c r="B65" s="7" t="str">
        <f t="shared" si="5"/>
        <v/>
      </c>
      <c r="C65" s="50">
        <f>IF(D11="","-",+C64+1)</f>
        <v>2058</v>
      </c>
      <c r="D65" s="55">
        <f>IF(F64+SUM(E$17:E64)=D$10,F64,D$10-SUM(E$17:E64))</f>
        <v>0</v>
      </c>
      <c r="E65" s="378">
        <f>IF(+I14&lt;F64,I14,D65)</f>
        <v>0</v>
      </c>
      <c r="F65" s="55">
        <f t="shared" si="29"/>
        <v>0</v>
      </c>
      <c r="G65" s="380">
        <f t="shared" si="34"/>
        <v>0</v>
      </c>
      <c r="H65" s="364">
        <f t="shared" si="35"/>
        <v>0</v>
      </c>
      <c r="I65" s="52">
        <f t="shared" si="30"/>
        <v>0</v>
      </c>
      <c r="J65" s="52"/>
      <c r="K65" s="129"/>
      <c r="L65" s="54">
        <f t="shared" si="31"/>
        <v>0</v>
      </c>
      <c r="M65" s="129"/>
      <c r="N65" s="54">
        <f t="shared" si="32"/>
        <v>0</v>
      </c>
      <c r="O65" s="54">
        <f t="shared" si="33"/>
        <v>0</v>
      </c>
      <c r="P65" s="1"/>
    </row>
    <row r="66" spans="1:16" ht="12.5">
      <c r="B66" s="7" t="str">
        <f t="shared" si="5"/>
        <v/>
      </c>
      <c r="C66" s="50">
        <f>IF(D11="","-",+C65+1)</f>
        <v>2059</v>
      </c>
      <c r="D66" s="55">
        <f>IF(F65+SUM(E$17:E65)=D$10,F65,D$10-SUM(E$17:E65))</f>
        <v>0</v>
      </c>
      <c r="E66" s="378">
        <f>IF(+I14&lt;F65,I14,D66)</f>
        <v>0</v>
      </c>
      <c r="F66" s="55">
        <f t="shared" si="29"/>
        <v>0</v>
      </c>
      <c r="G66" s="380">
        <f t="shared" si="34"/>
        <v>0</v>
      </c>
      <c r="H66" s="364">
        <f t="shared" si="35"/>
        <v>0</v>
      </c>
      <c r="I66" s="52">
        <f t="shared" si="30"/>
        <v>0</v>
      </c>
      <c r="J66" s="52"/>
      <c r="K66" s="129"/>
      <c r="L66" s="54">
        <f t="shared" si="31"/>
        <v>0</v>
      </c>
      <c r="M66" s="129"/>
      <c r="N66" s="54">
        <f t="shared" si="32"/>
        <v>0</v>
      </c>
      <c r="O66" s="54">
        <f t="shared" si="33"/>
        <v>0</v>
      </c>
      <c r="P66" s="1"/>
    </row>
    <row r="67" spans="1:16" ht="12.5">
      <c r="B67" s="7" t="str">
        <f t="shared" si="5"/>
        <v/>
      </c>
      <c r="C67" s="50">
        <f>IF(D11="","-",+C66+1)</f>
        <v>2060</v>
      </c>
      <c r="D67" s="55">
        <f>IF(F66+SUM(E$17:E66)=D$10,F66,D$10-SUM(E$17:E66))</f>
        <v>0</v>
      </c>
      <c r="E67" s="378">
        <f>IF(+I14&lt;F66,I14,D67)</f>
        <v>0</v>
      </c>
      <c r="F67" s="55">
        <f t="shared" si="29"/>
        <v>0</v>
      </c>
      <c r="G67" s="380">
        <f t="shared" si="34"/>
        <v>0</v>
      </c>
      <c r="H67" s="364">
        <f t="shared" si="35"/>
        <v>0</v>
      </c>
      <c r="I67" s="52">
        <f t="shared" si="30"/>
        <v>0</v>
      </c>
      <c r="J67" s="52"/>
      <c r="K67" s="129"/>
      <c r="L67" s="54">
        <f t="shared" si="31"/>
        <v>0</v>
      </c>
      <c r="M67" s="129"/>
      <c r="N67" s="54">
        <f t="shared" si="32"/>
        <v>0</v>
      </c>
      <c r="O67" s="54">
        <f t="shared" si="33"/>
        <v>0</v>
      </c>
      <c r="P67" s="1"/>
    </row>
    <row r="68" spans="1:16" ht="12.5">
      <c r="B68" s="7" t="str">
        <f t="shared" si="5"/>
        <v/>
      </c>
      <c r="C68" s="50">
        <f>IF(D11="","-",+C67+1)</f>
        <v>2061</v>
      </c>
      <c r="D68" s="55">
        <f>IF(F67+SUM(E$17:E67)=D$10,F67,D$10-SUM(E$17:E67))</f>
        <v>0</v>
      </c>
      <c r="E68" s="378">
        <f>IF(+I14&lt;F67,I14,D68)</f>
        <v>0</v>
      </c>
      <c r="F68" s="55">
        <f t="shared" si="29"/>
        <v>0</v>
      </c>
      <c r="G68" s="380">
        <f t="shared" si="34"/>
        <v>0</v>
      </c>
      <c r="H68" s="364">
        <f t="shared" si="35"/>
        <v>0</v>
      </c>
      <c r="I68" s="52">
        <f t="shared" si="30"/>
        <v>0</v>
      </c>
      <c r="J68" s="52"/>
      <c r="K68" s="129"/>
      <c r="L68" s="54">
        <f t="shared" si="31"/>
        <v>0</v>
      </c>
      <c r="M68" s="129"/>
      <c r="N68" s="54">
        <f t="shared" si="32"/>
        <v>0</v>
      </c>
      <c r="O68" s="54">
        <f t="shared" si="33"/>
        <v>0</v>
      </c>
      <c r="P68" s="1"/>
    </row>
    <row r="69" spans="1:16" ht="12.5">
      <c r="B69" s="7" t="str">
        <f t="shared" si="5"/>
        <v/>
      </c>
      <c r="C69" s="50">
        <f>IF(D11="","-",+C68+1)</f>
        <v>2062</v>
      </c>
      <c r="D69" s="55">
        <f>IF(F68+SUM(E$17:E68)=D$10,F68,D$10-SUM(E$17:E68))</f>
        <v>0</v>
      </c>
      <c r="E69" s="378">
        <f>IF(+I14&lt;F68,I14,D69)</f>
        <v>0</v>
      </c>
      <c r="F69" s="55">
        <f t="shared" si="29"/>
        <v>0</v>
      </c>
      <c r="G69" s="380">
        <f t="shared" si="34"/>
        <v>0</v>
      </c>
      <c r="H69" s="364">
        <f t="shared" si="35"/>
        <v>0</v>
      </c>
      <c r="I69" s="52">
        <f t="shared" si="30"/>
        <v>0</v>
      </c>
      <c r="J69" s="52"/>
      <c r="K69" s="129"/>
      <c r="L69" s="54">
        <f t="shared" si="31"/>
        <v>0</v>
      </c>
      <c r="M69" s="129"/>
      <c r="N69" s="54">
        <f t="shared" si="32"/>
        <v>0</v>
      </c>
      <c r="O69" s="54">
        <f t="shared" si="33"/>
        <v>0</v>
      </c>
      <c r="P69" s="1"/>
    </row>
    <row r="70" spans="1:16" ht="12.5">
      <c r="B70" s="7" t="str">
        <f t="shared" si="5"/>
        <v/>
      </c>
      <c r="C70" s="50">
        <f>IF(D11="","-",+C69+1)</f>
        <v>2063</v>
      </c>
      <c r="D70" s="55">
        <f>IF(F69+SUM(E$17:E69)=D$10,F69,D$10-SUM(E$17:E69))</f>
        <v>0</v>
      </c>
      <c r="E70" s="378">
        <f>IF(+I14&lt;F69,I14,D70)</f>
        <v>0</v>
      </c>
      <c r="F70" s="55">
        <f t="shared" si="29"/>
        <v>0</v>
      </c>
      <c r="G70" s="380">
        <f t="shared" si="34"/>
        <v>0</v>
      </c>
      <c r="H70" s="364">
        <f t="shared" si="35"/>
        <v>0</v>
      </c>
      <c r="I70" s="52">
        <f t="shared" si="30"/>
        <v>0</v>
      </c>
      <c r="J70" s="52"/>
      <c r="K70" s="129"/>
      <c r="L70" s="54">
        <f t="shared" si="31"/>
        <v>0</v>
      </c>
      <c r="M70" s="129"/>
      <c r="N70" s="54">
        <f t="shared" si="32"/>
        <v>0</v>
      </c>
      <c r="O70" s="54">
        <f t="shared" si="33"/>
        <v>0</v>
      </c>
      <c r="P70" s="1"/>
    </row>
    <row r="71" spans="1:16" ht="12.5">
      <c r="B71" s="7" t="str">
        <f t="shared" si="5"/>
        <v/>
      </c>
      <c r="C71" s="50">
        <f>IF(D11="","-",+C70+1)</f>
        <v>2064</v>
      </c>
      <c r="D71" s="55">
        <f>IF(F70+SUM(E$17:E70)=D$10,F70,D$10-SUM(E$17:E70))</f>
        <v>0</v>
      </c>
      <c r="E71" s="378">
        <f>IF(+I14&lt;F70,I14,D71)</f>
        <v>0</v>
      </c>
      <c r="F71" s="55">
        <f t="shared" si="29"/>
        <v>0</v>
      </c>
      <c r="G71" s="380">
        <f t="shared" si="34"/>
        <v>0</v>
      </c>
      <c r="H71" s="364">
        <f t="shared" si="35"/>
        <v>0</v>
      </c>
      <c r="I71" s="52">
        <f t="shared" si="30"/>
        <v>0</v>
      </c>
      <c r="J71" s="52"/>
      <c r="K71" s="129"/>
      <c r="L71" s="54">
        <f t="shared" si="31"/>
        <v>0</v>
      </c>
      <c r="M71" s="129"/>
      <c r="N71" s="54">
        <f t="shared" si="32"/>
        <v>0</v>
      </c>
      <c r="O71" s="54">
        <f t="shared" si="33"/>
        <v>0</v>
      </c>
      <c r="P71" s="1"/>
    </row>
    <row r="72" spans="1:16" ht="13" thickBot="1">
      <c r="B72" s="7" t="str">
        <f t="shared" si="5"/>
        <v/>
      </c>
      <c r="C72" s="59">
        <f>IF(D11="","-",+C71+1)</f>
        <v>2065</v>
      </c>
      <c r="D72" s="60">
        <f>IF(F71+SUM(E$17:E71)=D$10,F71,D$10-SUM(E$17:E71))</f>
        <v>0</v>
      </c>
      <c r="E72" s="381">
        <f>IF(+I14&lt;F71,I14,D72)</f>
        <v>0</v>
      </c>
      <c r="F72" s="60">
        <f t="shared" si="29"/>
        <v>0</v>
      </c>
      <c r="G72" s="382">
        <f t="shared" si="34"/>
        <v>0</v>
      </c>
      <c r="H72" s="362">
        <f t="shared" si="35"/>
        <v>0</v>
      </c>
      <c r="I72" s="63">
        <f t="shared" si="30"/>
        <v>0</v>
      </c>
      <c r="J72" s="52"/>
      <c r="K72" s="130"/>
      <c r="L72" s="64">
        <f t="shared" si="31"/>
        <v>0</v>
      </c>
      <c r="M72" s="130"/>
      <c r="N72" s="64">
        <f t="shared" si="32"/>
        <v>0</v>
      </c>
      <c r="O72" s="64">
        <f t="shared" si="33"/>
        <v>0</v>
      </c>
      <c r="P72" s="1"/>
    </row>
    <row r="73" spans="1:16" ht="12.5">
      <c r="C73" s="12" t="s">
        <v>78</v>
      </c>
      <c r="D73" s="293"/>
      <c r="E73" s="293">
        <f>SUM(E17:E72)</f>
        <v>205881.99999999985</v>
      </c>
      <c r="F73" s="293"/>
      <c r="G73" s="293">
        <f>SUM(G17:G72)</f>
        <v>767340.19715766818</v>
      </c>
      <c r="H73" s="293">
        <f>SUM(H17:H72)</f>
        <v>767340.19715766818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7.5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22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21025.43403027673</v>
      </c>
      <c r="N87" s="387">
        <f>IF(J92&lt;D11,0,VLOOKUP(J92,C17:O72,11))</f>
        <v>21025.43403027673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21804.789821820654</v>
      </c>
      <c r="N88" s="390">
        <f>IF(J92&lt;D11,0,VLOOKUP(J92,C99:P154,7))</f>
        <v>21804.789821820654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27" t="str">
        <f>D7</f>
        <v>Longwood: r&amp;r switches, upgrade bus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779.35579154392326</v>
      </c>
      <c r="N89" s="392">
        <f>+N88-N87</f>
        <v>779.35579154392326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TP2008014</v>
      </c>
      <c r="E91" s="76" t="str">
        <f>E9</f>
        <v>SPP Project ID =</v>
      </c>
      <c r="F91" s="463">
        <f>F9</f>
        <v>30153</v>
      </c>
      <c r="G91" s="76"/>
      <c r="H91" s="76"/>
      <c r="I91" s="76"/>
      <c r="J91" s="95"/>
      <c r="Q91" s="1"/>
    </row>
    <row r="92" spans="1:17" ht="13">
      <c r="C92" s="34" t="s">
        <v>51</v>
      </c>
      <c r="D92" s="363">
        <f>IF(D11=I10,0,D10)</f>
        <v>205882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  <c r="Q92" s="1"/>
    </row>
    <row r="93" spans="1:17" ht="12.5">
      <c r="C93" s="34" t="s">
        <v>54</v>
      </c>
      <c r="D93" s="88">
        <f>IF(D11=I10,"",D11)</f>
        <v>2010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4">
        <f>IF(D11=I10,"",D12)</f>
        <v>6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4679.136363636364</v>
      </c>
      <c r="K96" s="293"/>
      <c r="L96" s="293"/>
      <c r="M96" s="293"/>
      <c r="N96" s="293"/>
      <c r="O96" s="293"/>
      <c r="P96" s="1"/>
      <c r="Q96" s="1"/>
    </row>
    <row r="97" spans="1:17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 ht="12.5">
      <c r="C99" s="50">
        <f>IF(D93= "","-",D93)</f>
        <v>2010</v>
      </c>
      <c r="D99" s="133">
        <v>0</v>
      </c>
      <c r="E99" s="376">
        <v>2621.9512195121952</v>
      </c>
      <c r="F99" s="137">
        <v>212378.04878048779</v>
      </c>
      <c r="G99" s="140">
        <v>106189.0243902439</v>
      </c>
      <c r="H99" s="397">
        <v>20152.28121946373</v>
      </c>
      <c r="I99" s="398">
        <v>20152.28121946373</v>
      </c>
      <c r="J99" s="154">
        <f t="shared" ref="J99:J130" si="36">+I99-H99</f>
        <v>0</v>
      </c>
      <c r="K99" s="54"/>
      <c r="L99" s="112">
        <f t="shared" ref="L99:L104" si="37">H99</f>
        <v>20152.28121946373</v>
      </c>
      <c r="M99" s="53">
        <f t="shared" ref="M99:M130" si="38">IF(L99&lt;&gt;0,+H99-L99,0)</f>
        <v>0</v>
      </c>
      <c r="N99" s="112">
        <f t="shared" ref="N99:N104" si="39">I99</f>
        <v>20152.28121946373</v>
      </c>
      <c r="O99" s="53">
        <f t="shared" ref="O99:O130" si="40">IF(N99&lt;&gt;0,+I99-N99,0)</f>
        <v>0</v>
      </c>
      <c r="P99" s="53">
        <f t="shared" ref="P99:P130" si="41">+O99-M99</f>
        <v>0</v>
      </c>
      <c r="Q99" s="1"/>
    </row>
    <row r="100" spans="1:17" ht="12.5">
      <c r="B100" s="7" t="str">
        <f>IF(D100=F99,"","IU")</f>
        <v>IU</v>
      </c>
      <c r="C100" s="50">
        <f>IF(D93="","-",+C99+1)</f>
        <v>2011</v>
      </c>
      <c r="D100" s="133">
        <v>203260.04878048779</v>
      </c>
      <c r="E100" s="376">
        <v>4901.9523809523807</v>
      </c>
      <c r="F100" s="137">
        <v>198358.09639953543</v>
      </c>
      <c r="G100" s="137">
        <v>200809.07259001161</v>
      </c>
      <c r="H100" s="376">
        <v>35099.600890705573</v>
      </c>
      <c r="I100" s="375">
        <v>35099.600890705573</v>
      </c>
      <c r="J100" s="154">
        <f t="shared" si="36"/>
        <v>0</v>
      </c>
      <c r="K100" s="54"/>
      <c r="L100" s="113">
        <f t="shared" si="37"/>
        <v>35099.600890705573</v>
      </c>
      <c r="M100" s="54">
        <f t="shared" si="38"/>
        <v>0</v>
      </c>
      <c r="N100" s="113">
        <f t="shared" si="39"/>
        <v>35099.600890705573</v>
      </c>
      <c r="O100" s="54">
        <f t="shared" si="40"/>
        <v>0</v>
      </c>
      <c r="P100" s="54">
        <f t="shared" si="41"/>
        <v>0</v>
      </c>
      <c r="Q100" s="1"/>
    </row>
    <row r="101" spans="1:17" ht="12.5">
      <c r="B101" s="7" t="str">
        <f t="shared" ref="B101:B154" si="42">IF(D101=F100,"","IU")</f>
        <v/>
      </c>
      <c r="C101" s="50">
        <f>IF(D93="","-",+C100+1)</f>
        <v>2012</v>
      </c>
      <c r="D101" s="133">
        <v>198358.09639953543</v>
      </c>
      <c r="E101" s="376">
        <v>4901.9523809523807</v>
      </c>
      <c r="F101" s="137">
        <v>193456.14401858306</v>
      </c>
      <c r="G101" s="137">
        <v>195907.12020905924</v>
      </c>
      <c r="H101" s="376">
        <v>33730.455386576738</v>
      </c>
      <c r="I101" s="375">
        <v>33730.455386576738</v>
      </c>
      <c r="J101" s="154">
        <f t="shared" si="36"/>
        <v>0</v>
      </c>
      <c r="K101" s="54"/>
      <c r="L101" s="113">
        <f t="shared" si="37"/>
        <v>33730.455386576738</v>
      </c>
      <c r="M101" s="54">
        <f t="shared" si="38"/>
        <v>0</v>
      </c>
      <c r="N101" s="113">
        <f t="shared" si="39"/>
        <v>33730.455386576738</v>
      </c>
      <c r="O101" s="54">
        <f t="shared" si="40"/>
        <v>0</v>
      </c>
      <c r="P101" s="54">
        <f t="shared" si="41"/>
        <v>0</v>
      </c>
      <c r="Q101" s="1"/>
    </row>
    <row r="102" spans="1:17" ht="12.5">
      <c r="B102" s="7" t="str">
        <f t="shared" si="42"/>
        <v/>
      </c>
      <c r="C102" s="50">
        <f>IF(D93="","-",+C101+1)</f>
        <v>2013</v>
      </c>
      <c r="D102" s="133">
        <v>193456.14401858306</v>
      </c>
      <c r="E102" s="376">
        <v>4901.9523809523807</v>
      </c>
      <c r="F102" s="137">
        <v>188554.19163763069</v>
      </c>
      <c r="G102" s="137">
        <v>191005.16782810687</v>
      </c>
      <c r="H102" s="376">
        <v>30743.366686318692</v>
      </c>
      <c r="I102" s="375">
        <v>30743.366686318692</v>
      </c>
      <c r="J102" s="154">
        <v>0</v>
      </c>
      <c r="K102" s="54"/>
      <c r="L102" s="113">
        <f t="shared" si="37"/>
        <v>30743.366686318692</v>
      </c>
      <c r="M102" s="54">
        <f t="shared" ref="M102:M107" si="43">IF(L102&lt;&gt;0,+H102-L102,0)</f>
        <v>0</v>
      </c>
      <c r="N102" s="113">
        <f t="shared" si="39"/>
        <v>30743.366686318692</v>
      </c>
      <c r="O102" s="54">
        <f>IF(N102&lt;&gt;0,+I102-N102,0)</f>
        <v>0</v>
      </c>
      <c r="P102" s="54">
        <f>+O102-M102</f>
        <v>0</v>
      </c>
      <c r="Q102" s="1"/>
    </row>
    <row r="103" spans="1:17" ht="12.5">
      <c r="B103" s="7" t="str">
        <f t="shared" si="42"/>
        <v/>
      </c>
      <c r="C103" s="50">
        <f>IF(D93="","-",+C102+1)</f>
        <v>2014</v>
      </c>
      <c r="D103" s="133">
        <v>188554.19163763069</v>
      </c>
      <c r="E103" s="376">
        <v>4901.9523809523807</v>
      </c>
      <c r="F103" s="137">
        <v>183652.23925667832</v>
      </c>
      <c r="G103" s="137">
        <v>186103.21544715451</v>
      </c>
      <c r="H103" s="376">
        <v>30197.745297823447</v>
      </c>
      <c r="I103" s="375">
        <v>30197.745297823447</v>
      </c>
      <c r="J103" s="54">
        <v>0</v>
      </c>
      <c r="K103" s="54"/>
      <c r="L103" s="113">
        <f t="shared" si="37"/>
        <v>30197.745297823447</v>
      </c>
      <c r="M103" s="54">
        <f t="shared" si="43"/>
        <v>0</v>
      </c>
      <c r="N103" s="113">
        <f t="shared" si="39"/>
        <v>30197.745297823447</v>
      </c>
      <c r="O103" s="54">
        <f>IF(N103&lt;&gt;0,+I103-N103,0)</f>
        <v>0</v>
      </c>
      <c r="P103" s="54">
        <f>+O103-M103</f>
        <v>0</v>
      </c>
      <c r="Q103" s="1"/>
    </row>
    <row r="104" spans="1:17" ht="12.5">
      <c r="B104" s="7" t="str">
        <f t="shared" si="42"/>
        <v/>
      </c>
      <c r="C104" s="50">
        <f>IF(D93="","-",+C103+1)</f>
        <v>2015</v>
      </c>
      <c r="D104" s="133">
        <v>183652.23925667832</v>
      </c>
      <c r="E104" s="376">
        <v>4901.9523809523807</v>
      </c>
      <c r="F104" s="137">
        <v>178750.28687572596</v>
      </c>
      <c r="G104" s="137">
        <v>181201.26306620214</v>
      </c>
      <c r="H104" s="376">
        <v>28778.63948471695</v>
      </c>
      <c r="I104" s="375">
        <v>28778.63948471695</v>
      </c>
      <c r="J104" s="54">
        <f t="shared" si="36"/>
        <v>0</v>
      </c>
      <c r="K104" s="54"/>
      <c r="L104" s="113">
        <f t="shared" si="37"/>
        <v>28778.63948471695</v>
      </c>
      <c r="M104" s="54">
        <f t="shared" si="43"/>
        <v>0</v>
      </c>
      <c r="N104" s="113">
        <f t="shared" si="39"/>
        <v>28778.63948471695</v>
      </c>
      <c r="O104" s="54">
        <f>IF(N104&lt;&gt;0,+I104-N104,0)</f>
        <v>0</v>
      </c>
      <c r="P104" s="54">
        <f>+O104-M104</f>
        <v>0</v>
      </c>
      <c r="Q104" s="1"/>
    </row>
    <row r="105" spans="1:17" ht="12.5">
      <c r="B105" s="7" t="str">
        <f t="shared" si="42"/>
        <v/>
      </c>
      <c r="C105" s="50">
        <f>IF(D93="","-",+C104+1)</f>
        <v>2016</v>
      </c>
      <c r="D105" s="133">
        <v>178750.28687572596</v>
      </c>
      <c r="E105" s="376">
        <v>4787.9534883720926</v>
      </c>
      <c r="F105" s="137">
        <v>173962.33338735386</v>
      </c>
      <c r="G105" s="137">
        <v>176356.31013153991</v>
      </c>
      <c r="H105" s="376">
        <v>27176.384994149808</v>
      </c>
      <c r="I105" s="375">
        <v>27176.384994149808</v>
      </c>
      <c r="J105" s="54">
        <f t="shared" si="36"/>
        <v>0</v>
      </c>
      <c r="K105" s="54"/>
      <c r="L105" s="113">
        <f t="shared" ref="L105:L110" si="44">H105</f>
        <v>27176.384994149808</v>
      </c>
      <c r="M105" s="54">
        <f t="shared" si="43"/>
        <v>0</v>
      </c>
      <c r="N105" s="113">
        <f t="shared" ref="N105:N110" si="45">I105</f>
        <v>27176.384994149808</v>
      </c>
      <c r="O105" s="54">
        <f>IF(N105&lt;&gt;0,+I105-N105,0)</f>
        <v>0</v>
      </c>
      <c r="P105" s="54">
        <f>+O105-M105</f>
        <v>0</v>
      </c>
      <c r="Q105" s="1"/>
    </row>
    <row r="106" spans="1:17" ht="12.5">
      <c r="B106" s="7" t="str">
        <f t="shared" si="42"/>
        <v/>
      </c>
      <c r="C106" s="50">
        <f>IF(D93="","-",+C105+1)</f>
        <v>2017</v>
      </c>
      <c r="D106" s="133">
        <v>173962.33338735386</v>
      </c>
      <c r="E106" s="376">
        <v>4901.9523809523807</v>
      </c>
      <c r="F106" s="137">
        <v>169060.3810064015</v>
      </c>
      <c r="G106" s="137">
        <v>171511.35719687768</v>
      </c>
      <c r="H106" s="376">
        <v>25735.686949015238</v>
      </c>
      <c r="I106" s="375">
        <v>25735.686949015238</v>
      </c>
      <c r="J106" s="54">
        <f t="shared" si="36"/>
        <v>0</v>
      </c>
      <c r="K106" s="54"/>
      <c r="L106" s="113">
        <f t="shared" si="44"/>
        <v>25735.686949015238</v>
      </c>
      <c r="M106" s="54">
        <f t="shared" si="43"/>
        <v>0</v>
      </c>
      <c r="N106" s="113">
        <f t="shared" si="45"/>
        <v>25735.686949015238</v>
      </c>
      <c r="O106" s="54">
        <f>IF(N106&lt;&gt;0,+I106-N106,0)</f>
        <v>0</v>
      </c>
      <c r="P106" s="54">
        <f>+O106-M106</f>
        <v>0</v>
      </c>
      <c r="Q106" s="1"/>
    </row>
    <row r="107" spans="1:17" ht="12.5">
      <c r="B107" s="7" t="str">
        <f t="shared" si="42"/>
        <v/>
      </c>
      <c r="C107" s="50">
        <f>IF(D93="","-",+C106+1)</f>
        <v>2018</v>
      </c>
      <c r="D107" s="133">
        <v>169060.3810064015</v>
      </c>
      <c r="E107" s="376">
        <v>4901.9523809523807</v>
      </c>
      <c r="F107" s="137">
        <v>164158.42862544913</v>
      </c>
      <c r="G107" s="137">
        <v>166609.40481592531</v>
      </c>
      <c r="H107" s="376">
        <v>22496.669570219787</v>
      </c>
      <c r="I107" s="375">
        <v>22496.669570219787</v>
      </c>
      <c r="J107" s="54">
        <f t="shared" si="36"/>
        <v>0</v>
      </c>
      <c r="K107" s="54"/>
      <c r="L107" s="113">
        <f t="shared" si="44"/>
        <v>22496.669570219787</v>
      </c>
      <c r="M107" s="54">
        <f t="shared" si="43"/>
        <v>0</v>
      </c>
      <c r="N107" s="113">
        <f t="shared" si="45"/>
        <v>22496.669570219787</v>
      </c>
      <c r="O107" s="54">
        <f t="shared" si="40"/>
        <v>0</v>
      </c>
      <c r="P107" s="54">
        <f t="shared" si="41"/>
        <v>0</v>
      </c>
      <c r="Q107" s="1"/>
    </row>
    <row r="108" spans="1:17" ht="12.5">
      <c r="B108" s="7" t="str">
        <f t="shared" si="42"/>
        <v/>
      </c>
      <c r="C108" s="50">
        <f>IF(D93="","-",+C107+1)</f>
        <v>2019</v>
      </c>
      <c r="D108" s="133">
        <v>164158.42862544913</v>
      </c>
      <c r="E108" s="376">
        <v>4787.9534883720926</v>
      </c>
      <c r="F108" s="137">
        <v>159370.47513707704</v>
      </c>
      <c r="G108" s="137">
        <v>161764.45188126308</v>
      </c>
      <c r="H108" s="376">
        <v>22103.308828819529</v>
      </c>
      <c r="I108" s="375">
        <v>22103.308828819529</v>
      </c>
      <c r="J108" s="54">
        <f t="shared" si="36"/>
        <v>0</v>
      </c>
      <c r="K108" s="54"/>
      <c r="L108" s="113">
        <f t="shared" si="44"/>
        <v>22103.308828819529</v>
      </c>
      <c r="M108" s="54">
        <f t="shared" ref="M108" si="46">IF(L108&lt;&gt;0,+H108-L108,0)</f>
        <v>0</v>
      </c>
      <c r="N108" s="113">
        <f t="shared" si="45"/>
        <v>22103.308828819529</v>
      </c>
      <c r="O108" s="54">
        <f t="shared" si="40"/>
        <v>0</v>
      </c>
      <c r="P108" s="54">
        <f t="shared" si="41"/>
        <v>0</v>
      </c>
      <c r="Q108" s="1"/>
    </row>
    <row r="109" spans="1:17" ht="12.5">
      <c r="B109" s="7" t="str">
        <f t="shared" si="42"/>
        <v/>
      </c>
      <c r="C109" s="50">
        <f>IF(D93="","-",+C108+1)</f>
        <v>2020</v>
      </c>
      <c r="D109" s="133">
        <v>159370.47513707704</v>
      </c>
      <c r="E109" s="376">
        <v>4901.9523809523807</v>
      </c>
      <c r="F109" s="137">
        <v>154468.52275612467</v>
      </c>
      <c r="G109" s="137">
        <v>156919.49894660086</v>
      </c>
      <c r="H109" s="376">
        <v>21782.384276733683</v>
      </c>
      <c r="I109" s="375">
        <v>21782.384276733683</v>
      </c>
      <c r="J109" s="54">
        <f t="shared" si="36"/>
        <v>0</v>
      </c>
      <c r="K109" s="54"/>
      <c r="L109" s="113">
        <f t="shared" si="44"/>
        <v>21782.384276733683</v>
      </c>
      <c r="M109" s="54">
        <f t="shared" ref="M109" si="47">IF(L109&lt;&gt;0,+H109-L109,0)</f>
        <v>0</v>
      </c>
      <c r="N109" s="113">
        <f t="shared" si="45"/>
        <v>21782.384276733683</v>
      </c>
      <c r="O109" s="54">
        <f t="shared" si="40"/>
        <v>0</v>
      </c>
      <c r="P109" s="54">
        <f t="shared" si="41"/>
        <v>0</v>
      </c>
      <c r="Q109" s="1"/>
    </row>
    <row r="110" spans="1:17" ht="12.5">
      <c r="B110" s="7" t="str">
        <f t="shared" si="42"/>
        <v/>
      </c>
      <c r="C110" s="50">
        <f>IF(D93="","-",+C109+1)</f>
        <v>2021</v>
      </c>
      <c r="D110" s="133">
        <v>154468.52275612467</v>
      </c>
      <c r="E110" s="376">
        <v>5021.5121951219517</v>
      </c>
      <c r="F110" s="137">
        <v>149447.01056100271</v>
      </c>
      <c r="G110" s="137">
        <v>151957.76665856369</v>
      </c>
      <c r="H110" s="376">
        <v>22270.880518555168</v>
      </c>
      <c r="I110" s="375">
        <v>22270.880518555168</v>
      </c>
      <c r="J110" s="54">
        <f t="shared" si="36"/>
        <v>0</v>
      </c>
      <c r="K110" s="54"/>
      <c r="L110" s="113">
        <f t="shared" si="44"/>
        <v>22270.880518555168</v>
      </c>
      <c r="M110" s="54">
        <f t="shared" ref="M110" si="48">IF(L110&lt;&gt;0,+H110-L110,0)</f>
        <v>0</v>
      </c>
      <c r="N110" s="113">
        <f t="shared" si="45"/>
        <v>22270.880518555168</v>
      </c>
      <c r="O110" s="54">
        <f t="shared" si="40"/>
        <v>0</v>
      </c>
      <c r="P110" s="54">
        <f t="shared" si="41"/>
        <v>0</v>
      </c>
      <c r="Q110" s="1"/>
    </row>
    <row r="111" spans="1:17" ht="12.5">
      <c r="B111" s="7" t="str">
        <f t="shared" si="42"/>
        <v/>
      </c>
      <c r="C111" s="50">
        <f>IF(D93="","-",+C110+1)</f>
        <v>2022</v>
      </c>
      <c r="D111" s="133">
        <v>149447.01056100271</v>
      </c>
      <c r="E111" s="376">
        <v>4901.9523809523807</v>
      </c>
      <c r="F111" s="137">
        <v>144545.05818005034</v>
      </c>
      <c r="G111" s="137">
        <v>146996.03437052653</v>
      </c>
      <c r="H111" s="376">
        <v>22167.789513902546</v>
      </c>
      <c r="I111" s="375">
        <v>22167.789513902546</v>
      </c>
      <c r="J111" s="54">
        <f t="shared" si="36"/>
        <v>0</v>
      </c>
      <c r="K111" s="54"/>
      <c r="L111" s="113">
        <f t="shared" ref="L111" si="49">H111</f>
        <v>22167.789513902546</v>
      </c>
      <c r="M111" s="54">
        <f t="shared" ref="M111" si="50">IF(L111&lt;&gt;0,+H111-L111,0)</f>
        <v>0</v>
      </c>
      <c r="N111" s="113">
        <f t="shared" ref="N111" si="51">I111</f>
        <v>22167.789513902546</v>
      </c>
      <c r="O111" s="54">
        <f t="shared" ref="O111" si="52">IF(N111&lt;&gt;0,+I111-N111,0)</f>
        <v>0</v>
      </c>
      <c r="P111" s="54">
        <f t="shared" ref="P111" si="53">+O111-M111</f>
        <v>0</v>
      </c>
      <c r="Q111" s="1"/>
    </row>
    <row r="112" spans="1:17" ht="12.5">
      <c r="B112" s="7" t="str">
        <f t="shared" si="42"/>
        <v/>
      </c>
      <c r="C112" s="50">
        <f>IF(D93="","-",+C111+1)</f>
        <v>2023</v>
      </c>
      <c r="D112" s="133">
        <v>144545.05818005034</v>
      </c>
      <c r="E112" s="376">
        <v>4679.136363636364</v>
      </c>
      <c r="F112" s="137">
        <v>139865.92181641399</v>
      </c>
      <c r="G112" s="137">
        <v>142205.48999823217</v>
      </c>
      <c r="H112" s="376">
        <v>22222.324631362131</v>
      </c>
      <c r="I112" s="375">
        <v>22222.324631362131</v>
      </c>
      <c r="J112" s="54">
        <f t="shared" si="36"/>
        <v>0</v>
      </c>
      <c r="K112" s="54"/>
      <c r="L112" s="113">
        <f t="shared" ref="L112" si="54">H112</f>
        <v>22222.324631362131</v>
      </c>
      <c r="M112" s="54">
        <f t="shared" ref="M112" si="55">IF(L112&lt;&gt;0,+H112-L112,0)</f>
        <v>0</v>
      </c>
      <c r="N112" s="113">
        <f t="shared" ref="N112" si="56">I112</f>
        <v>22222.324631362131</v>
      </c>
      <c r="O112" s="54">
        <f t="shared" ref="O112" si="57">IF(N112&lt;&gt;0,+I112-N112,0)</f>
        <v>0</v>
      </c>
      <c r="P112" s="54">
        <f t="shared" ref="P112" si="58">+O112-M112</f>
        <v>0</v>
      </c>
      <c r="Q112" s="1"/>
    </row>
    <row r="113" spans="2:17" ht="12.5">
      <c r="B113" s="7" t="str">
        <f t="shared" si="42"/>
        <v/>
      </c>
      <c r="C113" s="50">
        <f>IF(D93="","-",+C112+1)</f>
        <v>2024</v>
      </c>
      <c r="D113" s="12">
        <f>IF(F112+SUM(E$99:E112)=D$92,F112,D$92-SUM(E$99:E112))</f>
        <v>139865.92181641399</v>
      </c>
      <c r="E113" s="378">
        <f>IF(+J96&lt;F112,J96,D113)</f>
        <v>4679.136363636364</v>
      </c>
      <c r="F113" s="55">
        <f t="shared" ref="F113:F131" si="59">+D113-E113</f>
        <v>135186.78545277764</v>
      </c>
      <c r="G113" s="55">
        <f t="shared" ref="G113:G130" si="60">+(F113+D113)/2</f>
        <v>137526.35363459581</v>
      </c>
      <c r="H113" s="380">
        <f t="shared" ref="H113:H130" si="61">+J$94*G113+E113</f>
        <v>21804.789821820654</v>
      </c>
      <c r="I113" s="399">
        <f t="shared" ref="I113:I130" si="62">+J$95*G113+E113</f>
        <v>21804.789821820654</v>
      </c>
      <c r="J113" s="54">
        <f t="shared" si="36"/>
        <v>0</v>
      </c>
      <c r="K113" s="54"/>
      <c r="L113" s="129"/>
      <c r="M113" s="54">
        <f t="shared" si="38"/>
        <v>0</v>
      </c>
      <c r="N113" s="129"/>
      <c r="O113" s="54">
        <f t="shared" si="40"/>
        <v>0</v>
      </c>
      <c r="P113" s="54">
        <f t="shared" si="41"/>
        <v>0</v>
      </c>
      <c r="Q113" s="1"/>
    </row>
    <row r="114" spans="2:17" ht="12.5">
      <c r="B114" s="7" t="str">
        <f t="shared" si="42"/>
        <v/>
      </c>
      <c r="C114" s="50">
        <f>IF(D93="","-",+C113+1)</f>
        <v>2025</v>
      </c>
      <c r="D114" s="12">
        <f>IF(F113+SUM(E$99:E113)=D$92,F113,D$92-SUM(E$99:E113))</f>
        <v>135186.78545277764</v>
      </c>
      <c r="E114" s="378">
        <f>IF(+J96&lt;F113,J96,D114)</f>
        <v>4679.136363636364</v>
      </c>
      <c r="F114" s="55">
        <f t="shared" si="59"/>
        <v>130507.64908914127</v>
      </c>
      <c r="G114" s="55">
        <f t="shared" si="60"/>
        <v>132847.21727095946</v>
      </c>
      <c r="H114" s="380">
        <f t="shared" si="61"/>
        <v>21222.114096554666</v>
      </c>
      <c r="I114" s="399">
        <f t="shared" si="62"/>
        <v>21222.114096554666</v>
      </c>
      <c r="J114" s="54">
        <f t="shared" si="36"/>
        <v>0</v>
      </c>
      <c r="K114" s="54"/>
      <c r="L114" s="129"/>
      <c r="M114" s="54">
        <f t="shared" si="38"/>
        <v>0</v>
      </c>
      <c r="N114" s="129"/>
      <c r="O114" s="54">
        <f t="shared" si="40"/>
        <v>0</v>
      </c>
      <c r="P114" s="54">
        <f t="shared" si="41"/>
        <v>0</v>
      </c>
      <c r="Q114" s="1"/>
    </row>
    <row r="115" spans="2:17" ht="12.5">
      <c r="B115" s="7" t="str">
        <f t="shared" si="42"/>
        <v/>
      </c>
      <c r="C115" s="50">
        <f>IF(D93="","-",+C114+1)</f>
        <v>2026</v>
      </c>
      <c r="D115" s="12">
        <f>IF(F114+SUM(E$99:E114)=D$92,F114,D$92-SUM(E$99:E114))</f>
        <v>130507.64908914127</v>
      </c>
      <c r="E115" s="378">
        <f>IF(+J96&lt;F114,J96,D115)</f>
        <v>4679.136363636364</v>
      </c>
      <c r="F115" s="55">
        <f t="shared" si="59"/>
        <v>125828.5127255049</v>
      </c>
      <c r="G115" s="55">
        <f t="shared" si="60"/>
        <v>128168.08090732308</v>
      </c>
      <c r="H115" s="380">
        <f t="shared" si="61"/>
        <v>20639.438371288677</v>
      </c>
      <c r="I115" s="399">
        <f t="shared" si="62"/>
        <v>20639.438371288677</v>
      </c>
      <c r="J115" s="54">
        <f t="shared" si="36"/>
        <v>0</v>
      </c>
      <c r="K115" s="54"/>
      <c r="L115" s="129"/>
      <c r="M115" s="54">
        <f t="shared" si="38"/>
        <v>0</v>
      </c>
      <c r="N115" s="129"/>
      <c r="O115" s="54">
        <f t="shared" si="40"/>
        <v>0</v>
      </c>
      <c r="P115" s="54">
        <f t="shared" si="41"/>
        <v>0</v>
      </c>
      <c r="Q115" s="1"/>
    </row>
    <row r="116" spans="2:17" ht="12.5">
      <c r="B116" s="7" t="str">
        <f t="shared" si="42"/>
        <v/>
      </c>
      <c r="C116" s="50">
        <f>IF(D93="","-",+C115+1)</f>
        <v>2027</v>
      </c>
      <c r="D116" s="12">
        <f>IF(F115+SUM(E$99:E115)=D$92,F115,D$92-SUM(E$99:E115))</f>
        <v>125828.5127255049</v>
      </c>
      <c r="E116" s="378">
        <f>IF(+J96&lt;F115,J96,D116)</f>
        <v>4679.136363636364</v>
      </c>
      <c r="F116" s="55">
        <f t="shared" si="59"/>
        <v>121149.37636186853</v>
      </c>
      <c r="G116" s="55">
        <f t="shared" si="60"/>
        <v>123488.94454368672</v>
      </c>
      <c r="H116" s="380">
        <f t="shared" si="61"/>
        <v>20056.762646022689</v>
      </c>
      <c r="I116" s="399">
        <f t="shared" si="62"/>
        <v>20056.762646022689</v>
      </c>
      <c r="J116" s="54">
        <f t="shared" si="36"/>
        <v>0</v>
      </c>
      <c r="K116" s="54"/>
      <c r="L116" s="129"/>
      <c r="M116" s="54">
        <f t="shared" si="38"/>
        <v>0</v>
      </c>
      <c r="N116" s="129"/>
      <c r="O116" s="54">
        <f t="shared" si="40"/>
        <v>0</v>
      </c>
      <c r="P116" s="54">
        <f t="shared" si="41"/>
        <v>0</v>
      </c>
      <c r="Q116" s="1"/>
    </row>
    <row r="117" spans="2:17" ht="12.5">
      <c r="B117" s="7" t="str">
        <f t="shared" si="42"/>
        <v/>
      </c>
      <c r="C117" s="50">
        <f>IF(D93="","-",+C116+1)</f>
        <v>2028</v>
      </c>
      <c r="D117" s="12">
        <f>IF(F116+SUM(E$99:E116)=D$92,F116,D$92-SUM(E$99:E116))</f>
        <v>121149.37636186853</v>
      </c>
      <c r="E117" s="378">
        <f>IF(+J96&lt;F116,J96,D117)</f>
        <v>4679.136363636364</v>
      </c>
      <c r="F117" s="55">
        <f t="shared" si="59"/>
        <v>116470.23999823217</v>
      </c>
      <c r="G117" s="55">
        <f t="shared" si="60"/>
        <v>118809.80818005034</v>
      </c>
      <c r="H117" s="380">
        <f t="shared" si="61"/>
        <v>19474.086920756698</v>
      </c>
      <c r="I117" s="399">
        <f t="shared" si="62"/>
        <v>19474.086920756698</v>
      </c>
      <c r="J117" s="54">
        <f t="shared" si="36"/>
        <v>0</v>
      </c>
      <c r="K117" s="54"/>
      <c r="L117" s="129"/>
      <c r="M117" s="54">
        <f t="shared" si="38"/>
        <v>0</v>
      </c>
      <c r="N117" s="129"/>
      <c r="O117" s="54">
        <f t="shared" si="40"/>
        <v>0</v>
      </c>
      <c r="P117" s="54">
        <f t="shared" si="41"/>
        <v>0</v>
      </c>
      <c r="Q117" s="1"/>
    </row>
    <row r="118" spans="2:17" ht="12.5">
      <c r="B118" s="7" t="str">
        <f t="shared" si="42"/>
        <v/>
      </c>
      <c r="C118" s="50">
        <f>IF(D93="","-",+C117+1)</f>
        <v>2029</v>
      </c>
      <c r="D118" s="12">
        <f>IF(F117+SUM(E$99:E117)=D$92,F117,D$92-SUM(E$99:E117))</f>
        <v>116470.23999823217</v>
      </c>
      <c r="E118" s="378">
        <f>IF(+J96&lt;F117,J96,D118)</f>
        <v>4679.136363636364</v>
      </c>
      <c r="F118" s="55">
        <f t="shared" si="59"/>
        <v>111791.1036345958</v>
      </c>
      <c r="G118" s="55">
        <f t="shared" si="60"/>
        <v>114130.67181641399</v>
      </c>
      <c r="H118" s="380">
        <f t="shared" si="61"/>
        <v>18891.411195490709</v>
      </c>
      <c r="I118" s="399">
        <f t="shared" si="62"/>
        <v>18891.411195490709</v>
      </c>
      <c r="J118" s="54">
        <f t="shared" si="36"/>
        <v>0</v>
      </c>
      <c r="K118" s="54"/>
      <c r="L118" s="129"/>
      <c r="M118" s="54">
        <f t="shared" si="38"/>
        <v>0</v>
      </c>
      <c r="N118" s="129"/>
      <c r="O118" s="54">
        <f t="shared" si="40"/>
        <v>0</v>
      </c>
      <c r="P118" s="54">
        <f t="shared" si="41"/>
        <v>0</v>
      </c>
      <c r="Q118" s="1"/>
    </row>
    <row r="119" spans="2:17" ht="12.5">
      <c r="B119" s="7" t="str">
        <f t="shared" si="42"/>
        <v/>
      </c>
      <c r="C119" s="50">
        <f>IF(D93="","-",+C118+1)</f>
        <v>2030</v>
      </c>
      <c r="D119" s="12">
        <f>IF(F118+SUM(E$99:E118)=D$92,F118,D$92-SUM(E$99:E118))</f>
        <v>111791.1036345958</v>
      </c>
      <c r="E119" s="378">
        <f>IF(+J96&lt;F118,J96,D119)</f>
        <v>4679.136363636364</v>
      </c>
      <c r="F119" s="55">
        <f t="shared" si="59"/>
        <v>107111.96727095943</v>
      </c>
      <c r="G119" s="55">
        <f t="shared" si="60"/>
        <v>109451.53545277761</v>
      </c>
      <c r="H119" s="380">
        <f t="shared" si="61"/>
        <v>18308.735470224718</v>
      </c>
      <c r="I119" s="399">
        <f t="shared" si="62"/>
        <v>18308.735470224718</v>
      </c>
      <c r="J119" s="54">
        <f t="shared" si="36"/>
        <v>0</v>
      </c>
      <c r="K119" s="54"/>
      <c r="L119" s="129"/>
      <c r="M119" s="54">
        <f t="shared" si="38"/>
        <v>0</v>
      </c>
      <c r="N119" s="129"/>
      <c r="O119" s="54">
        <f t="shared" si="40"/>
        <v>0</v>
      </c>
      <c r="P119" s="54">
        <f t="shared" si="41"/>
        <v>0</v>
      </c>
      <c r="Q119" s="1"/>
    </row>
    <row r="120" spans="2:17" ht="12.5">
      <c r="B120" s="7" t="str">
        <f t="shared" si="42"/>
        <v/>
      </c>
      <c r="C120" s="50">
        <f>IF(D93="","-",+C119+1)</f>
        <v>2031</v>
      </c>
      <c r="D120" s="12">
        <f>IF(F119+SUM(E$99:E119)=D$92,F119,D$92-SUM(E$99:E119))</f>
        <v>107111.96727095943</v>
      </c>
      <c r="E120" s="378">
        <f>IF(+J96&lt;F119,J96,D120)</f>
        <v>4679.136363636364</v>
      </c>
      <c r="F120" s="55">
        <f t="shared" si="59"/>
        <v>102432.83090732306</v>
      </c>
      <c r="G120" s="55">
        <f t="shared" si="60"/>
        <v>104772.39908914125</v>
      </c>
      <c r="H120" s="380">
        <f t="shared" si="61"/>
        <v>17726.059744958729</v>
      </c>
      <c r="I120" s="399">
        <f t="shared" si="62"/>
        <v>17726.059744958729</v>
      </c>
      <c r="J120" s="54">
        <f t="shared" si="36"/>
        <v>0</v>
      </c>
      <c r="K120" s="54"/>
      <c r="L120" s="129"/>
      <c r="M120" s="54">
        <f t="shared" si="38"/>
        <v>0</v>
      </c>
      <c r="N120" s="129"/>
      <c r="O120" s="54">
        <f t="shared" si="40"/>
        <v>0</v>
      </c>
      <c r="P120" s="54">
        <f t="shared" si="41"/>
        <v>0</v>
      </c>
      <c r="Q120" s="1"/>
    </row>
    <row r="121" spans="2:17" ht="12.5">
      <c r="B121" s="7" t="str">
        <f t="shared" si="42"/>
        <v/>
      </c>
      <c r="C121" s="50">
        <f>IF(D93="","-",+C120+1)</f>
        <v>2032</v>
      </c>
      <c r="D121" s="12">
        <f>IF(F120+SUM(E$99:E120)=D$92,F120,D$92-SUM(E$99:E120))</f>
        <v>102432.83090732306</v>
      </c>
      <c r="E121" s="378">
        <f>IF(+J96&lt;F120,J96,D121)</f>
        <v>4679.136363636364</v>
      </c>
      <c r="F121" s="55">
        <f t="shared" si="59"/>
        <v>97753.694543686695</v>
      </c>
      <c r="G121" s="55">
        <f t="shared" si="60"/>
        <v>100093.26272550487</v>
      </c>
      <c r="H121" s="380">
        <f t="shared" si="61"/>
        <v>17143.384019692741</v>
      </c>
      <c r="I121" s="399">
        <f t="shared" si="62"/>
        <v>17143.384019692741</v>
      </c>
      <c r="J121" s="54">
        <f t="shared" si="36"/>
        <v>0</v>
      </c>
      <c r="K121" s="54"/>
      <c r="L121" s="129"/>
      <c r="M121" s="54">
        <f t="shared" si="38"/>
        <v>0</v>
      </c>
      <c r="N121" s="129"/>
      <c r="O121" s="54">
        <f t="shared" si="40"/>
        <v>0</v>
      </c>
      <c r="P121" s="54">
        <f t="shared" si="41"/>
        <v>0</v>
      </c>
      <c r="Q121" s="1"/>
    </row>
    <row r="122" spans="2:17" ht="12.5">
      <c r="B122" s="7" t="str">
        <f t="shared" si="42"/>
        <v/>
      </c>
      <c r="C122" s="50">
        <f>IF(D93="","-",+C121+1)</f>
        <v>2033</v>
      </c>
      <c r="D122" s="12">
        <f>IF(F121+SUM(E$99:E121)=D$92,F121,D$92-SUM(E$99:E121))</f>
        <v>97753.694543686695</v>
      </c>
      <c r="E122" s="378">
        <f>IF(+J96&lt;F121,J96,D122)</f>
        <v>4679.136363636364</v>
      </c>
      <c r="F122" s="55">
        <f t="shared" si="59"/>
        <v>93074.558180050328</v>
      </c>
      <c r="G122" s="55">
        <f t="shared" si="60"/>
        <v>95414.126361868519</v>
      </c>
      <c r="H122" s="380">
        <f t="shared" si="61"/>
        <v>16560.708294426753</v>
      </c>
      <c r="I122" s="399">
        <f t="shared" si="62"/>
        <v>16560.708294426753</v>
      </c>
      <c r="J122" s="54">
        <f t="shared" si="36"/>
        <v>0</v>
      </c>
      <c r="K122" s="54"/>
      <c r="L122" s="129"/>
      <c r="M122" s="54">
        <f t="shared" si="38"/>
        <v>0</v>
      </c>
      <c r="N122" s="129"/>
      <c r="O122" s="54">
        <f t="shared" si="40"/>
        <v>0</v>
      </c>
      <c r="P122" s="54">
        <f t="shared" si="41"/>
        <v>0</v>
      </c>
      <c r="Q122" s="1"/>
    </row>
    <row r="123" spans="2:17" ht="12.5">
      <c r="B123" s="7" t="str">
        <f t="shared" si="42"/>
        <v/>
      </c>
      <c r="C123" s="50">
        <f>IF(D93="","-",+C122+1)</f>
        <v>2034</v>
      </c>
      <c r="D123" s="12">
        <f>IF(F122+SUM(E$99:E122)=D$92,F122,D$92-SUM(E$99:E122))</f>
        <v>93074.558180050328</v>
      </c>
      <c r="E123" s="378">
        <f>IF(+J96&lt;F122,J96,D123)</f>
        <v>4679.136363636364</v>
      </c>
      <c r="F123" s="55">
        <f t="shared" si="59"/>
        <v>88395.42181641396</v>
      </c>
      <c r="G123" s="55">
        <f t="shared" si="60"/>
        <v>90734.989998232137</v>
      </c>
      <c r="H123" s="380">
        <f t="shared" si="61"/>
        <v>15978.032569160761</v>
      </c>
      <c r="I123" s="399">
        <f t="shared" si="62"/>
        <v>15978.032569160761</v>
      </c>
      <c r="J123" s="54">
        <f t="shared" si="36"/>
        <v>0</v>
      </c>
      <c r="K123" s="54"/>
      <c r="L123" s="129"/>
      <c r="M123" s="54">
        <f t="shared" si="38"/>
        <v>0</v>
      </c>
      <c r="N123" s="129"/>
      <c r="O123" s="54">
        <f t="shared" si="40"/>
        <v>0</v>
      </c>
      <c r="P123" s="54">
        <f t="shared" si="41"/>
        <v>0</v>
      </c>
      <c r="Q123" s="1"/>
    </row>
    <row r="124" spans="2:17" ht="12.5">
      <c r="B124" s="7" t="str">
        <f t="shared" si="42"/>
        <v/>
      </c>
      <c r="C124" s="50">
        <f>IF(D93="","-",+C123+1)</f>
        <v>2035</v>
      </c>
      <c r="D124" s="12">
        <f>IF(F123+SUM(E$99:E123)=D$92,F123,D$92-SUM(E$99:E123))</f>
        <v>88395.42181641396</v>
      </c>
      <c r="E124" s="378">
        <f>IF(+J96&lt;F123,J96,D124)</f>
        <v>4679.136363636364</v>
      </c>
      <c r="F124" s="55">
        <f t="shared" si="59"/>
        <v>83716.285452777593</v>
      </c>
      <c r="G124" s="55">
        <f t="shared" si="60"/>
        <v>86055.853634595784</v>
      </c>
      <c r="H124" s="380">
        <f t="shared" si="61"/>
        <v>15395.356843894775</v>
      </c>
      <c r="I124" s="399">
        <f t="shared" si="62"/>
        <v>15395.356843894775</v>
      </c>
      <c r="J124" s="54">
        <f t="shared" si="36"/>
        <v>0</v>
      </c>
      <c r="K124" s="54"/>
      <c r="L124" s="129"/>
      <c r="M124" s="54">
        <f t="shared" si="38"/>
        <v>0</v>
      </c>
      <c r="N124" s="129"/>
      <c r="O124" s="54">
        <f t="shared" si="40"/>
        <v>0</v>
      </c>
      <c r="P124" s="54">
        <f t="shared" si="41"/>
        <v>0</v>
      </c>
      <c r="Q124" s="1"/>
    </row>
    <row r="125" spans="2:17" ht="12.5">
      <c r="B125" s="7" t="str">
        <f t="shared" si="42"/>
        <v/>
      </c>
      <c r="C125" s="50">
        <f>IF(D93="","-",+C124+1)</f>
        <v>2036</v>
      </c>
      <c r="D125" s="12">
        <f>IF(F124+SUM(E$99:E124)=D$92,F124,D$92-SUM(E$99:E124))</f>
        <v>83716.285452777593</v>
      </c>
      <c r="E125" s="378">
        <f>IF(+J96&lt;F124,J96,D125)</f>
        <v>4679.136363636364</v>
      </c>
      <c r="F125" s="55">
        <f t="shared" si="59"/>
        <v>79037.149089141225</v>
      </c>
      <c r="G125" s="55">
        <f t="shared" si="60"/>
        <v>81376.717270959402</v>
      </c>
      <c r="H125" s="380">
        <f t="shared" si="61"/>
        <v>14812.681118628783</v>
      </c>
      <c r="I125" s="399">
        <f t="shared" si="62"/>
        <v>14812.681118628783</v>
      </c>
      <c r="J125" s="54">
        <f t="shared" si="36"/>
        <v>0</v>
      </c>
      <c r="K125" s="54"/>
      <c r="L125" s="129"/>
      <c r="M125" s="54">
        <f t="shared" si="38"/>
        <v>0</v>
      </c>
      <c r="N125" s="129"/>
      <c r="O125" s="54">
        <f t="shared" si="40"/>
        <v>0</v>
      </c>
      <c r="P125" s="54">
        <f t="shared" si="41"/>
        <v>0</v>
      </c>
      <c r="Q125" s="1"/>
    </row>
    <row r="126" spans="2:17" ht="12.5">
      <c r="B126" s="7" t="str">
        <f t="shared" si="42"/>
        <v/>
      </c>
      <c r="C126" s="50">
        <f>IF(D93="","-",+C125+1)</f>
        <v>2037</v>
      </c>
      <c r="D126" s="12">
        <f>IF(F125+SUM(E$99:E125)=D$92,F125,D$92-SUM(E$99:E125))</f>
        <v>79037.149089141225</v>
      </c>
      <c r="E126" s="378">
        <f>IF(+J96&lt;F125,J96,D126)</f>
        <v>4679.136363636364</v>
      </c>
      <c r="F126" s="55">
        <f t="shared" si="59"/>
        <v>74358.012725504857</v>
      </c>
      <c r="G126" s="55">
        <f t="shared" si="60"/>
        <v>76697.580907323048</v>
      </c>
      <c r="H126" s="380">
        <f t="shared" si="61"/>
        <v>14230.005393362797</v>
      </c>
      <c r="I126" s="399">
        <f t="shared" si="62"/>
        <v>14230.005393362797</v>
      </c>
      <c r="J126" s="54">
        <f t="shared" si="36"/>
        <v>0</v>
      </c>
      <c r="K126" s="54"/>
      <c r="L126" s="129"/>
      <c r="M126" s="54">
        <f t="shared" si="38"/>
        <v>0</v>
      </c>
      <c r="N126" s="129"/>
      <c r="O126" s="54">
        <f t="shared" si="40"/>
        <v>0</v>
      </c>
      <c r="P126" s="54">
        <f t="shared" si="41"/>
        <v>0</v>
      </c>
      <c r="Q126" s="1"/>
    </row>
    <row r="127" spans="2:17" ht="12.5">
      <c r="B127" s="7" t="str">
        <f t="shared" si="42"/>
        <v/>
      </c>
      <c r="C127" s="50">
        <f>IF(D93="","-",+C126+1)</f>
        <v>2038</v>
      </c>
      <c r="D127" s="12">
        <f>IF(F126+SUM(E$99:E126)=D$92,F126,D$92-SUM(E$99:E126))</f>
        <v>74358.012725504857</v>
      </c>
      <c r="E127" s="378">
        <f>IF(+J96&lt;F126,J96,D127)</f>
        <v>4679.136363636364</v>
      </c>
      <c r="F127" s="55">
        <f t="shared" si="59"/>
        <v>69678.87636186849</v>
      </c>
      <c r="G127" s="55">
        <f t="shared" si="60"/>
        <v>72018.444543686666</v>
      </c>
      <c r="H127" s="380">
        <f t="shared" si="61"/>
        <v>13647.329668096805</v>
      </c>
      <c r="I127" s="399">
        <f t="shared" si="62"/>
        <v>13647.329668096805</v>
      </c>
      <c r="J127" s="54">
        <f t="shared" si="36"/>
        <v>0</v>
      </c>
      <c r="K127" s="54"/>
      <c r="L127" s="129"/>
      <c r="M127" s="54">
        <f t="shared" si="38"/>
        <v>0</v>
      </c>
      <c r="N127" s="129"/>
      <c r="O127" s="54">
        <f t="shared" si="40"/>
        <v>0</v>
      </c>
      <c r="P127" s="54">
        <f t="shared" si="41"/>
        <v>0</v>
      </c>
      <c r="Q127" s="1"/>
    </row>
    <row r="128" spans="2:17" ht="12.5">
      <c r="B128" s="7" t="str">
        <f t="shared" si="42"/>
        <v/>
      </c>
      <c r="C128" s="50">
        <f>IF(D93="","-",+C127+1)</f>
        <v>2039</v>
      </c>
      <c r="D128" s="12">
        <f>IF(F127+SUM(E$99:E127)=D$92,F127,D$92-SUM(E$99:E127))</f>
        <v>69678.87636186849</v>
      </c>
      <c r="E128" s="378">
        <f>IF(+J96&lt;F127,J96,D128)</f>
        <v>4679.136363636364</v>
      </c>
      <c r="F128" s="55">
        <f t="shared" si="59"/>
        <v>64999.739998232122</v>
      </c>
      <c r="G128" s="55">
        <f t="shared" si="60"/>
        <v>67339.308180050313</v>
      </c>
      <c r="H128" s="380">
        <f t="shared" si="61"/>
        <v>13064.653942830819</v>
      </c>
      <c r="I128" s="399">
        <f t="shared" si="62"/>
        <v>13064.653942830819</v>
      </c>
      <c r="J128" s="54">
        <f t="shared" si="36"/>
        <v>0</v>
      </c>
      <c r="K128" s="54"/>
      <c r="L128" s="129"/>
      <c r="M128" s="54">
        <f t="shared" si="38"/>
        <v>0</v>
      </c>
      <c r="N128" s="129"/>
      <c r="O128" s="54">
        <f t="shared" si="40"/>
        <v>0</v>
      </c>
      <c r="P128" s="54">
        <f t="shared" si="41"/>
        <v>0</v>
      </c>
      <c r="Q128" s="1"/>
    </row>
    <row r="129" spans="2:17" ht="12.5">
      <c r="B129" s="7" t="str">
        <f t="shared" si="42"/>
        <v/>
      </c>
      <c r="C129" s="50">
        <f>IF(D93="","-",+C128+1)</f>
        <v>2040</v>
      </c>
      <c r="D129" s="12">
        <f>IF(F128+SUM(E$99:E128)=D$92,F128,D$92-SUM(E$99:E128))</f>
        <v>64999.739998232122</v>
      </c>
      <c r="E129" s="378">
        <f>IF(+J96&lt;F128,J96,D129)</f>
        <v>4679.136363636364</v>
      </c>
      <c r="F129" s="55">
        <f t="shared" si="59"/>
        <v>60320.603634595755</v>
      </c>
      <c r="G129" s="55">
        <f t="shared" si="60"/>
        <v>62660.171816413938</v>
      </c>
      <c r="H129" s="380">
        <f t="shared" si="61"/>
        <v>12481.978217564829</v>
      </c>
      <c r="I129" s="399">
        <f t="shared" si="62"/>
        <v>12481.978217564829</v>
      </c>
      <c r="J129" s="54">
        <f t="shared" si="36"/>
        <v>0</v>
      </c>
      <c r="K129" s="54"/>
      <c r="L129" s="129"/>
      <c r="M129" s="54">
        <f t="shared" si="38"/>
        <v>0</v>
      </c>
      <c r="N129" s="129"/>
      <c r="O129" s="54">
        <f t="shared" si="40"/>
        <v>0</v>
      </c>
      <c r="P129" s="54">
        <f t="shared" si="41"/>
        <v>0</v>
      </c>
      <c r="Q129" s="1"/>
    </row>
    <row r="130" spans="2:17" ht="12.5">
      <c r="B130" s="7" t="str">
        <f t="shared" si="42"/>
        <v/>
      </c>
      <c r="C130" s="50">
        <f>IF(D93="","-",+C129+1)</f>
        <v>2041</v>
      </c>
      <c r="D130" s="12">
        <f>IF(F129+SUM(E$99:E129)=D$92,F129,D$92-SUM(E$99:E129))</f>
        <v>60320.603634595755</v>
      </c>
      <c r="E130" s="378">
        <f>IF(+J96&lt;F129,J96,D130)</f>
        <v>4679.136363636364</v>
      </c>
      <c r="F130" s="55">
        <f t="shared" si="59"/>
        <v>55641.467270959387</v>
      </c>
      <c r="G130" s="55">
        <f t="shared" si="60"/>
        <v>57981.035452777571</v>
      </c>
      <c r="H130" s="380">
        <f t="shared" si="61"/>
        <v>11899.302492298839</v>
      </c>
      <c r="I130" s="399">
        <f t="shared" si="62"/>
        <v>11899.302492298839</v>
      </c>
      <c r="J130" s="54">
        <f t="shared" si="36"/>
        <v>0</v>
      </c>
      <c r="K130" s="54"/>
      <c r="L130" s="129"/>
      <c r="M130" s="54">
        <f t="shared" si="38"/>
        <v>0</v>
      </c>
      <c r="N130" s="129"/>
      <c r="O130" s="54">
        <f t="shared" si="40"/>
        <v>0</v>
      </c>
      <c r="P130" s="54">
        <f t="shared" si="41"/>
        <v>0</v>
      </c>
      <c r="Q130" s="1"/>
    </row>
    <row r="131" spans="2:17" ht="12.5">
      <c r="B131" s="7" t="str">
        <f t="shared" si="42"/>
        <v/>
      </c>
      <c r="C131" s="50">
        <f>IF(D93="","-",+C130+1)</f>
        <v>2042</v>
      </c>
      <c r="D131" s="12">
        <f>IF(F130+SUM(E$99:E130)=D$92,F130,D$92-SUM(E$99:E130))</f>
        <v>55641.467270959387</v>
      </c>
      <c r="E131" s="378">
        <f>IF(+J96&lt;F130,J96,D131)</f>
        <v>4679.136363636364</v>
      </c>
      <c r="F131" s="55">
        <f t="shared" si="59"/>
        <v>50962.330907323019</v>
      </c>
      <c r="G131" s="55">
        <f t="shared" ref="G131:G154" si="63">+(F131+D131)/2</f>
        <v>53301.899089141203</v>
      </c>
      <c r="H131" s="380">
        <f t="shared" ref="H131:H154" si="64">+J$94*G131+E131</f>
        <v>11316.626767032849</v>
      </c>
      <c r="I131" s="399">
        <f t="shared" ref="I131:I154" si="65">+J$95*G131+E131</f>
        <v>11316.626767032849</v>
      </c>
      <c r="J131" s="54">
        <f t="shared" ref="J131:J154" si="66">+I131-H131</f>
        <v>0</v>
      </c>
      <c r="K131" s="54"/>
      <c r="L131" s="129"/>
      <c r="M131" s="54">
        <f t="shared" ref="M131:M154" si="67">IF(L131&lt;&gt;0,+H131-L131,0)</f>
        <v>0</v>
      </c>
      <c r="N131" s="129"/>
      <c r="O131" s="54">
        <f t="shared" ref="O131:O154" si="68">IF(N131&lt;&gt;0,+I131-N131,0)</f>
        <v>0</v>
      </c>
      <c r="P131" s="54">
        <f t="shared" ref="P131:P154" si="69">+O131-M131</f>
        <v>0</v>
      </c>
      <c r="Q131" s="1"/>
    </row>
    <row r="132" spans="2:17" ht="12.5">
      <c r="B132" s="7" t="str">
        <f t="shared" si="42"/>
        <v/>
      </c>
      <c r="C132" s="50">
        <f>IF(D93="","-",+C131+1)</f>
        <v>2043</v>
      </c>
      <c r="D132" s="12">
        <f>IF(F131+SUM(E$99:E131)=D$92,F131,D$92-SUM(E$99:E131))</f>
        <v>50962.330907323019</v>
      </c>
      <c r="E132" s="378">
        <f>IF(+J96&lt;F131,J96,D132)</f>
        <v>4679.136363636364</v>
      </c>
      <c r="F132" s="55">
        <f t="shared" ref="F132:F154" si="70">+D132-E132</f>
        <v>46283.194543686652</v>
      </c>
      <c r="G132" s="55">
        <f t="shared" si="63"/>
        <v>48622.762725504836</v>
      </c>
      <c r="H132" s="380">
        <f t="shared" si="64"/>
        <v>10733.951041766861</v>
      </c>
      <c r="I132" s="399">
        <f t="shared" si="65"/>
        <v>10733.951041766861</v>
      </c>
      <c r="J132" s="54">
        <f t="shared" si="66"/>
        <v>0</v>
      </c>
      <c r="K132" s="54"/>
      <c r="L132" s="129"/>
      <c r="M132" s="54">
        <f t="shared" si="67"/>
        <v>0</v>
      </c>
      <c r="N132" s="129"/>
      <c r="O132" s="54">
        <f t="shared" si="68"/>
        <v>0</v>
      </c>
      <c r="P132" s="54">
        <f t="shared" si="69"/>
        <v>0</v>
      </c>
      <c r="Q132" s="1"/>
    </row>
    <row r="133" spans="2:17" ht="12.5">
      <c r="B133" s="7" t="str">
        <f t="shared" si="42"/>
        <v/>
      </c>
      <c r="C133" s="50">
        <f>IF(D93="","-",+C132+1)</f>
        <v>2044</v>
      </c>
      <c r="D133" s="12">
        <f>IF(F132+SUM(E$99:E132)=D$92,F132,D$92-SUM(E$99:E132))</f>
        <v>46283.194543686652</v>
      </c>
      <c r="E133" s="378">
        <f>IF(+J96&lt;F132,J96,D133)</f>
        <v>4679.136363636364</v>
      </c>
      <c r="F133" s="55">
        <f t="shared" si="70"/>
        <v>41604.058180050284</v>
      </c>
      <c r="G133" s="55">
        <f t="shared" si="63"/>
        <v>43943.626361868468</v>
      </c>
      <c r="H133" s="380">
        <f t="shared" si="64"/>
        <v>10151.275316500871</v>
      </c>
      <c r="I133" s="399">
        <f t="shared" si="65"/>
        <v>10151.275316500871</v>
      </c>
      <c r="J133" s="54">
        <f t="shared" si="66"/>
        <v>0</v>
      </c>
      <c r="K133" s="54"/>
      <c r="L133" s="129"/>
      <c r="M133" s="54">
        <f t="shared" si="67"/>
        <v>0</v>
      </c>
      <c r="N133" s="129"/>
      <c r="O133" s="54">
        <f t="shared" si="68"/>
        <v>0</v>
      </c>
      <c r="P133" s="54">
        <f t="shared" si="69"/>
        <v>0</v>
      </c>
      <c r="Q133" s="1"/>
    </row>
    <row r="134" spans="2:17" ht="12.5">
      <c r="B134" s="7" t="str">
        <f t="shared" si="42"/>
        <v/>
      </c>
      <c r="C134" s="50">
        <f>IF(D93="","-",+C133+1)</f>
        <v>2045</v>
      </c>
      <c r="D134" s="12">
        <f>IF(F133+SUM(E$99:E133)=D$92,F133,D$92-SUM(E$99:E133))</f>
        <v>41604.058180050284</v>
      </c>
      <c r="E134" s="378">
        <f>IF(+J96&lt;F133,J96,D134)</f>
        <v>4679.136363636364</v>
      </c>
      <c r="F134" s="55">
        <f t="shared" si="70"/>
        <v>36924.921816413917</v>
      </c>
      <c r="G134" s="55">
        <f t="shared" si="63"/>
        <v>39264.4899982321</v>
      </c>
      <c r="H134" s="380">
        <f t="shared" si="64"/>
        <v>9568.5995912348808</v>
      </c>
      <c r="I134" s="399">
        <f t="shared" si="65"/>
        <v>9568.5995912348808</v>
      </c>
      <c r="J134" s="54">
        <f t="shared" si="66"/>
        <v>0</v>
      </c>
      <c r="K134" s="54"/>
      <c r="L134" s="129"/>
      <c r="M134" s="54">
        <f t="shared" si="67"/>
        <v>0</v>
      </c>
      <c r="N134" s="129"/>
      <c r="O134" s="54">
        <f t="shared" si="68"/>
        <v>0</v>
      </c>
      <c r="P134" s="54">
        <f t="shared" si="69"/>
        <v>0</v>
      </c>
      <c r="Q134" s="1"/>
    </row>
    <row r="135" spans="2:17" ht="12.5">
      <c r="B135" s="7" t="str">
        <f t="shared" si="42"/>
        <v/>
      </c>
      <c r="C135" s="50">
        <f>IF(D93="","-",+C134+1)</f>
        <v>2046</v>
      </c>
      <c r="D135" s="12">
        <f>IF(F134+SUM(E$99:E134)=D$92,F134,D$92-SUM(E$99:E134))</f>
        <v>36924.921816413917</v>
      </c>
      <c r="E135" s="378">
        <f>IF(+J96&lt;F134,J96,D135)</f>
        <v>4679.136363636364</v>
      </c>
      <c r="F135" s="55">
        <f t="shared" si="70"/>
        <v>32245.785452777553</v>
      </c>
      <c r="G135" s="55">
        <f t="shared" si="63"/>
        <v>34585.353634595733</v>
      </c>
      <c r="H135" s="380">
        <f t="shared" si="64"/>
        <v>8985.9238659688926</v>
      </c>
      <c r="I135" s="399">
        <f t="shared" si="65"/>
        <v>8985.9238659688926</v>
      </c>
      <c r="J135" s="54">
        <f t="shared" si="66"/>
        <v>0</v>
      </c>
      <c r="K135" s="54"/>
      <c r="L135" s="129"/>
      <c r="M135" s="54">
        <f t="shared" si="67"/>
        <v>0</v>
      </c>
      <c r="N135" s="129"/>
      <c r="O135" s="54">
        <f t="shared" si="68"/>
        <v>0</v>
      </c>
      <c r="P135" s="54">
        <f t="shared" si="69"/>
        <v>0</v>
      </c>
      <c r="Q135" s="1"/>
    </row>
    <row r="136" spans="2:17" ht="12.5">
      <c r="B136" s="7" t="str">
        <f t="shared" si="42"/>
        <v/>
      </c>
      <c r="C136" s="50">
        <f>IF(D93="","-",+C135+1)</f>
        <v>2047</v>
      </c>
      <c r="D136" s="12">
        <f>IF(F135+SUM(E$99:E135)=D$92,F135,D$92-SUM(E$99:E135))</f>
        <v>32245.785452777553</v>
      </c>
      <c r="E136" s="378">
        <f>IF(+J96&lt;F135,J96,D136)</f>
        <v>4679.136363636364</v>
      </c>
      <c r="F136" s="55">
        <f t="shared" si="70"/>
        <v>27566.649089141189</v>
      </c>
      <c r="G136" s="55">
        <f t="shared" si="63"/>
        <v>29906.217270959372</v>
      </c>
      <c r="H136" s="380">
        <f t="shared" si="64"/>
        <v>8403.2481407029045</v>
      </c>
      <c r="I136" s="399">
        <f t="shared" si="65"/>
        <v>8403.2481407029045</v>
      </c>
      <c r="J136" s="54">
        <f t="shared" si="66"/>
        <v>0</v>
      </c>
      <c r="K136" s="54"/>
      <c r="L136" s="129"/>
      <c r="M136" s="54">
        <f t="shared" si="67"/>
        <v>0</v>
      </c>
      <c r="N136" s="129"/>
      <c r="O136" s="54">
        <f t="shared" si="68"/>
        <v>0</v>
      </c>
      <c r="P136" s="54">
        <f t="shared" si="69"/>
        <v>0</v>
      </c>
      <c r="Q136" s="1"/>
    </row>
    <row r="137" spans="2:17" ht="12.5">
      <c r="B137" s="7" t="str">
        <f t="shared" si="42"/>
        <v/>
      </c>
      <c r="C137" s="50">
        <f>IF(D93="","-",+C136+1)</f>
        <v>2048</v>
      </c>
      <c r="D137" s="12">
        <f>IF(F136+SUM(E$99:E136)=D$92,F136,D$92-SUM(E$99:E136))</f>
        <v>27566.649089141189</v>
      </c>
      <c r="E137" s="378">
        <f>IF(+J96&lt;F136,J96,D137)</f>
        <v>4679.136363636364</v>
      </c>
      <c r="F137" s="55">
        <f t="shared" si="70"/>
        <v>22887.512725504825</v>
      </c>
      <c r="G137" s="55">
        <f t="shared" si="63"/>
        <v>25227.080907323005</v>
      </c>
      <c r="H137" s="380">
        <f t="shared" si="64"/>
        <v>7820.5724154369154</v>
      </c>
      <c r="I137" s="399">
        <f t="shared" si="65"/>
        <v>7820.5724154369154</v>
      </c>
      <c r="J137" s="54">
        <f t="shared" si="66"/>
        <v>0</v>
      </c>
      <c r="K137" s="54"/>
      <c r="L137" s="129"/>
      <c r="M137" s="54">
        <f t="shared" si="67"/>
        <v>0</v>
      </c>
      <c r="N137" s="129"/>
      <c r="O137" s="54">
        <f t="shared" si="68"/>
        <v>0</v>
      </c>
      <c r="P137" s="54">
        <f t="shared" si="69"/>
        <v>0</v>
      </c>
      <c r="Q137" s="1"/>
    </row>
    <row r="138" spans="2:17" ht="12.5">
      <c r="B138" s="7" t="str">
        <f t="shared" si="42"/>
        <v/>
      </c>
      <c r="C138" s="50">
        <f>IF(D93="","-",+C137+1)</f>
        <v>2049</v>
      </c>
      <c r="D138" s="12">
        <f>IF(F137+SUM(E$99:E137)=D$92,F137,D$92-SUM(E$99:E137))</f>
        <v>22887.512725504825</v>
      </c>
      <c r="E138" s="378">
        <f>IF(+J96&lt;F137,J96,D138)</f>
        <v>4679.136363636364</v>
      </c>
      <c r="F138" s="55">
        <f t="shared" si="70"/>
        <v>18208.376361868461</v>
      </c>
      <c r="G138" s="55">
        <f t="shared" si="63"/>
        <v>20547.944543686644</v>
      </c>
      <c r="H138" s="380">
        <f t="shared" si="64"/>
        <v>7237.8966901709273</v>
      </c>
      <c r="I138" s="399">
        <f t="shared" si="65"/>
        <v>7237.8966901709273</v>
      </c>
      <c r="J138" s="54">
        <f t="shared" si="66"/>
        <v>0</v>
      </c>
      <c r="K138" s="54"/>
      <c r="L138" s="129"/>
      <c r="M138" s="54">
        <f t="shared" si="67"/>
        <v>0</v>
      </c>
      <c r="N138" s="129"/>
      <c r="O138" s="54">
        <f t="shared" si="68"/>
        <v>0</v>
      </c>
      <c r="P138" s="54">
        <f t="shared" si="69"/>
        <v>0</v>
      </c>
      <c r="Q138" s="1"/>
    </row>
    <row r="139" spans="2:17" ht="12.5">
      <c r="B139" s="7" t="str">
        <f t="shared" si="42"/>
        <v/>
      </c>
      <c r="C139" s="50">
        <f>IF(D93="","-",+C138+1)</f>
        <v>2050</v>
      </c>
      <c r="D139" s="12">
        <f>IF(F138+SUM(E$99:E138)=D$92,F138,D$92-SUM(E$99:E138))</f>
        <v>18208.376361868461</v>
      </c>
      <c r="E139" s="378">
        <f>IF(+J96&lt;F138,J96,D139)</f>
        <v>4679.136363636364</v>
      </c>
      <c r="F139" s="55">
        <f t="shared" si="70"/>
        <v>13529.239998232097</v>
      </c>
      <c r="G139" s="55">
        <f t="shared" si="63"/>
        <v>15868.808180050279</v>
      </c>
      <c r="H139" s="380">
        <f t="shared" si="64"/>
        <v>6655.2209649049382</v>
      </c>
      <c r="I139" s="399">
        <f t="shared" si="65"/>
        <v>6655.2209649049382</v>
      </c>
      <c r="J139" s="54">
        <f t="shared" si="66"/>
        <v>0</v>
      </c>
      <c r="K139" s="54"/>
      <c r="L139" s="129"/>
      <c r="M139" s="54">
        <f t="shared" si="67"/>
        <v>0</v>
      </c>
      <c r="N139" s="129"/>
      <c r="O139" s="54">
        <f t="shared" si="68"/>
        <v>0</v>
      </c>
      <c r="P139" s="54">
        <f t="shared" si="69"/>
        <v>0</v>
      </c>
      <c r="Q139" s="1"/>
    </row>
    <row r="140" spans="2:17" ht="12.5">
      <c r="B140" s="7" t="str">
        <f t="shared" si="42"/>
        <v/>
      </c>
      <c r="C140" s="50">
        <f>IF(D93="","-",+C139+1)</f>
        <v>2051</v>
      </c>
      <c r="D140" s="12">
        <f>IF(F139+SUM(E$99:E139)=D$92,F139,D$92-SUM(E$99:E139))</f>
        <v>13529.239998232097</v>
      </c>
      <c r="E140" s="378">
        <f>IF(+J96&lt;F139,J96,D140)</f>
        <v>4679.136363636364</v>
      </c>
      <c r="F140" s="55">
        <f t="shared" si="70"/>
        <v>8850.1036345957327</v>
      </c>
      <c r="G140" s="55">
        <f t="shared" si="63"/>
        <v>11189.671816413915</v>
      </c>
      <c r="H140" s="380">
        <f t="shared" si="64"/>
        <v>6072.5452396389492</v>
      </c>
      <c r="I140" s="399">
        <f t="shared" si="65"/>
        <v>6072.5452396389492</v>
      </c>
      <c r="J140" s="54">
        <f t="shared" si="66"/>
        <v>0</v>
      </c>
      <c r="K140" s="54"/>
      <c r="L140" s="129"/>
      <c r="M140" s="54">
        <f t="shared" si="67"/>
        <v>0</v>
      </c>
      <c r="N140" s="129"/>
      <c r="O140" s="54">
        <f t="shared" si="68"/>
        <v>0</v>
      </c>
      <c r="P140" s="54">
        <f t="shared" si="69"/>
        <v>0</v>
      </c>
      <c r="Q140" s="1"/>
    </row>
    <row r="141" spans="2:17" ht="12.5">
      <c r="B141" s="7" t="str">
        <f t="shared" si="42"/>
        <v/>
      </c>
      <c r="C141" s="50">
        <f>IF(D93="","-",+C140+1)</f>
        <v>2052</v>
      </c>
      <c r="D141" s="12">
        <f>IF(F140+SUM(E$99:E140)=D$92,F140,D$92-SUM(E$99:E140))</f>
        <v>8850.1036345957327</v>
      </c>
      <c r="E141" s="378">
        <f>IF(+J96&lt;F140,J96,D141)</f>
        <v>4679.136363636364</v>
      </c>
      <c r="F141" s="55">
        <f t="shared" si="70"/>
        <v>4170.9672709593688</v>
      </c>
      <c r="G141" s="55">
        <f t="shared" si="63"/>
        <v>6510.5354527775507</v>
      </c>
      <c r="H141" s="380">
        <f t="shared" si="64"/>
        <v>5489.869514372961</v>
      </c>
      <c r="I141" s="399">
        <f t="shared" si="65"/>
        <v>5489.869514372961</v>
      </c>
      <c r="J141" s="54">
        <f t="shared" si="66"/>
        <v>0</v>
      </c>
      <c r="K141" s="54"/>
      <c r="L141" s="129"/>
      <c r="M141" s="54">
        <f t="shared" si="67"/>
        <v>0</v>
      </c>
      <c r="N141" s="129"/>
      <c r="O141" s="54">
        <f t="shared" si="68"/>
        <v>0</v>
      </c>
      <c r="P141" s="54">
        <f t="shared" si="69"/>
        <v>0</v>
      </c>
      <c r="Q141" s="1"/>
    </row>
    <row r="142" spans="2:17" ht="12.5">
      <c r="B142" s="7" t="str">
        <f t="shared" si="42"/>
        <v/>
      </c>
      <c r="C142" s="50">
        <f>IF(D93="","-",+C141+1)</f>
        <v>2053</v>
      </c>
      <c r="D142" s="12">
        <f>IF(F141+SUM(E$99:E141)=D$92,F141,D$92-SUM(E$99:E141))</f>
        <v>4170.9672709593688</v>
      </c>
      <c r="E142" s="378">
        <f>IF(+J96&lt;F141,J96,D142)</f>
        <v>4170.9672709593688</v>
      </c>
      <c r="F142" s="55">
        <f t="shared" si="70"/>
        <v>0</v>
      </c>
      <c r="G142" s="55">
        <f t="shared" si="63"/>
        <v>2085.4836354796844</v>
      </c>
      <c r="H142" s="380">
        <f t="shared" si="64"/>
        <v>4430.6649150111698</v>
      </c>
      <c r="I142" s="399">
        <f t="shared" si="65"/>
        <v>4430.6649150111698</v>
      </c>
      <c r="J142" s="54">
        <f t="shared" si="66"/>
        <v>0</v>
      </c>
      <c r="K142" s="54"/>
      <c r="L142" s="129"/>
      <c r="M142" s="54">
        <f t="shared" si="67"/>
        <v>0</v>
      </c>
      <c r="N142" s="129"/>
      <c r="O142" s="54">
        <f t="shared" si="68"/>
        <v>0</v>
      </c>
      <c r="P142" s="54">
        <f t="shared" si="69"/>
        <v>0</v>
      </c>
      <c r="Q142" s="1"/>
    </row>
    <row r="143" spans="2:17" ht="12.5">
      <c r="B143" s="7" t="str">
        <f t="shared" si="42"/>
        <v/>
      </c>
      <c r="C143" s="50">
        <f>IF(D93="","-",+C142+1)</f>
        <v>2054</v>
      </c>
      <c r="D143" s="12">
        <f>IF(F142+SUM(E$99:E142)=D$92,F142,D$92-SUM(E$99:E142))</f>
        <v>0</v>
      </c>
      <c r="E143" s="378">
        <f>IF(+J96&lt;F142,J96,D143)</f>
        <v>0</v>
      </c>
      <c r="F143" s="55">
        <f t="shared" si="70"/>
        <v>0</v>
      </c>
      <c r="G143" s="55">
        <f t="shared" si="63"/>
        <v>0</v>
      </c>
      <c r="H143" s="380">
        <f t="shared" si="64"/>
        <v>0</v>
      </c>
      <c r="I143" s="399">
        <f t="shared" si="65"/>
        <v>0</v>
      </c>
      <c r="J143" s="54">
        <f t="shared" si="66"/>
        <v>0</v>
      </c>
      <c r="K143" s="54"/>
      <c r="L143" s="129"/>
      <c r="M143" s="54">
        <f t="shared" si="67"/>
        <v>0</v>
      </c>
      <c r="N143" s="129"/>
      <c r="O143" s="54">
        <f t="shared" si="68"/>
        <v>0</v>
      </c>
      <c r="P143" s="54">
        <f t="shared" si="69"/>
        <v>0</v>
      </c>
      <c r="Q143" s="1"/>
    </row>
    <row r="144" spans="2:17" ht="12.5">
      <c r="B144" s="7" t="str">
        <f t="shared" si="42"/>
        <v/>
      </c>
      <c r="C144" s="50">
        <f>IF(D93="","-",+C143+1)</f>
        <v>2055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70"/>
        <v>0</v>
      </c>
      <c r="G144" s="55">
        <f t="shared" si="63"/>
        <v>0</v>
      </c>
      <c r="H144" s="380">
        <f t="shared" si="64"/>
        <v>0</v>
      </c>
      <c r="I144" s="399">
        <f t="shared" si="65"/>
        <v>0</v>
      </c>
      <c r="J144" s="54">
        <f t="shared" si="66"/>
        <v>0</v>
      </c>
      <c r="K144" s="54"/>
      <c r="L144" s="129"/>
      <c r="M144" s="54">
        <f t="shared" si="67"/>
        <v>0</v>
      </c>
      <c r="N144" s="129"/>
      <c r="O144" s="54">
        <f t="shared" si="68"/>
        <v>0</v>
      </c>
      <c r="P144" s="54">
        <f t="shared" si="69"/>
        <v>0</v>
      </c>
      <c r="Q144" s="1"/>
    </row>
    <row r="145" spans="2:17" ht="12.5">
      <c r="B145" s="7" t="str">
        <f t="shared" si="42"/>
        <v/>
      </c>
      <c r="C145" s="50">
        <f>IF(D93="","-",+C144+1)</f>
        <v>2056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70"/>
        <v>0</v>
      </c>
      <c r="G145" s="55">
        <f t="shared" si="63"/>
        <v>0</v>
      </c>
      <c r="H145" s="380">
        <f t="shared" si="64"/>
        <v>0</v>
      </c>
      <c r="I145" s="399">
        <f t="shared" si="65"/>
        <v>0</v>
      </c>
      <c r="J145" s="54">
        <f t="shared" si="66"/>
        <v>0</v>
      </c>
      <c r="K145" s="54"/>
      <c r="L145" s="129"/>
      <c r="M145" s="54">
        <f t="shared" si="67"/>
        <v>0</v>
      </c>
      <c r="N145" s="129"/>
      <c r="O145" s="54">
        <f t="shared" si="68"/>
        <v>0</v>
      </c>
      <c r="P145" s="54">
        <f t="shared" si="69"/>
        <v>0</v>
      </c>
      <c r="Q145" s="1"/>
    </row>
    <row r="146" spans="2:17" ht="12.5">
      <c r="B146" s="7" t="str">
        <f t="shared" si="42"/>
        <v/>
      </c>
      <c r="C146" s="50">
        <f>IF(D93="","-",+C145+1)</f>
        <v>2057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70"/>
        <v>0</v>
      </c>
      <c r="G146" s="55">
        <f t="shared" si="63"/>
        <v>0</v>
      </c>
      <c r="H146" s="380">
        <f t="shared" si="64"/>
        <v>0</v>
      </c>
      <c r="I146" s="399">
        <f t="shared" si="65"/>
        <v>0</v>
      </c>
      <c r="J146" s="54">
        <f t="shared" si="66"/>
        <v>0</v>
      </c>
      <c r="K146" s="54"/>
      <c r="L146" s="129"/>
      <c r="M146" s="54">
        <f t="shared" si="67"/>
        <v>0</v>
      </c>
      <c r="N146" s="129"/>
      <c r="O146" s="54">
        <f t="shared" si="68"/>
        <v>0</v>
      </c>
      <c r="P146" s="54">
        <f t="shared" si="69"/>
        <v>0</v>
      </c>
      <c r="Q146" s="1"/>
    </row>
    <row r="147" spans="2:17" ht="12.5">
      <c r="B147" s="7" t="str">
        <f t="shared" si="42"/>
        <v/>
      </c>
      <c r="C147" s="50">
        <f>IF(D93="","-",+C146+1)</f>
        <v>2058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70"/>
        <v>0</v>
      </c>
      <c r="G147" s="55">
        <f t="shared" si="63"/>
        <v>0</v>
      </c>
      <c r="H147" s="380">
        <f t="shared" si="64"/>
        <v>0</v>
      </c>
      <c r="I147" s="399">
        <f t="shared" si="65"/>
        <v>0</v>
      </c>
      <c r="J147" s="54">
        <f t="shared" si="66"/>
        <v>0</v>
      </c>
      <c r="K147" s="54"/>
      <c r="L147" s="129"/>
      <c r="M147" s="54">
        <f t="shared" si="67"/>
        <v>0</v>
      </c>
      <c r="N147" s="129"/>
      <c r="O147" s="54">
        <f t="shared" si="68"/>
        <v>0</v>
      </c>
      <c r="P147" s="54">
        <f t="shared" si="69"/>
        <v>0</v>
      </c>
      <c r="Q147" s="1"/>
    </row>
    <row r="148" spans="2:17" ht="12.5">
      <c r="B148" s="7" t="str">
        <f t="shared" si="42"/>
        <v/>
      </c>
      <c r="C148" s="50">
        <f>IF(D93="","-",+C147+1)</f>
        <v>2059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70"/>
        <v>0</v>
      </c>
      <c r="G148" s="55">
        <f t="shared" si="63"/>
        <v>0</v>
      </c>
      <c r="H148" s="380">
        <f t="shared" si="64"/>
        <v>0</v>
      </c>
      <c r="I148" s="399">
        <f t="shared" si="65"/>
        <v>0</v>
      </c>
      <c r="J148" s="54">
        <f t="shared" si="66"/>
        <v>0</v>
      </c>
      <c r="K148" s="54"/>
      <c r="L148" s="129"/>
      <c r="M148" s="54">
        <f t="shared" si="67"/>
        <v>0</v>
      </c>
      <c r="N148" s="129"/>
      <c r="O148" s="54">
        <f t="shared" si="68"/>
        <v>0</v>
      </c>
      <c r="P148" s="54">
        <f t="shared" si="69"/>
        <v>0</v>
      </c>
      <c r="Q148" s="1"/>
    </row>
    <row r="149" spans="2:17" ht="12.5">
      <c r="B149" s="7" t="str">
        <f t="shared" si="42"/>
        <v/>
      </c>
      <c r="C149" s="50">
        <f>IF(D93="","-",+C148+1)</f>
        <v>2060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70"/>
        <v>0</v>
      </c>
      <c r="G149" s="55">
        <f t="shared" si="63"/>
        <v>0</v>
      </c>
      <c r="H149" s="380">
        <f t="shared" si="64"/>
        <v>0</v>
      </c>
      <c r="I149" s="399">
        <f t="shared" si="65"/>
        <v>0</v>
      </c>
      <c r="J149" s="54">
        <f t="shared" si="66"/>
        <v>0</v>
      </c>
      <c r="K149" s="54"/>
      <c r="L149" s="129"/>
      <c r="M149" s="54">
        <f t="shared" si="67"/>
        <v>0</v>
      </c>
      <c r="N149" s="129"/>
      <c r="O149" s="54">
        <f t="shared" si="68"/>
        <v>0</v>
      </c>
      <c r="P149" s="54">
        <f t="shared" si="69"/>
        <v>0</v>
      </c>
      <c r="Q149" s="1"/>
    </row>
    <row r="150" spans="2:17" ht="12.5">
      <c r="B150" s="7" t="str">
        <f t="shared" si="42"/>
        <v/>
      </c>
      <c r="C150" s="50">
        <f>IF(D93="","-",+C149+1)</f>
        <v>2061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70"/>
        <v>0</v>
      </c>
      <c r="G150" s="55">
        <f t="shared" si="63"/>
        <v>0</v>
      </c>
      <c r="H150" s="380">
        <f t="shared" si="64"/>
        <v>0</v>
      </c>
      <c r="I150" s="399">
        <f t="shared" si="65"/>
        <v>0</v>
      </c>
      <c r="J150" s="54">
        <f t="shared" si="66"/>
        <v>0</v>
      </c>
      <c r="K150" s="54"/>
      <c r="L150" s="129"/>
      <c r="M150" s="54">
        <f t="shared" si="67"/>
        <v>0</v>
      </c>
      <c r="N150" s="129"/>
      <c r="O150" s="54">
        <f t="shared" si="68"/>
        <v>0</v>
      </c>
      <c r="P150" s="54">
        <f t="shared" si="69"/>
        <v>0</v>
      </c>
      <c r="Q150" s="1"/>
    </row>
    <row r="151" spans="2:17" ht="12.5">
      <c r="B151" s="7" t="str">
        <f t="shared" si="42"/>
        <v/>
      </c>
      <c r="C151" s="50">
        <f>IF(D93="","-",+C150+1)</f>
        <v>2062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70"/>
        <v>0</v>
      </c>
      <c r="G151" s="55">
        <f t="shared" si="63"/>
        <v>0</v>
      </c>
      <c r="H151" s="380">
        <f t="shared" si="64"/>
        <v>0</v>
      </c>
      <c r="I151" s="399">
        <f t="shared" si="65"/>
        <v>0</v>
      </c>
      <c r="J151" s="54">
        <f t="shared" si="66"/>
        <v>0</v>
      </c>
      <c r="K151" s="54"/>
      <c r="L151" s="129"/>
      <c r="M151" s="54">
        <f t="shared" si="67"/>
        <v>0</v>
      </c>
      <c r="N151" s="129"/>
      <c r="O151" s="54">
        <f t="shared" si="68"/>
        <v>0</v>
      </c>
      <c r="P151" s="54">
        <f t="shared" si="69"/>
        <v>0</v>
      </c>
      <c r="Q151" s="1"/>
    </row>
    <row r="152" spans="2:17" ht="12.5">
      <c r="B152" s="7" t="str">
        <f t="shared" si="42"/>
        <v/>
      </c>
      <c r="C152" s="50">
        <f>IF(D93="","-",+C151+1)</f>
        <v>2063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70"/>
        <v>0</v>
      </c>
      <c r="G152" s="55">
        <f t="shared" si="63"/>
        <v>0</v>
      </c>
      <c r="H152" s="380">
        <f t="shared" si="64"/>
        <v>0</v>
      </c>
      <c r="I152" s="399">
        <f t="shared" si="65"/>
        <v>0</v>
      </c>
      <c r="J152" s="54">
        <f t="shared" si="66"/>
        <v>0</v>
      </c>
      <c r="K152" s="54"/>
      <c r="L152" s="129"/>
      <c r="M152" s="54">
        <f t="shared" si="67"/>
        <v>0</v>
      </c>
      <c r="N152" s="129"/>
      <c r="O152" s="54">
        <f t="shared" si="68"/>
        <v>0</v>
      </c>
      <c r="P152" s="54">
        <f t="shared" si="69"/>
        <v>0</v>
      </c>
      <c r="Q152" s="1"/>
    </row>
    <row r="153" spans="2:17" ht="12.5">
      <c r="B153" s="7" t="str">
        <f t="shared" si="42"/>
        <v/>
      </c>
      <c r="C153" s="50">
        <f>IF(D93="","-",+C152+1)</f>
        <v>2064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70"/>
        <v>0</v>
      </c>
      <c r="G153" s="55">
        <f t="shared" si="63"/>
        <v>0</v>
      </c>
      <c r="H153" s="380">
        <f t="shared" si="64"/>
        <v>0</v>
      </c>
      <c r="I153" s="399">
        <f t="shared" si="65"/>
        <v>0</v>
      </c>
      <c r="J153" s="54">
        <f t="shared" si="66"/>
        <v>0</v>
      </c>
      <c r="K153" s="54"/>
      <c r="L153" s="129"/>
      <c r="M153" s="54">
        <f t="shared" si="67"/>
        <v>0</v>
      </c>
      <c r="N153" s="129"/>
      <c r="O153" s="54">
        <f t="shared" si="68"/>
        <v>0</v>
      </c>
      <c r="P153" s="54">
        <f t="shared" si="69"/>
        <v>0</v>
      </c>
      <c r="Q153" s="1"/>
    </row>
    <row r="154" spans="2:17" ht="13" thickBot="1">
      <c r="B154" s="7" t="str">
        <f t="shared" si="42"/>
        <v/>
      </c>
      <c r="C154" s="59">
        <f>IF(D93="","-",+C153+1)</f>
        <v>2065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70"/>
        <v>0</v>
      </c>
      <c r="G154" s="60">
        <f t="shared" si="63"/>
        <v>0</v>
      </c>
      <c r="H154" s="382">
        <f t="shared" si="64"/>
        <v>0</v>
      </c>
      <c r="I154" s="400">
        <f t="shared" si="65"/>
        <v>0</v>
      </c>
      <c r="J154" s="64">
        <f t="shared" si="66"/>
        <v>0</v>
      </c>
      <c r="K154" s="54"/>
      <c r="L154" s="130"/>
      <c r="M154" s="64">
        <f t="shared" si="67"/>
        <v>0</v>
      </c>
      <c r="N154" s="130"/>
      <c r="O154" s="64">
        <f t="shared" si="68"/>
        <v>0</v>
      </c>
      <c r="P154" s="64">
        <f t="shared" si="69"/>
        <v>0</v>
      </c>
      <c r="Q154" s="1"/>
    </row>
    <row r="155" spans="2:17" ht="12.5">
      <c r="C155" s="12" t="s">
        <v>78</v>
      </c>
      <c r="D155" s="293"/>
      <c r="E155" s="293">
        <f>SUM(E99:E154)</f>
        <v>205881.99999999994</v>
      </c>
      <c r="F155" s="293"/>
      <c r="G155" s="293"/>
      <c r="H155" s="293">
        <f>SUM(H99:H154)</f>
        <v>764860.74353818258</v>
      </c>
      <c r="I155" s="293">
        <f>SUM(I99:I154)</f>
        <v>764860.74353818258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 ht="12.5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 ht="12.5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13" priority="1" stopIfTrue="1" operator="equal">
      <formula>$I$10</formula>
    </cfRule>
  </conditionalFormatting>
  <conditionalFormatting sqref="C99:C154">
    <cfRule type="cellIs" dxfId="11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4"/>
  <dimension ref="A1:Q1048576"/>
  <sheetViews>
    <sheetView topLeftCell="A80" zoomScaleNormal="100" zoomScaleSheetLayoutView="75" workbookViewId="0">
      <selection activeCell="D31" sqref="D31:H3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23 of 77</v>
      </c>
      <c r="Q1" s="13"/>
    </row>
    <row r="2" spans="1:17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489588.8391092071</v>
      </c>
      <c r="P5" s="1"/>
    </row>
    <row r="6" spans="1:17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489588.8391092071</v>
      </c>
      <c r="O6" s="1"/>
      <c r="P6" s="1"/>
    </row>
    <row r="7" spans="1:17" ht="13.5" thickBot="1">
      <c r="C7" s="25" t="s">
        <v>48</v>
      </c>
      <c r="D7" s="127" t="s">
        <v>250</v>
      </c>
      <c r="E7" s="1"/>
      <c r="F7" s="1"/>
      <c r="G7" s="29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85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251</v>
      </c>
      <c r="E9" s="31" t="s">
        <v>494</v>
      </c>
      <c r="F9" s="462" t="s">
        <v>504</v>
      </c>
      <c r="G9" s="31"/>
      <c r="H9" s="31"/>
      <c r="I9" s="32"/>
      <c r="J9" s="33"/>
      <c r="P9" s="1"/>
    </row>
    <row r="10" spans="1:17" ht="13">
      <c r="C10" s="34" t="s">
        <v>51</v>
      </c>
      <c r="D10" s="363">
        <v>4795139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7" ht="12.5">
      <c r="C11" s="34" t="s">
        <v>54</v>
      </c>
      <c r="D11" s="37">
        <v>2010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3">
        <v>6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108980.43181818182</v>
      </c>
      <c r="J14" s="293"/>
      <c r="K14" s="293"/>
      <c r="L14" s="293"/>
      <c r="M14" s="293"/>
      <c r="N14" s="293"/>
      <c r="O14" s="1"/>
      <c r="P14" s="1"/>
    </row>
    <row r="15" spans="1:17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2010</v>
      </c>
      <c r="D17" s="133">
        <v>4839000</v>
      </c>
      <c r="E17" s="374">
        <v>63671.052631578947</v>
      </c>
      <c r="F17" s="133">
        <v>4775328.9473684207</v>
      </c>
      <c r="G17" s="374">
        <v>750196.21507043985</v>
      </c>
      <c r="H17" s="375">
        <v>750196.21507043985</v>
      </c>
      <c r="I17" s="141">
        <v>0</v>
      </c>
      <c r="J17" s="52"/>
      <c r="K17" s="112">
        <f t="shared" ref="K17:K22" si="0">G17</f>
        <v>750196.21507043985</v>
      </c>
      <c r="L17" s="53">
        <f t="shared" ref="L17:L48" si="1">IF(K17&lt;&gt;0,+G17-K17,0)</f>
        <v>0</v>
      </c>
      <c r="M17" s="112">
        <f t="shared" ref="M17:M22" si="2">H17</f>
        <v>750196.21507043985</v>
      </c>
      <c r="N17" s="53">
        <f t="shared" ref="N17:N48" si="3">IF(M17&lt;&gt;0,+H17-M17,0)</f>
        <v>0</v>
      </c>
      <c r="O17" s="54">
        <f t="shared" ref="O17:O48" si="4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2011</v>
      </c>
      <c r="D18" s="137">
        <v>4731467.9473684207</v>
      </c>
      <c r="E18" s="376">
        <v>116954.60975609756</v>
      </c>
      <c r="F18" s="137">
        <v>4614513.3376123235</v>
      </c>
      <c r="G18" s="376">
        <v>837705.52786752849</v>
      </c>
      <c r="H18" s="375">
        <v>837705.52786752849</v>
      </c>
      <c r="I18" s="141">
        <v>0</v>
      </c>
      <c r="J18" s="52"/>
      <c r="K18" s="113">
        <f t="shared" si="0"/>
        <v>837705.52786752849</v>
      </c>
      <c r="L18" s="54">
        <f t="shared" si="1"/>
        <v>0</v>
      </c>
      <c r="M18" s="113">
        <f t="shared" si="2"/>
        <v>837705.52786752849</v>
      </c>
      <c r="N18" s="54">
        <f t="shared" si="3"/>
        <v>0</v>
      </c>
      <c r="O18" s="54">
        <f t="shared" si="4"/>
        <v>0</v>
      </c>
      <c r="P18" s="1"/>
    </row>
    <row r="19" spans="2:16" ht="12.5">
      <c r="B19" s="7" t="str">
        <f>IF(D19=F18,"","IU")</f>
        <v/>
      </c>
      <c r="C19" s="50">
        <f>IF(D11="","-",+C18+1)</f>
        <v>2012</v>
      </c>
      <c r="D19" s="137">
        <v>4614513.3376123235</v>
      </c>
      <c r="E19" s="376">
        <v>114169.97619047618</v>
      </c>
      <c r="F19" s="137">
        <v>4500343.3614218477</v>
      </c>
      <c r="G19" s="376">
        <v>783461.67125244555</v>
      </c>
      <c r="H19" s="375">
        <v>783461.67125244555</v>
      </c>
      <c r="I19" s="141">
        <v>0</v>
      </c>
      <c r="J19" s="52"/>
      <c r="K19" s="113">
        <f t="shared" si="0"/>
        <v>783461.67125244555</v>
      </c>
      <c r="L19" s="54">
        <f t="shared" si="1"/>
        <v>0</v>
      </c>
      <c r="M19" s="113">
        <f t="shared" si="2"/>
        <v>783461.67125244555</v>
      </c>
      <c r="N19" s="54">
        <f t="shared" si="3"/>
        <v>0</v>
      </c>
      <c r="O19" s="54">
        <f t="shared" si="4"/>
        <v>0</v>
      </c>
      <c r="P19" s="1"/>
    </row>
    <row r="20" spans="2:16" ht="12.5">
      <c r="B20" s="7" t="str">
        <f t="shared" ref="B20:B72" si="5">IF(D20=F19,"","IU")</f>
        <v/>
      </c>
      <c r="C20" s="50">
        <f>IF(D11="","-",+C19+1)</f>
        <v>2013</v>
      </c>
      <c r="D20" s="151">
        <v>4500343.3614218477</v>
      </c>
      <c r="E20" s="420">
        <v>114169.97619047618</v>
      </c>
      <c r="F20" s="151">
        <v>4386173.385231372</v>
      </c>
      <c r="G20" s="420">
        <v>728177.58986755938</v>
      </c>
      <c r="H20" s="421">
        <v>728177.58986755938</v>
      </c>
      <c r="I20" s="153">
        <v>0</v>
      </c>
      <c r="J20" s="52"/>
      <c r="K20" s="113">
        <f t="shared" si="0"/>
        <v>728177.58986755938</v>
      </c>
      <c r="L20" s="54">
        <f t="shared" ref="L20:L25" si="6">IF(K20&lt;&gt;0,+G20-K20,0)</f>
        <v>0</v>
      </c>
      <c r="M20" s="113">
        <f t="shared" si="2"/>
        <v>728177.58986755938</v>
      </c>
      <c r="N20" s="54">
        <f t="shared" ref="N20:N25" si="7">IF(M20&lt;&gt;0,+H20-M20,0)</f>
        <v>0</v>
      </c>
      <c r="O20" s="54">
        <f t="shared" ref="O20:O25" si="8">+N20-L20</f>
        <v>0</v>
      </c>
      <c r="P20" s="1"/>
    </row>
    <row r="21" spans="2:16" ht="12.5">
      <c r="B21" s="7" t="str">
        <f t="shared" si="5"/>
        <v/>
      </c>
      <c r="C21" s="50">
        <f>IF(D12="","-",+C20+1)</f>
        <v>2014</v>
      </c>
      <c r="D21" s="151">
        <v>4386173.385231372</v>
      </c>
      <c r="E21" s="420">
        <v>114169.97619047618</v>
      </c>
      <c r="F21" s="151">
        <v>4272003.4090408962</v>
      </c>
      <c r="G21" s="420">
        <v>690508.12734989321</v>
      </c>
      <c r="H21" s="421">
        <v>690508.12734989321</v>
      </c>
      <c r="I21" s="153">
        <v>0</v>
      </c>
      <c r="J21" s="52"/>
      <c r="K21" s="113">
        <f t="shared" si="0"/>
        <v>690508.12734989321</v>
      </c>
      <c r="L21" s="54">
        <f t="shared" si="6"/>
        <v>0</v>
      </c>
      <c r="M21" s="113">
        <f t="shared" si="2"/>
        <v>690508.12734989321</v>
      </c>
      <c r="N21" s="54">
        <f t="shared" si="7"/>
        <v>0</v>
      </c>
      <c r="O21" s="54">
        <f t="shared" si="8"/>
        <v>0</v>
      </c>
      <c r="P21" s="1"/>
    </row>
    <row r="22" spans="2:16" ht="12.5">
      <c r="B22" s="7" t="str">
        <f t="shared" si="5"/>
        <v/>
      </c>
      <c r="C22" s="50">
        <f>IF(D11="","-",+C21+1)</f>
        <v>2015</v>
      </c>
      <c r="D22" s="151">
        <v>4272003.4090408962</v>
      </c>
      <c r="E22" s="420">
        <v>114169.97619047618</v>
      </c>
      <c r="F22" s="151">
        <v>4157833.43285042</v>
      </c>
      <c r="G22" s="420">
        <v>661776.60095170466</v>
      </c>
      <c r="H22" s="421">
        <v>661776.60095170466</v>
      </c>
      <c r="I22" s="52">
        <v>0</v>
      </c>
      <c r="J22" s="52"/>
      <c r="K22" s="113">
        <f t="shared" si="0"/>
        <v>661776.60095170466</v>
      </c>
      <c r="L22" s="54">
        <f t="shared" si="6"/>
        <v>0</v>
      </c>
      <c r="M22" s="113">
        <f t="shared" si="2"/>
        <v>661776.60095170466</v>
      </c>
      <c r="N22" s="54">
        <f t="shared" si="7"/>
        <v>0</v>
      </c>
      <c r="O22" s="54">
        <f t="shared" si="8"/>
        <v>0</v>
      </c>
      <c r="P22" s="1"/>
    </row>
    <row r="23" spans="2:16" ht="12.5">
      <c r="B23" s="7" t="str">
        <f t="shared" si="5"/>
        <v/>
      </c>
      <c r="C23" s="50">
        <f>IF(D11="","-",+C22+1)</f>
        <v>2016</v>
      </c>
      <c r="D23" s="151">
        <v>4157833.43285042</v>
      </c>
      <c r="E23" s="420">
        <v>114169.97619047618</v>
      </c>
      <c r="F23" s="151">
        <v>4043663.4566599438</v>
      </c>
      <c r="G23" s="420">
        <v>640169.61761771492</v>
      </c>
      <c r="H23" s="421">
        <v>640169.61761771492</v>
      </c>
      <c r="I23" s="52">
        <f t="shared" ref="I23:I48" si="9">H23-G23</f>
        <v>0</v>
      </c>
      <c r="J23" s="52"/>
      <c r="K23" s="113">
        <f t="shared" ref="K23:K28" si="10">G23</f>
        <v>640169.61761771492</v>
      </c>
      <c r="L23" s="54">
        <f t="shared" si="6"/>
        <v>0</v>
      </c>
      <c r="M23" s="113">
        <f t="shared" ref="M23:M28" si="11">H23</f>
        <v>640169.61761771492</v>
      </c>
      <c r="N23" s="54">
        <f t="shared" si="7"/>
        <v>0</v>
      </c>
      <c r="O23" s="54">
        <f t="shared" si="8"/>
        <v>0</v>
      </c>
      <c r="P23" s="1"/>
    </row>
    <row r="24" spans="2:16" ht="12.5">
      <c r="B24" s="7" t="str">
        <f t="shared" si="5"/>
        <v/>
      </c>
      <c r="C24" s="50">
        <f>IF(D11="","-",+C23+1)</f>
        <v>2017</v>
      </c>
      <c r="D24" s="151">
        <v>4043663.4566599438</v>
      </c>
      <c r="E24" s="420">
        <v>111514.86046511628</v>
      </c>
      <c r="F24" s="151">
        <v>3932148.5961948275</v>
      </c>
      <c r="G24" s="420">
        <v>605586.64190337458</v>
      </c>
      <c r="H24" s="421">
        <v>605586.64190337458</v>
      </c>
      <c r="I24" s="52">
        <f t="shared" si="9"/>
        <v>0</v>
      </c>
      <c r="J24" s="52"/>
      <c r="K24" s="113">
        <f t="shared" si="10"/>
        <v>605586.64190337458</v>
      </c>
      <c r="L24" s="54">
        <f t="shared" si="6"/>
        <v>0</v>
      </c>
      <c r="M24" s="113">
        <f t="shared" si="11"/>
        <v>605586.64190337458</v>
      </c>
      <c r="N24" s="54">
        <f t="shared" si="7"/>
        <v>0</v>
      </c>
      <c r="O24" s="54">
        <f t="shared" si="8"/>
        <v>0</v>
      </c>
      <c r="P24" s="1"/>
    </row>
    <row r="25" spans="2:16" ht="12.5">
      <c r="B25" s="7" t="str">
        <f t="shared" si="5"/>
        <v/>
      </c>
      <c r="C25" s="50">
        <f>IF(D11="","-",+C24+1)</f>
        <v>2018</v>
      </c>
      <c r="D25" s="151">
        <v>3932148.5961948275</v>
      </c>
      <c r="E25" s="420">
        <v>116954.60975609756</v>
      </c>
      <c r="F25" s="151">
        <v>3815193.9864387298</v>
      </c>
      <c r="G25" s="420">
        <v>609275.37207027047</v>
      </c>
      <c r="H25" s="421">
        <v>609275.37207027047</v>
      </c>
      <c r="I25" s="52">
        <f t="shared" si="9"/>
        <v>0</v>
      </c>
      <c r="J25" s="52"/>
      <c r="K25" s="113">
        <f t="shared" si="10"/>
        <v>609275.37207027047</v>
      </c>
      <c r="L25" s="54">
        <f t="shared" si="6"/>
        <v>0</v>
      </c>
      <c r="M25" s="113">
        <f t="shared" si="11"/>
        <v>609275.37207027047</v>
      </c>
      <c r="N25" s="54">
        <f t="shared" si="7"/>
        <v>0</v>
      </c>
      <c r="O25" s="54">
        <f t="shared" si="8"/>
        <v>0</v>
      </c>
      <c r="P25" s="1"/>
    </row>
    <row r="26" spans="2:16" ht="12.5">
      <c r="B26" s="7" t="str">
        <f t="shared" si="5"/>
        <v/>
      </c>
      <c r="C26" s="50">
        <f>IF(D11="","-",+C25+1)</f>
        <v>2019</v>
      </c>
      <c r="D26" s="151">
        <v>3815193.9864387298</v>
      </c>
      <c r="E26" s="420">
        <v>116954.60975609756</v>
      </c>
      <c r="F26" s="151">
        <v>3698239.3766826321</v>
      </c>
      <c r="G26" s="420">
        <v>594411.13132781303</v>
      </c>
      <c r="H26" s="421">
        <v>594411.13132781303</v>
      </c>
      <c r="I26" s="52">
        <f t="shared" si="9"/>
        <v>0</v>
      </c>
      <c r="J26" s="52"/>
      <c r="K26" s="113">
        <f t="shared" si="10"/>
        <v>594411.13132781303</v>
      </c>
      <c r="L26" s="54">
        <f t="shared" ref="L26" si="12">IF(K26&lt;&gt;0,+G26-K26,0)</f>
        <v>0</v>
      </c>
      <c r="M26" s="113">
        <f t="shared" si="11"/>
        <v>594411.13132781303</v>
      </c>
      <c r="N26" s="54">
        <f t="shared" si="3"/>
        <v>0</v>
      </c>
      <c r="O26" s="54">
        <f t="shared" si="4"/>
        <v>0</v>
      </c>
      <c r="P26" s="1"/>
    </row>
    <row r="27" spans="2:16" ht="12.5">
      <c r="B27" s="7" t="str">
        <f t="shared" si="5"/>
        <v/>
      </c>
      <c r="C27" s="50">
        <f>IF(D11="","-",+C26+1)</f>
        <v>2020</v>
      </c>
      <c r="D27" s="151">
        <v>3698239.3766826321</v>
      </c>
      <c r="E27" s="420">
        <v>116954.60975609756</v>
      </c>
      <c r="F27" s="151">
        <v>3581284.7669265345</v>
      </c>
      <c r="G27" s="420">
        <v>489431.31850985193</v>
      </c>
      <c r="H27" s="421">
        <v>489431.31850985193</v>
      </c>
      <c r="I27" s="52">
        <f t="shared" si="9"/>
        <v>0</v>
      </c>
      <c r="J27" s="52"/>
      <c r="K27" s="113">
        <f t="shared" si="10"/>
        <v>489431.31850985193</v>
      </c>
      <c r="L27" s="54">
        <f t="shared" ref="L27" si="13">IF(K27&lt;&gt;0,+G27-K27,0)</f>
        <v>0</v>
      </c>
      <c r="M27" s="113">
        <f t="shared" si="11"/>
        <v>489431.31850985193</v>
      </c>
      <c r="N27" s="54">
        <f t="shared" si="3"/>
        <v>0</v>
      </c>
      <c r="O27" s="54">
        <f t="shared" si="4"/>
        <v>0</v>
      </c>
      <c r="P27" s="1"/>
    </row>
    <row r="28" spans="2:16" ht="12.5">
      <c r="B28" s="7" t="str">
        <f t="shared" si="5"/>
        <v>IU</v>
      </c>
      <c r="C28" s="50">
        <f>IF(D11="","-",+C27+1)</f>
        <v>2021</v>
      </c>
      <c r="D28" s="151">
        <v>3586724.5162175149</v>
      </c>
      <c r="E28" s="420">
        <v>114169.97619047618</v>
      </c>
      <c r="F28" s="151">
        <v>3472554.5400270387</v>
      </c>
      <c r="G28" s="420">
        <v>488327.80853353348</v>
      </c>
      <c r="H28" s="421">
        <v>488327.80853353348</v>
      </c>
      <c r="I28" s="52">
        <f t="shared" si="9"/>
        <v>0</v>
      </c>
      <c r="J28" s="52"/>
      <c r="K28" s="113">
        <f t="shared" si="10"/>
        <v>488327.80853353348</v>
      </c>
      <c r="L28" s="54">
        <f t="shared" ref="L28" si="14">IF(K28&lt;&gt;0,+G28-K28,0)</f>
        <v>0</v>
      </c>
      <c r="M28" s="113">
        <f t="shared" si="11"/>
        <v>488327.80853353348</v>
      </c>
      <c r="N28" s="54">
        <f t="shared" si="3"/>
        <v>0</v>
      </c>
      <c r="O28" s="54">
        <f t="shared" si="4"/>
        <v>0</v>
      </c>
      <c r="P28" s="1"/>
    </row>
    <row r="29" spans="2:16" ht="12.5">
      <c r="B29" s="7" t="str">
        <f t="shared" si="5"/>
        <v>IU</v>
      </c>
      <c r="C29" s="50">
        <f>IF(D11="","-",+C28+1)</f>
        <v>2022</v>
      </c>
      <c r="D29" s="151">
        <v>3467114.7907360573</v>
      </c>
      <c r="E29" s="420">
        <v>114169.97619047618</v>
      </c>
      <c r="F29" s="151">
        <v>3352944.8145455811</v>
      </c>
      <c r="G29" s="420">
        <v>497607.69769277796</v>
      </c>
      <c r="H29" s="421">
        <v>497607.69769277796</v>
      </c>
      <c r="I29" s="52">
        <f t="shared" si="9"/>
        <v>0</v>
      </c>
      <c r="J29" s="52"/>
      <c r="K29" s="113">
        <f t="shared" ref="K29" si="15">G29</f>
        <v>497607.69769277796</v>
      </c>
      <c r="L29" s="54">
        <f t="shared" ref="L29" si="16">IF(K29&lt;&gt;0,+G29-K29,0)</f>
        <v>0</v>
      </c>
      <c r="M29" s="113">
        <f t="shared" ref="M29" si="17">H29</f>
        <v>497607.69769277796</v>
      </c>
      <c r="N29" s="54">
        <f t="shared" si="3"/>
        <v>0</v>
      </c>
      <c r="O29" s="54">
        <f t="shared" si="4"/>
        <v>0</v>
      </c>
      <c r="P29" s="1"/>
    </row>
    <row r="30" spans="2:16" ht="12.5">
      <c r="B30" s="7" t="str">
        <f t="shared" si="5"/>
        <v/>
      </c>
      <c r="C30" s="50">
        <f>IF(D11="","-",+C29+1)</f>
        <v>2023</v>
      </c>
      <c r="D30" s="151">
        <v>3352944.8145455811</v>
      </c>
      <c r="E30" s="420">
        <v>114169.97619047618</v>
      </c>
      <c r="F30" s="151">
        <v>3238774.8383551049</v>
      </c>
      <c r="G30" s="420">
        <v>530525.36169703898</v>
      </c>
      <c r="H30" s="421">
        <v>530525.36169703898</v>
      </c>
      <c r="I30" s="52">
        <f t="shared" si="9"/>
        <v>0</v>
      </c>
      <c r="J30" s="52"/>
      <c r="K30" s="113">
        <f t="shared" ref="K30" si="18">G30</f>
        <v>530525.36169703898</v>
      </c>
      <c r="L30" s="54">
        <f t="shared" ref="L30" si="19">IF(K30&lt;&gt;0,+G30-K30,0)</f>
        <v>0</v>
      </c>
      <c r="M30" s="113">
        <f t="shared" ref="M30" si="20">H30</f>
        <v>530525.36169703898</v>
      </c>
      <c r="N30" s="54">
        <f t="shared" si="3"/>
        <v>0</v>
      </c>
      <c r="O30" s="54">
        <f t="shared" si="4"/>
        <v>0</v>
      </c>
      <c r="P30" s="1"/>
    </row>
    <row r="31" spans="2:16" ht="12.5">
      <c r="B31" s="7" t="str">
        <f t="shared" si="5"/>
        <v/>
      </c>
      <c r="C31" s="50">
        <f>IF(D11="","-",+C30+1)</f>
        <v>2024</v>
      </c>
      <c r="D31" s="151">
        <v>3238774.8383551049</v>
      </c>
      <c r="E31" s="420">
        <v>108980.43181818182</v>
      </c>
      <c r="F31" s="151">
        <v>3129794.4065369233</v>
      </c>
      <c r="G31" s="420">
        <v>489588.8391092071</v>
      </c>
      <c r="H31" s="421">
        <v>489588.8391092071</v>
      </c>
      <c r="I31" s="52">
        <f t="shared" si="9"/>
        <v>0</v>
      </c>
      <c r="J31" s="52"/>
      <c r="K31" s="113">
        <f t="shared" ref="K31" si="21">G31</f>
        <v>489588.8391092071</v>
      </c>
      <c r="L31" s="54">
        <f t="shared" ref="L31" si="22">IF(K31&lt;&gt;0,+G31-K31,0)</f>
        <v>0</v>
      </c>
      <c r="M31" s="113">
        <f t="shared" ref="M31" si="23">H31</f>
        <v>489588.8391092071</v>
      </c>
      <c r="N31" s="54">
        <f t="shared" ref="N31" si="24">IF(M31&lt;&gt;0,+H31-M31,0)</f>
        <v>0</v>
      </c>
      <c r="O31" s="54">
        <f t="shared" ref="O31" si="25">+N31-L31</f>
        <v>0</v>
      </c>
      <c r="P31" s="1"/>
    </row>
    <row r="32" spans="2:16" ht="12.5">
      <c r="B32" s="7" t="str">
        <f t="shared" si="5"/>
        <v/>
      </c>
      <c r="C32" s="50">
        <f>IF(D11="","-",+C31+1)</f>
        <v>2025</v>
      </c>
      <c r="D32" s="55">
        <f>IF(F31+SUM(E$17:E31)=D$10,F31,D$10-SUM(E$17:E31))</f>
        <v>3129794.4065369233</v>
      </c>
      <c r="E32" s="378">
        <f>IF(+I14&lt;F31,I14,D32)</f>
        <v>108980.43181818182</v>
      </c>
      <c r="F32" s="55">
        <f t="shared" ref="F32:F48" si="26">+D32-E32</f>
        <v>3020813.9747187416</v>
      </c>
      <c r="G32" s="379">
        <f t="shared" ref="G32:G55" si="27">+I$12*((D32+F32)/2)+E32</f>
        <v>476562.72068756167</v>
      </c>
      <c r="H32" s="364">
        <f t="shared" ref="H32:H55" si="28">+I$13*((D32+F32)/2)+E32</f>
        <v>476562.72068756167</v>
      </c>
      <c r="I32" s="52">
        <f t="shared" si="9"/>
        <v>0</v>
      </c>
      <c r="J32" s="52"/>
      <c r="K32" s="129"/>
      <c r="L32" s="54">
        <f t="shared" si="1"/>
        <v>0</v>
      </c>
      <c r="M32" s="129"/>
      <c r="N32" s="54">
        <f t="shared" si="3"/>
        <v>0</v>
      </c>
      <c r="O32" s="54">
        <f t="shared" si="4"/>
        <v>0</v>
      </c>
      <c r="P32" s="1"/>
    </row>
    <row r="33" spans="2:16" ht="12.5">
      <c r="B33" s="7" t="str">
        <f t="shared" si="5"/>
        <v/>
      </c>
      <c r="C33" s="50">
        <f>IF(D11="","-",+C32+1)</f>
        <v>2026</v>
      </c>
      <c r="D33" s="55">
        <f>IF(F32+SUM(E$17:E32)=D$10,F32,D$10-SUM(E$17:E32))</f>
        <v>3020813.9747187416</v>
      </c>
      <c r="E33" s="378">
        <f>IF(+I14&lt;F32,I14,D33)</f>
        <v>108980.43181818182</v>
      </c>
      <c r="F33" s="55">
        <f t="shared" si="26"/>
        <v>2911833.54290056</v>
      </c>
      <c r="G33" s="379">
        <f t="shared" si="27"/>
        <v>463536.60226591624</v>
      </c>
      <c r="H33" s="364">
        <f t="shared" si="28"/>
        <v>463536.60226591624</v>
      </c>
      <c r="I33" s="52">
        <f t="shared" si="9"/>
        <v>0</v>
      </c>
      <c r="J33" s="52"/>
      <c r="K33" s="129"/>
      <c r="L33" s="54">
        <f t="shared" si="1"/>
        <v>0</v>
      </c>
      <c r="M33" s="129"/>
      <c r="N33" s="54">
        <f t="shared" si="3"/>
        <v>0</v>
      </c>
      <c r="O33" s="54">
        <f t="shared" si="4"/>
        <v>0</v>
      </c>
      <c r="P33" s="1"/>
    </row>
    <row r="34" spans="2:16" ht="12.5">
      <c r="B34" s="7" t="str">
        <f t="shared" si="5"/>
        <v/>
      </c>
      <c r="C34" s="50">
        <f>IF(D11="","-",+C33+1)</f>
        <v>2027</v>
      </c>
      <c r="D34" s="55">
        <f>IF(F33+SUM(E$17:E33)=D$10,F33,D$10-SUM(E$17:E33))</f>
        <v>2911833.54290056</v>
      </c>
      <c r="E34" s="378">
        <f>IF(+I14&lt;F33,I14,D34)</f>
        <v>108980.43181818182</v>
      </c>
      <c r="F34" s="55">
        <f t="shared" si="26"/>
        <v>2802853.1110823783</v>
      </c>
      <c r="G34" s="379">
        <f t="shared" si="27"/>
        <v>450510.48384427081</v>
      </c>
      <c r="H34" s="364">
        <f t="shared" si="28"/>
        <v>450510.48384427081</v>
      </c>
      <c r="I34" s="52">
        <f t="shared" si="9"/>
        <v>0</v>
      </c>
      <c r="J34" s="52"/>
      <c r="K34" s="129"/>
      <c r="L34" s="54">
        <f t="shared" si="1"/>
        <v>0</v>
      </c>
      <c r="M34" s="129"/>
      <c r="N34" s="54">
        <f t="shared" si="3"/>
        <v>0</v>
      </c>
      <c r="O34" s="54">
        <f t="shared" si="4"/>
        <v>0</v>
      </c>
      <c r="P34" s="1"/>
    </row>
    <row r="35" spans="2:16" ht="12.5">
      <c r="B35" s="7" t="str">
        <f t="shared" si="5"/>
        <v/>
      </c>
      <c r="C35" s="50">
        <f>IF(D11="","-",+C34+1)</f>
        <v>2028</v>
      </c>
      <c r="D35" s="55">
        <f>IF(F34+SUM(E$17:E34)=D$10,F34,D$10-SUM(E$17:E34))</f>
        <v>2802853.1110823783</v>
      </c>
      <c r="E35" s="378">
        <f>IF(+I14&lt;F34,I14,D35)</f>
        <v>108980.43181818182</v>
      </c>
      <c r="F35" s="55">
        <f t="shared" si="26"/>
        <v>2693872.6792641967</v>
      </c>
      <c r="G35" s="379">
        <f t="shared" si="27"/>
        <v>437484.36542262539</v>
      </c>
      <c r="H35" s="364">
        <f t="shared" si="28"/>
        <v>437484.36542262539</v>
      </c>
      <c r="I35" s="52">
        <f t="shared" si="9"/>
        <v>0</v>
      </c>
      <c r="J35" s="52"/>
      <c r="K35" s="129"/>
      <c r="L35" s="54">
        <f t="shared" si="1"/>
        <v>0</v>
      </c>
      <c r="M35" s="129"/>
      <c r="N35" s="54">
        <f t="shared" si="3"/>
        <v>0</v>
      </c>
      <c r="O35" s="54">
        <f t="shared" si="4"/>
        <v>0</v>
      </c>
      <c r="P35" s="1"/>
    </row>
    <row r="36" spans="2:16" ht="12.5">
      <c r="B36" s="7" t="str">
        <f t="shared" si="5"/>
        <v/>
      </c>
      <c r="C36" s="50">
        <f>IF(D11="","-",+C35+1)</f>
        <v>2029</v>
      </c>
      <c r="D36" s="55">
        <f>IF(F35+SUM(E$17:E35)=D$10,F35,D$10-SUM(E$17:E35))</f>
        <v>2693872.6792641967</v>
      </c>
      <c r="E36" s="378">
        <f>IF(+I14&lt;F35,I14,D36)</f>
        <v>108980.43181818182</v>
      </c>
      <c r="F36" s="55">
        <f t="shared" si="26"/>
        <v>2584892.247446015</v>
      </c>
      <c r="G36" s="379">
        <f t="shared" si="27"/>
        <v>424458.24700097996</v>
      </c>
      <c r="H36" s="364">
        <f t="shared" si="28"/>
        <v>424458.24700097996</v>
      </c>
      <c r="I36" s="52">
        <f t="shared" si="9"/>
        <v>0</v>
      </c>
      <c r="J36" s="52"/>
      <c r="K36" s="129"/>
      <c r="L36" s="54">
        <f t="shared" si="1"/>
        <v>0</v>
      </c>
      <c r="M36" s="129"/>
      <c r="N36" s="54">
        <f t="shared" si="3"/>
        <v>0</v>
      </c>
      <c r="O36" s="54">
        <f t="shared" si="4"/>
        <v>0</v>
      </c>
      <c r="P36" s="1"/>
    </row>
    <row r="37" spans="2:16" ht="12.5">
      <c r="B37" s="7" t="str">
        <f t="shared" si="5"/>
        <v/>
      </c>
      <c r="C37" s="50">
        <f>IF(D11="","-",+C36+1)</f>
        <v>2030</v>
      </c>
      <c r="D37" s="55">
        <f>IF(F36+SUM(E$17:E36)=D$10,F36,D$10-SUM(E$17:E36))</f>
        <v>2584892.247446015</v>
      </c>
      <c r="E37" s="378">
        <f>IF(+I14&lt;F36,I14,D37)</f>
        <v>108980.43181818182</v>
      </c>
      <c r="F37" s="55">
        <f t="shared" si="26"/>
        <v>2475911.8156278334</v>
      </c>
      <c r="G37" s="379">
        <f t="shared" si="27"/>
        <v>411432.12857933453</v>
      </c>
      <c r="H37" s="364">
        <f t="shared" si="28"/>
        <v>411432.12857933453</v>
      </c>
      <c r="I37" s="52">
        <f t="shared" si="9"/>
        <v>0</v>
      </c>
      <c r="J37" s="52"/>
      <c r="K37" s="129"/>
      <c r="L37" s="54">
        <f t="shared" si="1"/>
        <v>0</v>
      </c>
      <c r="M37" s="129"/>
      <c r="N37" s="54">
        <f t="shared" si="3"/>
        <v>0</v>
      </c>
      <c r="O37" s="54">
        <f t="shared" si="4"/>
        <v>0</v>
      </c>
      <c r="P37" s="1"/>
    </row>
    <row r="38" spans="2:16" ht="12.5">
      <c r="B38" s="7" t="str">
        <f t="shared" si="5"/>
        <v/>
      </c>
      <c r="C38" s="50">
        <f>IF(D11="","-",+C37+1)</f>
        <v>2031</v>
      </c>
      <c r="D38" s="55">
        <f>IF(F37+SUM(E$17:E37)=D$10,F37,D$10-SUM(E$17:E37))</f>
        <v>2475911.8156278334</v>
      </c>
      <c r="E38" s="378">
        <f>IF(+I14&lt;F37,I14,D38)</f>
        <v>108980.43181818182</v>
      </c>
      <c r="F38" s="55">
        <f t="shared" si="26"/>
        <v>2366931.3838096517</v>
      </c>
      <c r="G38" s="379">
        <f t="shared" si="27"/>
        <v>398406.0101576891</v>
      </c>
      <c r="H38" s="364">
        <f t="shared" si="28"/>
        <v>398406.0101576891</v>
      </c>
      <c r="I38" s="52">
        <f t="shared" si="9"/>
        <v>0</v>
      </c>
      <c r="J38" s="52"/>
      <c r="K38" s="129"/>
      <c r="L38" s="54">
        <f t="shared" si="1"/>
        <v>0</v>
      </c>
      <c r="M38" s="129"/>
      <c r="N38" s="54">
        <f t="shared" si="3"/>
        <v>0</v>
      </c>
      <c r="O38" s="54">
        <f t="shared" si="4"/>
        <v>0</v>
      </c>
      <c r="P38" s="1"/>
    </row>
    <row r="39" spans="2:16" ht="12.5">
      <c r="B39" s="7" t="str">
        <f t="shared" si="5"/>
        <v/>
      </c>
      <c r="C39" s="50">
        <f>IF(D11="","-",+C38+1)</f>
        <v>2032</v>
      </c>
      <c r="D39" s="55">
        <f>IF(F38+SUM(E$17:E38)=D$10,F38,D$10-SUM(E$17:E38))</f>
        <v>2366931.3838096517</v>
      </c>
      <c r="E39" s="378">
        <f>IF(+I14&lt;F38,I14,D39)</f>
        <v>108980.43181818182</v>
      </c>
      <c r="F39" s="55">
        <f t="shared" si="26"/>
        <v>2257950.9519914701</v>
      </c>
      <c r="G39" s="379">
        <f t="shared" si="27"/>
        <v>385379.89173604368</v>
      </c>
      <c r="H39" s="364">
        <f t="shared" si="28"/>
        <v>385379.89173604368</v>
      </c>
      <c r="I39" s="52">
        <f t="shared" si="9"/>
        <v>0</v>
      </c>
      <c r="J39" s="52"/>
      <c r="K39" s="129"/>
      <c r="L39" s="54">
        <f t="shared" si="1"/>
        <v>0</v>
      </c>
      <c r="M39" s="129"/>
      <c r="N39" s="54">
        <f t="shared" si="3"/>
        <v>0</v>
      </c>
      <c r="O39" s="54">
        <f t="shared" si="4"/>
        <v>0</v>
      </c>
      <c r="P39" s="1"/>
    </row>
    <row r="40" spans="2:16" ht="12.5">
      <c r="B40" s="7" t="str">
        <f t="shared" si="5"/>
        <v/>
      </c>
      <c r="C40" s="50">
        <f>IF(D11="","-",+C39+1)</f>
        <v>2033</v>
      </c>
      <c r="D40" s="55">
        <f>IF(F39+SUM(E$17:E39)=D$10,F39,D$10-SUM(E$17:E39))</f>
        <v>2257950.9519914701</v>
      </c>
      <c r="E40" s="378">
        <f>IF(+I14&lt;F39,I14,D40)</f>
        <v>108980.43181818182</v>
      </c>
      <c r="F40" s="55">
        <f t="shared" si="26"/>
        <v>2148970.5201732884</v>
      </c>
      <c r="G40" s="379">
        <f t="shared" si="27"/>
        <v>372353.77331439819</v>
      </c>
      <c r="H40" s="364">
        <f t="shared" si="28"/>
        <v>372353.77331439819</v>
      </c>
      <c r="I40" s="52">
        <f t="shared" si="9"/>
        <v>0</v>
      </c>
      <c r="J40" s="52"/>
      <c r="K40" s="129"/>
      <c r="L40" s="54">
        <f t="shared" si="1"/>
        <v>0</v>
      </c>
      <c r="M40" s="129"/>
      <c r="N40" s="54">
        <f t="shared" si="3"/>
        <v>0</v>
      </c>
      <c r="O40" s="54">
        <f t="shared" si="4"/>
        <v>0</v>
      </c>
      <c r="P40" s="1"/>
    </row>
    <row r="41" spans="2:16" ht="12.5">
      <c r="B41" s="7" t="str">
        <f t="shared" si="5"/>
        <v/>
      </c>
      <c r="C41" s="50">
        <f>IF(D11="","-",+C40+1)</f>
        <v>2034</v>
      </c>
      <c r="D41" s="55">
        <f>IF(F40+SUM(E$17:E40)=D$10,F40,D$10-SUM(E$17:E40))</f>
        <v>2148970.5201732884</v>
      </c>
      <c r="E41" s="378">
        <f>IF(+I14&lt;F40,I14,D41)</f>
        <v>108980.43181818182</v>
      </c>
      <c r="F41" s="55">
        <f t="shared" si="26"/>
        <v>2039990.0883551065</v>
      </c>
      <c r="G41" s="379">
        <f t="shared" si="27"/>
        <v>359327.65489275276</v>
      </c>
      <c r="H41" s="364">
        <f t="shared" si="28"/>
        <v>359327.65489275276</v>
      </c>
      <c r="I41" s="52">
        <f t="shared" si="9"/>
        <v>0</v>
      </c>
      <c r="J41" s="52"/>
      <c r="K41" s="129"/>
      <c r="L41" s="54">
        <f t="shared" si="1"/>
        <v>0</v>
      </c>
      <c r="M41" s="129"/>
      <c r="N41" s="54">
        <f t="shared" si="3"/>
        <v>0</v>
      </c>
      <c r="O41" s="54">
        <f t="shared" si="4"/>
        <v>0</v>
      </c>
      <c r="P41" s="1"/>
    </row>
    <row r="42" spans="2:16" ht="12.5">
      <c r="B42" s="7" t="str">
        <f t="shared" si="5"/>
        <v/>
      </c>
      <c r="C42" s="50">
        <f>IF(D11="","-",+C41+1)</f>
        <v>2035</v>
      </c>
      <c r="D42" s="55">
        <f>IF(F41+SUM(E$17:E41)=D$10,F41,D$10-SUM(E$17:E41))</f>
        <v>2039990.0883551065</v>
      </c>
      <c r="E42" s="378">
        <f>IF(+I14&lt;F41,I14,D42)</f>
        <v>108980.43181818182</v>
      </c>
      <c r="F42" s="55">
        <f t="shared" si="26"/>
        <v>1931009.6565369247</v>
      </c>
      <c r="G42" s="379">
        <f t="shared" si="27"/>
        <v>346301.53647110728</v>
      </c>
      <c r="H42" s="364">
        <f t="shared" si="28"/>
        <v>346301.53647110728</v>
      </c>
      <c r="I42" s="52">
        <f t="shared" si="9"/>
        <v>0</v>
      </c>
      <c r="J42" s="52"/>
      <c r="K42" s="129"/>
      <c r="L42" s="54">
        <f t="shared" si="1"/>
        <v>0</v>
      </c>
      <c r="M42" s="129"/>
      <c r="N42" s="54">
        <f t="shared" si="3"/>
        <v>0</v>
      </c>
      <c r="O42" s="54">
        <f t="shared" si="4"/>
        <v>0</v>
      </c>
      <c r="P42" s="1"/>
    </row>
    <row r="43" spans="2:16" ht="12.5">
      <c r="B43" s="7" t="str">
        <f t="shared" si="5"/>
        <v/>
      </c>
      <c r="C43" s="50">
        <f>IF(D11="","-",+C42+1)</f>
        <v>2036</v>
      </c>
      <c r="D43" s="55">
        <f>IF(F42+SUM(E$17:E42)=D$10,F42,D$10-SUM(E$17:E42))</f>
        <v>1931009.6565369247</v>
      </c>
      <c r="E43" s="378">
        <f>IF(+I14&lt;F42,I14,D43)</f>
        <v>108980.43181818182</v>
      </c>
      <c r="F43" s="55">
        <f t="shared" si="26"/>
        <v>1822029.2247187428</v>
      </c>
      <c r="G43" s="379">
        <f t="shared" si="27"/>
        <v>333275.41804946191</v>
      </c>
      <c r="H43" s="364">
        <f t="shared" si="28"/>
        <v>333275.41804946191</v>
      </c>
      <c r="I43" s="52">
        <f t="shared" si="9"/>
        <v>0</v>
      </c>
      <c r="J43" s="52"/>
      <c r="K43" s="129"/>
      <c r="L43" s="54">
        <f t="shared" si="1"/>
        <v>0</v>
      </c>
      <c r="M43" s="129"/>
      <c r="N43" s="54">
        <f t="shared" si="3"/>
        <v>0</v>
      </c>
      <c r="O43" s="54">
        <f t="shared" si="4"/>
        <v>0</v>
      </c>
      <c r="P43" s="1"/>
    </row>
    <row r="44" spans="2:16" ht="12.5">
      <c r="B44" s="7" t="str">
        <f t="shared" si="5"/>
        <v/>
      </c>
      <c r="C44" s="50">
        <f>IF(D11="","-",+C43+1)</f>
        <v>2037</v>
      </c>
      <c r="D44" s="55">
        <f>IF(F43+SUM(E$17:E43)=D$10,F43,D$10-SUM(E$17:E43))</f>
        <v>1822029.2247187428</v>
      </c>
      <c r="E44" s="378">
        <f>IF(+I14&lt;F43,I14,D44)</f>
        <v>108980.43181818182</v>
      </c>
      <c r="F44" s="55">
        <f t="shared" si="26"/>
        <v>1713048.7929005609</v>
      </c>
      <c r="G44" s="379">
        <f t="shared" si="27"/>
        <v>320249.29962781642</v>
      </c>
      <c r="H44" s="364">
        <f t="shared" si="28"/>
        <v>320249.29962781642</v>
      </c>
      <c r="I44" s="52">
        <f t="shared" si="9"/>
        <v>0</v>
      </c>
      <c r="J44" s="52"/>
      <c r="K44" s="129"/>
      <c r="L44" s="54">
        <f t="shared" si="1"/>
        <v>0</v>
      </c>
      <c r="M44" s="129"/>
      <c r="N44" s="54">
        <f t="shared" si="3"/>
        <v>0</v>
      </c>
      <c r="O44" s="54">
        <f t="shared" si="4"/>
        <v>0</v>
      </c>
      <c r="P44" s="1"/>
    </row>
    <row r="45" spans="2:16" ht="12.5">
      <c r="B45" s="7" t="str">
        <f t="shared" si="5"/>
        <v/>
      </c>
      <c r="C45" s="50">
        <f>IF(D11="","-",+C44+1)</f>
        <v>2038</v>
      </c>
      <c r="D45" s="55">
        <f>IF(F44+SUM(E$17:E44)=D$10,F44,D$10-SUM(E$17:E44))</f>
        <v>1713048.7929005609</v>
      </c>
      <c r="E45" s="378">
        <f>IF(+I14&lt;F44,I14,D45)</f>
        <v>108980.43181818182</v>
      </c>
      <c r="F45" s="55">
        <f t="shared" si="26"/>
        <v>1604068.361082379</v>
      </c>
      <c r="G45" s="379">
        <f t="shared" si="27"/>
        <v>307223.18120617094</v>
      </c>
      <c r="H45" s="364">
        <f t="shared" si="28"/>
        <v>307223.18120617094</v>
      </c>
      <c r="I45" s="52">
        <f t="shared" si="9"/>
        <v>0</v>
      </c>
      <c r="J45" s="52"/>
      <c r="K45" s="129"/>
      <c r="L45" s="54">
        <f t="shared" si="1"/>
        <v>0</v>
      </c>
      <c r="M45" s="129"/>
      <c r="N45" s="54">
        <f t="shared" si="3"/>
        <v>0</v>
      </c>
      <c r="O45" s="54">
        <f t="shared" si="4"/>
        <v>0</v>
      </c>
      <c r="P45" s="1"/>
    </row>
    <row r="46" spans="2:16" ht="12.5">
      <c r="B46" s="7" t="str">
        <f t="shared" si="5"/>
        <v/>
      </c>
      <c r="C46" s="50">
        <f>IF(D11="","-",+C45+1)</f>
        <v>2039</v>
      </c>
      <c r="D46" s="55">
        <f>IF(F45+SUM(E$17:E45)=D$10,F45,D$10-SUM(E$17:E45))</f>
        <v>1604068.361082379</v>
      </c>
      <c r="E46" s="378">
        <f>IF(+I14&lt;F45,I14,D46)</f>
        <v>108980.43181818182</v>
      </c>
      <c r="F46" s="55">
        <f t="shared" si="26"/>
        <v>1495087.9292641971</v>
      </c>
      <c r="G46" s="379">
        <f t="shared" si="27"/>
        <v>294197.06278452545</v>
      </c>
      <c r="H46" s="364">
        <f t="shared" si="28"/>
        <v>294197.06278452545</v>
      </c>
      <c r="I46" s="52">
        <f t="shared" si="9"/>
        <v>0</v>
      </c>
      <c r="J46" s="52"/>
      <c r="K46" s="129"/>
      <c r="L46" s="54">
        <f t="shared" si="1"/>
        <v>0</v>
      </c>
      <c r="M46" s="129"/>
      <c r="N46" s="54">
        <f t="shared" si="3"/>
        <v>0</v>
      </c>
      <c r="O46" s="54">
        <f t="shared" si="4"/>
        <v>0</v>
      </c>
      <c r="P46" s="1"/>
    </row>
    <row r="47" spans="2:16" ht="12.5">
      <c r="B47" s="7" t="str">
        <f t="shared" si="5"/>
        <v/>
      </c>
      <c r="C47" s="50">
        <f>IF(D11="","-",+C46+1)</f>
        <v>2040</v>
      </c>
      <c r="D47" s="55">
        <f>IF(F46+SUM(E$17:E46)=D$10,F46,D$10-SUM(E$17:E46))</f>
        <v>1495087.9292641971</v>
      </c>
      <c r="E47" s="378">
        <f>IF(+I14&lt;F46,I14,D47)</f>
        <v>108980.43181818182</v>
      </c>
      <c r="F47" s="55">
        <f t="shared" si="26"/>
        <v>1386107.4974460152</v>
      </c>
      <c r="G47" s="379">
        <f t="shared" si="27"/>
        <v>281170.94436288002</v>
      </c>
      <c r="H47" s="364">
        <f t="shared" si="28"/>
        <v>281170.94436288002</v>
      </c>
      <c r="I47" s="52">
        <f t="shared" si="9"/>
        <v>0</v>
      </c>
      <c r="J47" s="52"/>
      <c r="K47" s="129"/>
      <c r="L47" s="54">
        <f t="shared" si="1"/>
        <v>0</v>
      </c>
      <c r="M47" s="129"/>
      <c r="N47" s="54">
        <f t="shared" si="3"/>
        <v>0</v>
      </c>
      <c r="O47" s="54">
        <f t="shared" si="4"/>
        <v>0</v>
      </c>
      <c r="P47" s="1"/>
    </row>
    <row r="48" spans="2:16" ht="12.5">
      <c r="B48" s="7" t="str">
        <f t="shared" si="5"/>
        <v/>
      </c>
      <c r="C48" s="50">
        <f>IF(D11="","-",+C47+1)</f>
        <v>2041</v>
      </c>
      <c r="D48" s="55">
        <f>IF(F47+SUM(E$17:E47)=D$10,F47,D$10-SUM(E$17:E47))</f>
        <v>1386107.4974460152</v>
      </c>
      <c r="E48" s="378">
        <f>IF(+I14&lt;F47,I14,D48)</f>
        <v>108980.43181818182</v>
      </c>
      <c r="F48" s="55">
        <f t="shared" si="26"/>
        <v>1277127.0656278334</v>
      </c>
      <c r="G48" s="379">
        <f t="shared" si="27"/>
        <v>268144.82594123454</v>
      </c>
      <c r="H48" s="364">
        <f t="shared" si="28"/>
        <v>268144.82594123454</v>
      </c>
      <c r="I48" s="52">
        <f t="shared" si="9"/>
        <v>0</v>
      </c>
      <c r="J48" s="52"/>
      <c r="K48" s="129"/>
      <c r="L48" s="54">
        <f t="shared" si="1"/>
        <v>0</v>
      </c>
      <c r="M48" s="129"/>
      <c r="N48" s="54">
        <f t="shared" si="3"/>
        <v>0</v>
      </c>
      <c r="O48" s="54">
        <f t="shared" si="4"/>
        <v>0</v>
      </c>
      <c r="P48" s="1"/>
    </row>
    <row r="49" spans="2:17" ht="12.5">
      <c r="B49" s="7" t="str">
        <f t="shared" si="5"/>
        <v/>
      </c>
      <c r="C49" s="50">
        <f>IF(D11="","-",+C48+1)</f>
        <v>2042</v>
      </c>
      <c r="D49" s="55">
        <f>IF(F48+SUM(E$17:E48)=D$10,F48,D$10-SUM(E$17:E48))</f>
        <v>1277127.0656278334</v>
      </c>
      <c r="E49" s="378">
        <f>IF(+I14&lt;F48,I14,D49)</f>
        <v>108980.43181818182</v>
      </c>
      <c r="F49" s="55">
        <f t="shared" ref="F49:F72" si="29">+D49-E49</f>
        <v>1168146.6338096515</v>
      </c>
      <c r="G49" s="379">
        <f t="shared" si="27"/>
        <v>255118.70751958911</v>
      </c>
      <c r="H49" s="364">
        <f t="shared" si="28"/>
        <v>255118.70751958911</v>
      </c>
      <c r="I49" s="52">
        <f t="shared" ref="I49:I72" si="30">H49-G49</f>
        <v>0</v>
      </c>
      <c r="J49" s="52"/>
      <c r="K49" s="129"/>
      <c r="L49" s="54">
        <f t="shared" ref="L49:L72" si="31">IF(K49&lt;&gt;0,+G49-K49,0)</f>
        <v>0</v>
      </c>
      <c r="M49" s="129"/>
      <c r="N49" s="54">
        <f t="shared" ref="N49:N72" si="32">IF(M49&lt;&gt;0,+H49-M49,0)</f>
        <v>0</v>
      </c>
      <c r="O49" s="54">
        <f t="shared" ref="O49:O72" si="33">+N49-L49</f>
        <v>0</v>
      </c>
      <c r="P49" s="1"/>
    </row>
    <row r="50" spans="2:17" ht="12.5">
      <c r="B50" s="7" t="str">
        <f t="shared" si="5"/>
        <v/>
      </c>
      <c r="C50" s="50">
        <f>IF(D11="","-",+C49+1)</f>
        <v>2043</v>
      </c>
      <c r="D50" s="55">
        <f>IF(F49+SUM(E$17:E49)=D$10,F49,D$10-SUM(E$17:E49))</f>
        <v>1168146.6338096515</v>
      </c>
      <c r="E50" s="378">
        <f>IF(+I14&lt;F49,I14,D50)</f>
        <v>108980.43181818182</v>
      </c>
      <c r="F50" s="55">
        <f t="shared" si="29"/>
        <v>1059166.2019914696</v>
      </c>
      <c r="G50" s="379">
        <f t="shared" si="27"/>
        <v>242092.58909794362</v>
      </c>
      <c r="H50" s="364">
        <f t="shared" si="28"/>
        <v>242092.58909794362</v>
      </c>
      <c r="I50" s="52">
        <f t="shared" si="30"/>
        <v>0</v>
      </c>
      <c r="J50" s="52"/>
      <c r="K50" s="129"/>
      <c r="L50" s="54">
        <f t="shared" si="31"/>
        <v>0</v>
      </c>
      <c r="M50" s="129"/>
      <c r="N50" s="54">
        <f t="shared" si="32"/>
        <v>0</v>
      </c>
      <c r="O50" s="54">
        <f t="shared" si="33"/>
        <v>0</v>
      </c>
      <c r="P50" s="1"/>
    </row>
    <row r="51" spans="2:17" ht="12.5">
      <c r="B51" s="7" t="str">
        <f t="shared" si="5"/>
        <v/>
      </c>
      <c r="C51" s="50">
        <f>IF(D11="","-",+C50+1)</f>
        <v>2044</v>
      </c>
      <c r="D51" s="55">
        <f>IF(F50+SUM(E$17:E50)=D$10,F50,D$10-SUM(E$17:E50))</f>
        <v>1059166.2019914696</v>
      </c>
      <c r="E51" s="378">
        <f>IF(+I14&lt;F50,I14,D51)</f>
        <v>108980.43181818182</v>
      </c>
      <c r="F51" s="55">
        <f t="shared" si="29"/>
        <v>950185.77017328772</v>
      </c>
      <c r="G51" s="379">
        <f t="shared" si="27"/>
        <v>229066.4706762982</v>
      </c>
      <c r="H51" s="364">
        <f t="shared" si="28"/>
        <v>229066.4706762982</v>
      </c>
      <c r="I51" s="52">
        <f t="shared" si="30"/>
        <v>0</v>
      </c>
      <c r="J51" s="52"/>
      <c r="K51" s="129"/>
      <c r="L51" s="54">
        <f t="shared" si="31"/>
        <v>0</v>
      </c>
      <c r="M51" s="129"/>
      <c r="N51" s="54">
        <f t="shared" si="32"/>
        <v>0</v>
      </c>
      <c r="O51" s="54">
        <f t="shared" si="33"/>
        <v>0</v>
      </c>
      <c r="P51" s="1"/>
    </row>
    <row r="52" spans="2:17" ht="12.5">
      <c r="B52" s="7" t="str">
        <f t="shared" si="5"/>
        <v/>
      </c>
      <c r="C52" s="50">
        <f>IF(D11="","-",+C51+1)</f>
        <v>2045</v>
      </c>
      <c r="D52" s="55">
        <f>IF(F51+SUM(E$17:E51)=D$10,F51,D$10-SUM(E$17:E51))</f>
        <v>950185.77017328772</v>
      </c>
      <c r="E52" s="378">
        <f>IF(+I14&lt;F51,I14,D52)</f>
        <v>108980.43181818182</v>
      </c>
      <c r="F52" s="55">
        <f t="shared" si="29"/>
        <v>841205.33835510584</v>
      </c>
      <c r="G52" s="379">
        <f t="shared" si="27"/>
        <v>216040.35225465271</v>
      </c>
      <c r="H52" s="364">
        <f t="shared" si="28"/>
        <v>216040.35225465271</v>
      </c>
      <c r="I52" s="52">
        <f t="shared" si="30"/>
        <v>0</v>
      </c>
      <c r="J52" s="52"/>
      <c r="K52" s="129"/>
      <c r="L52" s="54">
        <f t="shared" si="31"/>
        <v>0</v>
      </c>
      <c r="M52" s="129"/>
      <c r="N52" s="54">
        <f t="shared" si="32"/>
        <v>0</v>
      </c>
      <c r="O52" s="54">
        <f t="shared" si="33"/>
        <v>0</v>
      </c>
      <c r="P52" s="1"/>
    </row>
    <row r="53" spans="2:17" ht="12.5">
      <c r="B53" s="7" t="str">
        <f t="shared" si="5"/>
        <v/>
      </c>
      <c r="C53" s="50">
        <f>IF(D11="","-",+C52+1)</f>
        <v>2046</v>
      </c>
      <c r="D53" s="55">
        <f>IF(F52+SUM(E$17:E52)=D$10,F52,D$10-SUM(E$17:E52))</f>
        <v>841205.33835510584</v>
      </c>
      <c r="E53" s="378">
        <f>IF(+I14&lt;F52,I14,D53)</f>
        <v>108980.43181818182</v>
      </c>
      <c r="F53" s="55">
        <f t="shared" si="29"/>
        <v>732224.90653692395</v>
      </c>
      <c r="G53" s="379">
        <f t="shared" si="27"/>
        <v>203014.23383300728</v>
      </c>
      <c r="H53" s="364">
        <f t="shared" si="28"/>
        <v>203014.23383300728</v>
      </c>
      <c r="I53" s="52">
        <f t="shared" si="30"/>
        <v>0</v>
      </c>
      <c r="J53" s="52"/>
      <c r="K53" s="129"/>
      <c r="L53" s="54">
        <f t="shared" si="31"/>
        <v>0</v>
      </c>
      <c r="M53" s="129"/>
      <c r="N53" s="54">
        <f t="shared" si="32"/>
        <v>0</v>
      </c>
      <c r="O53" s="54">
        <f t="shared" si="33"/>
        <v>0</v>
      </c>
      <c r="P53" s="1"/>
    </row>
    <row r="54" spans="2:17" ht="12.5">
      <c r="B54" s="7" t="str">
        <f t="shared" si="5"/>
        <v/>
      </c>
      <c r="C54" s="50">
        <f>IF(D11="","-",+C53+1)</f>
        <v>2047</v>
      </c>
      <c r="D54" s="55">
        <f>IF(F53+SUM(E$17:E53)=D$10,F53,D$10-SUM(E$17:E53))</f>
        <v>732224.90653692395</v>
      </c>
      <c r="E54" s="378">
        <f>IF(+I14&lt;F53,I14,D54)</f>
        <v>108980.43181818182</v>
      </c>
      <c r="F54" s="55">
        <f t="shared" si="29"/>
        <v>623244.47471874207</v>
      </c>
      <c r="G54" s="379">
        <f t="shared" si="27"/>
        <v>189988.1154113618</v>
      </c>
      <c r="H54" s="364">
        <f t="shared" si="28"/>
        <v>189988.1154113618</v>
      </c>
      <c r="I54" s="52">
        <f t="shared" si="30"/>
        <v>0</v>
      </c>
      <c r="J54" s="52"/>
      <c r="K54" s="129"/>
      <c r="L54" s="54">
        <f t="shared" si="31"/>
        <v>0</v>
      </c>
      <c r="M54" s="129"/>
      <c r="N54" s="54">
        <f t="shared" si="32"/>
        <v>0</v>
      </c>
      <c r="O54" s="54">
        <f t="shared" si="33"/>
        <v>0</v>
      </c>
      <c r="P54" s="1"/>
    </row>
    <row r="55" spans="2:17" ht="12.5">
      <c r="B55" s="7" t="str">
        <f t="shared" si="5"/>
        <v/>
      </c>
      <c r="C55" s="50">
        <f>IF(D11="","-",+C54+1)</f>
        <v>2048</v>
      </c>
      <c r="D55" s="55">
        <f>IF(F54+SUM(E$17:E54)=D$10,F54,D$10-SUM(E$17:E54))</f>
        <v>623244.47471874207</v>
      </c>
      <c r="E55" s="378">
        <f>IF(+I14&lt;F54,I14,D55)</f>
        <v>108980.43181818182</v>
      </c>
      <c r="F55" s="55">
        <f t="shared" si="29"/>
        <v>514264.04290056025</v>
      </c>
      <c r="G55" s="379">
        <f t="shared" si="27"/>
        <v>176961.99698971634</v>
      </c>
      <c r="H55" s="364">
        <f t="shared" si="28"/>
        <v>176961.99698971634</v>
      </c>
      <c r="I55" s="52">
        <f t="shared" si="30"/>
        <v>0</v>
      </c>
      <c r="J55" s="52"/>
      <c r="K55" s="129"/>
      <c r="L55" s="54">
        <f t="shared" si="31"/>
        <v>0</v>
      </c>
      <c r="M55" s="129"/>
      <c r="N55" s="54">
        <f t="shared" si="32"/>
        <v>0</v>
      </c>
      <c r="O55" s="54">
        <f t="shared" si="33"/>
        <v>0</v>
      </c>
      <c r="P55" s="1"/>
    </row>
    <row r="56" spans="2:17" ht="12.5">
      <c r="B56" s="7" t="str">
        <f t="shared" si="5"/>
        <v/>
      </c>
      <c r="C56" s="50">
        <f>IF(D11="","-",+C55+1)</f>
        <v>2049</v>
      </c>
      <c r="D56" s="55">
        <f>IF(F55+SUM(E$17:E55)=D$10,F55,D$10-SUM(E$17:E55))</f>
        <v>514264.04290056025</v>
      </c>
      <c r="E56" s="378">
        <f>IF(+I14&lt;F55,I14,D56)</f>
        <v>108980.43181818182</v>
      </c>
      <c r="F56" s="55">
        <f t="shared" si="29"/>
        <v>405283.61108237843</v>
      </c>
      <c r="G56" s="379">
        <f t="shared" ref="G56:G72" si="34">+I$12*((D56+F56)/2)+E56</f>
        <v>163935.87856807088</v>
      </c>
      <c r="H56" s="364">
        <f t="shared" ref="H56:H72" si="35">+I$13*((D56+F56)/2)+E56</f>
        <v>163935.87856807088</v>
      </c>
      <c r="I56" s="52">
        <f t="shared" si="30"/>
        <v>0</v>
      </c>
      <c r="J56" s="52"/>
      <c r="K56" s="129"/>
      <c r="L56" s="54">
        <f t="shared" si="31"/>
        <v>0</v>
      </c>
      <c r="M56" s="129"/>
      <c r="N56" s="54">
        <f t="shared" si="32"/>
        <v>0</v>
      </c>
      <c r="O56" s="54">
        <f t="shared" si="33"/>
        <v>0</v>
      </c>
      <c r="P56" s="1"/>
    </row>
    <row r="57" spans="2:17" ht="12.5">
      <c r="B57" s="7" t="str">
        <f t="shared" si="5"/>
        <v/>
      </c>
      <c r="C57" s="50">
        <f>IF(D11="","-",+C56+1)</f>
        <v>2050</v>
      </c>
      <c r="D57" s="55">
        <f>IF(F56+SUM(E$17:E56)=D$10,F56,D$10-SUM(E$17:E56))</f>
        <v>405283.61108237843</v>
      </c>
      <c r="E57" s="378">
        <f>IF(+I14&lt;F56,I14,D57)</f>
        <v>108980.43181818182</v>
      </c>
      <c r="F57" s="55">
        <f t="shared" si="29"/>
        <v>296303.1792641966</v>
      </c>
      <c r="G57" s="379">
        <f t="shared" si="34"/>
        <v>150909.76014642545</v>
      </c>
      <c r="H57" s="364">
        <f t="shared" si="35"/>
        <v>150909.76014642545</v>
      </c>
      <c r="I57" s="52">
        <f t="shared" si="30"/>
        <v>0</v>
      </c>
      <c r="J57" s="52"/>
      <c r="K57" s="129"/>
      <c r="L57" s="54">
        <f t="shared" si="31"/>
        <v>0</v>
      </c>
      <c r="M57" s="129"/>
      <c r="N57" s="54">
        <f t="shared" si="32"/>
        <v>0</v>
      </c>
      <c r="O57" s="54">
        <f t="shared" si="33"/>
        <v>0</v>
      </c>
      <c r="P57" s="1"/>
    </row>
    <row r="58" spans="2:17" ht="12.5">
      <c r="B58" s="7" t="str">
        <f t="shared" si="5"/>
        <v/>
      </c>
      <c r="C58" s="50">
        <f>IF(D11="","-",+C57+1)</f>
        <v>2051</v>
      </c>
      <c r="D58" s="55">
        <f>IF(F57+SUM(E$17:E57)=D$10,F57,D$10-SUM(E$17:E57))</f>
        <v>296303.1792641966</v>
      </c>
      <c r="E58" s="378">
        <f>IF(+I14&lt;F57,I14,D58)</f>
        <v>108980.43181818182</v>
      </c>
      <c r="F58" s="55">
        <f t="shared" si="29"/>
        <v>187322.74744601478</v>
      </c>
      <c r="G58" s="379">
        <f t="shared" si="34"/>
        <v>137883.64172478</v>
      </c>
      <c r="H58" s="364">
        <f t="shared" si="35"/>
        <v>137883.64172478</v>
      </c>
      <c r="I58" s="52">
        <f t="shared" si="30"/>
        <v>0</v>
      </c>
      <c r="J58" s="52"/>
      <c r="K58" s="129"/>
      <c r="L58" s="54">
        <f t="shared" si="31"/>
        <v>0</v>
      </c>
      <c r="M58" s="129"/>
      <c r="N58" s="54">
        <f t="shared" si="32"/>
        <v>0</v>
      </c>
      <c r="O58" s="54">
        <f t="shared" si="33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5"/>
        <v/>
      </c>
      <c r="C59" s="50">
        <f>IF(D11="","-",+C58+1)</f>
        <v>2052</v>
      </c>
      <c r="D59" s="55">
        <f>IF(F58+SUM(E$17:E58)=D$10,F58,D$10-SUM(E$17:E58))</f>
        <v>187322.74744601478</v>
      </c>
      <c r="E59" s="378">
        <f>IF(+I14&lt;F58,I14,D59)</f>
        <v>108980.43181818182</v>
      </c>
      <c r="F59" s="55">
        <f t="shared" si="29"/>
        <v>78342.315627832955</v>
      </c>
      <c r="G59" s="379">
        <f t="shared" si="34"/>
        <v>124857.52330313454</v>
      </c>
      <c r="H59" s="364">
        <f t="shared" si="35"/>
        <v>124857.52330313454</v>
      </c>
      <c r="I59" s="52">
        <f t="shared" si="30"/>
        <v>0</v>
      </c>
      <c r="J59" s="52"/>
      <c r="K59" s="129"/>
      <c r="L59" s="54">
        <f t="shared" si="31"/>
        <v>0</v>
      </c>
      <c r="M59" s="129"/>
      <c r="N59" s="54">
        <f t="shared" si="32"/>
        <v>0</v>
      </c>
      <c r="O59" s="54">
        <f t="shared" si="33"/>
        <v>0</v>
      </c>
      <c r="P59" s="1"/>
    </row>
    <row r="60" spans="2:17" ht="12.5">
      <c r="B60" s="7" t="str">
        <f t="shared" si="5"/>
        <v/>
      </c>
      <c r="C60" s="50">
        <f>IF(D11="","-",+C59+1)</f>
        <v>2053</v>
      </c>
      <c r="D60" s="55">
        <f>IF(F59+SUM(E$17:E59)=D$10,F59,D$10-SUM(E$17:E59))</f>
        <v>78342.315627832955</v>
      </c>
      <c r="E60" s="378">
        <f>IF(+I14&lt;F59,I14,D60)</f>
        <v>78342.315627832955</v>
      </c>
      <c r="F60" s="55">
        <f t="shared" si="29"/>
        <v>0</v>
      </c>
      <c r="G60" s="379">
        <f t="shared" si="34"/>
        <v>83024.331764897943</v>
      </c>
      <c r="H60" s="364">
        <f t="shared" si="35"/>
        <v>83024.331764897943</v>
      </c>
      <c r="I60" s="52">
        <f t="shared" si="30"/>
        <v>0</v>
      </c>
      <c r="J60" s="52"/>
      <c r="K60" s="129"/>
      <c r="L60" s="54">
        <f t="shared" si="31"/>
        <v>0</v>
      </c>
      <c r="M60" s="129"/>
      <c r="N60" s="54">
        <f t="shared" si="32"/>
        <v>0</v>
      </c>
      <c r="O60" s="54">
        <f t="shared" si="33"/>
        <v>0</v>
      </c>
      <c r="P60" s="1"/>
    </row>
    <row r="61" spans="2:17" ht="12.5">
      <c r="B61" s="7" t="str">
        <f t="shared" si="5"/>
        <v/>
      </c>
      <c r="C61" s="50">
        <f>IF(D11="","-",+C60+1)</f>
        <v>2054</v>
      </c>
      <c r="D61" s="55">
        <f>IF(F60+SUM(E$17:E60)=D$10,F60,D$10-SUM(E$17:E60))</f>
        <v>0</v>
      </c>
      <c r="E61" s="378">
        <f>IF(+I14&lt;F60,I14,D61)</f>
        <v>0</v>
      </c>
      <c r="F61" s="55">
        <f t="shared" si="29"/>
        <v>0</v>
      </c>
      <c r="G61" s="380">
        <f t="shared" si="34"/>
        <v>0</v>
      </c>
      <c r="H61" s="364">
        <f t="shared" si="35"/>
        <v>0</v>
      </c>
      <c r="I61" s="52">
        <f t="shared" si="30"/>
        <v>0</v>
      </c>
      <c r="J61" s="52"/>
      <c r="K61" s="129"/>
      <c r="L61" s="54">
        <f t="shared" si="31"/>
        <v>0</v>
      </c>
      <c r="M61" s="129"/>
      <c r="N61" s="54">
        <f t="shared" si="32"/>
        <v>0</v>
      </c>
      <c r="O61" s="54">
        <f t="shared" si="33"/>
        <v>0</v>
      </c>
      <c r="P61" s="1"/>
    </row>
    <row r="62" spans="2:17" ht="12.5">
      <c r="B62" s="7" t="str">
        <f t="shared" si="5"/>
        <v/>
      </c>
      <c r="C62" s="50">
        <f>IF(D11="","-",+C61+1)</f>
        <v>2055</v>
      </c>
      <c r="D62" s="55">
        <f>IF(F61+SUM(E$17:E61)=D$10,F61,D$10-SUM(E$17:E61))</f>
        <v>0</v>
      </c>
      <c r="E62" s="378">
        <f>IF(+I14&lt;F61,I14,D62)</f>
        <v>0</v>
      </c>
      <c r="F62" s="55">
        <f t="shared" si="29"/>
        <v>0</v>
      </c>
      <c r="G62" s="380">
        <f t="shared" si="34"/>
        <v>0</v>
      </c>
      <c r="H62" s="364">
        <f t="shared" si="35"/>
        <v>0</v>
      </c>
      <c r="I62" s="52">
        <f t="shared" si="30"/>
        <v>0</v>
      </c>
      <c r="J62" s="52"/>
      <c r="K62" s="129"/>
      <c r="L62" s="54">
        <f t="shared" si="31"/>
        <v>0</v>
      </c>
      <c r="M62" s="129"/>
      <c r="N62" s="54">
        <f t="shared" si="32"/>
        <v>0</v>
      </c>
      <c r="O62" s="54">
        <f t="shared" si="33"/>
        <v>0</v>
      </c>
      <c r="P62" s="1"/>
    </row>
    <row r="63" spans="2:17" ht="12.5">
      <c r="B63" s="7" t="str">
        <f t="shared" si="5"/>
        <v/>
      </c>
      <c r="C63" s="50">
        <f>IF(D11="","-",+C62+1)</f>
        <v>2056</v>
      </c>
      <c r="D63" s="55">
        <f>IF(F62+SUM(E$17:E62)=D$10,F62,D$10-SUM(E$17:E62))</f>
        <v>0</v>
      </c>
      <c r="E63" s="378">
        <f>IF(+I14&lt;F62,I14,D63)</f>
        <v>0</v>
      </c>
      <c r="F63" s="55">
        <f t="shared" si="29"/>
        <v>0</v>
      </c>
      <c r="G63" s="380">
        <f t="shared" si="34"/>
        <v>0</v>
      </c>
      <c r="H63" s="364">
        <f t="shared" si="35"/>
        <v>0</v>
      </c>
      <c r="I63" s="52">
        <f t="shared" si="30"/>
        <v>0</v>
      </c>
      <c r="J63" s="52"/>
      <c r="K63" s="129"/>
      <c r="L63" s="54">
        <f t="shared" si="31"/>
        <v>0</v>
      </c>
      <c r="M63" s="129"/>
      <c r="N63" s="54">
        <f t="shared" si="32"/>
        <v>0</v>
      </c>
      <c r="O63" s="54">
        <f t="shared" si="33"/>
        <v>0</v>
      </c>
      <c r="P63" s="1"/>
    </row>
    <row r="64" spans="2:17" ht="12.5">
      <c r="B64" s="7" t="str">
        <f t="shared" si="5"/>
        <v/>
      </c>
      <c r="C64" s="50">
        <f>IF(D11="","-",+C63+1)</f>
        <v>2057</v>
      </c>
      <c r="D64" s="55">
        <f>IF(F63+SUM(E$17:E63)=D$10,F63,D$10-SUM(E$17:E63))</f>
        <v>0</v>
      </c>
      <c r="E64" s="378">
        <f>IF(+I14&lt;F63,I14,D64)</f>
        <v>0</v>
      </c>
      <c r="F64" s="55">
        <f t="shared" si="29"/>
        <v>0</v>
      </c>
      <c r="G64" s="380">
        <f t="shared" si="34"/>
        <v>0</v>
      </c>
      <c r="H64" s="364">
        <f t="shared" si="35"/>
        <v>0</v>
      </c>
      <c r="I64" s="52">
        <f t="shared" si="30"/>
        <v>0</v>
      </c>
      <c r="J64" s="52"/>
      <c r="K64" s="129"/>
      <c r="L64" s="54">
        <f t="shared" si="31"/>
        <v>0</v>
      </c>
      <c r="M64" s="129"/>
      <c r="N64" s="54">
        <f t="shared" si="32"/>
        <v>0</v>
      </c>
      <c r="O64" s="54">
        <f t="shared" si="33"/>
        <v>0</v>
      </c>
      <c r="P64" s="1"/>
    </row>
    <row r="65" spans="1:16" ht="12.5">
      <c r="B65" s="7" t="str">
        <f t="shared" si="5"/>
        <v/>
      </c>
      <c r="C65" s="50">
        <f>IF(D11="","-",+C64+1)</f>
        <v>2058</v>
      </c>
      <c r="D65" s="55">
        <f>IF(F64+SUM(E$17:E64)=D$10,F64,D$10-SUM(E$17:E64))</f>
        <v>0</v>
      </c>
      <c r="E65" s="378">
        <f>IF(+I14&lt;F64,I14,D65)</f>
        <v>0</v>
      </c>
      <c r="F65" s="55">
        <f t="shared" si="29"/>
        <v>0</v>
      </c>
      <c r="G65" s="380">
        <f t="shared" si="34"/>
        <v>0</v>
      </c>
      <c r="H65" s="364">
        <f t="shared" si="35"/>
        <v>0</v>
      </c>
      <c r="I65" s="52">
        <f t="shared" si="30"/>
        <v>0</v>
      </c>
      <c r="J65" s="52"/>
      <c r="K65" s="129"/>
      <c r="L65" s="54">
        <f t="shared" si="31"/>
        <v>0</v>
      </c>
      <c r="M65" s="129"/>
      <c r="N65" s="54">
        <f t="shared" si="32"/>
        <v>0</v>
      </c>
      <c r="O65" s="54">
        <f t="shared" si="33"/>
        <v>0</v>
      </c>
      <c r="P65" s="1"/>
    </row>
    <row r="66" spans="1:16" ht="12.5">
      <c r="B66" s="7" t="str">
        <f t="shared" si="5"/>
        <v/>
      </c>
      <c r="C66" s="50">
        <f>IF(D11="","-",+C65+1)</f>
        <v>2059</v>
      </c>
      <c r="D66" s="55">
        <f>IF(F65+SUM(E$17:E65)=D$10,F65,D$10-SUM(E$17:E65))</f>
        <v>0</v>
      </c>
      <c r="E66" s="378">
        <f>IF(+I14&lt;F65,I14,D66)</f>
        <v>0</v>
      </c>
      <c r="F66" s="55">
        <f t="shared" si="29"/>
        <v>0</v>
      </c>
      <c r="G66" s="380">
        <f t="shared" si="34"/>
        <v>0</v>
      </c>
      <c r="H66" s="364">
        <f t="shared" si="35"/>
        <v>0</v>
      </c>
      <c r="I66" s="52">
        <f t="shared" si="30"/>
        <v>0</v>
      </c>
      <c r="J66" s="52"/>
      <c r="K66" s="129"/>
      <c r="L66" s="54">
        <f t="shared" si="31"/>
        <v>0</v>
      </c>
      <c r="M66" s="129"/>
      <c r="N66" s="54">
        <f t="shared" si="32"/>
        <v>0</v>
      </c>
      <c r="O66" s="54">
        <f t="shared" si="33"/>
        <v>0</v>
      </c>
      <c r="P66" s="1"/>
    </row>
    <row r="67" spans="1:16" ht="12.5">
      <c r="B67" s="7" t="str">
        <f t="shared" si="5"/>
        <v/>
      </c>
      <c r="C67" s="50">
        <f>IF(D11="","-",+C66+1)</f>
        <v>2060</v>
      </c>
      <c r="D67" s="55">
        <f>IF(F66+SUM(E$17:E66)=D$10,F66,D$10-SUM(E$17:E66))</f>
        <v>0</v>
      </c>
      <c r="E67" s="378">
        <f>IF(+I14&lt;F66,I14,D67)</f>
        <v>0</v>
      </c>
      <c r="F67" s="55">
        <f t="shared" si="29"/>
        <v>0</v>
      </c>
      <c r="G67" s="380">
        <f t="shared" si="34"/>
        <v>0</v>
      </c>
      <c r="H67" s="364">
        <f t="shared" si="35"/>
        <v>0</v>
      </c>
      <c r="I67" s="52">
        <f t="shared" si="30"/>
        <v>0</v>
      </c>
      <c r="J67" s="52"/>
      <c r="K67" s="129"/>
      <c r="L67" s="54">
        <f t="shared" si="31"/>
        <v>0</v>
      </c>
      <c r="M67" s="129"/>
      <c r="N67" s="54">
        <f t="shared" si="32"/>
        <v>0</v>
      </c>
      <c r="O67" s="54">
        <f t="shared" si="33"/>
        <v>0</v>
      </c>
      <c r="P67" s="1"/>
    </row>
    <row r="68" spans="1:16" ht="12.5">
      <c r="B68" s="7" t="str">
        <f t="shared" si="5"/>
        <v/>
      </c>
      <c r="C68" s="50">
        <f>IF(D11="","-",+C67+1)</f>
        <v>2061</v>
      </c>
      <c r="D68" s="55">
        <f>IF(F67+SUM(E$17:E67)=D$10,F67,D$10-SUM(E$17:E67))</f>
        <v>0</v>
      </c>
      <c r="E68" s="378">
        <f>IF(+I14&lt;F67,I14,D68)</f>
        <v>0</v>
      </c>
      <c r="F68" s="55">
        <f t="shared" si="29"/>
        <v>0</v>
      </c>
      <c r="G68" s="380">
        <f t="shared" si="34"/>
        <v>0</v>
      </c>
      <c r="H68" s="364">
        <f t="shared" si="35"/>
        <v>0</v>
      </c>
      <c r="I68" s="52">
        <f t="shared" si="30"/>
        <v>0</v>
      </c>
      <c r="J68" s="52"/>
      <c r="K68" s="129"/>
      <c r="L68" s="54">
        <f t="shared" si="31"/>
        <v>0</v>
      </c>
      <c r="M68" s="129"/>
      <c r="N68" s="54">
        <f t="shared" si="32"/>
        <v>0</v>
      </c>
      <c r="O68" s="54">
        <f t="shared" si="33"/>
        <v>0</v>
      </c>
      <c r="P68" s="1"/>
    </row>
    <row r="69" spans="1:16" ht="12.5">
      <c r="B69" s="7" t="str">
        <f t="shared" si="5"/>
        <v/>
      </c>
      <c r="C69" s="50">
        <f>IF(D11="","-",+C68+1)</f>
        <v>2062</v>
      </c>
      <c r="D69" s="55">
        <f>IF(F68+SUM(E$17:E68)=D$10,F68,D$10-SUM(E$17:E68))</f>
        <v>0</v>
      </c>
      <c r="E69" s="378">
        <f>IF(+I14&lt;F68,I14,D69)</f>
        <v>0</v>
      </c>
      <c r="F69" s="55">
        <f t="shared" si="29"/>
        <v>0</v>
      </c>
      <c r="G69" s="380">
        <f t="shared" si="34"/>
        <v>0</v>
      </c>
      <c r="H69" s="364">
        <f t="shared" si="35"/>
        <v>0</v>
      </c>
      <c r="I69" s="52">
        <f t="shared" si="30"/>
        <v>0</v>
      </c>
      <c r="J69" s="52"/>
      <c r="K69" s="129"/>
      <c r="L69" s="54">
        <f t="shared" si="31"/>
        <v>0</v>
      </c>
      <c r="M69" s="129"/>
      <c r="N69" s="54">
        <f t="shared" si="32"/>
        <v>0</v>
      </c>
      <c r="O69" s="54">
        <f t="shared" si="33"/>
        <v>0</v>
      </c>
      <c r="P69" s="1"/>
    </row>
    <row r="70" spans="1:16" ht="12.5">
      <c r="B70" s="7" t="str">
        <f t="shared" si="5"/>
        <v/>
      </c>
      <c r="C70" s="50">
        <f>IF(D11="","-",+C69+1)</f>
        <v>2063</v>
      </c>
      <c r="D70" s="55">
        <f>IF(F69+SUM(E$17:E69)=D$10,F69,D$10-SUM(E$17:E69))</f>
        <v>0</v>
      </c>
      <c r="E70" s="378">
        <f>IF(+I14&lt;F69,I14,D70)</f>
        <v>0</v>
      </c>
      <c r="F70" s="55">
        <f t="shared" si="29"/>
        <v>0</v>
      </c>
      <c r="G70" s="380">
        <f t="shared" si="34"/>
        <v>0</v>
      </c>
      <c r="H70" s="364">
        <f t="shared" si="35"/>
        <v>0</v>
      </c>
      <c r="I70" s="52">
        <f t="shared" si="30"/>
        <v>0</v>
      </c>
      <c r="J70" s="52"/>
      <c r="K70" s="129"/>
      <c r="L70" s="54">
        <f t="shared" si="31"/>
        <v>0</v>
      </c>
      <c r="M70" s="129"/>
      <c r="N70" s="54">
        <f t="shared" si="32"/>
        <v>0</v>
      </c>
      <c r="O70" s="54">
        <f t="shared" si="33"/>
        <v>0</v>
      </c>
      <c r="P70" s="1"/>
    </row>
    <row r="71" spans="1:16" ht="12.5">
      <c r="B71" s="7" t="str">
        <f t="shared" si="5"/>
        <v/>
      </c>
      <c r="C71" s="50">
        <f>IF(D11="","-",+C70+1)</f>
        <v>2064</v>
      </c>
      <c r="D71" s="55">
        <f>IF(F70+SUM(E$17:E70)=D$10,F70,D$10-SUM(E$17:E70))</f>
        <v>0</v>
      </c>
      <c r="E71" s="378">
        <f>IF(+I14&lt;F70,I14,D71)</f>
        <v>0</v>
      </c>
      <c r="F71" s="55">
        <f t="shared" si="29"/>
        <v>0</v>
      </c>
      <c r="G71" s="380">
        <f t="shared" si="34"/>
        <v>0</v>
      </c>
      <c r="H71" s="364">
        <f t="shared" si="35"/>
        <v>0</v>
      </c>
      <c r="I71" s="52">
        <f t="shared" si="30"/>
        <v>0</v>
      </c>
      <c r="J71" s="52"/>
      <c r="K71" s="129"/>
      <c r="L71" s="54">
        <f t="shared" si="31"/>
        <v>0</v>
      </c>
      <c r="M71" s="129"/>
      <c r="N71" s="54">
        <f t="shared" si="32"/>
        <v>0</v>
      </c>
      <c r="O71" s="54">
        <f t="shared" si="33"/>
        <v>0</v>
      </c>
      <c r="P71" s="1"/>
    </row>
    <row r="72" spans="1:16" ht="13" thickBot="1">
      <c r="B72" s="7" t="str">
        <f t="shared" si="5"/>
        <v/>
      </c>
      <c r="C72" s="59">
        <f>IF(D11="","-",+C71+1)</f>
        <v>2065</v>
      </c>
      <c r="D72" s="60">
        <f>IF(F71+SUM(E$17:E71)=D$10,F71,D$10-SUM(E$17:E71))</f>
        <v>0</v>
      </c>
      <c r="E72" s="381">
        <f>IF(+I14&lt;F71,I14,D72)</f>
        <v>0</v>
      </c>
      <c r="F72" s="60">
        <f t="shared" si="29"/>
        <v>0</v>
      </c>
      <c r="G72" s="382">
        <f t="shared" si="34"/>
        <v>0</v>
      </c>
      <c r="H72" s="362">
        <f t="shared" si="35"/>
        <v>0</v>
      </c>
      <c r="I72" s="63">
        <f t="shared" si="30"/>
        <v>0</v>
      </c>
      <c r="J72" s="52"/>
      <c r="K72" s="130"/>
      <c r="L72" s="64">
        <f t="shared" si="31"/>
        <v>0</v>
      </c>
      <c r="M72" s="130"/>
      <c r="N72" s="64">
        <f t="shared" si="32"/>
        <v>0</v>
      </c>
      <c r="O72" s="64">
        <f t="shared" si="33"/>
        <v>0</v>
      </c>
      <c r="P72" s="1"/>
    </row>
    <row r="73" spans="1:16" ht="12.5">
      <c r="C73" s="12" t="s">
        <v>78</v>
      </c>
      <c r="D73" s="293"/>
      <c r="E73" s="293">
        <f>SUM(E17:E72)</f>
        <v>4795138.9999999972</v>
      </c>
      <c r="F73" s="293"/>
      <c r="G73" s="293">
        <f>SUM(G17:G72)</f>
        <v>17899657.268455803</v>
      </c>
      <c r="H73" s="293">
        <f>SUM(H17:H72)</f>
        <v>17899657.268455803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7.5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23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489588.8391092071</v>
      </c>
      <c r="N87" s="387">
        <f>IF(J92&lt;D11,0,VLOOKUP(J92,C17:O72,11))</f>
        <v>489588.8391092071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508171.64694314793</v>
      </c>
      <c r="N88" s="390">
        <f>IF(J92&lt;D11,0,VLOOKUP(J92,C99:P154,7))</f>
        <v>508171.64694314793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27" t="str">
        <f>D7</f>
        <v>Reconductor: Greggton-Lake Lamond &amp; Quitman-Westwood 69 kV lines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18582.807833940838</v>
      </c>
      <c r="N89" s="392">
        <f>+N88-N87</f>
        <v>18582.807833940838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TP2008015</v>
      </c>
      <c r="E91" s="76" t="str">
        <f>E9</f>
        <v xml:space="preserve">SPP Project ID = </v>
      </c>
      <c r="F91" s="76" t="str">
        <f>F9</f>
        <v>292 &amp; 297</v>
      </c>
      <c r="G91" s="76"/>
      <c r="H91" s="76"/>
      <c r="I91" s="76"/>
      <c r="J91" s="95"/>
      <c r="Q91" s="1"/>
    </row>
    <row r="92" spans="1:17" ht="13">
      <c r="C92" s="34" t="s">
        <v>51</v>
      </c>
      <c r="D92" s="363">
        <f>IF(D11=I10,0,D10)</f>
        <v>4795139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  <c r="Q92" s="1"/>
    </row>
    <row r="93" spans="1:17" ht="12.5">
      <c r="C93" s="34" t="s">
        <v>54</v>
      </c>
      <c r="D93" s="88">
        <f>IF(D11=I10,"",D11)</f>
        <v>2010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4">
        <f>IF(D11=I10,"",D12)</f>
        <v>6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108980.43181818182</v>
      </c>
      <c r="K96" s="293"/>
      <c r="L96" s="293"/>
      <c r="M96" s="293"/>
      <c r="N96" s="293"/>
      <c r="O96" s="293"/>
      <c r="P96" s="1"/>
      <c r="Q96" s="1"/>
    </row>
    <row r="97" spans="1:17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 ht="12.5">
      <c r="C99" s="50">
        <f>IF(D93= "","-",D93)</f>
        <v>2010</v>
      </c>
      <c r="D99" s="133">
        <v>0</v>
      </c>
      <c r="E99" s="376">
        <v>58477.304878048781</v>
      </c>
      <c r="F99" s="137">
        <v>4736661.6951219514</v>
      </c>
      <c r="G99" s="140">
        <v>2368330.8475609757</v>
      </c>
      <c r="H99" s="397">
        <v>449455.76564845629</v>
      </c>
      <c r="I99" s="398">
        <v>449455.76564845629</v>
      </c>
      <c r="J99" s="154">
        <f t="shared" ref="J99:J130" si="36">+I99-H99</f>
        <v>0</v>
      </c>
      <c r="K99" s="54"/>
      <c r="L99" s="112">
        <f t="shared" ref="L99:L104" si="37">H99</f>
        <v>449455.76564845629</v>
      </c>
      <c r="M99" s="53">
        <f t="shared" ref="M99:M130" si="38">IF(L99&lt;&gt;0,+H99-L99,0)</f>
        <v>0</v>
      </c>
      <c r="N99" s="112">
        <f t="shared" ref="N99:N104" si="39">I99</f>
        <v>449455.76564845629</v>
      </c>
      <c r="O99" s="53">
        <f t="shared" ref="O99:O130" si="40">IF(N99&lt;&gt;0,+I99-N99,0)</f>
        <v>0</v>
      </c>
      <c r="P99" s="53">
        <f t="shared" ref="P99:P130" si="41">+O99-M99</f>
        <v>0</v>
      </c>
      <c r="Q99" s="1"/>
    </row>
    <row r="100" spans="1:17" ht="12.5">
      <c r="B100" s="7" t="str">
        <f>IF(D100=F99,"","IU")</f>
        <v/>
      </c>
      <c r="C100" s="50">
        <f>IF(D93="","-",+C99+1)</f>
        <v>2011</v>
      </c>
      <c r="D100" s="133">
        <v>4736661.6951219514</v>
      </c>
      <c r="E100" s="376">
        <v>114169.97619047618</v>
      </c>
      <c r="F100" s="137">
        <v>4622491.7189314757</v>
      </c>
      <c r="G100" s="137">
        <v>4679576.7070267135</v>
      </c>
      <c r="H100" s="376">
        <v>817884.25936798821</v>
      </c>
      <c r="I100" s="375">
        <v>817884.25936798821</v>
      </c>
      <c r="J100" s="154">
        <f t="shared" si="36"/>
        <v>0</v>
      </c>
      <c r="K100" s="54"/>
      <c r="L100" s="113">
        <f t="shared" si="37"/>
        <v>817884.25936798821</v>
      </c>
      <c r="M100" s="54">
        <f t="shared" si="38"/>
        <v>0</v>
      </c>
      <c r="N100" s="113">
        <f t="shared" si="39"/>
        <v>817884.25936798821</v>
      </c>
      <c r="O100" s="54">
        <f t="shared" si="40"/>
        <v>0</v>
      </c>
      <c r="P100" s="54">
        <f t="shared" si="41"/>
        <v>0</v>
      </c>
      <c r="Q100" s="1"/>
    </row>
    <row r="101" spans="1:17" ht="12.5">
      <c r="B101" s="7" t="str">
        <f t="shared" ref="B101:B154" si="42">IF(D101=F100,"","IU")</f>
        <v/>
      </c>
      <c r="C101" s="50">
        <f>IF(D93="","-",+C100+1)</f>
        <v>2012</v>
      </c>
      <c r="D101" s="133">
        <v>4622491.7189314757</v>
      </c>
      <c r="E101" s="376">
        <v>114169.97619047618</v>
      </c>
      <c r="F101" s="137">
        <v>4508321.7427409999</v>
      </c>
      <c r="G101" s="137">
        <v>4565406.7308362378</v>
      </c>
      <c r="H101" s="376">
        <v>785987.52688164287</v>
      </c>
      <c r="I101" s="375">
        <v>785987.52688164287</v>
      </c>
      <c r="J101" s="154">
        <f t="shared" si="36"/>
        <v>0</v>
      </c>
      <c r="K101" s="54"/>
      <c r="L101" s="113">
        <f t="shared" si="37"/>
        <v>785987.52688164287</v>
      </c>
      <c r="M101" s="54">
        <f t="shared" si="38"/>
        <v>0</v>
      </c>
      <c r="N101" s="113">
        <f t="shared" si="39"/>
        <v>785987.52688164287</v>
      </c>
      <c r="O101" s="54">
        <f t="shared" si="40"/>
        <v>0</v>
      </c>
      <c r="P101" s="54">
        <f t="shared" si="41"/>
        <v>0</v>
      </c>
      <c r="Q101" s="1"/>
    </row>
    <row r="102" spans="1:17" ht="12.5">
      <c r="B102" s="7" t="str">
        <f t="shared" si="42"/>
        <v/>
      </c>
      <c r="C102" s="50">
        <f>IF(D93="","-",+C101+1)</f>
        <v>2013</v>
      </c>
      <c r="D102" s="133">
        <v>4508321.7427409999</v>
      </c>
      <c r="E102" s="376">
        <v>114169.97619047618</v>
      </c>
      <c r="F102" s="137">
        <v>4394151.7665505242</v>
      </c>
      <c r="G102" s="137">
        <v>4451236.754645762</v>
      </c>
      <c r="H102" s="376">
        <v>716385.37410888227</v>
      </c>
      <c r="I102" s="375">
        <v>716385.37410888227</v>
      </c>
      <c r="J102" s="154">
        <v>0</v>
      </c>
      <c r="K102" s="54"/>
      <c r="L102" s="113">
        <f t="shared" si="37"/>
        <v>716385.37410888227</v>
      </c>
      <c r="M102" s="54">
        <f t="shared" ref="M102:M107" si="43">IF(L102&lt;&gt;0,+H102-L102,0)</f>
        <v>0</v>
      </c>
      <c r="N102" s="113">
        <f t="shared" si="39"/>
        <v>716385.37410888227</v>
      </c>
      <c r="O102" s="54">
        <f>IF(N102&lt;&gt;0,+I102-N102,0)</f>
        <v>0</v>
      </c>
      <c r="P102" s="54">
        <f>+O102-M102</f>
        <v>0</v>
      </c>
      <c r="Q102" s="1"/>
    </row>
    <row r="103" spans="1:17" ht="12.5">
      <c r="B103" s="7" t="str">
        <f t="shared" si="42"/>
        <v/>
      </c>
      <c r="C103" s="50">
        <f>IF(D93="","-",+C102+1)</f>
        <v>2014</v>
      </c>
      <c r="D103" s="133">
        <v>4394151.7665505242</v>
      </c>
      <c r="E103" s="376">
        <v>114169.97619047618</v>
      </c>
      <c r="F103" s="137">
        <v>4279981.7903600484</v>
      </c>
      <c r="G103" s="137">
        <v>4337066.7784552863</v>
      </c>
      <c r="H103" s="376">
        <v>703679.09794769238</v>
      </c>
      <c r="I103" s="375">
        <v>703679.09794769238</v>
      </c>
      <c r="J103" s="54">
        <v>0</v>
      </c>
      <c r="K103" s="54"/>
      <c r="L103" s="113">
        <f t="shared" si="37"/>
        <v>703679.09794769238</v>
      </c>
      <c r="M103" s="54">
        <f t="shared" si="43"/>
        <v>0</v>
      </c>
      <c r="N103" s="113">
        <f t="shared" si="39"/>
        <v>703679.09794769238</v>
      </c>
      <c r="O103" s="54">
        <f>IF(N103&lt;&gt;0,+I103-N103,0)</f>
        <v>0</v>
      </c>
      <c r="P103" s="54">
        <f>+O103-M103</f>
        <v>0</v>
      </c>
      <c r="Q103" s="1"/>
    </row>
    <row r="104" spans="1:17" ht="12.5">
      <c r="B104" s="7" t="str">
        <f t="shared" si="42"/>
        <v/>
      </c>
      <c r="C104" s="50">
        <f>IF(D93="","-",+C103+1)</f>
        <v>2015</v>
      </c>
      <c r="D104" s="133">
        <v>4279981.7903600484</v>
      </c>
      <c r="E104" s="376">
        <v>114169.97619047618</v>
      </c>
      <c r="F104" s="137">
        <v>4165811.8141695722</v>
      </c>
      <c r="G104" s="137">
        <v>4222896.8022648105</v>
      </c>
      <c r="H104" s="376">
        <v>670616.34920679952</v>
      </c>
      <c r="I104" s="375">
        <v>670616.34920679952</v>
      </c>
      <c r="J104" s="54">
        <f t="shared" si="36"/>
        <v>0</v>
      </c>
      <c r="K104" s="54"/>
      <c r="L104" s="113">
        <f t="shared" si="37"/>
        <v>670616.34920679952</v>
      </c>
      <c r="M104" s="54">
        <f t="shared" si="43"/>
        <v>0</v>
      </c>
      <c r="N104" s="113">
        <f t="shared" si="39"/>
        <v>670616.34920679952</v>
      </c>
      <c r="O104" s="54">
        <f>IF(N104&lt;&gt;0,+I104-N104,0)</f>
        <v>0</v>
      </c>
      <c r="P104" s="54">
        <f>+O104-M104</f>
        <v>0</v>
      </c>
      <c r="Q104" s="1"/>
    </row>
    <row r="105" spans="1:17" ht="12.5">
      <c r="B105" s="7" t="str">
        <f t="shared" si="42"/>
        <v/>
      </c>
      <c r="C105" s="50">
        <f>IF(D93="","-",+C104+1)</f>
        <v>2016</v>
      </c>
      <c r="D105" s="133">
        <v>4165811.8141695722</v>
      </c>
      <c r="E105" s="376">
        <v>111514.86046511628</v>
      </c>
      <c r="F105" s="137">
        <v>4054296.9537044559</v>
      </c>
      <c r="G105" s="137">
        <v>4110054.3839370143</v>
      </c>
      <c r="H105" s="376">
        <v>633286.2163704508</v>
      </c>
      <c r="I105" s="375">
        <v>633286.2163704508</v>
      </c>
      <c r="J105" s="54">
        <f t="shared" si="36"/>
        <v>0</v>
      </c>
      <c r="K105" s="54"/>
      <c r="L105" s="113">
        <f t="shared" ref="L105:L110" si="44">H105</f>
        <v>633286.2163704508</v>
      </c>
      <c r="M105" s="54">
        <f t="shared" si="43"/>
        <v>0</v>
      </c>
      <c r="N105" s="113">
        <f t="shared" ref="N105:N110" si="45">I105</f>
        <v>633286.2163704508</v>
      </c>
      <c r="O105" s="54">
        <f>IF(N105&lt;&gt;0,+I105-N105,0)</f>
        <v>0</v>
      </c>
      <c r="P105" s="54">
        <f>+O105-M105</f>
        <v>0</v>
      </c>
      <c r="Q105" s="1"/>
    </row>
    <row r="106" spans="1:17" ht="12.5">
      <c r="B106" s="7" t="str">
        <f t="shared" si="42"/>
        <v/>
      </c>
      <c r="C106" s="50">
        <f>IF(D93="","-",+C105+1)</f>
        <v>2017</v>
      </c>
      <c r="D106" s="133">
        <v>4054296.9537044559</v>
      </c>
      <c r="E106" s="376">
        <v>114169.97619047618</v>
      </c>
      <c r="F106" s="137">
        <v>3940126.9775139797</v>
      </c>
      <c r="G106" s="137">
        <v>3997211.965609218</v>
      </c>
      <c r="H106" s="376">
        <v>599717.14032488305</v>
      </c>
      <c r="I106" s="375">
        <v>599717.14032488305</v>
      </c>
      <c r="J106" s="54">
        <f t="shared" si="36"/>
        <v>0</v>
      </c>
      <c r="K106" s="54"/>
      <c r="L106" s="113">
        <f t="shared" si="44"/>
        <v>599717.14032488305</v>
      </c>
      <c r="M106" s="54">
        <f t="shared" si="43"/>
        <v>0</v>
      </c>
      <c r="N106" s="113">
        <f t="shared" si="45"/>
        <v>599717.14032488305</v>
      </c>
      <c r="O106" s="54">
        <f>IF(N106&lt;&gt;0,+I106-N106,0)</f>
        <v>0</v>
      </c>
      <c r="P106" s="54">
        <f>+O106-M106</f>
        <v>0</v>
      </c>
      <c r="Q106" s="1"/>
    </row>
    <row r="107" spans="1:17" ht="12.5">
      <c r="B107" s="7" t="str">
        <f t="shared" si="42"/>
        <v/>
      </c>
      <c r="C107" s="50">
        <f>IF(D93="","-",+C106+1)</f>
        <v>2018</v>
      </c>
      <c r="D107" s="133">
        <v>3940126.9775139797</v>
      </c>
      <c r="E107" s="376">
        <v>114169.97619047618</v>
      </c>
      <c r="F107" s="137">
        <v>3825957.0013235034</v>
      </c>
      <c r="G107" s="137">
        <v>3883041.9894187413</v>
      </c>
      <c r="H107" s="376">
        <v>524237.01720389316</v>
      </c>
      <c r="I107" s="375">
        <v>524237.01720389316</v>
      </c>
      <c r="J107" s="54">
        <f t="shared" si="36"/>
        <v>0</v>
      </c>
      <c r="K107" s="54"/>
      <c r="L107" s="113">
        <f t="shared" si="44"/>
        <v>524237.01720389316</v>
      </c>
      <c r="M107" s="54">
        <f t="shared" si="43"/>
        <v>0</v>
      </c>
      <c r="N107" s="113">
        <f t="shared" si="45"/>
        <v>524237.01720389316</v>
      </c>
      <c r="O107" s="54">
        <f t="shared" si="40"/>
        <v>0</v>
      </c>
      <c r="P107" s="54">
        <f t="shared" si="41"/>
        <v>0</v>
      </c>
      <c r="Q107" s="1"/>
    </row>
    <row r="108" spans="1:17" ht="12.5">
      <c r="B108" s="7" t="str">
        <f t="shared" si="42"/>
        <v/>
      </c>
      <c r="C108" s="50">
        <f>IF(D93="","-",+C107+1)</f>
        <v>2019</v>
      </c>
      <c r="D108" s="133">
        <v>3825957.0013235034</v>
      </c>
      <c r="E108" s="376">
        <v>111514.86046511628</v>
      </c>
      <c r="F108" s="137">
        <v>3714442.1408583871</v>
      </c>
      <c r="G108" s="137">
        <v>3770199.571090945</v>
      </c>
      <c r="H108" s="376">
        <v>515079.08312733757</v>
      </c>
      <c r="I108" s="375">
        <v>515079.08312733757</v>
      </c>
      <c r="J108" s="54">
        <f t="shared" si="36"/>
        <v>0</v>
      </c>
      <c r="K108" s="54"/>
      <c r="L108" s="113">
        <f t="shared" si="44"/>
        <v>515079.08312733757</v>
      </c>
      <c r="M108" s="54">
        <f t="shared" ref="M108" si="46">IF(L108&lt;&gt;0,+H108-L108,0)</f>
        <v>0</v>
      </c>
      <c r="N108" s="113">
        <f t="shared" si="45"/>
        <v>515079.08312733757</v>
      </c>
      <c r="O108" s="54">
        <f t="shared" si="40"/>
        <v>0</v>
      </c>
      <c r="P108" s="54">
        <f t="shared" si="41"/>
        <v>0</v>
      </c>
      <c r="Q108" s="1"/>
    </row>
    <row r="109" spans="1:17" ht="12.5">
      <c r="B109" s="7" t="str">
        <f t="shared" si="42"/>
        <v/>
      </c>
      <c r="C109" s="50">
        <f>IF(D93="","-",+C108+1)</f>
        <v>2020</v>
      </c>
      <c r="D109" s="133">
        <v>3714442.1408583871</v>
      </c>
      <c r="E109" s="376">
        <v>114169.97619047618</v>
      </c>
      <c r="F109" s="137">
        <v>3600272.1646679109</v>
      </c>
      <c r="G109" s="137">
        <v>3657357.1527631488</v>
      </c>
      <c r="H109" s="376">
        <v>507605.90193719347</v>
      </c>
      <c r="I109" s="375">
        <v>507605.90193719347</v>
      </c>
      <c r="J109" s="54">
        <f t="shared" si="36"/>
        <v>0</v>
      </c>
      <c r="K109" s="54"/>
      <c r="L109" s="113">
        <f t="shared" si="44"/>
        <v>507605.90193719347</v>
      </c>
      <c r="M109" s="54">
        <f t="shared" ref="M109" si="47">IF(L109&lt;&gt;0,+H109-L109,0)</f>
        <v>0</v>
      </c>
      <c r="N109" s="113">
        <f t="shared" si="45"/>
        <v>507605.90193719347</v>
      </c>
      <c r="O109" s="54">
        <f t="shared" si="40"/>
        <v>0</v>
      </c>
      <c r="P109" s="54">
        <f t="shared" si="41"/>
        <v>0</v>
      </c>
      <c r="Q109" s="1"/>
    </row>
    <row r="110" spans="1:17" ht="12.5">
      <c r="B110" s="7" t="str">
        <f t="shared" si="42"/>
        <v/>
      </c>
      <c r="C110" s="50">
        <f>IF(D93="","-",+C109+1)</f>
        <v>2021</v>
      </c>
      <c r="D110" s="133">
        <v>3600272.1646679109</v>
      </c>
      <c r="E110" s="376">
        <v>116954.60975609756</v>
      </c>
      <c r="F110" s="137">
        <v>3483317.5549118132</v>
      </c>
      <c r="G110" s="137">
        <v>3541794.8597898623</v>
      </c>
      <c r="H110" s="376">
        <v>518998.71323275828</v>
      </c>
      <c r="I110" s="375">
        <v>518998.71323275828</v>
      </c>
      <c r="J110" s="54">
        <f t="shared" si="36"/>
        <v>0</v>
      </c>
      <c r="K110" s="54"/>
      <c r="L110" s="113">
        <f t="shared" si="44"/>
        <v>518998.71323275828</v>
      </c>
      <c r="M110" s="54">
        <f t="shared" ref="M110" si="48">IF(L110&lt;&gt;0,+H110-L110,0)</f>
        <v>0</v>
      </c>
      <c r="N110" s="113">
        <f t="shared" si="45"/>
        <v>518998.71323275828</v>
      </c>
      <c r="O110" s="54">
        <f t="shared" si="40"/>
        <v>0</v>
      </c>
      <c r="P110" s="54">
        <f t="shared" si="41"/>
        <v>0</v>
      </c>
      <c r="Q110" s="1"/>
    </row>
    <row r="111" spans="1:17" ht="12.5">
      <c r="B111" s="7" t="str">
        <f t="shared" si="42"/>
        <v/>
      </c>
      <c r="C111" s="50">
        <f>IF(D93="","-",+C110+1)</f>
        <v>2022</v>
      </c>
      <c r="D111" s="133">
        <v>3483317.5549118132</v>
      </c>
      <c r="E111" s="376">
        <v>114169.97619047618</v>
      </c>
      <c r="F111" s="137">
        <v>3369147.578721337</v>
      </c>
      <c r="G111" s="137">
        <v>3426232.5668165749</v>
      </c>
      <c r="H111" s="376">
        <v>516607.86325041461</v>
      </c>
      <c r="I111" s="375">
        <v>516607.86325041461</v>
      </c>
      <c r="J111" s="54">
        <f t="shared" si="36"/>
        <v>0</v>
      </c>
      <c r="K111" s="54"/>
      <c r="L111" s="113">
        <f t="shared" ref="L111" si="49">H111</f>
        <v>516607.86325041461</v>
      </c>
      <c r="M111" s="54">
        <f t="shared" ref="M111" si="50">IF(L111&lt;&gt;0,+H111-L111,0)</f>
        <v>0</v>
      </c>
      <c r="N111" s="113">
        <f t="shared" ref="N111" si="51">I111</f>
        <v>516607.86325041461</v>
      </c>
      <c r="O111" s="54">
        <f t="shared" ref="O111" si="52">IF(N111&lt;&gt;0,+I111-N111,0)</f>
        <v>0</v>
      </c>
      <c r="P111" s="54">
        <f t="shared" ref="P111" si="53">+O111-M111</f>
        <v>0</v>
      </c>
      <c r="Q111" s="1"/>
    </row>
    <row r="112" spans="1:17" ht="12.5">
      <c r="B112" s="7" t="str">
        <f t="shared" si="42"/>
        <v/>
      </c>
      <c r="C112" s="50">
        <f>IF(D93="","-",+C111+1)</f>
        <v>2023</v>
      </c>
      <c r="D112" s="133">
        <v>3369147.578721337</v>
      </c>
      <c r="E112" s="376">
        <v>108980.43181818182</v>
      </c>
      <c r="F112" s="137">
        <v>3260167.1469031554</v>
      </c>
      <c r="G112" s="137">
        <v>3314657.3628122462</v>
      </c>
      <c r="H112" s="376">
        <v>517893.32371526345</v>
      </c>
      <c r="I112" s="375">
        <v>517893.32371526345</v>
      </c>
      <c r="J112" s="54">
        <f t="shared" si="36"/>
        <v>0</v>
      </c>
      <c r="K112" s="54"/>
      <c r="L112" s="113">
        <f t="shared" ref="L112" si="54">H112</f>
        <v>517893.32371526345</v>
      </c>
      <c r="M112" s="54">
        <f t="shared" ref="M112" si="55">IF(L112&lt;&gt;0,+H112-L112,0)</f>
        <v>0</v>
      </c>
      <c r="N112" s="113">
        <f t="shared" ref="N112" si="56">I112</f>
        <v>517893.32371526345</v>
      </c>
      <c r="O112" s="54">
        <f t="shared" ref="O112" si="57">IF(N112&lt;&gt;0,+I112-N112,0)</f>
        <v>0</v>
      </c>
      <c r="P112" s="54">
        <f t="shared" ref="P112" si="58">+O112-M112</f>
        <v>0</v>
      </c>
      <c r="Q112" s="1"/>
    </row>
    <row r="113" spans="2:17" ht="12.5">
      <c r="B113" s="7" t="str">
        <f t="shared" si="42"/>
        <v/>
      </c>
      <c r="C113" s="50">
        <f>IF(D93="","-",+C112+1)</f>
        <v>2024</v>
      </c>
      <c r="D113" s="12">
        <f>IF(F112+SUM(E$99:E112)=D$92,F112,D$92-SUM(E$99:E112))</f>
        <v>3260167.1469031554</v>
      </c>
      <c r="E113" s="378">
        <f>IF(+J96&lt;F112,J96,D113)</f>
        <v>108980.43181818182</v>
      </c>
      <c r="F113" s="55">
        <f t="shared" ref="F113:F131" si="59">+D113-E113</f>
        <v>3151186.7150849737</v>
      </c>
      <c r="G113" s="55">
        <f t="shared" ref="G113:G130" si="60">+(F113+D113)/2</f>
        <v>3205676.9309940645</v>
      </c>
      <c r="H113" s="380">
        <f t="shared" ref="H113:H130" si="61">+J$94*G113+E113</f>
        <v>508171.64694314793</v>
      </c>
      <c r="I113" s="399">
        <f t="shared" ref="I113:I130" si="62">+J$95*G113+E113</f>
        <v>508171.64694314793</v>
      </c>
      <c r="J113" s="54">
        <f t="shared" si="36"/>
        <v>0</v>
      </c>
      <c r="K113" s="54"/>
      <c r="L113" s="129"/>
      <c r="M113" s="54">
        <f t="shared" si="38"/>
        <v>0</v>
      </c>
      <c r="N113" s="129"/>
      <c r="O113" s="54">
        <f t="shared" si="40"/>
        <v>0</v>
      </c>
      <c r="P113" s="54">
        <f t="shared" si="41"/>
        <v>0</v>
      </c>
      <c r="Q113" s="1"/>
    </row>
    <row r="114" spans="2:17" ht="12.5">
      <c r="B114" s="7" t="str">
        <f t="shared" si="42"/>
        <v/>
      </c>
      <c r="C114" s="50">
        <f>IF(D93="","-",+C113+1)</f>
        <v>2025</v>
      </c>
      <c r="D114" s="12">
        <f>IF(F113+SUM(E$99:E113)=D$92,F113,D$92-SUM(E$99:E113))</f>
        <v>3151186.7150849737</v>
      </c>
      <c r="E114" s="378">
        <f>IF(+J96&lt;F113,J96,D114)</f>
        <v>108980.43181818182</v>
      </c>
      <c r="F114" s="55">
        <f t="shared" si="59"/>
        <v>3042206.2832667921</v>
      </c>
      <c r="G114" s="55">
        <f t="shared" si="60"/>
        <v>3096696.4991758829</v>
      </c>
      <c r="H114" s="380">
        <f t="shared" si="61"/>
        <v>494600.71264789032</v>
      </c>
      <c r="I114" s="399">
        <f t="shared" si="62"/>
        <v>494600.71264789032</v>
      </c>
      <c r="J114" s="54">
        <f t="shared" si="36"/>
        <v>0</v>
      </c>
      <c r="K114" s="54"/>
      <c r="L114" s="129"/>
      <c r="M114" s="54">
        <f t="shared" si="38"/>
        <v>0</v>
      </c>
      <c r="N114" s="129"/>
      <c r="O114" s="54">
        <f t="shared" si="40"/>
        <v>0</v>
      </c>
      <c r="P114" s="54">
        <f t="shared" si="41"/>
        <v>0</v>
      </c>
      <c r="Q114" s="1"/>
    </row>
    <row r="115" spans="2:17" ht="12.5">
      <c r="B115" s="7" t="str">
        <f t="shared" si="42"/>
        <v/>
      </c>
      <c r="C115" s="50">
        <f>IF(D93="","-",+C114+1)</f>
        <v>2026</v>
      </c>
      <c r="D115" s="12">
        <f>IF(F114+SUM(E$99:E114)=D$92,F114,D$92-SUM(E$99:E114))</f>
        <v>3042206.2832667921</v>
      </c>
      <c r="E115" s="378">
        <f>IF(+J96&lt;F114,J96,D115)</f>
        <v>108980.43181818182</v>
      </c>
      <c r="F115" s="55">
        <f t="shared" si="59"/>
        <v>2933225.8514486104</v>
      </c>
      <c r="G115" s="55">
        <f t="shared" si="60"/>
        <v>2987716.0673577012</v>
      </c>
      <c r="H115" s="380">
        <f t="shared" si="61"/>
        <v>481029.77835263277</v>
      </c>
      <c r="I115" s="399">
        <f t="shared" si="62"/>
        <v>481029.77835263277</v>
      </c>
      <c r="J115" s="54">
        <f t="shared" si="36"/>
        <v>0</v>
      </c>
      <c r="K115" s="54"/>
      <c r="L115" s="129"/>
      <c r="M115" s="54">
        <f t="shared" si="38"/>
        <v>0</v>
      </c>
      <c r="N115" s="129"/>
      <c r="O115" s="54">
        <f t="shared" si="40"/>
        <v>0</v>
      </c>
      <c r="P115" s="54">
        <f t="shared" si="41"/>
        <v>0</v>
      </c>
      <c r="Q115" s="1"/>
    </row>
    <row r="116" spans="2:17" ht="12.5">
      <c r="B116" s="7" t="str">
        <f t="shared" si="42"/>
        <v/>
      </c>
      <c r="C116" s="50">
        <f>IF(D93="","-",+C115+1)</f>
        <v>2027</v>
      </c>
      <c r="D116" s="12">
        <f>IF(F115+SUM(E$99:E115)=D$92,F115,D$92-SUM(E$99:E115))</f>
        <v>2933225.8514486104</v>
      </c>
      <c r="E116" s="378">
        <f>IF(+J96&lt;F115,J96,D116)</f>
        <v>108980.43181818182</v>
      </c>
      <c r="F116" s="55">
        <f t="shared" si="59"/>
        <v>2824245.4196304288</v>
      </c>
      <c r="G116" s="55">
        <f t="shared" si="60"/>
        <v>2878735.6355395196</v>
      </c>
      <c r="H116" s="380">
        <f t="shared" si="61"/>
        <v>467458.84405737516</v>
      </c>
      <c r="I116" s="399">
        <f t="shared" si="62"/>
        <v>467458.84405737516</v>
      </c>
      <c r="J116" s="54">
        <f t="shared" si="36"/>
        <v>0</v>
      </c>
      <c r="K116" s="54"/>
      <c r="L116" s="129"/>
      <c r="M116" s="54">
        <f t="shared" si="38"/>
        <v>0</v>
      </c>
      <c r="N116" s="129"/>
      <c r="O116" s="54">
        <f t="shared" si="40"/>
        <v>0</v>
      </c>
      <c r="P116" s="54">
        <f t="shared" si="41"/>
        <v>0</v>
      </c>
      <c r="Q116" s="1"/>
    </row>
    <row r="117" spans="2:17" ht="12.5">
      <c r="B117" s="7" t="str">
        <f t="shared" si="42"/>
        <v/>
      </c>
      <c r="C117" s="50">
        <f>IF(D93="","-",+C116+1)</f>
        <v>2028</v>
      </c>
      <c r="D117" s="12">
        <f>IF(F116+SUM(E$99:E116)=D$92,F116,D$92-SUM(E$99:E116))</f>
        <v>2824245.4196304288</v>
      </c>
      <c r="E117" s="378">
        <f>IF(+J96&lt;F116,J96,D117)</f>
        <v>108980.43181818182</v>
      </c>
      <c r="F117" s="55">
        <f t="shared" si="59"/>
        <v>2715264.9878122471</v>
      </c>
      <c r="G117" s="55">
        <f t="shared" si="60"/>
        <v>2769755.203721338</v>
      </c>
      <c r="H117" s="380">
        <f t="shared" si="61"/>
        <v>453887.90976211755</v>
      </c>
      <c r="I117" s="399">
        <f t="shared" si="62"/>
        <v>453887.90976211755</v>
      </c>
      <c r="J117" s="54">
        <f t="shared" si="36"/>
        <v>0</v>
      </c>
      <c r="K117" s="54"/>
      <c r="L117" s="129"/>
      <c r="M117" s="54">
        <f t="shared" si="38"/>
        <v>0</v>
      </c>
      <c r="N117" s="129"/>
      <c r="O117" s="54">
        <f t="shared" si="40"/>
        <v>0</v>
      </c>
      <c r="P117" s="54">
        <f t="shared" si="41"/>
        <v>0</v>
      </c>
      <c r="Q117" s="1"/>
    </row>
    <row r="118" spans="2:17" ht="12.5">
      <c r="B118" s="7" t="str">
        <f t="shared" si="42"/>
        <v/>
      </c>
      <c r="C118" s="50">
        <f>IF(D93="","-",+C117+1)</f>
        <v>2029</v>
      </c>
      <c r="D118" s="12">
        <f>IF(F117+SUM(E$99:E117)=D$92,F117,D$92-SUM(E$99:E117))</f>
        <v>2715264.9878122471</v>
      </c>
      <c r="E118" s="378">
        <f>IF(+J96&lt;F117,J96,D118)</f>
        <v>108980.43181818182</v>
      </c>
      <c r="F118" s="55">
        <f t="shared" si="59"/>
        <v>2606284.5559940655</v>
      </c>
      <c r="G118" s="55">
        <f t="shared" si="60"/>
        <v>2660774.7719031563</v>
      </c>
      <c r="H118" s="380">
        <f t="shared" si="61"/>
        <v>440316.97546685999</v>
      </c>
      <c r="I118" s="399">
        <f t="shared" si="62"/>
        <v>440316.97546685999</v>
      </c>
      <c r="J118" s="54">
        <f t="shared" si="36"/>
        <v>0</v>
      </c>
      <c r="K118" s="54"/>
      <c r="L118" s="129"/>
      <c r="M118" s="54">
        <f t="shared" si="38"/>
        <v>0</v>
      </c>
      <c r="N118" s="129"/>
      <c r="O118" s="54">
        <f t="shared" si="40"/>
        <v>0</v>
      </c>
      <c r="P118" s="54">
        <f t="shared" si="41"/>
        <v>0</v>
      </c>
      <c r="Q118" s="1"/>
    </row>
    <row r="119" spans="2:17" ht="12.5">
      <c r="B119" s="7" t="str">
        <f t="shared" si="42"/>
        <v/>
      </c>
      <c r="C119" s="50">
        <f>IF(D93="","-",+C118+1)</f>
        <v>2030</v>
      </c>
      <c r="D119" s="12">
        <f>IF(F118+SUM(E$99:E118)=D$92,F118,D$92-SUM(E$99:E118))</f>
        <v>2606284.5559940655</v>
      </c>
      <c r="E119" s="378">
        <f>IF(+J96&lt;F118,J96,D119)</f>
        <v>108980.43181818182</v>
      </c>
      <c r="F119" s="55">
        <f t="shared" si="59"/>
        <v>2497304.1241758838</v>
      </c>
      <c r="G119" s="55">
        <f t="shared" si="60"/>
        <v>2551794.3400849747</v>
      </c>
      <c r="H119" s="380">
        <f t="shared" si="61"/>
        <v>426746.04117160238</v>
      </c>
      <c r="I119" s="399">
        <f t="shared" si="62"/>
        <v>426746.04117160238</v>
      </c>
      <c r="J119" s="54">
        <f t="shared" si="36"/>
        <v>0</v>
      </c>
      <c r="K119" s="54"/>
      <c r="L119" s="129"/>
      <c r="M119" s="54">
        <f t="shared" si="38"/>
        <v>0</v>
      </c>
      <c r="N119" s="129"/>
      <c r="O119" s="54">
        <f t="shared" si="40"/>
        <v>0</v>
      </c>
      <c r="P119" s="54">
        <f t="shared" si="41"/>
        <v>0</v>
      </c>
      <c r="Q119" s="1"/>
    </row>
    <row r="120" spans="2:17" ht="12.5">
      <c r="B120" s="7" t="str">
        <f t="shared" si="42"/>
        <v/>
      </c>
      <c r="C120" s="50">
        <f>IF(D93="","-",+C119+1)</f>
        <v>2031</v>
      </c>
      <c r="D120" s="12">
        <f>IF(F119+SUM(E$99:E119)=D$92,F119,D$92-SUM(E$99:E119))</f>
        <v>2497304.1241758838</v>
      </c>
      <c r="E120" s="378">
        <f>IF(+J96&lt;F119,J96,D120)</f>
        <v>108980.43181818182</v>
      </c>
      <c r="F120" s="55">
        <f t="shared" si="59"/>
        <v>2388323.6923577022</v>
      </c>
      <c r="G120" s="55">
        <f t="shared" si="60"/>
        <v>2442813.908266793</v>
      </c>
      <c r="H120" s="380">
        <f t="shared" si="61"/>
        <v>413175.10687634477</v>
      </c>
      <c r="I120" s="399">
        <f t="shared" si="62"/>
        <v>413175.10687634477</v>
      </c>
      <c r="J120" s="54">
        <f t="shared" si="36"/>
        <v>0</v>
      </c>
      <c r="K120" s="54"/>
      <c r="L120" s="129"/>
      <c r="M120" s="54">
        <f t="shared" si="38"/>
        <v>0</v>
      </c>
      <c r="N120" s="129"/>
      <c r="O120" s="54">
        <f t="shared" si="40"/>
        <v>0</v>
      </c>
      <c r="P120" s="54">
        <f t="shared" si="41"/>
        <v>0</v>
      </c>
      <c r="Q120" s="1"/>
    </row>
    <row r="121" spans="2:17" ht="12.5">
      <c r="B121" s="7" t="str">
        <f t="shared" si="42"/>
        <v/>
      </c>
      <c r="C121" s="50">
        <f>IF(D93="","-",+C120+1)</f>
        <v>2032</v>
      </c>
      <c r="D121" s="12">
        <f>IF(F120+SUM(E$99:E120)=D$92,F120,D$92-SUM(E$99:E120))</f>
        <v>2388323.6923577022</v>
      </c>
      <c r="E121" s="378">
        <f>IF(+J96&lt;F120,J96,D121)</f>
        <v>108980.43181818182</v>
      </c>
      <c r="F121" s="55">
        <f t="shared" si="59"/>
        <v>2279343.2605395205</v>
      </c>
      <c r="G121" s="55">
        <f t="shared" si="60"/>
        <v>2333833.4764486114</v>
      </c>
      <c r="H121" s="380">
        <f t="shared" si="61"/>
        <v>399604.17258108722</v>
      </c>
      <c r="I121" s="399">
        <f t="shared" si="62"/>
        <v>399604.17258108722</v>
      </c>
      <c r="J121" s="54">
        <f t="shared" si="36"/>
        <v>0</v>
      </c>
      <c r="K121" s="54"/>
      <c r="L121" s="129"/>
      <c r="M121" s="54">
        <f t="shared" si="38"/>
        <v>0</v>
      </c>
      <c r="N121" s="129"/>
      <c r="O121" s="54">
        <f t="shared" si="40"/>
        <v>0</v>
      </c>
      <c r="P121" s="54">
        <f t="shared" si="41"/>
        <v>0</v>
      </c>
      <c r="Q121" s="1"/>
    </row>
    <row r="122" spans="2:17" ht="12.5">
      <c r="B122" s="7" t="str">
        <f t="shared" si="42"/>
        <v/>
      </c>
      <c r="C122" s="50">
        <f>IF(D93="","-",+C121+1)</f>
        <v>2033</v>
      </c>
      <c r="D122" s="12">
        <f>IF(F121+SUM(E$99:E121)=D$92,F121,D$92-SUM(E$99:E121))</f>
        <v>2279343.2605395205</v>
      </c>
      <c r="E122" s="378">
        <f>IF(+J96&lt;F121,J96,D122)</f>
        <v>108980.43181818182</v>
      </c>
      <c r="F122" s="55">
        <f t="shared" si="59"/>
        <v>2170362.8287213389</v>
      </c>
      <c r="G122" s="55">
        <f t="shared" si="60"/>
        <v>2224853.0446304297</v>
      </c>
      <c r="H122" s="380">
        <f t="shared" si="61"/>
        <v>386033.2382858296</v>
      </c>
      <c r="I122" s="399">
        <f t="shared" si="62"/>
        <v>386033.2382858296</v>
      </c>
      <c r="J122" s="54">
        <f t="shared" si="36"/>
        <v>0</v>
      </c>
      <c r="K122" s="54"/>
      <c r="L122" s="129"/>
      <c r="M122" s="54">
        <f t="shared" si="38"/>
        <v>0</v>
      </c>
      <c r="N122" s="129"/>
      <c r="O122" s="54">
        <f t="shared" si="40"/>
        <v>0</v>
      </c>
      <c r="P122" s="54">
        <f t="shared" si="41"/>
        <v>0</v>
      </c>
      <c r="Q122" s="1"/>
    </row>
    <row r="123" spans="2:17" ht="12.5">
      <c r="B123" s="7" t="str">
        <f t="shared" si="42"/>
        <v/>
      </c>
      <c r="C123" s="50">
        <f>IF(D93="","-",+C122+1)</f>
        <v>2034</v>
      </c>
      <c r="D123" s="12">
        <f>IF(F122+SUM(E$99:E122)=D$92,F122,D$92-SUM(E$99:E122))</f>
        <v>2170362.8287213389</v>
      </c>
      <c r="E123" s="378">
        <f>IF(+J96&lt;F122,J96,D123)</f>
        <v>108980.43181818182</v>
      </c>
      <c r="F123" s="55">
        <f t="shared" si="59"/>
        <v>2061382.396903157</v>
      </c>
      <c r="G123" s="55">
        <f t="shared" si="60"/>
        <v>2115872.6128122481</v>
      </c>
      <c r="H123" s="380">
        <f t="shared" si="61"/>
        <v>372462.30399057205</v>
      </c>
      <c r="I123" s="399">
        <f t="shared" si="62"/>
        <v>372462.30399057205</v>
      </c>
      <c r="J123" s="54">
        <f t="shared" si="36"/>
        <v>0</v>
      </c>
      <c r="K123" s="54"/>
      <c r="L123" s="129"/>
      <c r="M123" s="54">
        <f t="shared" si="38"/>
        <v>0</v>
      </c>
      <c r="N123" s="129"/>
      <c r="O123" s="54">
        <f t="shared" si="40"/>
        <v>0</v>
      </c>
      <c r="P123" s="54">
        <f t="shared" si="41"/>
        <v>0</v>
      </c>
      <c r="Q123" s="1"/>
    </row>
    <row r="124" spans="2:17" ht="12.5">
      <c r="B124" s="7" t="str">
        <f t="shared" si="42"/>
        <v/>
      </c>
      <c r="C124" s="50">
        <f>IF(D93="","-",+C123+1)</f>
        <v>2035</v>
      </c>
      <c r="D124" s="12">
        <f>IF(F123+SUM(E$99:E123)=D$92,F123,D$92-SUM(E$99:E123))</f>
        <v>2061382.396903157</v>
      </c>
      <c r="E124" s="378">
        <f>IF(+J96&lt;F123,J96,D124)</f>
        <v>108980.43181818182</v>
      </c>
      <c r="F124" s="55">
        <f t="shared" si="59"/>
        <v>1952401.9650849751</v>
      </c>
      <c r="G124" s="55">
        <f t="shared" si="60"/>
        <v>2006892.1809940659</v>
      </c>
      <c r="H124" s="380">
        <f t="shared" si="61"/>
        <v>358891.36969531438</v>
      </c>
      <c r="I124" s="399">
        <f t="shared" si="62"/>
        <v>358891.36969531438</v>
      </c>
      <c r="J124" s="54">
        <f t="shared" si="36"/>
        <v>0</v>
      </c>
      <c r="K124" s="54"/>
      <c r="L124" s="129"/>
      <c r="M124" s="54">
        <f t="shared" si="38"/>
        <v>0</v>
      </c>
      <c r="N124" s="129"/>
      <c r="O124" s="54">
        <f t="shared" si="40"/>
        <v>0</v>
      </c>
      <c r="P124" s="54">
        <f t="shared" si="41"/>
        <v>0</v>
      </c>
      <c r="Q124" s="1"/>
    </row>
    <row r="125" spans="2:17" ht="12.5">
      <c r="B125" s="7" t="str">
        <f t="shared" si="42"/>
        <v/>
      </c>
      <c r="C125" s="50">
        <f>IF(D93="","-",+C124+1)</f>
        <v>2036</v>
      </c>
      <c r="D125" s="12">
        <f>IF(F124+SUM(E$99:E124)=D$92,F124,D$92-SUM(E$99:E124))</f>
        <v>1952401.9650849751</v>
      </c>
      <c r="E125" s="378">
        <f>IF(+J96&lt;F124,J96,D125)</f>
        <v>108980.43181818182</v>
      </c>
      <c r="F125" s="55">
        <f t="shared" si="59"/>
        <v>1843421.5332667932</v>
      </c>
      <c r="G125" s="55">
        <f t="shared" si="60"/>
        <v>1897911.7491758843</v>
      </c>
      <c r="H125" s="380">
        <f t="shared" si="61"/>
        <v>345320.43540005677</v>
      </c>
      <c r="I125" s="399">
        <f t="shared" si="62"/>
        <v>345320.43540005677</v>
      </c>
      <c r="J125" s="54">
        <f t="shared" si="36"/>
        <v>0</v>
      </c>
      <c r="K125" s="54"/>
      <c r="L125" s="129"/>
      <c r="M125" s="54">
        <f t="shared" si="38"/>
        <v>0</v>
      </c>
      <c r="N125" s="129"/>
      <c r="O125" s="54">
        <f t="shared" si="40"/>
        <v>0</v>
      </c>
      <c r="P125" s="54">
        <f t="shared" si="41"/>
        <v>0</v>
      </c>
      <c r="Q125" s="1"/>
    </row>
    <row r="126" spans="2:17" ht="12.5">
      <c r="B126" s="7" t="str">
        <f t="shared" si="42"/>
        <v/>
      </c>
      <c r="C126" s="50">
        <f>IF(D93="","-",+C125+1)</f>
        <v>2037</v>
      </c>
      <c r="D126" s="12">
        <f>IF(F125+SUM(E$99:E125)=D$92,F125,D$92-SUM(E$99:E125))</f>
        <v>1843421.5332667932</v>
      </c>
      <c r="E126" s="378">
        <f>IF(+J96&lt;F125,J96,D126)</f>
        <v>108980.43181818182</v>
      </c>
      <c r="F126" s="55">
        <f t="shared" si="59"/>
        <v>1734441.1014486114</v>
      </c>
      <c r="G126" s="55">
        <f t="shared" si="60"/>
        <v>1788931.3173577022</v>
      </c>
      <c r="H126" s="380">
        <f t="shared" si="61"/>
        <v>331749.5011047991</v>
      </c>
      <c r="I126" s="399">
        <f t="shared" si="62"/>
        <v>331749.5011047991</v>
      </c>
      <c r="J126" s="54">
        <f t="shared" si="36"/>
        <v>0</v>
      </c>
      <c r="K126" s="54"/>
      <c r="L126" s="129"/>
      <c r="M126" s="54">
        <f t="shared" si="38"/>
        <v>0</v>
      </c>
      <c r="N126" s="129"/>
      <c r="O126" s="54">
        <f t="shared" si="40"/>
        <v>0</v>
      </c>
      <c r="P126" s="54">
        <f t="shared" si="41"/>
        <v>0</v>
      </c>
      <c r="Q126" s="1"/>
    </row>
    <row r="127" spans="2:17" ht="12.5">
      <c r="B127" s="7" t="str">
        <f t="shared" si="42"/>
        <v/>
      </c>
      <c r="C127" s="50">
        <f>IF(D93="","-",+C126+1)</f>
        <v>2038</v>
      </c>
      <c r="D127" s="12">
        <f>IF(F126+SUM(E$99:E126)=D$92,F126,D$92-SUM(E$99:E126))</f>
        <v>1734441.1014486114</v>
      </c>
      <c r="E127" s="378">
        <f>IF(+J96&lt;F126,J96,D127)</f>
        <v>108980.43181818182</v>
      </c>
      <c r="F127" s="55">
        <f t="shared" si="59"/>
        <v>1625460.6696304295</v>
      </c>
      <c r="G127" s="55">
        <f t="shared" si="60"/>
        <v>1679950.8855395205</v>
      </c>
      <c r="H127" s="380">
        <f t="shared" si="61"/>
        <v>318178.56680954155</v>
      </c>
      <c r="I127" s="399">
        <f t="shared" si="62"/>
        <v>318178.56680954155</v>
      </c>
      <c r="J127" s="54">
        <f t="shared" si="36"/>
        <v>0</v>
      </c>
      <c r="K127" s="54"/>
      <c r="L127" s="129"/>
      <c r="M127" s="54">
        <f t="shared" si="38"/>
        <v>0</v>
      </c>
      <c r="N127" s="129"/>
      <c r="O127" s="54">
        <f t="shared" si="40"/>
        <v>0</v>
      </c>
      <c r="P127" s="54">
        <f t="shared" si="41"/>
        <v>0</v>
      </c>
      <c r="Q127" s="1"/>
    </row>
    <row r="128" spans="2:17" ht="12.5">
      <c r="B128" s="7" t="str">
        <f t="shared" si="42"/>
        <v/>
      </c>
      <c r="C128" s="50">
        <f>IF(D93="","-",+C127+1)</f>
        <v>2039</v>
      </c>
      <c r="D128" s="12">
        <f>IF(F127+SUM(E$99:E127)=D$92,F127,D$92-SUM(E$99:E127))</f>
        <v>1625460.6696304295</v>
      </c>
      <c r="E128" s="378">
        <f>IF(+J96&lt;F127,J96,D128)</f>
        <v>108980.43181818182</v>
      </c>
      <c r="F128" s="55">
        <f t="shared" si="59"/>
        <v>1516480.2378122476</v>
      </c>
      <c r="G128" s="55">
        <f t="shared" si="60"/>
        <v>1570970.4537213384</v>
      </c>
      <c r="H128" s="380">
        <f t="shared" si="61"/>
        <v>304607.63251428388</v>
      </c>
      <c r="I128" s="399">
        <f t="shared" si="62"/>
        <v>304607.63251428388</v>
      </c>
      <c r="J128" s="54">
        <f t="shared" si="36"/>
        <v>0</v>
      </c>
      <c r="K128" s="54"/>
      <c r="L128" s="129"/>
      <c r="M128" s="54">
        <f t="shared" si="38"/>
        <v>0</v>
      </c>
      <c r="N128" s="129"/>
      <c r="O128" s="54">
        <f t="shared" si="40"/>
        <v>0</v>
      </c>
      <c r="P128" s="54">
        <f t="shared" si="41"/>
        <v>0</v>
      </c>
      <c r="Q128" s="1"/>
    </row>
    <row r="129" spans="2:17" ht="12.5">
      <c r="B129" s="7" t="str">
        <f t="shared" si="42"/>
        <v/>
      </c>
      <c r="C129" s="50">
        <f>IF(D93="","-",+C128+1)</f>
        <v>2040</v>
      </c>
      <c r="D129" s="12">
        <f>IF(F128+SUM(E$99:E128)=D$92,F128,D$92-SUM(E$99:E128))</f>
        <v>1516480.2378122476</v>
      </c>
      <c r="E129" s="378">
        <f>IF(+J96&lt;F128,J96,D129)</f>
        <v>108980.43181818182</v>
      </c>
      <c r="F129" s="55">
        <f t="shared" si="59"/>
        <v>1407499.8059940657</v>
      </c>
      <c r="G129" s="55">
        <f t="shared" si="60"/>
        <v>1461990.0219031568</v>
      </c>
      <c r="H129" s="380">
        <f t="shared" si="61"/>
        <v>291036.69821902632</v>
      </c>
      <c r="I129" s="399">
        <f t="shared" si="62"/>
        <v>291036.69821902632</v>
      </c>
      <c r="J129" s="54">
        <f t="shared" si="36"/>
        <v>0</v>
      </c>
      <c r="K129" s="54"/>
      <c r="L129" s="129"/>
      <c r="M129" s="54">
        <f t="shared" si="38"/>
        <v>0</v>
      </c>
      <c r="N129" s="129"/>
      <c r="O129" s="54">
        <f t="shared" si="40"/>
        <v>0</v>
      </c>
      <c r="P129" s="54">
        <f t="shared" si="41"/>
        <v>0</v>
      </c>
      <c r="Q129" s="1"/>
    </row>
    <row r="130" spans="2:17" ht="12.5">
      <c r="B130" s="7" t="str">
        <f t="shared" si="42"/>
        <v/>
      </c>
      <c r="C130" s="50">
        <f>IF(D93="","-",+C129+1)</f>
        <v>2041</v>
      </c>
      <c r="D130" s="12">
        <f>IF(F129+SUM(E$99:E129)=D$92,F129,D$92-SUM(E$99:E129))</f>
        <v>1407499.8059940657</v>
      </c>
      <c r="E130" s="378">
        <f>IF(+J96&lt;F129,J96,D130)</f>
        <v>108980.43181818182</v>
      </c>
      <c r="F130" s="55">
        <f t="shared" si="59"/>
        <v>1298519.3741758838</v>
      </c>
      <c r="G130" s="55">
        <f t="shared" si="60"/>
        <v>1353009.5900849747</v>
      </c>
      <c r="H130" s="380">
        <f t="shared" si="61"/>
        <v>277465.76392376865</v>
      </c>
      <c r="I130" s="399">
        <f t="shared" si="62"/>
        <v>277465.76392376865</v>
      </c>
      <c r="J130" s="54">
        <f t="shared" si="36"/>
        <v>0</v>
      </c>
      <c r="K130" s="54"/>
      <c r="L130" s="129"/>
      <c r="M130" s="54">
        <f t="shared" si="38"/>
        <v>0</v>
      </c>
      <c r="N130" s="129"/>
      <c r="O130" s="54">
        <f t="shared" si="40"/>
        <v>0</v>
      </c>
      <c r="P130" s="54">
        <f t="shared" si="41"/>
        <v>0</v>
      </c>
      <c r="Q130" s="1"/>
    </row>
    <row r="131" spans="2:17" ht="12.5">
      <c r="B131" s="7" t="str">
        <f t="shared" si="42"/>
        <v/>
      </c>
      <c r="C131" s="50">
        <f>IF(D93="","-",+C130+1)</f>
        <v>2042</v>
      </c>
      <c r="D131" s="12">
        <f>IF(F130+SUM(E$99:E130)=D$92,F130,D$92-SUM(E$99:E130))</f>
        <v>1298519.3741758838</v>
      </c>
      <c r="E131" s="378">
        <f>IF(+J96&lt;F130,J96,D131)</f>
        <v>108980.43181818182</v>
      </c>
      <c r="F131" s="55">
        <f t="shared" si="59"/>
        <v>1189538.9423577019</v>
      </c>
      <c r="G131" s="55">
        <f t="shared" ref="G131:G154" si="63">+(F131+D131)/2</f>
        <v>1244029.158266793</v>
      </c>
      <c r="H131" s="380">
        <f t="shared" ref="H131:H154" si="64">+J$94*G131+E131</f>
        <v>263894.8296285111</v>
      </c>
      <c r="I131" s="399">
        <f t="shared" ref="I131:I154" si="65">+J$95*G131+E131</f>
        <v>263894.8296285111</v>
      </c>
      <c r="J131" s="54">
        <f t="shared" ref="J131:J154" si="66">+I131-H131</f>
        <v>0</v>
      </c>
      <c r="K131" s="54"/>
      <c r="L131" s="129"/>
      <c r="M131" s="54">
        <f t="shared" ref="M131:M154" si="67">IF(L131&lt;&gt;0,+H131-L131,0)</f>
        <v>0</v>
      </c>
      <c r="N131" s="129"/>
      <c r="O131" s="54">
        <f t="shared" ref="O131:O154" si="68">IF(N131&lt;&gt;0,+I131-N131,0)</f>
        <v>0</v>
      </c>
      <c r="P131" s="54">
        <f t="shared" ref="P131:P154" si="69">+O131-M131</f>
        <v>0</v>
      </c>
      <c r="Q131" s="1"/>
    </row>
    <row r="132" spans="2:17" ht="12.5">
      <c r="B132" s="7" t="str">
        <f t="shared" si="42"/>
        <v/>
      </c>
      <c r="C132" s="50">
        <f>IF(D93="","-",+C131+1)</f>
        <v>2043</v>
      </c>
      <c r="D132" s="12">
        <f>IF(F131+SUM(E$99:E131)=D$92,F131,D$92-SUM(E$99:E131))</f>
        <v>1189538.9423577019</v>
      </c>
      <c r="E132" s="378">
        <f>IF(+J96&lt;F131,J96,D132)</f>
        <v>108980.43181818182</v>
      </c>
      <c r="F132" s="55">
        <f t="shared" ref="F132:F154" si="70">+D132-E132</f>
        <v>1080558.5105395201</v>
      </c>
      <c r="G132" s="55">
        <f t="shared" si="63"/>
        <v>1135048.7264486109</v>
      </c>
      <c r="H132" s="380">
        <f t="shared" si="64"/>
        <v>250323.89533325343</v>
      </c>
      <c r="I132" s="399">
        <f t="shared" si="65"/>
        <v>250323.89533325343</v>
      </c>
      <c r="J132" s="54">
        <f t="shared" si="66"/>
        <v>0</v>
      </c>
      <c r="K132" s="54"/>
      <c r="L132" s="129"/>
      <c r="M132" s="54">
        <f t="shared" si="67"/>
        <v>0</v>
      </c>
      <c r="N132" s="129"/>
      <c r="O132" s="54">
        <f t="shared" si="68"/>
        <v>0</v>
      </c>
      <c r="P132" s="54">
        <f t="shared" si="69"/>
        <v>0</v>
      </c>
      <c r="Q132" s="1"/>
    </row>
    <row r="133" spans="2:17" ht="12.5">
      <c r="B133" s="7" t="str">
        <f t="shared" si="42"/>
        <v/>
      </c>
      <c r="C133" s="50">
        <f>IF(D93="","-",+C132+1)</f>
        <v>2044</v>
      </c>
      <c r="D133" s="12">
        <f>IF(F132+SUM(E$99:E132)=D$92,F132,D$92-SUM(E$99:E132))</f>
        <v>1080558.5105395201</v>
      </c>
      <c r="E133" s="378">
        <f>IF(+J96&lt;F132,J96,D133)</f>
        <v>108980.43181818182</v>
      </c>
      <c r="F133" s="55">
        <f t="shared" si="70"/>
        <v>971578.07872133818</v>
      </c>
      <c r="G133" s="55">
        <f t="shared" si="63"/>
        <v>1026068.2946304291</v>
      </c>
      <c r="H133" s="380">
        <f t="shared" si="64"/>
        <v>236752.96103799582</v>
      </c>
      <c r="I133" s="399">
        <f t="shared" si="65"/>
        <v>236752.96103799582</v>
      </c>
      <c r="J133" s="54">
        <f t="shared" si="66"/>
        <v>0</v>
      </c>
      <c r="K133" s="54"/>
      <c r="L133" s="129"/>
      <c r="M133" s="54">
        <f t="shared" si="67"/>
        <v>0</v>
      </c>
      <c r="N133" s="129"/>
      <c r="O133" s="54">
        <f t="shared" si="68"/>
        <v>0</v>
      </c>
      <c r="P133" s="54">
        <f t="shared" si="69"/>
        <v>0</v>
      </c>
      <c r="Q133" s="1"/>
    </row>
    <row r="134" spans="2:17" ht="12.5">
      <c r="B134" s="7" t="str">
        <f t="shared" si="42"/>
        <v/>
      </c>
      <c r="C134" s="50">
        <f>IF(D93="","-",+C133+1)</f>
        <v>2045</v>
      </c>
      <c r="D134" s="12">
        <f>IF(F133+SUM(E$99:E133)=D$92,F133,D$92-SUM(E$99:E133))</f>
        <v>971578.07872133818</v>
      </c>
      <c r="E134" s="378">
        <f>IF(+J96&lt;F133,J96,D134)</f>
        <v>108980.43181818182</v>
      </c>
      <c r="F134" s="55">
        <f t="shared" si="70"/>
        <v>862597.6469031563</v>
      </c>
      <c r="G134" s="55">
        <f t="shared" si="63"/>
        <v>917087.86281224724</v>
      </c>
      <c r="H134" s="380">
        <f t="shared" si="64"/>
        <v>223182.02674273821</v>
      </c>
      <c r="I134" s="399">
        <f t="shared" si="65"/>
        <v>223182.02674273821</v>
      </c>
      <c r="J134" s="54">
        <f t="shared" si="66"/>
        <v>0</v>
      </c>
      <c r="K134" s="54"/>
      <c r="L134" s="129"/>
      <c r="M134" s="54">
        <f t="shared" si="67"/>
        <v>0</v>
      </c>
      <c r="N134" s="129"/>
      <c r="O134" s="54">
        <f t="shared" si="68"/>
        <v>0</v>
      </c>
      <c r="P134" s="54">
        <f t="shared" si="69"/>
        <v>0</v>
      </c>
      <c r="Q134" s="1"/>
    </row>
    <row r="135" spans="2:17" ht="12.5">
      <c r="B135" s="7" t="str">
        <f t="shared" si="42"/>
        <v/>
      </c>
      <c r="C135" s="50">
        <f>IF(D93="","-",+C134+1)</f>
        <v>2046</v>
      </c>
      <c r="D135" s="12">
        <f>IF(F134+SUM(E$99:E134)=D$92,F134,D$92-SUM(E$99:E134))</f>
        <v>862597.6469031563</v>
      </c>
      <c r="E135" s="378">
        <f>IF(+J96&lt;F134,J96,D135)</f>
        <v>108980.43181818182</v>
      </c>
      <c r="F135" s="55">
        <f t="shared" si="70"/>
        <v>753617.21508497442</v>
      </c>
      <c r="G135" s="55">
        <f t="shared" si="63"/>
        <v>808107.43099406536</v>
      </c>
      <c r="H135" s="380">
        <f t="shared" si="64"/>
        <v>209611.09244748057</v>
      </c>
      <c r="I135" s="399">
        <f t="shared" si="65"/>
        <v>209611.09244748057</v>
      </c>
      <c r="J135" s="54">
        <f t="shared" si="66"/>
        <v>0</v>
      </c>
      <c r="K135" s="54"/>
      <c r="L135" s="129"/>
      <c r="M135" s="54">
        <f t="shared" si="67"/>
        <v>0</v>
      </c>
      <c r="N135" s="129"/>
      <c r="O135" s="54">
        <f t="shared" si="68"/>
        <v>0</v>
      </c>
      <c r="P135" s="54">
        <f t="shared" si="69"/>
        <v>0</v>
      </c>
      <c r="Q135" s="1"/>
    </row>
    <row r="136" spans="2:17" ht="12.5">
      <c r="B136" s="7" t="str">
        <f t="shared" si="42"/>
        <v/>
      </c>
      <c r="C136" s="50">
        <f>IF(D93="","-",+C135+1)</f>
        <v>2047</v>
      </c>
      <c r="D136" s="12">
        <f>IF(F135+SUM(E$99:E135)=D$92,F135,D$92-SUM(E$99:E135))</f>
        <v>753617.21508497442</v>
      </c>
      <c r="E136" s="378">
        <f>IF(+J96&lt;F135,J96,D136)</f>
        <v>108980.43181818182</v>
      </c>
      <c r="F136" s="55">
        <f t="shared" si="70"/>
        <v>644636.78326679254</v>
      </c>
      <c r="G136" s="55">
        <f t="shared" si="63"/>
        <v>699126.99917588348</v>
      </c>
      <c r="H136" s="380">
        <f t="shared" si="64"/>
        <v>196040.15815222295</v>
      </c>
      <c r="I136" s="399">
        <f t="shared" si="65"/>
        <v>196040.15815222295</v>
      </c>
      <c r="J136" s="54">
        <f t="shared" si="66"/>
        <v>0</v>
      </c>
      <c r="K136" s="54"/>
      <c r="L136" s="129"/>
      <c r="M136" s="54">
        <f t="shared" si="67"/>
        <v>0</v>
      </c>
      <c r="N136" s="129"/>
      <c r="O136" s="54">
        <f t="shared" si="68"/>
        <v>0</v>
      </c>
      <c r="P136" s="54">
        <f t="shared" si="69"/>
        <v>0</v>
      </c>
      <c r="Q136" s="1"/>
    </row>
    <row r="137" spans="2:17" ht="12.5">
      <c r="B137" s="7" t="str">
        <f t="shared" si="42"/>
        <v/>
      </c>
      <c r="C137" s="50">
        <f>IF(D93="","-",+C136+1)</f>
        <v>2048</v>
      </c>
      <c r="D137" s="12">
        <f>IF(F136+SUM(E$99:E136)=D$92,F136,D$92-SUM(E$99:E136))</f>
        <v>644636.78326679254</v>
      </c>
      <c r="E137" s="378">
        <f>IF(+J96&lt;F136,J96,D137)</f>
        <v>108980.43181818182</v>
      </c>
      <c r="F137" s="55">
        <f t="shared" si="70"/>
        <v>535656.35144861066</v>
      </c>
      <c r="G137" s="55">
        <f t="shared" si="63"/>
        <v>590146.5673577016</v>
      </c>
      <c r="H137" s="380">
        <f t="shared" si="64"/>
        <v>182469.22385696531</v>
      </c>
      <c r="I137" s="399">
        <f t="shared" si="65"/>
        <v>182469.22385696531</v>
      </c>
      <c r="J137" s="54">
        <f t="shared" si="66"/>
        <v>0</v>
      </c>
      <c r="K137" s="54"/>
      <c r="L137" s="129"/>
      <c r="M137" s="54">
        <f t="shared" si="67"/>
        <v>0</v>
      </c>
      <c r="N137" s="129"/>
      <c r="O137" s="54">
        <f t="shared" si="68"/>
        <v>0</v>
      </c>
      <c r="P137" s="54">
        <f t="shared" si="69"/>
        <v>0</v>
      </c>
      <c r="Q137" s="1"/>
    </row>
    <row r="138" spans="2:17" ht="12.5">
      <c r="B138" s="7" t="str">
        <f t="shared" si="42"/>
        <v/>
      </c>
      <c r="C138" s="50">
        <f>IF(D93="","-",+C137+1)</f>
        <v>2049</v>
      </c>
      <c r="D138" s="12">
        <f>IF(F137+SUM(E$99:E137)=D$92,F137,D$92-SUM(E$99:E137))</f>
        <v>535656.35144861066</v>
      </c>
      <c r="E138" s="378">
        <f>IF(+J96&lt;F137,J96,D138)</f>
        <v>108980.43181818182</v>
      </c>
      <c r="F138" s="55">
        <f t="shared" si="70"/>
        <v>426675.91963042883</v>
      </c>
      <c r="G138" s="55">
        <f t="shared" si="63"/>
        <v>481166.13553951972</v>
      </c>
      <c r="H138" s="380">
        <f t="shared" si="64"/>
        <v>168898.2895617077</v>
      </c>
      <c r="I138" s="399">
        <f t="shared" si="65"/>
        <v>168898.2895617077</v>
      </c>
      <c r="J138" s="54">
        <f t="shared" si="66"/>
        <v>0</v>
      </c>
      <c r="K138" s="54"/>
      <c r="L138" s="129"/>
      <c r="M138" s="54">
        <f t="shared" si="67"/>
        <v>0</v>
      </c>
      <c r="N138" s="129"/>
      <c r="O138" s="54">
        <f t="shared" si="68"/>
        <v>0</v>
      </c>
      <c r="P138" s="54">
        <f t="shared" si="69"/>
        <v>0</v>
      </c>
      <c r="Q138" s="1"/>
    </row>
    <row r="139" spans="2:17" ht="12.5">
      <c r="B139" s="7" t="str">
        <f t="shared" si="42"/>
        <v/>
      </c>
      <c r="C139" s="50">
        <f>IF(D93="","-",+C138+1)</f>
        <v>2050</v>
      </c>
      <c r="D139" s="12">
        <f>IF(F138+SUM(E$99:E138)=D$92,F138,D$92-SUM(E$99:E138))</f>
        <v>426675.91963042883</v>
      </c>
      <c r="E139" s="378">
        <f>IF(+J96&lt;F138,J96,D139)</f>
        <v>108980.43181818182</v>
      </c>
      <c r="F139" s="55">
        <f t="shared" si="70"/>
        <v>317695.48781224701</v>
      </c>
      <c r="G139" s="55">
        <f t="shared" si="63"/>
        <v>372185.70372133795</v>
      </c>
      <c r="H139" s="380">
        <f t="shared" si="64"/>
        <v>155327.35526645009</v>
      </c>
      <c r="I139" s="399">
        <f t="shared" si="65"/>
        <v>155327.35526645009</v>
      </c>
      <c r="J139" s="54">
        <f t="shared" si="66"/>
        <v>0</v>
      </c>
      <c r="K139" s="54"/>
      <c r="L139" s="129"/>
      <c r="M139" s="54">
        <f t="shared" si="67"/>
        <v>0</v>
      </c>
      <c r="N139" s="129"/>
      <c r="O139" s="54">
        <f t="shared" si="68"/>
        <v>0</v>
      </c>
      <c r="P139" s="54">
        <f t="shared" si="69"/>
        <v>0</v>
      </c>
      <c r="Q139" s="1"/>
    </row>
    <row r="140" spans="2:17" ht="12.5">
      <c r="B140" s="7" t="str">
        <f t="shared" si="42"/>
        <v/>
      </c>
      <c r="C140" s="50">
        <f>IF(D93="","-",+C139+1)</f>
        <v>2051</v>
      </c>
      <c r="D140" s="12">
        <f>IF(F139+SUM(E$99:E139)=D$92,F139,D$92-SUM(E$99:E139))</f>
        <v>317695.48781224701</v>
      </c>
      <c r="E140" s="378">
        <f>IF(+J96&lt;F139,J96,D140)</f>
        <v>108980.43181818182</v>
      </c>
      <c r="F140" s="55">
        <f t="shared" si="70"/>
        <v>208715.05599406519</v>
      </c>
      <c r="G140" s="55">
        <f t="shared" si="63"/>
        <v>263205.27190315607</v>
      </c>
      <c r="H140" s="380">
        <f t="shared" si="64"/>
        <v>141756.42097119248</v>
      </c>
      <c r="I140" s="399">
        <f t="shared" si="65"/>
        <v>141756.42097119248</v>
      </c>
      <c r="J140" s="54">
        <f t="shared" si="66"/>
        <v>0</v>
      </c>
      <c r="K140" s="54"/>
      <c r="L140" s="129"/>
      <c r="M140" s="54">
        <f t="shared" si="67"/>
        <v>0</v>
      </c>
      <c r="N140" s="129"/>
      <c r="O140" s="54">
        <f t="shared" si="68"/>
        <v>0</v>
      </c>
      <c r="P140" s="54">
        <f t="shared" si="69"/>
        <v>0</v>
      </c>
      <c r="Q140" s="1"/>
    </row>
    <row r="141" spans="2:17" ht="12.5">
      <c r="B141" s="7" t="str">
        <f t="shared" si="42"/>
        <v/>
      </c>
      <c r="C141" s="50">
        <f>IF(D93="","-",+C140+1)</f>
        <v>2052</v>
      </c>
      <c r="D141" s="12">
        <f>IF(F140+SUM(E$99:E140)=D$92,F140,D$92-SUM(E$99:E140))</f>
        <v>208715.05599406519</v>
      </c>
      <c r="E141" s="378">
        <f>IF(+J96&lt;F140,J96,D141)</f>
        <v>108980.43181818182</v>
      </c>
      <c r="F141" s="55">
        <f t="shared" si="70"/>
        <v>99734.624175883364</v>
      </c>
      <c r="G141" s="55">
        <f t="shared" si="63"/>
        <v>154224.84008497428</v>
      </c>
      <c r="H141" s="380">
        <f t="shared" si="64"/>
        <v>128185.48667593488</v>
      </c>
      <c r="I141" s="399">
        <f t="shared" si="65"/>
        <v>128185.48667593488</v>
      </c>
      <c r="J141" s="54">
        <f t="shared" si="66"/>
        <v>0</v>
      </c>
      <c r="K141" s="54"/>
      <c r="L141" s="129"/>
      <c r="M141" s="54">
        <f t="shared" si="67"/>
        <v>0</v>
      </c>
      <c r="N141" s="129"/>
      <c r="O141" s="54">
        <f t="shared" si="68"/>
        <v>0</v>
      </c>
      <c r="P141" s="54">
        <f t="shared" si="69"/>
        <v>0</v>
      </c>
      <c r="Q141" s="1"/>
    </row>
    <row r="142" spans="2:17" ht="12.5">
      <c r="B142" s="7" t="str">
        <f t="shared" si="42"/>
        <v/>
      </c>
      <c r="C142" s="50">
        <f>IF(D93="","-",+C141+1)</f>
        <v>2053</v>
      </c>
      <c r="D142" s="12">
        <f>IF(F141+SUM(E$99:E141)=D$92,F141,D$92-SUM(E$99:E141))</f>
        <v>99734.624175883364</v>
      </c>
      <c r="E142" s="378">
        <f>IF(+J96&lt;F141,J96,D142)</f>
        <v>99734.624175883364</v>
      </c>
      <c r="F142" s="55">
        <f t="shared" si="70"/>
        <v>0</v>
      </c>
      <c r="G142" s="55">
        <f t="shared" si="63"/>
        <v>49867.312087941682</v>
      </c>
      <c r="H142" s="380">
        <f t="shared" si="64"/>
        <v>105944.41803094548</v>
      </c>
      <c r="I142" s="399">
        <f t="shared" si="65"/>
        <v>105944.41803094548</v>
      </c>
      <c r="J142" s="54">
        <f t="shared" si="66"/>
        <v>0</v>
      </c>
      <c r="K142" s="54"/>
      <c r="L142" s="129"/>
      <c r="M142" s="54">
        <f t="shared" si="67"/>
        <v>0</v>
      </c>
      <c r="N142" s="129"/>
      <c r="O142" s="54">
        <f t="shared" si="68"/>
        <v>0</v>
      </c>
      <c r="P142" s="54">
        <f t="shared" si="69"/>
        <v>0</v>
      </c>
      <c r="Q142" s="1"/>
    </row>
    <row r="143" spans="2:17" ht="12.5">
      <c r="B143" s="7" t="str">
        <f t="shared" si="42"/>
        <v/>
      </c>
      <c r="C143" s="50">
        <f>IF(D93="","-",+C142+1)</f>
        <v>2054</v>
      </c>
      <c r="D143" s="12">
        <f>IF(F142+SUM(E$99:E142)=D$92,F142,D$92-SUM(E$99:E142))</f>
        <v>0</v>
      </c>
      <c r="E143" s="378">
        <f>IF(+J96&lt;F142,J96,D143)</f>
        <v>0</v>
      </c>
      <c r="F143" s="55">
        <f t="shared" si="70"/>
        <v>0</v>
      </c>
      <c r="G143" s="55">
        <f t="shared" si="63"/>
        <v>0</v>
      </c>
      <c r="H143" s="380">
        <f t="shared" si="64"/>
        <v>0</v>
      </c>
      <c r="I143" s="399">
        <f t="shared" si="65"/>
        <v>0</v>
      </c>
      <c r="J143" s="54">
        <f t="shared" si="66"/>
        <v>0</v>
      </c>
      <c r="K143" s="54"/>
      <c r="L143" s="129"/>
      <c r="M143" s="54">
        <f t="shared" si="67"/>
        <v>0</v>
      </c>
      <c r="N143" s="129"/>
      <c r="O143" s="54">
        <f t="shared" si="68"/>
        <v>0</v>
      </c>
      <c r="P143" s="54">
        <f t="shared" si="69"/>
        <v>0</v>
      </c>
      <c r="Q143" s="1"/>
    </row>
    <row r="144" spans="2:17" ht="12.5">
      <c r="B144" s="7" t="str">
        <f t="shared" si="42"/>
        <v/>
      </c>
      <c r="C144" s="50">
        <f>IF(D93="","-",+C143+1)</f>
        <v>2055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70"/>
        <v>0</v>
      </c>
      <c r="G144" s="55">
        <f t="shared" si="63"/>
        <v>0</v>
      </c>
      <c r="H144" s="380">
        <f t="shared" si="64"/>
        <v>0</v>
      </c>
      <c r="I144" s="399">
        <f t="shared" si="65"/>
        <v>0</v>
      </c>
      <c r="J144" s="54">
        <f t="shared" si="66"/>
        <v>0</v>
      </c>
      <c r="K144" s="54"/>
      <c r="L144" s="129"/>
      <c r="M144" s="54">
        <f t="shared" si="67"/>
        <v>0</v>
      </c>
      <c r="N144" s="129"/>
      <c r="O144" s="54">
        <f t="shared" si="68"/>
        <v>0</v>
      </c>
      <c r="P144" s="54">
        <f t="shared" si="69"/>
        <v>0</v>
      </c>
      <c r="Q144" s="1"/>
    </row>
    <row r="145" spans="2:17" ht="12.5">
      <c r="B145" s="7" t="str">
        <f t="shared" si="42"/>
        <v/>
      </c>
      <c r="C145" s="50">
        <f>IF(D93="","-",+C144+1)</f>
        <v>2056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70"/>
        <v>0</v>
      </c>
      <c r="G145" s="55">
        <f t="shared" si="63"/>
        <v>0</v>
      </c>
      <c r="H145" s="380">
        <f t="shared" si="64"/>
        <v>0</v>
      </c>
      <c r="I145" s="399">
        <f t="shared" si="65"/>
        <v>0</v>
      </c>
      <c r="J145" s="54">
        <f t="shared" si="66"/>
        <v>0</v>
      </c>
      <c r="K145" s="54"/>
      <c r="L145" s="129"/>
      <c r="M145" s="54">
        <f t="shared" si="67"/>
        <v>0</v>
      </c>
      <c r="N145" s="129"/>
      <c r="O145" s="54">
        <f t="shared" si="68"/>
        <v>0</v>
      </c>
      <c r="P145" s="54">
        <f t="shared" si="69"/>
        <v>0</v>
      </c>
      <c r="Q145" s="1"/>
    </row>
    <row r="146" spans="2:17" ht="12.5">
      <c r="B146" s="7" t="str">
        <f t="shared" si="42"/>
        <v/>
      </c>
      <c r="C146" s="50">
        <f>IF(D93="","-",+C145+1)</f>
        <v>2057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70"/>
        <v>0</v>
      </c>
      <c r="G146" s="55">
        <f t="shared" si="63"/>
        <v>0</v>
      </c>
      <c r="H146" s="380">
        <f t="shared" si="64"/>
        <v>0</v>
      </c>
      <c r="I146" s="399">
        <f t="shared" si="65"/>
        <v>0</v>
      </c>
      <c r="J146" s="54">
        <f t="shared" si="66"/>
        <v>0</v>
      </c>
      <c r="K146" s="54"/>
      <c r="L146" s="129"/>
      <c r="M146" s="54">
        <f t="shared" si="67"/>
        <v>0</v>
      </c>
      <c r="N146" s="129"/>
      <c r="O146" s="54">
        <f t="shared" si="68"/>
        <v>0</v>
      </c>
      <c r="P146" s="54">
        <f t="shared" si="69"/>
        <v>0</v>
      </c>
      <c r="Q146" s="1"/>
    </row>
    <row r="147" spans="2:17" ht="12.5">
      <c r="B147" s="7" t="str">
        <f t="shared" si="42"/>
        <v/>
      </c>
      <c r="C147" s="50">
        <f>IF(D93="","-",+C146+1)</f>
        <v>2058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70"/>
        <v>0</v>
      </c>
      <c r="G147" s="55">
        <f t="shared" si="63"/>
        <v>0</v>
      </c>
      <c r="H147" s="380">
        <f t="shared" si="64"/>
        <v>0</v>
      </c>
      <c r="I147" s="399">
        <f t="shared" si="65"/>
        <v>0</v>
      </c>
      <c r="J147" s="54">
        <f t="shared" si="66"/>
        <v>0</v>
      </c>
      <c r="K147" s="54"/>
      <c r="L147" s="129"/>
      <c r="M147" s="54">
        <f t="shared" si="67"/>
        <v>0</v>
      </c>
      <c r="N147" s="129"/>
      <c r="O147" s="54">
        <f t="shared" si="68"/>
        <v>0</v>
      </c>
      <c r="P147" s="54">
        <f t="shared" si="69"/>
        <v>0</v>
      </c>
      <c r="Q147" s="1"/>
    </row>
    <row r="148" spans="2:17" ht="12.5">
      <c r="B148" s="7" t="str">
        <f t="shared" si="42"/>
        <v/>
      </c>
      <c r="C148" s="50">
        <f>IF(D93="","-",+C147+1)</f>
        <v>2059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70"/>
        <v>0</v>
      </c>
      <c r="G148" s="55">
        <f t="shared" si="63"/>
        <v>0</v>
      </c>
      <c r="H148" s="380">
        <f t="shared" si="64"/>
        <v>0</v>
      </c>
      <c r="I148" s="399">
        <f t="shared" si="65"/>
        <v>0</v>
      </c>
      <c r="J148" s="54">
        <f t="shared" si="66"/>
        <v>0</v>
      </c>
      <c r="K148" s="54"/>
      <c r="L148" s="129"/>
      <c r="M148" s="54">
        <f t="shared" si="67"/>
        <v>0</v>
      </c>
      <c r="N148" s="129"/>
      <c r="O148" s="54">
        <f t="shared" si="68"/>
        <v>0</v>
      </c>
      <c r="P148" s="54">
        <f t="shared" si="69"/>
        <v>0</v>
      </c>
      <c r="Q148" s="1"/>
    </row>
    <row r="149" spans="2:17" ht="12.5">
      <c r="B149" s="7" t="str">
        <f t="shared" si="42"/>
        <v/>
      </c>
      <c r="C149" s="50">
        <f>IF(D93="","-",+C148+1)</f>
        <v>2060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70"/>
        <v>0</v>
      </c>
      <c r="G149" s="55">
        <f t="shared" si="63"/>
        <v>0</v>
      </c>
      <c r="H149" s="380">
        <f t="shared" si="64"/>
        <v>0</v>
      </c>
      <c r="I149" s="399">
        <f t="shared" si="65"/>
        <v>0</v>
      </c>
      <c r="J149" s="54">
        <f t="shared" si="66"/>
        <v>0</v>
      </c>
      <c r="K149" s="54"/>
      <c r="L149" s="129"/>
      <c r="M149" s="54">
        <f t="shared" si="67"/>
        <v>0</v>
      </c>
      <c r="N149" s="129"/>
      <c r="O149" s="54">
        <f t="shared" si="68"/>
        <v>0</v>
      </c>
      <c r="P149" s="54">
        <f t="shared" si="69"/>
        <v>0</v>
      </c>
      <c r="Q149" s="1"/>
    </row>
    <row r="150" spans="2:17" ht="12.5">
      <c r="B150" s="7" t="str">
        <f t="shared" si="42"/>
        <v/>
      </c>
      <c r="C150" s="50">
        <f>IF(D93="","-",+C149+1)</f>
        <v>2061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70"/>
        <v>0</v>
      </c>
      <c r="G150" s="55">
        <f t="shared" si="63"/>
        <v>0</v>
      </c>
      <c r="H150" s="380">
        <f t="shared" si="64"/>
        <v>0</v>
      </c>
      <c r="I150" s="399">
        <f t="shared" si="65"/>
        <v>0</v>
      </c>
      <c r="J150" s="54">
        <f t="shared" si="66"/>
        <v>0</v>
      </c>
      <c r="K150" s="54"/>
      <c r="L150" s="129"/>
      <c r="M150" s="54">
        <f t="shared" si="67"/>
        <v>0</v>
      </c>
      <c r="N150" s="129"/>
      <c r="O150" s="54">
        <f t="shared" si="68"/>
        <v>0</v>
      </c>
      <c r="P150" s="54">
        <f t="shared" si="69"/>
        <v>0</v>
      </c>
      <c r="Q150" s="1"/>
    </row>
    <row r="151" spans="2:17" ht="12.5">
      <c r="B151" s="7" t="str">
        <f t="shared" si="42"/>
        <v/>
      </c>
      <c r="C151" s="50">
        <f>IF(D93="","-",+C150+1)</f>
        <v>2062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70"/>
        <v>0</v>
      </c>
      <c r="G151" s="55">
        <f t="shared" si="63"/>
        <v>0</v>
      </c>
      <c r="H151" s="380">
        <f t="shared" si="64"/>
        <v>0</v>
      </c>
      <c r="I151" s="399">
        <f t="shared" si="65"/>
        <v>0</v>
      </c>
      <c r="J151" s="54">
        <f t="shared" si="66"/>
        <v>0</v>
      </c>
      <c r="K151" s="54"/>
      <c r="L151" s="129"/>
      <c r="M151" s="54">
        <f t="shared" si="67"/>
        <v>0</v>
      </c>
      <c r="N151" s="129"/>
      <c r="O151" s="54">
        <f t="shared" si="68"/>
        <v>0</v>
      </c>
      <c r="P151" s="54">
        <f t="shared" si="69"/>
        <v>0</v>
      </c>
      <c r="Q151" s="1"/>
    </row>
    <row r="152" spans="2:17" ht="12.5">
      <c r="B152" s="7" t="str">
        <f t="shared" si="42"/>
        <v/>
      </c>
      <c r="C152" s="50">
        <f>IF(D93="","-",+C151+1)</f>
        <v>2063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70"/>
        <v>0</v>
      </c>
      <c r="G152" s="55">
        <f t="shared" si="63"/>
        <v>0</v>
      </c>
      <c r="H152" s="380">
        <f t="shared" si="64"/>
        <v>0</v>
      </c>
      <c r="I152" s="399">
        <f t="shared" si="65"/>
        <v>0</v>
      </c>
      <c r="J152" s="54">
        <f t="shared" si="66"/>
        <v>0</v>
      </c>
      <c r="K152" s="54"/>
      <c r="L152" s="129"/>
      <c r="M152" s="54">
        <f t="shared" si="67"/>
        <v>0</v>
      </c>
      <c r="N152" s="129"/>
      <c r="O152" s="54">
        <f t="shared" si="68"/>
        <v>0</v>
      </c>
      <c r="P152" s="54">
        <f t="shared" si="69"/>
        <v>0</v>
      </c>
      <c r="Q152" s="1"/>
    </row>
    <row r="153" spans="2:17" ht="12.5">
      <c r="B153" s="7" t="str">
        <f t="shared" si="42"/>
        <v/>
      </c>
      <c r="C153" s="50">
        <f>IF(D93="","-",+C152+1)</f>
        <v>2064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70"/>
        <v>0</v>
      </c>
      <c r="G153" s="55">
        <f t="shared" si="63"/>
        <v>0</v>
      </c>
      <c r="H153" s="380">
        <f t="shared" si="64"/>
        <v>0</v>
      </c>
      <c r="I153" s="399">
        <f t="shared" si="65"/>
        <v>0</v>
      </c>
      <c r="J153" s="54">
        <f t="shared" si="66"/>
        <v>0</v>
      </c>
      <c r="K153" s="54"/>
      <c r="L153" s="129"/>
      <c r="M153" s="54">
        <f t="shared" si="67"/>
        <v>0</v>
      </c>
      <c r="N153" s="129"/>
      <c r="O153" s="54">
        <f t="shared" si="68"/>
        <v>0</v>
      </c>
      <c r="P153" s="54">
        <f t="shared" si="69"/>
        <v>0</v>
      </c>
      <c r="Q153" s="1"/>
    </row>
    <row r="154" spans="2:17" ht="13" thickBot="1">
      <c r="B154" s="7" t="str">
        <f t="shared" si="42"/>
        <v/>
      </c>
      <c r="C154" s="59">
        <f>IF(D93="","-",+C153+1)</f>
        <v>2065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70"/>
        <v>0</v>
      </c>
      <c r="G154" s="60">
        <f t="shared" si="63"/>
        <v>0</v>
      </c>
      <c r="H154" s="382">
        <f t="shared" si="64"/>
        <v>0</v>
      </c>
      <c r="I154" s="400">
        <f t="shared" si="65"/>
        <v>0</v>
      </c>
      <c r="J154" s="64">
        <f t="shared" si="66"/>
        <v>0</v>
      </c>
      <c r="K154" s="54"/>
      <c r="L154" s="130"/>
      <c r="M154" s="64">
        <f t="shared" si="67"/>
        <v>0</v>
      </c>
      <c r="N154" s="130"/>
      <c r="O154" s="64">
        <f t="shared" si="68"/>
        <v>0</v>
      </c>
      <c r="P154" s="64">
        <f t="shared" si="69"/>
        <v>0</v>
      </c>
      <c r="Q154" s="1"/>
    </row>
    <row r="155" spans="2:17" ht="12.5">
      <c r="C155" s="12" t="s">
        <v>78</v>
      </c>
      <c r="D155" s="293"/>
      <c r="E155" s="293">
        <f>SUM(E99:E154)</f>
        <v>4795139</v>
      </c>
      <c r="F155" s="293"/>
      <c r="G155" s="293"/>
      <c r="H155" s="293">
        <f>SUM(H99:H154)</f>
        <v>17810556.487831309</v>
      </c>
      <c r="I155" s="293">
        <f>SUM(I99:I154)</f>
        <v>17810556.487831309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 ht="12.5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 ht="12.5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  <row r="1048576" spans="12:14" ht="12.75" customHeight="1">
      <c r="L1048576" s="113">
        <f>H1048576</f>
        <v>0</v>
      </c>
      <c r="M1048576" s="54">
        <f>IF(L1048576&lt;&gt;0,+H1048576-L1048576,0)</f>
        <v>0</v>
      </c>
      <c r="N1048576" s="113">
        <f>I1048576</f>
        <v>0</v>
      </c>
    </row>
  </sheetData>
  <phoneticPr fontId="0" type="noConversion"/>
  <conditionalFormatting sqref="C17:C72">
    <cfRule type="cellIs" dxfId="111" priority="1" stopIfTrue="1" operator="equal">
      <formula>$I$10</formula>
    </cfRule>
  </conditionalFormatting>
  <conditionalFormatting sqref="C99:C154">
    <cfRule type="cellIs" dxfId="11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5"/>
  <dimension ref="A1:Q162"/>
  <sheetViews>
    <sheetView topLeftCell="C82" zoomScaleNormal="100" zoomScaleSheetLayoutView="75" workbookViewId="0">
      <selection activeCell="D31" sqref="D31:H3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24 of 77</v>
      </c>
      <c r="Q1" s="13"/>
    </row>
    <row r="2" spans="1:17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535832.06805947493</v>
      </c>
      <c r="P5" s="1"/>
    </row>
    <row r="6" spans="1:17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535832.06805947493</v>
      </c>
      <c r="O6" s="1"/>
      <c r="P6" s="1"/>
    </row>
    <row r="7" spans="1:17" ht="13.5" thickBot="1">
      <c r="C7" s="25" t="s">
        <v>48</v>
      </c>
      <c r="D7" s="127" t="s">
        <v>253</v>
      </c>
      <c r="E7" s="1"/>
      <c r="F7" s="1"/>
      <c r="G7" s="29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85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252</v>
      </c>
      <c r="E9" s="31" t="s">
        <v>494</v>
      </c>
      <c r="F9" s="462" t="s">
        <v>505</v>
      </c>
      <c r="G9" s="31"/>
      <c r="H9" s="31"/>
      <c r="I9" s="32"/>
      <c r="J9" s="33"/>
      <c r="P9" s="1"/>
    </row>
    <row r="10" spans="1:17" ht="13">
      <c r="C10" s="34" t="s">
        <v>51</v>
      </c>
      <c r="D10" s="363">
        <v>5250739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7" ht="12.5">
      <c r="C11" s="34" t="s">
        <v>54</v>
      </c>
      <c r="D11" s="37">
        <v>2010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3">
        <v>6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119334.97727272728</v>
      </c>
      <c r="J14" s="293"/>
      <c r="K14" s="293"/>
      <c r="L14" s="293"/>
      <c r="M14" s="293"/>
      <c r="N14" s="293"/>
      <c r="O14" s="1"/>
      <c r="P14" s="1"/>
    </row>
    <row r="15" spans="1:17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2010</v>
      </c>
      <c r="D17" s="133">
        <v>5473000</v>
      </c>
      <c r="E17" s="374">
        <v>72013.15789473684</v>
      </c>
      <c r="F17" s="133">
        <v>5400986.8421052629</v>
      </c>
      <c r="G17" s="374">
        <v>848486.02708834817</v>
      </c>
      <c r="H17" s="375">
        <v>848486.02708834817</v>
      </c>
      <c r="I17" s="141">
        <v>0</v>
      </c>
      <c r="J17" s="52"/>
      <c r="K17" s="112">
        <f t="shared" ref="K17:K22" si="0">G17</f>
        <v>848486.02708834817</v>
      </c>
      <c r="L17" s="53">
        <f t="shared" ref="L17:L48" si="1">IF(K17&lt;&gt;0,+G17-K17,0)</f>
        <v>0</v>
      </c>
      <c r="M17" s="112">
        <f t="shared" ref="M17:M22" si="2">H17</f>
        <v>848486.02708834817</v>
      </c>
      <c r="N17" s="53">
        <f t="shared" ref="N17:N48" si="3">IF(M17&lt;&gt;0,+H17-M17,0)</f>
        <v>0</v>
      </c>
      <c r="O17" s="54">
        <f t="shared" ref="O17:O48" si="4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2011</v>
      </c>
      <c r="D18" s="137">
        <v>5178725.8421052629</v>
      </c>
      <c r="E18" s="376">
        <v>128066.80487804877</v>
      </c>
      <c r="F18" s="137">
        <v>5050659.0372272143</v>
      </c>
      <c r="G18" s="376">
        <v>916940.27252586046</v>
      </c>
      <c r="H18" s="375">
        <v>916940.27252586046</v>
      </c>
      <c r="I18" s="141">
        <v>0</v>
      </c>
      <c r="J18" s="52"/>
      <c r="K18" s="113">
        <f t="shared" si="0"/>
        <v>916940.27252586046</v>
      </c>
      <c r="L18" s="54">
        <f t="shared" si="1"/>
        <v>0</v>
      </c>
      <c r="M18" s="113">
        <f t="shared" si="2"/>
        <v>916940.27252586046</v>
      </c>
      <c r="N18" s="54">
        <f t="shared" si="3"/>
        <v>0</v>
      </c>
      <c r="O18" s="54">
        <f t="shared" si="4"/>
        <v>0</v>
      </c>
      <c r="P18" s="1"/>
    </row>
    <row r="19" spans="2:16" ht="12.5">
      <c r="B19" s="7" t="str">
        <f>IF(D19=F18,"","IU")</f>
        <v/>
      </c>
      <c r="C19" s="50">
        <f>IF(D11="","-",+C18+1)</f>
        <v>2012</v>
      </c>
      <c r="D19" s="137">
        <v>5050659.0372272143</v>
      </c>
      <c r="E19" s="376">
        <v>125017.59523809524</v>
      </c>
      <c r="F19" s="137">
        <v>4925641.4419891192</v>
      </c>
      <c r="G19" s="376">
        <v>857559.68041241798</v>
      </c>
      <c r="H19" s="375">
        <v>857559.68041241798</v>
      </c>
      <c r="I19" s="141">
        <v>0</v>
      </c>
      <c r="J19" s="52"/>
      <c r="K19" s="113">
        <f t="shared" si="0"/>
        <v>857559.68041241798</v>
      </c>
      <c r="L19" s="54">
        <f t="shared" si="1"/>
        <v>0</v>
      </c>
      <c r="M19" s="113">
        <f t="shared" si="2"/>
        <v>857559.68041241798</v>
      </c>
      <c r="N19" s="54">
        <f t="shared" si="3"/>
        <v>0</v>
      </c>
      <c r="O19" s="54">
        <f t="shared" si="4"/>
        <v>0</v>
      </c>
      <c r="P19" s="1"/>
    </row>
    <row r="20" spans="2:16" ht="12.5">
      <c r="B20" s="7" t="str">
        <f t="shared" ref="B20:B72" si="5">IF(D20=F19,"","IU")</f>
        <v/>
      </c>
      <c r="C20" s="50">
        <f>IF(D11="","-",+C19+1)</f>
        <v>2013</v>
      </c>
      <c r="D20" s="137">
        <v>4925641.4419891192</v>
      </c>
      <c r="E20" s="376">
        <v>125017.59523809524</v>
      </c>
      <c r="F20" s="137">
        <v>4800623.846751024</v>
      </c>
      <c r="G20" s="376">
        <v>797042.91968828405</v>
      </c>
      <c r="H20" s="375">
        <v>797042.91968828405</v>
      </c>
      <c r="I20" s="153">
        <v>0</v>
      </c>
      <c r="J20" s="52"/>
      <c r="K20" s="113">
        <f t="shared" si="0"/>
        <v>797042.91968828405</v>
      </c>
      <c r="L20" s="54">
        <f t="shared" ref="L20:L25" si="6">IF(K20&lt;&gt;0,+G20-K20,0)</f>
        <v>0</v>
      </c>
      <c r="M20" s="113">
        <f t="shared" si="2"/>
        <v>797042.91968828405</v>
      </c>
      <c r="N20" s="54">
        <f t="shared" ref="N20:N25" si="7">IF(M20&lt;&gt;0,+H20-M20,0)</f>
        <v>0</v>
      </c>
      <c r="O20" s="54">
        <f t="shared" ref="O20:O25" si="8">+N20-L20</f>
        <v>0</v>
      </c>
      <c r="P20" s="1"/>
    </row>
    <row r="21" spans="2:16" ht="12.5">
      <c r="B21" s="7" t="str">
        <f t="shared" si="5"/>
        <v/>
      </c>
      <c r="C21" s="50">
        <f>IF(D12="","-",+C20+1)</f>
        <v>2014</v>
      </c>
      <c r="D21" s="137">
        <v>4800623.846751024</v>
      </c>
      <c r="E21" s="376">
        <v>125017.59523809524</v>
      </c>
      <c r="F21" s="137">
        <v>4675606.2515129289</v>
      </c>
      <c r="G21" s="376">
        <v>755806.01100655668</v>
      </c>
      <c r="H21" s="375">
        <v>755806.01100655668</v>
      </c>
      <c r="I21" s="153">
        <v>0</v>
      </c>
      <c r="J21" s="52"/>
      <c r="K21" s="113">
        <f t="shared" si="0"/>
        <v>755806.01100655668</v>
      </c>
      <c r="L21" s="54">
        <f t="shared" si="6"/>
        <v>0</v>
      </c>
      <c r="M21" s="113">
        <f t="shared" si="2"/>
        <v>755806.01100655668</v>
      </c>
      <c r="N21" s="54">
        <f t="shared" si="7"/>
        <v>0</v>
      </c>
      <c r="O21" s="54">
        <f t="shared" si="8"/>
        <v>0</v>
      </c>
      <c r="P21" s="1"/>
    </row>
    <row r="22" spans="2:16" ht="12.5">
      <c r="B22" s="7" t="str">
        <f t="shared" si="5"/>
        <v/>
      </c>
      <c r="C22" s="50">
        <f>IF(D11="","-",+C21+1)</f>
        <v>2015</v>
      </c>
      <c r="D22" s="137">
        <v>4675606.2515129289</v>
      </c>
      <c r="E22" s="376">
        <v>125017.59523809524</v>
      </c>
      <c r="F22" s="137">
        <v>4550588.6562748337</v>
      </c>
      <c r="G22" s="376">
        <v>724351.96853237145</v>
      </c>
      <c r="H22" s="375">
        <v>724351.96853237145</v>
      </c>
      <c r="I22" s="52">
        <v>0</v>
      </c>
      <c r="J22" s="52"/>
      <c r="K22" s="113">
        <f t="shared" si="0"/>
        <v>724351.96853237145</v>
      </c>
      <c r="L22" s="54">
        <f t="shared" si="6"/>
        <v>0</v>
      </c>
      <c r="M22" s="113">
        <f t="shared" si="2"/>
        <v>724351.96853237145</v>
      </c>
      <c r="N22" s="54">
        <f t="shared" si="7"/>
        <v>0</v>
      </c>
      <c r="O22" s="54">
        <f t="shared" si="8"/>
        <v>0</v>
      </c>
      <c r="P22" s="1"/>
    </row>
    <row r="23" spans="2:16" ht="12.5">
      <c r="B23" s="7" t="str">
        <f t="shared" si="5"/>
        <v/>
      </c>
      <c r="C23" s="50">
        <f>IF(D11="","-",+C22+1)</f>
        <v>2016</v>
      </c>
      <c r="D23" s="137">
        <v>4550588.6562748337</v>
      </c>
      <c r="E23" s="376">
        <v>125017.59523809524</v>
      </c>
      <c r="F23" s="137">
        <v>4425571.0610367386</v>
      </c>
      <c r="G23" s="376">
        <v>700695.76830220246</v>
      </c>
      <c r="H23" s="375">
        <v>700695.76830220246</v>
      </c>
      <c r="I23" s="52">
        <f t="shared" ref="I23:I48" si="9">H23-G23</f>
        <v>0</v>
      </c>
      <c r="J23" s="52"/>
      <c r="K23" s="113">
        <f t="shared" ref="K23:K28" si="10">G23</f>
        <v>700695.76830220246</v>
      </c>
      <c r="L23" s="54">
        <f t="shared" si="6"/>
        <v>0</v>
      </c>
      <c r="M23" s="113">
        <f t="shared" ref="M23:M28" si="11">H23</f>
        <v>700695.76830220246</v>
      </c>
      <c r="N23" s="54">
        <f t="shared" si="7"/>
        <v>0</v>
      </c>
      <c r="O23" s="54">
        <f t="shared" si="8"/>
        <v>0</v>
      </c>
      <c r="P23" s="1"/>
    </row>
    <row r="24" spans="2:16" ht="12.5">
      <c r="B24" s="7" t="str">
        <f t="shared" si="5"/>
        <v/>
      </c>
      <c r="C24" s="50">
        <f>IF(D11="","-",+C23+1)</f>
        <v>2017</v>
      </c>
      <c r="D24" s="137">
        <v>4425571.0610367386</v>
      </c>
      <c r="E24" s="376">
        <v>122110.20930232559</v>
      </c>
      <c r="F24" s="137">
        <v>4303460.8517344128</v>
      </c>
      <c r="G24" s="376">
        <v>662841.14914820471</v>
      </c>
      <c r="H24" s="375">
        <v>662841.14914820471</v>
      </c>
      <c r="I24" s="52">
        <f t="shared" si="9"/>
        <v>0</v>
      </c>
      <c r="J24" s="52"/>
      <c r="K24" s="113">
        <f t="shared" si="10"/>
        <v>662841.14914820471</v>
      </c>
      <c r="L24" s="54">
        <f t="shared" si="6"/>
        <v>0</v>
      </c>
      <c r="M24" s="113">
        <f t="shared" si="11"/>
        <v>662841.14914820471</v>
      </c>
      <c r="N24" s="54">
        <f t="shared" si="7"/>
        <v>0</v>
      </c>
      <c r="O24" s="54">
        <f t="shared" si="8"/>
        <v>0</v>
      </c>
      <c r="P24" s="1"/>
    </row>
    <row r="25" spans="2:16" ht="12.5">
      <c r="B25" s="7" t="str">
        <f t="shared" si="5"/>
        <v/>
      </c>
      <c r="C25" s="50">
        <f>IF(D11="","-",+C24+1)</f>
        <v>2018</v>
      </c>
      <c r="D25" s="137">
        <v>4303460.8517344128</v>
      </c>
      <c r="E25" s="376">
        <v>128066.80487804877</v>
      </c>
      <c r="F25" s="137">
        <v>4175394.0468563642</v>
      </c>
      <c r="G25" s="376">
        <v>666873.01651797513</v>
      </c>
      <c r="H25" s="375">
        <v>666873.01651797513</v>
      </c>
      <c r="I25" s="52">
        <f t="shared" si="9"/>
        <v>0</v>
      </c>
      <c r="J25" s="52"/>
      <c r="K25" s="113">
        <f t="shared" si="10"/>
        <v>666873.01651797513</v>
      </c>
      <c r="L25" s="54">
        <f t="shared" si="6"/>
        <v>0</v>
      </c>
      <c r="M25" s="113">
        <f t="shared" si="11"/>
        <v>666873.01651797513</v>
      </c>
      <c r="N25" s="54">
        <f t="shared" si="7"/>
        <v>0</v>
      </c>
      <c r="O25" s="54">
        <f t="shared" si="8"/>
        <v>0</v>
      </c>
      <c r="P25" s="1"/>
    </row>
    <row r="26" spans="2:16" ht="12.5">
      <c r="B26" s="7" t="str">
        <f t="shared" si="5"/>
        <v/>
      </c>
      <c r="C26" s="50">
        <f>IF(D11="","-",+C25+1)</f>
        <v>2019</v>
      </c>
      <c r="D26" s="137">
        <v>4175394.0468563642</v>
      </c>
      <c r="E26" s="376">
        <v>128066.80487804877</v>
      </c>
      <c r="F26" s="137">
        <v>4047327.2419783156</v>
      </c>
      <c r="G26" s="376">
        <v>650596.48134937836</v>
      </c>
      <c r="H26" s="375">
        <v>650596.48134937836</v>
      </c>
      <c r="I26" s="52">
        <f t="shared" si="9"/>
        <v>0</v>
      </c>
      <c r="J26" s="52"/>
      <c r="K26" s="113">
        <f t="shared" si="10"/>
        <v>650596.48134937836</v>
      </c>
      <c r="L26" s="54">
        <f t="shared" ref="L26" si="12">IF(K26&lt;&gt;0,+G26-K26,0)</f>
        <v>0</v>
      </c>
      <c r="M26" s="113">
        <f t="shared" si="11"/>
        <v>650596.48134937836</v>
      </c>
      <c r="N26" s="54">
        <f t="shared" si="3"/>
        <v>0</v>
      </c>
      <c r="O26" s="54">
        <f t="shared" si="4"/>
        <v>0</v>
      </c>
      <c r="P26" s="1"/>
    </row>
    <row r="27" spans="2:16" ht="12.5">
      <c r="B27" s="7" t="str">
        <f t="shared" si="5"/>
        <v/>
      </c>
      <c r="C27" s="50">
        <f>IF(D11="","-",+C26+1)</f>
        <v>2020</v>
      </c>
      <c r="D27" s="137">
        <v>4047327.2419783156</v>
      </c>
      <c r="E27" s="376">
        <v>128066.80487804877</v>
      </c>
      <c r="F27" s="137">
        <v>3919260.437100267</v>
      </c>
      <c r="G27" s="376">
        <v>535698.99348841433</v>
      </c>
      <c r="H27" s="375">
        <v>535698.99348841433</v>
      </c>
      <c r="I27" s="52">
        <f t="shared" si="9"/>
        <v>0</v>
      </c>
      <c r="J27" s="52"/>
      <c r="K27" s="113">
        <f t="shared" si="10"/>
        <v>535698.99348841433</v>
      </c>
      <c r="L27" s="54">
        <f t="shared" ref="L27" si="13">IF(K27&lt;&gt;0,+G27-K27,0)</f>
        <v>0</v>
      </c>
      <c r="M27" s="113">
        <f t="shared" si="11"/>
        <v>535698.99348841433</v>
      </c>
      <c r="N27" s="54">
        <f t="shared" si="3"/>
        <v>0</v>
      </c>
      <c r="O27" s="54">
        <f t="shared" si="4"/>
        <v>0</v>
      </c>
      <c r="P27" s="1"/>
    </row>
    <row r="28" spans="2:16" ht="12.5">
      <c r="B28" s="7" t="str">
        <f t="shared" si="5"/>
        <v>IU</v>
      </c>
      <c r="C28" s="50">
        <f>IF(D11="","-",+C27+1)</f>
        <v>2021</v>
      </c>
      <c r="D28" s="137">
        <v>3925217.0326759894</v>
      </c>
      <c r="E28" s="376">
        <v>125017.59523809524</v>
      </c>
      <c r="F28" s="137">
        <v>3800199.4374378943</v>
      </c>
      <c r="G28" s="376">
        <v>534482.22432769614</v>
      </c>
      <c r="H28" s="375">
        <v>534482.22432769614</v>
      </c>
      <c r="I28" s="52">
        <f t="shared" si="9"/>
        <v>0</v>
      </c>
      <c r="J28" s="52"/>
      <c r="K28" s="113">
        <f t="shared" si="10"/>
        <v>534482.22432769614</v>
      </c>
      <c r="L28" s="54">
        <f t="shared" ref="L28" si="14">IF(K28&lt;&gt;0,+G28-K28,0)</f>
        <v>0</v>
      </c>
      <c r="M28" s="113">
        <f t="shared" si="11"/>
        <v>534482.22432769614</v>
      </c>
      <c r="N28" s="54">
        <f t="shared" si="3"/>
        <v>0</v>
      </c>
      <c r="O28" s="54">
        <f t="shared" si="4"/>
        <v>0</v>
      </c>
      <c r="P28" s="1"/>
    </row>
    <row r="29" spans="2:16" ht="12.5">
      <c r="B29" s="7" t="str">
        <f t="shared" si="5"/>
        <v>IU</v>
      </c>
      <c r="C29" s="50">
        <f>IF(D11="","-",+C28+1)</f>
        <v>2022</v>
      </c>
      <c r="D29" s="137">
        <v>3794242.841862171</v>
      </c>
      <c r="E29" s="376">
        <v>125017.59523809524</v>
      </c>
      <c r="F29" s="137">
        <v>3669225.2466240758</v>
      </c>
      <c r="G29" s="376">
        <v>544629.05965082115</v>
      </c>
      <c r="H29" s="375">
        <v>544629.05965082115</v>
      </c>
      <c r="I29" s="52">
        <f t="shared" si="9"/>
        <v>0</v>
      </c>
      <c r="J29" s="52"/>
      <c r="K29" s="113">
        <f t="shared" ref="K29" si="15">G29</f>
        <v>544629.05965082115</v>
      </c>
      <c r="L29" s="54">
        <f t="shared" ref="L29" si="16">IF(K29&lt;&gt;0,+G29-K29,0)</f>
        <v>0</v>
      </c>
      <c r="M29" s="113">
        <f t="shared" ref="M29" si="17">H29</f>
        <v>544629.05965082115</v>
      </c>
      <c r="N29" s="54">
        <f t="shared" si="3"/>
        <v>0</v>
      </c>
      <c r="O29" s="54">
        <f t="shared" si="4"/>
        <v>0</v>
      </c>
      <c r="P29" s="1"/>
    </row>
    <row r="30" spans="2:16" ht="12.5">
      <c r="B30" s="7" t="str">
        <f t="shared" si="5"/>
        <v/>
      </c>
      <c r="C30" s="50">
        <f>IF(D11="","-",+C29+1)</f>
        <v>2023</v>
      </c>
      <c r="D30" s="137">
        <v>3669225.2466240758</v>
      </c>
      <c r="E30" s="376">
        <v>125017.59523809524</v>
      </c>
      <c r="F30" s="137">
        <v>3544207.6513859807</v>
      </c>
      <c r="G30" s="376">
        <v>580642.49939418666</v>
      </c>
      <c r="H30" s="375">
        <v>580642.49939418666</v>
      </c>
      <c r="I30" s="52">
        <f t="shared" si="9"/>
        <v>0</v>
      </c>
      <c r="J30" s="52"/>
      <c r="K30" s="113">
        <f t="shared" ref="K30" si="18">G30</f>
        <v>580642.49939418666</v>
      </c>
      <c r="L30" s="54">
        <f t="shared" ref="L30" si="19">IF(K30&lt;&gt;0,+G30-K30,0)</f>
        <v>0</v>
      </c>
      <c r="M30" s="113">
        <f t="shared" ref="M30" si="20">H30</f>
        <v>580642.49939418666</v>
      </c>
      <c r="N30" s="54">
        <f t="shared" si="3"/>
        <v>0</v>
      </c>
      <c r="O30" s="54">
        <f t="shared" si="4"/>
        <v>0</v>
      </c>
      <c r="P30" s="1"/>
    </row>
    <row r="31" spans="2:16" ht="12.5">
      <c r="B31" s="7" t="str">
        <f t="shared" si="5"/>
        <v/>
      </c>
      <c r="C31" s="50">
        <f>IF(D11="","-",+C30+1)</f>
        <v>2024</v>
      </c>
      <c r="D31" s="137">
        <v>3544207.6513859807</v>
      </c>
      <c r="E31" s="376">
        <v>119334.97727272728</v>
      </c>
      <c r="F31" s="137">
        <v>3424872.6741132536</v>
      </c>
      <c r="G31" s="376">
        <v>535832.06805947493</v>
      </c>
      <c r="H31" s="375">
        <v>535832.06805947493</v>
      </c>
      <c r="I31" s="52">
        <f t="shared" si="9"/>
        <v>0</v>
      </c>
      <c r="J31" s="52"/>
      <c r="K31" s="113">
        <f t="shared" ref="K31" si="21">G31</f>
        <v>535832.06805947493</v>
      </c>
      <c r="L31" s="54">
        <f t="shared" ref="L31" si="22">IF(K31&lt;&gt;0,+G31-K31,0)</f>
        <v>0</v>
      </c>
      <c r="M31" s="113">
        <f t="shared" ref="M31" si="23">H31</f>
        <v>535832.06805947493</v>
      </c>
      <c r="N31" s="54">
        <f t="shared" ref="N31" si="24">IF(M31&lt;&gt;0,+H31-M31,0)</f>
        <v>0</v>
      </c>
      <c r="O31" s="54">
        <f t="shared" ref="O31" si="25">+N31-L31</f>
        <v>0</v>
      </c>
      <c r="P31" s="1"/>
    </row>
    <row r="32" spans="2:16" ht="12.5">
      <c r="B32" s="7" t="str">
        <f t="shared" si="5"/>
        <v/>
      </c>
      <c r="C32" s="50">
        <f>IF(D11="","-",+C31+1)</f>
        <v>2025</v>
      </c>
      <c r="D32" s="55">
        <f>IF(F31+SUM(E$17:E31)=D$10,F31,D$10-SUM(E$17:E31))</f>
        <v>3424872.6741132536</v>
      </c>
      <c r="E32" s="378">
        <f>IF(+I14&lt;F31,I14,D32)</f>
        <v>119334.97727272728</v>
      </c>
      <c r="F32" s="55">
        <f t="shared" ref="F32:F48" si="26">+D32-E32</f>
        <v>3305537.6968405265</v>
      </c>
      <c r="G32" s="379">
        <f t="shared" ref="G32:G55" si="27">+I$12*((D32+F32)/2)+E32</f>
        <v>521568.30052006629</v>
      </c>
      <c r="H32" s="364">
        <f t="shared" ref="H32:H55" si="28">+I$13*((D32+F32)/2)+E32</f>
        <v>521568.30052006629</v>
      </c>
      <c r="I32" s="52">
        <f t="shared" si="9"/>
        <v>0</v>
      </c>
      <c r="J32" s="52"/>
      <c r="K32" s="129"/>
      <c r="L32" s="54">
        <f t="shared" si="1"/>
        <v>0</v>
      </c>
      <c r="M32" s="129"/>
      <c r="N32" s="54">
        <f t="shared" si="3"/>
        <v>0</v>
      </c>
      <c r="O32" s="54">
        <f t="shared" si="4"/>
        <v>0</v>
      </c>
      <c r="P32" s="1"/>
    </row>
    <row r="33" spans="2:16" ht="12.5">
      <c r="B33" s="7" t="str">
        <f t="shared" si="5"/>
        <v/>
      </c>
      <c r="C33" s="50">
        <f>IF(D11="","-",+C32+1)</f>
        <v>2026</v>
      </c>
      <c r="D33" s="55">
        <f>IF(F32+SUM(E$17:E32)=D$10,F32,D$10-SUM(E$17:E32))</f>
        <v>3305537.6968405265</v>
      </c>
      <c r="E33" s="378">
        <f>IF(+I14&lt;F32,I14,D33)</f>
        <v>119334.97727272728</v>
      </c>
      <c r="F33" s="55">
        <f t="shared" si="26"/>
        <v>3186202.7195677995</v>
      </c>
      <c r="G33" s="379">
        <f t="shared" si="27"/>
        <v>507304.53298065776</v>
      </c>
      <c r="H33" s="364">
        <f t="shared" si="28"/>
        <v>507304.53298065776</v>
      </c>
      <c r="I33" s="52">
        <f t="shared" si="9"/>
        <v>0</v>
      </c>
      <c r="J33" s="52"/>
      <c r="K33" s="129"/>
      <c r="L33" s="54">
        <f t="shared" si="1"/>
        <v>0</v>
      </c>
      <c r="M33" s="129"/>
      <c r="N33" s="54">
        <f t="shared" si="3"/>
        <v>0</v>
      </c>
      <c r="O33" s="54">
        <f t="shared" si="4"/>
        <v>0</v>
      </c>
      <c r="P33" s="1"/>
    </row>
    <row r="34" spans="2:16" ht="12.5">
      <c r="B34" s="7" t="str">
        <f t="shared" si="5"/>
        <v/>
      </c>
      <c r="C34" s="50">
        <f>IF(D11="","-",+C33+1)</f>
        <v>2027</v>
      </c>
      <c r="D34" s="55">
        <f>IF(F33+SUM(E$17:E33)=D$10,F33,D$10-SUM(E$17:E33))</f>
        <v>3186202.7195677995</v>
      </c>
      <c r="E34" s="378">
        <f>IF(+I14&lt;F33,I14,D34)</f>
        <v>119334.97727272728</v>
      </c>
      <c r="F34" s="55">
        <f t="shared" si="26"/>
        <v>3066867.7422950724</v>
      </c>
      <c r="G34" s="379">
        <f t="shared" si="27"/>
        <v>493040.76544124912</v>
      </c>
      <c r="H34" s="364">
        <f t="shared" si="28"/>
        <v>493040.76544124912</v>
      </c>
      <c r="I34" s="52">
        <f t="shared" si="9"/>
        <v>0</v>
      </c>
      <c r="J34" s="52"/>
      <c r="K34" s="129"/>
      <c r="L34" s="54">
        <f t="shared" si="1"/>
        <v>0</v>
      </c>
      <c r="M34" s="129"/>
      <c r="N34" s="54">
        <f t="shared" si="3"/>
        <v>0</v>
      </c>
      <c r="O34" s="54">
        <f t="shared" si="4"/>
        <v>0</v>
      </c>
      <c r="P34" s="1"/>
    </row>
    <row r="35" spans="2:16" ht="12.5">
      <c r="B35" s="7" t="str">
        <f t="shared" si="5"/>
        <v/>
      </c>
      <c r="C35" s="50">
        <f>IF(D11="","-",+C34+1)</f>
        <v>2028</v>
      </c>
      <c r="D35" s="55">
        <f>IF(F34+SUM(E$17:E34)=D$10,F34,D$10-SUM(E$17:E34))</f>
        <v>3066867.7422950724</v>
      </c>
      <c r="E35" s="378">
        <f>IF(+I14&lt;F34,I14,D35)</f>
        <v>119334.97727272728</v>
      </c>
      <c r="F35" s="55">
        <f t="shared" si="26"/>
        <v>2947532.7650223454</v>
      </c>
      <c r="G35" s="379">
        <f t="shared" si="27"/>
        <v>478776.9979018406</v>
      </c>
      <c r="H35" s="364">
        <f t="shared" si="28"/>
        <v>478776.9979018406</v>
      </c>
      <c r="I35" s="52">
        <f t="shared" si="9"/>
        <v>0</v>
      </c>
      <c r="J35" s="52"/>
      <c r="K35" s="129"/>
      <c r="L35" s="54">
        <f t="shared" si="1"/>
        <v>0</v>
      </c>
      <c r="M35" s="129"/>
      <c r="N35" s="54">
        <f t="shared" si="3"/>
        <v>0</v>
      </c>
      <c r="O35" s="54">
        <f t="shared" si="4"/>
        <v>0</v>
      </c>
      <c r="P35" s="1"/>
    </row>
    <row r="36" spans="2:16" ht="12.5">
      <c r="B36" s="7" t="str">
        <f t="shared" si="5"/>
        <v/>
      </c>
      <c r="C36" s="50">
        <f>IF(D11="","-",+C35+1)</f>
        <v>2029</v>
      </c>
      <c r="D36" s="55">
        <f>IF(F35+SUM(E$17:E35)=D$10,F35,D$10-SUM(E$17:E35))</f>
        <v>2947532.7650223454</v>
      </c>
      <c r="E36" s="378">
        <f>IF(+I14&lt;F35,I14,D36)</f>
        <v>119334.97727272728</v>
      </c>
      <c r="F36" s="55">
        <f t="shared" si="26"/>
        <v>2828197.7877496183</v>
      </c>
      <c r="G36" s="379">
        <f t="shared" si="27"/>
        <v>464513.23036243196</v>
      </c>
      <c r="H36" s="364">
        <f t="shared" si="28"/>
        <v>464513.23036243196</v>
      </c>
      <c r="I36" s="52">
        <f t="shared" si="9"/>
        <v>0</v>
      </c>
      <c r="J36" s="52"/>
      <c r="K36" s="129"/>
      <c r="L36" s="54">
        <f t="shared" si="1"/>
        <v>0</v>
      </c>
      <c r="M36" s="129"/>
      <c r="N36" s="54">
        <f t="shared" si="3"/>
        <v>0</v>
      </c>
      <c r="O36" s="54">
        <f t="shared" si="4"/>
        <v>0</v>
      </c>
      <c r="P36" s="1"/>
    </row>
    <row r="37" spans="2:16" ht="12.5">
      <c r="B37" s="7" t="str">
        <f t="shared" si="5"/>
        <v/>
      </c>
      <c r="C37" s="50">
        <f>IF(D11="","-",+C36+1)</f>
        <v>2030</v>
      </c>
      <c r="D37" s="55">
        <f>IF(F36+SUM(E$17:E36)=D$10,F36,D$10-SUM(E$17:E36))</f>
        <v>2828197.7877496183</v>
      </c>
      <c r="E37" s="378">
        <f>IF(+I14&lt;F36,I14,D37)</f>
        <v>119334.97727272728</v>
      </c>
      <c r="F37" s="55">
        <f t="shared" si="26"/>
        <v>2708862.8104768912</v>
      </c>
      <c r="G37" s="379">
        <f t="shared" si="27"/>
        <v>450249.46282302344</v>
      </c>
      <c r="H37" s="364">
        <f t="shared" si="28"/>
        <v>450249.46282302344</v>
      </c>
      <c r="I37" s="52">
        <f t="shared" si="9"/>
        <v>0</v>
      </c>
      <c r="J37" s="52"/>
      <c r="K37" s="129"/>
      <c r="L37" s="54">
        <f t="shared" si="1"/>
        <v>0</v>
      </c>
      <c r="M37" s="129"/>
      <c r="N37" s="54">
        <f t="shared" si="3"/>
        <v>0</v>
      </c>
      <c r="O37" s="54">
        <f t="shared" si="4"/>
        <v>0</v>
      </c>
      <c r="P37" s="1"/>
    </row>
    <row r="38" spans="2:16" ht="12.5">
      <c r="B38" s="7" t="str">
        <f t="shared" si="5"/>
        <v/>
      </c>
      <c r="C38" s="50">
        <f>IF(D11="","-",+C37+1)</f>
        <v>2031</v>
      </c>
      <c r="D38" s="55">
        <f>IF(F37+SUM(E$17:E37)=D$10,F37,D$10-SUM(E$17:E37))</f>
        <v>2708862.8104768912</v>
      </c>
      <c r="E38" s="378">
        <f>IF(+I14&lt;F37,I14,D38)</f>
        <v>119334.97727272728</v>
      </c>
      <c r="F38" s="55">
        <f t="shared" si="26"/>
        <v>2589527.8332041642</v>
      </c>
      <c r="G38" s="379">
        <f t="shared" si="27"/>
        <v>435985.6952836148</v>
      </c>
      <c r="H38" s="364">
        <f t="shared" si="28"/>
        <v>435985.6952836148</v>
      </c>
      <c r="I38" s="52">
        <f t="shared" si="9"/>
        <v>0</v>
      </c>
      <c r="J38" s="52"/>
      <c r="K38" s="129"/>
      <c r="L38" s="54">
        <f t="shared" si="1"/>
        <v>0</v>
      </c>
      <c r="M38" s="129"/>
      <c r="N38" s="54">
        <f t="shared" si="3"/>
        <v>0</v>
      </c>
      <c r="O38" s="54">
        <f t="shared" si="4"/>
        <v>0</v>
      </c>
      <c r="P38" s="1"/>
    </row>
    <row r="39" spans="2:16" ht="12.5">
      <c r="B39" s="7" t="str">
        <f t="shared" si="5"/>
        <v/>
      </c>
      <c r="C39" s="50">
        <f>IF(D11="","-",+C38+1)</f>
        <v>2032</v>
      </c>
      <c r="D39" s="55">
        <f>IF(F38+SUM(E$17:E38)=D$10,F38,D$10-SUM(E$17:E38))</f>
        <v>2589527.8332041642</v>
      </c>
      <c r="E39" s="378">
        <f>IF(+I14&lt;F38,I14,D39)</f>
        <v>119334.97727272728</v>
      </c>
      <c r="F39" s="55">
        <f t="shared" si="26"/>
        <v>2470192.8559314371</v>
      </c>
      <c r="G39" s="379">
        <f t="shared" si="27"/>
        <v>421721.92774420633</v>
      </c>
      <c r="H39" s="364">
        <f t="shared" si="28"/>
        <v>421721.92774420633</v>
      </c>
      <c r="I39" s="52">
        <f t="shared" si="9"/>
        <v>0</v>
      </c>
      <c r="J39" s="52"/>
      <c r="K39" s="129"/>
      <c r="L39" s="54">
        <f t="shared" si="1"/>
        <v>0</v>
      </c>
      <c r="M39" s="129"/>
      <c r="N39" s="54">
        <f t="shared" si="3"/>
        <v>0</v>
      </c>
      <c r="O39" s="54">
        <f t="shared" si="4"/>
        <v>0</v>
      </c>
      <c r="P39" s="1"/>
    </row>
    <row r="40" spans="2:16" ht="12.5">
      <c r="B40" s="7" t="str">
        <f t="shared" si="5"/>
        <v/>
      </c>
      <c r="C40" s="50">
        <f>IF(D11="","-",+C39+1)</f>
        <v>2033</v>
      </c>
      <c r="D40" s="55">
        <f>IF(F39+SUM(E$17:E39)=D$10,F39,D$10-SUM(E$17:E39))</f>
        <v>2470192.8559314371</v>
      </c>
      <c r="E40" s="378">
        <f>IF(+I14&lt;F39,I14,D40)</f>
        <v>119334.97727272728</v>
      </c>
      <c r="F40" s="55">
        <f t="shared" si="26"/>
        <v>2350857.87865871</v>
      </c>
      <c r="G40" s="379">
        <f t="shared" si="27"/>
        <v>407458.16020479769</v>
      </c>
      <c r="H40" s="364">
        <f t="shared" si="28"/>
        <v>407458.16020479769</v>
      </c>
      <c r="I40" s="52">
        <f t="shared" si="9"/>
        <v>0</v>
      </c>
      <c r="J40" s="52"/>
      <c r="K40" s="129"/>
      <c r="L40" s="54">
        <f t="shared" si="1"/>
        <v>0</v>
      </c>
      <c r="M40" s="129"/>
      <c r="N40" s="54">
        <f t="shared" si="3"/>
        <v>0</v>
      </c>
      <c r="O40" s="54">
        <f t="shared" si="4"/>
        <v>0</v>
      </c>
      <c r="P40" s="1"/>
    </row>
    <row r="41" spans="2:16" ht="12.5">
      <c r="B41" s="7" t="str">
        <f t="shared" si="5"/>
        <v/>
      </c>
      <c r="C41" s="50">
        <f>IF(D11="","-",+C40+1)</f>
        <v>2034</v>
      </c>
      <c r="D41" s="55">
        <f>IF(F40+SUM(E$17:E40)=D$10,F40,D$10-SUM(E$17:E40))</f>
        <v>2350857.87865871</v>
      </c>
      <c r="E41" s="378">
        <f>IF(+I14&lt;F40,I14,D41)</f>
        <v>119334.97727272728</v>
      </c>
      <c r="F41" s="55">
        <f t="shared" si="26"/>
        <v>2231522.901385983</v>
      </c>
      <c r="G41" s="379">
        <f t="shared" si="27"/>
        <v>393194.39266538917</v>
      </c>
      <c r="H41" s="364">
        <f t="shared" si="28"/>
        <v>393194.39266538917</v>
      </c>
      <c r="I41" s="52">
        <f t="shared" si="9"/>
        <v>0</v>
      </c>
      <c r="J41" s="52"/>
      <c r="K41" s="129"/>
      <c r="L41" s="54">
        <f t="shared" si="1"/>
        <v>0</v>
      </c>
      <c r="M41" s="129"/>
      <c r="N41" s="54">
        <f t="shared" si="3"/>
        <v>0</v>
      </c>
      <c r="O41" s="54">
        <f t="shared" si="4"/>
        <v>0</v>
      </c>
      <c r="P41" s="1"/>
    </row>
    <row r="42" spans="2:16" ht="12.5">
      <c r="B42" s="7" t="str">
        <f t="shared" si="5"/>
        <v/>
      </c>
      <c r="C42" s="50">
        <f>IF(D11="","-",+C41+1)</f>
        <v>2035</v>
      </c>
      <c r="D42" s="55">
        <f>IF(F41+SUM(E$17:E41)=D$10,F41,D$10-SUM(E$17:E41))</f>
        <v>2231522.901385983</v>
      </c>
      <c r="E42" s="378">
        <f>IF(+I14&lt;F41,I14,D42)</f>
        <v>119334.97727272728</v>
      </c>
      <c r="F42" s="55">
        <f t="shared" si="26"/>
        <v>2112187.9241132559</v>
      </c>
      <c r="G42" s="379">
        <f t="shared" si="27"/>
        <v>378930.62512598053</v>
      </c>
      <c r="H42" s="364">
        <f t="shared" si="28"/>
        <v>378930.62512598053</v>
      </c>
      <c r="I42" s="52">
        <f t="shared" si="9"/>
        <v>0</v>
      </c>
      <c r="J42" s="52"/>
      <c r="K42" s="129"/>
      <c r="L42" s="54">
        <f t="shared" si="1"/>
        <v>0</v>
      </c>
      <c r="M42" s="129"/>
      <c r="N42" s="54">
        <f t="shared" si="3"/>
        <v>0</v>
      </c>
      <c r="O42" s="54">
        <f t="shared" si="4"/>
        <v>0</v>
      </c>
      <c r="P42" s="1"/>
    </row>
    <row r="43" spans="2:16" ht="12.5">
      <c r="B43" s="7" t="str">
        <f t="shared" si="5"/>
        <v/>
      </c>
      <c r="C43" s="50">
        <f>IF(D11="","-",+C42+1)</f>
        <v>2036</v>
      </c>
      <c r="D43" s="55">
        <f>IF(F42+SUM(E$17:E42)=D$10,F42,D$10-SUM(E$17:E42))</f>
        <v>2112187.9241132559</v>
      </c>
      <c r="E43" s="378">
        <f>IF(+I14&lt;F42,I14,D43)</f>
        <v>119334.97727272728</v>
      </c>
      <c r="F43" s="55">
        <f t="shared" si="26"/>
        <v>1992852.9468405286</v>
      </c>
      <c r="G43" s="379">
        <f t="shared" si="27"/>
        <v>364666.85758657195</v>
      </c>
      <c r="H43" s="364">
        <f t="shared" si="28"/>
        <v>364666.85758657195</v>
      </c>
      <c r="I43" s="52">
        <f t="shared" si="9"/>
        <v>0</v>
      </c>
      <c r="J43" s="52"/>
      <c r="K43" s="129"/>
      <c r="L43" s="54">
        <f t="shared" si="1"/>
        <v>0</v>
      </c>
      <c r="M43" s="129"/>
      <c r="N43" s="54">
        <f t="shared" si="3"/>
        <v>0</v>
      </c>
      <c r="O43" s="54">
        <f t="shared" si="4"/>
        <v>0</v>
      </c>
      <c r="P43" s="1"/>
    </row>
    <row r="44" spans="2:16" ht="12.5">
      <c r="B44" s="7" t="str">
        <f t="shared" si="5"/>
        <v/>
      </c>
      <c r="C44" s="50">
        <f>IF(D11="","-",+C43+1)</f>
        <v>2037</v>
      </c>
      <c r="D44" s="55">
        <f>IF(F43+SUM(E$17:E43)=D$10,F43,D$10-SUM(E$17:E43))</f>
        <v>1992852.9468405286</v>
      </c>
      <c r="E44" s="378">
        <f>IF(+I14&lt;F43,I14,D44)</f>
        <v>119334.97727272728</v>
      </c>
      <c r="F44" s="55">
        <f t="shared" si="26"/>
        <v>1873517.9695678013</v>
      </c>
      <c r="G44" s="379">
        <f t="shared" si="27"/>
        <v>350403.09004716336</v>
      </c>
      <c r="H44" s="364">
        <f t="shared" si="28"/>
        <v>350403.09004716336</v>
      </c>
      <c r="I44" s="52">
        <f t="shared" si="9"/>
        <v>0</v>
      </c>
      <c r="J44" s="52"/>
      <c r="K44" s="129"/>
      <c r="L44" s="54">
        <f t="shared" si="1"/>
        <v>0</v>
      </c>
      <c r="M44" s="129"/>
      <c r="N44" s="54">
        <f t="shared" si="3"/>
        <v>0</v>
      </c>
      <c r="O44" s="54">
        <f t="shared" si="4"/>
        <v>0</v>
      </c>
      <c r="P44" s="1"/>
    </row>
    <row r="45" spans="2:16" ht="12.5">
      <c r="B45" s="7" t="str">
        <f t="shared" si="5"/>
        <v/>
      </c>
      <c r="C45" s="50">
        <f>IF(D11="","-",+C44+1)</f>
        <v>2038</v>
      </c>
      <c r="D45" s="55">
        <f>IF(F44+SUM(E$17:E44)=D$10,F44,D$10-SUM(E$17:E44))</f>
        <v>1873517.9695678013</v>
      </c>
      <c r="E45" s="378">
        <f>IF(+I14&lt;F44,I14,D45)</f>
        <v>119334.97727272728</v>
      </c>
      <c r="F45" s="55">
        <f t="shared" si="26"/>
        <v>1754182.992295074</v>
      </c>
      <c r="G45" s="379">
        <f t="shared" si="27"/>
        <v>336139.32250775472</v>
      </c>
      <c r="H45" s="364">
        <f t="shared" si="28"/>
        <v>336139.32250775472</v>
      </c>
      <c r="I45" s="52">
        <f t="shared" si="9"/>
        <v>0</v>
      </c>
      <c r="J45" s="52"/>
      <c r="K45" s="129"/>
      <c r="L45" s="54">
        <f t="shared" si="1"/>
        <v>0</v>
      </c>
      <c r="M45" s="129"/>
      <c r="N45" s="54">
        <f t="shared" si="3"/>
        <v>0</v>
      </c>
      <c r="O45" s="54">
        <f t="shared" si="4"/>
        <v>0</v>
      </c>
      <c r="P45" s="1"/>
    </row>
    <row r="46" spans="2:16" ht="12.5">
      <c r="B46" s="7" t="str">
        <f t="shared" si="5"/>
        <v/>
      </c>
      <c r="C46" s="50">
        <f>IF(D11="","-",+C45+1)</f>
        <v>2039</v>
      </c>
      <c r="D46" s="55">
        <f>IF(F45+SUM(E$17:E45)=D$10,F45,D$10-SUM(E$17:E45))</f>
        <v>1754182.992295074</v>
      </c>
      <c r="E46" s="378">
        <f>IF(+I14&lt;F45,I14,D46)</f>
        <v>119334.97727272728</v>
      </c>
      <c r="F46" s="55">
        <f t="shared" si="26"/>
        <v>1634848.0150223467</v>
      </c>
      <c r="G46" s="379">
        <f t="shared" si="27"/>
        <v>321875.55496834614</v>
      </c>
      <c r="H46" s="364">
        <f t="shared" si="28"/>
        <v>321875.55496834614</v>
      </c>
      <c r="I46" s="52">
        <f t="shared" si="9"/>
        <v>0</v>
      </c>
      <c r="J46" s="52"/>
      <c r="K46" s="129"/>
      <c r="L46" s="54">
        <f t="shared" si="1"/>
        <v>0</v>
      </c>
      <c r="M46" s="129"/>
      <c r="N46" s="54">
        <f t="shared" si="3"/>
        <v>0</v>
      </c>
      <c r="O46" s="54">
        <f t="shared" si="4"/>
        <v>0</v>
      </c>
      <c r="P46" s="1"/>
    </row>
    <row r="47" spans="2:16" ht="12.5">
      <c r="B47" s="7" t="str">
        <f t="shared" si="5"/>
        <v/>
      </c>
      <c r="C47" s="50">
        <f>IF(D11="","-",+C46+1)</f>
        <v>2040</v>
      </c>
      <c r="D47" s="55">
        <f>IF(F46+SUM(E$17:E46)=D$10,F46,D$10-SUM(E$17:E46))</f>
        <v>1634848.0150223467</v>
      </c>
      <c r="E47" s="378">
        <f>IF(+I14&lt;F46,I14,D47)</f>
        <v>119334.97727272728</v>
      </c>
      <c r="F47" s="55">
        <f t="shared" si="26"/>
        <v>1515513.0377496195</v>
      </c>
      <c r="G47" s="379">
        <f t="shared" si="27"/>
        <v>307611.7874289375</v>
      </c>
      <c r="H47" s="364">
        <f t="shared" si="28"/>
        <v>307611.7874289375</v>
      </c>
      <c r="I47" s="52">
        <f t="shared" si="9"/>
        <v>0</v>
      </c>
      <c r="J47" s="52"/>
      <c r="K47" s="129"/>
      <c r="L47" s="54">
        <f t="shared" si="1"/>
        <v>0</v>
      </c>
      <c r="M47" s="129"/>
      <c r="N47" s="54">
        <f t="shared" si="3"/>
        <v>0</v>
      </c>
      <c r="O47" s="54">
        <f t="shared" si="4"/>
        <v>0</v>
      </c>
      <c r="P47" s="1"/>
    </row>
    <row r="48" spans="2:16" ht="12.5">
      <c r="B48" s="7" t="str">
        <f t="shared" si="5"/>
        <v/>
      </c>
      <c r="C48" s="50">
        <f>IF(D11="","-",+C47+1)</f>
        <v>2041</v>
      </c>
      <c r="D48" s="55">
        <f>IF(F47+SUM(E$17:E47)=D$10,F47,D$10-SUM(E$17:E47))</f>
        <v>1515513.0377496195</v>
      </c>
      <c r="E48" s="378">
        <f>IF(+I14&lt;F47,I14,D48)</f>
        <v>119334.97727272728</v>
      </c>
      <c r="F48" s="55">
        <f t="shared" si="26"/>
        <v>1396178.0604768922</v>
      </c>
      <c r="G48" s="379">
        <f t="shared" si="27"/>
        <v>293348.01988952892</v>
      </c>
      <c r="H48" s="364">
        <f t="shared" si="28"/>
        <v>293348.01988952892</v>
      </c>
      <c r="I48" s="52">
        <f t="shared" si="9"/>
        <v>0</v>
      </c>
      <c r="J48" s="52"/>
      <c r="K48" s="129"/>
      <c r="L48" s="54">
        <f t="shared" si="1"/>
        <v>0</v>
      </c>
      <c r="M48" s="129"/>
      <c r="N48" s="54">
        <f t="shared" si="3"/>
        <v>0</v>
      </c>
      <c r="O48" s="54">
        <f t="shared" si="4"/>
        <v>0</v>
      </c>
      <c r="P48" s="1"/>
    </row>
    <row r="49" spans="2:17" ht="12.5">
      <c r="B49" s="7" t="str">
        <f t="shared" si="5"/>
        <v/>
      </c>
      <c r="C49" s="50">
        <f>IF(D11="","-",+C48+1)</f>
        <v>2042</v>
      </c>
      <c r="D49" s="55">
        <f>IF(F48+SUM(E$17:E48)=D$10,F48,D$10-SUM(E$17:E48))</f>
        <v>1396178.0604768922</v>
      </c>
      <c r="E49" s="378">
        <f>IF(+I14&lt;F48,I14,D49)</f>
        <v>119334.97727272728</v>
      </c>
      <c r="F49" s="55">
        <f t="shared" ref="F49:F72" si="29">+D49-E49</f>
        <v>1276843.0832041649</v>
      </c>
      <c r="G49" s="379">
        <f t="shared" si="27"/>
        <v>279084.25235012034</v>
      </c>
      <c r="H49" s="364">
        <f t="shared" si="28"/>
        <v>279084.25235012034</v>
      </c>
      <c r="I49" s="52">
        <f t="shared" ref="I49:I72" si="30">H49-G49</f>
        <v>0</v>
      </c>
      <c r="J49" s="52"/>
      <c r="K49" s="129"/>
      <c r="L49" s="54">
        <f t="shared" ref="L49:L72" si="31">IF(K49&lt;&gt;0,+G49-K49,0)</f>
        <v>0</v>
      </c>
      <c r="M49" s="129"/>
      <c r="N49" s="54">
        <f t="shared" ref="N49:N72" si="32">IF(M49&lt;&gt;0,+H49-M49,0)</f>
        <v>0</v>
      </c>
      <c r="O49" s="54">
        <f t="shared" ref="O49:O72" si="33">+N49-L49</f>
        <v>0</v>
      </c>
      <c r="P49" s="1"/>
    </row>
    <row r="50" spans="2:17" ht="12.5">
      <c r="B50" s="7" t="str">
        <f t="shared" si="5"/>
        <v/>
      </c>
      <c r="C50" s="50">
        <f>IF(D11="","-",+C49+1)</f>
        <v>2043</v>
      </c>
      <c r="D50" s="55">
        <f>IF(F49+SUM(E$17:E49)=D$10,F49,D$10-SUM(E$17:E49))</f>
        <v>1276843.0832041649</v>
      </c>
      <c r="E50" s="378">
        <f>IF(+I14&lt;F49,I14,D50)</f>
        <v>119334.97727272728</v>
      </c>
      <c r="F50" s="55">
        <f t="shared" si="29"/>
        <v>1157508.1059314376</v>
      </c>
      <c r="G50" s="379">
        <f t="shared" si="27"/>
        <v>264820.48481071176</v>
      </c>
      <c r="H50" s="364">
        <f t="shared" si="28"/>
        <v>264820.48481071176</v>
      </c>
      <c r="I50" s="52">
        <f t="shared" si="30"/>
        <v>0</v>
      </c>
      <c r="J50" s="52"/>
      <c r="K50" s="129"/>
      <c r="L50" s="54">
        <f t="shared" si="31"/>
        <v>0</v>
      </c>
      <c r="M50" s="129"/>
      <c r="N50" s="54">
        <f t="shared" si="32"/>
        <v>0</v>
      </c>
      <c r="O50" s="54">
        <f t="shared" si="33"/>
        <v>0</v>
      </c>
      <c r="P50" s="1"/>
    </row>
    <row r="51" spans="2:17" ht="12.5">
      <c r="B51" s="7" t="str">
        <f t="shared" si="5"/>
        <v/>
      </c>
      <c r="C51" s="50">
        <f>IF(D11="","-",+C50+1)</f>
        <v>2044</v>
      </c>
      <c r="D51" s="55">
        <f>IF(F50+SUM(E$17:E50)=D$10,F50,D$10-SUM(E$17:E50))</f>
        <v>1157508.1059314376</v>
      </c>
      <c r="E51" s="378">
        <f>IF(+I14&lt;F50,I14,D51)</f>
        <v>119334.97727272728</v>
      </c>
      <c r="F51" s="55">
        <f t="shared" si="29"/>
        <v>1038173.1286587103</v>
      </c>
      <c r="G51" s="379">
        <f t="shared" si="27"/>
        <v>250556.71727130312</v>
      </c>
      <c r="H51" s="364">
        <f t="shared" si="28"/>
        <v>250556.71727130312</v>
      </c>
      <c r="I51" s="52">
        <f t="shared" si="30"/>
        <v>0</v>
      </c>
      <c r="J51" s="52"/>
      <c r="K51" s="129"/>
      <c r="L51" s="54">
        <f t="shared" si="31"/>
        <v>0</v>
      </c>
      <c r="M51" s="129"/>
      <c r="N51" s="54">
        <f t="shared" si="32"/>
        <v>0</v>
      </c>
      <c r="O51" s="54">
        <f t="shared" si="33"/>
        <v>0</v>
      </c>
      <c r="P51" s="1"/>
    </row>
    <row r="52" spans="2:17" ht="12.5">
      <c r="B52" s="7" t="str">
        <f t="shared" si="5"/>
        <v/>
      </c>
      <c r="C52" s="50">
        <f>IF(D11="","-",+C51+1)</f>
        <v>2045</v>
      </c>
      <c r="D52" s="55">
        <f>IF(F51+SUM(E$17:E51)=D$10,F51,D$10-SUM(E$17:E51))</f>
        <v>1038173.1286587103</v>
      </c>
      <c r="E52" s="378">
        <f>IF(+I14&lt;F51,I14,D52)</f>
        <v>119334.97727272728</v>
      </c>
      <c r="F52" s="55">
        <f t="shared" si="29"/>
        <v>918838.15138598299</v>
      </c>
      <c r="G52" s="379">
        <f t="shared" si="27"/>
        <v>236292.94973189454</v>
      </c>
      <c r="H52" s="364">
        <f t="shared" si="28"/>
        <v>236292.94973189454</v>
      </c>
      <c r="I52" s="52">
        <f t="shared" si="30"/>
        <v>0</v>
      </c>
      <c r="J52" s="52"/>
      <c r="K52" s="129"/>
      <c r="L52" s="54">
        <f t="shared" si="31"/>
        <v>0</v>
      </c>
      <c r="M52" s="129"/>
      <c r="N52" s="54">
        <f t="shared" si="32"/>
        <v>0</v>
      </c>
      <c r="O52" s="54">
        <f t="shared" si="33"/>
        <v>0</v>
      </c>
      <c r="P52" s="1"/>
    </row>
    <row r="53" spans="2:17" ht="12.5">
      <c r="B53" s="7" t="str">
        <f t="shared" si="5"/>
        <v/>
      </c>
      <c r="C53" s="50">
        <f>IF(D11="","-",+C52+1)</f>
        <v>2046</v>
      </c>
      <c r="D53" s="55">
        <f>IF(F52+SUM(E$17:E52)=D$10,F52,D$10-SUM(E$17:E52))</f>
        <v>918838.15138598299</v>
      </c>
      <c r="E53" s="378">
        <f>IF(+I14&lt;F52,I14,D53)</f>
        <v>119334.97727272728</v>
      </c>
      <c r="F53" s="55">
        <f t="shared" si="29"/>
        <v>799503.17411325569</v>
      </c>
      <c r="G53" s="379">
        <f t="shared" si="27"/>
        <v>222029.1821924859</v>
      </c>
      <c r="H53" s="364">
        <f t="shared" si="28"/>
        <v>222029.1821924859</v>
      </c>
      <c r="I53" s="52">
        <f t="shared" si="30"/>
        <v>0</v>
      </c>
      <c r="J53" s="52"/>
      <c r="K53" s="129"/>
      <c r="L53" s="54">
        <f t="shared" si="31"/>
        <v>0</v>
      </c>
      <c r="M53" s="129"/>
      <c r="N53" s="54">
        <f t="shared" si="32"/>
        <v>0</v>
      </c>
      <c r="O53" s="54">
        <f t="shared" si="33"/>
        <v>0</v>
      </c>
      <c r="P53" s="1"/>
    </row>
    <row r="54" spans="2:17" ht="12.5">
      <c r="B54" s="7" t="str">
        <f t="shared" si="5"/>
        <v/>
      </c>
      <c r="C54" s="50">
        <f>IF(D11="","-",+C53+1)</f>
        <v>2047</v>
      </c>
      <c r="D54" s="55">
        <f>IF(F53+SUM(E$17:E53)=D$10,F53,D$10-SUM(E$17:E53))</f>
        <v>799503.17411325569</v>
      </c>
      <c r="E54" s="378">
        <f>IF(+I14&lt;F53,I14,D54)</f>
        <v>119334.97727272728</v>
      </c>
      <c r="F54" s="55">
        <f t="shared" si="29"/>
        <v>680168.1968405284</v>
      </c>
      <c r="G54" s="379">
        <f t="shared" si="27"/>
        <v>207765.41465307731</v>
      </c>
      <c r="H54" s="364">
        <f t="shared" si="28"/>
        <v>207765.41465307731</v>
      </c>
      <c r="I54" s="52">
        <f t="shared" si="30"/>
        <v>0</v>
      </c>
      <c r="J54" s="52"/>
      <c r="K54" s="129"/>
      <c r="L54" s="54">
        <f t="shared" si="31"/>
        <v>0</v>
      </c>
      <c r="M54" s="129"/>
      <c r="N54" s="54">
        <f t="shared" si="32"/>
        <v>0</v>
      </c>
      <c r="O54" s="54">
        <f t="shared" si="33"/>
        <v>0</v>
      </c>
      <c r="P54" s="1"/>
    </row>
    <row r="55" spans="2:17" ht="12.5">
      <c r="B55" s="7" t="str">
        <f t="shared" si="5"/>
        <v/>
      </c>
      <c r="C55" s="50">
        <f>IF(D11="","-",+C54+1)</f>
        <v>2048</v>
      </c>
      <c r="D55" s="55">
        <f>IF(F54+SUM(E$17:E54)=D$10,F54,D$10-SUM(E$17:E54))</f>
        <v>680168.1968405284</v>
      </c>
      <c r="E55" s="378">
        <f>IF(+I14&lt;F54,I14,D55)</f>
        <v>119334.97727272728</v>
      </c>
      <c r="F55" s="55">
        <f t="shared" si="29"/>
        <v>560833.2195678011</v>
      </c>
      <c r="G55" s="379">
        <f t="shared" si="27"/>
        <v>193501.64711366873</v>
      </c>
      <c r="H55" s="364">
        <f t="shared" si="28"/>
        <v>193501.64711366873</v>
      </c>
      <c r="I55" s="52">
        <f t="shared" si="30"/>
        <v>0</v>
      </c>
      <c r="J55" s="52"/>
      <c r="K55" s="129"/>
      <c r="L55" s="54">
        <f t="shared" si="31"/>
        <v>0</v>
      </c>
      <c r="M55" s="129"/>
      <c r="N55" s="54">
        <f t="shared" si="32"/>
        <v>0</v>
      </c>
      <c r="O55" s="54">
        <f t="shared" si="33"/>
        <v>0</v>
      </c>
      <c r="P55" s="1"/>
    </row>
    <row r="56" spans="2:17" ht="12.5">
      <c r="B56" s="7" t="str">
        <f t="shared" si="5"/>
        <v/>
      </c>
      <c r="C56" s="50">
        <f>IF(D11="","-",+C55+1)</f>
        <v>2049</v>
      </c>
      <c r="D56" s="55">
        <f>IF(F55+SUM(E$17:E55)=D$10,F55,D$10-SUM(E$17:E55))</f>
        <v>560833.2195678011</v>
      </c>
      <c r="E56" s="378">
        <f>IF(+I14&lt;F55,I14,D56)</f>
        <v>119334.97727272728</v>
      </c>
      <c r="F56" s="55">
        <f t="shared" si="29"/>
        <v>441498.24229507381</v>
      </c>
      <c r="G56" s="379">
        <f t="shared" ref="G56:G72" si="34">+I$12*((D56+F56)/2)+E56</f>
        <v>179237.87957426009</v>
      </c>
      <c r="H56" s="364">
        <f t="shared" ref="H56:H72" si="35">+I$13*((D56+F56)/2)+E56</f>
        <v>179237.87957426009</v>
      </c>
      <c r="I56" s="52">
        <f t="shared" si="30"/>
        <v>0</v>
      </c>
      <c r="J56" s="52"/>
      <c r="K56" s="129"/>
      <c r="L56" s="54">
        <f t="shared" si="31"/>
        <v>0</v>
      </c>
      <c r="M56" s="129"/>
      <c r="N56" s="54">
        <f t="shared" si="32"/>
        <v>0</v>
      </c>
      <c r="O56" s="54">
        <f t="shared" si="33"/>
        <v>0</v>
      </c>
      <c r="P56" s="1"/>
    </row>
    <row r="57" spans="2:17" ht="12.5">
      <c r="B57" s="7" t="str">
        <f t="shared" si="5"/>
        <v/>
      </c>
      <c r="C57" s="50">
        <f>IF(D11="","-",+C56+1)</f>
        <v>2050</v>
      </c>
      <c r="D57" s="55">
        <f>IF(F56+SUM(E$17:E56)=D$10,F56,D$10-SUM(E$17:E56))</f>
        <v>441498.24229507381</v>
      </c>
      <c r="E57" s="378">
        <f>IF(+I14&lt;F56,I14,D57)</f>
        <v>119334.97727272728</v>
      </c>
      <c r="F57" s="55">
        <f t="shared" si="29"/>
        <v>322163.26502234652</v>
      </c>
      <c r="G57" s="379">
        <f t="shared" si="34"/>
        <v>164974.11203485151</v>
      </c>
      <c r="H57" s="364">
        <f t="shared" si="35"/>
        <v>164974.11203485151</v>
      </c>
      <c r="I57" s="52">
        <f t="shared" si="30"/>
        <v>0</v>
      </c>
      <c r="J57" s="52"/>
      <c r="K57" s="129"/>
      <c r="L57" s="54">
        <f t="shared" si="31"/>
        <v>0</v>
      </c>
      <c r="M57" s="129"/>
      <c r="N57" s="54">
        <f t="shared" si="32"/>
        <v>0</v>
      </c>
      <c r="O57" s="54">
        <f t="shared" si="33"/>
        <v>0</v>
      </c>
      <c r="P57" s="1"/>
    </row>
    <row r="58" spans="2:17" ht="12.5">
      <c r="B58" s="7" t="str">
        <f t="shared" si="5"/>
        <v/>
      </c>
      <c r="C58" s="50">
        <f>IF(D11="","-",+C57+1)</f>
        <v>2051</v>
      </c>
      <c r="D58" s="55">
        <f>IF(F57+SUM(E$17:E57)=D$10,F57,D$10-SUM(E$17:E57))</f>
        <v>322163.26502234652</v>
      </c>
      <c r="E58" s="378">
        <f>IF(+I14&lt;F57,I14,D58)</f>
        <v>119334.97727272728</v>
      </c>
      <c r="F58" s="55">
        <f t="shared" si="29"/>
        <v>202828.28774961922</v>
      </c>
      <c r="G58" s="379">
        <f t="shared" si="34"/>
        <v>150710.3444954429</v>
      </c>
      <c r="H58" s="364">
        <f t="shared" si="35"/>
        <v>150710.3444954429</v>
      </c>
      <c r="I58" s="52">
        <f t="shared" si="30"/>
        <v>0</v>
      </c>
      <c r="J58" s="52"/>
      <c r="K58" s="129"/>
      <c r="L58" s="54">
        <f t="shared" si="31"/>
        <v>0</v>
      </c>
      <c r="M58" s="129"/>
      <c r="N58" s="54">
        <f t="shared" si="32"/>
        <v>0</v>
      </c>
      <c r="O58" s="54">
        <f t="shared" si="33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5"/>
        <v/>
      </c>
      <c r="C59" s="50">
        <f>IF(D11="","-",+C58+1)</f>
        <v>2052</v>
      </c>
      <c r="D59" s="55">
        <f>IF(F58+SUM(E$17:E58)=D$10,F58,D$10-SUM(E$17:E58))</f>
        <v>202828.28774961922</v>
      </c>
      <c r="E59" s="378">
        <f>IF(+I14&lt;F58,I14,D59)</f>
        <v>119334.97727272728</v>
      </c>
      <c r="F59" s="55">
        <f t="shared" si="29"/>
        <v>83493.310476891944</v>
      </c>
      <c r="G59" s="379">
        <f t="shared" si="34"/>
        <v>136446.57695603429</v>
      </c>
      <c r="H59" s="364">
        <f t="shared" si="35"/>
        <v>136446.57695603429</v>
      </c>
      <c r="I59" s="52">
        <f t="shared" si="30"/>
        <v>0</v>
      </c>
      <c r="J59" s="52"/>
      <c r="K59" s="129"/>
      <c r="L59" s="54">
        <f t="shared" si="31"/>
        <v>0</v>
      </c>
      <c r="M59" s="129"/>
      <c r="N59" s="54">
        <f t="shared" si="32"/>
        <v>0</v>
      </c>
      <c r="O59" s="54">
        <f t="shared" si="33"/>
        <v>0</v>
      </c>
      <c r="P59" s="1"/>
    </row>
    <row r="60" spans="2:17" ht="12.5">
      <c r="B60" s="7" t="str">
        <f t="shared" si="5"/>
        <v/>
      </c>
      <c r="C60" s="50">
        <f>IF(D11="","-",+C59+1)</f>
        <v>2053</v>
      </c>
      <c r="D60" s="55">
        <f>IF(F59+SUM(E$17:E59)=D$10,F59,D$10-SUM(E$17:E59))</f>
        <v>83493.310476891944</v>
      </c>
      <c r="E60" s="378">
        <f>IF(+I14&lt;F59,I14,D60)</f>
        <v>83493.310476891944</v>
      </c>
      <c r="F60" s="55">
        <f t="shared" si="29"/>
        <v>0</v>
      </c>
      <c r="G60" s="379">
        <f t="shared" si="34"/>
        <v>88483.16843369331</v>
      </c>
      <c r="H60" s="364">
        <f t="shared" si="35"/>
        <v>88483.16843369331</v>
      </c>
      <c r="I60" s="52">
        <f t="shared" si="30"/>
        <v>0</v>
      </c>
      <c r="J60" s="52"/>
      <c r="K60" s="129"/>
      <c r="L60" s="54">
        <f t="shared" si="31"/>
        <v>0</v>
      </c>
      <c r="M60" s="129"/>
      <c r="N60" s="54">
        <f t="shared" si="32"/>
        <v>0</v>
      </c>
      <c r="O60" s="54">
        <f t="shared" si="33"/>
        <v>0</v>
      </c>
      <c r="P60" s="1"/>
    </row>
    <row r="61" spans="2:17" ht="12.5">
      <c r="B61" s="7" t="str">
        <f t="shared" si="5"/>
        <v/>
      </c>
      <c r="C61" s="50">
        <f>IF(D11="","-",+C60+1)</f>
        <v>2054</v>
      </c>
      <c r="D61" s="55">
        <f>IF(F60+SUM(E$17:E60)=D$10,F60,D$10-SUM(E$17:E60))</f>
        <v>0</v>
      </c>
      <c r="E61" s="378">
        <f>IF(+I14&lt;F60,I14,D61)</f>
        <v>0</v>
      </c>
      <c r="F61" s="55">
        <f t="shared" si="29"/>
        <v>0</v>
      </c>
      <c r="G61" s="380">
        <f t="shared" si="34"/>
        <v>0</v>
      </c>
      <c r="H61" s="364">
        <f t="shared" si="35"/>
        <v>0</v>
      </c>
      <c r="I61" s="52">
        <f t="shared" si="30"/>
        <v>0</v>
      </c>
      <c r="J61" s="52"/>
      <c r="K61" s="129"/>
      <c r="L61" s="54">
        <f t="shared" si="31"/>
        <v>0</v>
      </c>
      <c r="M61" s="129"/>
      <c r="N61" s="54">
        <f t="shared" si="32"/>
        <v>0</v>
      </c>
      <c r="O61" s="54">
        <f t="shared" si="33"/>
        <v>0</v>
      </c>
      <c r="P61" s="1"/>
    </row>
    <row r="62" spans="2:17" ht="12.5">
      <c r="B62" s="7" t="str">
        <f t="shared" si="5"/>
        <v/>
      </c>
      <c r="C62" s="50">
        <f>IF(D11="","-",+C61+1)</f>
        <v>2055</v>
      </c>
      <c r="D62" s="55">
        <f>IF(F61+SUM(E$17:E61)=D$10,F61,D$10-SUM(E$17:E61))</f>
        <v>0</v>
      </c>
      <c r="E62" s="378">
        <f>IF(+I14&lt;F61,I14,D62)</f>
        <v>0</v>
      </c>
      <c r="F62" s="55">
        <f t="shared" si="29"/>
        <v>0</v>
      </c>
      <c r="G62" s="380">
        <f t="shared" si="34"/>
        <v>0</v>
      </c>
      <c r="H62" s="364">
        <f t="shared" si="35"/>
        <v>0</v>
      </c>
      <c r="I62" s="52">
        <f t="shared" si="30"/>
        <v>0</v>
      </c>
      <c r="J62" s="52"/>
      <c r="K62" s="129"/>
      <c r="L62" s="54">
        <f t="shared" si="31"/>
        <v>0</v>
      </c>
      <c r="M62" s="129"/>
      <c r="N62" s="54">
        <f t="shared" si="32"/>
        <v>0</v>
      </c>
      <c r="O62" s="54">
        <f t="shared" si="33"/>
        <v>0</v>
      </c>
      <c r="P62" s="1"/>
    </row>
    <row r="63" spans="2:17" ht="12.5">
      <c r="B63" s="7" t="str">
        <f t="shared" si="5"/>
        <v/>
      </c>
      <c r="C63" s="50">
        <f>IF(D11="","-",+C62+1)</f>
        <v>2056</v>
      </c>
      <c r="D63" s="55">
        <f>IF(F62+SUM(E$17:E62)=D$10,F62,D$10-SUM(E$17:E62))</f>
        <v>0</v>
      </c>
      <c r="E63" s="378">
        <f>IF(+I14&lt;F62,I14,D63)</f>
        <v>0</v>
      </c>
      <c r="F63" s="55">
        <f t="shared" si="29"/>
        <v>0</v>
      </c>
      <c r="G63" s="380">
        <f t="shared" si="34"/>
        <v>0</v>
      </c>
      <c r="H63" s="364">
        <f t="shared" si="35"/>
        <v>0</v>
      </c>
      <c r="I63" s="52">
        <f t="shared" si="30"/>
        <v>0</v>
      </c>
      <c r="J63" s="52"/>
      <c r="K63" s="129"/>
      <c r="L63" s="54">
        <f t="shared" si="31"/>
        <v>0</v>
      </c>
      <c r="M63" s="129"/>
      <c r="N63" s="54">
        <f t="shared" si="32"/>
        <v>0</v>
      </c>
      <c r="O63" s="54">
        <f t="shared" si="33"/>
        <v>0</v>
      </c>
      <c r="P63" s="1"/>
    </row>
    <row r="64" spans="2:17" ht="12.5">
      <c r="B64" s="7" t="str">
        <f t="shared" si="5"/>
        <v/>
      </c>
      <c r="C64" s="50">
        <f>IF(D11="","-",+C63+1)</f>
        <v>2057</v>
      </c>
      <c r="D64" s="55">
        <f>IF(F63+SUM(E$17:E63)=D$10,F63,D$10-SUM(E$17:E63))</f>
        <v>0</v>
      </c>
      <c r="E64" s="378">
        <f>IF(+I14&lt;F63,I14,D64)</f>
        <v>0</v>
      </c>
      <c r="F64" s="55">
        <f t="shared" si="29"/>
        <v>0</v>
      </c>
      <c r="G64" s="380">
        <f t="shared" si="34"/>
        <v>0</v>
      </c>
      <c r="H64" s="364">
        <f t="shared" si="35"/>
        <v>0</v>
      </c>
      <c r="I64" s="52">
        <f t="shared" si="30"/>
        <v>0</v>
      </c>
      <c r="J64" s="52"/>
      <c r="K64" s="129"/>
      <c r="L64" s="54">
        <f t="shared" si="31"/>
        <v>0</v>
      </c>
      <c r="M64" s="129"/>
      <c r="N64" s="54">
        <f t="shared" si="32"/>
        <v>0</v>
      </c>
      <c r="O64" s="54">
        <f t="shared" si="33"/>
        <v>0</v>
      </c>
      <c r="P64" s="1"/>
    </row>
    <row r="65" spans="1:16" ht="12.5">
      <c r="B65" s="7" t="str">
        <f t="shared" si="5"/>
        <v/>
      </c>
      <c r="C65" s="50">
        <f>IF(D11="","-",+C64+1)</f>
        <v>2058</v>
      </c>
      <c r="D65" s="55">
        <f>IF(F64+SUM(E$17:E64)=D$10,F64,D$10-SUM(E$17:E64))</f>
        <v>0</v>
      </c>
      <c r="E65" s="378">
        <f>IF(+I14&lt;F64,I14,D65)</f>
        <v>0</v>
      </c>
      <c r="F65" s="55">
        <f t="shared" si="29"/>
        <v>0</v>
      </c>
      <c r="G65" s="380">
        <f t="shared" si="34"/>
        <v>0</v>
      </c>
      <c r="H65" s="364">
        <f t="shared" si="35"/>
        <v>0</v>
      </c>
      <c r="I65" s="52">
        <f t="shared" si="30"/>
        <v>0</v>
      </c>
      <c r="J65" s="52"/>
      <c r="K65" s="129"/>
      <c r="L65" s="54">
        <f t="shared" si="31"/>
        <v>0</v>
      </c>
      <c r="M65" s="129"/>
      <c r="N65" s="54">
        <f t="shared" si="32"/>
        <v>0</v>
      </c>
      <c r="O65" s="54">
        <f t="shared" si="33"/>
        <v>0</v>
      </c>
      <c r="P65" s="1"/>
    </row>
    <row r="66" spans="1:16" ht="12.5">
      <c r="B66" s="7" t="str">
        <f t="shared" si="5"/>
        <v/>
      </c>
      <c r="C66" s="50">
        <f>IF(D11="","-",+C65+1)</f>
        <v>2059</v>
      </c>
      <c r="D66" s="55">
        <f>IF(F65+SUM(E$17:E65)=D$10,F65,D$10-SUM(E$17:E65))</f>
        <v>0</v>
      </c>
      <c r="E66" s="378">
        <f>IF(+I14&lt;F65,I14,D66)</f>
        <v>0</v>
      </c>
      <c r="F66" s="55">
        <f t="shared" si="29"/>
        <v>0</v>
      </c>
      <c r="G66" s="380">
        <f t="shared" si="34"/>
        <v>0</v>
      </c>
      <c r="H66" s="364">
        <f t="shared" si="35"/>
        <v>0</v>
      </c>
      <c r="I66" s="52">
        <f t="shared" si="30"/>
        <v>0</v>
      </c>
      <c r="J66" s="52"/>
      <c r="K66" s="129"/>
      <c r="L66" s="54">
        <f t="shared" si="31"/>
        <v>0</v>
      </c>
      <c r="M66" s="129"/>
      <c r="N66" s="54">
        <f t="shared" si="32"/>
        <v>0</v>
      </c>
      <c r="O66" s="54">
        <f t="shared" si="33"/>
        <v>0</v>
      </c>
      <c r="P66" s="1"/>
    </row>
    <row r="67" spans="1:16" ht="12.5">
      <c r="B67" s="7" t="str">
        <f t="shared" si="5"/>
        <v/>
      </c>
      <c r="C67" s="50">
        <f>IF(D11="","-",+C66+1)</f>
        <v>2060</v>
      </c>
      <c r="D67" s="55">
        <f>IF(F66+SUM(E$17:E66)=D$10,F66,D$10-SUM(E$17:E66))</f>
        <v>0</v>
      </c>
      <c r="E67" s="378">
        <f>IF(+I14&lt;F66,I14,D67)</f>
        <v>0</v>
      </c>
      <c r="F67" s="55">
        <f t="shared" si="29"/>
        <v>0</v>
      </c>
      <c r="G67" s="380">
        <f t="shared" si="34"/>
        <v>0</v>
      </c>
      <c r="H67" s="364">
        <f t="shared" si="35"/>
        <v>0</v>
      </c>
      <c r="I67" s="52">
        <f t="shared" si="30"/>
        <v>0</v>
      </c>
      <c r="J67" s="52"/>
      <c r="K67" s="129"/>
      <c r="L67" s="54">
        <f t="shared" si="31"/>
        <v>0</v>
      </c>
      <c r="M67" s="129"/>
      <c r="N67" s="54">
        <f t="shared" si="32"/>
        <v>0</v>
      </c>
      <c r="O67" s="54">
        <f t="shared" si="33"/>
        <v>0</v>
      </c>
      <c r="P67" s="1"/>
    </row>
    <row r="68" spans="1:16" ht="12.5">
      <c r="B68" s="7" t="str">
        <f t="shared" si="5"/>
        <v/>
      </c>
      <c r="C68" s="50">
        <f>IF(D11="","-",+C67+1)</f>
        <v>2061</v>
      </c>
      <c r="D68" s="55">
        <f>IF(F67+SUM(E$17:E67)=D$10,F67,D$10-SUM(E$17:E67))</f>
        <v>0</v>
      </c>
      <c r="E68" s="378">
        <f>IF(+I14&lt;F67,I14,D68)</f>
        <v>0</v>
      </c>
      <c r="F68" s="55">
        <f t="shared" si="29"/>
        <v>0</v>
      </c>
      <c r="G68" s="380">
        <f t="shared" si="34"/>
        <v>0</v>
      </c>
      <c r="H68" s="364">
        <f t="shared" si="35"/>
        <v>0</v>
      </c>
      <c r="I68" s="52">
        <f t="shared" si="30"/>
        <v>0</v>
      </c>
      <c r="J68" s="52"/>
      <c r="K68" s="129"/>
      <c r="L68" s="54">
        <f t="shared" si="31"/>
        <v>0</v>
      </c>
      <c r="M68" s="129"/>
      <c r="N68" s="54">
        <f t="shared" si="32"/>
        <v>0</v>
      </c>
      <c r="O68" s="54">
        <f t="shared" si="33"/>
        <v>0</v>
      </c>
      <c r="P68" s="1"/>
    </row>
    <row r="69" spans="1:16" ht="12.5">
      <c r="B69" s="7" t="str">
        <f t="shared" si="5"/>
        <v/>
      </c>
      <c r="C69" s="50">
        <f>IF(D11="","-",+C68+1)</f>
        <v>2062</v>
      </c>
      <c r="D69" s="55">
        <f>IF(F68+SUM(E$17:E68)=D$10,F68,D$10-SUM(E$17:E68))</f>
        <v>0</v>
      </c>
      <c r="E69" s="378">
        <f>IF(+I14&lt;F68,I14,D69)</f>
        <v>0</v>
      </c>
      <c r="F69" s="55">
        <f t="shared" si="29"/>
        <v>0</v>
      </c>
      <c r="G69" s="380">
        <f t="shared" si="34"/>
        <v>0</v>
      </c>
      <c r="H69" s="364">
        <f t="shared" si="35"/>
        <v>0</v>
      </c>
      <c r="I69" s="52">
        <f t="shared" si="30"/>
        <v>0</v>
      </c>
      <c r="J69" s="52"/>
      <c r="K69" s="129"/>
      <c r="L69" s="54">
        <f t="shared" si="31"/>
        <v>0</v>
      </c>
      <c r="M69" s="129"/>
      <c r="N69" s="54">
        <f t="shared" si="32"/>
        <v>0</v>
      </c>
      <c r="O69" s="54">
        <f t="shared" si="33"/>
        <v>0</v>
      </c>
      <c r="P69" s="1"/>
    </row>
    <row r="70" spans="1:16" ht="12.5">
      <c r="B70" s="7" t="str">
        <f t="shared" si="5"/>
        <v/>
      </c>
      <c r="C70" s="50">
        <f>IF(D11="","-",+C69+1)</f>
        <v>2063</v>
      </c>
      <c r="D70" s="55">
        <f>IF(F69+SUM(E$17:E69)=D$10,F69,D$10-SUM(E$17:E69))</f>
        <v>0</v>
      </c>
      <c r="E70" s="378">
        <f>IF(+I14&lt;F69,I14,D70)</f>
        <v>0</v>
      </c>
      <c r="F70" s="55">
        <f t="shared" si="29"/>
        <v>0</v>
      </c>
      <c r="G70" s="380">
        <f t="shared" si="34"/>
        <v>0</v>
      </c>
      <c r="H70" s="364">
        <f t="shared" si="35"/>
        <v>0</v>
      </c>
      <c r="I70" s="52">
        <f t="shared" si="30"/>
        <v>0</v>
      </c>
      <c r="J70" s="52"/>
      <c r="K70" s="129"/>
      <c r="L70" s="54">
        <f t="shared" si="31"/>
        <v>0</v>
      </c>
      <c r="M70" s="129"/>
      <c r="N70" s="54">
        <f t="shared" si="32"/>
        <v>0</v>
      </c>
      <c r="O70" s="54">
        <f t="shared" si="33"/>
        <v>0</v>
      </c>
      <c r="P70" s="1"/>
    </row>
    <row r="71" spans="1:16" ht="12.5">
      <c r="B71" s="7" t="str">
        <f t="shared" si="5"/>
        <v/>
      </c>
      <c r="C71" s="50">
        <f>IF(D11="","-",+C70+1)</f>
        <v>2064</v>
      </c>
      <c r="D71" s="55">
        <f>IF(F70+SUM(E$17:E70)=D$10,F70,D$10-SUM(E$17:E70))</f>
        <v>0</v>
      </c>
      <c r="E71" s="378">
        <f>IF(+I14&lt;F70,I14,D71)</f>
        <v>0</v>
      </c>
      <c r="F71" s="55">
        <f t="shared" si="29"/>
        <v>0</v>
      </c>
      <c r="G71" s="380">
        <f t="shared" si="34"/>
        <v>0</v>
      </c>
      <c r="H71" s="364">
        <f t="shared" si="35"/>
        <v>0</v>
      </c>
      <c r="I71" s="52">
        <f t="shared" si="30"/>
        <v>0</v>
      </c>
      <c r="J71" s="52"/>
      <c r="K71" s="129"/>
      <c r="L71" s="54">
        <f t="shared" si="31"/>
        <v>0</v>
      </c>
      <c r="M71" s="129"/>
      <c r="N71" s="54">
        <f t="shared" si="32"/>
        <v>0</v>
      </c>
      <c r="O71" s="54">
        <f t="shared" si="33"/>
        <v>0</v>
      </c>
      <c r="P71" s="1"/>
    </row>
    <row r="72" spans="1:16" ht="13" thickBot="1">
      <c r="B72" s="7" t="str">
        <f t="shared" si="5"/>
        <v/>
      </c>
      <c r="C72" s="59">
        <f>IF(D11="","-",+C71+1)</f>
        <v>2065</v>
      </c>
      <c r="D72" s="60">
        <f>IF(F71+SUM(E$17:E71)=D$10,F71,D$10-SUM(E$17:E71))</f>
        <v>0</v>
      </c>
      <c r="E72" s="381">
        <f>IF(+I14&lt;F71,I14,D72)</f>
        <v>0</v>
      </c>
      <c r="F72" s="60">
        <f t="shared" si="29"/>
        <v>0</v>
      </c>
      <c r="G72" s="382">
        <f t="shared" si="34"/>
        <v>0</v>
      </c>
      <c r="H72" s="362">
        <f t="shared" si="35"/>
        <v>0</v>
      </c>
      <c r="I72" s="63">
        <f t="shared" si="30"/>
        <v>0</v>
      </c>
      <c r="J72" s="52"/>
      <c r="K72" s="130"/>
      <c r="L72" s="64">
        <f t="shared" si="31"/>
        <v>0</v>
      </c>
      <c r="M72" s="130"/>
      <c r="N72" s="64">
        <f t="shared" si="32"/>
        <v>0</v>
      </c>
      <c r="O72" s="64">
        <f t="shared" si="33"/>
        <v>0</v>
      </c>
      <c r="P72" s="1"/>
    </row>
    <row r="73" spans="1:16" ht="12.5">
      <c r="C73" s="12" t="s">
        <v>78</v>
      </c>
      <c r="D73" s="293"/>
      <c r="E73" s="293">
        <f>SUM(E17:E72)</f>
        <v>5250739.0000000009</v>
      </c>
      <c r="F73" s="293"/>
      <c r="G73" s="293">
        <f>SUM(G17:G72)</f>
        <v>19613169.592591293</v>
      </c>
      <c r="H73" s="293">
        <f>SUM(H17:H72)</f>
        <v>19613169.592591293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7.5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24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535832.06805947493</v>
      </c>
      <c r="N87" s="387">
        <f>IF(J92&lt;D11,0,VLOOKUP(J92,C17:O72,11))</f>
        <v>535832.06805947493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556454.50221539289</v>
      </c>
      <c r="N88" s="390">
        <f>IF(J92&lt;D11,0,VLOOKUP(J92,C99:P154,7))</f>
        <v>556454.50221539289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27" t="str">
        <f>D7</f>
        <v>Rebuild/reconductor Dyess-Elm Springs REC [Dyess Station-Flint Creek]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20622.434155917959</v>
      </c>
      <c r="N89" s="392">
        <f>+N88-N87</f>
        <v>20622.434155917959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TP2008026</v>
      </c>
      <c r="E91" s="76" t="str">
        <f>E9</f>
        <v xml:space="preserve">SPP Project ID = </v>
      </c>
      <c r="F91" s="76" t="str">
        <f>F9</f>
        <v>296, 348, &amp; 30149</v>
      </c>
      <c r="G91" s="76"/>
      <c r="H91" s="76"/>
      <c r="I91" s="76"/>
      <c r="J91" s="95"/>
      <c r="Q91" s="1"/>
    </row>
    <row r="92" spans="1:17" ht="13">
      <c r="C92" s="34" t="s">
        <v>51</v>
      </c>
      <c r="D92" s="363">
        <f>IF(D11=I10,0,D10)</f>
        <v>5250739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  <c r="Q92" s="1"/>
    </row>
    <row r="93" spans="1:17" ht="12.5">
      <c r="C93" s="34" t="s">
        <v>54</v>
      </c>
      <c r="D93" s="88">
        <f>IF(D11=I10,"",D11)</f>
        <v>2010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4">
        <f>IF(D11=I10,"",D12)</f>
        <v>6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119334.97727272728</v>
      </c>
      <c r="K96" s="293"/>
      <c r="L96" s="293"/>
      <c r="M96" s="293"/>
      <c r="N96" s="293"/>
      <c r="O96" s="293"/>
      <c r="P96" s="1"/>
      <c r="Q96" s="1"/>
    </row>
    <row r="97" spans="1:17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 ht="12.5">
      <c r="C99" s="50">
        <f>IF(D93= "","-",D93)</f>
        <v>2010</v>
      </c>
      <c r="D99" s="133">
        <v>0</v>
      </c>
      <c r="E99" s="376">
        <v>64033.402439024387</v>
      </c>
      <c r="F99" s="137">
        <v>5186705.5975609757</v>
      </c>
      <c r="G99" s="140">
        <v>2593352.7987804879</v>
      </c>
      <c r="H99" s="397">
        <v>492159.85552560829</v>
      </c>
      <c r="I99" s="398">
        <v>492159.85552560829</v>
      </c>
      <c r="J99" s="154">
        <f t="shared" ref="J99:J130" si="36">+I99-H99</f>
        <v>0</v>
      </c>
      <c r="K99" s="54"/>
      <c r="L99" s="112">
        <f t="shared" ref="L99:L104" si="37">H99</f>
        <v>492159.85552560829</v>
      </c>
      <c r="M99" s="53">
        <f t="shared" ref="M99:M130" si="38">IF(L99&lt;&gt;0,+H99-L99,0)</f>
        <v>0</v>
      </c>
      <c r="N99" s="112">
        <f t="shared" ref="N99:N104" si="39">I99</f>
        <v>492159.85552560829</v>
      </c>
      <c r="O99" s="53">
        <f t="shared" ref="O99:O130" si="40">IF(N99&lt;&gt;0,+I99-N99,0)</f>
        <v>0</v>
      </c>
      <c r="P99" s="53">
        <f t="shared" ref="P99:P130" si="41">+O99-M99</f>
        <v>0</v>
      </c>
      <c r="Q99" s="1"/>
    </row>
    <row r="100" spans="1:17" ht="12.5">
      <c r="B100" s="7" t="str">
        <f>IF(D100=F99,"","IU")</f>
        <v/>
      </c>
      <c r="C100" s="50">
        <f>IF(D93="","-",+C99+1)</f>
        <v>2011</v>
      </c>
      <c r="D100" s="133">
        <v>5186705.5975609757</v>
      </c>
      <c r="E100" s="376">
        <v>125017.59523809524</v>
      </c>
      <c r="F100" s="137">
        <v>5061688.0023228806</v>
      </c>
      <c r="G100" s="137">
        <v>5124196.7999419281</v>
      </c>
      <c r="H100" s="376">
        <v>895593.80408985249</v>
      </c>
      <c r="I100" s="375">
        <v>895593.80408985249</v>
      </c>
      <c r="J100" s="154">
        <f t="shared" si="36"/>
        <v>0</v>
      </c>
      <c r="K100" s="54"/>
      <c r="L100" s="113">
        <f t="shared" si="37"/>
        <v>895593.80408985249</v>
      </c>
      <c r="M100" s="54">
        <f t="shared" si="38"/>
        <v>0</v>
      </c>
      <c r="N100" s="113">
        <f t="shared" si="39"/>
        <v>895593.80408985249</v>
      </c>
      <c r="O100" s="54">
        <f t="shared" si="40"/>
        <v>0</v>
      </c>
      <c r="P100" s="54">
        <f t="shared" si="41"/>
        <v>0</v>
      </c>
      <c r="Q100" s="1"/>
    </row>
    <row r="101" spans="1:17" ht="12.5">
      <c r="B101" s="7" t="str">
        <f t="shared" ref="B101:B154" si="42">IF(D101=F100,"","IU")</f>
        <v/>
      </c>
      <c r="C101" s="50">
        <f>IF(D93="","-",+C100+1)</f>
        <v>2012</v>
      </c>
      <c r="D101" s="133">
        <v>5061688.0023228806</v>
      </c>
      <c r="E101" s="376">
        <v>125017.59523809524</v>
      </c>
      <c r="F101" s="137">
        <v>4936670.4070847854</v>
      </c>
      <c r="G101" s="137">
        <v>4999179.204703833</v>
      </c>
      <c r="H101" s="376">
        <v>860666.47096382198</v>
      </c>
      <c r="I101" s="375">
        <v>860666.47096382198</v>
      </c>
      <c r="J101" s="154">
        <f t="shared" si="36"/>
        <v>0</v>
      </c>
      <c r="K101" s="54"/>
      <c r="L101" s="113">
        <f t="shared" si="37"/>
        <v>860666.47096382198</v>
      </c>
      <c r="M101" s="54">
        <f t="shared" si="38"/>
        <v>0</v>
      </c>
      <c r="N101" s="113">
        <f t="shared" si="39"/>
        <v>860666.47096382198</v>
      </c>
      <c r="O101" s="54">
        <f t="shared" si="40"/>
        <v>0</v>
      </c>
      <c r="P101" s="54">
        <f t="shared" si="41"/>
        <v>0</v>
      </c>
      <c r="Q101" s="1"/>
    </row>
    <row r="102" spans="1:17" ht="12.5">
      <c r="B102" s="7" t="str">
        <f t="shared" si="42"/>
        <v/>
      </c>
      <c r="C102" s="50">
        <f>IF(D93="","-",+C101+1)</f>
        <v>2013</v>
      </c>
      <c r="D102" s="133">
        <v>4936670.4070847854</v>
      </c>
      <c r="E102" s="376">
        <v>125017.59523809524</v>
      </c>
      <c r="F102" s="137">
        <v>4811652.8118466903</v>
      </c>
      <c r="G102" s="137">
        <v>4874161.6094657378</v>
      </c>
      <c r="H102" s="376">
        <v>784451.21671407181</v>
      </c>
      <c r="I102" s="375">
        <v>784451.21671407181</v>
      </c>
      <c r="J102" s="154">
        <v>0</v>
      </c>
      <c r="K102" s="54"/>
      <c r="L102" s="113">
        <f t="shared" si="37"/>
        <v>784451.21671407181</v>
      </c>
      <c r="M102" s="54">
        <f t="shared" ref="M102:M107" si="43">IF(L102&lt;&gt;0,+H102-L102,0)</f>
        <v>0</v>
      </c>
      <c r="N102" s="113">
        <f t="shared" si="39"/>
        <v>784451.21671407181</v>
      </c>
      <c r="O102" s="54">
        <f>IF(N102&lt;&gt;0,+I102-N102,0)</f>
        <v>0</v>
      </c>
      <c r="P102" s="54">
        <f>+O102-M102</f>
        <v>0</v>
      </c>
      <c r="Q102" s="1"/>
    </row>
    <row r="103" spans="1:17" ht="12.5">
      <c r="B103" s="7" t="str">
        <f t="shared" si="42"/>
        <v/>
      </c>
      <c r="C103" s="50">
        <f>IF(D93="","-",+C102+1)</f>
        <v>2014</v>
      </c>
      <c r="D103" s="133">
        <v>4811652.8118466903</v>
      </c>
      <c r="E103" s="376">
        <v>125017.59523809524</v>
      </c>
      <c r="F103" s="137">
        <v>4686635.2166085951</v>
      </c>
      <c r="G103" s="137">
        <v>4749144.0142276427</v>
      </c>
      <c r="H103" s="376">
        <v>770537.68057167216</v>
      </c>
      <c r="I103" s="375">
        <v>770537.68057167216</v>
      </c>
      <c r="J103" s="54">
        <v>0</v>
      </c>
      <c r="K103" s="54"/>
      <c r="L103" s="113">
        <f t="shared" si="37"/>
        <v>770537.68057167216</v>
      </c>
      <c r="M103" s="54">
        <f t="shared" si="43"/>
        <v>0</v>
      </c>
      <c r="N103" s="113">
        <f t="shared" si="39"/>
        <v>770537.68057167216</v>
      </c>
      <c r="O103" s="54">
        <f>IF(N103&lt;&gt;0,+I103-N103,0)</f>
        <v>0</v>
      </c>
      <c r="P103" s="54">
        <f>+O103-M103</f>
        <v>0</v>
      </c>
      <c r="Q103" s="1"/>
    </row>
    <row r="104" spans="1:17" ht="12.5">
      <c r="B104" s="7" t="str">
        <f t="shared" si="42"/>
        <v/>
      </c>
      <c r="C104" s="50">
        <f>IF(D93="","-",+C103+1)</f>
        <v>2015</v>
      </c>
      <c r="D104" s="133">
        <v>4686635.2166085951</v>
      </c>
      <c r="E104" s="376">
        <v>125017.59523809524</v>
      </c>
      <c r="F104" s="137">
        <v>4561617.6213705</v>
      </c>
      <c r="G104" s="137">
        <v>4624126.4189895475</v>
      </c>
      <c r="H104" s="376">
        <v>734333.54462045</v>
      </c>
      <c r="I104" s="375">
        <v>734333.54462045</v>
      </c>
      <c r="J104" s="54">
        <f t="shared" si="36"/>
        <v>0</v>
      </c>
      <c r="K104" s="54"/>
      <c r="L104" s="113">
        <f t="shared" si="37"/>
        <v>734333.54462045</v>
      </c>
      <c r="M104" s="54">
        <f t="shared" si="43"/>
        <v>0</v>
      </c>
      <c r="N104" s="113">
        <f t="shared" si="39"/>
        <v>734333.54462045</v>
      </c>
      <c r="O104" s="54">
        <f>IF(N104&lt;&gt;0,+I104-N104,0)</f>
        <v>0</v>
      </c>
      <c r="P104" s="54">
        <f>+O104-M104</f>
        <v>0</v>
      </c>
      <c r="Q104" s="1"/>
    </row>
    <row r="105" spans="1:17" ht="12.5">
      <c r="B105" s="7" t="str">
        <f t="shared" si="42"/>
        <v/>
      </c>
      <c r="C105" s="50">
        <f>IF(D93="","-",+C104+1)</f>
        <v>2016</v>
      </c>
      <c r="D105" s="133">
        <v>4561617.6213705</v>
      </c>
      <c r="E105" s="376">
        <v>122110.20930232559</v>
      </c>
      <c r="F105" s="137">
        <v>4439507.4120681742</v>
      </c>
      <c r="G105" s="137">
        <v>4500562.5167193376</v>
      </c>
      <c r="H105" s="376">
        <v>693456.56809088623</v>
      </c>
      <c r="I105" s="375">
        <v>693456.56809088623</v>
      </c>
      <c r="J105" s="54">
        <f t="shared" si="36"/>
        <v>0</v>
      </c>
      <c r="K105" s="54"/>
      <c r="L105" s="113">
        <f t="shared" ref="L105:L110" si="44">H105</f>
        <v>693456.56809088623</v>
      </c>
      <c r="M105" s="54">
        <f t="shared" si="43"/>
        <v>0</v>
      </c>
      <c r="N105" s="113">
        <f t="shared" ref="N105:N110" si="45">I105</f>
        <v>693456.56809088623</v>
      </c>
      <c r="O105" s="54">
        <f>IF(N105&lt;&gt;0,+I105-N105,0)</f>
        <v>0</v>
      </c>
      <c r="P105" s="54">
        <f>+O105-M105</f>
        <v>0</v>
      </c>
      <c r="Q105" s="1"/>
    </row>
    <row r="106" spans="1:17" ht="12.5">
      <c r="B106" s="7" t="str">
        <f t="shared" si="42"/>
        <v/>
      </c>
      <c r="C106" s="50">
        <f>IF(D93="","-",+C105+1)</f>
        <v>2017</v>
      </c>
      <c r="D106" s="133">
        <v>4439507.4120681742</v>
      </c>
      <c r="E106" s="376">
        <v>125017.59523809524</v>
      </c>
      <c r="F106" s="137">
        <v>4314489.8168300791</v>
      </c>
      <c r="G106" s="137">
        <v>4376998.6144491266</v>
      </c>
      <c r="H106" s="376">
        <v>656697.99721600045</v>
      </c>
      <c r="I106" s="375">
        <v>656697.99721600045</v>
      </c>
      <c r="J106" s="54">
        <f t="shared" si="36"/>
        <v>0</v>
      </c>
      <c r="K106" s="54"/>
      <c r="L106" s="113">
        <f t="shared" si="44"/>
        <v>656697.99721600045</v>
      </c>
      <c r="M106" s="54">
        <f t="shared" si="43"/>
        <v>0</v>
      </c>
      <c r="N106" s="113">
        <f t="shared" si="45"/>
        <v>656697.99721600045</v>
      </c>
      <c r="O106" s="54">
        <f>IF(N106&lt;&gt;0,+I106-N106,0)</f>
        <v>0</v>
      </c>
      <c r="P106" s="54">
        <f>+O106-M106</f>
        <v>0</v>
      </c>
      <c r="Q106" s="1"/>
    </row>
    <row r="107" spans="1:17" ht="12.5">
      <c r="B107" s="7" t="str">
        <f t="shared" si="42"/>
        <v/>
      </c>
      <c r="C107" s="50">
        <f>IF(D93="","-",+C106+1)</f>
        <v>2018</v>
      </c>
      <c r="D107" s="133">
        <v>4314489.8168300791</v>
      </c>
      <c r="E107" s="376">
        <v>125017.59523809524</v>
      </c>
      <c r="F107" s="137">
        <v>4189472.2215919839</v>
      </c>
      <c r="G107" s="137">
        <v>4251981.0192110315</v>
      </c>
      <c r="H107" s="376">
        <v>574046.28968548193</v>
      </c>
      <c r="I107" s="375">
        <v>574046.28968548193</v>
      </c>
      <c r="J107" s="54">
        <f t="shared" si="36"/>
        <v>0</v>
      </c>
      <c r="K107" s="54"/>
      <c r="L107" s="113">
        <f t="shared" si="44"/>
        <v>574046.28968548193</v>
      </c>
      <c r="M107" s="54">
        <f t="shared" si="43"/>
        <v>0</v>
      </c>
      <c r="N107" s="113">
        <f t="shared" si="45"/>
        <v>574046.28968548193</v>
      </c>
      <c r="O107" s="54">
        <f t="shared" si="40"/>
        <v>0</v>
      </c>
      <c r="P107" s="54">
        <f t="shared" si="41"/>
        <v>0</v>
      </c>
      <c r="Q107" s="1"/>
    </row>
    <row r="108" spans="1:17" ht="12.5">
      <c r="B108" s="7" t="str">
        <f t="shared" si="42"/>
        <v/>
      </c>
      <c r="C108" s="50">
        <f>IF(D93="","-",+C107+1)</f>
        <v>2019</v>
      </c>
      <c r="D108" s="133">
        <v>4189472.2215919839</v>
      </c>
      <c r="E108" s="376">
        <v>122110.20930232559</v>
      </c>
      <c r="F108" s="137">
        <v>4067362.0122896582</v>
      </c>
      <c r="G108" s="137">
        <v>4128417.1169408211</v>
      </c>
      <c r="H108" s="376">
        <v>564018.23385327356</v>
      </c>
      <c r="I108" s="375">
        <v>564018.23385327356</v>
      </c>
      <c r="J108" s="54">
        <f t="shared" si="36"/>
        <v>0</v>
      </c>
      <c r="K108" s="54"/>
      <c r="L108" s="113">
        <f t="shared" si="44"/>
        <v>564018.23385327356</v>
      </c>
      <c r="M108" s="54">
        <f t="shared" ref="M108" si="46">IF(L108&lt;&gt;0,+H108-L108,0)</f>
        <v>0</v>
      </c>
      <c r="N108" s="113">
        <f t="shared" si="45"/>
        <v>564018.23385327356</v>
      </c>
      <c r="O108" s="54">
        <f t="shared" si="40"/>
        <v>0</v>
      </c>
      <c r="P108" s="54">
        <f t="shared" si="41"/>
        <v>0</v>
      </c>
      <c r="Q108" s="1"/>
    </row>
    <row r="109" spans="1:17" ht="12.5">
      <c r="B109" s="7" t="str">
        <f t="shared" si="42"/>
        <v/>
      </c>
      <c r="C109" s="50">
        <f>IF(D93="","-",+C108+1)</f>
        <v>2020</v>
      </c>
      <c r="D109" s="133">
        <v>4067362.0122896582</v>
      </c>
      <c r="E109" s="376">
        <v>125017.59523809524</v>
      </c>
      <c r="F109" s="137">
        <v>3942344.417051563</v>
      </c>
      <c r="G109" s="137">
        <v>4004853.2146706106</v>
      </c>
      <c r="H109" s="376">
        <v>555835.00414311176</v>
      </c>
      <c r="I109" s="375">
        <v>555835.00414311176</v>
      </c>
      <c r="J109" s="54">
        <f t="shared" si="36"/>
        <v>0</v>
      </c>
      <c r="K109" s="54"/>
      <c r="L109" s="113">
        <f t="shared" si="44"/>
        <v>555835.00414311176</v>
      </c>
      <c r="M109" s="54">
        <f t="shared" ref="M109" si="47">IF(L109&lt;&gt;0,+H109-L109,0)</f>
        <v>0</v>
      </c>
      <c r="N109" s="113">
        <f t="shared" si="45"/>
        <v>555835.00414311176</v>
      </c>
      <c r="O109" s="54">
        <f t="shared" si="40"/>
        <v>0</v>
      </c>
      <c r="P109" s="54">
        <f t="shared" si="41"/>
        <v>0</v>
      </c>
      <c r="Q109" s="1"/>
    </row>
    <row r="110" spans="1:17" ht="12.5">
      <c r="B110" s="7" t="str">
        <f t="shared" si="42"/>
        <v/>
      </c>
      <c r="C110" s="50">
        <f>IF(D93="","-",+C109+1)</f>
        <v>2021</v>
      </c>
      <c r="D110" s="133">
        <v>3942344.417051563</v>
      </c>
      <c r="E110" s="376">
        <v>128066.80487804877</v>
      </c>
      <c r="F110" s="137">
        <v>3814277.6121735144</v>
      </c>
      <c r="G110" s="137">
        <v>3878311.0146125387</v>
      </c>
      <c r="H110" s="376">
        <v>568310.27933101822</v>
      </c>
      <c r="I110" s="375">
        <v>568310.27933101822</v>
      </c>
      <c r="J110" s="54">
        <f t="shared" si="36"/>
        <v>0</v>
      </c>
      <c r="K110" s="54"/>
      <c r="L110" s="113">
        <f t="shared" si="44"/>
        <v>568310.27933101822</v>
      </c>
      <c r="M110" s="54">
        <f t="shared" ref="M110" si="48">IF(L110&lt;&gt;0,+H110-L110,0)</f>
        <v>0</v>
      </c>
      <c r="N110" s="113">
        <f t="shared" si="45"/>
        <v>568310.27933101822</v>
      </c>
      <c r="O110" s="54">
        <f t="shared" si="40"/>
        <v>0</v>
      </c>
      <c r="P110" s="54">
        <f t="shared" si="41"/>
        <v>0</v>
      </c>
      <c r="Q110" s="1"/>
    </row>
    <row r="111" spans="1:17" ht="12.5">
      <c r="B111" s="7" t="str">
        <f t="shared" si="42"/>
        <v/>
      </c>
      <c r="C111" s="50">
        <f>IF(D93="","-",+C110+1)</f>
        <v>2022</v>
      </c>
      <c r="D111" s="133">
        <v>3814277.6121735144</v>
      </c>
      <c r="E111" s="376">
        <v>125017.59523809524</v>
      </c>
      <c r="F111" s="137">
        <v>3689260.0169354193</v>
      </c>
      <c r="G111" s="137">
        <v>3751768.8145544669</v>
      </c>
      <c r="H111" s="376">
        <v>565692.2677894464</v>
      </c>
      <c r="I111" s="375">
        <v>565692.2677894464</v>
      </c>
      <c r="J111" s="54">
        <f t="shared" si="36"/>
        <v>0</v>
      </c>
      <c r="K111" s="54"/>
      <c r="L111" s="113">
        <f t="shared" ref="L111" si="49">H111</f>
        <v>565692.2677894464</v>
      </c>
      <c r="M111" s="54">
        <f t="shared" ref="M111" si="50">IF(L111&lt;&gt;0,+H111-L111,0)</f>
        <v>0</v>
      </c>
      <c r="N111" s="113">
        <f t="shared" ref="N111" si="51">I111</f>
        <v>565692.2677894464</v>
      </c>
      <c r="O111" s="54">
        <f t="shared" ref="O111" si="52">IF(N111&lt;&gt;0,+I111-N111,0)</f>
        <v>0</v>
      </c>
      <c r="P111" s="54">
        <f t="shared" ref="P111" si="53">+O111-M111</f>
        <v>0</v>
      </c>
      <c r="Q111" s="1"/>
    </row>
    <row r="112" spans="1:17" ht="12.5">
      <c r="B112" s="7" t="str">
        <f t="shared" si="42"/>
        <v/>
      </c>
      <c r="C112" s="50">
        <f>IF(D93="","-",+C111+1)</f>
        <v>2023</v>
      </c>
      <c r="D112" s="133">
        <v>3689260.0169354193</v>
      </c>
      <c r="E112" s="376">
        <v>119334.97727272728</v>
      </c>
      <c r="F112" s="137">
        <v>3569925.0396626922</v>
      </c>
      <c r="G112" s="137">
        <v>3629592.528299056</v>
      </c>
      <c r="H112" s="376">
        <v>567099.86356419662</v>
      </c>
      <c r="I112" s="375">
        <v>567099.86356419662</v>
      </c>
      <c r="J112" s="54">
        <f t="shared" si="36"/>
        <v>0</v>
      </c>
      <c r="K112" s="54"/>
      <c r="L112" s="113">
        <f t="shared" ref="L112" si="54">H112</f>
        <v>567099.86356419662</v>
      </c>
      <c r="M112" s="54">
        <f t="shared" ref="M112" si="55">IF(L112&lt;&gt;0,+H112-L112,0)</f>
        <v>0</v>
      </c>
      <c r="N112" s="113">
        <f t="shared" ref="N112" si="56">I112</f>
        <v>567099.86356419662</v>
      </c>
      <c r="O112" s="54">
        <f t="shared" ref="O112" si="57">IF(N112&lt;&gt;0,+I112-N112,0)</f>
        <v>0</v>
      </c>
      <c r="P112" s="54">
        <f t="shared" ref="P112" si="58">+O112-M112</f>
        <v>0</v>
      </c>
      <c r="Q112" s="1"/>
    </row>
    <row r="113" spans="2:17" ht="12.5">
      <c r="B113" s="7" t="str">
        <f t="shared" si="42"/>
        <v/>
      </c>
      <c r="C113" s="50">
        <f>IF(D93="","-",+C112+1)</f>
        <v>2024</v>
      </c>
      <c r="D113" s="12">
        <f>IF(F112+SUM(E$99:E112)=D$92,F112,D$92-SUM(E$99:E112))</f>
        <v>3569925.0396626922</v>
      </c>
      <c r="E113" s="378">
        <f>IF(+J96&lt;F112,J96,D113)</f>
        <v>119334.97727272728</v>
      </c>
      <c r="F113" s="55">
        <f t="shared" ref="F113:F131" si="59">+D113-E113</f>
        <v>3450590.0623899652</v>
      </c>
      <c r="G113" s="55">
        <f t="shared" ref="G113:G130" si="60">+(F113+D113)/2</f>
        <v>3510257.5510263285</v>
      </c>
      <c r="H113" s="380">
        <f t="shared" ref="H113:H130" si="61">+J$94*G113+E113</f>
        <v>556454.50221539289</v>
      </c>
      <c r="I113" s="399">
        <f t="shared" ref="I113:I130" si="62">+J$95*G113+E113</f>
        <v>556454.50221539289</v>
      </c>
      <c r="J113" s="54">
        <f t="shared" si="36"/>
        <v>0</v>
      </c>
      <c r="K113" s="54"/>
      <c r="L113" s="129"/>
      <c r="M113" s="54">
        <f t="shared" si="38"/>
        <v>0</v>
      </c>
      <c r="N113" s="129"/>
      <c r="O113" s="54">
        <f t="shared" si="40"/>
        <v>0</v>
      </c>
      <c r="P113" s="54">
        <f t="shared" si="41"/>
        <v>0</v>
      </c>
      <c r="Q113" s="1"/>
    </row>
    <row r="114" spans="2:17" ht="12.5">
      <c r="B114" s="7" t="str">
        <f t="shared" si="42"/>
        <v/>
      </c>
      <c r="C114" s="50">
        <f>IF(D93="","-",+C113+1)</f>
        <v>2025</v>
      </c>
      <c r="D114" s="12">
        <f>IF(F113+SUM(E$99:E113)=D$92,F113,D$92-SUM(E$99:E113))</f>
        <v>3450590.0623899652</v>
      </c>
      <c r="E114" s="378">
        <f>IF(+J96&lt;F113,J96,D114)</f>
        <v>119334.97727272728</v>
      </c>
      <c r="F114" s="55">
        <f t="shared" si="59"/>
        <v>3331255.0851172381</v>
      </c>
      <c r="G114" s="55">
        <f t="shared" si="60"/>
        <v>3390922.5737536019</v>
      </c>
      <c r="H114" s="380">
        <f t="shared" si="61"/>
        <v>541594.15427333198</v>
      </c>
      <c r="I114" s="399">
        <f t="shared" si="62"/>
        <v>541594.15427333198</v>
      </c>
      <c r="J114" s="54">
        <f t="shared" si="36"/>
        <v>0</v>
      </c>
      <c r="K114" s="54"/>
      <c r="L114" s="129"/>
      <c r="M114" s="54">
        <f t="shared" si="38"/>
        <v>0</v>
      </c>
      <c r="N114" s="129"/>
      <c r="O114" s="54">
        <f t="shared" si="40"/>
        <v>0</v>
      </c>
      <c r="P114" s="54">
        <f t="shared" si="41"/>
        <v>0</v>
      </c>
      <c r="Q114" s="1"/>
    </row>
    <row r="115" spans="2:17" ht="12.5">
      <c r="B115" s="7" t="str">
        <f t="shared" si="42"/>
        <v/>
      </c>
      <c r="C115" s="50">
        <f>IF(D93="","-",+C114+1)</f>
        <v>2026</v>
      </c>
      <c r="D115" s="12">
        <f>IF(F114+SUM(E$99:E114)=D$92,F114,D$92-SUM(E$99:E114))</f>
        <v>3331255.0851172381</v>
      </c>
      <c r="E115" s="378">
        <f>IF(+J96&lt;F114,J96,D115)</f>
        <v>119334.97727272728</v>
      </c>
      <c r="F115" s="55">
        <f t="shared" si="59"/>
        <v>3211920.107844511</v>
      </c>
      <c r="G115" s="55">
        <f t="shared" si="60"/>
        <v>3271587.5964808743</v>
      </c>
      <c r="H115" s="380">
        <f t="shared" si="61"/>
        <v>526733.80633127084</v>
      </c>
      <c r="I115" s="399">
        <f t="shared" si="62"/>
        <v>526733.80633127084</v>
      </c>
      <c r="J115" s="54">
        <f t="shared" si="36"/>
        <v>0</v>
      </c>
      <c r="K115" s="54"/>
      <c r="L115" s="129"/>
      <c r="M115" s="54">
        <f t="shared" si="38"/>
        <v>0</v>
      </c>
      <c r="N115" s="129"/>
      <c r="O115" s="54">
        <f t="shared" si="40"/>
        <v>0</v>
      </c>
      <c r="P115" s="54">
        <f t="shared" si="41"/>
        <v>0</v>
      </c>
      <c r="Q115" s="1"/>
    </row>
    <row r="116" spans="2:17" ht="12.5">
      <c r="B116" s="7" t="str">
        <f t="shared" si="42"/>
        <v/>
      </c>
      <c r="C116" s="50">
        <f>IF(D93="","-",+C115+1)</f>
        <v>2027</v>
      </c>
      <c r="D116" s="12">
        <f>IF(F115+SUM(E$99:E115)=D$92,F115,D$92-SUM(E$99:E115))</f>
        <v>3211920.107844511</v>
      </c>
      <c r="E116" s="378">
        <f>IF(+J96&lt;F115,J96,D116)</f>
        <v>119334.97727272728</v>
      </c>
      <c r="F116" s="55">
        <f t="shared" si="59"/>
        <v>3092585.130571784</v>
      </c>
      <c r="G116" s="55">
        <f t="shared" si="60"/>
        <v>3152252.6192081477</v>
      </c>
      <c r="H116" s="380">
        <f t="shared" si="61"/>
        <v>511873.45838920993</v>
      </c>
      <c r="I116" s="399">
        <f t="shared" si="62"/>
        <v>511873.45838920993</v>
      </c>
      <c r="J116" s="54">
        <f t="shared" si="36"/>
        <v>0</v>
      </c>
      <c r="K116" s="54"/>
      <c r="L116" s="129"/>
      <c r="M116" s="54">
        <f t="shared" si="38"/>
        <v>0</v>
      </c>
      <c r="N116" s="129"/>
      <c r="O116" s="54">
        <f t="shared" si="40"/>
        <v>0</v>
      </c>
      <c r="P116" s="54">
        <f t="shared" si="41"/>
        <v>0</v>
      </c>
      <c r="Q116" s="1"/>
    </row>
    <row r="117" spans="2:17" ht="12.5">
      <c r="B117" s="7" t="str">
        <f t="shared" si="42"/>
        <v/>
      </c>
      <c r="C117" s="50">
        <f>IF(D93="","-",+C116+1)</f>
        <v>2028</v>
      </c>
      <c r="D117" s="12">
        <f>IF(F116+SUM(E$99:E116)=D$92,F116,D$92-SUM(E$99:E116))</f>
        <v>3092585.130571784</v>
      </c>
      <c r="E117" s="378">
        <f>IF(+J96&lt;F116,J96,D117)</f>
        <v>119334.97727272728</v>
      </c>
      <c r="F117" s="55">
        <f t="shared" si="59"/>
        <v>2973250.1532990569</v>
      </c>
      <c r="G117" s="55">
        <f t="shared" si="60"/>
        <v>3032917.6419354202</v>
      </c>
      <c r="H117" s="380">
        <f t="shared" si="61"/>
        <v>497013.11044714885</v>
      </c>
      <c r="I117" s="399">
        <f t="shared" si="62"/>
        <v>497013.11044714885</v>
      </c>
      <c r="J117" s="54">
        <f t="shared" si="36"/>
        <v>0</v>
      </c>
      <c r="K117" s="54"/>
      <c r="L117" s="129"/>
      <c r="M117" s="54">
        <f t="shared" si="38"/>
        <v>0</v>
      </c>
      <c r="N117" s="129"/>
      <c r="O117" s="54">
        <f t="shared" si="40"/>
        <v>0</v>
      </c>
      <c r="P117" s="54">
        <f t="shared" si="41"/>
        <v>0</v>
      </c>
      <c r="Q117" s="1"/>
    </row>
    <row r="118" spans="2:17" ht="12.5">
      <c r="B118" s="7" t="str">
        <f t="shared" si="42"/>
        <v/>
      </c>
      <c r="C118" s="50">
        <f>IF(D93="","-",+C117+1)</f>
        <v>2029</v>
      </c>
      <c r="D118" s="12">
        <f>IF(F117+SUM(E$99:E117)=D$92,F117,D$92-SUM(E$99:E117))</f>
        <v>2973250.1532990569</v>
      </c>
      <c r="E118" s="378">
        <f>IF(+J96&lt;F117,J96,D118)</f>
        <v>119334.97727272728</v>
      </c>
      <c r="F118" s="55">
        <f t="shared" si="59"/>
        <v>2853915.1760263299</v>
      </c>
      <c r="G118" s="55">
        <f t="shared" si="60"/>
        <v>2913582.6646626936</v>
      </c>
      <c r="H118" s="380">
        <f t="shared" si="61"/>
        <v>482152.76250508789</v>
      </c>
      <c r="I118" s="399">
        <f t="shared" si="62"/>
        <v>482152.76250508789</v>
      </c>
      <c r="J118" s="54">
        <f t="shared" si="36"/>
        <v>0</v>
      </c>
      <c r="K118" s="54"/>
      <c r="L118" s="129"/>
      <c r="M118" s="54">
        <f t="shared" si="38"/>
        <v>0</v>
      </c>
      <c r="N118" s="129"/>
      <c r="O118" s="54">
        <f t="shared" si="40"/>
        <v>0</v>
      </c>
      <c r="P118" s="54">
        <f t="shared" si="41"/>
        <v>0</v>
      </c>
      <c r="Q118" s="1"/>
    </row>
    <row r="119" spans="2:17" ht="12.5">
      <c r="B119" s="7" t="str">
        <f t="shared" si="42"/>
        <v/>
      </c>
      <c r="C119" s="50">
        <f>IF(D93="","-",+C118+1)</f>
        <v>2030</v>
      </c>
      <c r="D119" s="12">
        <f>IF(F118+SUM(E$99:E118)=D$92,F118,D$92-SUM(E$99:E118))</f>
        <v>2853915.1760263299</v>
      </c>
      <c r="E119" s="378">
        <f>IF(+J96&lt;F118,J96,D119)</f>
        <v>119334.97727272728</v>
      </c>
      <c r="F119" s="55">
        <f t="shared" si="59"/>
        <v>2734580.1987536028</v>
      </c>
      <c r="G119" s="55">
        <f t="shared" si="60"/>
        <v>2794247.6873899661</v>
      </c>
      <c r="H119" s="380">
        <f t="shared" si="61"/>
        <v>467292.4145630268</v>
      </c>
      <c r="I119" s="399">
        <f t="shared" si="62"/>
        <v>467292.4145630268</v>
      </c>
      <c r="J119" s="54">
        <f t="shared" si="36"/>
        <v>0</v>
      </c>
      <c r="K119" s="54"/>
      <c r="L119" s="129"/>
      <c r="M119" s="54">
        <f t="shared" si="38"/>
        <v>0</v>
      </c>
      <c r="N119" s="129"/>
      <c r="O119" s="54">
        <f t="shared" si="40"/>
        <v>0</v>
      </c>
      <c r="P119" s="54">
        <f t="shared" si="41"/>
        <v>0</v>
      </c>
      <c r="Q119" s="1"/>
    </row>
    <row r="120" spans="2:17" ht="12.5">
      <c r="B120" s="7" t="str">
        <f t="shared" si="42"/>
        <v/>
      </c>
      <c r="C120" s="50">
        <f>IF(D93="","-",+C119+1)</f>
        <v>2031</v>
      </c>
      <c r="D120" s="12">
        <f>IF(F119+SUM(E$99:E119)=D$92,F119,D$92-SUM(E$99:E119))</f>
        <v>2734580.1987536028</v>
      </c>
      <c r="E120" s="378">
        <f>IF(+J96&lt;F119,J96,D120)</f>
        <v>119334.97727272728</v>
      </c>
      <c r="F120" s="55">
        <f t="shared" si="59"/>
        <v>2615245.2214808757</v>
      </c>
      <c r="G120" s="55">
        <f t="shared" si="60"/>
        <v>2674912.7101172395</v>
      </c>
      <c r="H120" s="380">
        <f t="shared" si="61"/>
        <v>452432.06662096584</v>
      </c>
      <c r="I120" s="399">
        <f t="shared" si="62"/>
        <v>452432.06662096584</v>
      </c>
      <c r="J120" s="54">
        <f t="shared" si="36"/>
        <v>0</v>
      </c>
      <c r="K120" s="54"/>
      <c r="L120" s="129"/>
      <c r="M120" s="54">
        <f t="shared" si="38"/>
        <v>0</v>
      </c>
      <c r="N120" s="129"/>
      <c r="O120" s="54">
        <f t="shared" si="40"/>
        <v>0</v>
      </c>
      <c r="P120" s="54">
        <f t="shared" si="41"/>
        <v>0</v>
      </c>
      <c r="Q120" s="1"/>
    </row>
    <row r="121" spans="2:17" ht="12.5">
      <c r="B121" s="7" t="str">
        <f t="shared" si="42"/>
        <v/>
      </c>
      <c r="C121" s="50">
        <f>IF(D93="","-",+C120+1)</f>
        <v>2032</v>
      </c>
      <c r="D121" s="12">
        <f>IF(F120+SUM(E$99:E120)=D$92,F120,D$92-SUM(E$99:E120))</f>
        <v>2615245.2214808757</v>
      </c>
      <c r="E121" s="378">
        <f>IF(+J96&lt;F120,J96,D121)</f>
        <v>119334.97727272728</v>
      </c>
      <c r="F121" s="55">
        <f t="shared" si="59"/>
        <v>2495910.2442081487</v>
      </c>
      <c r="G121" s="55">
        <f t="shared" si="60"/>
        <v>2555577.732844512</v>
      </c>
      <c r="H121" s="380">
        <f t="shared" si="61"/>
        <v>437571.71867890476</v>
      </c>
      <c r="I121" s="399">
        <f t="shared" si="62"/>
        <v>437571.71867890476</v>
      </c>
      <c r="J121" s="54">
        <f t="shared" si="36"/>
        <v>0</v>
      </c>
      <c r="K121" s="54"/>
      <c r="L121" s="129"/>
      <c r="M121" s="54">
        <f t="shared" si="38"/>
        <v>0</v>
      </c>
      <c r="N121" s="129"/>
      <c r="O121" s="54">
        <f t="shared" si="40"/>
        <v>0</v>
      </c>
      <c r="P121" s="54">
        <f t="shared" si="41"/>
        <v>0</v>
      </c>
      <c r="Q121" s="1"/>
    </row>
    <row r="122" spans="2:17" ht="12.5">
      <c r="B122" s="7" t="str">
        <f t="shared" si="42"/>
        <v/>
      </c>
      <c r="C122" s="50">
        <f>IF(D93="","-",+C121+1)</f>
        <v>2033</v>
      </c>
      <c r="D122" s="12">
        <f>IF(F121+SUM(E$99:E121)=D$92,F121,D$92-SUM(E$99:E121))</f>
        <v>2495910.2442081487</v>
      </c>
      <c r="E122" s="378">
        <f>IF(+J96&lt;F121,J96,D122)</f>
        <v>119334.97727272728</v>
      </c>
      <c r="F122" s="55">
        <f t="shared" si="59"/>
        <v>2376575.2669354216</v>
      </c>
      <c r="G122" s="55">
        <f t="shared" si="60"/>
        <v>2436242.7555717854</v>
      </c>
      <c r="H122" s="380">
        <f t="shared" si="61"/>
        <v>422711.37073684379</v>
      </c>
      <c r="I122" s="399">
        <f t="shared" si="62"/>
        <v>422711.37073684379</v>
      </c>
      <c r="J122" s="54">
        <f t="shared" si="36"/>
        <v>0</v>
      </c>
      <c r="K122" s="54"/>
      <c r="L122" s="129"/>
      <c r="M122" s="54">
        <f t="shared" si="38"/>
        <v>0</v>
      </c>
      <c r="N122" s="129"/>
      <c r="O122" s="54">
        <f t="shared" si="40"/>
        <v>0</v>
      </c>
      <c r="P122" s="54">
        <f t="shared" si="41"/>
        <v>0</v>
      </c>
      <c r="Q122" s="1"/>
    </row>
    <row r="123" spans="2:17" ht="12.5">
      <c r="B123" s="7" t="str">
        <f t="shared" si="42"/>
        <v/>
      </c>
      <c r="C123" s="50">
        <f>IF(D93="","-",+C122+1)</f>
        <v>2034</v>
      </c>
      <c r="D123" s="12">
        <f>IF(F122+SUM(E$99:E122)=D$92,F122,D$92-SUM(E$99:E122))</f>
        <v>2376575.2669354216</v>
      </c>
      <c r="E123" s="378">
        <f>IF(+J96&lt;F122,J96,D123)</f>
        <v>119334.97727272728</v>
      </c>
      <c r="F123" s="55">
        <f t="shared" si="59"/>
        <v>2257240.2896626946</v>
      </c>
      <c r="G123" s="55">
        <f t="shared" si="60"/>
        <v>2316907.7782990579</v>
      </c>
      <c r="H123" s="380">
        <f t="shared" si="61"/>
        <v>407851.02279478271</v>
      </c>
      <c r="I123" s="399">
        <f t="shared" si="62"/>
        <v>407851.02279478271</v>
      </c>
      <c r="J123" s="54">
        <f t="shared" si="36"/>
        <v>0</v>
      </c>
      <c r="K123" s="54"/>
      <c r="L123" s="129"/>
      <c r="M123" s="54">
        <f t="shared" si="38"/>
        <v>0</v>
      </c>
      <c r="N123" s="129"/>
      <c r="O123" s="54">
        <f t="shared" si="40"/>
        <v>0</v>
      </c>
      <c r="P123" s="54">
        <f t="shared" si="41"/>
        <v>0</v>
      </c>
      <c r="Q123" s="1"/>
    </row>
    <row r="124" spans="2:17" ht="12.5">
      <c r="B124" s="7" t="str">
        <f t="shared" si="42"/>
        <v/>
      </c>
      <c r="C124" s="50">
        <f>IF(D93="","-",+C123+1)</f>
        <v>2035</v>
      </c>
      <c r="D124" s="12">
        <f>IF(F123+SUM(E$99:E123)=D$92,F123,D$92-SUM(E$99:E123))</f>
        <v>2257240.2896626946</v>
      </c>
      <c r="E124" s="378">
        <f>IF(+J96&lt;F123,J96,D124)</f>
        <v>119334.97727272728</v>
      </c>
      <c r="F124" s="55">
        <f t="shared" si="59"/>
        <v>2137905.3123899675</v>
      </c>
      <c r="G124" s="55">
        <f t="shared" si="60"/>
        <v>2197572.8010263313</v>
      </c>
      <c r="H124" s="380">
        <f t="shared" si="61"/>
        <v>392990.67485272174</v>
      </c>
      <c r="I124" s="399">
        <f t="shared" si="62"/>
        <v>392990.67485272174</v>
      </c>
      <c r="J124" s="54">
        <f t="shared" si="36"/>
        <v>0</v>
      </c>
      <c r="K124" s="54"/>
      <c r="L124" s="129"/>
      <c r="M124" s="54">
        <f t="shared" si="38"/>
        <v>0</v>
      </c>
      <c r="N124" s="129"/>
      <c r="O124" s="54">
        <f t="shared" si="40"/>
        <v>0</v>
      </c>
      <c r="P124" s="54">
        <f t="shared" si="41"/>
        <v>0</v>
      </c>
      <c r="Q124" s="1"/>
    </row>
    <row r="125" spans="2:17" ht="12.5">
      <c r="B125" s="7" t="str">
        <f t="shared" si="42"/>
        <v/>
      </c>
      <c r="C125" s="50">
        <f>IF(D93="","-",+C124+1)</f>
        <v>2036</v>
      </c>
      <c r="D125" s="12">
        <f>IF(F124+SUM(E$99:E124)=D$92,F124,D$92-SUM(E$99:E124))</f>
        <v>2137905.3123899675</v>
      </c>
      <c r="E125" s="378">
        <f>IF(+J96&lt;F124,J96,D125)</f>
        <v>119334.97727272728</v>
      </c>
      <c r="F125" s="55">
        <f t="shared" si="59"/>
        <v>2018570.3351172402</v>
      </c>
      <c r="G125" s="55">
        <f t="shared" si="60"/>
        <v>2078237.8237536037</v>
      </c>
      <c r="H125" s="380">
        <f t="shared" si="61"/>
        <v>378130.32691066066</v>
      </c>
      <c r="I125" s="399">
        <f t="shared" si="62"/>
        <v>378130.32691066066</v>
      </c>
      <c r="J125" s="54">
        <f t="shared" si="36"/>
        <v>0</v>
      </c>
      <c r="K125" s="54"/>
      <c r="L125" s="129"/>
      <c r="M125" s="54">
        <f t="shared" si="38"/>
        <v>0</v>
      </c>
      <c r="N125" s="129"/>
      <c r="O125" s="54">
        <f t="shared" si="40"/>
        <v>0</v>
      </c>
      <c r="P125" s="54">
        <f t="shared" si="41"/>
        <v>0</v>
      </c>
      <c r="Q125" s="1"/>
    </row>
    <row r="126" spans="2:17" ht="12.5">
      <c r="B126" s="7" t="str">
        <f t="shared" si="42"/>
        <v/>
      </c>
      <c r="C126" s="50">
        <f>IF(D93="","-",+C125+1)</f>
        <v>2037</v>
      </c>
      <c r="D126" s="12">
        <f>IF(F125+SUM(E$99:E125)=D$92,F125,D$92-SUM(E$99:E125))</f>
        <v>2018570.3351172402</v>
      </c>
      <c r="E126" s="378">
        <f>IF(+J96&lt;F125,J96,D126)</f>
        <v>119334.97727272728</v>
      </c>
      <c r="F126" s="55">
        <f t="shared" si="59"/>
        <v>1899235.3578445129</v>
      </c>
      <c r="G126" s="55">
        <f t="shared" si="60"/>
        <v>1958902.8464808767</v>
      </c>
      <c r="H126" s="380">
        <f t="shared" si="61"/>
        <v>363269.97896859964</v>
      </c>
      <c r="I126" s="399">
        <f t="shared" si="62"/>
        <v>363269.97896859964</v>
      </c>
      <c r="J126" s="54">
        <f t="shared" si="36"/>
        <v>0</v>
      </c>
      <c r="K126" s="54"/>
      <c r="L126" s="129"/>
      <c r="M126" s="54">
        <f t="shared" si="38"/>
        <v>0</v>
      </c>
      <c r="N126" s="129"/>
      <c r="O126" s="54">
        <f t="shared" si="40"/>
        <v>0</v>
      </c>
      <c r="P126" s="54">
        <f t="shared" si="41"/>
        <v>0</v>
      </c>
      <c r="Q126" s="1"/>
    </row>
    <row r="127" spans="2:17" ht="12.5">
      <c r="B127" s="7" t="str">
        <f t="shared" si="42"/>
        <v/>
      </c>
      <c r="C127" s="50">
        <f>IF(D93="","-",+C126+1)</f>
        <v>2038</v>
      </c>
      <c r="D127" s="12">
        <f>IF(F126+SUM(E$99:E126)=D$92,F126,D$92-SUM(E$99:E126))</f>
        <v>1899235.3578445129</v>
      </c>
      <c r="E127" s="378">
        <f>IF(+J96&lt;F126,J96,D127)</f>
        <v>119334.97727272728</v>
      </c>
      <c r="F127" s="55">
        <f t="shared" si="59"/>
        <v>1779900.3805717856</v>
      </c>
      <c r="G127" s="55">
        <f t="shared" si="60"/>
        <v>1839567.8692081491</v>
      </c>
      <c r="H127" s="380">
        <f t="shared" si="61"/>
        <v>348409.63102653855</v>
      </c>
      <c r="I127" s="399">
        <f t="shared" si="62"/>
        <v>348409.63102653855</v>
      </c>
      <c r="J127" s="54">
        <f t="shared" si="36"/>
        <v>0</v>
      </c>
      <c r="K127" s="54"/>
      <c r="L127" s="129"/>
      <c r="M127" s="54">
        <f t="shared" si="38"/>
        <v>0</v>
      </c>
      <c r="N127" s="129"/>
      <c r="O127" s="54">
        <f t="shared" si="40"/>
        <v>0</v>
      </c>
      <c r="P127" s="54">
        <f t="shared" si="41"/>
        <v>0</v>
      </c>
      <c r="Q127" s="1"/>
    </row>
    <row r="128" spans="2:17" ht="12.5">
      <c r="B128" s="7" t="str">
        <f t="shared" si="42"/>
        <v/>
      </c>
      <c r="C128" s="50">
        <f>IF(D93="","-",+C127+1)</f>
        <v>2039</v>
      </c>
      <c r="D128" s="12">
        <f>IF(F127+SUM(E$99:E127)=D$92,F127,D$92-SUM(E$99:E127))</f>
        <v>1779900.3805717856</v>
      </c>
      <c r="E128" s="378">
        <f>IF(+J96&lt;F127,J96,D128)</f>
        <v>119334.97727272728</v>
      </c>
      <c r="F128" s="55">
        <f t="shared" si="59"/>
        <v>1660565.4032990583</v>
      </c>
      <c r="G128" s="55">
        <f t="shared" si="60"/>
        <v>1720232.8919354221</v>
      </c>
      <c r="H128" s="380">
        <f t="shared" si="61"/>
        <v>333549.28308447759</v>
      </c>
      <c r="I128" s="399">
        <f t="shared" si="62"/>
        <v>333549.28308447759</v>
      </c>
      <c r="J128" s="54">
        <f t="shared" si="36"/>
        <v>0</v>
      </c>
      <c r="K128" s="54"/>
      <c r="L128" s="129"/>
      <c r="M128" s="54">
        <f t="shared" si="38"/>
        <v>0</v>
      </c>
      <c r="N128" s="129"/>
      <c r="O128" s="54">
        <f t="shared" si="40"/>
        <v>0</v>
      </c>
      <c r="P128" s="54">
        <f t="shared" si="41"/>
        <v>0</v>
      </c>
      <c r="Q128" s="1"/>
    </row>
    <row r="129" spans="2:17" ht="12.5">
      <c r="B129" s="7" t="str">
        <f t="shared" si="42"/>
        <v/>
      </c>
      <c r="C129" s="50">
        <f>IF(D93="","-",+C128+1)</f>
        <v>2040</v>
      </c>
      <c r="D129" s="12">
        <f>IF(F128+SUM(E$99:E128)=D$92,F128,D$92-SUM(E$99:E128))</f>
        <v>1660565.4032990583</v>
      </c>
      <c r="E129" s="378">
        <f>IF(+J96&lt;F128,J96,D129)</f>
        <v>119334.97727272728</v>
      </c>
      <c r="F129" s="55">
        <f t="shared" si="59"/>
        <v>1541230.426026331</v>
      </c>
      <c r="G129" s="55">
        <f t="shared" si="60"/>
        <v>1600897.9146626946</v>
      </c>
      <c r="H129" s="380">
        <f t="shared" si="61"/>
        <v>318688.93514241651</v>
      </c>
      <c r="I129" s="399">
        <f t="shared" si="62"/>
        <v>318688.93514241651</v>
      </c>
      <c r="J129" s="54">
        <f t="shared" si="36"/>
        <v>0</v>
      </c>
      <c r="K129" s="54"/>
      <c r="L129" s="129"/>
      <c r="M129" s="54">
        <f t="shared" si="38"/>
        <v>0</v>
      </c>
      <c r="N129" s="129"/>
      <c r="O129" s="54">
        <f t="shared" si="40"/>
        <v>0</v>
      </c>
      <c r="P129" s="54">
        <f t="shared" si="41"/>
        <v>0</v>
      </c>
      <c r="Q129" s="1"/>
    </row>
    <row r="130" spans="2:17" ht="12.5">
      <c r="B130" s="7" t="str">
        <f t="shared" si="42"/>
        <v/>
      </c>
      <c r="C130" s="50">
        <f>IF(D93="","-",+C129+1)</f>
        <v>2041</v>
      </c>
      <c r="D130" s="12">
        <f>IF(F129+SUM(E$99:E129)=D$92,F129,D$92-SUM(E$99:E129))</f>
        <v>1541230.426026331</v>
      </c>
      <c r="E130" s="378">
        <f>IF(+J96&lt;F129,J96,D130)</f>
        <v>119334.97727272728</v>
      </c>
      <c r="F130" s="55">
        <f t="shared" si="59"/>
        <v>1421895.4487536037</v>
      </c>
      <c r="G130" s="55">
        <f t="shared" si="60"/>
        <v>1481562.9373899675</v>
      </c>
      <c r="H130" s="380">
        <f t="shared" si="61"/>
        <v>303828.58720035548</v>
      </c>
      <c r="I130" s="399">
        <f t="shared" si="62"/>
        <v>303828.58720035548</v>
      </c>
      <c r="J130" s="54">
        <f t="shared" si="36"/>
        <v>0</v>
      </c>
      <c r="K130" s="54"/>
      <c r="L130" s="129"/>
      <c r="M130" s="54">
        <f t="shared" si="38"/>
        <v>0</v>
      </c>
      <c r="N130" s="129"/>
      <c r="O130" s="54">
        <f t="shared" si="40"/>
        <v>0</v>
      </c>
      <c r="P130" s="54">
        <f t="shared" si="41"/>
        <v>0</v>
      </c>
      <c r="Q130" s="1"/>
    </row>
    <row r="131" spans="2:17" ht="12.5">
      <c r="B131" s="7" t="str">
        <f t="shared" si="42"/>
        <v/>
      </c>
      <c r="C131" s="50">
        <f>IF(D93="","-",+C130+1)</f>
        <v>2042</v>
      </c>
      <c r="D131" s="12">
        <f>IF(F130+SUM(E$99:E130)=D$92,F130,D$92-SUM(E$99:E130))</f>
        <v>1421895.4487536037</v>
      </c>
      <c r="E131" s="378">
        <f>IF(+J96&lt;F130,J96,D131)</f>
        <v>119334.97727272728</v>
      </c>
      <c r="F131" s="55">
        <f t="shared" si="59"/>
        <v>1302560.4714808764</v>
      </c>
      <c r="G131" s="55">
        <f t="shared" ref="G131:G154" si="63">+(F131+D131)/2</f>
        <v>1362227.96011724</v>
      </c>
      <c r="H131" s="380">
        <f t="shared" ref="H131:H154" si="64">+J$94*G131+E131</f>
        <v>288968.2392582944</v>
      </c>
      <c r="I131" s="399">
        <f t="shared" ref="I131:I154" si="65">+J$95*G131+E131</f>
        <v>288968.2392582944</v>
      </c>
      <c r="J131" s="54">
        <f t="shared" ref="J131:J154" si="66">+I131-H131</f>
        <v>0</v>
      </c>
      <c r="K131" s="54"/>
      <c r="L131" s="129"/>
      <c r="M131" s="54">
        <f t="shared" ref="M131:M154" si="67">IF(L131&lt;&gt;0,+H131-L131,0)</f>
        <v>0</v>
      </c>
      <c r="N131" s="129"/>
      <c r="O131" s="54">
        <f t="shared" ref="O131:O154" si="68">IF(N131&lt;&gt;0,+I131-N131,0)</f>
        <v>0</v>
      </c>
      <c r="P131" s="54">
        <f t="shared" ref="P131:P154" si="69">+O131-M131</f>
        <v>0</v>
      </c>
      <c r="Q131" s="1"/>
    </row>
    <row r="132" spans="2:17" ht="12.5">
      <c r="B132" s="7" t="str">
        <f t="shared" si="42"/>
        <v/>
      </c>
      <c r="C132" s="50">
        <f>IF(D93="","-",+C131+1)</f>
        <v>2043</v>
      </c>
      <c r="D132" s="12">
        <f>IF(F131+SUM(E$99:E131)=D$92,F131,D$92-SUM(E$99:E131))</f>
        <v>1302560.4714808764</v>
      </c>
      <c r="E132" s="378">
        <f>IF(+J96&lt;F131,J96,D132)</f>
        <v>119334.97727272728</v>
      </c>
      <c r="F132" s="55">
        <f t="shared" ref="F132:F154" si="70">+D132-E132</f>
        <v>1183225.4942081491</v>
      </c>
      <c r="G132" s="55">
        <f t="shared" si="63"/>
        <v>1242892.9828445129</v>
      </c>
      <c r="H132" s="380">
        <f t="shared" si="64"/>
        <v>274107.89131623338</v>
      </c>
      <c r="I132" s="399">
        <f t="shared" si="65"/>
        <v>274107.89131623338</v>
      </c>
      <c r="J132" s="54">
        <f t="shared" si="66"/>
        <v>0</v>
      </c>
      <c r="K132" s="54"/>
      <c r="L132" s="129"/>
      <c r="M132" s="54">
        <f t="shared" si="67"/>
        <v>0</v>
      </c>
      <c r="N132" s="129"/>
      <c r="O132" s="54">
        <f t="shared" si="68"/>
        <v>0</v>
      </c>
      <c r="P132" s="54">
        <f t="shared" si="69"/>
        <v>0</v>
      </c>
      <c r="Q132" s="1"/>
    </row>
    <row r="133" spans="2:17" ht="12.5">
      <c r="B133" s="7" t="str">
        <f t="shared" si="42"/>
        <v/>
      </c>
      <c r="C133" s="50">
        <f>IF(D93="","-",+C132+1)</f>
        <v>2044</v>
      </c>
      <c r="D133" s="12">
        <f>IF(F132+SUM(E$99:E132)=D$92,F132,D$92-SUM(E$99:E132))</f>
        <v>1183225.4942081491</v>
      </c>
      <c r="E133" s="378">
        <f>IF(+J96&lt;F132,J96,D133)</f>
        <v>119334.97727272728</v>
      </c>
      <c r="F133" s="55">
        <f t="shared" si="70"/>
        <v>1063890.5169354219</v>
      </c>
      <c r="G133" s="55">
        <f t="shared" si="63"/>
        <v>1123558.0055717854</v>
      </c>
      <c r="H133" s="380">
        <f t="shared" si="64"/>
        <v>259247.5433741723</v>
      </c>
      <c r="I133" s="399">
        <f t="shared" si="65"/>
        <v>259247.5433741723</v>
      </c>
      <c r="J133" s="54">
        <f t="shared" si="66"/>
        <v>0</v>
      </c>
      <c r="K133" s="54"/>
      <c r="L133" s="129"/>
      <c r="M133" s="54">
        <f t="shared" si="67"/>
        <v>0</v>
      </c>
      <c r="N133" s="129"/>
      <c r="O133" s="54">
        <f t="shared" si="68"/>
        <v>0</v>
      </c>
      <c r="P133" s="54">
        <f t="shared" si="69"/>
        <v>0</v>
      </c>
      <c r="Q133" s="1"/>
    </row>
    <row r="134" spans="2:17" ht="12.5">
      <c r="B134" s="7" t="str">
        <f t="shared" si="42"/>
        <v/>
      </c>
      <c r="C134" s="50">
        <f>IF(D93="","-",+C133+1)</f>
        <v>2045</v>
      </c>
      <c r="D134" s="12">
        <f>IF(F133+SUM(E$99:E133)=D$92,F133,D$92-SUM(E$99:E133))</f>
        <v>1063890.5169354219</v>
      </c>
      <c r="E134" s="378">
        <f>IF(+J96&lt;F133,J96,D134)</f>
        <v>119334.97727272728</v>
      </c>
      <c r="F134" s="55">
        <f t="shared" si="70"/>
        <v>944555.53966269456</v>
      </c>
      <c r="G134" s="55">
        <f t="shared" si="63"/>
        <v>1004223.0282990582</v>
      </c>
      <c r="H134" s="380">
        <f t="shared" si="64"/>
        <v>244387.19543211127</v>
      </c>
      <c r="I134" s="399">
        <f t="shared" si="65"/>
        <v>244387.19543211127</v>
      </c>
      <c r="J134" s="54">
        <f t="shared" si="66"/>
        <v>0</v>
      </c>
      <c r="K134" s="54"/>
      <c r="L134" s="129"/>
      <c r="M134" s="54">
        <f t="shared" si="67"/>
        <v>0</v>
      </c>
      <c r="N134" s="129"/>
      <c r="O134" s="54">
        <f t="shared" si="68"/>
        <v>0</v>
      </c>
      <c r="P134" s="54">
        <f t="shared" si="69"/>
        <v>0</v>
      </c>
      <c r="Q134" s="1"/>
    </row>
    <row r="135" spans="2:17" ht="12.5">
      <c r="B135" s="7" t="str">
        <f t="shared" si="42"/>
        <v/>
      </c>
      <c r="C135" s="50">
        <f>IF(D93="","-",+C134+1)</f>
        <v>2046</v>
      </c>
      <c r="D135" s="12">
        <f>IF(F134+SUM(E$99:E134)=D$92,F134,D$92-SUM(E$99:E134))</f>
        <v>944555.53966269456</v>
      </c>
      <c r="E135" s="378">
        <f>IF(+J96&lt;F134,J96,D135)</f>
        <v>119334.97727272728</v>
      </c>
      <c r="F135" s="55">
        <f t="shared" si="70"/>
        <v>825220.56238996726</v>
      </c>
      <c r="G135" s="55">
        <f t="shared" si="63"/>
        <v>884888.05102633091</v>
      </c>
      <c r="H135" s="380">
        <f t="shared" si="64"/>
        <v>229526.84749005022</v>
      </c>
      <c r="I135" s="399">
        <f t="shared" si="65"/>
        <v>229526.84749005022</v>
      </c>
      <c r="J135" s="54">
        <f t="shared" si="66"/>
        <v>0</v>
      </c>
      <c r="K135" s="54"/>
      <c r="L135" s="129"/>
      <c r="M135" s="54">
        <f t="shared" si="67"/>
        <v>0</v>
      </c>
      <c r="N135" s="129"/>
      <c r="O135" s="54">
        <f t="shared" si="68"/>
        <v>0</v>
      </c>
      <c r="P135" s="54">
        <f t="shared" si="69"/>
        <v>0</v>
      </c>
      <c r="Q135" s="1"/>
    </row>
    <row r="136" spans="2:17" ht="12.5">
      <c r="B136" s="7" t="str">
        <f t="shared" si="42"/>
        <v/>
      </c>
      <c r="C136" s="50">
        <f>IF(D93="","-",+C135+1)</f>
        <v>2047</v>
      </c>
      <c r="D136" s="12">
        <f>IF(F135+SUM(E$99:E135)=D$92,F135,D$92-SUM(E$99:E135))</f>
        <v>825220.56238996726</v>
      </c>
      <c r="E136" s="378">
        <f>IF(+J96&lt;F135,J96,D136)</f>
        <v>119334.97727272728</v>
      </c>
      <c r="F136" s="55">
        <f t="shared" si="70"/>
        <v>705885.58511723997</v>
      </c>
      <c r="G136" s="55">
        <f t="shared" si="63"/>
        <v>765553.07375360362</v>
      </c>
      <c r="H136" s="380">
        <f t="shared" si="64"/>
        <v>214666.49954798917</v>
      </c>
      <c r="I136" s="399">
        <f t="shared" si="65"/>
        <v>214666.49954798917</v>
      </c>
      <c r="J136" s="54">
        <f t="shared" si="66"/>
        <v>0</v>
      </c>
      <c r="K136" s="54"/>
      <c r="L136" s="129"/>
      <c r="M136" s="54">
        <f t="shared" si="67"/>
        <v>0</v>
      </c>
      <c r="N136" s="129"/>
      <c r="O136" s="54">
        <f t="shared" si="68"/>
        <v>0</v>
      </c>
      <c r="P136" s="54">
        <f t="shared" si="69"/>
        <v>0</v>
      </c>
      <c r="Q136" s="1"/>
    </row>
    <row r="137" spans="2:17" ht="12.5">
      <c r="B137" s="7" t="str">
        <f t="shared" si="42"/>
        <v/>
      </c>
      <c r="C137" s="50">
        <f>IF(D93="","-",+C136+1)</f>
        <v>2048</v>
      </c>
      <c r="D137" s="12">
        <f>IF(F136+SUM(E$99:E136)=D$92,F136,D$92-SUM(E$99:E136))</f>
        <v>705885.58511723997</v>
      </c>
      <c r="E137" s="378">
        <f>IF(+J96&lt;F136,J96,D137)</f>
        <v>119334.97727272728</v>
      </c>
      <c r="F137" s="55">
        <f t="shared" si="70"/>
        <v>586550.60784451268</v>
      </c>
      <c r="G137" s="55">
        <f t="shared" si="63"/>
        <v>646218.09648087632</v>
      </c>
      <c r="H137" s="380">
        <f t="shared" si="64"/>
        <v>199806.15160592811</v>
      </c>
      <c r="I137" s="399">
        <f t="shared" si="65"/>
        <v>199806.15160592811</v>
      </c>
      <c r="J137" s="54">
        <f t="shared" si="66"/>
        <v>0</v>
      </c>
      <c r="K137" s="54"/>
      <c r="L137" s="129"/>
      <c r="M137" s="54">
        <f t="shared" si="67"/>
        <v>0</v>
      </c>
      <c r="N137" s="129"/>
      <c r="O137" s="54">
        <f t="shared" si="68"/>
        <v>0</v>
      </c>
      <c r="P137" s="54">
        <f t="shared" si="69"/>
        <v>0</v>
      </c>
      <c r="Q137" s="1"/>
    </row>
    <row r="138" spans="2:17" ht="12.5">
      <c r="B138" s="7" t="str">
        <f t="shared" si="42"/>
        <v/>
      </c>
      <c r="C138" s="50">
        <f>IF(D93="","-",+C137+1)</f>
        <v>2049</v>
      </c>
      <c r="D138" s="12">
        <f>IF(F137+SUM(E$99:E137)=D$92,F137,D$92-SUM(E$99:E137))</f>
        <v>586550.60784451268</v>
      </c>
      <c r="E138" s="378">
        <f>IF(+J96&lt;F137,J96,D138)</f>
        <v>119334.97727272728</v>
      </c>
      <c r="F138" s="55">
        <f t="shared" si="70"/>
        <v>467215.63057178538</v>
      </c>
      <c r="G138" s="55">
        <f t="shared" si="63"/>
        <v>526883.11920814903</v>
      </c>
      <c r="H138" s="380">
        <f t="shared" si="64"/>
        <v>184945.80366386706</v>
      </c>
      <c r="I138" s="399">
        <f t="shared" si="65"/>
        <v>184945.80366386706</v>
      </c>
      <c r="J138" s="54">
        <f t="shared" si="66"/>
        <v>0</v>
      </c>
      <c r="K138" s="54"/>
      <c r="L138" s="129"/>
      <c r="M138" s="54">
        <f t="shared" si="67"/>
        <v>0</v>
      </c>
      <c r="N138" s="129"/>
      <c r="O138" s="54">
        <f t="shared" si="68"/>
        <v>0</v>
      </c>
      <c r="P138" s="54">
        <f t="shared" si="69"/>
        <v>0</v>
      </c>
      <c r="Q138" s="1"/>
    </row>
    <row r="139" spans="2:17" ht="12.5">
      <c r="B139" s="7" t="str">
        <f t="shared" si="42"/>
        <v/>
      </c>
      <c r="C139" s="50">
        <f>IF(D93="","-",+C138+1)</f>
        <v>2050</v>
      </c>
      <c r="D139" s="12">
        <f>IF(F138+SUM(E$99:E138)=D$92,F138,D$92-SUM(E$99:E138))</f>
        <v>467215.63057178538</v>
      </c>
      <c r="E139" s="378">
        <f>IF(+J96&lt;F138,J96,D139)</f>
        <v>119334.97727272728</v>
      </c>
      <c r="F139" s="55">
        <f t="shared" si="70"/>
        <v>347880.65329905809</v>
      </c>
      <c r="G139" s="55">
        <f t="shared" si="63"/>
        <v>407548.14193542174</v>
      </c>
      <c r="H139" s="380">
        <f t="shared" si="64"/>
        <v>170085.45572180604</v>
      </c>
      <c r="I139" s="399">
        <f t="shared" si="65"/>
        <v>170085.45572180604</v>
      </c>
      <c r="J139" s="54">
        <f t="shared" si="66"/>
        <v>0</v>
      </c>
      <c r="K139" s="54"/>
      <c r="L139" s="129"/>
      <c r="M139" s="54">
        <f t="shared" si="67"/>
        <v>0</v>
      </c>
      <c r="N139" s="129"/>
      <c r="O139" s="54">
        <f t="shared" si="68"/>
        <v>0</v>
      </c>
      <c r="P139" s="54">
        <f t="shared" si="69"/>
        <v>0</v>
      </c>
      <c r="Q139" s="1"/>
    </row>
    <row r="140" spans="2:17" ht="12.5">
      <c r="B140" s="7" t="str">
        <f t="shared" si="42"/>
        <v/>
      </c>
      <c r="C140" s="50">
        <f>IF(D93="","-",+C139+1)</f>
        <v>2051</v>
      </c>
      <c r="D140" s="12">
        <f>IF(F139+SUM(E$99:E139)=D$92,F139,D$92-SUM(E$99:E139))</f>
        <v>347880.65329905809</v>
      </c>
      <c r="E140" s="378">
        <f>IF(+J96&lt;F139,J96,D140)</f>
        <v>119334.97727272728</v>
      </c>
      <c r="F140" s="55">
        <f t="shared" si="70"/>
        <v>228545.6760263308</v>
      </c>
      <c r="G140" s="55">
        <f t="shared" si="63"/>
        <v>288213.16466269444</v>
      </c>
      <c r="H140" s="380">
        <f t="shared" si="64"/>
        <v>155225.10777974498</v>
      </c>
      <c r="I140" s="399">
        <f t="shared" si="65"/>
        <v>155225.10777974498</v>
      </c>
      <c r="J140" s="54">
        <f t="shared" si="66"/>
        <v>0</v>
      </c>
      <c r="K140" s="54"/>
      <c r="L140" s="129"/>
      <c r="M140" s="54">
        <f t="shared" si="67"/>
        <v>0</v>
      </c>
      <c r="N140" s="129"/>
      <c r="O140" s="54">
        <f t="shared" si="68"/>
        <v>0</v>
      </c>
      <c r="P140" s="54">
        <f t="shared" si="69"/>
        <v>0</v>
      </c>
      <c r="Q140" s="1"/>
    </row>
    <row r="141" spans="2:17" ht="12.5">
      <c r="B141" s="7" t="str">
        <f t="shared" si="42"/>
        <v/>
      </c>
      <c r="C141" s="50">
        <f>IF(D93="","-",+C140+1)</f>
        <v>2052</v>
      </c>
      <c r="D141" s="12">
        <f>IF(F140+SUM(E$99:E140)=D$92,F140,D$92-SUM(E$99:E140))</f>
        <v>228545.6760263308</v>
      </c>
      <c r="E141" s="378">
        <f>IF(+J96&lt;F140,J96,D141)</f>
        <v>119334.97727272728</v>
      </c>
      <c r="F141" s="55">
        <f t="shared" si="70"/>
        <v>109210.69875360352</v>
      </c>
      <c r="G141" s="55">
        <f t="shared" si="63"/>
        <v>168878.18738996715</v>
      </c>
      <c r="H141" s="380">
        <f t="shared" si="64"/>
        <v>140364.75983768393</v>
      </c>
      <c r="I141" s="399">
        <f t="shared" si="65"/>
        <v>140364.75983768393</v>
      </c>
      <c r="J141" s="54">
        <f t="shared" si="66"/>
        <v>0</v>
      </c>
      <c r="K141" s="54"/>
      <c r="L141" s="129"/>
      <c r="M141" s="54">
        <f t="shared" si="67"/>
        <v>0</v>
      </c>
      <c r="N141" s="129"/>
      <c r="O141" s="54">
        <f t="shared" si="68"/>
        <v>0</v>
      </c>
      <c r="P141" s="54">
        <f t="shared" si="69"/>
        <v>0</v>
      </c>
      <c r="Q141" s="1"/>
    </row>
    <row r="142" spans="2:17" ht="12.5">
      <c r="B142" s="7" t="str">
        <f t="shared" si="42"/>
        <v/>
      </c>
      <c r="C142" s="50">
        <f>IF(D93="","-",+C141+1)</f>
        <v>2053</v>
      </c>
      <c r="D142" s="12">
        <f>IF(F141+SUM(E$99:E141)=D$92,F141,D$92-SUM(E$99:E141))</f>
        <v>109210.69875360352</v>
      </c>
      <c r="E142" s="378">
        <f>IF(+J96&lt;F141,J96,D142)</f>
        <v>109210.69875360352</v>
      </c>
      <c r="F142" s="55">
        <f t="shared" si="70"/>
        <v>0</v>
      </c>
      <c r="G142" s="55">
        <f t="shared" si="63"/>
        <v>54605.349376801758</v>
      </c>
      <c r="H142" s="380">
        <f t="shared" si="64"/>
        <v>116010.50305056658</v>
      </c>
      <c r="I142" s="399">
        <f t="shared" si="65"/>
        <v>116010.50305056658</v>
      </c>
      <c r="J142" s="54">
        <f t="shared" si="66"/>
        <v>0</v>
      </c>
      <c r="K142" s="54"/>
      <c r="L142" s="129"/>
      <c r="M142" s="54">
        <f t="shared" si="67"/>
        <v>0</v>
      </c>
      <c r="N142" s="129"/>
      <c r="O142" s="54">
        <f t="shared" si="68"/>
        <v>0</v>
      </c>
      <c r="P142" s="54">
        <f t="shared" si="69"/>
        <v>0</v>
      </c>
      <c r="Q142" s="1"/>
    </row>
    <row r="143" spans="2:17" ht="12.5">
      <c r="B143" s="7" t="str">
        <f t="shared" si="42"/>
        <v/>
      </c>
      <c r="C143" s="50">
        <f>IF(D93="","-",+C142+1)</f>
        <v>2054</v>
      </c>
      <c r="D143" s="12">
        <f>IF(F142+SUM(E$99:E142)=D$92,F142,D$92-SUM(E$99:E142))</f>
        <v>0</v>
      </c>
      <c r="E143" s="378">
        <f>IF(+J96&lt;F142,J96,D143)</f>
        <v>0</v>
      </c>
      <c r="F143" s="55">
        <f t="shared" si="70"/>
        <v>0</v>
      </c>
      <c r="G143" s="55">
        <f t="shared" si="63"/>
        <v>0</v>
      </c>
      <c r="H143" s="380">
        <f t="shared" si="64"/>
        <v>0</v>
      </c>
      <c r="I143" s="399">
        <f t="shared" si="65"/>
        <v>0</v>
      </c>
      <c r="J143" s="54">
        <f t="shared" si="66"/>
        <v>0</v>
      </c>
      <c r="K143" s="54"/>
      <c r="L143" s="129"/>
      <c r="M143" s="54">
        <f t="shared" si="67"/>
        <v>0</v>
      </c>
      <c r="N143" s="129"/>
      <c r="O143" s="54">
        <f t="shared" si="68"/>
        <v>0</v>
      </c>
      <c r="P143" s="54">
        <f t="shared" si="69"/>
        <v>0</v>
      </c>
      <c r="Q143" s="1"/>
    </row>
    <row r="144" spans="2:17" ht="12.5">
      <c r="B144" s="7" t="str">
        <f t="shared" si="42"/>
        <v/>
      </c>
      <c r="C144" s="50">
        <f>IF(D93="","-",+C143+1)</f>
        <v>2055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70"/>
        <v>0</v>
      </c>
      <c r="G144" s="55">
        <f t="shared" si="63"/>
        <v>0</v>
      </c>
      <c r="H144" s="380">
        <f t="shared" si="64"/>
        <v>0</v>
      </c>
      <c r="I144" s="399">
        <f t="shared" si="65"/>
        <v>0</v>
      </c>
      <c r="J144" s="54">
        <f t="shared" si="66"/>
        <v>0</v>
      </c>
      <c r="K144" s="54"/>
      <c r="L144" s="129"/>
      <c r="M144" s="54">
        <f t="shared" si="67"/>
        <v>0</v>
      </c>
      <c r="N144" s="129"/>
      <c r="O144" s="54">
        <f t="shared" si="68"/>
        <v>0</v>
      </c>
      <c r="P144" s="54">
        <f t="shared" si="69"/>
        <v>0</v>
      </c>
      <c r="Q144" s="1"/>
    </row>
    <row r="145" spans="2:17" ht="12.5">
      <c r="B145" s="7" t="str">
        <f t="shared" si="42"/>
        <v/>
      </c>
      <c r="C145" s="50">
        <f>IF(D93="","-",+C144+1)</f>
        <v>2056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70"/>
        <v>0</v>
      </c>
      <c r="G145" s="55">
        <f t="shared" si="63"/>
        <v>0</v>
      </c>
      <c r="H145" s="380">
        <f t="shared" si="64"/>
        <v>0</v>
      </c>
      <c r="I145" s="399">
        <f t="shared" si="65"/>
        <v>0</v>
      </c>
      <c r="J145" s="54">
        <f t="shared" si="66"/>
        <v>0</v>
      </c>
      <c r="K145" s="54"/>
      <c r="L145" s="129"/>
      <c r="M145" s="54">
        <f t="shared" si="67"/>
        <v>0</v>
      </c>
      <c r="N145" s="129"/>
      <c r="O145" s="54">
        <f t="shared" si="68"/>
        <v>0</v>
      </c>
      <c r="P145" s="54">
        <f t="shared" si="69"/>
        <v>0</v>
      </c>
      <c r="Q145" s="1"/>
    </row>
    <row r="146" spans="2:17" ht="12.5">
      <c r="B146" s="7" t="str">
        <f t="shared" si="42"/>
        <v/>
      </c>
      <c r="C146" s="50">
        <f>IF(D93="","-",+C145+1)</f>
        <v>2057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70"/>
        <v>0</v>
      </c>
      <c r="G146" s="55">
        <f t="shared" si="63"/>
        <v>0</v>
      </c>
      <c r="H146" s="380">
        <f t="shared" si="64"/>
        <v>0</v>
      </c>
      <c r="I146" s="399">
        <f t="shared" si="65"/>
        <v>0</v>
      </c>
      <c r="J146" s="54">
        <f t="shared" si="66"/>
        <v>0</v>
      </c>
      <c r="K146" s="54"/>
      <c r="L146" s="129"/>
      <c r="M146" s="54">
        <f t="shared" si="67"/>
        <v>0</v>
      </c>
      <c r="N146" s="129"/>
      <c r="O146" s="54">
        <f t="shared" si="68"/>
        <v>0</v>
      </c>
      <c r="P146" s="54">
        <f t="shared" si="69"/>
        <v>0</v>
      </c>
      <c r="Q146" s="1"/>
    </row>
    <row r="147" spans="2:17" ht="12.5">
      <c r="B147" s="7" t="str">
        <f t="shared" si="42"/>
        <v/>
      </c>
      <c r="C147" s="50">
        <f>IF(D93="","-",+C146+1)</f>
        <v>2058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70"/>
        <v>0</v>
      </c>
      <c r="G147" s="55">
        <f t="shared" si="63"/>
        <v>0</v>
      </c>
      <c r="H147" s="380">
        <f t="shared" si="64"/>
        <v>0</v>
      </c>
      <c r="I147" s="399">
        <f t="shared" si="65"/>
        <v>0</v>
      </c>
      <c r="J147" s="54">
        <f t="shared" si="66"/>
        <v>0</v>
      </c>
      <c r="K147" s="54"/>
      <c r="L147" s="129"/>
      <c r="M147" s="54">
        <f t="shared" si="67"/>
        <v>0</v>
      </c>
      <c r="N147" s="129"/>
      <c r="O147" s="54">
        <f t="shared" si="68"/>
        <v>0</v>
      </c>
      <c r="P147" s="54">
        <f t="shared" si="69"/>
        <v>0</v>
      </c>
      <c r="Q147" s="1"/>
    </row>
    <row r="148" spans="2:17" ht="12.5">
      <c r="B148" s="7" t="str">
        <f t="shared" si="42"/>
        <v/>
      </c>
      <c r="C148" s="50">
        <f>IF(D93="","-",+C147+1)</f>
        <v>2059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70"/>
        <v>0</v>
      </c>
      <c r="G148" s="55">
        <f t="shared" si="63"/>
        <v>0</v>
      </c>
      <c r="H148" s="380">
        <f t="shared" si="64"/>
        <v>0</v>
      </c>
      <c r="I148" s="399">
        <f t="shared" si="65"/>
        <v>0</v>
      </c>
      <c r="J148" s="54">
        <f t="shared" si="66"/>
        <v>0</v>
      </c>
      <c r="K148" s="54"/>
      <c r="L148" s="129"/>
      <c r="M148" s="54">
        <f t="shared" si="67"/>
        <v>0</v>
      </c>
      <c r="N148" s="129"/>
      <c r="O148" s="54">
        <f t="shared" si="68"/>
        <v>0</v>
      </c>
      <c r="P148" s="54">
        <f t="shared" si="69"/>
        <v>0</v>
      </c>
      <c r="Q148" s="1"/>
    </row>
    <row r="149" spans="2:17" ht="12.5">
      <c r="B149" s="7" t="str">
        <f t="shared" si="42"/>
        <v/>
      </c>
      <c r="C149" s="50">
        <f>IF(D93="","-",+C148+1)</f>
        <v>2060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70"/>
        <v>0</v>
      </c>
      <c r="G149" s="55">
        <f t="shared" si="63"/>
        <v>0</v>
      </c>
      <c r="H149" s="380">
        <f t="shared" si="64"/>
        <v>0</v>
      </c>
      <c r="I149" s="399">
        <f t="shared" si="65"/>
        <v>0</v>
      </c>
      <c r="J149" s="54">
        <f t="shared" si="66"/>
        <v>0</v>
      </c>
      <c r="K149" s="54"/>
      <c r="L149" s="129"/>
      <c r="M149" s="54">
        <f t="shared" si="67"/>
        <v>0</v>
      </c>
      <c r="N149" s="129"/>
      <c r="O149" s="54">
        <f t="shared" si="68"/>
        <v>0</v>
      </c>
      <c r="P149" s="54">
        <f t="shared" si="69"/>
        <v>0</v>
      </c>
      <c r="Q149" s="1"/>
    </row>
    <row r="150" spans="2:17" ht="12.5">
      <c r="B150" s="7" t="str">
        <f t="shared" si="42"/>
        <v/>
      </c>
      <c r="C150" s="50">
        <f>IF(D93="","-",+C149+1)</f>
        <v>2061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70"/>
        <v>0</v>
      </c>
      <c r="G150" s="55">
        <f t="shared" si="63"/>
        <v>0</v>
      </c>
      <c r="H150" s="380">
        <f t="shared" si="64"/>
        <v>0</v>
      </c>
      <c r="I150" s="399">
        <f t="shared" si="65"/>
        <v>0</v>
      </c>
      <c r="J150" s="54">
        <f t="shared" si="66"/>
        <v>0</v>
      </c>
      <c r="K150" s="54"/>
      <c r="L150" s="129"/>
      <c r="M150" s="54">
        <f t="shared" si="67"/>
        <v>0</v>
      </c>
      <c r="N150" s="129"/>
      <c r="O150" s="54">
        <f t="shared" si="68"/>
        <v>0</v>
      </c>
      <c r="P150" s="54">
        <f t="shared" si="69"/>
        <v>0</v>
      </c>
      <c r="Q150" s="1"/>
    </row>
    <row r="151" spans="2:17" ht="12.5">
      <c r="B151" s="7" t="str">
        <f t="shared" si="42"/>
        <v/>
      </c>
      <c r="C151" s="50">
        <f>IF(D93="","-",+C150+1)</f>
        <v>2062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70"/>
        <v>0</v>
      </c>
      <c r="G151" s="55">
        <f t="shared" si="63"/>
        <v>0</v>
      </c>
      <c r="H151" s="380">
        <f t="shared" si="64"/>
        <v>0</v>
      </c>
      <c r="I151" s="399">
        <f t="shared" si="65"/>
        <v>0</v>
      </c>
      <c r="J151" s="54">
        <f t="shared" si="66"/>
        <v>0</v>
      </c>
      <c r="K151" s="54"/>
      <c r="L151" s="129"/>
      <c r="M151" s="54">
        <f t="shared" si="67"/>
        <v>0</v>
      </c>
      <c r="N151" s="129"/>
      <c r="O151" s="54">
        <f t="shared" si="68"/>
        <v>0</v>
      </c>
      <c r="P151" s="54">
        <f t="shared" si="69"/>
        <v>0</v>
      </c>
      <c r="Q151" s="1"/>
    </row>
    <row r="152" spans="2:17" ht="12.5">
      <c r="B152" s="7" t="str">
        <f t="shared" si="42"/>
        <v/>
      </c>
      <c r="C152" s="50">
        <f>IF(D93="","-",+C151+1)</f>
        <v>2063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70"/>
        <v>0</v>
      </c>
      <c r="G152" s="55">
        <f t="shared" si="63"/>
        <v>0</v>
      </c>
      <c r="H152" s="380">
        <f t="shared" si="64"/>
        <v>0</v>
      </c>
      <c r="I152" s="399">
        <f t="shared" si="65"/>
        <v>0</v>
      </c>
      <c r="J152" s="54">
        <f t="shared" si="66"/>
        <v>0</v>
      </c>
      <c r="K152" s="54"/>
      <c r="L152" s="129"/>
      <c r="M152" s="54">
        <f t="shared" si="67"/>
        <v>0</v>
      </c>
      <c r="N152" s="129"/>
      <c r="O152" s="54">
        <f t="shared" si="68"/>
        <v>0</v>
      </c>
      <c r="P152" s="54">
        <f t="shared" si="69"/>
        <v>0</v>
      </c>
      <c r="Q152" s="1"/>
    </row>
    <row r="153" spans="2:17" ht="12.5">
      <c r="B153" s="7" t="str">
        <f t="shared" si="42"/>
        <v/>
      </c>
      <c r="C153" s="50">
        <f>IF(D93="","-",+C152+1)</f>
        <v>2064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70"/>
        <v>0</v>
      </c>
      <c r="G153" s="55">
        <f t="shared" si="63"/>
        <v>0</v>
      </c>
      <c r="H153" s="380">
        <f t="shared" si="64"/>
        <v>0</v>
      </c>
      <c r="I153" s="399">
        <f t="shared" si="65"/>
        <v>0</v>
      </c>
      <c r="J153" s="54">
        <f t="shared" si="66"/>
        <v>0</v>
      </c>
      <c r="K153" s="54"/>
      <c r="L153" s="129"/>
      <c r="M153" s="54">
        <f t="shared" si="67"/>
        <v>0</v>
      </c>
      <c r="N153" s="129"/>
      <c r="O153" s="54">
        <f t="shared" si="68"/>
        <v>0</v>
      </c>
      <c r="P153" s="54">
        <f t="shared" si="69"/>
        <v>0</v>
      </c>
      <c r="Q153" s="1"/>
    </row>
    <row r="154" spans="2:17" ht="13" thickBot="1">
      <c r="B154" s="7" t="str">
        <f t="shared" si="42"/>
        <v/>
      </c>
      <c r="C154" s="59">
        <f>IF(D93="","-",+C153+1)</f>
        <v>2065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70"/>
        <v>0</v>
      </c>
      <c r="G154" s="60">
        <f t="shared" si="63"/>
        <v>0</v>
      </c>
      <c r="H154" s="382">
        <f t="shared" si="64"/>
        <v>0</v>
      </c>
      <c r="I154" s="400">
        <f t="shared" si="65"/>
        <v>0</v>
      </c>
      <c r="J154" s="64">
        <f t="shared" si="66"/>
        <v>0</v>
      </c>
      <c r="K154" s="54"/>
      <c r="L154" s="130"/>
      <c r="M154" s="64">
        <f t="shared" si="67"/>
        <v>0</v>
      </c>
      <c r="N154" s="130"/>
      <c r="O154" s="64">
        <f t="shared" si="68"/>
        <v>0</v>
      </c>
      <c r="P154" s="64">
        <f t="shared" si="69"/>
        <v>0</v>
      </c>
      <c r="Q154" s="1"/>
    </row>
    <row r="155" spans="2:17" ht="12.5">
      <c r="C155" s="12" t="s">
        <v>78</v>
      </c>
      <c r="D155" s="293"/>
      <c r="E155" s="293">
        <f>SUM(E99:E154)</f>
        <v>5250739.0000000019</v>
      </c>
      <c r="F155" s="293"/>
      <c r="G155" s="293"/>
      <c r="H155" s="293">
        <f>SUM(H99:H154)</f>
        <v>19502788.878979076</v>
      </c>
      <c r="I155" s="293">
        <f>SUM(I99:I154)</f>
        <v>19502788.878979076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 ht="12.5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 ht="12.5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09" priority="1" stopIfTrue="1" operator="equal">
      <formula>$I$10</formula>
    </cfRule>
  </conditionalFormatting>
  <conditionalFormatting sqref="C99:C154">
    <cfRule type="cellIs" dxfId="10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76">
    <tabColor indexed="37"/>
  </sheetPr>
  <dimension ref="A1:Q162"/>
  <sheetViews>
    <sheetView topLeftCell="A74" zoomScaleNormal="100" zoomScaleSheetLayoutView="75" workbookViewId="0">
      <selection activeCell="D31" sqref="D31:H3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25 of 77</v>
      </c>
      <c r="Q1" s="13"/>
    </row>
    <row r="2" spans="1:17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9211.8656885441596</v>
      </c>
      <c r="P5" s="1"/>
    </row>
    <row r="6" spans="1:17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9211.8656885441596</v>
      </c>
      <c r="O6" s="1"/>
      <c r="P6" s="1"/>
    </row>
    <row r="7" spans="1:17" ht="13.5" thickBot="1">
      <c r="C7" s="25" t="s">
        <v>48</v>
      </c>
      <c r="D7" s="127" t="s">
        <v>268</v>
      </c>
      <c r="E7" s="1"/>
      <c r="F7" s="1"/>
      <c r="G7" s="29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104" t="str">
        <f>IF(D10&lt;100000,"DOES NOT MEET SPP $100,000 MINIMUM INVESTMENT FOR REGIONAL BPU SHARING.","")</f>
        <v>DOES NOT MEET SPP $100,000 MINIMUM INVESTMENT FOR REGIONAL BPU SHARING.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254</v>
      </c>
      <c r="E9" s="31" t="s">
        <v>494</v>
      </c>
      <c r="F9" s="462">
        <v>613</v>
      </c>
      <c r="G9" s="31"/>
      <c r="H9" s="31"/>
      <c r="I9" s="32"/>
      <c r="J9" s="33"/>
      <c r="P9" s="1"/>
    </row>
    <row r="10" spans="1:17" ht="13">
      <c r="C10" s="34" t="s">
        <v>51</v>
      </c>
      <c r="D10" s="363">
        <v>88842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7" ht="12.5">
      <c r="C11" s="34" t="s">
        <v>54</v>
      </c>
      <c r="D11" s="37">
        <v>2010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3">
        <v>12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2019.1363636363637</v>
      </c>
      <c r="J14" s="293"/>
      <c r="K14" s="293"/>
      <c r="L14" s="293"/>
      <c r="M14" s="293"/>
      <c r="N14" s="293"/>
      <c r="O14" s="1"/>
      <c r="P14" s="1"/>
    </row>
    <row r="15" spans="1:17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2010</v>
      </c>
      <c r="D17" s="133">
        <v>91500</v>
      </c>
      <c r="E17" s="374">
        <v>0</v>
      </c>
      <c r="F17" s="133">
        <v>91500</v>
      </c>
      <c r="G17" s="374">
        <v>13154.497429496008</v>
      </c>
      <c r="H17" s="375">
        <v>13154.497429496008</v>
      </c>
      <c r="I17" s="141">
        <v>0</v>
      </c>
      <c r="J17" s="52"/>
      <c r="K17" s="112">
        <f t="shared" ref="K17:K22" si="0">G17</f>
        <v>13154.497429496008</v>
      </c>
      <c r="L17" s="53">
        <f t="shared" ref="L17:L48" si="1">IF(K17&lt;&gt;0,+G17-K17,0)</f>
        <v>0</v>
      </c>
      <c r="M17" s="112">
        <f t="shared" ref="M17:M22" si="2">H17</f>
        <v>13154.497429496008</v>
      </c>
      <c r="N17" s="53">
        <f t="shared" ref="N17:N48" si="3">IF(M17&lt;&gt;0,+H17-M17,0)</f>
        <v>0</v>
      </c>
      <c r="O17" s="54">
        <f t="shared" ref="O17:O48" si="4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2011</v>
      </c>
      <c r="D18" s="137">
        <v>88842</v>
      </c>
      <c r="E18" s="376">
        <v>2166.8780487804879</v>
      </c>
      <c r="F18" s="137">
        <v>86675.121951219509</v>
      </c>
      <c r="G18" s="376">
        <v>15704.854678854768</v>
      </c>
      <c r="H18" s="375">
        <v>15704.854678854768</v>
      </c>
      <c r="I18" s="141">
        <v>0</v>
      </c>
      <c r="J18" s="52"/>
      <c r="K18" s="113">
        <f t="shared" si="0"/>
        <v>15704.854678854768</v>
      </c>
      <c r="L18" s="54">
        <f t="shared" si="1"/>
        <v>0</v>
      </c>
      <c r="M18" s="113">
        <f t="shared" si="2"/>
        <v>15704.854678854768</v>
      </c>
      <c r="N18" s="54">
        <f t="shared" si="3"/>
        <v>0</v>
      </c>
      <c r="O18" s="54">
        <f t="shared" si="4"/>
        <v>0</v>
      </c>
      <c r="P18" s="1"/>
    </row>
    <row r="19" spans="2:16" ht="12.5">
      <c r="B19" s="7" t="str">
        <f>IF(D19=F18,"","IU")</f>
        <v/>
      </c>
      <c r="C19" s="50">
        <f>IF(D11="","-",+C18+1)</f>
        <v>2012</v>
      </c>
      <c r="D19" s="151">
        <v>86675.121951219509</v>
      </c>
      <c r="E19" s="420">
        <v>2115.2857142857142</v>
      </c>
      <c r="F19" s="151">
        <v>84559.836236933799</v>
      </c>
      <c r="G19" s="420">
        <v>14691.036403517382</v>
      </c>
      <c r="H19" s="421">
        <v>14691.036403517382</v>
      </c>
      <c r="I19" s="141">
        <v>0</v>
      </c>
      <c r="J19" s="52"/>
      <c r="K19" s="113">
        <f t="shared" si="0"/>
        <v>14691.036403517382</v>
      </c>
      <c r="L19" s="54">
        <f t="shared" si="1"/>
        <v>0</v>
      </c>
      <c r="M19" s="113">
        <f t="shared" si="2"/>
        <v>14691.036403517382</v>
      </c>
      <c r="N19" s="54">
        <f t="shared" si="3"/>
        <v>0</v>
      </c>
      <c r="O19" s="54">
        <f t="shared" si="4"/>
        <v>0</v>
      </c>
      <c r="P19" s="1"/>
    </row>
    <row r="20" spans="2:16" ht="12.5">
      <c r="B20" s="7" t="str">
        <f t="shared" ref="B20:B72" si="5">IF(D20=F19,"","IU")</f>
        <v/>
      </c>
      <c r="C20" s="50">
        <f>IF(D11="","-",+C19+1)</f>
        <v>2013</v>
      </c>
      <c r="D20" s="151">
        <v>84559.836236933799</v>
      </c>
      <c r="E20" s="420">
        <v>2115.2857142857142</v>
      </c>
      <c r="F20" s="151">
        <v>82444.550522648089</v>
      </c>
      <c r="G20" s="420">
        <v>13656.457775002271</v>
      </c>
      <c r="H20" s="421">
        <v>13656.457775002271</v>
      </c>
      <c r="I20" s="153">
        <v>0</v>
      </c>
      <c r="J20" s="52"/>
      <c r="K20" s="113">
        <f t="shared" si="0"/>
        <v>13656.457775002271</v>
      </c>
      <c r="L20" s="54">
        <f t="shared" ref="L20:L25" si="6">IF(K20&lt;&gt;0,+G20-K20,0)</f>
        <v>0</v>
      </c>
      <c r="M20" s="113">
        <f t="shared" si="2"/>
        <v>13656.457775002271</v>
      </c>
      <c r="N20" s="54">
        <f t="shared" ref="N20:N25" si="7">IF(M20&lt;&gt;0,+H20-M20,0)</f>
        <v>0</v>
      </c>
      <c r="O20" s="54">
        <f t="shared" ref="O20:O25" si="8">+N20-L20</f>
        <v>0</v>
      </c>
      <c r="P20" s="1"/>
    </row>
    <row r="21" spans="2:16" ht="12.5">
      <c r="B21" s="7" t="str">
        <f t="shared" si="5"/>
        <v/>
      </c>
      <c r="C21" s="50">
        <f>IF(D12="","-",+C20+1)</f>
        <v>2014</v>
      </c>
      <c r="D21" s="151">
        <v>82444.550522648089</v>
      </c>
      <c r="E21" s="420">
        <v>2115.2857142857142</v>
      </c>
      <c r="F21" s="151">
        <v>80329.264808362379</v>
      </c>
      <c r="G21" s="420">
        <v>12952.547656930288</v>
      </c>
      <c r="H21" s="421">
        <v>12952.547656930288</v>
      </c>
      <c r="I21" s="153">
        <v>0</v>
      </c>
      <c r="J21" s="52"/>
      <c r="K21" s="113">
        <f t="shared" si="0"/>
        <v>12952.547656930288</v>
      </c>
      <c r="L21" s="54">
        <f t="shared" si="6"/>
        <v>0</v>
      </c>
      <c r="M21" s="113">
        <f t="shared" si="2"/>
        <v>12952.547656930288</v>
      </c>
      <c r="N21" s="54">
        <f t="shared" si="7"/>
        <v>0</v>
      </c>
      <c r="O21" s="54">
        <f t="shared" si="8"/>
        <v>0</v>
      </c>
      <c r="P21" s="1"/>
    </row>
    <row r="22" spans="2:16" ht="12.5">
      <c r="B22" s="7" t="str">
        <f t="shared" si="5"/>
        <v/>
      </c>
      <c r="C22" s="50">
        <f>IF(D11="","-",+C21+1)</f>
        <v>2015</v>
      </c>
      <c r="D22" s="151">
        <v>80329.264808362379</v>
      </c>
      <c r="E22" s="420">
        <v>2115.2857142857142</v>
      </c>
      <c r="F22" s="151">
        <v>78213.979094076669</v>
      </c>
      <c r="G22" s="420">
        <v>12416.442264342599</v>
      </c>
      <c r="H22" s="421">
        <v>12416.442264342599</v>
      </c>
      <c r="I22" s="52">
        <v>0</v>
      </c>
      <c r="J22" s="52"/>
      <c r="K22" s="113">
        <f t="shared" si="0"/>
        <v>12416.442264342599</v>
      </c>
      <c r="L22" s="54">
        <f t="shared" si="6"/>
        <v>0</v>
      </c>
      <c r="M22" s="113">
        <f t="shared" si="2"/>
        <v>12416.442264342599</v>
      </c>
      <c r="N22" s="54">
        <f t="shared" si="7"/>
        <v>0</v>
      </c>
      <c r="O22" s="54">
        <f t="shared" si="8"/>
        <v>0</v>
      </c>
      <c r="P22" s="1"/>
    </row>
    <row r="23" spans="2:16" ht="12.5">
      <c r="B23" s="7" t="str">
        <f t="shared" si="5"/>
        <v/>
      </c>
      <c r="C23" s="50">
        <f>IF(D11="","-",+C22+1)</f>
        <v>2016</v>
      </c>
      <c r="D23" s="151">
        <v>78213.979094076669</v>
      </c>
      <c r="E23" s="420">
        <v>2115.2857142857142</v>
      </c>
      <c r="F23" s="151">
        <v>76098.693379790959</v>
      </c>
      <c r="G23" s="420">
        <v>12014.201848101253</v>
      </c>
      <c r="H23" s="421">
        <v>12014.201848101253</v>
      </c>
      <c r="I23" s="52">
        <f t="shared" ref="I23:I48" si="9">H23-G23</f>
        <v>0</v>
      </c>
      <c r="J23" s="52"/>
      <c r="K23" s="113">
        <f t="shared" ref="K23:K28" si="10">G23</f>
        <v>12014.201848101253</v>
      </c>
      <c r="L23" s="54">
        <f t="shared" si="6"/>
        <v>0</v>
      </c>
      <c r="M23" s="113">
        <f t="shared" ref="M23:M28" si="11">H23</f>
        <v>12014.201848101253</v>
      </c>
      <c r="N23" s="54">
        <f t="shared" si="7"/>
        <v>0</v>
      </c>
      <c r="O23" s="54">
        <f t="shared" si="8"/>
        <v>0</v>
      </c>
      <c r="P23" s="1"/>
    </row>
    <row r="24" spans="2:16" ht="12.5">
      <c r="B24" s="7" t="str">
        <f t="shared" si="5"/>
        <v/>
      </c>
      <c r="C24" s="50">
        <f>IF(D11="","-",+C23+1)</f>
        <v>2017</v>
      </c>
      <c r="D24" s="151">
        <v>76098.693379790959</v>
      </c>
      <c r="E24" s="420">
        <v>2066.0930232558139</v>
      </c>
      <c r="F24" s="151">
        <v>74032.600356535142</v>
      </c>
      <c r="G24" s="420">
        <v>11366.166201307635</v>
      </c>
      <c r="H24" s="421">
        <v>11366.166201307635</v>
      </c>
      <c r="I24" s="52">
        <f t="shared" si="9"/>
        <v>0</v>
      </c>
      <c r="J24" s="52"/>
      <c r="K24" s="113">
        <f t="shared" si="10"/>
        <v>11366.166201307635</v>
      </c>
      <c r="L24" s="54">
        <f t="shared" si="6"/>
        <v>0</v>
      </c>
      <c r="M24" s="113">
        <f t="shared" si="11"/>
        <v>11366.166201307635</v>
      </c>
      <c r="N24" s="54">
        <f t="shared" si="7"/>
        <v>0</v>
      </c>
      <c r="O24" s="54">
        <f t="shared" si="8"/>
        <v>0</v>
      </c>
      <c r="P24" s="1"/>
    </row>
    <row r="25" spans="2:16" ht="12.5">
      <c r="B25" s="7" t="str">
        <f t="shared" si="5"/>
        <v/>
      </c>
      <c r="C25" s="50">
        <f>IF(D11="","-",+C24+1)</f>
        <v>2018</v>
      </c>
      <c r="D25" s="151">
        <v>74032.600356535142</v>
      </c>
      <c r="E25" s="420">
        <v>2166.8780487804879</v>
      </c>
      <c r="F25" s="151">
        <v>71865.722307754651</v>
      </c>
      <c r="G25" s="420">
        <v>11438.285975861665</v>
      </c>
      <c r="H25" s="421">
        <v>11438.285975861665</v>
      </c>
      <c r="I25" s="52">
        <f t="shared" si="9"/>
        <v>0</v>
      </c>
      <c r="J25" s="52"/>
      <c r="K25" s="113">
        <f t="shared" si="10"/>
        <v>11438.285975861665</v>
      </c>
      <c r="L25" s="54">
        <f t="shared" si="6"/>
        <v>0</v>
      </c>
      <c r="M25" s="113">
        <f t="shared" si="11"/>
        <v>11438.285975861665</v>
      </c>
      <c r="N25" s="54">
        <f t="shared" si="7"/>
        <v>0</v>
      </c>
      <c r="O25" s="54">
        <f t="shared" si="8"/>
        <v>0</v>
      </c>
      <c r="P25" s="1"/>
    </row>
    <row r="26" spans="2:16" ht="12.5">
      <c r="B26" s="7" t="str">
        <f t="shared" si="5"/>
        <v/>
      </c>
      <c r="C26" s="50">
        <f>IF(D11="","-",+C25+1)</f>
        <v>2019</v>
      </c>
      <c r="D26" s="151">
        <v>71865.722307754651</v>
      </c>
      <c r="E26" s="420">
        <v>2166.8780487804879</v>
      </c>
      <c r="F26" s="151">
        <v>69698.844258974161</v>
      </c>
      <c r="G26" s="420">
        <v>11162.888562764485</v>
      </c>
      <c r="H26" s="421">
        <v>11162.888562764485</v>
      </c>
      <c r="I26" s="52">
        <f t="shared" si="9"/>
        <v>0</v>
      </c>
      <c r="J26" s="52"/>
      <c r="K26" s="113">
        <f t="shared" si="10"/>
        <v>11162.888562764485</v>
      </c>
      <c r="L26" s="54">
        <f t="shared" ref="L26" si="12">IF(K26&lt;&gt;0,+G26-K26,0)</f>
        <v>0</v>
      </c>
      <c r="M26" s="113">
        <f t="shared" si="11"/>
        <v>11162.888562764485</v>
      </c>
      <c r="N26" s="54">
        <f t="shared" si="3"/>
        <v>0</v>
      </c>
      <c r="O26" s="54">
        <f t="shared" si="4"/>
        <v>0</v>
      </c>
      <c r="P26" s="1"/>
    </row>
    <row r="27" spans="2:16" ht="12.5">
      <c r="B27" s="7" t="str">
        <f t="shared" si="5"/>
        <v/>
      </c>
      <c r="C27" s="50">
        <f>IF(D11="","-",+C26+1)</f>
        <v>2020</v>
      </c>
      <c r="D27" s="151">
        <v>69698.844258974161</v>
      </c>
      <c r="E27" s="420">
        <v>2166.8780487804879</v>
      </c>
      <c r="F27" s="151">
        <v>67531.96621019367</v>
      </c>
      <c r="G27" s="420">
        <v>9188.6667831500235</v>
      </c>
      <c r="H27" s="421">
        <v>9188.6667831500235</v>
      </c>
      <c r="I27" s="52">
        <f t="shared" si="9"/>
        <v>0</v>
      </c>
      <c r="J27" s="52"/>
      <c r="K27" s="113">
        <f t="shared" si="10"/>
        <v>9188.6667831500235</v>
      </c>
      <c r="L27" s="54">
        <f t="shared" ref="L27" si="13">IF(K27&lt;&gt;0,+G27-K27,0)</f>
        <v>0</v>
      </c>
      <c r="M27" s="113">
        <f t="shared" si="11"/>
        <v>9188.6667831500235</v>
      </c>
      <c r="N27" s="54">
        <f t="shared" si="3"/>
        <v>0</v>
      </c>
      <c r="O27" s="54">
        <f t="shared" si="4"/>
        <v>0</v>
      </c>
      <c r="P27" s="1"/>
    </row>
    <row r="28" spans="2:16" ht="12.5">
      <c r="B28" s="7" t="str">
        <f t="shared" si="5"/>
        <v>IU</v>
      </c>
      <c r="C28" s="50">
        <f>IF(D11="","-",+C27+1)</f>
        <v>2021</v>
      </c>
      <c r="D28" s="151">
        <v>67632.751235718344</v>
      </c>
      <c r="E28" s="420">
        <v>2115.2857142857142</v>
      </c>
      <c r="F28" s="151">
        <v>65517.465521432627</v>
      </c>
      <c r="G28" s="420">
        <v>9172.5497891198665</v>
      </c>
      <c r="H28" s="421">
        <v>9172.5497891198665</v>
      </c>
      <c r="I28" s="52">
        <f t="shared" si="9"/>
        <v>0</v>
      </c>
      <c r="J28" s="52"/>
      <c r="K28" s="113">
        <f t="shared" si="10"/>
        <v>9172.5497891198665</v>
      </c>
      <c r="L28" s="54">
        <f t="shared" ref="L28" si="14">IF(K28&lt;&gt;0,+G28-K28,0)</f>
        <v>0</v>
      </c>
      <c r="M28" s="113">
        <f t="shared" si="11"/>
        <v>9172.5497891198665</v>
      </c>
      <c r="N28" s="54">
        <f t="shared" si="3"/>
        <v>0</v>
      </c>
      <c r="O28" s="54">
        <f t="shared" si="4"/>
        <v>0</v>
      </c>
      <c r="P28" s="1"/>
    </row>
    <row r="29" spans="2:16" ht="12.5">
      <c r="B29" s="7" t="str">
        <f t="shared" si="5"/>
        <v>IU</v>
      </c>
      <c r="C29" s="50">
        <f>IF(D11="","-",+C28+1)</f>
        <v>2022</v>
      </c>
      <c r="D29" s="151">
        <v>65416.680495907953</v>
      </c>
      <c r="E29" s="420">
        <v>2115.2857142857142</v>
      </c>
      <c r="F29" s="151">
        <v>63301.394781622235</v>
      </c>
      <c r="G29" s="420">
        <v>9352.0795778401916</v>
      </c>
      <c r="H29" s="421">
        <v>9352.0795778401916</v>
      </c>
      <c r="I29" s="52">
        <f t="shared" si="9"/>
        <v>0</v>
      </c>
      <c r="J29" s="52"/>
      <c r="K29" s="113">
        <f t="shared" ref="K29" si="15">G29</f>
        <v>9352.0795778401916</v>
      </c>
      <c r="L29" s="54">
        <f t="shared" ref="L29" si="16">IF(K29&lt;&gt;0,+G29-K29,0)</f>
        <v>0</v>
      </c>
      <c r="M29" s="113">
        <f t="shared" ref="M29" si="17">H29</f>
        <v>9352.0795778401916</v>
      </c>
      <c r="N29" s="54">
        <f t="shared" si="3"/>
        <v>0</v>
      </c>
      <c r="O29" s="54">
        <f t="shared" si="4"/>
        <v>0</v>
      </c>
      <c r="P29" s="1"/>
    </row>
    <row r="30" spans="2:16" ht="12.5">
      <c r="B30" s="7" t="str">
        <f t="shared" si="5"/>
        <v/>
      </c>
      <c r="C30" s="50">
        <f>IF(D11="","-",+C29+1)</f>
        <v>2023</v>
      </c>
      <c r="D30" s="151">
        <v>63301.394781622235</v>
      </c>
      <c r="E30" s="420">
        <v>2115.2857142857142</v>
      </c>
      <c r="F30" s="151">
        <v>61186.109067336518</v>
      </c>
      <c r="G30" s="420">
        <v>9978.3389667059218</v>
      </c>
      <c r="H30" s="421">
        <v>9978.3389667059218</v>
      </c>
      <c r="I30" s="52">
        <f t="shared" si="9"/>
        <v>0</v>
      </c>
      <c r="J30" s="52"/>
      <c r="K30" s="113">
        <f t="shared" ref="K30" si="18">G30</f>
        <v>9978.3389667059218</v>
      </c>
      <c r="L30" s="54">
        <f t="shared" ref="L30" si="19">IF(K30&lt;&gt;0,+G30-K30,0)</f>
        <v>0</v>
      </c>
      <c r="M30" s="113">
        <f t="shared" ref="M30" si="20">H30</f>
        <v>9978.3389667059218</v>
      </c>
      <c r="N30" s="54">
        <f t="shared" si="3"/>
        <v>0</v>
      </c>
      <c r="O30" s="54">
        <f t="shared" si="4"/>
        <v>0</v>
      </c>
      <c r="P30" s="1"/>
    </row>
    <row r="31" spans="2:16" ht="12.5">
      <c r="B31" s="7" t="str">
        <f t="shared" si="5"/>
        <v/>
      </c>
      <c r="C31" s="50">
        <f>IF(D11="","-",+C30+1)</f>
        <v>2024</v>
      </c>
      <c r="D31" s="151">
        <v>61186.109067336518</v>
      </c>
      <c r="E31" s="420">
        <v>2019.1363636363637</v>
      </c>
      <c r="F31" s="151">
        <v>59166.972703700158</v>
      </c>
      <c r="G31" s="420">
        <v>9211.8656885441596</v>
      </c>
      <c r="H31" s="421">
        <v>9211.8656885441596</v>
      </c>
      <c r="I31" s="52">
        <f t="shared" si="9"/>
        <v>0</v>
      </c>
      <c r="J31" s="52"/>
      <c r="K31" s="113">
        <f t="shared" ref="K31" si="21">G31</f>
        <v>9211.8656885441596</v>
      </c>
      <c r="L31" s="54">
        <f t="shared" ref="L31" si="22">IF(K31&lt;&gt;0,+G31-K31,0)</f>
        <v>0</v>
      </c>
      <c r="M31" s="113">
        <f t="shared" ref="M31" si="23">H31</f>
        <v>9211.8656885441596</v>
      </c>
      <c r="N31" s="54">
        <f t="shared" ref="N31" si="24">IF(M31&lt;&gt;0,+H31-M31,0)</f>
        <v>0</v>
      </c>
      <c r="O31" s="54">
        <f t="shared" ref="O31" si="25">+N31-L31</f>
        <v>0</v>
      </c>
      <c r="P31" s="1"/>
    </row>
    <row r="32" spans="2:16" ht="12.5">
      <c r="B32" s="7" t="str">
        <f t="shared" si="5"/>
        <v/>
      </c>
      <c r="C32" s="50">
        <f>IF(D11="","-",+C31+1)</f>
        <v>2025</v>
      </c>
      <c r="D32" s="55">
        <f>IF(F31+SUM(E$17:E31)=D$10,F31,D$10-SUM(E$17:E31))</f>
        <v>59166.972703700158</v>
      </c>
      <c r="E32" s="378">
        <f>IF(+I14&lt;F31,I14,D32)</f>
        <v>2019.1363636363637</v>
      </c>
      <c r="F32" s="55">
        <f t="shared" ref="F32:F48" si="26">+D32-E32</f>
        <v>57147.836340063797</v>
      </c>
      <c r="G32" s="379">
        <f t="shared" ref="G32:G55" si="27">+I$12*((D32+F32)/2)+E32</f>
        <v>8970.524110580347</v>
      </c>
      <c r="H32" s="364">
        <f t="shared" ref="H32:H55" si="28">+I$13*((D32+F32)/2)+E32</f>
        <v>8970.524110580347</v>
      </c>
      <c r="I32" s="52">
        <f t="shared" si="9"/>
        <v>0</v>
      </c>
      <c r="J32" s="52"/>
      <c r="K32" s="129"/>
      <c r="L32" s="54">
        <f t="shared" si="1"/>
        <v>0</v>
      </c>
      <c r="M32" s="129"/>
      <c r="N32" s="54">
        <f t="shared" si="3"/>
        <v>0</v>
      </c>
      <c r="O32" s="54">
        <f t="shared" si="4"/>
        <v>0</v>
      </c>
      <c r="P32" s="1"/>
    </row>
    <row r="33" spans="2:16" ht="12.5">
      <c r="B33" s="7"/>
      <c r="C33" s="50">
        <f>IF(D11="","-",+C32+1)</f>
        <v>2026</v>
      </c>
      <c r="D33" s="55">
        <f>IF(F32+SUM(E$17:E32)=D$10,F32,D$10-SUM(E$17:E32))</f>
        <v>57147.836340063797</v>
      </c>
      <c r="E33" s="378">
        <f>IF(+I14&lt;F32,I14,D33)</f>
        <v>2019.1363636363637</v>
      </c>
      <c r="F33" s="55">
        <f t="shared" si="26"/>
        <v>55128.699976427437</v>
      </c>
      <c r="G33" s="379">
        <f t="shared" si="27"/>
        <v>8729.1825326165326</v>
      </c>
      <c r="H33" s="364">
        <f t="shared" si="28"/>
        <v>8729.1825326165326</v>
      </c>
      <c r="I33" s="52">
        <f t="shared" si="9"/>
        <v>0</v>
      </c>
      <c r="J33" s="52"/>
      <c r="K33" s="129"/>
      <c r="L33" s="54">
        <f t="shared" si="1"/>
        <v>0</v>
      </c>
      <c r="M33" s="129"/>
      <c r="N33" s="54">
        <f t="shared" si="3"/>
        <v>0</v>
      </c>
      <c r="O33" s="54">
        <f t="shared" si="4"/>
        <v>0</v>
      </c>
      <c r="P33" s="1"/>
    </row>
    <row r="34" spans="2:16" ht="12.5">
      <c r="B34" s="7" t="str">
        <f t="shared" si="5"/>
        <v/>
      </c>
      <c r="C34" s="50">
        <f>IF(D11="","-",+C33+1)</f>
        <v>2027</v>
      </c>
      <c r="D34" s="55">
        <f>IF(F33+SUM(E$17:E33)=D$10,F33,D$10-SUM(E$17:E33))</f>
        <v>55128.699976427437</v>
      </c>
      <c r="E34" s="378">
        <f>IF(+I14&lt;F33,I14,D34)</f>
        <v>2019.1363636363637</v>
      </c>
      <c r="F34" s="55">
        <f t="shared" si="26"/>
        <v>53109.563612791077</v>
      </c>
      <c r="G34" s="379">
        <f t="shared" si="27"/>
        <v>8487.84095465272</v>
      </c>
      <c r="H34" s="364">
        <f t="shared" si="28"/>
        <v>8487.84095465272</v>
      </c>
      <c r="I34" s="52">
        <f t="shared" si="9"/>
        <v>0</v>
      </c>
      <c r="J34" s="52"/>
      <c r="K34" s="129"/>
      <c r="L34" s="54">
        <f t="shared" si="1"/>
        <v>0</v>
      </c>
      <c r="M34" s="129"/>
      <c r="N34" s="54">
        <f t="shared" si="3"/>
        <v>0</v>
      </c>
      <c r="O34" s="54">
        <f t="shared" si="4"/>
        <v>0</v>
      </c>
      <c r="P34" s="1"/>
    </row>
    <row r="35" spans="2:16" ht="12.5">
      <c r="B35" s="7" t="str">
        <f t="shared" si="5"/>
        <v/>
      </c>
      <c r="C35" s="50">
        <f>IF(D11="","-",+C34+1)</f>
        <v>2028</v>
      </c>
      <c r="D35" s="55">
        <f>IF(F34+SUM(E$17:E34)=D$10,F34,D$10-SUM(E$17:E34))</f>
        <v>53109.563612791077</v>
      </c>
      <c r="E35" s="378">
        <f>IF(+I14&lt;F34,I14,D35)</f>
        <v>2019.1363636363637</v>
      </c>
      <c r="F35" s="55">
        <f t="shared" si="26"/>
        <v>51090.427249154716</v>
      </c>
      <c r="G35" s="379">
        <f t="shared" si="27"/>
        <v>8246.4993766889056</v>
      </c>
      <c r="H35" s="364">
        <f t="shared" si="28"/>
        <v>8246.4993766889056</v>
      </c>
      <c r="I35" s="52">
        <f t="shared" si="9"/>
        <v>0</v>
      </c>
      <c r="J35" s="52"/>
      <c r="K35" s="129"/>
      <c r="L35" s="54">
        <f t="shared" si="1"/>
        <v>0</v>
      </c>
      <c r="M35" s="129"/>
      <c r="N35" s="54">
        <f t="shared" si="3"/>
        <v>0</v>
      </c>
      <c r="O35" s="54">
        <f t="shared" si="4"/>
        <v>0</v>
      </c>
      <c r="P35" s="1"/>
    </row>
    <row r="36" spans="2:16" ht="12.5">
      <c r="B36" s="7" t="str">
        <f t="shared" si="5"/>
        <v/>
      </c>
      <c r="C36" s="50">
        <f>IF(D11="","-",+C35+1)</f>
        <v>2029</v>
      </c>
      <c r="D36" s="55">
        <f>IF(F35+SUM(E$17:E35)=D$10,F35,D$10-SUM(E$17:E35))</f>
        <v>51090.427249154716</v>
      </c>
      <c r="E36" s="378">
        <f>IF(+I14&lt;F35,I14,D36)</f>
        <v>2019.1363636363637</v>
      </c>
      <c r="F36" s="55">
        <f t="shared" si="26"/>
        <v>49071.290885518356</v>
      </c>
      <c r="G36" s="379">
        <f t="shared" si="27"/>
        <v>8005.157798725093</v>
      </c>
      <c r="H36" s="364">
        <f t="shared" si="28"/>
        <v>8005.157798725093</v>
      </c>
      <c r="I36" s="52">
        <f t="shared" si="9"/>
        <v>0</v>
      </c>
      <c r="J36" s="52"/>
      <c r="K36" s="129"/>
      <c r="L36" s="54">
        <f t="shared" si="1"/>
        <v>0</v>
      </c>
      <c r="M36" s="129"/>
      <c r="N36" s="54">
        <f t="shared" si="3"/>
        <v>0</v>
      </c>
      <c r="O36" s="54">
        <f t="shared" si="4"/>
        <v>0</v>
      </c>
      <c r="P36" s="1"/>
    </row>
    <row r="37" spans="2:16" ht="12.5">
      <c r="B37" s="7" t="str">
        <f t="shared" si="5"/>
        <v/>
      </c>
      <c r="C37" s="50">
        <f>IF(D11="","-",+C36+1)</f>
        <v>2030</v>
      </c>
      <c r="D37" s="55">
        <f>IF(F36+SUM(E$17:E36)=D$10,F36,D$10-SUM(E$17:E36))</f>
        <v>49071.290885518356</v>
      </c>
      <c r="E37" s="378">
        <f>IF(+I14&lt;F36,I14,D37)</f>
        <v>2019.1363636363637</v>
      </c>
      <c r="F37" s="55">
        <f t="shared" si="26"/>
        <v>47052.154521881996</v>
      </c>
      <c r="G37" s="379">
        <f t="shared" si="27"/>
        <v>7763.8162207612786</v>
      </c>
      <c r="H37" s="364">
        <f t="shared" si="28"/>
        <v>7763.8162207612786</v>
      </c>
      <c r="I37" s="52">
        <f t="shared" si="9"/>
        <v>0</v>
      </c>
      <c r="J37" s="52"/>
      <c r="K37" s="129"/>
      <c r="L37" s="54">
        <f t="shared" si="1"/>
        <v>0</v>
      </c>
      <c r="M37" s="129"/>
      <c r="N37" s="54">
        <f t="shared" si="3"/>
        <v>0</v>
      </c>
      <c r="O37" s="54">
        <f t="shared" si="4"/>
        <v>0</v>
      </c>
      <c r="P37" s="1"/>
    </row>
    <row r="38" spans="2:16" ht="12.5">
      <c r="B38" s="7" t="str">
        <f t="shared" si="5"/>
        <v/>
      </c>
      <c r="C38" s="50">
        <f>IF(D11="","-",+C37+1)</f>
        <v>2031</v>
      </c>
      <c r="D38" s="55">
        <f>IF(F37+SUM(E$17:E37)=D$10,F37,D$10-SUM(E$17:E37))</f>
        <v>47052.154521881996</v>
      </c>
      <c r="E38" s="378">
        <f>IF(+I14&lt;F37,I14,D38)</f>
        <v>2019.1363636363637</v>
      </c>
      <c r="F38" s="55">
        <f t="shared" si="26"/>
        <v>45033.018158245635</v>
      </c>
      <c r="G38" s="379">
        <f t="shared" si="27"/>
        <v>7522.474642797466</v>
      </c>
      <c r="H38" s="364">
        <f t="shared" si="28"/>
        <v>7522.474642797466</v>
      </c>
      <c r="I38" s="52">
        <f t="shared" si="9"/>
        <v>0</v>
      </c>
      <c r="J38" s="52"/>
      <c r="K38" s="129"/>
      <c r="L38" s="54">
        <f t="shared" si="1"/>
        <v>0</v>
      </c>
      <c r="M38" s="129"/>
      <c r="N38" s="54">
        <f t="shared" si="3"/>
        <v>0</v>
      </c>
      <c r="O38" s="54">
        <f t="shared" si="4"/>
        <v>0</v>
      </c>
      <c r="P38" s="1"/>
    </row>
    <row r="39" spans="2:16" ht="12.5">
      <c r="B39" s="7" t="str">
        <f t="shared" si="5"/>
        <v/>
      </c>
      <c r="C39" s="50">
        <f>IF(D11="","-",+C38+1)</f>
        <v>2032</v>
      </c>
      <c r="D39" s="55">
        <f>IF(F38+SUM(E$17:E38)=D$10,F38,D$10-SUM(E$17:E38))</f>
        <v>45033.018158245635</v>
      </c>
      <c r="E39" s="378">
        <f>IF(+I14&lt;F38,I14,D39)</f>
        <v>2019.1363636363637</v>
      </c>
      <c r="F39" s="55">
        <f t="shared" si="26"/>
        <v>43013.881794609275</v>
      </c>
      <c r="G39" s="379">
        <f t="shared" si="27"/>
        <v>7281.1330648336516</v>
      </c>
      <c r="H39" s="364">
        <f t="shared" si="28"/>
        <v>7281.1330648336516</v>
      </c>
      <c r="I39" s="52">
        <f t="shared" si="9"/>
        <v>0</v>
      </c>
      <c r="J39" s="52"/>
      <c r="K39" s="129"/>
      <c r="L39" s="54">
        <f t="shared" si="1"/>
        <v>0</v>
      </c>
      <c r="M39" s="129"/>
      <c r="N39" s="54">
        <f t="shared" si="3"/>
        <v>0</v>
      </c>
      <c r="O39" s="54">
        <f t="shared" si="4"/>
        <v>0</v>
      </c>
      <c r="P39" s="1"/>
    </row>
    <row r="40" spans="2:16" ht="12.5">
      <c r="B40" s="7" t="str">
        <f t="shared" si="5"/>
        <v/>
      </c>
      <c r="C40" s="50">
        <f>IF(D11="","-",+C39+1)</f>
        <v>2033</v>
      </c>
      <c r="D40" s="55">
        <f>IF(F39+SUM(E$17:E39)=D$10,F39,D$10-SUM(E$17:E39))</f>
        <v>43013.881794609275</v>
      </c>
      <c r="E40" s="378">
        <f>IF(+I14&lt;F39,I14,D40)</f>
        <v>2019.1363636363637</v>
      </c>
      <c r="F40" s="55">
        <f t="shared" si="26"/>
        <v>40994.745430972915</v>
      </c>
      <c r="G40" s="379">
        <f t="shared" si="27"/>
        <v>7039.791486869839</v>
      </c>
      <c r="H40" s="364">
        <f t="shared" si="28"/>
        <v>7039.791486869839</v>
      </c>
      <c r="I40" s="52">
        <f t="shared" si="9"/>
        <v>0</v>
      </c>
      <c r="J40" s="52"/>
      <c r="K40" s="129"/>
      <c r="L40" s="54">
        <f t="shared" si="1"/>
        <v>0</v>
      </c>
      <c r="M40" s="129"/>
      <c r="N40" s="54">
        <f t="shared" si="3"/>
        <v>0</v>
      </c>
      <c r="O40" s="54">
        <f t="shared" si="4"/>
        <v>0</v>
      </c>
      <c r="P40" s="1"/>
    </row>
    <row r="41" spans="2:16" ht="12.5">
      <c r="B41" s="7" t="str">
        <f t="shared" si="5"/>
        <v/>
      </c>
      <c r="C41" s="50">
        <f>IF(D11="","-",+C40+1)</f>
        <v>2034</v>
      </c>
      <c r="D41" s="55">
        <f>IF(F40+SUM(E$17:E40)=D$10,F40,D$10-SUM(E$17:E40))</f>
        <v>40994.745430972915</v>
      </c>
      <c r="E41" s="378">
        <f>IF(+I14&lt;F40,I14,D41)</f>
        <v>2019.1363636363637</v>
      </c>
      <c r="F41" s="55">
        <f t="shared" si="26"/>
        <v>38975.609067336554</v>
      </c>
      <c r="G41" s="379">
        <f t="shared" si="27"/>
        <v>6798.4499089060246</v>
      </c>
      <c r="H41" s="364">
        <f t="shared" si="28"/>
        <v>6798.4499089060246</v>
      </c>
      <c r="I41" s="52">
        <f t="shared" si="9"/>
        <v>0</v>
      </c>
      <c r="J41" s="52"/>
      <c r="K41" s="129"/>
      <c r="L41" s="54">
        <f t="shared" si="1"/>
        <v>0</v>
      </c>
      <c r="M41" s="129"/>
      <c r="N41" s="54">
        <f t="shared" si="3"/>
        <v>0</v>
      </c>
      <c r="O41" s="54">
        <f t="shared" si="4"/>
        <v>0</v>
      </c>
      <c r="P41" s="1"/>
    </row>
    <row r="42" spans="2:16" ht="12.5">
      <c r="B42" s="7" t="str">
        <f t="shared" si="5"/>
        <v/>
      </c>
      <c r="C42" s="50">
        <f>IF(D11="","-",+C41+1)</f>
        <v>2035</v>
      </c>
      <c r="D42" s="55">
        <f>IF(F41+SUM(E$17:E41)=D$10,F41,D$10-SUM(E$17:E41))</f>
        <v>38975.609067336554</v>
      </c>
      <c r="E42" s="378">
        <f>IF(+I14&lt;F41,I14,D42)</f>
        <v>2019.1363636363637</v>
      </c>
      <c r="F42" s="55">
        <f t="shared" si="26"/>
        <v>36956.472703700194</v>
      </c>
      <c r="G42" s="379">
        <f t="shared" si="27"/>
        <v>6557.108330942212</v>
      </c>
      <c r="H42" s="364">
        <f t="shared" si="28"/>
        <v>6557.108330942212</v>
      </c>
      <c r="I42" s="52">
        <f t="shared" si="9"/>
        <v>0</v>
      </c>
      <c r="J42" s="52"/>
      <c r="K42" s="129"/>
      <c r="L42" s="54">
        <f t="shared" si="1"/>
        <v>0</v>
      </c>
      <c r="M42" s="129"/>
      <c r="N42" s="54">
        <f t="shared" si="3"/>
        <v>0</v>
      </c>
      <c r="O42" s="54">
        <f t="shared" si="4"/>
        <v>0</v>
      </c>
      <c r="P42" s="1"/>
    </row>
    <row r="43" spans="2:16" ht="12.5">
      <c r="B43" s="7" t="str">
        <f t="shared" si="5"/>
        <v/>
      </c>
      <c r="C43" s="50">
        <f>IF(D11="","-",+C42+1)</f>
        <v>2036</v>
      </c>
      <c r="D43" s="55">
        <f>IF(F42+SUM(E$17:E42)=D$10,F42,D$10-SUM(E$17:E42))</f>
        <v>36956.472703700194</v>
      </c>
      <c r="E43" s="378">
        <f>IF(+I14&lt;F42,I14,D43)</f>
        <v>2019.1363636363637</v>
      </c>
      <c r="F43" s="55">
        <f t="shared" si="26"/>
        <v>34937.336340063834</v>
      </c>
      <c r="G43" s="379">
        <f t="shared" si="27"/>
        <v>6315.7667529783967</v>
      </c>
      <c r="H43" s="364">
        <f t="shared" si="28"/>
        <v>6315.7667529783967</v>
      </c>
      <c r="I43" s="52">
        <f t="shared" si="9"/>
        <v>0</v>
      </c>
      <c r="J43" s="52"/>
      <c r="K43" s="129"/>
      <c r="L43" s="54">
        <f t="shared" si="1"/>
        <v>0</v>
      </c>
      <c r="M43" s="129"/>
      <c r="N43" s="54">
        <f t="shared" si="3"/>
        <v>0</v>
      </c>
      <c r="O43" s="54">
        <f t="shared" si="4"/>
        <v>0</v>
      </c>
      <c r="P43" s="1"/>
    </row>
    <row r="44" spans="2:16" ht="12.5">
      <c r="B44" s="7" t="str">
        <f t="shared" si="5"/>
        <v/>
      </c>
      <c r="C44" s="50">
        <f>IF(D11="","-",+C43+1)</f>
        <v>2037</v>
      </c>
      <c r="D44" s="55">
        <f>IF(F43+SUM(E$17:E43)=D$10,F43,D$10-SUM(E$17:E43))</f>
        <v>34937.336340063834</v>
      </c>
      <c r="E44" s="378">
        <f>IF(+I14&lt;F43,I14,D44)</f>
        <v>2019.1363636363637</v>
      </c>
      <c r="F44" s="55">
        <f t="shared" si="26"/>
        <v>32918.199976427473</v>
      </c>
      <c r="G44" s="379">
        <f t="shared" si="27"/>
        <v>6074.4251750145841</v>
      </c>
      <c r="H44" s="364">
        <f t="shared" si="28"/>
        <v>6074.4251750145841</v>
      </c>
      <c r="I44" s="52">
        <f t="shared" si="9"/>
        <v>0</v>
      </c>
      <c r="J44" s="52"/>
      <c r="K44" s="129"/>
      <c r="L44" s="54">
        <f t="shared" si="1"/>
        <v>0</v>
      </c>
      <c r="M44" s="129"/>
      <c r="N44" s="54">
        <f t="shared" si="3"/>
        <v>0</v>
      </c>
      <c r="O44" s="54">
        <f t="shared" si="4"/>
        <v>0</v>
      </c>
      <c r="P44" s="1"/>
    </row>
    <row r="45" spans="2:16" ht="12.5">
      <c r="B45" s="7" t="str">
        <f t="shared" si="5"/>
        <v/>
      </c>
      <c r="C45" s="50">
        <f>IF(D11="","-",+C44+1)</f>
        <v>2038</v>
      </c>
      <c r="D45" s="55">
        <f>IF(F44+SUM(E$17:E44)=D$10,F44,D$10-SUM(E$17:E44))</f>
        <v>32918.199976427473</v>
      </c>
      <c r="E45" s="378">
        <f>IF(+I14&lt;F44,I14,D45)</f>
        <v>2019.1363636363637</v>
      </c>
      <c r="F45" s="55">
        <f t="shared" si="26"/>
        <v>30899.063612791109</v>
      </c>
      <c r="G45" s="379">
        <f t="shared" si="27"/>
        <v>5833.0835970507696</v>
      </c>
      <c r="H45" s="364">
        <f t="shared" si="28"/>
        <v>5833.0835970507696</v>
      </c>
      <c r="I45" s="52">
        <f t="shared" si="9"/>
        <v>0</v>
      </c>
      <c r="J45" s="52"/>
      <c r="K45" s="129"/>
      <c r="L45" s="54">
        <f t="shared" si="1"/>
        <v>0</v>
      </c>
      <c r="M45" s="129"/>
      <c r="N45" s="54">
        <f t="shared" si="3"/>
        <v>0</v>
      </c>
      <c r="O45" s="54">
        <f t="shared" si="4"/>
        <v>0</v>
      </c>
      <c r="P45" s="1"/>
    </row>
    <row r="46" spans="2:16" ht="12.5">
      <c r="B46" s="7" t="str">
        <f t="shared" si="5"/>
        <v/>
      </c>
      <c r="C46" s="50">
        <f>IF(D11="","-",+C45+1)</f>
        <v>2039</v>
      </c>
      <c r="D46" s="55">
        <f>IF(F45+SUM(E$17:E45)=D$10,F45,D$10-SUM(E$17:E45))</f>
        <v>30899.063612791109</v>
      </c>
      <c r="E46" s="378">
        <f>IF(+I14&lt;F45,I14,D46)</f>
        <v>2019.1363636363637</v>
      </c>
      <c r="F46" s="55">
        <f t="shared" si="26"/>
        <v>28879.927249154745</v>
      </c>
      <c r="G46" s="379">
        <f t="shared" si="27"/>
        <v>5591.7420190869561</v>
      </c>
      <c r="H46" s="364">
        <f t="shared" si="28"/>
        <v>5591.7420190869561</v>
      </c>
      <c r="I46" s="52">
        <f t="shared" si="9"/>
        <v>0</v>
      </c>
      <c r="J46" s="52"/>
      <c r="K46" s="129"/>
      <c r="L46" s="54">
        <f t="shared" si="1"/>
        <v>0</v>
      </c>
      <c r="M46" s="129"/>
      <c r="N46" s="54">
        <f t="shared" si="3"/>
        <v>0</v>
      </c>
      <c r="O46" s="54">
        <f t="shared" si="4"/>
        <v>0</v>
      </c>
      <c r="P46" s="1"/>
    </row>
    <row r="47" spans="2:16" ht="12.5">
      <c r="B47" s="7" t="str">
        <f t="shared" si="5"/>
        <v/>
      </c>
      <c r="C47" s="50">
        <f>IF(D11="","-",+C46+1)</f>
        <v>2040</v>
      </c>
      <c r="D47" s="55">
        <f>IF(F46+SUM(E$17:E46)=D$10,F46,D$10-SUM(E$17:E46))</f>
        <v>28879.927249154745</v>
      </c>
      <c r="E47" s="378">
        <f>IF(+I14&lt;F46,I14,D47)</f>
        <v>2019.1363636363637</v>
      </c>
      <c r="F47" s="55">
        <f t="shared" si="26"/>
        <v>26860.790885518381</v>
      </c>
      <c r="G47" s="379">
        <f t="shared" si="27"/>
        <v>5350.4004411231417</v>
      </c>
      <c r="H47" s="364">
        <f t="shared" si="28"/>
        <v>5350.4004411231417</v>
      </c>
      <c r="I47" s="52">
        <f t="shared" si="9"/>
        <v>0</v>
      </c>
      <c r="J47" s="52"/>
      <c r="K47" s="129"/>
      <c r="L47" s="54">
        <f t="shared" si="1"/>
        <v>0</v>
      </c>
      <c r="M47" s="129"/>
      <c r="N47" s="54">
        <f t="shared" si="3"/>
        <v>0</v>
      </c>
      <c r="O47" s="54">
        <f t="shared" si="4"/>
        <v>0</v>
      </c>
      <c r="P47" s="1"/>
    </row>
    <row r="48" spans="2:16" ht="12.5">
      <c r="B48" s="7" t="str">
        <f t="shared" si="5"/>
        <v/>
      </c>
      <c r="C48" s="50">
        <f>IF(D11="","-",+C47+1)</f>
        <v>2041</v>
      </c>
      <c r="D48" s="55">
        <f>IF(F47+SUM(E$17:E47)=D$10,F47,D$10-SUM(E$17:E47))</f>
        <v>26860.790885518381</v>
      </c>
      <c r="E48" s="378">
        <f>IF(+I14&lt;F47,I14,D48)</f>
        <v>2019.1363636363637</v>
      </c>
      <c r="F48" s="55">
        <f t="shared" si="26"/>
        <v>24841.654521882017</v>
      </c>
      <c r="G48" s="379">
        <f t="shared" si="27"/>
        <v>5109.0588631593282</v>
      </c>
      <c r="H48" s="364">
        <f t="shared" si="28"/>
        <v>5109.0588631593282</v>
      </c>
      <c r="I48" s="52">
        <f t="shared" si="9"/>
        <v>0</v>
      </c>
      <c r="J48" s="52"/>
      <c r="K48" s="129"/>
      <c r="L48" s="54">
        <f t="shared" si="1"/>
        <v>0</v>
      </c>
      <c r="M48" s="129"/>
      <c r="N48" s="54">
        <f t="shared" si="3"/>
        <v>0</v>
      </c>
      <c r="O48" s="54">
        <f t="shared" si="4"/>
        <v>0</v>
      </c>
      <c r="P48" s="1"/>
    </row>
    <row r="49" spans="2:17" ht="12.5">
      <c r="B49" s="7" t="str">
        <f t="shared" si="5"/>
        <v/>
      </c>
      <c r="C49" s="50">
        <f>IF(D11="","-",+C48+1)</f>
        <v>2042</v>
      </c>
      <c r="D49" s="55">
        <f>IF(F48+SUM(E$17:E48)=D$10,F48,D$10-SUM(E$17:E48))</f>
        <v>24841.654521882017</v>
      </c>
      <c r="E49" s="378">
        <f>IF(+I14&lt;F48,I14,D49)</f>
        <v>2019.1363636363637</v>
      </c>
      <c r="F49" s="55">
        <f t="shared" ref="F49:F72" si="29">+D49-E49</f>
        <v>22822.518158245653</v>
      </c>
      <c r="G49" s="379">
        <f t="shared" si="27"/>
        <v>4867.7172851955129</v>
      </c>
      <c r="H49" s="364">
        <f t="shared" si="28"/>
        <v>4867.7172851955129</v>
      </c>
      <c r="I49" s="52">
        <f t="shared" ref="I49:I72" si="30">H49-G49</f>
        <v>0</v>
      </c>
      <c r="J49" s="52"/>
      <c r="K49" s="129"/>
      <c r="L49" s="54">
        <f t="shared" ref="L49:L72" si="31">IF(K49&lt;&gt;0,+G49-K49,0)</f>
        <v>0</v>
      </c>
      <c r="M49" s="129"/>
      <c r="N49" s="54">
        <f t="shared" ref="N49:N72" si="32">IF(M49&lt;&gt;0,+H49-M49,0)</f>
        <v>0</v>
      </c>
      <c r="O49" s="54">
        <f t="shared" ref="O49:O72" si="33">+N49-L49</f>
        <v>0</v>
      </c>
      <c r="P49" s="1"/>
    </row>
    <row r="50" spans="2:17" ht="12.5">
      <c r="B50" s="7" t="str">
        <f t="shared" si="5"/>
        <v/>
      </c>
      <c r="C50" s="50">
        <f>IF(D11="","-",+C49+1)</f>
        <v>2043</v>
      </c>
      <c r="D50" s="55">
        <f>IF(F49+SUM(E$17:E49)=D$10,F49,D$10-SUM(E$17:E49))</f>
        <v>22822.518158245653</v>
      </c>
      <c r="E50" s="378">
        <f>IF(+I14&lt;F49,I14,D50)</f>
        <v>2019.1363636363637</v>
      </c>
      <c r="F50" s="55">
        <f t="shared" si="29"/>
        <v>20803.381794609289</v>
      </c>
      <c r="G50" s="379">
        <f t="shared" si="27"/>
        <v>4626.3757072316994</v>
      </c>
      <c r="H50" s="364">
        <f t="shared" si="28"/>
        <v>4626.3757072316994</v>
      </c>
      <c r="I50" s="52">
        <f t="shared" si="30"/>
        <v>0</v>
      </c>
      <c r="J50" s="52"/>
      <c r="K50" s="129"/>
      <c r="L50" s="54">
        <f t="shared" si="31"/>
        <v>0</v>
      </c>
      <c r="M50" s="129"/>
      <c r="N50" s="54">
        <f t="shared" si="32"/>
        <v>0</v>
      </c>
      <c r="O50" s="54">
        <f t="shared" si="33"/>
        <v>0</v>
      </c>
      <c r="P50" s="1"/>
    </row>
    <row r="51" spans="2:17" ht="12.5">
      <c r="B51" s="7" t="str">
        <f t="shared" si="5"/>
        <v/>
      </c>
      <c r="C51" s="50">
        <f>IF(D11="","-",+C50+1)</f>
        <v>2044</v>
      </c>
      <c r="D51" s="55">
        <f>IF(F50+SUM(E$17:E50)=D$10,F50,D$10-SUM(E$17:E50))</f>
        <v>20803.381794609289</v>
      </c>
      <c r="E51" s="378">
        <f>IF(+I14&lt;F50,I14,D51)</f>
        <v>2019.1363636363637</v>
      </c>
      <c r="F51" s="55">
        <f t="shared" si="29"/>
        <v>18784.245430972926</v>
      </c>
      <c r="G51" s="379">
        <f t="shared" si="27"/>
        <v>4385.034129267885</v>
      </c>
      <c r="H51" s="364">
        <f t="shared" si="28"/>
        <v>4385.034129267885</v>
      </c>
      <c r="I51" s="52">
        <f t="shared" si="30"/>
        <v>0</v>
      </c>
      <c r="J51" s="52"/>
      <c r="K51" s="129"/>
      <c r="L51" s="54">
        <f t="shared" si="31"/>
        <v>0</v>
      </c>
      <c r="M51" s="129"/>
      <c r="N51" s="54">
        <f t="shared" si="32"/>
        <v>0</v>
      </c>
      <c r="O51" s="54">
        <f t="shared" si="33"/>
        <v>0</v>
      </c>
      <c r="P51" s="1"/>
    </row>
    <row r="52" spans="2:17" ht="12.5">
      <c r="B52" s="7" t="str">
        <f t="shared" si="5"/>
        <v/>
      </c>
      <c r="C52" s="50">
        <f>IF(D11="","-",+C51+1)</f>
        <v>2045</v>
      </c>
      <c r="D52" s="55">
        <f>IF(F51+SUM(E$17:E51)=D$10,F51,D$10-SUM(E$17:E51))</f>
        <v>18784.245430972926</v>
      </c>
      <c r="E52" s="378">
        <f>IF(+I14&lt;F51,I14,D52)</f>
        <v>2019.1363636363637</v>
      </c>
      <c r="F52" s="55">
        <f t="shared" si="29"/>
        <v>16765.109067336562</v>
      </c>
      <c r="G52" s="379">
        <f t="shared" si="27"/>
        <v>4143.6925513040715</v>
      </c>
      <c r="H52" s="364">
        <f t="shared" si="28"/>
        <v>4143.6925513040715</v>
      </c>
      <c r="I52" s="52">
        <f t="shared" si="30"/>
        <v>0</v>
      </c>
      <c r="J52" s="52"/>
      <c r="K52" s="129"/>
      <c r="L52" s="54">
        <f t="shared" si="31"/>
        <v>0</v>
      </c>
      <c r="M52" s="129"/>
      <c r="N52" s="54">
        <f t="shared" si="32"/>
        <v>0</v>
      </c>
      <c r="O52" s="54">
        <f t="shared" si="33"/>
        <v>0</v>
      </c>
      <c r="P52" s="1"/>
    </row>
    <row r="53" spans="2:17" ht="12.5">
      <c r="B53" s="7" t="str">
        <f t="shared" si="5"/>
        <v/>
      </c>
      <c r="C53" s="50">
        <f>IF(D11="","-",+C52+1)</f>
        <v>2046</v>
      </c>
      <c r="D53" s="55">
        <f>IF(F52+SUM(E$17:E52)=D$10,F52,D$10-SUM(E$17:E52))</f>
        <v>16765.109067336562</v>
      </c>
      <c r="E53" s="378">
        <f>IF(+I14&lt;F52,I14,D53)</f>
        <v>2019.1363636363637</v>
      </c>
      <c r="F53" s="55">
        <f t="shared" si="29"/>
        <v>14745.972703700198</v>
      </c>
      <c r="G53" s="379">
        <f t="shared" si="27"/>
        <v>3902.350973340257</v>
      </c>
      <c r="H53" s="364">
        <f t="shared" si="28"/>
        <v>3902.350973340257</v>
      </c>
      <c r="I53" s="52">
        <f t="shared" si="30"/>
        <v>0</v>
      </c>
      <c r="J53" s="52"/>
      <c r="K53" s="129"/>
      <c r="L53" s="54">
        <f t="shared" si="31"/>
        <v>0</v>
      </c>
      <c r="M53" s="129"/>
      <c r="N53" s="54">
        <f t="shared" si="32"/>
        <v>0</v>
      </c>
      <c r="O53" s="54">
        <f t="shared" si="33"/>
        <v>0</v>
      </c>
      <c r="P53" s="1"/>
    </row>
    <row r="54" spans="2:17" ht="12.5">
      <c r="B54" s="7" t="str">
        <f t="shared" si="5"/>
        <v/>
      </c>
      <c r="C54" s="50">
        <f>IF(D11="","-",+C53+1)</f>
        <v>2047</v>
      </c>
      <c r="D54" s="55">
        <f>IF(F53+SUM(E$17:E53)=D$10,F53,D$10-SUM(E$17:E53))</f>
        <v>14745.972703700198</v>
      </c>
      <c r="E54" s="378">
        <f>IF(+I14&lt;F53,I14,D54)</f>
        <v>2019.1363636363637</v>
      </c>
      <c r="F54" s="55">
        <f t="shared" si="29"/>
        <v>12726.836340063834</v>
      </c>
      <c r="G54" s="379">
        <f t="shared" si="27"/>
        <v>3661.0093953764435</v>
      </c>
      <c r="H54" s="364">
        <f t="shared" si="28"/>
        <v>3661.0093953764435</v>
      </c>
      <c r="I54" s="52">
        <f t="shared" si="30"/>
        <v>0</v>
      </c>
      <c r="J54" s="52"/>
      <c r="K54" s="129"/>
      <c r="L54" s="54">
        <f t="shared" si="31"/>
        <v>0</v>
      </c>
      <c r="M54" s="129"/>
      <c r="N54" s="54">
        <f t="shared" si="32"/>
        <v>0</v>
      </c>
      <c r="O54" s="54">
        <f t="shared" si="33"/>
        <v>0</v>
      </c>
      <c r="P54" s="1"/>
    </row>
    <row r="55" spans="2:17" ht="12.5">
      <c r="B55" s="7" t="str">
        <f t="shared" si="5"/>
        <v/>
      </c>
      <c r="C55" s="50">
        <f>IF(D11="","-",+C54+1)</f>
        <v>2048</v>
      </c>
      <c r="D55" s="55">
        <f>IF(F54+SUM(E$17:E54)=D$10,F54,D$10-SUM(E$17:E54))</f>
        <v>12726.836340063834</v>
      </c>
      <c r="E55" s="378">
        <f>IF(+I14&lt;F54,I14,D55)</f>
        <v>2019.1363636363637</v>
      </c>
      <c r="F55" s="55">
        <f t="shared" si="29"/>
        <v>10707.69997642747</v>
      </c>
      <c r="G55" s="379">
        <f t="shared" si="27"/>
        <v>3419.6678174126291</v>
      </c>
      <c r="H55" s="364">
        <f t="shared" si="28"/>
        <v>3419.6678174126291</v>
      </c>
      <c r="I55" s="52">
        <f t="shared" si="30"/>
        <v>0</v>
      </c>
      <c r="J55" s="52"/>
      <c r="K55" s="129"/>
      <c r="L55" s="54">
        <f t="shared" si="31"/>
        <v>0</v>
      </c>
      <c r="M55" s="129"/>
      <c r="N55" s="54">
        <f t="shared" si="32"/>
        <v>0</v>
      </c>
      <c r="O55" s="54">
        <f t="shared" si="33"/>
        <v>0</v>
      </c>
      <c r="P55" s="1"/>
    </row>
    <row r="56" spans="2:17" ht="12.5">
      <c r="B56" s="7" t="str">
        <f t="shared" si="5"/>
        <v/>
      </c>
      <c r="C56" s="50">
        <f>IF(D11="","-",+C55+1)</f>
        <v>2049</v>
      </c>
      <c r="D56" s="55">
        <f>IF(F55+SUM(E$17:E55)=D$10,F55,D$10-SUM(E$17:E55))</f>
        <v>10707.69997642747</v>
      </c>
      <c r="E56" s="378">
        <f>IF(+I14&lt;F55,I14,D56)</f>
        <v>2019.1363636363637</v>
      </c>
      <c r="F56" s="55">
        <f t="shared" si="29"/>
        <v>8688.5636127911057</v>
      </c>
      <c r="G56" s="379">
        <f t="shared" ref="G56:G72" si="34">+I$12*((D56+F56)/2)+E56</f>
        <v>3178.3262394488152</v>
      </c>
      <c r="H56" s="364">
        <f t="shared" ref="H56:H72" si="35">+I$13*((D56+F56)/2)+E56</f>
        <v>3178.3262394488152</v>
      </c>
      <c r="I56" s="52">
        <f t="shared" si="30"/>
        <v>0</v>
      </c>
      <c r="J56" s="52"/>
      <c r="K56" s="129"/>
      <c r="L56" s="54">
        <f t="shared" si="31"/>
        <v>0</v>
      </c>
      <c r="M56" s="129"/>
      <c r="N56" s="54">
        <f t="shared" si="32"/>
        <v>0</v>
      </c>
      <c r="O56" s="54">
        <f t="shared" si="33"/>
        <v>0</v>
      </c>
      <c r="P56" s="1"/>
    </row>
    <row r="57" spans="2:17" ht="12.5">
      <c r="B57" s="7" t="str">
        <f t="shared" si="5"/>
        <v/>
      </c>
      <c r="C57" s="50">
        <f>IF(D11="","-",+C56+1)</f>
        <v>2050</v>
      </c>
      <c r="D57" s="55">
        <f>IF(F56+SUM(E$17:E56)=D$10,F56,D$10-SUM(E$17:E56))</f>
        <v>8688.5636127911057</v>
      </c>
      <c r="E57" s="378">
        <f>IF(+I14&lt;F56,I14,D57)</f>
        <v>2019.1363636363637</v>
      </c>
      <c r="F57" s="55">
        <f t="shared" si="29"/>
        <v>6669.4272491547417</v>
      </c>
      <c r="G57" s="379">
        <f t="shared" si="34"/>
        <v>2936.9846614850012</v>
      </c>
      <c r="H57" s="364">
        <f t="shared" si="35"/>
        <v>2936.9846614850012</v>
      </c>
      <c r="I57" s="52">
        <f t="shared" si="30"/>
        <v>0</v>
      </c>
      <c r="J57" s="52"/>
      <c r="K57" s="129"/>
      <c r="L57" s="54">
        <f t="shared" si="31"/>
        <v>0</v>
      </c>
      <c r="M57" s="129"/>
      <c r="N57" s="54">
        <f t="shared" si="32"/>
        <v>0</v>
      </c>
      <c r="O57" s="54">
        <f t="shared" si="33"/>
        <v>0</v>
      </c>
      <c r="P57" s="1"/>
    </row>
    <row r="58" spans="2:17" ht="12.5">
      <c r="B58" s="7" t="str">
        <f t="shared" si="5"/>
        <v/>
      </c>
      <c r="C58" s="50">
        <f>IF(D11="","-",+C57+1)</f>
        <v>2051</v>
      </c>
      <c r="D58" s="55">
        <f>IF(F57+SUM(E$17:E57)=D$10,F57,D$10-SUM(E$17:E57))</f>
        <v>6669.4272491547417</v>
      </c>
      <c r="E58" s="378">
        <f>IF(+I14&lt;F57,I14,D58)</f>
        <v>2019.1363636363637</v>
      </c>
      <c r="F58" s="55">
        <f t="shared" si="29"/>
        <v>4650.2908855183778</v>
      </c>
      <c r="G58" s="379">
        <f t="shared" si="34"/>
        <v>2695.6430835211868</v>
      </c>
      <c r="H58" s="364">
        <f t="shared" si="35"/>
        <v>2695.6430835211868</v>
      </c>
      <c r="I58" s="52">
        <f t="shared" si="30"/>
        <v>0</v>
      </c>
      <c r="J58" s="52"/>
      <c r="K58" s="129"/>
      <c r="L58" s="54">
        <f t="shared" si="31"/>
        <v>0</v>
      </c>
      <c r="M58" s="129"/>
      <c r="N58" s="54">
        <f t="shared" si="32"/>
        <v>0</v>
      </c>
      <c r="O58" s="54">
        <f t="shared" si="33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5"/>
        <v/>
      </c>
      <c r="C59" s="50">
        <f>IF(D11="","-",+C58+1)</f>
        <v>2052</v>
      </c>
      <c r="D59" s="55">
        <f>IF(F58+SUM(E$17:E58)=D$10,F58,D$10-SUM(E$17:E58))</f>
        <v>4650.2908855183778</v>
      </c>
      <c r="E59" s="378">
        <f>IF(+I14&lt;F58,I14,D59)</f>
        <v>2019.1363636363637</v>
      </c>
      <c r="F59" s="55">
        <f t="shared" si="29"/>
        <v>2631.1545218820138</v>
      </c>
      <c r="G59" s="379">
        <f t="shared" si="34"/>
        <v>2454.3015055573728</v>
      </c>
      <c r="H59" s="364">
        <f t="shared" si="35"/>
        <v>2454.3015055573728</v>
      </c>
      <c r="I59" s="52">
        <f t="shared" si="30"/>
        <v>0</v>
      </c>
      <c r="J59" s="52"/>
      <c r="K59" s="129"/>
      <c r="L59" s="54">
        <f t="shared" si="31"/>
        <v>0</v>
      </c>
      <c r="M59" s="129"/>
      <c r="N59" s="54">
        <f t="shared" si="32"/>
        <v>0</v>
      </c>
      <c r="O59" s="54">
        <f t="shared" si="33"/>
        <v>0</v>
      </c>
      <c r="P59" s="1"/>
    </row>
    <row r="60" spans="2:17" ht="12.5">
      <c r="B60" s="7" t="str">
        <f t="shared" si="5"/>
        <v/>
      </c>
      <c r="C60" s="50">
        <f>IF(D11="","-",+C59+1)</f>
        <v>2053</v>
      </c>
      <c r="D60" s="55">
        <f>IF(F59+SUM(E$17:E59)=D$10,F59,D$10-SUM(E$17:E59))</f>
        <v>2631.1545218820138</v>
      </c>
      <c r="E60" s="378">
        <f>IF(+I14&lt;F59,I14,D60)</f>
        <v>2019.1363636363637</v>
      </c>
      <c r="F60" s="55">
        <f t="shared" si="29"/>
        <v>612.01815824565006</v>
      </c>
      <c r="G60" s="379">
        <f t="shared" si="34"/>
        <v>2212.9599275935589</v>
      </c>
      <c r="H60" s="364">
        <f t="shared" si="35"/>
        <v>2212.9599275935589</v>
      </c>
      <c r="I60" s="52">
        <f t="shared" si="30"/>
        <v>0</v>
      </c>
      <c r="J60" s="52"/>
      <c r="K60" s="129"/>
      <c r="L60" s="54">
        <f t="shared" si="31"/>
        <v>0</v>
      </c>
      <c r="M60" s="129"/>
      <c r="N60" s="54">
        <f t="shared" si="32"/>
        <v>0</v>
      </c>
      <c r="O60" s="54">
        <f t="shared" si="33"/>
        <v>0</v>
      </c>
      <c r="P60" s="1"/>
    </row>
    <row r="61" spans="2:17" ht="12.5">
      <c r="B61" s="7" t="str">
        <f t="shared" si="5"/>
        <v/>
      </c>
      <c r="C61" s="50">
        <f>IF(D11="","-",+C60+1)</f>
        <v>2054</v>
      </c>
      <c r="D61" s="55">
        <f>IF(F60+SUM(E$17:E60)=D$10,F60,D$10-SUM(E$17:E60))</f>
        <v>612.01815824565006</v>
      </c>
      <c r="E61" s="378">
        <f>IF(+I14&lt;F60,I14,D61)</f>
        <v>612.01815824565006</v>
      </c>
      <c r="F61" s="55">
        <f t="shared" si="29"/>
        <v>0</v>
      </c>
      <c r="G61" s="380">
        <f t="shared" si="34"/>
        <v>648.59454573329413</v>
      </c>
      <c r="H61" s="364">
        <f t="shared" si="35"/>
        <v>648.59454573329413</v>
      </c>
      <c r="I61" s="52">
        <f t="shared" si="30"/>
        <v>0</v>
      </c>
      <c r="J61" s="52"/>
      <c r="K61" s="129"/>
      <c r="L61" s="54">
        <f t="shared" si="31"/>
        <v>0</v>
      </c>
      <c r="M61" s="129"/>
      <c r="N61" s="54">
        <f t="shared" si="32"/>
        <v>0</v>
      </c>
      <c r="O61" s="54">
        <f t="shared" si="33"/>
        <v>0</v>
      </c>
      <c r="P61" s="1"/>
    </row>
    <row r="62" spans="2:17" ht="12.5">
      <c r="B62" s="7" t="str">
        <f t="shared" si="5"/>
        <v/>
      </c>
      <c r="C62" s="50">
        <f>IF(D11="","-",+C61+1)</f>
        <v>2055</v>
      </c>
      <c r="D62" s="55">
        <f>IF(F61+SUM(E$17:E61)=D$10,F61,D$10-SUM(E$17:E61))</f>
        <v>0</v>
      </c>
      <c r="E62" s="378">
        <f>IF(+I14&lt;F61,I14,D62)</f>
        <v>0</v>
      </c>
      <c r="F62" s="55">
        <f t="shared" si="29"/>
        <v>0</v>
      </c>
      <c r="G62" s="380">
        <f t="shared" si="34"/>
        <v>0</v>
      </c>
      <c r="H62" s="364">
        <f t="shared" si="35"/>
        <v>0</v>
      </c>
      <c r="I62" s="52">
        <f t="shared" si="30"/>
        <v>0</v>
      </c>
      <c r="J62" s="52"/>
      <c r="K62" s="129"/>
      <c r="L62" s="54">
        <f t="shared" si="31"/>
        <v>0</v>
      </c>
      <c r="M62" s="129"/>
      <c r="N62" s="54">
        <f t="shared" si="32"/>
        <v>0</v>
      </c>
      <c r="O62" s="54">
        <f t="shared" si="33"/>
        <v>0</v>
      </c>
      <c r="P62" s="1"/>
    </row>
    <row r="63" spans="2:17" ht="12.5">
      <c r="B63" s="7" t="str">
        <f t="shared" si="5"/>
        <v/>
      </c>
      <c r="C63" s="50">
        <f>IF(D11="","-",+C62+1)</f>
        <v>2056</v>
      </c>
      <c r="D63" s="55">
        <f>IF(F62+SUM(E$17:E62)=D$10,F62,D$10-SUM(E$17:E62))</f>
        <v>0</v>
      </c>
      <c r="E63" s="378">
        <f>IF(+I14&lt;F62,I14,D63)</f>
        <v>0</v>
      </c>
      <c r="F63" s="55">
        <f t="shared" si="29"/>
        <v>0</v>
      </c>
      <c r="G63" s="380">
        <f t="shared" si="34"/>
        <v>0</v>
      </c>
      <c r="H63" s="364">
        <f t="shared" si="35"/>
        <v>0</v>
      </c>
      <c r="I63" s="52">
        <f t="shared" si="30"/>
        <v>0</v>
      </c>
      <c r="J63" s="52"/>
      <c r="K63" s="129"/>
      <c r="L63" s="54">
        <f t="shared" si="31"/>
        <v>0</v>
      </c>
      <c r="M63" s="129"/>
      <c r="N63" s="54">
        <f t="shared" si="32"/>
        <v>0</v>
      </c>
      <c r="O63" s="54">
        <f t="shared" si="33"/>
        <v>0</v>
      </c>
      <c r="P63" s="1"/>
    </row>
    <row r="64" spans="2:17" ht="12.5">
      <c r="B64" s="7" t="str">
        <f t="shared" si="5"/>
        <v/>
      </c>
      <c r="C64" s="50">
        <f>IF(D11="","-",+C63+1)</f>
        <v>2057</v>
      </c>
      <c r="D64" s="55">
        <f>IF(F63+SUM(E$17:E63)=D$10,F63,D$10-SUM(E$17:E63))</f>
        <v>0</v>
      </c>
      <c r="E64" s="378">
        <f>IF(+I14&lt;F63,I14,D64)</f>
        <v>0</v>
      </c>
      <c r="F64" s="55">
        <f t="shared" si="29"/>
        <v>0</v>
      </c>
      <c r="G64" s="380">
        <f t="shared" si="34"/>
        <v>0</v>
      </c>
      <c r="H64" s="364">
        <f t="shared" si="35"/>
        <v>0</v>
      </c>
      <c r="I64" s="52">
        <f t="shared" si="30"/>
        <v>0</v>
      </c>
      <c r="J64" s="52"/>
      <c r="K64" s="129"/>
      <c r="L64" s="54">
        <f t="shared" si="31"/>
        <v>0</v>
      </c>
      <c r="M64" s="129"/>
      <c r="N64" s="54">
        <f t="shared" si="32"/>
        <v>0</v>
      </c>
      <c r="O64" s="54">
        <f t="shared" si="33"/>
        <v>0</v>
      </c>
      <c r="P64" s="1"/>
    </row>
    <row r="65" spans="1:16" ht="12.5">
      <c r="B65" s="7" t="str">
        <f t="shared" si="5"/>
        <v/>
      </c>
      <c r="C65" s="50">
        <f>IF(D11="","-",+C64+1)</f>
        <v>2058</v>
      </c>
      <c r="D65" s="55">
        <f>IF(F64+SUM(E$17:E64)=D$10,F64,D$10-SUM(E$17:E64))</f>
        <v>0</v>
      </c>
      <c r="E65" s="378">
        <f>IF(+I14&lt;F64,I14,D65)</f>
        <v>0</v>
      </c>
      <c r="F65" s="55">
        <f t="shared" si="29"/>
        <v>0</v>
      </c>
      <c r="G65" s="380">
        <f t="shared" si="34"/>
        <v>0</v>
      </c>
      <c r="H65" s="364">
        <f t="shared" si="35"/>
        <v>0</v>
      </c>
      <c r="I65" s="52">
        <f t="shared" si="30"/>
        <v>0</v>
      </c>
      <c r="J65" s="52"/>
      <c r="K65" s="129"/>
      <c r="L65" s="54">
        <f t="shared" si="31"/>
        <v>0</v>
      </c>
      <c r="M65" s="129"/>
      <c r="N65" s="54">
        <f t="shared" si="32"/>
        <v>0</v>
      </c>
      <c r="O65" s="54">
        <f t="shared" si="33"/>
        <v>0</v>
      </c>
      <c r="P65" s="1"/>
    </row>
    <row r="66" spans="1:16" ht="12.5">
      <c r="B66" s="7" t="str">
        <f t="shared" si="5"/>
        <v/>
      </c>
      <c r="C66" s="50">
        <f>IF(D11="","-",+C65+1)</f>
        <v>2059</v>
      </c>
      <c r="D66" s="55">
        <f>IF(F65+SUM(E$17:E65)=D$10,F65,D$10-SUM(E$17:E65))</f>
        <v>0</v>
      </c>
      <c r="E66" s="378">
        <f>IF(+I14&lt;F65,I14,D66)</f>
        <v>0</v>
      </c>
      <c r="F66" s="55">
        <f t="shared" si="29"/>
        <v>0</v>
      </c>
      <c r="G66" s="380">
        <f t="shared" si="34"/>
        <v>0</v>
      </c>
      <c r="H66" s="364">
        <f t="shared" si="35"/>
        <v>0</v>
      </c>
      <c r="I66" s="52">
        <f t="shared" si="30"/>
        <v>0</v>
      </c>
      <c r="J66" s="52"/>
      <c r="K66" s="129"/>
      <c r="L66" s="54">
        <f t="shared" si="31"/>
        <v>0</v>
      </c>
      <c r="M66" s="129"/>
      <c r="N66" s="54">
        <f t="shared" si="32"/>
        <v>0</v>
      </c>
      <c r="O66" s="54">
        <f t="shared" si="33"/>
        <v>0</v>
      </c>
      <c r="P66" s="1"/>
    </row>
    <row r="67" spans="1:16" ht="12.5">
      <c r="B67" s="7" t="str">
        <f t="shared" si="5"/>
        <v/>
      </c>
      <c r="C67" s="50">
        <f>IF(D11="","-",+C66+1)</f>
        <v>2060</v>
      </c>
      <c r="D67" s="55">
        <f>IF(F66+SUM(E$17:E66)=D$10,F66,D$10-SUM(E$17:E66))</f>
        <v>0</v>
      </c>
      <c r="E67" s="378">
        <f>IF(+I14&lt;F66,I14,D67)</f>
        <v>0</v>
      </c>
      <c r="F67" s="55">
        <f t="shared" si="29"/>
        <v>0</v>
      </c>
      <c r="G67" s="380">
        <f t="shared" si="34"/>
        <v>0</v>
      </c>
      <c r="H67" s="364">
        <f t="shared" si="35"/>
        <v>0</v>
      </c>
      <c r="I67" s="52">
        <f t="shared" si="30"/>
        <v>0</v>
      </c>
      <c r="J67" s="52"/>
      <c r="K67" s="129"/>
      <c r="L67" s="54">
        <f t="shared" si="31"/>
        <v>0</v>
      </c>
      <c r="M67" s="129"/>
      <c r="N67" s="54">
        <f t="shared" si="32"/>
        <v>0</v>
      </c>
      <c r="O67" s="54">
        <f t="shared" si="33"/>
        <v>0</v>
      </c>
      <c r="P67" s="1"/>
    </row>
    <row r="68" spans="1:16" ht="12.5">
      <c r="B68" s="7" t="str">
        <f t="shared" si="5"/>
        <v/>
      </c>
      <c r="C68" s="50">
        <f>IF(D11="","-",+C67+1)</f>
        <v>2061</v>
      </c>
      <c r="D68" s="55">
        <f>IF(F67+SUM(E$17:E67)=D$10,F67,D$10-SUM(E$17:E67))</f>
        <v>0</v>
      </c>
      <c r="E68" s="378">
        <f>IF(+I14&lt;F67,I14,D68)</f>
        <v>0</v>
      </c>
      <c r="F68" s="55">
        <f t="shared" si="29"/>
        <v>0</v>
      </c>
      <c r="G68" s="380">
        <f t="shared" si="34"/>
        <v>0</v>
      </c>
      <c r="H68" s="364">
        <f t="shared" si="35"/>
        <v>0</v>
      </c>
      <c r="I68" s="52">
        <f t="shared" si="30"/>
        <v>0</v>
      </c>
      <c r="J68" s="52"/>
      <c r="K68" s="129"/>
      <c r="L68" s="54">
        <f t="shared" si="31"/>
        <v>0</v>
      </c>
      <c r="M68" s="129"/>
      <c r="N68" s="54">
        <f t="shared" si="32"/>
        <v>0</v>
      </c>
      <c r="O68" s="54">
        <f t="shared" si="33"/>
        <v>0</v>
      </c>
      <c r="P68" s="1"/>
    </row>
    <row r="69" spans="1:16" ht="12.5">
      <c r="B69" s="7" t="str">
        <f t="shared" si="5"/>
        <v/>
      </c>
      <c r="C69" s="50">
        <f>IF(D11="","-",+C68+1)</f>
        <v>2062</v>
      </c>
      <c r="D69" s="55">
        <f>IF(F68+SUM(E$17:E68)=D$10,F68,D$10-SUM(E$17:E68))</f>
        <v>0</v>
      </c>
      <c r="E69" s="378">
        <f>IF(+I14&lt;F68,I14,D69)</f>
        <v>0</v>
      </c>
      <c r="F69" s="55">
        <f t="shared" si="29"/>
        <v>0</v>
      </c>
      <c r="G69" s="380">
        <f t="shared" si="34"/>
        <v>0</v>
      </c>
      <c r="H69" s="364">
        <f t="shared" si="35"/>
        <v>0</v>
      </c>
      <c r="I69" s="52">
        <f t="shared" si="30"/>
        <v>0</v>
      </c>
      <c r="J69" s="52"/>
      <c r="K69" s="129"/>
      <c r="L69" s="54">
        <f t="shared" si="31"/>
        <v>0</v>
      </c>
      <c r="M69" s="129"/>
      <c r="N69" s="54">
        <f t="shared" si="32"/>
        <v>0</v>
      </c>
      <c r="O69" s="54">
        <f t="shared" si="33"/>
        <v>0</v>
      </c>
      <c r="P69" s="1"/>
    </row>
    <row r="70" spans="1:16" ht="12.5">
      <c r="B70" s="7" t="str">
        <f t="shared" si="5"/>
        <v/>
      </c>
      <c r="C70" s="50">
        <f>IF(D11="","-",+C69+1)</f>
        <v>2063</v>
      </c>
      <c r="D70" s="55">
        <f>IF(F69+SUM(E$17:E69)=D$10,F69,D$10-SUM(E$17:E69))</f>
        <v>0</v>
      </c>
      <c r="E70" s="378">
        <f>IF(+I14&lt;F69,I14,D70)</f>
        <v>0</v>
      </c>
      <c r="F70" s="55">
        <f t="shared" si="29"/>
        <v>0</v>
      </c>
      <c r="G70" s="380">
        <f t="shared" si="34"/>
        <v>0</v>
      </c>
      <c r="H70" s="364">
        <f t="shared" si="35"/>
        <v>0</v>
      </c>
      <c r="I70" s="52">
        <f t="shared" si="30"/>
        <v>0</v>
      </c>
      <c r="J70" s="52"/>
      <c r="K70" s="129"/>
      <c r="L70" s="54">
        <f t="shared" si="31"/>
        <v>0</v>
      </c>
      <c r="M70" s="129"/>
      <c r="N70" s="54">
        <f t="shared" si="32"/>
        <v>0</v>
      </c>
      <c r="O70" s="54">
        <f t="shared" si="33"/>
        <v>0</v>
      </c>
      <c r="P70" s="1"/>
    </row>
    <row r="71" spans="1:16" ht="12.5">
      <c r="B71" s="7" t="str">
        <f t="shared" si="5"/>
        <v/>
      </c>
      <c r="C71" s="50">
        <f>IF(D11="","-",+C70+1)</f>
        <v>2064</v>
      </c>
      <c r="D71" s="55">
        <f>IF(F70+SUM(E$17:E70)=D$10,F70,D$10-SUM(E$17:E70))</f>
        <v>0</v>
      </c>
      <c r="E71" s="378">
        <f>IF(+I14&lt;F70,I14,D71)</f>
        <v>0</v>
      </c>
      <c r="F71" s="55">
        <f t="shared" si="29"/>
        <v>0</v>
      </c>
      <c r="G71" s="380">
        <f t="shared" si="34"/>
        <v>0</v>
      </c>
      <c r="H71" s="364">
        <f t="shared" si="35"/>
        <v>0</v>
      </c>
      <c r="I71" s="52">
        <f t="shared" si="30"/>
        <v>0</v>
      </c>
      <c r="J71" s="52"/>
      <c r="K71" s="129"/>
      <c r="L71" s="54">
        <f t="shared" si="31"/>
        <v>0</v>
      </c>
      <c r="M71" s="129"/>
      <c r="N71" s="54">
        <f t="shared" si="32"/>
        <v>0</v>
      </c>
      <c r="O71" s="54">
        <f t="shared" si="33"/>
        <v>0</v>
      </c>
      <c r="P71" s="1"/>
    </row>
    <row r="72" spans="1:16" ht="13" thickBot="1">
      <c r="B72" s="7" t="str">
        <f t="shared" si="5"/>
        <v/>
      </c>
      <c r="C72" s="59">
        <f>IF(D11="","-",+C71+1)</f>
        <v>2065</v>
      </c>
      <c r="D72" s="60">
        <f>IF(F71+SUM(E$17:E71)=D$10,F71,D$10-SUM(E$17:E71))</f>
        <v>0</v>
      </c>
      <c r="E72" s="381">
        <f>IF(+I14&lt;F71,I14,D72)</f>
        <v>0</v>
      </c>
      <c r="F72" s="60">
        <f t="shared" si="29"/>
        <v>0</v>
      </c>
      <c r="G72" s="382">
        <f t="shared" si="34"/>
        <v>0</v>
      </c>
      <c r="H72" s="362">
        <f t="shared" si="35"/>
        <v>0</v>
      </c>
      <c r="I72" s="63">
        <f t="shared" si="30"/>
        <v>0</v>
      </c>
      <c r="J72" s="52"/>
      <c r="K72" s="130"/>
      <c r="L72" s="64">
        <f t="shared" si="31"/>
        <v>0</v>
      </c>
      <c r="M72" s="130"/>
      <c r="N72" s="64">
        <f t="shared" si="32"/>
        <v>0</v>
      </c>
      <c r="O72" s="64">
        <f t="shared" si="33"/>
        <v>0</v>
      </c>
      <c r="P72" s="1"/>
    </row>
    <row r="73" spans="1:16" ht="12.5">
      <c r="C73" s="12" t="s">
        <v>78</v>
      </c>
      <c r="D73" s="293"/>
      <c r="E73" s="293">
        <f>SUM(E17:E72)</f>
        <v>88842.000000000029</v>
      </c>
      <c r="F73" s="293"/>
      <c r="G73" s="293">
        <f>SUM(G17:G72)</f>
        <v>338269.99270079349</v>
      </c>
      <c r="H73" s="293">
        <f>SUM(H17:H72)</f>
        <v>338269.99270079349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7.5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25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9211.8656885441596</v>
      </c>
      <c r="N87" s="387">
        <f>IF(J92&lt;D11,0,VLOOKUP(J92,C17:O72,11))</f>
        <v>9211.8656885441596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9550.0734743021076</v>
      </c>
      <c r="N88" s="390">
        <f>IF(J92&lt;D11,0,VLOOKUP(J92,C99:P154,7))</f>
        <v>9550.0734743021076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27" t="str">
        <f>D7</f>
        <v>Replace switch at Diana*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338.20778575794793</v>
      </c>
      <c r="N89" s="392">
        <f>+N88-N87</f>
        <v>338.20778575794793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>DOES NOT MEET SPP $100,000 MINIMUM INVESTMENT FOR REGIONAL BPU SHARING.</v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TP2009012</v>
      </c>
      <c r="E91" s="76" t="str">
        <f>E9</f>
        <v xml:space="preserve">SPP Project ID = </v>
      </c>
      <c r="F91" s="463">
        <f>F9</f>
        <v>613</v>
      </c>
      <c r="G91" s="76"/>
      <c r="H91" s="76"/>
      <c r="I91" s="76"/>
      <c r="J91" s="95"/>
      <c r="Q91" s="1"/>
    </row>
    <row r="92" spans="1:17" ht="13">
      <c r="C92" s="34" t="s">
        <v>51</v>
      </c>
      <c r="D92" s="363">
        <f>IF(D11=I10,0,D10)</f>
        <v>88842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  <c r="Q92" s="1"/>
    </row>
    <row r="93" spans="1:17" ht="12.5">
      <c r="C93" s="34" t="s">
        <v>54</v>
      </c>
      <c r="D93" s="88">
        <f>IF(D11=I10,"",D11)</f>
        <v>2010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4">
        <f>IF(D11=I10,"",D12)</f>
        <v>12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2019.1363636363637</v>
      </c>
      <c r="K96" s="293"/>
      <c r="L96" s="293"/>
      <c r="M96" s="293"/>
      <c r="N96" s="293"/>
      <c r="O96" s="293"/>
      <c r="P96" s="1"/>
      <c r="Q96" s="1"/>
    </row>
    <row r="97" spans="1:17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 ht="12.5">
      <c r="C99" s="50">
        <f>IF(D93= "","-",D93)</f>
        <v>2010</v>
      </c>
      <c r="D99" s="133">
        <v>0</v>
      </c>
      <c r="E99" s="376">
        <v>0</v>
      </c>
      <c r="F99" s="137">
        <v>88842</v>
      </c>
      <c r="G99" s="140">
        <v>44421</v>
      </c>
      <c r="H99" s="397">
        <v>7333.2888535266693</v>
      </c>
      <c r="I99" s="398">
        <v>7333.2888535266693</v>
      </c>
      <c r="J99" s="54">
        <f t="shared" ref="J99:J130" si="36">+I99-H99</f>
        <v>0</v>
      </c>
      <c r="K99" s="54"/>
      <c r="L99" s="112">
        <f t="shared" ref="L99:L104" si="37">H99</f>
        <v>7333.2888535266693</v>
      </c>
      <c r="M99" s="53">
        <f t="shared" ref="M99:M130" si="38">IF(L99&lt;&gt;0,+H99-L99,0)</f>
        <v>0</v>
      </c>
      <c r="N99" s="112">
        <f t="shared" ref="N99:N104" si="39">I99</f>
        <v>7333.2888535266693</v>
      </c>
      <c r="O99" s="53">
        <f t="shared" ref="O99:O130" si="40">IF(N99&lt;&gt;0,+I99-N99,0)</f>
        <v>0</v>
      </c>
      <c r="P99" s="53">
        <f t="shared" ref="P99:P130" si="41">+O99-M99</f>
        <v>0</v>
      </c>
      <c r="Q99" s="1"/>
    </row>
    <row r="100" spans="1:17" ht="12.5">
      <c r="B100" s="7" t="str">
        <f>IF(D100=F99,"","IU")</f>
        <v/>
      </c>
      <c r="C100" s="50">
        <f>IF(D93="","-",+C99+1)</f>
        <v>2011</v>
      </c>
      <c r="D100" s="133">
        <v>88842</v>
      </c>
      <c r="E100" s="376">
        <v>2115.2857142857142</v>
      </c>
      <c r="F100" s="137">
        <v>86726.71428571429</v>
      </c>
      <c r="G100" s="137">
        <v>87784.357142857145</v>
      </c>
      <c r="H100" s="376">
        <v>15316.288674280955</v>
      </c>
      <c r="I100" s="375">
        <v>15316.288674280955</v>
      </c>
      <c r="J100" s="54">
        <f t="shared" si="36"/>
        <v>0</v>
      </c>
      <c r="K100" s="54"/>
      <c r="L100" s="113">
        <f t="shared" si="37"/>
        <v>15316.288674280955</v>
      </c>
      <c r="M100" s="54">
        <f t="shared" si="38"/>
        <v>0</v>
      </c>
      <c r="N100" s="113">
        <f t="shared" si="39"/>
        <v>15316.288674280955</v>
      </c>
      <c r="O100" s="54">
        <f t="shared" si="40"/>
        <v>0</v>
      </c>
      <c r="P100" s="54">
        <f t="shared" si="41"/>
        <v>0</v>
      </c>
      <c r="Q100" s="1"/>
    </row>
    <row r="101" spans="1:17" ht="12.5">
      <c r="B101" s="7" t="str">
        <f t="shared" ref="B101:B154" si="42">IF(D101=F100,"","IU")</f>
        <v/>
      </c>
      <c r="C101" s="50">
        <f>IF(D93="","-",+C100+1)</f>
        <v>2012</v>
      </c>
      <c r="D101" s="133">
        <v>86726.71428571429</v>
      </c>
      <c r="E101" s="376">
        <v>2115.2857142857142</v>
      </c>
      <c r="F101" s="137">
        <v>84611.42857142858</v>
      </c>
      <c r="G101" s="137">
        <v>85669.071428571435</v>
      </c>
      <c r="H101" s="376">
        <v>14721.826408325345</v>
      </c>
      <c r="I101" s="375">
        <v>14721.826408325345</v>
      </c>
      <c r="J101" s="54">
        <f t="shared" si="36"/>
        <v>0</v>
      </c>
      <c r="K101" s="54"/>
      <c r="L101" s="113">
        <f t="shared" si="37"/>
        <v>14721.826408325345</v>
      </c>
      <c r="M101" s="54">
        <f t="shared" si="38"/>
        <v>0</v>
      </c>
      <c r="N101" s="113">
        <f t="shared" si="39"/>
        <v>14721.826408325345</v>
      </c>
      <c r="O101" s="54">
        <f t="shared" si="40"/>
        <v>0</v>
      </c>
      <c r="P101" s="54">
        <f t="shared" si="41"/>
        <v>0</v>
      </c>
      <c r="Q101" s="1"/>
    </row>
    <row r="102" spans="1:17" ht="12.5">
      <c r="B102" s="7" t="str">
        <f t="shared" si="42"/>
        <v/>
      </c>
      <c r="C102" s="50">
        <f>IF(D93="","-",+C101+1)</f>
        <v>2013</v>
      </c>
      <c r="D102" s="133">
        <v>84611.42857142858</v>
      </c>
      <c r="E102" s="376">
        <v>2115.2857142857142</v>
      </c>
      <c r="F102" s="137">
        <v>82496.14285714287</v>
      </c>
      <c r="G102" s="137">
        <v>83553.785714285725</v>
      </c>
      <c r="H102" s="376">
        <v>13419.419617970232</v>
      </c>
      <c r="I102" s="375">
        <v>13419.419617970232</v>
      </c>
      <c r="J102" s="54">
        <v>0</v>
      </c>
      <c r="K102" s="54"/>
      <c r="L102" s="113">
        <f t="shared" si="37"/>
        <v>13419.419617970232</v>
      </c>
      <c r="M102" s="54">
        <f t="shared" ref="M102:M107" si="43">IF(L102&lt;&gt;0,+H102-L102,0)</f>
        <v>0</v>
      </c>
      <c r="N102" s="113">
        <f t="shared" si="39"/>
        <v>13419.419617970232</v>
      </c>
      <c r="O102" s="54">
        <f>IF(N102&lt;&gt;0,+I102-N102,0)</f>
        <v>0</v>
      </c>
      <c r="P102" s="54">
        <f>+O102-M102</f>
        <v>0</v>
      </c>
      <c r="Q102" s="1"/>
    </row>
    <row r="103" spans="1:17" ht="12.5">
      <c r="B103" s="7" t="str">
        <f t="shared" si="42"/>
        <v/>
      </c>
      <c r="C103" s="50">
        <f>IF(D93="","-",+C102+1)</f>
        <v>2014</v>
      </c>
      <c r="D103" s="133">
        <v>82496.14285714287</v>
      </c>
      <c r="E103" s="376">
        <v>2115.2857142857142</v>
      </c>
      <c r="F103" s="137">
        <v>80380.857142857159</v>
      </c>
      <c r="G103" s="137">
        <v>81438.500000000015</v>
      </c>
      <c r="H103" s="376">
        <v>13184.68839231506</v>
      </c>
      <c r="I103" s="375">
        <v>13184.68839231506</v>
      </c>
      <c r="J103" s="54">
        <v>0</v>
      </c>
      <c r="K103" s="54"/>
      <c r="L103" s="113">
        <f t="shared" si="37"/>
        <v>13184.68839231506</v>
      </c>
      <c r="M103" s="54">
        <f t="shared" si="43"/>
        <v>0</v>
      </c>
      <c r="N103" s="113">
        <f t="shared" si="39"/>
        <v>13184.68839231506</v>
      </c>
      <c r="O103" s="54">
        <f>IF(N103&lt;&gt;0,+I103-N103,0)</f>
        <v>0</v>
      </c>
      <c r="P103" s="54">
        <f>+O103-M103</f>
        <v>0</v>
      </c>
      <c r="Q103" s="1"/>
    </row>
    <row r="104" spans="1:17" ht="12.5">
      <c r="B104" s="7" t="str">
        <f t="shared" si="42"/>
        <v/>
      </c>
      <c r="C104" s="50">
        <f>IF(D93="","-",+C103+1)</f>
        <v>2015</v>
      </c>
      <c r="D104" s="133">
        <v>80380.857142857159</v>
      </c>
      <c r="E104" s="376">
        <v>2115.2857142857142</v>
      </c>
      <c r="F104" s="137">
        <v>78265.571428571449</v>
      </c>
      <c r="G104" s="137">
        <v>79323.214285714304</v>
      </c>
      <c r="H104" s="376">
        <v>12567.616650151769</v>
      </c>
      <c r="I104" s="375">
        <v>12567.616650151769</v>
      </c>
      <c r="J104" s="54">
        <f t="shared" si="36"/>
        <v>0</v>
      </c>
      <c r="K104" s="54"/>
      <c r="L104" s="113">
        <f t="shared" si="37"/>
        <v>12567.616650151769</v>
      </c>
      <c r="M104" s="54">
        <f t="shared" si="43"/>
        <v>0</v>
      </c>
      <c r="N104" s="113">
        <f t="shared" si="39"/>
        <v>12567.616650151769</v>
      </c>
      <c r="O104" s="54">
        <f>IF(N104&lt;&gt;0,+I104-N104,0)</f>
        <v>0</v>
      </c>
      <c r="P104" s="54">
        <f>+O104-M104</f>
        <v>0</v>
      </c>
      <c r="Q104" s="1"/>
    </row>
    <row r="105" spans="1:17" ht="12.5">
      <c r="B105" s="7" t="str">
        <f t="shared" si="42"/>
        <v/>
      </c>
      <c r="C105" s="50">
        <f>IF(D93="","-",+C104+1)</f>
        <v>2016</v>
      </c>
      <c r="D105" s="133">
        <v>78265.571428571449</v>
      </c>
      <c r="E105" s="376">
        <v>2066.0930232558139</v>
      </c>
      <c r="F105" s="137">
        <v>76199.478405315633</v>
      </c>
      <c r="G105" s="137">
        <v>77232.524916943541</v>
      </c>
      <c r="H105" s="376">
        <v>11870.761156942419</v>
      </c>
      <c r="I105" s="375">
        <v>11870.761156942419</v>
      </c>
      <c r="J105" s="54">
        <f t="shared" si="36"/>
        <v>0</v>
      </c>
      <c r="K105" s="54"/>
      <c r="L105" s="113">
        <f t="shared" ref="L105:L110" si="44">H105</f>
        <v>11870.761156942419</v>
      </c>
      <c r="M105" s="54">
        <f t="shared" si="43"/>
        <v>0</v>
      </c>
      <c r="N105" s="113">
        <f t="shared" ref="N105:N110" si="45">I105</f>
        <v>11870.761156942419</v>
      </c>
      <c r="O105" s="54">
        <f>IF(N105&lt;&gt;0,+I105-N105,0)</f>
        <v>0</v>
      </c>
      <c r="P105" s="54">
        <f>+O105-M105</f>
        <v>0</v>
      </c>
      <c r="Q105" s="1"/>
    </row>
    <row r="106" spans="1:17" ht="12.5">
      <c r="B106" s="7" t="str">
        <f t="shared" si="42"/>
        <v/>
      </c>
      <c r="C106" s="50">
        <f>IF(D93="","-",+C105+1)</f>
        <v>2017</v>
      </c>
      <c r="D106" s="133">
        <v>76199.478405315633</v>
      </c>
      <c r="E106" s="376">
        <v>2115.2857142857142</v>
      </c>
      <c r="F106" s="137">
        <v>74084.192691029923</v>
      </c>
      <c r="G106" s="137">
        <v>75141.835548172778</v>
      </c>
      <c r="H106" s="376">
        <v>11242.874011372322</v>
      </c>
      <c r="I106" s="375">
        <v>11242.874011372322</v>
      </c>
      <c r="J106" s="54">
        <f t="shared" si="36"/>
        <v>0</v>
      </c>
      <c r="K106" s="54"/>
      <c r="L106" s="113">
        <f t="shared" si="44"/>
        <v>11242.874011372322</v>
      </c>
      <c r="M106" s="54">
        <f t="shared" si="43"/>
        <v>0</v>
      </c>
      <c r="N106" s="113">
        <f t="shared" si="45"/>
        <v>11242.874011372322</v>
      </c>
      <c r="O106" s="54">
        <f>IF(N106&lt;&gt;0,+I106-N106,0)</f>
        <v>0</v>
      </c>
      <c r="P106" s="54">
        <f>+O106-M106</f>
        <v>0</v>
      </c>
      <c r="Q106" s="1"/>
    </row>
    <row r="107" spans="1:17" ht="12.5">
      <c r="B107" s="7" t="str">
        <f t="shared" si="42"/>
        <v/>
      </c>
      <c r="C107" s="50">
        <f>IF(D93="","-",+C106+1)</f>
        <v>2018</v>
      </c>
      <c r="D107" s="133">
        <v>74084.192691029923</v>
      </c>
      <c r="E107" s="376">
        <v>2115.2857142857142</v>
      </c>
      <c r="F107" s="137">
        <v>71968.906976744212</v>
      </c>
      <c r="G107" s="137">
        <v>73026.549833887068</v>
      </c>
      <c r="H107" s="376">
        <v>9827.2242633415626</v>
      </c>
      <c r="I107" s="375">
        <v>9827.2242633415626</v>
      </c>
      <c r="J107" s="54">
        <f t="shared" si="36"/>
        <v>0</v>
      </c>
      <c r="K107" s="54"/>
      <c r="L107" s="113">
        <f t="shared" si="44"/>
        <v>9827.2242633415626</v>
      </c>
      <c r="M107" s="54">
        <f t="shared" si="43"/>
        <v>0</v>
      </c>
      <c r="N107" s="113">
        <f t="shared" si="45"/>
        <v>9827.2242633415626</v>
      </c>
      <c r="O107" s="54">
        <f t="shared" si="40"/>
        <v>0</v>
      </c>
      <c r="P107" s="54">
        <f t="shared" si="41"/>
        <v>0</v>
      </c>
      <c r="Q107" s="1"/>
    </row>
    <row r="108" spans="1:17" ht="12.5">
      <c r="B108" s="7" t="str">
        <f t="shared" si="42"/>
        <v/>
      </c>
      <c r="C108" s="50">
        <f>IF(D93="","-",+C107+1)</f>
        <v>2019</v>
      </c>
      <c r="D108" s="133">
        <v>71968.906976744212</v>
      </c>
      <c r="E108" s="376">
        <v>2066.0930232558139</v>
      </c>
      <c r="F108" s="137">
        <v>69902.813953488396</v>
      </c>
      <c r="G108" s="137">
        <v>70935.860465116304</v>
      </c>
      <c r="H108" s="376">
        <v>9659.1062968732876</v>
      </c>
      <c r="I108" s="375">
        <v>9659.1062968732876</v>
      </c>
      <c r="J108" s="54">
        <f t="shared" si="36"/>
        <v>0</v>
      </c>
      <c r="K108" s="54"/>
      <c r="L108" s="113">
        <f t="shared" si="44"/>
        <v>9659.1062968732876</v>
      </c>
      <c r="M108" s="54">
        <f t="shared" ref="M108" si="46">IF(L108&lt;&gt;0,+H108-L108,0)</f>
        <v>0</v>
      </c>
      <c r="N108" s="113">
        <f t="shared" si="45"/>
        <v>9659.1062968732876</v>
      </c>
      <c r="O108" s="54">
        <f t="shared" si="40"/>
        <v>0</v>
      </c>
      <c r="P108" s="54">
        <f t="shared" si="41"/>
        <v>0</v>
      </c>
      <c r="Q108" s="1"/>
    </row>
    <row r="109" spans="1:17" ht="12.5">
      <c r="B109" s="7" t="str">
        <f t="shared" si="42"/>
        <v/>
      </c>
      <c r="C109" s="50">
        <f>IF(D93="","-",+C108+1)</f>
        <v>2020</v>
      </c>
      <c r="D109" s="133">
        <v>69902.813953488396</v>
      </c>
      <c r="E109" s="376">
        <v>2115.2857142857142</v>
      </c>
      <c r="F109" s="137">
        <v>67787.528239202686</v>
      </c>
      <c r="G109" s="137">
        <v>68845.171096345541</v>
      </c>
      <c r="H109" s="376">
        <v>9521.2246182886065</v>
      </c>
      <c r="I109" s="375">
        <v>9521.2246182886065</v>
      </c>
      <c r="J109" s="54">
        <f t="shared" si="36"/>
        <v>0</v>
      </c>
      <c r="K109" s="54"/>
      <c r="L109" s="113">
        <f t="shared" si="44"/>
        <v>9521.2246182886065</v>
      </c>
      <c r="M109" s="54">
        <f t="shared" ref="M109" si="47">IF(L109&lt;&gt;0,+H109-L109,0)</f>
        <v>0</v>
      </c>
      <c r="N109" s="113">
        <f t="shared" si="45"/>
        <v>9521.2246182886065</v>
      </c>
      <c r="O109" s="54">
        <f t="shared" si="40"/>
        <v>0</v>
      </c>
      <c r="P109" s="54">
        <f t="shared" si="41"/>
        <v>0</v>
      </c>
      <c r="Q109" s="1"/>
    </row>
    <row r="110" spans="1:17" ht="12.5">
      <c r="B110" s="7" t="str">
        <f t="shared" si="42"/>
        <v/>
      </c>
      <c r="C110" s="50">
        <f>IF(D93="","-",+C109+1)</f>
        <v>2021</v>
      </c>
      <c r="D110" s="133">
        <v>67787.528239202686</v>
      </c>
      <c r="E110" s="376">
        <v>2166.8780487804879</v>
      </c>
      <c r="F110" s="137">
        <v>65620.650190422195</v>
      </c>
      <c r="G110" s="137">
        <v>66704.08921481244</v>
      </c>
      <c r="H110" s="376">
        <v>9738.7411318353879</v>
      </c>
      <c r="I110" s="375">
        <v>9738.7411318353879</v>
      </c>
      <c r="J110" s="54">
        <f t="shared" si="36"/>
        <v>0</v>
      </c>
      <c r="K110" s="54"/>
      <c r="L110" s="113">
        <f t="shared" si="44"/>
        <v>9738.7411318353879</v>
      </c>
      <c r="M110" s="54">
        <f t="shared" ref="M110" si="48">IF(L110&lt;&gt;0,+H110-L110,0)</f>
        <v>0</v>
      </c>
      <c r="N110" s="113">
        <f t="shared" si="45"/>
        <v>9738.7411318353879</v>
      </c>
      <c r="O110" s="54">
        <f t="shared" si="40"/>
        <v>0</v>
      </c>
      <c r="P110" s="54">
        <f t="shared" si="41"/>
        <v>0</v>
      </c>
      <c r="Q110" s="1"/>
    </row>
    <row r="111" spans="1:17" ht="12.5">
      <c r="B111" s="7" t="str">
        <f t="shared" si="42"/>
        <v/>
      </c>
      <c r="C111" s="50">
        <f>IF(D93="","-",+C110+1)</f>
        <v>2022</v>
      </c>
      <c r="D111" s="133">
        <v>65620.650190422195</v>
      </c>
      <c r="E111" s="376">
        <v>2115.2857142857142</v>
      </c>
      <c r="F111" s="137">
        <v>63505.364476136478</v>
      </c>
      <c r="G111" s="137">
        <v>64563.00733327934</v>
      </c>
      <c r="H111" s="376">
        <v>9698.7172959840736</v>
      </c>
      <c r="I111" s="375">
        <v>9698.7172959840736</v>
      </c>
      <c r="J111" s="54">
        <f t="shared" si="36"/>
        <v>0</v>
      </c>
      <c r="K111" s="54"/>
      <c r="L111" s="113">
        <f t="shared" ref="L111" si="49">H111</f>
        <v>9698.7172959840736</v>
      </c>
      <c r="M111" s="54">
        <f t="shared" ref="M111" si="50">IF(L111&lt;&gt;0,+H111-L111,0)</f>
        <v>0</v>
      </c>
      <c r="N111" s="113">
        <f t="shared" ref="N111" si="51">I111</f>
        <v>9698.7172959840736</v>
      </c>
      <c r="O111" s="54">
        <f t="shared" ref="O111" si="52">IF(N111&lt;&gt;0,+I111-N111,0)</f>
        <v>0</v>
      </c>
      <c r="P111" s="54">
        <f t="shared" ref="P111" si="53">+O111-M111</f>
        <v>0</v>
      </c>
      <c r="Q111" s="1"/>
    </row>
    <row r="112" spans="1:17" ht="12.5">
      <c r="B112" s="7" t="str">
        <f t="shared" si="42"/>
        <v/>
      </c>
      <c r="C112" s="50">
        <f>IF(D93="","-",+C111+1)</f>
        <v>2023</v>
      </c>
      <c r="D112" s="133">
        <v>63505.364476136478</v>
      </c>
      <c r="E112" s="376">
        <v>2019.1363636363637</v>
      </c>
      <c r="F112" s="137">
        <v>61486.228112500117</v>
      </c>
      <c r="G112" s="137">
        <v>62495.796294318294</v>
      </c>
      <c r="H112" s="376">
        <v>9728.9337866915066</v>
      </c>
      <c r="I112" s="375">
        <v>9728.9337866915066</v>
      </c>
      <c r="J112" s="54">
        <f t="shared" si="36"/>
        <v>0</v>
      </c>
      <c r="K112" s="54"/>
      <c r="L112" s="113">
        <f t="shared" ref="L112" si="54">H112</f>
        <v>9728.9337866915066</v>
      </c>
      <c r="M112" s="54">
        <f t="shared" ref="M112" si="55">IF(L112&lt;&gt;0,+H112-L112,0)</f>
        <v>0</v>
      </c>
      <c r="N112" s="113">
        <f t="shared" ref="N112" si="56">I112</f>
        <v>9728.9337866915066</v>
      </c>
      <c r="O112" s="54">
        <f t="shared" ref="O112" si="57">IF(N112&lt;&gt;0,+I112-N112,0)</f>
        <v>0</v>
      </c>
      <c r="P112" s="54">
        <f t="shared" ref="P112" si="58">+O112-M112</f>
        <v>0</v>
      </c>
      <c r="Q112" s="1"/>
    </row>
    <row r="113" spans="2:17" ht="12.5">
      <c r="B113" s="7" t="str">
        <f t="shared" si="42"/>
        <v/>
      </c>
      <c r="C113" s="50">
        <f>IF(D93="","-",+C112+1)</f>
        <v>2024</v>
      </c>
      <c r="D113" s="12">
        <f>IF(F112+SUM(E$99:E112)=D$92,F112,D$92-SUM(E$99:E112))</f>
        <v>61486.228112500117</v>
      </c>
      <c r="E113" s="378">
        <f>IF(+J96&lt;F112,J96,D113)</f>
        <v>2019.1363636363637</v>
      </c>
      <c r="F113" s="55">
        <f t="shared" ref="F113:F131" si="59">+D113-E113</f>
        <v>59467.091748863757</v>
      </c>
      <c r="G113" s="55">
        <f t="shared" ref="G113:G130" si="60">+(F113+D113)/2</f>
        <v>60476.659930681941</v>
      </c>
      <c r="H113" s="380">
        <f t="shared" ref="H113:H130" si="61">+J$94*G113+E113</f>
        <v>9550.0734743021076</v>
      </c>
      <c r="I113" s="399">
        <f t="shared" ref="I113:I130" si="62">+J$95*G113+E113</f>
        <v>9550.0734743021076</v>
      </c>
      <c r="J113" s="54">
        <f t="shared" si="36"/>
        <v>0</v>
      </c>
      <c r="K113" s="54"/>
      <c r="L113" s="129"/>
      <c r="M113" s="54">
        <f t="shared" si="38"/>
        <v>0</v>
      </c>
      <c r="N113" s="129"/>
      <c r="O113" s="54">
        <f t="shared" si="40"/>
        <v>0</v>
      </c>
      <c r="P113" s="54">
        <f t="shared" si="41"/>
        <v>0</v>
      </c>
      <c r="Q113" s="1"/>
    </row>
    <row r="114" spans="2:17" ht="12.5">
      <c r="B114" s="7" t="str">
        <f t="shared" si="42"/>
        <v/>
      </c>
      <c r="C114" s="50">
        <f>IF(D93="","-",+C113+1)</f>
        <v>2025</v>
      </c>
      <c r="D114" s="12">
        <f>IF(F113+SUM(E$99:E113)=D$92,F113,D$92-SUM(E$99:E113))</f>
        <v>59467.091748863757</v>
      </c>
      <c r="E114" s="378">
        <f>IF(+J96&lt;F113,J96,D114)</f>
        <v>2019.1363636363637</v>
      </c>
      <c r="F114" s="55">
        <f t="shared" si="59"/>
        <v>57447.955385227397</v>
      </c>
      <c r="G114" s="55">
        <f t="shared" si="60"/>
        <v>58457.523567045573</v>
      </c>
      <c r="H114" s="380">
        <f t="shared" si="61"/>
        <v>9298.6378131754391</v>
      </c>
      <c r="I114" s="399">
        <f t="shared" si="62"/>
        <v>9298.6378131754391</v>
      </c>
      <c r="J114" s="54">
        <f t="shared" si="36"/>
        <v>0</v>
      </c>
      <c r="K114" s="54"/>
      <c r="L114" s="129"/>
      <c r="M114" s="54">
        <f t="shared" si="38"/>
        <v>0</v>
      </c>
      <c r="N114" s="129"/>
      <c r="O114" s="54">
        <f t="shared" si="40"/>
        <v>0</v>
      </c>
      <c r="P114" s="54">
        <f t="shared" si="41"/>
        <v>0</v>
      </c>
      <c r="Q114" s="1"/>
    </row>
    <row r="115" spans="2:17" ht="12.5">
      <c r="B115" s="7"/>
      <c r="C115" s="50">
        <f>IF(D93="","-",+C114+1)</f>
        <v>2026</v>
      </c>
      <c r="D115" s="12">
        <f>IF(F114+SUM(E$99:E114)=D$92,F114,D$92-SUM(E$99:E114))</f>
        <v>57447.955385227397</v>
      </c>
      <c r="E115" s="378">
        <f>IF(+J96&lt;F114,J96,D115)</f>
        <v>2019.1363636363637</v>
      </c>
      <c r="F115" s="55">
        <f t="shared" si="59"/>
        <v>55428.819021591036</v>
      </c>
      <c r="G115" s="55">
        <f t="shared" si="60"/>
        <v>56438.38720340922</v>
      </c>
      <c r="H115" s="380">
        <f t="shared" si="61"/>
        <v>9047.2021520487706</v>
      </c>
      <c r="I115" s="399">
        <f t="shared" si="62"/>
        <v>9047.2021520487706</v>
      </c>
      <c r="J115" s="54">
        <f t="shared" si="36"/>
        <v>0</v>
      </c>
      <c r="K115" s="54"/>
      <c r="L115" s="129"/>
      <c r="M115" s="54">
        <f t="shared" si="38"/>
        <v>0</v>
      </c>
      <c r="N115" s="129"/>
      <c r="O115" s="54">
        <f t="shared" si="40"/>
        <v>0</v>
      </c>
      <c r="P115" s="54">
        <f t="shared" si="41"/>
        <v>0</v>
      </c>
      <c r="Q115" s="1"/>
    </row>
    <row r="116" spans="2:17" ht="12.5">
      <c r="B116" s="7" t="str">
        <f t="shared" si="42"/>
        <v/>
      </c>
      <c r="C116" s="50">
        <f>IF(D93="","-",+C115+1)</f>
        <v>2027</v>
      </c>
      <c r="D116" s="12">
        <f>IF(F115+SUM(E$99:E115)=D$92,F115,D$92-SUM(E$99:E115))</f>
        <v>55428.819021591036</v>
      </c>
      <c r="E116" s="378">
        <f>IF(+J96&lt;F115,J96,D116)</f>
        <v>2019.1363636363637</v>
      </c>
      <c r="F116" s="55">
        <f t="shared" si="59"/>
        <v>53409.682657954676</v>
      </c>
      <c r="G116" s="55">
        <f t="shared" si="60"/>
        <v>54419.250839772852</v>
      </c>
      <c r="H116" s="380">
        <f t="shared" si="61"/>
        <v>8795.7664909221003</v>
      </c>
      <c r="I116" s="399">
        <f t="shared" si="62"/>
        <v>8795.7664909221003</v>
      </c>
      <c r="J116" s="54">
        <f t="shared" si="36"/>
        <v>0</v>
      </c>
      <c r="K116" s="54"/>
      <c r="L116" s="129"/>
      <c r="M116" s="54">
        <f t="shared" si="38"/>
        <v>0</v>
      </c>
      <c r="N116" s="129"/>
      <c r="O116" s="54">
        <f t="shared" si="40"/>
        <v>0</v>
      </c>
      <c r="P116" s="54">
        <f t="shared" si="41"/>
        <v>0</v>
      </c>
      <c r="Q116" s="1"/>
    </row>
    <row r="117" spans="2:17" ht="12.5">
      <c r="B117" s="7" t="str">
        <f t="shared" si="42"/>
        <v/>
      </c>
      <c r="C117" s="50">
        <f>IF(D93="","-",+C116+1)</f>
        <v>2028</v>
      </c>
      <c r="D117" s="12">
        <f>IF(F116+SUM(E$99:E116)=D$92,F116,D$92-SUM(E$99:E116))</f>
        <v>53409.682657954676</v>
      </c>
      <c r="E117" s="378">
        <f>IF(+J96&lt;F116,J96,D117)</f>
        <v>2019.1363636363637</v>
      </c>
      <c r="F117" s="55">
        <f t="shared" si="59"/>
        <v>51390.546294318316</v>
      </c>
      <c r="G117" s="55">
        <f t="shared" si="60"/>
        <v>52400.114476136499</v>
      </c>
      <c r="H117" s="380">
        <f t="shared" si="61"/>
        <v>8544.3308297954318</v>
      </c>
      <c r="I117" s="399">
        <f t="shared" si="62"/>
        <v>8544.3308297954318</v>
      </c>
      <c r="J117" s="54">
        <f t="shared" si="36"/>
        <v>0</v>
      </c>
      <c r="K117" s="54"/>
      <c r="L117" s="129"/>
      <c r="M117" s="54">
        <f t="shared" si="38"/>
        <v>0</v>
      </c>
      <c r="N117" s="129"/>
      <c r="O117" s="54">
        <f t="shared" si="40"/>
        <v>0</v>
      </c>
      <c r="P117" s="54">
        <f t="shared" si="41"/>
        <v>0</v>
      </c>
      <c r="Q117" s="1"/>
    </row>
    <row r="118" spans="2:17" ht="12.5">
      <c r="B118" s="7" t="str">
        <f t="shared" si="42"/>
        <v/>
      </c>
      <c r="C118" s="50">
        <f>IF(D93="","-",+C117+1)</f>
        <v>2029</v>
      </c>
      <c r="D118" s="12">
        <f>IF(F117+SUM(E$99:E117)=D$92,F117,D$92-SUM(E$99:E117))</f>
        <v>51390.546294318316</v>
      </c>
      <c r="E118" s="378">
        <f>IF(+J96&lt;F117,J96,D118)</f>
        <v>2019.1363636363637</v>
      </c>
      <c r="F118" s="55">
        <f t="shared" si="59"/>
        <v>49371.409930681955</v>
      </c>
      <c r="G118" s="55">
        <f t="shared" si="60"/>
        <v>50380.978112500132</v>
      </c>
      <c r="H118" s="380">
        <f t="shared" si="61"/>
        <v>8292.8951686687615</v>
      </c>
      <c r="I118" s="399">
        <f t="shared" si="62"/>
        <v>8292.8951686687615</v>
      </c>
      <c r="J118" s="54">
        <f t="shared" si="36"/>
        <v>0</v>
      </c>
      <c r="K118" s="54"/>
      <c r="L118" s="129"/>
      <c r="M118" s="54">
        <f t="shared" si="38"/>
        <v>0</v>
      </c>
      <c r="N118" s="129"/>
      <c r="O118" s="54">
        <f t="shared" si="40"/>
        <v>0</v>
      </c>
      <c r="P118" s="54">
        <f t="shared" si="41"/>
        <v>0</v>
      </c>
      <c r="Q118" s="1"/>
    </row>
    <row r="119" spans="2:17" ht="12.5">
      <c r="B119" s="7" t="str">
        <f t="shared" si="42"/>
        <v/>
      </c>
      <c r="C119" s="50">
        <f>IF(D93="","-",+C118+1)</f>
        <v>2030</v>
      </c>
      <c r="D119" s="12">
        <f>IF(F118+SUM(E$99:E118)=D$92,F118,D$92-SUM(E$99:E118))</f>
        <v>49371.409930681955</v>
      </c>
      <c r="E119" s="378">
        <f>IF(+J96&lt;F118,J96,D119)</f>
        <v>2019.1363636363637</v>
      </c>
      <c r="F119" s="55">
        <f t="shared" si="59"/>
        <v>47352.273567045595</v>
      </c>
      <c r="G119" s="55">
        <f t="shared" si="60"/>
        <v>48361.841748863779</v>
      </c>
      <c r="H119" s="380">
        <f t="shared" si="61"/>
        <v>8041.4595075420948</v>
      </c>
      <c r="I119" s="399">
        <f t="shared" si="62"/>
        <v>8041.4595075420948</v>
      </c>
      <c r="J119" s="54">
        <f t="shared" si="36"/>
        <v>0</v>
      </c>
      <c r="K119" s="54"/>
      <c r="L119" s="129"/>
      <c r="M119" s="54">
        <f t="shared" si="38"/>
        <v>0</v>
      </c>
      <c r="N119" s="129"/>
      <c r="O119" s="54">
        <f t="shared" si="40"/>
        <v>0</v>
      </c>
      <c r="P119" s="54">
        <f t="shared" si="41"/>
        <v>0</v>
      </c>
      <c r="Q119" s="1"/>
    </row>
    <row r="120" spans="2:17" ht="12.5">
      <c r="B120" s="7" t="str">
        <f t="shared" si="42"/>
        <v/>
      </c>
      <c r="C120" s="50">
        <f>IF(D93="","-",+C119+1)</f>
        <v>2031</v>
      </c>
      <c r="D120" s="12">
        <f>IF(F119+SUM(E$99:E119)=D$92,F119,D$92-SUM(E$99:E119))</f>
        <v>47352.273567045595</v>
      </c>
      <c r="E120" s="378">
        <f>IF(+J96&lt;F119,J96,D120)</f>
        <v>2019.1363636363637</v>
      </c>
      <c r="F120" s="55">
        <f t="shared" si="59"/>
        <v>45333.137203409235</v>
      </c>
      <c r="G120" s="55">
        <f t="shared" si="60"/>
        <v>46342.705385227411</v>
      </c>
      <c r="H120" s="380">
        <f t="shared" si="61"/>
        <v>7790.0238464154245</v>
      </c>
      <c r="I120" s="399">
        <f t="shared" si="62"/>
        <v>7790.0238464154245</v>
      </c>
      <c r="J120" s="54">
        <f t="shared" si="36"/>
        <v>0</v>
      </c>
      <c r="K120" s="54"/>
      <c r="L120" s="129"/>
      <c r="M120" s="54">
        <f t="shared" si="38"/>
        <v>0</v>
      </c>
      <c r="N120" s="129"/>
      <c r="O120" s="54">
        <f t="shared" si="40"/>
        <v>0</v>
      </c>
      <c r="P120" s="54">
        <f t="shared" si="41"/>
        <v>0</v>
      </c>
      <c r="Q120" s="1"/>
    </row>
    <row r="121" spans="2:17" ht="12.5">
      <c r="B121" s="7" t="str">
        <f t="shared" si="42"/>
        <v/>
      </c>
      <c r="C121" s="50">
        <f>IF(D93="","-",+C120+1)</f>
        <v>2032</v>
      </c>
      <c r="D121" s="12">
        <f>IF(F120+SUM(E$99:E120)=D$92,F120,D$92-SUM(E$99:E120))</f>
        <v>45333.137203409235</v>
      </c>
      <c r="E121" s="378">
        <f>IF(+J96&lt;F120,J96,D121)</f>
        <v>2019.1363636363637</v>
      </c>
      <c r="F121" s="55">
        <f t="shared" si="59"/>
        <v>43314.000839772874</v>
      </c>
      <c r="G121" s="55">
        <f t="shared" si="60"/>
        <v>44323.569021591058</v>
      </c>
      <c r="H121" s="380">
        <f t="shared" si="61"/>
        <v>7538.588185288756</v>
      </c>
      <c r="I121" s="399">
        <f t="shared" si="62"/>
        <v>7538.588185288756</v>
      </c>
      <c r="J121" s="54">
        <f t="shared" si="36"/>
        <v>0</v>
      </c>
      <c r="K121" s="54"/>
      <c r="L121" s="129"/>
      <c r="M121" s="54">
        <f t="shared" si="38"/>
        <v>0</v>
      </c>
      <c r="N121" s="129"/>
      <c r="O121" s="54">
        <f t="shared" si="40"/>
        <v>0</v>
      </c>
      <c r="P121" s="54">
        <f t="shared" si="41"/>
        <v>0</v>
      </c>
      <c r="Q121" s="1"/>
    </row>
    <row r="122" spans="2:17" ht="12.5">
      <c r="B122" s="7" t="str">
        <f t="shared" si="42"/>
        <v/>
      </c>
      <c r="C122" s="50">
        <f>IF(D93="","-",+C121+1)</f>
        <v>2033</v>
      </c>
      <c r="D122" s="12">
        <f>IF(F121+SUM(E$99:E121)=D$92,F121,D$92-SUM(E$99:E121))</f>
        <v>43314.000839772874</v>
      </c>
      <c r="E122" s="378">
        <f>IF(+J96&lt;F121,J96,D122)</f>
        <v>2019.1363636363637</v>
      </c>
      <c r="F122" s="55">
        <f t="shared" si="59"/>
        <v>41294.864476136514</v>
      </c>
      <c r="G122" s="55">
        <f t="shared" si="60"/>
        <v>42304.432657954691</v>
      </c>
      <c r="H122" s="380">
        <f t="shared" si="61"/>
        <v>7287.1525241620866</v>
      </c>
      <c r="I122" s="399">
        <f t="shared" si="62"/>
        <v>7287.1525241620866</v>
      </c>
      <c r="J122" s="54">
        <f t="shared" si="36"/>
        <v>0</v>
      </c>
      <c r="K122" s="54"/>
      <c r="L122" s="129"/>
      <c r="M122" s="54">
        <f t="shared" si="38"/>
        <v>0</v>
      </c>
      <c r="N122" s="129"/>
      <c r="O122" s="54">
        <f t="shared" si="40"/>
        <v>0</v>
      </c>
      <c r="P122" s="54">
        <f t="shared" si="41"/>
        <v>0</v>
      </c>
      <c r="Q122" s="1"/>
    </row>
    <row r="123" spans="2:17" ht="12.5">
      <c r="B123" s="7" t="str">
        <f t="shared" si="42"/>
        <v/>
      </c>
      <c r="C123" s="50">
        <f>IF(D93="","-",+C122+1)</f>
        <v>2034</v>
      </c>
      <c r="D123" s="12">
        <f>IF(F122+SUM(E$99:E122)=D$92,F122,D$92-SUM(E$99:E122))</f>
        <v>41294.864476136514</v>
      </c>
      <c r="E123" s="378">
        <f>IF(+J96&lt;F122,J96,D123)</f>
        <v>2019.1363636363637</v>
      </c>
      <c r="F123" s="55">
        <f t="shared" si="59"/>
        <v>39275.728112500154</v>
      </c>
      <c r="G123" s="55">
        <f t="shared" si="60"/>
        <v>40285.296294318337</v>
      </c>
      <c r="H123" s="380">
        <f t="shared" si="61"/>
        <v>7035.7168630354181</v>
      </c>
      <c r="I123" s="399">
        <f t="shared" si="62"/>
        <v>7035.7168630354181</v>
      </c>
      <c r="J123" s="54">
        <f t="shared" si="36"/>
        <v>0</v>
      </c>
      <c r="K123" s="54"/>
      <c r="L123" s="129"/>
      <c r="M123" s="54">
        <f t="shared" si="38"/>
        <v>0</v>
      </c>
      <c r="N123" s="129"/>
      <c r="O123" s="54">
        <f t="shared" si="40"/>
        <v>0</v>
      </c>
      <c r="P123" s="54">
        <f t="shared" si="41"/>
        <v>0</v>
      </c>
      <c r="Q123" s="1"/>
    </row>
    <row r="124" spans="2:17" ht="12.5">
      <c r="B124" s="7" t="str">
        <f t="shared" si="42"/>
        <v/>
      </c>
      <c r="C124" s="50">
        <f>IF(D93="","-",+C123+1)</f>
        <v>2035</v>
      </c>
      <c r="D124" s="12">
        <f>IF(F123+SUM(E$99:E123)=D$92,F123,D$92-SUM(E$99:E123))</f>
        <v>39275.728112500154</v>
      </c>
      <c r="E124" s="378">
        <f>IF(+J96&lt;F123,J96,D124)</f>
        <v>2019.1363636363637</v>
      </c>
      <c r="F124" s="55">
        <f t="shared" si="59"/>
        <v>37256.591748863793</v>
      </c>
      <c r="G124" s="55">
        <f t="shared" si="60"/>
        <v>38266.15993068197</v>
      </c>
      <c r="H124" s="380">
        <f t="shared" si="61"/>
        <v>6784.2812019087478</v>
      </c>
      <c r="I124" s="399">
        <f t="shared" si="62"/>
        <v>6784.2812019087478</v>
      </c>
      <c r="J124" s="54">
        <f t="shared" si="36"/>
        <v>0</v>
      </c>
      <c r="K124" s="54"/>
      <c r="L124" s="129"/>
      <c r="M124" s="54">
        <f t="shared" si="38"/>
        <v>0</v>
      </c>
      <c r="N124" s="129"/>
      <c r="O124" s="54">
        <f t="shared" si="40"/>
        <v>0</v>
      </c>
      <c r="P124" s="54">
        <f t="shared" si="41"/>
        <v>0</v>
      </c>
      <c r="Q124" s="1"/>
    </row>
    <row r="125" spans="2:17" ht="12.5">
      <c r="B125" s="7" t="str">
        <f t="shared" si="42"/>
        <v/>
      </c>
      <c r="C125" s="50">
        <f>IF(D93="","-",+C124+1)</f>
        <v>2036</v>
      </c>
      <c r="D125" s="12">
        <f>IF(F124+SUM(E$99:E124)=D$92,F124,D$92-SUM(E$99:E124))</f>
        <v>37256.591748863793</v>
      </c>
      <c r="E125" s="378">
        <f>IF(+J96&lt;F124,J96,D125)</f>
        <v>2019.1363636363637</v>
      </c>
      <c r="F125" s="55">
        <f t="shared" si="59"/>
        <v>35237.455385227433</v>
      </c>
      <c r="G125" s="55">
        <f t="shared" si="60"/>
        <v>36247.023567045617</v>
      </c>
      <c r="H125" s="380">
        <f t="shared" si="61"/>
        <v>6532.8455407820802</v>
      </c>
      <c r="I125" s="399">
        <f t="shared" si="62"/>
        <v>6532.8455407820802</v>
      </c>
      <c r="J125" s="54">
        <f t="shared" si="36"/>
        <v>0</v>
      </c>
      <c r="K125" s="54"/>
      <c r="L125" s="129"/>
      <c r="M125" s="54">
        <f t="shared" si="38"/>
        <v>0</v>
      </c>
      <c r="N125" s="129"/>
      <c r="O125" s="54">
        <f t="shared" si="40"/>
        <v>0</v>
      </c>
      <c r="P125" s="54">
        <f t="shared" si="41"/>
        <v>0</v>
      </c>
      <c r="Q125" s="1"/>
    </row>
    <row r="126" spans="2:17" ht="12.5">
      <c r="B126" s="7" t="str">
        <f t="shared" si="42"/>
        <v/>
      </c>
      <c r="C126" s="50">
        <f>IF(D93="","-",+C125+1)</f>
        <v>2037</v>
      </c>
      <c r="D126" s="12">
        <f>IF(F125+SUM(E$99:E125)=D$92,F125,D$92-SUM(E$99:E125))</f>
        <v>35237.455385227433</v>
      </c>
      <c r="E126" s="378">
        <f>IF(+J96&lt;F125,J96,D126)</f>
        <v>2019.1363636363637</v>
      </c>
      <c r="F126" s="55">
        <f t="shared" si="59"/>
        <v>33218.319021591073</v>
      </c>
      <c r="G126" s="55">
        <f t="shared" si="60"/>
        <v>34227.887203409249</v>
      </c>
      <c r="H126" s="380">
        <f t="shared" si="61"/>
        <v>6281.4098796554099</v>
      </c>
      <c r="I126" s="399">
        <f t="shared" si="62"/>
        <v>6281.4098796554099</v>
      </c>
      <c r="J126" s="54">
        <f t="shared" si="36"/>
        <v>0</v>
      </c>
      <c r="K126" s="54"/>
      <c r="L126" s="129"/>
      <c r="M126" s="54">
        <f t="shared" si="38"/>
        <v>0</v>
      </c>
      <c r="N126" s="129"/>
      <c r="O126" s="54">
        <f t="shared" si="40"/>
        <v>0</v>
      </c>
      <c r="P126" s="54">
        <f t="shared" si="41"/>
        <v>0</v>
      </c>
      <c r="Q126" s="1"/>
    </row>
    <row r="127" spans="2:17" ht="12.5">
      <c r="B127" s="7" t="str">
        <f t="shared" si="42"/>
        <v/>
      </c>
      <c r="C127" s="50">
        <f>IF(D93="","-",+C126+1)</f>
        <v>2038</v>
      </c>
      <c r="D127" s="12">
        <f>IF(F126+SUM(E$99:E126)=D$92,F126,D$92-SUM(E$99:E126))</f>
        <v>33218.319021591073</v>
      </c>
      <c r="E127" s="378">
        <f>IF(+J96&lt;F126,J96,D127)</f>
        <v>2019.1363636363637</v>
      </c>
      <c r="F127" s="55">
        <f t="shared" si="59"/>
        <v>31199.182657954709</v>
      </c>
      <c r="G127" s="55">
        <f t="shared" si="60"/>
        <v>32208.750839772889</v>
      </c>
      <c r="H127" s="380">
        <f t="shared" si="61"/>
        <v>6029.9742185287405</v>
      </c>
      <c r="I127" s="399">
        <f t="shared" si="62"/>
        <v>6029.9742185287405</v>
      </c>
      <c r="J127" s="54">
        <f t="shared" si="36"/>
        <v>0</v>
      </c>
      <c r="K127" s="54"/>
      <c r="L127" s="129"/>
      <c r="M127" s="54">
        <f t="shared" si="38"/>
        <v>0</v>
      </c>
      <c r="N127" s="129"/>
      <c r="O127" s="54">
        <f t="shared" si="40"/>
        <v>0</v>
      </c>
      <c r="P127" s="54">
        <f t="shared" si="41"/>
        <v>0</v>
      </c>
      <c r="Q127" s="1"/>
    </row>
    <row r="128" spans="2:17" ht="12.5">
      <c r="B128" s="7" t="str">
        <f t="shared" si="42"/>
        <v/>
      </c>
      <c r="C128" s="50">
        <f>IF(D93="","-",+C127+1)</f>
        <v>2039</v>
      </c>
      <c r="D128" s="12">
        <f>IF(F127+SUM(E$99:E127)=D$92,F127,D$92-SUM(E$99:E127))</f>
        <v>31199.182657954709</v>
      </c>
      <c r="E128" s="378">
        <f>IF(+J96&lt;F127,J96,D128)</f>
        <v>2019.1363636363637</v>
      </c>
      <c r="F128" s="55">
        <f t="shared" si="59"/>
        <v>29180.046294318345</v>
      </c>
      <c r="G128" s="55">
        <f t="shared" si="60"/>
        <v>30189.614476136529</v>
      </c>
      <c r="H128" s="380">
        <f t="shared" si="61"/>
        <v>5778.538557402072</v>
      </c>
      <c r="I128" s="399">
        <f t="shared" si="62"/>
        <v>5778.538557402072</v>
      </c>
      <c r="J128" s="54">
        <f t="shared" si="36"/>
        <v>0</v>
      </c>
      <c r="K128" s="54"/>
      <c r="L128" s="129"/>
      <c r="M128" s="54">
        <f t="shared" si="38"/>
        <v>0</v>
      </c>
      <c r="N128" s="129"/>
      <c r="O128" s="54">
        <f t="shared" si="40"/>
        <v>0</v>
      </c>
      <c r="P128" s="54">
        <f t="shared" si="41"/>
        <v>0</v>
      </c>
      <c r="Q128" s="1"/>
    </row>
    <row r="129" spans="2:17" ht="12.5">
      <c r="B129" s="7" t="str">
        <f t="shared" si="42"/>
        <v/>
      </c>
      <c r="C129" s="50">
        <f>IF(D93="","-",+C128+1)</f>
        <v>2040</v>
      </c>
      <c r="D129" s="12">
        <f>IF(F128+SUM(E$99:E128)=D$92,F128,D$92-SUM(E$99:E128))</f>
        <v>29180.046294318345</v>
      </c>
      <c r="E129" s="378">
        <f>IF(+J96&lt;F128,J96,D129)</f>
        <v>2019.1363636363637</v>
      </c>
      <c r="F129" s="55">
        <f t="shared" si="59"/>
        <v>27160.909930681981</v>
      </c>
      <c r="G129" s="55">
        <f t="shared" si="60"/>
        <v>28170.478112500161</v>
      </c>
      <c r="H129" s="380">
        <f t="shared" si="61"/>
        <v>5527.1028962754017</v>
      </c>
      <c r="I129" s="399">
        <f t="shared" si="62"/>
        <v>5527.1028962754017</v>
      </c>
      <c r="J129" s="54">
        <f t="shared" si="36"/>
        <v>0</v>
      </c>
      <c r="K129" s="54"/>
      <c r="L129" s="129"/>
      <c r="M129" s="54">
        <f t="shared" si="38"/>
        <v>0</v>
      </c>
      <c r="N129" s="129"/>
      <c r="O129" s="54">
        <f t="shared" si="40"/>
        <v>0</v>
      </c>
      <c r="P129" s="54">
        <f t="shared" si="41"/>
        <v>0</v>
      </c>
      <c r="Q129" s="1"/>
    </row>
    <row r="130" spans="2:17" ht="12.5">
      <c r="B130" s="7" t="str">
        <f t="shared" si="42"/>
        <v/>
      </c>
      <c r="C130" s="50">
        <f>IF(D93="","-",+C129+1)</f>
        <v>2041</v>
      </c>
      <c r="D130" s="12">
        <f>IF(F129+SUM(E$99:E129)=D$92,F129,D$92-SUM(E$99:E129))</f>
        <v>27160.909930681981</v>
      </c>
      <c r="E130" s="378">
        <f>IF(+J96&lt;F129,J96,D130)</f>
        <v>2019.1363636363637</v>
      </c>
      <c r="F130" s="55">
        <f t="shared" si="59"/>
        <v>25141.773567045617</v>
      </c>
      <c r="G130" s="55">
        <f t="shared" si="60"/>
        <v>26151.341748863801</v>
      </c>
      <c r="H130" s="380">
        <f t="shared" si="61"/>
        <v>5275.6672351487323</v>
      </c>
      <c r="I130" s="399">
        <f t="shared" si="62"/>
        <v>5275.6672351487323</v>
      </c>
      <c r="J130" s="54">
        <f t="shared" si="36"/>
        <v>0</v>
      </c>
      <c r="K130" s="54"/>
      <c r="L130" s="129"/>
      <c r="M130" s="54">
        <f t="shared" si="38"/>
        <v>0</v>
      </c>
      <c r="N130" s="129"/>
      <c r="O130" s="54">
        <f t="shared" si="40"/>
        <v>0</v>
      </c>
      <c r="P130" s="54">
        <f t="shared" si="41"/>
        <v>0</v>
      </c>
      <c r="Q130" s="1"/>
    </row>
    <row r="131" spans="2:17" ht="12.5">
      <c r="B131" s="7" t="str">
        <f t="shared" si="42"/>
        <v/>
      </c>
      <c r="C131" s="50">
        <f>IF(D93="","-",+C130+1)</f>
        <v>2042</v>
      </c>
      <c r="D131" s="12">
        <f>IF(F130+SUM(E$99:E130)=D$92,F130,D$92-SUM(E$99:E130))</f>
        <v>25141.773567045617</v>
      </c>
      <c r="E131" s="378">
        <f>IF(+J96&lt;F130,J96,D131)</f>
        <v>2019.1363636363637</v>
      </c>
      <c r="F131" s="55">
        <f t="shared" si="59"/>
        <v>23122.637203409253</v>
      </c>
      <c r="G131" s="55">
        <f t="shared" ref="G131:G154" si="63">+(F131+D131)/2</f>
        <v>24132.205385227433</v>
      </c>
      <c r="H131" s="380">
        <f t="shared" ref="H131:H154" si="64">+J$94*G131+E131</f>
        <v>5024.2315740220629</v>
      </c>
      <c r="I131" s="399">
        <f t="shared" ref="I131:I154" si="65">+J$95*G131+E131</f>
        <v>5024.2315740220629</v>
      </c>
      <c r="J131" s="54">
        <f t="shared" ref="J131:J154" si="66">+I131-H131</f>
        <v>0</v>
      </c>
      <c r="K131" s="54"/>
      <c r="L131" s="129"/>
      <c r="M131" s="54">
        <f t="shared" ref="M131:M154" si="67">IF(L131&lt;&gt;0,+H131-L131,0)</f>
        <v>0</v>
      </c>
      <c r="N131" s="129"/>
      <c r="O131" s="54">
        <f t="shared" ref="O131:O154" si="68">IF(N131&lt;&gt;0,+I131-N131,0)</f>
        <v>0</v>
      </c>
      <c r="P131" s="54">
        <f t="shared" ref="P131:P154" si="69">+O131-M131</f>
        <v>0</v>
      </c>
      <c r="Q131" s="1"/>
    </row>
    <row r="132" spans="2:17" ht="12.5">
      <c r="B132" s="7" t="str">
        <f t="shared" si="42"/>
        <v/>
      </c>
      <c r="C132" s="50">
        <f>IF(D93="","-",+C131+1)</f>
        <v>2043</v>
      </c>
      <c r="D132" s="12">
        <f>IF(F131+SUM(E$99:E131)=D$92,F131,D$92-SUM(E$99:E131))</f>
        <v>23122.637203409253</v>
      </c>
      <c r="E132" s="378">
        <f>IF(+J96&lt;F131,J96,D132)</f>
        <v>2019.1363636363637</v>
      </c>
      <c r="F132" s="55">
        <f t="shared" ref="F132:F154" si="70">+D132-E132</f>
        <v>21103.500839772889</v>
      </c>
      <c r="G132" s="55">
        <f t="shared" si="63"/>
        <v>22113.069021591073</v>
      </c>
      <c r="H132" s="380">
        <f t="shared" si="64"/>
        <v>4772.7959128953935</v>
      </c>
      <c r="I132" s="399">
        <f t="shared" si="65"/>
        <v>4772.7959128953935</v>
      </c>
      <c r="J132" s="54">
        <f t="shared" si="66"/>
        <v>0</v>
      </c>
      <c r="K132" s="54"/>
      <c r="L132" s="129"/>
      <c r="M132" s="54">
        <f t="shared" si="67"/>
        <v>0</v>
      </c>
      <c r="N132" s="129"/>
      <c r="O132" s="54">
        <f t="shared" si="68"/>
        <v>0</v>
      </c>
      <c r="P132" s="54">
        <f t="shared" si="69"/>
        <v>0</v>
      </c>
      <c r="Q132" s="1"/>
    </row>
    <row r="133" spans="2:17" ht="12.5">
      <c r="B133" s="7" t="str">
        <f t="shared" si="42"/>
        <v/>
      </c>
      <c r="C133" s="50">
        <f>IF(D93="","-",+C132+1)</f>
        <v>2044</v>
      </c>
      <c r="D133" s="12">
        <f>IF(F132+SUM(E$99:E132)=D$92,F132,D$92-SUM(E$99:E132))</f>
        <v>21103.500839772889</v>
      </c>
      <c r="E133" s="378">
        <f>IF(+J96&lt;F132,J96,D133)</f>
        <v>2019.1363636363637</v>
      </c>
      <c r="F133" s="55">
        <f t="shared" si="70"/>
        <v>19084.364476136525</v>
      </c>
      <c r="G133" s="55">
        <f t="shared" si="63"/>
        <v>20093.932657954705</v>
      </c>
      <c r="H133" s="380">
        <f t="shared" si="64"/>
        <v>4521.3602517687232</v>
      </c>
      <c r="I133" s="399">
        <f t="shared" si="65"/>
        <v>4521.3602517687232</v>
      </c>
      <c r="J133" s="54">
        <f t="shared" si="66"/>
        <v>0</v>
      </c>
      <c r="K133" s="54"/>
      <c r="L133" s="129"/>
      <c r="M133" s="54">
        <f t="shared" si="67"/>
        <v>0</v>
      </c>
      <c r="N133" s="129"/>
      <c r="O133" s="54">
        <f t="shared" si="68"/>
        <v>0</v>
      </c>
      <c r="P133" s="54">
        <f t="shared" si="69"/>
        <v>0</v>
      </c>
      <c r="Q133" s="1"/>
    </row>
    <row r="134" spans="2:17" ht="12.5">
      <c r="B134" s="7" t="str">
        <f t="shared" si="42"/>
        <v/>
      </c>
      <c r="C134" s="50">
        <f>IF(D93="","-",+C133+1)</f>
        <v>2045</v>
      </c>
      <c r="D134" s="12">
        <f>IF(F133+SUM(E$99:E133)=D$92,F133,D$92-SUM(E$99:E133))</f>
        <v>19084.364476136525</v>
      </c>
      <c r="E134" s="378">
        <f>IF(+J96&lt;F133,J96,D134)</f>
        <v>2019.1363636363637</v>
      </c>
      <c r="F134" s="55">
        <f t="shared" si="70"/>
        <v>17065.228112500161</v>
      </c>
      <c r="G134" s="55">
        <f t="shared" si="63"/>
        <v>18074.796294318345</v>
      </c>
      <c r="H134" s="380">
        <f t="shared" si="64"/>
        <v>4269.9245906420547</v>
      </c>
      <c r="I134" s="399">
        <f t="shared" si="65"/>
        <v>4269.9245906420547</v>
      </c>
      <c r="J134" s="54">
        <f t="shared" si="66"/>
        <v>0</v>
      </c>
      <c r="K134" s="54"/>
      <c r="L134" s="129"/>
      <c r="M134" s="54">
        <f t="shared" si="67"/>
        <v>0</v>
      </c>
      <c r="N134" s="129"/>
      <c r="O134" s="54">
        <f t="shared" si="68"/>
        <v>0</v>
      </c>
      <c r="P134" s="54">
        <f t="shared" si="69"/>
        <v>0</v>
      </c>
      <c r="Q134" s="1"/>
    </row>
    <row r="135" spans="2:17" ht="12.5">
      <c r="B135" s="7" t="str">
        <f t="shared" si="42"/>
        <v/>
      </c>
      <c r="C135" s="50">
        <f>IF(D93="","-",+C134+1)</f>
        <v>2046</v>
      </c>
      <c r="D135" s="12">
        <f>IF(F134+SUM(E$99:E134)=D$92,F134,D$92-SUM(E$99:E134))</f>
        <v>17065.228112500161</v>
      </c>
      <c r="E135" s="378">
        <f>IF(+J96&lt;F134,J96,D135)</f>
        <v>2019.1363636363637</v>
      </c>
      <c r="F135" s="55">
        <f t="shared" si="70"/>
        <v>15046.091748863797</v>
      </c>
      <c r="G135" s="55">
        <f t="shared" si="63"/>
        <v>16055.659930681979</v>
      </c>
      <c r="H135" s="380">
        <f t="shared" si="64"/>
        <v>4018.4889295153848</v>
      </c>
      <c r="I135" s="399">
        <f t="shared" si="65"/>
        <v>4018.4889295153848</v>
      </c>
      <c r="J135" s="54">
        <f t="shared" si="66"/>
        <v>0</v>
      </c>
      <c r="K135" s="54"/>
      <c r="L135" s="129"/>
      <c r="M135" s="54">
        <f t="shared" si="67"/>
        <v>0</v>
      </c>
      <c r="N135" s="129"/>
      <c r="O135" s="54">
        <f t="shared" si="68"/>
        <v>0</v>
      </c>
      <c r="P135" s="54">
        <f t="shared" si="69"/>
        <v>0</v>
      </c>
      <c r="Q135" s="1"/>
    </row>
    <row r="136" spans="2:17" ht="12.5">
      <c r="B136" s="7" t="str">
        <f t="shared" si="42"/>
        <v/>
      </c>
      <c r="C136" s="50">
        <f>IF(D93="","-",+C135+1)</f>
        <v>2047</v>
      </c>
      <c r="D136" s="12">
        <f>IF(F135+SUM(E$99:E135)=D$92,F135,D$92-SUM(E$99:E135))</f>
        <v>15046.091748863797</v>
      </c>
      <c r="E136" s="378">
        <f>IF(+J96&lt;F135,J96,D136)</f>
        <v>2019.1363636363637</v>
      </c>
      <c r="F136" s="55">
        <f t="shared" si="70"/>
        <v>13026.955385227433</v>
      </c>
      <c r="G136" s="55">
        <f t="shared" si="63"/>
        <v>14036.523567045615</v>
      </c>
      <c r="H136" s="380">
        <f t="shared" si="64"/>
        <v>3767.053268388715</v>
      </c>
      <c r="I136" s="399">
        <f t="shared" si="65"/>
        <v>3767.053268388715</v>
      </c>
      <c r="J136" s="54">
        <f t="shared" si="66"/>
        <v>0</v>
      </c>
      <c r="K136" s="54"/>
      <c r="L136" s="129"/>
      <c r="M136" s="54">
        <f t="shared" si="67"/>
        <v>0</v>
      </c>
      <c r="N136" s="129"/>
      <c r="O136" s="54">
        <f t="shared" si="68"/>
        <v>0</v>
      </c>
      <c r="P136" s="54">
        <f t="shared" si="69"/>
        <v>0</v>
      </c>
      <c r="Q136" s="1"/>
    </row>
    <row r="137" spans="2:17" ht="12.5">
      <c r="B137" s="7" t="str">
        <f t="shared" si="42"/>
        <v/>
      </c>
      <c r="C137" s="50">
        <f>IF(D93="","-",+C136+1)</f>
        <v>2048</v>
      </c>
      <c r="D137" s="12">
        <f>IF(F136+SUM(E$99:E136)=D$92,F136,D$92-SUM(E$99:E136))</f>
        <v>13026.955385227433</v>
      </c>
      <c r="E137" s="378">
        <f>IF(+J96&lt;F136,J96,D137)</f>
        <v>2019.1363636363637</v>
      </c>
      <c r="F137" s="55">
        <f t="shared" si="70"/>
        <v>11007.819021591069</v>
      </c>
      <c r="G137" s="55">
        <f t="shared" si="63"/>
        <v>12017.387203409251</v>
      </c>
      <c r="H137" s="380">
        <f t="shared" si="64"/>
        <v>3515.6176072620456</v>
      </c>
      <c r="I137" s="399">
        <f t="shared" si="65"/>
        <v>3515.6176072620456</v>
      </c>
      <c r="J137" s="54">
        <f t="shared" si="66"/>
        <v>0</v>
      </c>
      <c r="K137" s="54"/>
      <c r="L137" s="129"/>
      <c r="M137" s="54">
        <f t="shared" si="67"/>
        <v>0</v>
      </c>
      <c r="N137" s="129"/>
      <c r="O137" s="54">
        <f t="shared" si="68"/>
        <v>0</v>
      </c>
      <c r="P137" s="54">
        <f t="shared" si="69"/>
        <v>0</v>
      </c>
      <c r="Q137" s="1"/>
    </row>
    <row r="138" spans="2:17" ht="12.5">
      <c r="B138" s="7" t="str">
        <f t="shared" si="42"/>
        <v/>
      </c>
      <c r="C138" s="50">
        <f>IF(D93="","-",+C137+1)</f>
        <v>2049</v>
      </c>
      <c r="D138" s="12">
        <f>IF(F137+SUM(E$99:E137)=D$92,F137,D$92-SUM(E$99:E137))</f>
        <v>11007.819021591069</v>
      </c>
      <c r="E138" s="378">
        <f>IF(+J96&lt;F137,J96,D138)</f>
        <v>2019.1363636363637</v>
      </c>
      <c r="F138" s="55">
        <f t="shared" si="70"/>
        <v>8988.6826579547051</v>
      </c>
      <c r="G138" s="55">
        <f t="shared" si="63"/>
        <v>9998.250839772887</v>
      </c>
      <c r="H138" s="380">
        <f t="shared" si="64"/>
        <v>3264.1819461353762</v>
      </c>
      <c r="I138" s="399">
        <f t="shared" si="65"/>
        <v>3264.1819461353762</v>
      </c>
      <c r="J138" s="54">
        <f t="shared" si="66"/>
        <v>0</v>
      </c>
      <c r="K138" s="54"/>
      <c r="L138" s="129"/>
      <c r="M138" s="54">
        <f t="shared" si="67"/>
        <v>0</v>
      </c>
      <c r="N138" s="129"/>
      <c r="O138" s="54">
        <f t="shared" si="68"/>
        <v>0</v>
      </c>
      <c r="P138" s="54">
        <f t="shared" si="69"/>
        <v>0</v>
      </c>
      <c r="Q138" s="1"/>
    </row>
    <row r="139" spans="2:17" ht="12.5">
      <c r="B139" s="7" t="str">
        <f t="shared" si="42"/>
        <v/>
      </c>
      <c r="C139" s="50">
        <f>IF(D93="","-",+C138+1)</f>
        <v>2050</v>
      </c>
      <c r="D139" s="12">
        <f>IF(F138+SUM(E$99:E138)=D$92,F138,D$92-SUM(E$99:E138))</f>
        <v>8988.6826579547051</v>
      </c>
      <c r="E139" s="378">
        <f>IF(+J96&lt;F138,J96,D139)</f>
        <v>2019.1363636363637</v>
      </c>
      <c r="F139" s="55">
        <f t="shared" si="70"/>
        <v>6969.5462943183411</v>
      </c>
      <c r="G139" s="55">
        <f t="shared" si="63"/>
        <v>7979.1144761365231</v>
      </c>
      <c r="H139" s="380">
        <f t="shared" si="64"/>
        <v>3012.7462850087068</v>
      </c>
      <c r="I139" s="399">
        <f t="shared" si="65"/>
        <v>3012.7462850087068</v>
      </c>
      <c r="J139" s="54">
        <f t="shared" si="66"/>
        <v>0</v>
      </c>
      <c r="K139" s="54"/>
      <c r="L139" s="129"/>
      <c r="M139" s="54">
        <f t="shared" si="67"/>
        <v>0</v>
      </c>
      <c r="N139" s="129"/>
      <c r="O139" s="54">
        <f t="shared" si="68"/>
        <v>0</v>
      </c>
      <c r="P139" s="54">
        <f t="shared" si="69"/>
        <v>0</v>
      </c>
      <c r="Q139" s="1"/>
    </row>
    <row r="140" spans="2:17" ht="12.5">
      <c r="B140" s="7" t="str">
        <f t="shared" si="42"/>
        <v/>
      </c>
      <c r="C140" s="50">
        <f>IF(D93="","-",+C139+1)</f>
        <v>2051</v>
      </c>
      <c r="D140" s="12">
        <f>IF(F139+SUM(E$99:E139)=D$92,F139,D$92-SUM(E$99:E139))</f>
        <v>6969.5462943183411</v>
      </c>
      <c r="E140" s="378">
        <f>IF(+J96&lt;F139,J96,D140)</f>
        <v>2019.1363636363637</v>
      </c>
      <c r="F140" s="55">
        <f t="shared" si="70"/>
        <v>4950.4099306819771</v>
      </c>
      <c r="G140" s="55">
        <f t="shared" si="63"/>
        <v>5959.9781125001591</v>
      </c>
      <c r="H140" s="380">
        <f t="shared" si="64"/>
        <v>2761.3106238820374</v>
      </c>
      <c r="I140" s="399">
        <f t="shared" si="65"/>
        <v>2761.3106238820374</v>
      </c>
      <c r="J140" s="54">
        <f t="shared" si="66"/>
        <v>0</v>
      </c>
      <c r="K140" s="54"/>
      <c r="L140" s="129"/>
      <c r="M140" s="54">
        <f t="shared" si="67"/>
        <v>0</v>
      </c>
      <c r="N140" s="129"/>
      <c r="O140" s="54">
        <f t="shared" si="68"/>
        <v>0</v>
      </c>
      <c r="P140" s="54">
        <f t="shared" si="69"/>
        <v>0</v>
      </c>
      <c r="Q140" s="1"/>
    </row>
    <row r="141" spans="2:17" ht="12.5">
      <c r="B141" s="7" t="str">
        <f t="shared" si="42"/>
        <v>IU</v>
      </c>
      <c r="C141" s="50">
        <f>IF(D93="","-",+C140+1)</f>
        <v>2052</v>
      </c>
      <c r="D141" s="12">
        <f>IF(F140+SUM(E$99:E140)=D$92,F140,D$92-SUM(E$99:E140))</f>
        <v>4950.4099306819262</v>
      </c>
      <c r="E141" s="378">
        <f>IF(+J96&lt;F140,J96,D141)</f>
        <v>2019.1363636363637</v>
      </c>
      <c r="F141" s="55">
        <f t="shared" si="70"/>
        <v>2931.2735670455622</v>
      </c>
      <c r="G141" s="55">
        <f t="shared" si="63"/>
        <v>3940.8417488637442</v>
      </c>
      <c r="H141" s="380">
        <f t="shared" si="64"/>
        <v>2509.8749627553611</v>
      </c>
      <c r="I141" s="399">
        <f t="shared" si="65"/>
        <v>2509.8749627553611</v>
      </c>
      <c r="J141" s="54">
        <f t="shared" si="66"/>
        <v>0</v>
      </c>
      <c r="K141" s="54"/>
      <c r="L141" s="129"/>
      <c r="M141" s="54">
        <f t="shared" si="67"/>
        <v>0</v>
      </c>
      <c r="N141" s="129"/>
      <c r="O141" s="54">
        <f t="shared" si="68"/>
        <v>0</v>
      </c>
      <c r="P141" s="54">
        <f t="shared" si="69"/>
        <v>0</v>
      </c>
      <c r="Q141" s="1"/>
    </row>
    <row r="142" spans="2:17" ht="12.5">
      <c r="B142" s="7" t="str">
        <f t="shared" si="42"/>
        <v/>
      </c>
      <c r="C142" s="50">
        <f>IF(D93="","-",+C141+1)</f>
        <v>2053</v>
      </c>
      <c r="D142" s="12">
        <f>IF(F141+SUM(E$99:E141)=D$92,F141,D$92-SUM(E$99:E141))</f>
        <v>2931.2735670455622</v>
      </c>
      <c r="E142" s="378">
        <f>IF(+J96&lt;F141,J96,D142)</f>
        <v>2019.1363636363637</v>
      </c>
      <c r="F142" s="55">
        <f t="shared" si="70"/>
        <v>912.13720340919849</v>
      </c>
      <c r="G142" s="55">
        <f t="shared" si="63"/>
        <v>1921.7053852273802</v>
      </c>
      <c r="H142" s="380">
        <f t="shared" si="64"/>
        <v>2258.4393016286917</v>
      </c>
      <c r="I142" s="399">
        <f t="shared" si="65"/>
        <v>2258.4393016286917</v>
      </c>
      <c r="J142" s="54">
        <f t="shared" si="66"/>
        <v>0</v>
      </c>
      <c r="K142" s="54"/>
      <c r="L142" s="129"/>
      <c r="M142" s="54">
        <f t="shared" si="67"/>
        <v>0</v>
      </c>
      <c r="N142" s="129"/>
      <c r="O142" s="54">
        <f t="shared" si="68"/>
        <v>0</v>
      </c>
      <c r="P142" s="54">
        <f t="shared" si="69"/>
        <v>0</v>
      </c>
      <c r="Q142" s="1"/>
    </row>
    <row r="143" spans="2:17" ht="12.5">
      <c r="B143" s="7" t="str">
        <f t="shared" si="42"/>
        <v/>
      </c>
      <c r="C143" s="50">
        <f>IF(D93="","-",+C142+1)</f>
        <v>2054</v>
      </c>
      <c r="D143" s="12">
        <f>IF(F142+SUM(E$99:E142)=D$92,F142,D$92-SUM(E$99:E142))</f>
        <v>912.13720340919849</v>
      </c>
      <c r="E143" s="378">
        <f>IF(+J96&lt;F142,J96,D143)</f>
        <v>912.13720340919849</v>
      </c>
      <c r="F143" s="55">
        <f t="shared" si="70"/>
        <v>0</v>
      </c>
      <c r="G143" s="55">
        <f t="shared" si="63"/>
        <v>456.06860170459925</v>
      </c>
      <c r="H143" s="380">
        <f t="shared" si="64"/>
        <v>968.92975712369514</v>
      </c>
      <c r="I143" s="399">
        <f t="shared" si="65"/>
        <v>968.92975712369514</v>
      </c>
      <c r="J143" s="54">
        <f t="shared" si="66"/>
        <v>0</v>
      </c>
      <c r="K143" s="54"/>
      <c r="L143" s="129"/>
      <c r="M143" s="54">
        <f t="shared" si="67"/>
        <v>0</v>
      </c>
      <c r="N143" s="129"/>
      <c r="O143" s="54">
        <f t="shared" si="68"/>
        <v>0</v>
      </c>
      <c r="P143" s="54">
        <f t="shared" si="69"/>
        <v>0</v>
      </c>
      <c r="Q143" s="1"/>
    </row>
    <row r="144" spans="2:17" ht="12.5">
      <c r="B144" s="7" t="str">
        <f t="shared" si="42"/>
        <v/>
      </c>
      <c r="C144" s="50">
        <f>IF(D93="","-",+C143+1)</f>
        <v>2055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70"/>
        <v>0</v>
      </c>
      <c r="G144" s="55">
        <f t="shared" si="63"/>
        <v>0</v>
      </c>
      <c r="H144" s="380">
        <f t="shared" si="64"/>
        <v>0</v>
      </c>
      <c r="I144" s="399">
        <f t="shared" si="65"/>
        <v>0</v>
      </c>
      <c r="J144" s="54">
        <f t="shared" si="66"/>
        <v>0</v>
      </c>
      <c r="K144" s="54"/>
      <c r="L144" s="129"/>
      <c r="M144" s="54">
        <f t="shared" si="67"/>
        <v>0</v>
      </c>
      <c r="N144" s="129"/>
      <c r="O144" s="54">
        <f t="shared" si="68"/>
        <v>0</v>
      </c>
      <c r="P144" s="54">
        <f t="shared" si="69"/>
        <v>0</v>
      </c>
      <c r="Q144" s="1"/>
    </row>
    <row r="145" spans="2:17" ht="12.5">
      <c r="B145" s="7" t="str">
        <f t="shared" si="42"/>
        <v/>
      </c>
      <c r="C145" s="50">
        <f>IF(D93="","-",+C144+1)</f>
        <v>2056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70"/>
        <v>0</v>
      </c>
      <c r="G145" s="55">
        <f t="shared" si="63"/>
        <v>0</v>
      </c>
      <c r="H145" s="380">
        <f t="shared" si="64"/>
        <v>0</v>
      </c>
      <c r="I145" s="399">
        <f t="shared" si="65"/>
        <v>0</v>
      </c>
      <c r="J145" s="54">
        <f t="shared" si="66"/>
        <v>0</v>
      </c>
      <c r="K145" s="54"/>
      <c r="L145" s="129"/>
      <c r="M145" s="54">
        <f t="shared" si="67"/>
        <v>0</v>
      </c>
      <c r="N145" s="129"/>
      <c r="O145" s="54">
        <f t="shared" si="68"/>
        <v>0</v>
      </c>
      <c r="P145" s="54">
        <f t="shared" si="69"/>
        <v>0</v>
      </c>
      <c r="Q145" s="1"/>
    </row>
    <row r="146" spans="2:17" ht="12.5">
      <c r="B146" s="7" t="str">
        <f t="shared" si="42"/>
        <v/>
      </c>
      <c r="C146" s="50">
        <f>IF(D93="","-",+C145+1)</f>
        <v>2057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70"/>
        <v>0</v>
      </c>
      <c r="G146" s="55">
        <f t="shared" si="63"/>
        <v>0</v>
      </c>
      <c r="H146" s="380">
        <f t="shared" si="64"/>
        <v>0</v>
      </c>
      <c r="I146" s="399">
        <f t="shared" si="65"/>
        <v>0</v>
      </c>
      <c r="J146" s="54">
        <f t="shared" si="66"/>
        <v>0</v>
      </c>
      <c r="K146" s="54"/>
      <c r="L146" s="129"/>
      <c r="M146" s="54">
        <f t="shared" si="67"/>
        <v>0</v>
      </c>
      <c r="N146" s="129"/>
      <c r="O146" s="54">
        <f t="shared" si="68"/>
        <v>0</v>
      </c>
      <c r="P146" s="54">
        <f t="shared" si="69"/>
        <v>0</v>
      </c>
      <c r="Q146" s="1"/>
    </row>
    <row r="147" spans="2:17" ht="12.5">
      <c r="B147" s="7" t="str">
        <f t="shared" si="42"/>
        <v/>
      </c>
      <c r="C147" s="50">
        <f>IF(D93="","-",+C146+1)</f>
        <v>2058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70"/>
        <v>0</v>
      </c>
      <c r="G147" s="55">
        <f t="shared" si="63"/>
        <v>0</v>
      </c>
      <c r="H147" s="380">
        <f t="shared" si="64"/>
        <v>0</v>
      </c>
      <c r="I147" s="399">
        <f t="shared" si="65"/>
        <v>0</v>
      </c>
      <c r="J147" s="54">
        <f t="shared" si="66"/>
        <v>0</v>
      </c>
      <c r="K147" s="54"/>
      <c r="L147" s="129"/>
      <c r="M147" s="54">
        <f t="shared" si="67"/>
        <v>0</v>
      </c>
      <c r="N147" s="129"/>
      <c r="O147" s="54">
        <f t="shared" si="68"/>
        <v>0</v>
      </c>
      <c r="P147" s="54">
        <f t="shared" si="69"/>
        <v>0</v>
      </c>
      <c r="Q147" s="1"/>
    </row>
    <row r="148" spans="2:17" ht="12.5">
      <c r="B148" s="7" t="str">
        <f t="shared" si="42"/>
        <v/>
      </c>
      <c r="C148" s="50">
        <f>IF(D93="","-",+C147+1)</f>
        <v>2059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70"/>
        <v>0</v>
      </c>
      <c r="G148" s="55">
        <f t="shared" si="63"/>
        <v>0</v>
      </c>
      <c r="H148" s="380">
        <f t="shared" si="64"/>
        <v>0</v>
      </c>
      <c r="I148" s="399">
        <f t="shared" si="65"/>
        <v>0</v>
      </c>
      <c r="J148" s="54">
        <f t="shared" si="66"/>
        <v>0</v>
      </c>
      <c r="K148" s="54"/>
      <c r="L148" s="129"/>
      <c r="M148" s="54">
        <f t="shared" si="67"/>
        <v>0</v>
      </c>
      <c r="N148" s="129"/>
      <c r="O148" s="54">
        <f t="shared" si="68"/>
        <v>0</v>
      </c>
      <c r="P148" s="54">
        <f t="shared" si="69"/>
        <v>0</v>
      </c>
      <c r="Q148" s="1"/>
    </row>
    <row r="149" spans="2:17" ht="12.5">
      <c r="B149" s="7" t="str">
        <f t="shared" si="42"/>
        <v/>
      </c>
      <c r="C149" s="50">
        <f>IF(D93="","-",+C148+1)</f>
        <v>2060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70"/>
        <v>0</v>
      </c>
      <c r="G149" s="55">
        <f t="shared" si="63"/>
        <v>0</v>
      </c>
      <c r="H149" s="380">
        <f t="shared" si="64"/>
        <v>0</v>
      </c>
      <c r="I149" s="399">
        <f t="shared" si="65"/>
        <v>0</v>
      </c>
      <c r="J149" s="54">
        <f t="shared" si="66"/>
        <v>0</v>
      </c>
      <c r="K149" s="54"/>
      <c r="L149" s="129"/>
      <c r="M149" s="54">
        <f t="shared" si="67"/>
        <v>0</v>
      </c>
      <c r="N149" s="129"/>
      <c r="O149" s="54">
        <f t="shared" si="68"/>
        <v>0</v>
      </c>
      <c r="P149" s="54">
        <f t="shared" si="69"/>
        <v>0</v>
      </c>
      <c r="Q149" s="1"/>
    </row>
    <row r="150" spans="2:17" ht="12.5">
      <c r="B150" s="7" t="str">
        <f t="shared" si="42"/>
        <v/>
      </c>
      <c r="C150" s="50">
        <f>IF(D93="","-",+C149+1)</f>
        <v>2061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70"/>
        <v>0</v>
      </c>
      <c r="G150" s="55">
        <f t="shared" si="63"/>
        <v>0</v>
      </c>
      <c r="H150" s="380">
        <f t="shared" si="64"/>
        <v>0</v>
      </c>
      <c r="I150" s="399">
        <f t="shared" si="65"/>
        <v>0</v>
      </c>
      <c r="J150" s="54">
        <f t="shared" si="66"/>
        <v>0</v>
      </c>
      <c r="K150" s="54"/>
      <c r="L150" s="129"/>
      <c r="M150" s="54">
        <f t="shared" si="67"/>
        <v>0</v>
      </c>
      <c r="N150" s="129"/>
      <c r="O150" s="54">
        <f t="shared" si="68"/>
        <v>0</v>
      </c>
      <c r="P150" s="54">
        <f t="shared" si="69"/>
        <v>0</v>
      </c>
      <c r="Q150" s="1"/>
    </row>
    <row r="151" spans="2:17" ht="12.5">
      <c r="B151" s="7" t="str">
        <f t="shared" si="42"/>
        <v/>
      </c>
      <c r="C151" s="50">
        <f>IF(D93="","-",+C150+1)</f>
        <v>2062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70"/>
        <v>0</v>
      </c>
      <c r="G151" s="55">
        <f t="shared" si="63"/>
        <v>0</v>
      </c>
      <c r="H151" s="380">
        <f t="shared" si="64"/>
        <v>0</v>
      </c>
      <c r="I151" s="399">
        <f t="shared" si="65"/>
        <v>0</v>
      </c>
      <c r="J151" s="54">
        <f t="shared" si="66"/>
        <v>0</v>
      </c>
      <c r="K151" s="54"/>
      <c r="L151" s="129"/>
      <c r="M151" s="54">
        <f t="shared" si="67"/>
        <v>0</v>
      </c>
      <c r="N151" s="129"/>
      <c r="O151" s="54">
        <f t="shared" si="68"/>
        <v>0</v>
      </c>
      <c r="P151" s="54">
        <f t="shared" si="69"/>
        <v>0</v>
      </c>
      <c r="Q151" s="1"/>
    </row>
    <row r="152" spans="2:17" ht="12.5">
      <c r="B152" s="7" t="str">
        <f t="shared" si="42"/>
        <v/>
      </c>
      <c r="C152" s="50">
        <f>IF(D93="","-",+C151+1)</f>
        <v>2063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70"/>
        <v>0</v>
      </c>
      <c r="G152" s="55">
        <f t="shared" si="63"/>
        <v>0</v>
      </c>
      <c r="H152" s="380">
        <f t="shared" si="64"/>
        <v>0</v>
      </c>
      <c r="I152" s="399">
        <f t="shared" si="65"/>
        <v>0</v>
      </c>
      <c r="J152" s="54">
        <f t="shared" si="66"/>
        <v>0</v>
      </c>
      <c r="K152" s="54"/>
      <c r="L152" s="129"/>
      <c r="M152" s="54">
        <f t="shared" si="67"/>
        <v>0</v>
      </c>
      <c r="N152" s="129"/>
      <c r="O152" s="54">
        <f t="shared" si="68"/>
        <v>0</v>
      </c>
      <c r="P152" s="54">
        <f t="shared" si="69"/>
        <v>0</v>
      </c>
      <c r="Q152" s="1"/>
    </row>
    <row r="153" spans="2:17" ht="12.5">
      <c r="B153" s="7" t="str">
        <f t="shared" si="42"/>
        <v/>
      </c>
      <c r="C153" s="50">
        <f>IF(D93="","-",+C152+1)</f>
        <v>2064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70"/>
        <v>0</v>
      </c>
      <c r="G153" s="55">
        <f t="shared" si="63"/>
        <v>0</v>
      </c>
      <c r="H153" s="380">
        <f t="shared" si="64"/>
        <v>0</v>
      </c>
      <c r="I153" s="399">
        <f t="shared" si="65"/>
        <v>0</v>
      </c>
      <c r="J153" s="54">
        <f t="shared" si="66"/>
        <v>0</v>
      </c>
      <c r="K153" s="54"/>
      <c r="L153" s="129"/>
      <c r="M153" s="54">
        <f t="shared" si="67"/>
        <v>0</v>
      </c>
      <c r="N153" s="129"/>
      <c r="O153" s="54">
        <f t="shared" si="68"/>
        <v>0</v>
      </c>
      <c r="P153" s="54">
        <f t="shared" si="69"/>
        <v>0</v>
      </c>
      <c r="Q153" s="1"/>
    </row>
    <row r="154" spans="2:17" ht="13" thickBot="1">
      <c r="B154" s="7" t="str">
        <f t="shared" si="42"/>
        <v/>
      </c>
      <c r="C154" s="59">
        <f>IF(D93="","-",+C153+1)</f>
        <v>2065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70"/>
        <v>0</v>
      </c>
      <c r="G154" s="60">
        <f t="shared" si="63"/>
        <v>0</v>
      </c>
      <c r="H154" s="382">
        <f t="shared" si="64"/>
        <v>0</v>
      </c>
      <c r="I154" s="400">
        <f t="shared" si="65"/>
        <v>0</v>
      </c>
      <c r="J154" s="64">
        <f t="shared" si="66"/>
        <v>0</v>
      </c>
      <c r="K154" s="54"/>
      <c r="L154" s="130"/>
      <c r="M154" s="64">
        <f t="shared" si="67"/>
        <v>0</v>
      </c>
      <c r="N154" s="130"/>
      <c r="O154" s="64">
        <f t="shared" si="68"/>
        <v>0</v>
      </c>
      <c r="P154" s="64">
        <f t="shared" si="69"/>
        <v>0</v>
      </c>
      <c r="Q154" s="1"/>
    </row>
    <row r="155" spans="2:17" ht="12.5">
      <c r="C155" s="12" t="s">
        <v>78</v>
      </c>
      <c r="D155" s="293"/>
      <c r="E155" s="293">
        <f>SUM(E99:E154)</f>
        <v>88842.000000000015</v>
      </c>
      <c r="F155" s="293"/>
      <c r="G155" s="293"/>
      <c r="H155" s="293">
        <f>SUM(H99:H154)</f>
        <v>335927.332553985</v>
      </c>
      <c r="I155" s="293">
        <f>SUM(I99:I154)</f>
        <v>335927.332553985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 ht="12.5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 ht="12.5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07" priority="1" stopIfTrue="1" operator="equal">
      <formula>$I$10</formula>
    </cfRule>
  </conditionalFormatting>
  <conditionalFormatting sqref="C99:C154">
    <cfRule type="cellIs" dxfId="10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77"/>
  <dimension ref="A1:Q162"/>
  <sheetViews>
    <sheetView topLeftCell="A74" zoomScaleNormal="100" zoomScaleSheetLayoutView="75" workbookViewId="0">
      <selection activeCell="I32" sqref="I32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4" width="24" customWidth="1"/>
    <col min="5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26 of 77</v>
      </c>
      <c r="Q1" s="13"/>
    </row>
    <row r="2" spans="1:17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26559.297712193376</v>
      </c>
      <c r="P5" s="1"/>
    </row>
    <row r="6" spans="1:17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26559.297712193376</v>
      </c>
      <c r="O6" s="1"/>
      <c r="P6" s="1"/>
    </row>
    <row r="7" spans="1:17" ht="13.5" thickBot="1">
      <c r="C7" s="25" t="s">
        <v>48</v>
      </c>
      <c r="D7" s="127" t="s">
        <v>273</v>
      </c>
      <c r="E7" s="1"/>
      <c r="F7" s="1"/>
      <c r="G7" s="29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104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424" t="s">
        <v>277</v>
      </c>
      <c r="E9" s="31" t="s">
        <v>494</v>
      </c>
      <c r="F9" s="462">
        <v>452</v>
      </c>
      <c r="G9" s="31"/>
      <c r="H9" s="31"/>
      <c r="I9" s="32"/>
      <c r="J9" s="33"/>
      <c r="P9" s="1"/>
    </row>
    <row r="10" spans="1:17" ht="13">
      <c r="C10" s="34" t="s">
        <v>51</v>
      </c>
      <c r="D10" s="363">
        <v>249141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7" ht="12.5">
      <c r="C11" s="34" t="s">
        <v>54</v>
      </c>
      <c r="D11" s="37">
        <v>2011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3">
        <v>6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5662.295454545455</v>
      </c>
      <c r="J14" s="293"/>
      <c r="K14" s="293"/>
      <c r="L14" s="293"/>
      <c r="M14" s="293"/>
      <c r="N14" s="293"/>
      <c r="O14" s="1"/>
      <c r="P14" s="1"/>
    </row>
    <row r="15" spans="1:17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2011</v>
      </c>
      <c r="D17" s="133">
        <v>91500</v>
      </c>
      <c r="E17" s="374">
        <v>0</v>
      </c>
      <c r="F17" s="133">
        <v>91500</v>
      </c>
      <c r="G17" s="374">
        <v>13154.497429496008</v>
      </c>
      <c r="H17" s="375">
        <v>13154.497429496008</v>
      </c>
      <c r="I17" s="141">
        <v>0</v>
      </c>
      <c r="J17" s="52"/>
      <c r="K17" s="112">
        <f t="shared" ref="K17:K22" si="0">G17</f>
        <v>13154.497429496008</v>
      </c>
      <c r="L17" s="53">
        <f t="shared" ref="L17:L48" si="1">IF(K17&lt;&gt;0,+G17-K17,0)</f>
        <v>0</v>
      </c>
      <c r="M17" s="112">
        <f t="shared" ref="M17:M22" si="2">H17</f>
        <v>13154.497429496008</v>
      </c>
      <c r="N17" s="53">
        <f t="shared" ref="N17:N48" si="3">IF(M17&lt;&gt;0,+H17-M17,0)</f>
        <v>0</v>
      </c>
      <c r="O17" s="54">
        <f t="shared" ref="O17:O48" si="4">+N17-L17</f>
        <v>0</v>
      </c>
      <c r="P17" s="1"/>
    </row>
    <row r="18" spans="2:16" ht="12.5">
      <c r="B18" s="7" t="str">
        <f t="shared" ref="B18:B49" si="5">IF(D18=F17,"","IU")</f>
        <v>IU</v>
      </c>
      <c r="C18" s="50">
        <f>IF(D11="","-",+C17+1)</f>
        <v>2012</v>
      </c>
      <c r="D18" s="137">
        <v>249141</v>
      </c>
      <c r="E18" s="376">
        <v>5931.9285714285716</v>
      </c>
      <c r="F18" s="137">
        <v>243209.07142857142</v>
      </c>
      <c r="G18" s="376">
        <v>42102.015739943599</v>
      </c>
      <c r="H18" s="375">
        <v>42102.015739943599</v>
      </c>
      <c r="I18" s="141">
        <v>0</v>
      </c>
      <c r="J18" s="52"/>
      <c r="K18" s="113">
        <f t="shared" si="0"/>
        <v>42102.015739943599</v>
      </c>
      <c r="L18" s="54">
        <f t="shared" si="1"/>
        <v>0</v>
      </c>
      <c r="M18" s="113">
        <f t="shared" si="2"/>
        <v>42102.015739943599</v>
      </c>
      <c r="N18" s="54">
        <f t="shared" si="3"/>
        <v>0</v>
      </c>
      <c r="O18" s="54">
        <f t="shared" si="4"/>
        <v>0</v>
      </c>
      <c r="P18" s="1"/>
    </row>
    <row r="19" spans="2:16" ht="12.5">
      <c r="B19" s="7" t="str">
        <f t="shared" si="5"/>
        <v/>
      </c>
      <c r="C19" s="50">
        <f>IF(D11="","-",+C18+1)</f>
        <v>2013</v>
      </c>
      <c r="D19" s="151">
        <v>243209.07142857142</v>
      </c>
      <c r="E19" s="420">
        <v>5931.9285714285716</v>
      </c>
      <c r="F19" s="151">
        <v>237277.14285714284</v>
      </c>
      <c r="G19" s="420">
        <v>39147.663443283265</v>
      </c>
      <c r="H19" s="421">
        <v>39147.663443283265</v>
      </c>
      <c r="I19" s="153">
        <v>0</v>
      </c>
      <c r="J19" s="52"/>
      <c r="K19" s="113">
        <f t="shared" si="0"/>
        <v>39147.663443283265</v>
      </c>
      <c r="L19" s="54">
        <f t="shared" ref="L19:L24" si="6">IF(K19&lt;&gt;0,+G19-K19,0)</f>
        <v>0</v>
      </c>
      <c r="M19" s="113">
        <f t="shared" si="2"/>
        <v>39147.663443283265</v>
      </c>
      <c r="N19" s="54">
        <f t="shared" ref="N19:N24" si="7">IF(M19&lt;&gt;0,+H19-M19,0)</f>
        <v>0</v>
      </c>
      <c r="O19" s="54">
        <f t="shared" si="4"/>
        <v>0</v>
      </c>
      <c r="P19" s="1"/>
    </row>
    <row r="20" spans="2:16" ht="12.5">
      <c r="B20" s="7" t="str">
        <f t="shared" si="5"/>
        <v/>
      </c>
      <c r="C20" s="50">
        <f>IF(D11="","-",+C19+1)</f>
        <v>2014</v>
      </c>
      <c r="D20" s="151">
        <v>237277.14285714284</v>
      </c>
      <c r="E20" s="420">
        <v>5931.9285714285716</v>
      </c>
      <c r="F20" s="151">
        <v>231345.21428571426</v>
      </c>
      <c r="G20" s="420">
        <v>37142.829011918198</v>
      </c>
      <c r="H20" s="421">
        <v>37142.829011918198</v>
      </c>
      <c r="I20" s="153">
        <v>0</v>
      </c>
      <c r="J20" s="52"/>
      <c r="K20" s="113">
        <f t="shared" si="0"/>
        <v>37142.829011918198</v>
      </c>
      <c r="L20" s="54">
        <f t="shared" si="6"/>
        <v>0</v>
      </c>
      <c r="M20" s="113">
        <f t="shared" si="2"/>
        <v>37142.829011918198</v>
      </c>
      <c r="N20" s="54">
        <f t="shared" si="7"/>
        <v>0</v>
      </c>
      <c r="O20" s="54">
        <f>+N20-L20</f>
        <v>0</v>
      </c>
      <c r="P20" s="1"/>
    </row>
    <row r="21" spans="2:16" ht="12.5">
      <c r="B21" s="7" t="str">
        <f t="shared" si="5"/>
        <v/>
      </c>
      <c r="C21" s="50">
        <f>IF(D12="","-",+C20+1)</f>
        <v>2015</v>
      </c>
      <c r="D21" s="151">
        <v>231345.21428571426</v>
      </c>
      <c r="E21" s="420">
        <v>5931.9285714285716</v>
      </c>
      <c r="F21" s="151">
        <v>225413.28571428568</v>
      </c>
      <c r="G21" s="420">
        <v>35619.940503574464</v>
      </c>
      <c r="H21" s="421">
        <v>35619.940503574464</v>
      </c>
      <c r="I21" s="52">
        <v>0</v>
      </c>
      <c r="J21" s="52"/>
      <c r="K21" s="113">
        <f t="shared" si="0"/>
        <v>35619.940503574464</v>
      </c>
      <c r="L21" s="54">
        <f t="shared" si="6"/>
        <v>0</v>
      </c>
      <c r="M21" s="113">
        <f t="shared" si="2"/>
        <v>35619.940503574464</v>
      </c>
      <c r="N21" s="54">
        <f t="shared" si="7"/>
        <v>0</v>
      </c>
      <c r="O21" s="54">
        <f>+N21-L21</f>
        <v>0</v>
      </c>
      <c r="P21" s="1"/>
    </row>
    <row r="22" spans="2:16" ht="12.5">
      <c r="B22" s="7" t="str">
        <f t="shared" si="5"/>
        <v/>
      </c>
      <c r="C22" s="50">
        <f>IF(D11="","-",+C21+1)</f>
        <v>2016</v>
      </c>
      <c r="D22" s="151">
        <v>225413.28571428568</v>
      </c>
      <c r="E22" s="420">
        <v>5931.9285714285716</v>
      </c>
      <c r="F22" s="151">
        <v>219481.3571428571</v>
      </c>
      <c r="G22" s="420">
        <v>34482.05802568973</v>
      </c>
      <c r="H22" s="421">
        <v>34482.05802568973</v>
      </c>
      <c r="I22" s="52">
        <f t="shared" ref="I22:I49" si="8">H22-G22</f>
        <v>0</v>
      </c>
      <c r="J22" s="52"/>
      <c r="K22" s="113">
        <f t="shared" si="0"/>
        <v>34482.05802568973</v>
      </c>
      <c r="L22" s="54">
        <f t="shared" si="6"/>
        <v>0</v>
      </c>
      <c r="M22" s="113">
        <f t="shared" si="2"/>
        <v>34482.05802568973</v>
      </c>
      <c r="N22" s="54">
        <f t="shared" si="7"/>
        <v>0</v>
      </c>
      <c r="O22" s="54">
        <f>+N22-L22</f>
        <v>0</v>
      </c>
      <c r="P22" s="1"/>
    </row>
    <row r="23" spans="2:16" ht="12.5">
      <c r="B23" s="7" t="str">
        <f t="shared" si="5"/>
        <v/>
      </c>
      <c r="C23" s="50">
        <f>IF(D11="","-",+C22+1)</f>
        <v>2017</v>
      </c>
      <c r="D23" s="151">
        <v>219481.3571428571</v>
      </c>
      <c r="E23" s="420">
        <v>5793.9767441860467</v>
      </c>
      <c r="F23" s="151">
        <v>213687.38039867106</v>
      </c>
      <c r="G23" s="420">
        <v>32627.162932907937</v>
      </c>
      <c r="H23" s="421">
        <v>32627.162932907937</v>
      </c>
      <c r="I23" s="52">
        <f t="shared" si="8"/>
        <v>0</v>
      </c>
      <c r="J23" s="52"/>
      <c r="K23" s="113">
        <f t="shared" ref="K23:K28" si="9">G23</f>
        <v>32627.162932907937</v>
      </c>
      <c r="L23" s="54">
        <f t="shared" si="6"/>
        <v>0</v>
      </c>
      <c r="M23" s="113">
        <f t="shared" ref="M23:M28" si="10">H23</f>
        <v>32627.162932907937</v>
      </c>
      <c r="N23" s="54">
        <f t="shared" si="7"/>
        <v>0</v>
      </c>
      <c r="O23" s="54">
        <f>+N23-L23</f>
        <v>0</v>
      </c>
      <c r="P23" s="1"/>
    </row>
    <row r="24" spans="2:16" ht="12.5">
      <c r="B24" s="7" t="str">
        <f t="shared" si="5"/>
        <v/>
      </c>
      <c r="C24" s="50">
        <f>IF(D11="","-",+C23+1)</f>
        <v>2018</v>
      </c>
      <c r="D24" s="151">
        <v>213687.38039867106</v>
      </c>
      <c r="E24" s="420">
        <v>6076.6097560975613</v>
      </c>
      <c r="F24" s="151">
        <v>207610.77064257348</v>
      </c>
      <c r="G24" s="420">
        <v>32848.86419946191</v>
      </c>
      <c r="H24" s="421">
        <v>32848.86419946191</v>
      </c>
      <c r="I24" s="52">
        <f t="shared" si="8"/>
        <v>0</v>
      </c>
      <c r="J24" s="52"/>
      <c r="K24" s="113">
        <f t="shared" si="9"/>
        <v>32848.86419946191</v>
      </c>
      <c r="L24" s="54">
        <f t="shared" si="6"/>
        <v>0</v>
      </c>
      <c r="M24" s="113">
        <f t="shared" si="10"/>
        <v>32848.86419946191</v>
      </c>
      <c r="N24" s="54">
        <f t="shared" si="7"/>
        <v>0</v>
      </c>
      <c r="O24" s="54">
        <f>+N24-L24</f>
        <v>0</v>
      </c>
      <c r="P24" s="1"/>
    </row>
    <row r="25" spans="2:16" ht="12.5">
      <c r="B25" s="7" t="str">
        <f t="shared" si="5"/>
        <v/>
      </c>
      <c r="C25" s="50">
        <f>IF(D11="","-",+C24+1)</f>
        <v>2019</v>
      </c>
      <c r="D25" s="151">
        <v>207610.77064257348</v>
      </c>
      <c r="E25" s="420">
        <v>6076.6097560975613</v>
      </c>
      <c r="F25" s="151">
        <v>201534.16088647593</v>
      </c>
      <c r="G25" s="420">
        <v>32076.562957972019</v>
      </c>
      <c r="H25" s="421">
        <v>32076.562957972019</v>
      </c>
      <c r="I25" s="52">
        <f t="shared" si="8"/>
        <v>0</v>
      </c>
      <c r="J25" s="52"/>
      <c r="K25" s="113">
        <f t="shared" si="9"/>
        <v>32076.562957972019</v>
      </c>
      <c r="L25" s="54">
        <f t="shared" ref="L25" si="11">IF(K25&lt;&gt;0,+G25-K25,0)</f>
        <v>0</v>
      </c>
      <c r="M25" s="113">
        <f t="shared" si="10"/>
        <v>32076.562957972019</v>
      </c>
      <c r="N25" s="54">
        <f t="shared" si="3"/>
        <v>0</v>
      </c>
      <c r="O25" s="54">
        <f t="shared" si="4"/>
        <v>0</v>
      </c>
      <c r="P25" s="1"/>
    </row>
    <row r="26" spans="2:16" ht="12.5">
      <c r="B26" s="7" t="str">
        <f t="shared" si="5"/>
        <v/>
      </c>
      <c r="C26" s="50">
        <f>IF(D11="","-",+C25+1)</f>
        <v>2020</v>
      </c>
      <c r="D26" s="151">
        <v>201534.16088647593</v>
      </c>
      <c r="E26" s="420">
        <v>6076.6097560975613</v>
      </c>
      <c r="F26" s="151">
        <v>195457.55113037839</v>
      </c>
      <c r="G26" s="420">
        <v>26389.773553263374</v>
      </c>
      <c r="H26" s="421">
        <v>26389.773553263374</v>
      </c>
      <c r="I26" s="52">
        <f t="shared" si="8"/>
        <v>0</v>
      </c>
      <c r="J26" s="52"/>
      <c r="K26" s="113">
        <f t="shared" si="9"/>
        <v>26389.773553263374</v>
      </c>
      <c r="L26" s="54">
        <f t="shared" ref="L26" si="12">IF(K26&lt;&gt;0,+G26-K26,0)</f>
        <v>0</v>
      </c>
      <c r="M26" s="113">
        <f t="shared" si="10"/>
        <v>26389.773553263374</v>
      </c>
      <c r="N26" s="54">
        <f t="shared" si="3"/>
        <v>0</v>
      </c>
      <c r="O26" s="54">
        <f t="shared" si="4"/>
        <v>0</v>
      </c>
      <c r="P26" s="1"/>
    </row>
    <row r="27" spans="2:16" ht="12.5">
      <c r="B27" s="7" t="str">
        <f t="shared" si="5"/>
        <v>IU</v>
      </c>
      <c r="C27" s="50">
        <f>IF(D11="","-",+C26+1)</f>
        <v>2021</v>
      </c>
      <c r="D27" s="151">
        <v>195740.18414228992</v>
      </c>
      <c r="E27" s="420">
        <v>5931.9285714285716</v>
      </c>
      <c r="F27" s="151">
        <v>189808.25557086134</v>
      </c>
      <c r="G27" s="420">
        <v>26366.872043271276</v>
      </c>
      <c r="H27" s="421">
        <v>26366.872043271276</v>
      </c>
      <c r="I27" s="52">
        <f t="shared" si="8"/>
        <v>0</v>
      </c>
      <c r="J27" s="52"/>
      <c r="K27" s="113">
        <f t="shared" si="9"/>
        <v>26366.872043271276</v>
      </c>
      <c r="L27" s="54">
        <f t="shared" ref="L27" si="13">IF(K27&lt;&gt;0,+G27-K27,0)</f>
        <v>0</v>
      </c>
      <c r="M27" s="113">
        <f t="shared" si="10"/>
        <v>26366.872043271276</v>
      </c>
      <c r="N27" s="54">
        <f t="shared" si="3"/>
        <v>0</v>
      </c>
      <c r="O27" s="54">
        <f t="shared" si="4"/>
        <v>0</v>
      </c>
      <c r="P27" s="1"/>
    </row>
    <row r="28" spans="2:16" ht="12.5">
      <c r="B28" s="7" t="str">
        <f t="shared" si="5"/>
        <v>IU</v>
      </c>
      <c r="C28" s="50">
        <f>IF(D11="","-",+C27+1)</f>
        <v>2022</v>
      </c>
      <c r="D28" s="151">
        <v>189525.62255894984</v>
      </c>
      <c r="E28" s="420">
        <v>5931.9285714285716</v>
      </c>
      <c r="F28" s="151">
        <v>183593.69398752126</v>
      </c>
      <c r="G28" s="420">
        <v>26909.46086077678</v>
      </c>
      <c r="H28" s="421">
        <v>26909.46086077678</v>
      </c>
      <c r="I28" s="52">
        <f t="shared" si="8"/>
        <v>0</v>
      </c>
      <c r="J28" s="52"/>
      <c r="K28" s="113">
        <f t="shared" si="9"/>
        <v>26909.46086077678</v>
      </c>
      <c r="L28" s="54">
        <f t="shared" ref="L28" si="14">IF(K28&lt;&gt;0,+G28-K28,0)</f>
        <v>0</v>
      </c>
      <c r="M28" s="113">
        <f t="shared" si="10"/>
        <v>26909.46086077678</v>
      </c>
      <c r="N28" s="54">
        <f t="shared" si="3"/>
        <v>0</v>
      </c>
      <c r="O28" s="54">
        <f t="shared" si="4"/>
        <v>0</v>
      </c>
      <c r="P28" s="1"/>
    </row>
    <row r="29" spans="2:16" ht="12.5">
      <c r="B29" s="7" t="str">
        <f t="shared" si="5"/>
        <v/>
      </c>
      <c r="C29" s="50">
        <f>IF(D11="","-",+C28+1)</f>
        <v>2023</v>
      </c>
      <c r="D29" s="151">
        <v>183593.69398752126</v>
      </c>
      <c r="E29" s="420">
        <v>5931.9285714285716</v>
      </c>
      <c r="F29" s="151">
        <v>177661.76541609268</v>
      </c>
      <c r="G29" s="420">
        <v>28750.049484710118</v>
      </c>
      <c r="H29" s="421">
        <v>28750.049484710118</v>
      </c>
      <c r="I29" s="52">
        <f t="shared" si="8"/>
        <v>0</v>
      </c>
      <c r="J29" s="52"/>
      <c r="K29" s="113">
        <f t="shared" ref="K29" si="15">G29</f>
        <v>28750.049484710118</v>
      </c>
      <c r="L29" s="54">
        <f t="shared" ref="L29" si="16">IF(K29&lt;&gt;0,+G29-K29,0)</f>
        <v>0</v>
      </c>
      <c r="M29" s="113">
        <f t="shared" ref="M29" si="17">H29</f>
        <v>28750.049484710118</v>
      </c>
      <c r="N29" s="54">
        <f t="shared" si="3"/>
        <v>0</v>
      </c>
      <c r="O29" s="54">
        <f t="shared" si="4"/>
        <v>0</v>
      </c>
      <c r="P29" s="1"/>
    </row>
    <row r="30" spans="2:16" ht="12.5">
      <c r="B30" s="7" t="str">
        <f t="shared" si="5"/>
        <v/>
      </c>
      <c r="C30" s="50">
        <f>IF(D11="","-",+C29+1)</f>
        <v>2024</v>
      </c>
      <c r="D30" s="151">
        <v>177661.76541609268</v>
      </c>
      <c r="E30" s="420">
        <v>5662.295454545455</v>
      </c>
      <c r="F30" s="151">
        <v>171999.46996154723</v>
      </c>
      <c r="G30" s="420">
        <v>26559.297712193376</v>
      </c>
      <c r="H30" s="421">
        <v>26559.297712193376</v>
      </c>
      <c r="I30" s="52">
        <f t="shared" si="8"/>
        <v>0</v>
      </c>
      <c r="J30" s="52"/>
      <c r="K30" s="113">
        <f t="shared" ref="K30" si="18">G30</f>
        <v>26559.297712193376</v>
      </c>
      <c r="L30" s="54">
        <f t="shared" ref="L30" si="19">IF(K30&lt;&gt;0,+G30-K30,0)</f>
        <v>0</v>
      </c>
      <c r="M30" s="113">
        <f t="shared" ref="M30" si="20">H30</f>
        <v>26559.297712193376</v>
      </c>
      <c r="N30" s="54">
        <f t="shared" ref="N30" si="21">IF(M30&lt;&gt;0,+H30-M30,0)</f>
        <v>0</v>
      </c>
      <c r="O30" s="54">
        <f t="shared" ref="O30" si="22">+N30-L30</f>
        <v>0</v>
      </c>
      <c r="P30" s="1"/>
    </row>
    <row r="31" spans="2:16" ht="12.5">
      <c r="B31" s="7" t="str">
        <f t="shared" si="5"/>
        <v/>
      </c>
      <c r="C31" s="50">
        <f>IF(D11="","-",+C30+1)</f>
        <v>2025</v>
      </c>
      <c r="D31" s="55">
        <f>IF(F30+SUM(E$17:E30)=D$10,F30,D$10-SUM(E$17:E30))</f>
        <v>171999.46996154723</v>
      </c>
      <c r="E31" s="378">
        <f>IF(+I14&lt;F30,I14,D31)</f>
        <v>5662.295454545455</v>
      </c>
      <c r="F31" s="55">
        <f t="shared" ref="F31:F49" si="23">+D31-E31</f>
        <v>166337.17450700179</v>
      </c>
      <c r="G31" s="379">
        <f t="shared" ref="G31:G54" si="24">+I$12*((D31+F31)/2)+E31</f>
        <v>25882.499777933877</v>
      </c>
      <c r="H31" s="364">
        <f t="shared" ref="H31:H54" si="25">+I$13*((D31+F31)/2)+E31</f>
        <v>25882.499777933877</v>
      </c>
      <c r="I31" s="52">
        <f t="shared" si="8"/>
        <v>0</v>
      </c>
      <c r="J31" s="52"/>
      <c r="K31" s="129"/>
      <c r="L31" s="54">
        <f t="shared" si="1"/>
        <v>0</v>
      </c>
      <c r="M31" s="129"/>
      <c r="N31" s="54">
        <f t="shared" si="3"/>
        <v>0</v>
      </c>
      <c r="O31" s="54">
        <f t="shared" si="4"/>
        <v>0</v>
      </c>
      <c r="P31" s="1"/>
    </row>
    <row r="32" spans="2:16" ht="12.5">
      <c r="B32" s="7" t="str">
        <f t="shared" si="5"/>
        <v/>
      </c>
      <c r="C32" s="50">
        <f>IF(D11="","-",+C31+1)</f>
        <v>2026</v>
      </c>
      <c r="D32" s="55">
        <f>IF(F31+SUM(E$17:E31)=D$10,F31,D$10-SUM(E$17:E31))</f>
        <v>166337.17450700179</v>
      </c>
      <c r="E32" s="378">
        <f>IF(+I14&lt;F31,I14,D32)</f>
        <v>5662.295454545455</v>
      </c>
      <c r="F32" s="55">
        <f t="shared" si="23"/>
        <v>160674.87905245635</v>
      </c>
      <c r="G32" s="379">
        <f t="shared" si="24"/>
        <v>25205.701843674375</v>
      </c>
      <c r="H32" s="364">
        <f t="shared" si="25"/>
        <v>25205.701843674375</v>
      </c>
      <c r="I32" s="52">
        <f t="shared" si="8"/>
        <v>0</v>
      </c>
      <c r="J32" s="52"/>
      <c r="K32" s="129"/>
      <c r="L32" s="54">
        <f t="shared" si="1"/>
        <v>0</v>
      </c>
      <c r="M32" s="129"/>
      <c r="N32" s="54">
        <f t="shared" si="3"/>
        <v>0</v>
      </c>
      <c r="O32" s="54">
        <f t="shared" si="4"/>
        <v>0</v>
      </c>
      <c r="P32" s="1"/>
    </row>
    <row r="33" spans="2:16" ht="12.5">
      <c r="B33" s="7" t="str">
        <f t="shared" si="5"/>
        <v/>
      </c>
      <c r="C33" s="50">
        <f>IF(D11="","-",+C32+1)</f>
        <v>2027</v>
      </c>
      <c r="D33" s="55">
        <f>IF(F32+SUM(E$17:E32)=D$10,F32,D$10-SUM(E$17:E32))</f>
        <v>160674.87905245635</v>
      </c>
      <c r="E33" s="378">
        <f>IF(+I14&lt;F32,I14,D33)</f>
        <v>5662.295454545455</v>
      </c>
      <c r="F33" s="55">
        <f t="shared" si="23"/>
        <v>155012.58359791091</v>
      </c>
      <c r="G33" s="379">
        <f t="shared" si="24"/>
        <v>24528.903909414879</v>
      </c>
      <c r="H33" s="364">
        <f t="shared" si="25"/>
        <v>24528.903909414879</v>
      </c>
      <c r="I33" s="52">
        <f t="shared" si="8"/>
        <v>0</v>
      </c>
      <c r="J33" s="52"/>
      <c r="K33" s="129"/>
      <c r="L33" s="54">
        <f t="shared" si="1"/>
        <v>0</v>
      </c>
      <c r="M33" s="129"/>
      <c r="N33" s="54">
        <f t="shared" si="3"/>
        <v>0</v>
      </c>
      <c r="O33" s="54">
        <f t="shared" si="4"/>
        <v>0</v>
      </c>
      <c r="P33" s="1"/>
    </row>
    <row r="34" spans="2:16" ht="12.5">
      <c r="B34" s="7" t="str">
        <f t="shared" si="5"/>
        <v/>
      </c>
      <c r="C34" s="50">
        <f>IF(D11="","-",+C33+1)</f>
        <v>2028</v>
      </c>
      <c r="D34" s="55">
        <f>IF(F33+SUM(E$17:E33)=D$10,F33,D$10-SUM(E$17:E33))</f>
        <v>155012.58359791091</v>
      </c>
      <c r="E34" s="378">
        <f>IF(+I14&lt;F33,I14,D34)</f>
        <v>5662.295454545455</v>
      </c>
      <c r="F34" s="55">
        <f t="shared" si="23"/>
        <v>149350.28814336547</v>
      </c>
      <c r="G34" s="379">
        <f t="shared" si="24"/>
        <v>23852.105975155377</v>
      </c>
      <c r="H34" s="364">
        <f t="shared" si="25"/>
        <v>23852.105975155377</v>
      </c>
      <c r="I34" s="52">
        <f t="shared" si="8"/>
        <v>0</v>
      </c>
      <c r="J34" s="52"/>
      <c r="K34" s="129"/>
      <c r="L34" s="54">
        <f t="shared" si="1"/>
        <v>0</v>
      </c>
      <c r="M34" s="129"/>
      <c r="N34" s="54">
        <f t="shared" si="3"/>
        <v>0</v>
      </c>
      <c r="O34" s="54">
        <f t="shared" si="4"/>
        <v>0</v>
      </c>
      <c r="P34" s="1"/>
    </row>
    <row r="35" spans="2:16" ht="12.5">
      <c r="B35" s="7" t="str">
        <f t="shared" si="5"/>
        <v/>
      </c>
      <c r="C35" s="50">
        <f>IF(D11="","-",+C34+1)</f>
        <v>2029</v>
      </c>
      <c r="D35" s="55">
        <f>IF(F34+SUM(E$17:E34)=D$10,F34,D$10-SUM(E$17:E34))</f>
        <v>149350.28814336547</v>
      </c>
      <c r="E35" s="378">
        <f>IF(+I14&lt;F34,I14,D35)</f>
        <v>5662.295454545455</v>
      </c>
      <c r="F35" s="55">
        <f t="shared" si="23"/>
        <v>143687.99268882003</v>
      </c>
      <c r="G35" s="379">
        <f t="shared" si="24"/>
        <v>23175.308040895881</v>
      </c>
      <c r="H35" s="364">
        <f t="shared" si="25"/>
        <v>23175.308040895881</v>
      </c>
      <c r="I35" s="52">
        <f t="shared" si="8"/>
        <v>0</v>
      </c>
      <c r="J35" s="52"/>
      <c r="K35" s="129"/>
      <c r="L35" s="54">
        <f t="shared" si="1"/>
        <v>0</v>
      </c>
      <c r="M35" s="129"/>
      <c r="N35" s="54">
        <f t="shared" si="3"/>
        <v>0</v>
      </c>
      <c r="O35" s="54">
        <f t="shared" si="4"/>
        <v>0</v>
      </c>
      <c r="P35" s="1"/>
    </row>
    <row r="36" spans="2:16" ht="12.5">
      <c r="B36" s="7" t="str">
        <f t="shared" si="5"/>
        <v/>
      </c>
      <c r="C36" s="50">
        <f>IF(D11="","-",+C35+1)</f>
        <v>2030</v>
      </c>
      <c r="D36" s="55">
        <f>IF(F35+SUM(E$17:E35)=D$10,F35,D$10-SUM(E$17:E35))</f>
        <v>143687.99268882003</v>
      </c>
      <c r="E36" s="378">
        <f>IF(+I14&lt;F35,I14,D36)</f>
        <v>5662.295454545455</v>
      </c>
      <c r="F36" s="55">
        <f t="shared" si="23"/>
        <v>138025.69723427459</v>
      </c>
      <c r="G36" s="379">
        <f t="shared" si="24"/>
        <v>22498.510106636379</v>
      </c>
      <c r="H36" s="364">
        <f t="shared" si="25"/>
        <v>22498.510106636379</v>
      </c>
      <c r="I36" s="52">
        <f t="shared" si="8"/>
        <v>0</v>
      </c>
      <c r="J36" s="52"/>
      <c r="K36" s="129"/>
      <c r="L36" s="54">
        <f t="shared" si="1"/>
        <v>0</v>
      </c>
      <c r="M36" s="129"/>
      <c r="N36" s="54">
        <f t="shared" si="3"/>
        <v>0</v>
      </c>
      <c r="O36" s="54">
        <f t="shared" si="4"/>
        <v>0</v>
      </c>
      <c r="P36" s="1"/>
    </row>
    <row r="37" spans="2:16" ht="12.5">
      <c r="B37" s="7" t="str">
        <f t="shared" si="5"/>
        <v/>
      </c>
      <c r="C37" s="50">
        <f>IF(D11="","-",+C36+1)</f>
        <v>2031</v>
      </c>
      <c r="D37" s="55">
        <f>IF(F36+SUM(E$17:E36)=D$10,F36,D$10-SUM(E$17:E36))</f>
        <v>138025.69723427459</v>
      </c>
      <c r="E37" s="378">
        <f>IF(+I14&lt;F36,I14,D37)</f>
        <v>5662.295454545455</v>
      </c>
      <c r="F37" s="55">
        <f t="shared" si="23"/>
        <v>132363.40177972915</v>
      </c>
      <c r="G37" s="379">
        <f t="shared" si="24"/>
        <v>21821.712172376883</v>
      </c>
      <c r="H37" s="364">
        <f t="shared" si="25"/>
        <v>21821.712172376883</v>
      </c>
      <c r="I37" s="52">
        <f t="shared" si="8"/>
        <v>0</v>
      </c>
      <c r="J37" s="52"/>
      <c r="K37" s="129"/>
      <c r="L37" s="54">
        <f t="shared" si="1"/>
        <v>0</v>
      </c>
      <c r="M37" s="129"/>
      <c r="N37" s="54">
        <f t="shared" si="3"/>
        <v>0</v>
      </c>
      <c r="O37" s="54">
        <f t="shared" si="4"/>
        <v>0</v>
      </c>
      <c r="P37" s="1"/>
    </row>
    <row r="38" spans="2:16" ht="12.5">
      <c r="B38" s="7" t="str">
        <f t="shared" si="5"/>
        <v/>
      </c>
      <c r="C38" s="50">
        <f>IF(D11="","-",+C37+1)</f>
        <v>2032</v>
      </c>
      <c r="D38" s="55">
        <f>IF(F37+SUM(E$17:E37)=D$10,F37,D$10-SUM(E$17:E37))</f>
        <v>132363.40177972915</v>
      </c>
      <c r="E38" s="378">
        <f>IF(+I14&lt;F37,I14,D38)</f>
        <v>5662.295454545455</v>
      </c>
      <c r="F38" s="55">
        <f t="shared" si="23"/>
        <v>126701.10632518369</v>
      </c>
      <c r="G38" s="379">
        <f t="shared" si="24"/>
        <v>21144.914238117377</v>
      </c>
      <c r="H38" s="364">
        <f t="shared" si="25"/>
        <v>21144.914238117377</v>
      </c>
      <c r="I38" s="52">
        <f t="shared" si="8"/>
        <v>0</v>
      </c>
      <c r="J38" s="52"/>
      <c r="K38" s="129"/>
      <c r="L38" s="54">
        <f t="shared" si="1"/>
        <v>0</v>
      </c>
      <c r="M38" s="129"/>
      <c r="N38" s="54">
        <f t="shared" si="3"/>
        <v>0</v>
      </c>
      <c r="O38" s="54">
        <f t="shared" si="4"/>
        <v>0</v>
      </c>
      <c r="P38" s="1"/>
    </row>
    <row r="39" spans="2:16" ht="12.5">
      <c r="B39" s="7" t="str">
        <f t="shared" si="5"/>
        <v/>
      </c>
      <c r="C39" s="50">
        <f>IF(D11="","-",+C38+1)</f>
        <v>2033</v>
      </c>
      <c r="D39" s="55">
        <f>IF(F38+SUM(E$17:E38)=D$10,F38,D$10-SUM(E$17:E38))</f>
        <v>126701.10632518369</v>
      </c>
      <c r="E39" s="378">
        <f>IF(+I14&lt;F38,I14,D39)</f>
        <v>5662.295454545455</v>
      </c>
      <c r="F39" s="55">
        <f t="shared" si="23"/>
        <v>121038.81087063823</v>
      </c>
      <c r="G39" s="379">
        <f t="shared" si="24"/>
        <v>20468.116303857878</v>
      </c>
      <c r="H39" s="364">
        <f t="shared" si="25"/>
        <v>20468.116303857878</v>
      </c>
      <c r="I39" s="52">
        <f t="shared" si="8"/>
        <v>0</v>
      </c>
      <c r="J39" s="52"/>
      <c r="K39" s="129"/>
      <c r="L39" s="54">
        <f t="shared" si="1"/>
        <v>0</v>
      </c>
      <c r="M39" s="129"/>
      <c r="N39" s="54">
        <f t="shared" si="3"/>
        <v>0</v>
      </c>
      <c r="O39" s="54">
        <f t="shared" si="4"/>
        <v>0</v>
      </c>
      <c r="P39" s="1"/>
    </row>
    <row r="40" spans="2:16" ht="12.5">
      <c r="B40" s="7" t="str">
        <f t="shared" si="5"/>
        <v/>
      </c>
      <c r="C40" s="50">
        <f>IF(D11="","-",+C39+1)</f>
        <v>2034</v>
      </c>
      <c r="D40" s="55">
        <f>IF(F39+SUM(E$17:E39)=D$10,F39,D$10-SUM(E$17:E39))</f>
        <v>121038.81087063823</v>
      </c>
      <c r="E40" s="378">
        <f>IF(+I14&lt;F39,I14,D40)</f>
        <v>5662.295454545455</v>
      </c>
      <c r="F40" s="55">
        <f t="shared" si="23"/>
        <v>115376.51541609278</v>
      </c>
      <c r="G40" s="379">
        <f t="shared" si="24"/>
        <v>19791.318369598375</v>
      </c>
      <c r="H40" s="364">
        <f t="shared" si="25"/>
        <v>19791.318369598375</v>
      </c>
      <c r="I40" s="52">
        <f t="shared" si="8"/>
        <v>0</v>
      </c>
      <c r="J40" s="52"/>
      <c r="K40" s="129"/>
      <c r="L40" s="54">
        <f t="shared" si="1"/>
        <v>0</v>
      </c>
      <c r="M40" s="129"/>
      <c r="N40" s="54">
        <f t="shared" si="3"/>
        <v>0</v>
      </c>
      <c r="O40" s="54">
        <f t="shared" si="4"/>
        <v>0</v>
      </c>
      <c r="P40" s="1"/>
    </row>
    <row r="41" spans="2:16" ht="12.5">
      <c r="B41" s="7" t="str">
        <f t="shared" si="5"/>
        <v/>
      </c>
      <c r="C41" s="50">
        <f>IF(D11="","-",+C40+1)</f>
        <v>2035</v>
      </c>
      <c r="D41" s="55">
        <f>IF(F40+SUM(E$17:E40)=D$10,F40,D$10-SUM(E$17:E40))</f>
        <v>115376.51541609278</v>
      </c>
      <c r="E41" s="378">
        <f>IF(+I14&lt;F40,I14,D41)</f>
        <v>5662.295454545455</v>
      </c>
      <c r="F41" s="55">
        <f t="shared" si="23"/>
        <v>109714.21996154732</v>
      </c>
      <c r="G41" s="379">
        <f t="shared" si="24"/>
        <v>19114.520435338876</v>
      </c>
      <c r="H41" s="364">
        <f t="shared" si="25"/>
        <v>19114.520435338876</v>
      </c>
      <c r="I41" s="52">
        <f t="shared" si="8"/>
        <v>0</v>
      </c>
      <c r="J41" s="52"/>
      <c r="K41" s="129"/>
      <c r="L41" s="54">
        <f t="shared" si="1"/>
        <v>0</v>
      </c>
      <c r="M41" s="129"/>
      <c r="N41" s="54">
        <f t="shared" si="3"/>
        <v>0</v>
      </c>
      <c r="O41" s="54">
        <f t="shared" si="4"/>
        <v>0</v>
      </c>
      <c r="P41" s="1"/>
    </row>
    <row r="42" spans="2:16" ht="12.5">
      <c r="B42" s="7" t="str">
        <f t="shared" si="5"/>
        <v/>
      </c>
      <c r="C42" s="50">
        <f>IF(D11="","-",+C41+1)</f>
        <v>2036</v>
      </c>
      <c r="D42" s="55">
        <f>IF(F41+SUM(E$17:E41)=D$10,F41,D$10-SUM(E$17:E41))</f>
        <v>109714.21996154732</v>
      </c>
      <c r="E42" s="378">
        <f>IF(+I14&lt;F41,I14,D42)</f>
        <v>5662.295454545455</v>
      </c>
      <c r="F42" s="55">
        <f t="shared" si="23"/>
        <v>104051.92450700187</v>
      </c>
      <c r="G42" s="379">
        <f t="shared" si="24"/>
        <v>18437.722501079374</v>
      </c>
      <c r="H42" s="364">
        <f t="shared" si="25"/>
        <v>18437.722501079374</v>
      </c>
      <c r="I42" s="52">
        <f t="shared" si="8"/>
        <v>0</v>
      </c>
      <c r="J42" s="52"/>
      <c r="K42" s="129"/>
      <c r="L42" s="54">
        <f t="shared" si="1"/>
        <v>0</v>
      </c>
      <c r="M42" s="129"/>
      <c r="N42" s="54">
        <f t="shared" si="3"/>
        <v>0</v>
      </c>
      <c r="O42" s="54">
        <f t="shared" si="4"/>
        <v>0</v>
      </c>
      <c r="P42" s="1"/>
    </row>
    <row r="43" spans="2:16" ht="12.5">
      <c r="B43" s="7" t="str">
        <f t="shared" si="5"/>
        <v/>
      </c>
      <c r="C43" s="50">
        <f>IF(D11="","-",+C42+1)</f>
        <v>2037</v>
      </c>
      <c r="D43" s="55">
        <f>IF(F42+SUM(E$17:E42)=D$10,F42,D$10-SUM(E$17:E42))</f>
        <v>104051.92450700187</v>
      </c>
      <c r="E43" s="378">
        <f>IF(+I14&lt;F42,I14,D43)</f>
        <v>5662.295454545455</v>
      </c>
      <c r="F43" s="55">
        <f t="shared" si="23"/>
        <v>98389.62905245641</v>
      </c>
      <c r="G43" s="379">
        <f t="shared" si="24"/>
        <v>17760.924566819875</v>
      </c>
      <c r="H43" s="364">
        <f t="shared" si="25"/>
        <v>17760.924566819875</v>
      </c>
      <c r="I43" s="52">
        <f t="shared" si="8"/>
        <v>0</v>
      </c>
      <c r="J43" s="52"/>
      <c r="K43" s="129"/>
      <c r="L43" s="54">
        <f t="shared" si="1"/>
        <v>0</v>
      </c>
      <c r="M43" s="129"/>
      <c r="N43" s="54">
        <f t="shared" si="3"/>
        <v>0</v>
      </c>
      <c r="O43" s="54">
        <f t="shared" si="4"/>
        <v>0</v>
      </c>
      <c r="P43" s="1"/>
    </row>
    <row r="44" spans="2:16" ht="12.5">
      <c r="B44" s="7" t="str">
        <f t="shared" si="5"/>
        <v/>
      </c>
      <c r="C44" s="50">
        <f>IF(D11="","-",+C43+1)</f>
        <v>2038</v>
      </c>
      <c r="D44" s="55">
        <f>IF(F43+SUM(E$17:E43)=D$10,F43,D$10-SUM(E$17:E43))</f>
        <v>98389.62905245641</v>
      </c>
      <c r="E44" s="378">
        <f>IF(+I14&lt;F43,I14,D44)</f>
        <v>5662.295454545455</v>
      </c>
      <c r="F44" s="55">
        <f t="shared" si="23"/>
        <v>92727.333597910954</v>
      </c>
      <c r="G44" s="379">
        <f t="shared" si="24"/>
        <v>17084.126632560372</v>
      </c>
      <c r="H44" s="364">
        <f t="shared" si="25"/>
        <v>17084.126632560372</v>
      </c>
      <c r="I44" s="52">
        <f t="shared" si="8"/>
        <v>0</v>
      </c>
      <c r="J44" s="52"/>
      <c r="K44" s="129"/>
      <c r="L44" s="54">
        <f t="shared" si="1"/>
        <v>0</v>
      </c>
      <c r="M44" s="129"/>
      <c r="N44" s="54">
        <f t="shared" si="3"/>
        <v>0</v>
      </c>
      <c r="O44" s="54">
        <f t="shared" si="4"/>
        <v>0</v>
      </c>
      <c r="P44" s="1"/>
    </row>
    <row r="45" spans="2:16" ht="12.5">
      <c r="B45" s="7" t="str">
        <f t="shared" si="5"/>
        <v/>
      </c>
      <c r="C45" s="50">
        <f>IF(D11="","-",+C44+1)</f>
        <v>2039</v>
      </c>
      <c r="D45" s="55">
        <f>IF(F44+SUM(E$17:E44)=D$10,F44,D$10-SUM(E$17:E44))</f>
        <v>92727.333597910954</v>
      </c>
      <c r="E45" s="378">
        <f>IF(+I14&lt;F44,I14,D45)</f>
        <v>5662.295454545455</v>
      </c>
      <c r="F45" s="55">
        <f t="shared" si="23"/>
        <v>87065.038143365498</v>
      </c>
      <c r="G45" s="379">
        <f t="shared" si="24"/>
        <v>16407.328698300873</v>
      </c>
      <c r="H45" s="364">
        <f t="shared" si="25"/>
        <v>16407.328698300873</v>
      </c>
      <c r="I45" s="52">
        <f t="shared" si="8"/>
        <v>0</v>
      </c>
      <c r="J45" s="52"/>
      <c r="K45" s="129"/>
      <c r="L45" s="54">
        <f t="shared" si="1"/>
        <v>0</v>
      </c>
      <c r="M45" s="129"/>
      <c r="N45" s="54">
        <f t="shared" si="3"/>
        <v>0</v>
      </c>
      <c r="O45" s="54">
        <f t="shared" si="4"/>
        <v>0</v>
      </c>
      <c r="P45" s="1"/>
    </row>
    <row r="46" spans="2:16" ht="12.5">
      <c r="B46" s="7" t="str">
        <f t="shared" si="5"/>
        <v/>
      </c>
      <c r="C46" s="50">
        <f>IF(D11="","-",+C45+1)</f>
        <v>2040</v>
      </c>
      <c r="D46" s="55">
        <f>IF(F45+SUM(E$17:E45)=D$10,F45,D$10-SUM(E$17:E45))</f>
        <v>87065.038143365498</v>
      </c>
      <c r="E46" s="378">
        <f>IF(+I14&lt;F45,I14,D46)</f>
        <v>5662.295454545455</v>
      </c>
      <c r="F46" s="55">
        <f t="shared" si="23"/>
        <v>81402.742688820043</v>
      </c>
      <c r="G46" s="379">
        <f t="shared" si="24"/>
        <v>15730.53076404137</v>
      </c>
      <c r="H46" s="364">
        <f t="shared" si="25"/>
        <v>15730.53076404137</v>
      </c>
      <c r="I46" s="52">
        <f t="shared" si="8"/>
        <v>0</v>
      </c>
      <c r="J46" s="52"/>
      <c r="K46" s="129"/>
      <c r="L46" s="54">
        <f t="shared" si="1"/>
        <v>0</v>
      </c>
      <c r="M46" s="129"/>
      <c r="N46" s="54">
        <f t="shared" si="3"/>
        <v>0</v>
      </c>
      <c r="O46" s="54">
        <f t="shared" si="4"/>
        <v>0</v>
      </c>
      <c r="P46" s="1"/>
    </row>
    <row r="47" spans="2:16" ht="12.5">
      <c r="B47" s="7" t="str">
        <f t="shared" si="5"/>
        <v/>
      </c>
      <c r="C47" s="50">
        <f>IF(D11="","-",+C46+1)</f>
        <v>2041</v>
      </c>
      <c r="D47" s="55">
        <f>IF(F46+SUM(E$17:E46)=D$10,F46,D$10-SUM(E$17:E46))</f>
        <v>81402.742688820043</v>
      </c>
      <c r="E47" s="378">
        <f>IF(+I14&lt;F46,I14,D47)</f>
        <v>5662.295454545455</v>
      </c>
      <c r="F47" s="55">
        <f t="shared" si="23"/>
        <v>75740.447234274587</v>
      </c>
      <c r="G47" s="379">
        <f t="shared" si="24"/>
        <v>15053.732829781871</v>
      </c>
      <c r="H47" s="364">
        <f t="shared" si="25"/>
        <v>15053.732829781871</v>
      </c>
      <c r="I47" s="52">
        <f t="shared" si="8"/>
        <v>0</v>
      </c>
      <c r="J47" s="52"/>
      <c r="K47" s="129"/>
      <c r="L47" s="54">
        <f t="shared" si="1"/>
        <v>0</v>
      </c>
      <c r="M47" s="129"/>
      <c r="N47" s="54">
        <f t="shared" si="3"/>
        <v>0</v>
      </c>
      <c r="O47" s="54">
        <f t="shared" si="4"/>
        <v>0</v>
      </c>
      <c r="P47" s="1"/>
    </row>
    <row r="48" spans="2:16" ht="12.5">
      <c r="B48" s="7" t="str">
        <f t="shared" si="5"/>
        <v/>
      </c>
      <c r="C48" s="50">
        <f>IF(D11="","-",+C47+1)</f>
        <v>2042</v>
      </c>
      <c r="D48" s="55">
        <f>IF(F47+SUM(E$17:E47)=D$10,F47,D$10-SUM(E$17:E47))</f>
        <v>75740.447234274587</v>
      </c>
      <c r="E48" s="378">
        <f>IF(+I14&lt;F47,I14,D48)</f>
        <v>5662.295454545455</v>
      </c>
      <c r="F48" s="55">
        <f t="shared" si="23"/>
        <v>70078.151779729131</v>
      </c>
      <c r="G48" s="379">
        <f t="shared" si="24"/>
        <v>14376.934895522369</v>
      </c>
      <c r="H48" s="364">
        <f t="shared" si="25"/>
        <v>14376.934895522369</v>
      </c>
      <c r="I48" s="52">
        <f t="shared" si="8"/>
        <v>0</v>
      </c>
      <c r="J48" s="52"/>
      <c r="K48" s="129"/>
      <c r="L48" s="54">
        <f t="shared" si="1"/>
        <v>0</v>
      </c>
      <c r="M48" s="129"/>
      <c r="N48" s="54">
        <f t="shared" si="3"/>
        <v>0</v>
      </c>
      <c r="O48" s="54">
        <f t="shared" si="4"/>
        <v>0</v>
      </c>
      <c r="P48" s="1"/>
    </row>
    <row r="49" spans="2:17" ht="12.5">
      <c r="B49" s="7" t="str">
        <f t="shared" si="5"/>
        <v/>
      </c>
      <c r="C49" s="50">
        <f>IF(D11="","-",+C48+1)</f>
        <v>2043</v>
      </c>
      <c r="D49" s="55">
        <f>IF(F48+SUM(E$17:E48)=D$10,F48,D$10-SUM(E$17:E48))</f>
        <v>70078.151779729131</v>
      </c>
      <c r="E49" s="378">
        <f>IF(+I14&lt;F48,I14,D49)</f>
        <v>5662.295454545455</v>
      </c>
      <c r="F49" s="55">
        <f t="shared" si="23"/>
        <v>64415.856325183675</v>
      </c>
      <c r="G49" s="379">
        <f t="shared" si="24"/>
        <v>13700.136961262868</v>
      </c>
      <c r="H49" s="364">
        <f t="shared" si="25"/>
        <v>13700.136961262868</v>
      </c>
      <c r="I49" s="52">
        <f t="shared" si="8"/>
        <v>0</v>
      </c>
      <c r="J49" s="52"/>
      <c r="K49" s="129"/>
      <c r="L49" s="54">
        <f t="shared" ref="L49:L72" si="26">IF(K49&lt;&gt;0,+G49-K49,0)</f>
        <v>0</v>
      </c>
      <c r="M49" s="129"/>
      <c r="N49" s="54">
        <f t="shared" ref="N49:N72" si="27">IF(M49&lt;&gt;0,+H49-M49,0)</f>
        <v>0</v>
      </c>
      <c r="O49" s="54">
        <f t="shared" ref="O49:O72" si="28">+N49-L49</f>
        <v>0</v>
      </c>
      <c r="P49" s="1"/>
    </row>
    <row r="50" spans="2:17" ht="12.5">
      <c r="B50" s="7" t="str">
        <f t="shared" ref="B50:B72" si="29">IF(D50=F49,"","IU")</f>
        <v/>
      </c>
      <c r="C50" s="50">
        <f>IF(D11="","-",+C49+1)</f>
        <v>2044</v>
      </c>
      <c r="D50" s="55">
        <f>IF(F49+SUM(E$17:E49)=D$10,F49,D$10-SUM(E$17:E49))</f>
        <v>64415.856325183675</v>
      </c>
      <c r="E50" s="378">
        <f>IF(+I14&lt;F49,I14,D50)</f>
        <v>5662.295454545455</v>
      </c>
      <c r="F50" s="55">
        <f t="shared" ref="F50:F72" si="30">+D50-E50</f>
        <v>58753.560870638219</v>
      </c>
      <c r="G50" s="379">
        <f t="shared" si="24"/>
        <v>13023.339027003365</v>
      </c>
      <c r="H50" s="364">
        <f t="shared" si="25"/>
        <v>13023.339027003365</v>
      </c>
      <c r="I50" s="52">
        <f t="shared" ref="I50:I72" si="31">H50-G50</f>
        <v>0</v>
      </c>
      <c r="J50" s="52"/>
      <c r="K50" s="129"/>
      <c r="L50" s="54">
        <f t="shared" si="26"/>
        <v>0</v>
      </c>
      <c r="M50" s="129"/>
      <c r="N50" s="54">
        <f t="shared" si="27"/>
        <v>0</v>
      </c>
      <c r="O50" s="54">
        <f t="shared" si="28"/>
        <v>0</v>
      </c>
      <c r="P50" s="1"/>
    </row>
    <row r="51" spans="2:17" ht="12.5">
      <c r="B51" s="7" t="str">
        <f t="shared" si="29"/>
        <v/>
      </c>
      <c r="C51" s="50">
        <f>IF(D11="","-",+C50+1)</f>
        <v>2045</v>
      </c>
      <c r="D51" s="55">
        <f>IF(F50+SUM(E$17:E50)=D$10,F50,D$10-SUM(E$17:E50))</f>
        <v>58753.560870638219</v>
      </c>
      <c r="E51" s="378">
        <f>IF(+I14&lt;F50,I14,D51)</f>
        <v>5662.295454545455</v>
      </c>
      <c r="F51" s="55">
        <f t="shared" si="30"/>
        <v>53091.265416092763</v>
      </c>
      <c r="G51" s="379">
        <f t="shared" si="24"/>
        <v>12346.541092743864</v>
      </c>
      <c r="H51" s="364">
        <f t="shared" si="25"/>
        <v>12346.541092743864</v>
      </c>
      <c r="I51" s="52">
        <f t="shared" si="31"/>
        <v>0</v>
      </c>
      <c r="J51" s="52"/>
      <c r="K51" s="129"/>
      <c r="L51" s="54">
        <f t="shared" si="26"/>
        <v>0</v>
      </c>
      <c r="M51" s="129"/>
      <c r="N51" s="54">
        <f t="shared" si="27"/>
        <v>0</v>
      </c>
      <c r="O51" s="54">
        <f t="shared" si="28"/>
        <v>0</v>
      </c>
      <c r="P51" s="1"/>
    </row>
    <row r="52" spans="2:17" ht="12.5">
      <c r="B52" s="7" t="str">
        <f t="shared" si="29"/>
        <v/>
      </c>
      <c r="C52" s="50">
        <f>IF(D11="","-",+C51+1)</f>
        <v>2046</v>
      </c>
      <c r="D52" s="55">
        <f>IF(F51+SUM(E$17:E51)=D$10,F51,D$10-SUM(E$17:E51))</f>
        <v>53091.265416092763</v>
      </c>
      <c r="E52" s="378">
        <f>IF(+I14&lt;F51,I14,D52)</f>
        <v>5662.295454545455</v>
      </c>
      <c r="F52" s="55">
        <f t="shared" si="30"/>
        <v>47428.969961547307</v>
      </c>
      <c r="G52" s="379">
        <f t="shared" si="24"/>
        <v>11669.743158484363</v>
      </c>
      <c r="H52" s="364">
        <f t="shared" si="25"/>
        <v>11669.743158484363</v>
      </c>
      <c r="I52" s="52">
        <f t="shared" si="31"/>
        <v>0</v>
      </c>
      <c r="J52" s="52"/>
      <c r="K52" s="129"/>
      <c r="L52" s="54">
        <f t="shared" si="26"/>
        <v>0</v>
      </c>
      <c r="M52" s="129"/>
      <c r="N52" s="54">
        <f t="shared" si="27"/>
        <v>0</v>
      </c>
      <c r="O52" s="54">
        <f t="shared" si="28"/>
        <v>0</v>
      </c>
      <c r="P52" s="1"/>
    </row>
    <row r="53" spans="2:17" ht="12.5">
      <c r="B53" s="7" t="str">
        <f t="shared" si="29"/>
        <v/>
      </c>
      <c r="C53" s="50">
        <f>IF(D11="","-",+C52+1)</f>
        <v>2047</v>
      </c>
      <c r="D53" s="55">
        <f>IF(F52+SUM(E$17:E52)=D$10,F52,D$10-SUM(E$17:E52))</f>
        <v>47428.969961547307</v>
      </c>
      <c r="E53" s="378">
        <f>IF(+I14&lt;F52,I14,D53)</f>
        <v>5662.295454545455</v>
      </c>
      <c r="F53" s="55">
        <f t="shared" si="30"/>
        <v>41766.674507001851</v>
      </c>
      <c r="G53" s="379">
        <f t="shared" si="24"/>
        <v>10992.945224224863</v>
      </c>
      <c r="H53" s="364">
        <f t="shared" si="25"/>
        <v>10992.945224224863</v>
      </c>
      <c r="I53" s="52">
        <f t="shared" si="31"/>
        <v>0</v>
      </c>
      <c r="J53" s="52"/>
      <c r="K53" s="129"/>
      <c r="L53" s="54">
        <f t="shared" si="26"/>
        <v>0</v>
      </c>
      <c r="M53" s="129"/>
      <c r="N53" s="54">
        <f t="shared" si="27"/>
        <v>0</v>
      </c>
      <c r="O53" s="54">
        <f t="shared" si="28"/>
        <v>0</v>
      </c>
      <c r="P53" s="1"/>
    </row>
    <row r="54" spans="2:17" ht="12.5">
      <c r="B54" s="7" t="str">
        <f t="shared" si="29"/>
        <v/>
      </c>
      <c r="C54" s="50">
        <f>IF(D11="","-",+C53+1)</f>
        <v>2048</v>
      </c>
      <c r="D54" s="55">
        <f>IF(F53+SUM(E$17:E53)=D$10,F53,D$10-SUM(E$17:E53))</f>
        <v>41766.674507001851</v>
      </c>
      <c r="E54" s="378">
        <f>IF(+I14&lt;F53,I14,D54)</f>
        <v>5662.295454545455</v>
      </c>
      <c r="F54" s="55">
        <f t="shared" si="30"/>
        <v>36104.379052456396</v>
      </c>
      <c r="G54" s="379">
        <f t="shared" si="24"/>
        <v>10316.14728996536</v>
      </c>
      <c r="H54" s="364">
        <f t="shared" si="25"/>
        <v>10316.14728996536</v>
      </c>
      <c r="I54" s="52">
        <f t="shared" si="31"/>
        <v>0</v>
      </c>
      <c r="J54" s="52"/>
      <c r="K54" s="129"/>
      <c r="L54" s="54">
        <f t="shared" si="26"/>
        <v>0</v>
      </c>
      <c r="M54" s="129"/>
      <c r="N54" s="54">
        <f t="shared" si="27"/>
        <v>0</v>
      </c>
      <c r="O54" s="54">
        <f t="shared" si="28"/>
        <v>0</v>
      </c>
      <c r="P54" s="1"/>
    </row>
    <row r="55" spans="2:17" ht="12.5">
      <c r="B55" s="7" t="str">
        <f t="shared" si="29"/>
        <v/>
      </c>
      <c r="C55" s="50">
        <f>IF(D11="","-",+C54+1)</f>
        <v>2049</v>
      </c>
      <c r="D55" s="55">
        <f>IF(F54+SUM(E$17:E54)=D$10,F54,D$10-SUM(E$17:E54))</f>
        <v>36104.379052456396</v>
      </c>
      <c r="E55" s="378">
        <f>IF(+I14&lt;F54,I14,D55)</f>
        <v>5662.295454545455</v>
      </c>
      <c r="F55" s="55">
        <f t="shared" si="30"/>
        <v>30442.08359791094</v>
      </c>
      <c r="G55" s="379">
        <f t="shared" ref="G55:G72" si="32">+I$12*((D55+F55)/2)+E55</f>
        <v>9639.3493557058591</v>
      </c>
      <c r="H55" s="364">
        <f t="shared" ref="H55:H72" si="33">+I$13*((D55+F55)/2)+E55</f>
        <v>9639.3493557058591</v>
      </c>
      <c r="I55" s="52">
        <f t="shared" si="31"/>
        <v>0</v>
      </c>
      <c r="J55" s="52"/>
      <c r="K55" s="129"/>
      <c r="L55" s="54">
        <f t="shared" si="26"/>
        <v>0</v>
      </c>
      <c r="M55" s="129"/>
      <c r="N55" s="54">
        <f t="shared" si="27"/>
        <v>0</v>
      </c>
      <c r="O55" s="54">
        <f t="shared" si="28"/>
        <v>0</v>
      </c>
      <c r="P55" s="1"/>
    </row>
    <row r="56" spans="2:17" ht="12.5">
      <c r="B56" s="7" t="str">
        <f t="shared" si="29"/>
        <v/>
      </c>
      <c r="C56" s="50">
        <f>IF(D11="","-",+C55+1)</f>
        <v>2050</v>
      </c>
      <c r="D56" s="55">
        <f>IF(F55+SUM(E$17:E55)=D$10,F55,D$10-SUM(E$17:E55))</f>
        <v>30442.08359791094</v>
      </c>
      <c r="E56" s="378">
        <f>IF(+I14&lt;F55,I14,D56)</f>
        <v>5662.295454545455</v>
      </c>
      <c r="F56" s="55">
        <f t="shared" si="30"/>
        <v>24779.788143365484</v>
      </c>
      <c r="G56" s="379">
        <f t="shared" si="32"/>
        <v>8962.5514214463583</v>
      </c>
      <c r="H56" s="364">
        <f t="shared" si="33"/>
        <v>8962.5514214463583</v>
      </c>
      <c r="I56" s="52">
        <f t="shared" si="31"/>
        <v>0</v>
      </c>
      <c r="J56" s="52"/>
      <c r="K56" s="129"/>
      <c r="L56" s="54">
        <f t="shared" si="26"/>
        <v>0</v>
      </c>
      <c r="M56" s="129"/>
      <c r="N56" s="54">
        <f t="shared" si="27"/>
        <v>0</v>
      </c>
      <c r="O56" s="54">
        <f t="shared" si="28"/>
        <v>0</v>
      </c>
      <c r="P56" s="1"/>
    </row>
    <row r="57" spans="2:17" ht="12.5">
      <c r="B57" s="7" t="str">
        <f t="shared" si="29"/>
        <v/>
      </c>
      <c r="C57" s="50">
        <f>IF(D11="","-",+C56+1)</f>
        <v>2051</v>
      </c>
      <c r="D57" s="55">
        <f>IF(F56+SUM(E$17:E56)=D$10,F56,D$10-SUM(E$17:E56))</f>
        <v>24779.788143365484</v>
      </c>
      <c r="E57" s="378">
        <f>IF(+I14&lt;F56,I14,D57)</f>
        <v>5662.295454545455</v>
      </c>
      <c r="F57" s="55">
        <f t="shared" si="30"/>
        <v>19117.492688820028</v>
      </c>
      <c r="G57" s="379">
        <f t="shared" si="32"/>
        <v>8285.7534871868575</v>
      </c>
      <c r="H57" s="364">
        <f t="shared" si="33"/>
        <v>8285.7534871868575</v>
      </c>
      <c r="I57" s="52">
        <f t="shared" si="31"/>
        <v>0</v>
      </c>
      <c r="J57" s="52"/>
      <c r="K57" s="129"/>
      <c r="L57" s="54">
        <f t="shared" si="26"/>
        <v>0</v>
      </c>
      <c r="M57" s="129"/>
      <c r="N57" s="54">
        <f t="shared" si="27"/>
        <v>0</v>
      </c>
      <c r="O57" s="54">
        <f t="shared" si="28"/>
        <v>0</v>
      </c>
      <c r="P57" s="1"/>
    </row>
    <row r="58" spans="2:17" ht="12.5">
      <c r="B58" s="7" t="str">
        <f t="shared" si="29"/>
        <v/>
      </c>
      <c r="C58" s="50">
        <f>IF(D11="","-",+C57+1)</f>
        <v>2052</v>
      </c>
      <c r="D58" s="55">
        <f>IF(F57+SUM(E$17:E57)=D$10,F57,D$10-SUM(E$17:E57))</f>
        <v>19117.492688820028</v>
      </c>
      <c r="E58" s="378">
        <f>IF(+I14&lt;F57,I14,D58)</f>
        <v>5662.295454545455</v>
      </c>
      <c r="F58" s="55">
        <f t="shared" si="30"/>
        <v>13455.197234274572</v>
      </c>
      <c r="G58" s="379">
        <f t="shared" si="32"/>
        <v>7608.9555529273557</v>
      </c>
      <c r="H58" s="364">
        <f t="shared" si="33"/>
        <v>7608.9555529273557</v>
      </c>
      <c r="I58" s="52">
        <f t="shared" si="31"/>
        <v>0</v>
      </c>
      <c r="J58" s="52"/>
      <c r="K58" s="129"/>
      <c r="L58" s="54">
        <f t="shared" si="26"/>
        <v>0</v>
      </c>
      <c r="M58" s="129"/>
      <c r="N58" s="54">
        <f t="shared" si="27"/>
        <v>0</v>
      </c>
      <c r="O58" s="54">
        <f t="shared" si="28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29"/>
        <v/>
      </c>
      <c r="C59" s="50">
        <f>IF(D11="","-",+C58+1)</f>
        <v>2053</v>
      </c>
      <c r="D59" s="55">
        <f>IF(F58+SUM(E$17:E58)=D$10,F58,D$10-SUM(E$17:E58))</f>
        <v>13455.197234274572</v>
      </c>
      <c r="E59" s="378">
        <f>IF(+I14&lt;F58,I14,D59)</f>
        <v>5662.295454545455</v>
      </c>
      <c r="F59" s="55">
        <f t="shared" si="30"/>
        <v>7792.9017797291172</v>
      </c>
      <c r="G59" s="379">
        <f t="shared" si="32"/>
        <v>6932.1576186678549</v>
      </c>
      <c r="H59" s="364">
        <f t="shared" si="33"/>
        <v>6932.1576186678549</v>
      </c>
      <c r="I59" s="52">
        <f t="shared" si="31"/>
        <v>0</v>
      </c>
      <c r="J59" s="52"/>
      <c r="K59" s="129"/>
      <c r="L59" s="54">
        <f t="shared" si="26"/>
        <v>0</v>
      </c>
      <c r="M59" s="129"/>
      <c r="N59" s="54">
        <f t="shared" si="27"/>
        <v>0</v>
      </c>
      <c r="O59" s="54">
        <f t="shared" si="28"/>
        <v>0</v>
      </c>
      <c r="P59" s="1"/>
    </row>
    <row r="60" spans="2:17" ht="12.5">
      <c r="B60" s="7" t="str">
        <f t="shared" si="29"/>
        <v/>
      </c>
      <c r="C60" s="50">
        <f>IF(D11="","-",+C59+1)</f>
        <v>2054</v>
      </c>
      <c r="D60" s="55">
        <f>IF(F59+SUM(E$17:E59)=D$10,F59,D$10-SUM(E$17:E59))</f>
        <v>7792.9017797291172</v>
      </c>
      <c r="E60" s="378">
        <f>IF(+I14&lt;F59,I14,D60)</f>
        <v>5662.295454545455</v>
      </c>
      <c r="F60" s="55">
        <f t="shared" si="30"/>
        <v>2130.6063251836622</v>
      </c>
      <c r="G60" s="379">
        <f t="shared" si="32"/>
        <v>6255.359684408354</v>
      </c>
      <c r="H60" s="364">
        <f t="shared" si="33"/>
        <v>6255.359684408354</v>
      </c>
      <c r="I60" s="52">
        <f t="shared" si="31"/>
        <v>0</v>
      </c>
      <c r="J60" s="52"/>
      <c r="K60" s="129"/>
      <c r="L60" s="54">
        <f t="shared" si="26"/>
        <v>0</v>
      </c>
      <c r="M60" s="129"/>
      <c r="N60" s="54">
        <f t="shared" si="27"/>
        <v>0</v>
      </c>
      <c r="O60" s="54">
        <f t="shared" si="28"/>
        <v>0</v>
      </c>
      <c r="P60" s="1"/>
    </row>
    <row r="61" spans="2:17" ht="12.5">
      <c r="B61" s="7" t="str">
        <f t="shared" si="29"/>
        <v/>
      </c>
      <c r="C61" s="50">
        <f>IF(D11="","-",+C60+1)</f>
        <v>2055</v>
      </c>
      <c r="D61" s="55">
        <f>IF(F60+SUM(E$17:E60)=D$10,F60,D$10-SUM(E$17:E60))</f>
        <v>2130.6063251836622</v>
      </c>
      <c r="E61" s="378">
        <f>IF(+I14&lt;F60,I14,D61)</f>
        <v>2130.6063251836622</v>
      </c>
      <c r="F61" s="55">
        <f t="shared" si="30"/>
        <v>0</v>
      </c>
      <c r="G61" s="380">
        <f t="shared" si="32"/>
        <v>2257.9389565502365</v>
      </c>
      <c r="H61" s="364">
        <f t="shared" si="33"/>
        <v>2257.9389565502365</v>
      </c>
      <c r="I61" s="52">
        <f t="shared" si="31"/>
        <v>0</v>
      </c>
      <c r="J61" s="52"/>
      <c r="K61" s="129"/>
      <c r="L61" s="54">
        <f t="shared" si="26"/>
        <v>0</v>
      </c>
      <c r="M61" s="129"/>
      <c r="N61" s="54">
        <f t="shared" si="27"/>
        <v>0</v>
      </c>
      <c r="O61" s="54">
        <f t="shared" si="28"/>
        <v>0</v>
      </c>
      <c r="P61" s="1"/>
    </row>
    <row r="62" spans="2:17" ht="12.5">
      <c r="B62" s="7" t="str">
        <f t="shared" si="29"/>
        <v/>
      </c>
      <c r="C62" s="50">
        <f>IF(D11="","-",+C61+1)</f>
        <v>2056</v>
      </c>
      <c r="D62" s="55">
        <f>IF(F61+SUM(E$17:E61)=D$10,F61,D$10-SUM(E$17:E61))</f>
        <v>0</v>
      </c>
      <c r="E62" s="378">
        <f>IF(+I14&lt;F61,I14,D62)</f>
        <v>0</v>
      </c>
      <c r="F62" s="55">
        <f t="shared" si="30"/>
        <v>0</v>
      </c>
      <c r="G62" s="380">
        <f t="shared" si="32"/>
        <v>0</v>
      </c>
      <c r="H62" s="364">
        <f t="shared" si="33"/>
        <v>0</v>
      </c>
      <c r="I62" s="52">
        <f t="shared" si="31"/>
        <v>0</v>
      </c>
      <c r="J62" s="52"/>
      <c r="K62" s="129"/>
      <c r="L62" s="54">
        <f t="shared" si="26"/>
        <v>0</v>
      </c>
      <c r="M62" s="129"/>
      <c r="N62" s="54">
        <f t="shared" si="27"/>
        <v>0</v>
      </c>
      <c r="O62" s="54">
        <f t="shared" si="28"/>
        <v>0</v>
      </c>
      <c r="P62" s="1"/>
    </row>
    <row r="63" spans="2:17" ht="12.5">
      <c r="B63" s="7" t="str">
        <f t="shared" si="29"/>
        <v/>
      </c>
      <c r="C63" s="50">
        <f>IF(D11="","-",+C62+1)</f>
        <v>2057</v>
      </c>
      <c r="D63" s="55">
        <f>IF(F62+SUM(E$17:E62)=D$10,F62,D$10-SUM(E$17:E62))</f>
        <v>0</v>
      </c>
      <c r="E63" s="378">
        <f>IF(+I14&lt;F62,I14,D63)</f>
        <v>0</v>
      </c>
      <c r="F63" s="55">
        <f t="shared" si="30"/>
        <v>0</v>
      </c>
      <c r="G63" s="380">
        <f t="shared" si="32"/>
        <v>0</v>
      </c>
      <c r="H63" s="364">
        <f t="shared" si="33"/>
        <v>0</v>
      </c>
      <c r="I63" s="52">
        <f t="shared" si="31"/>
        <v>0</v>
      </c>
      <c r="J63" s="52"/>
      <c r="K63" s="129"/>
      <c r="L63" s="54">
        <f t="shared" si="26"/>
        <v>0</v>
      </c>
      <c r="M63" s="129"/>
      <c r="N63" s="54">
        <f t="shared" si="27"/>
        <v>0</v>
      </c>
      <c r="O63" s="54">
        <f t="shared" si="28"/>
        <v>0</v>
      </c>
      <c r="P63" s="1"/>
    </row>
    <row r="64" spans="2:17" ht="12.5">
      <c r="B64" s="7" t="str">
        <f t="shared" si="29"/>
        <v/>
      </c>
      <c r="C64" s="50">
        <f>IF(D11="","-",+C63+1)</f>
        <v>2058</v>
      </c>
      <c r="D64" s="55">
        <f>IF(F63+SUM(E$17:E63)=D$10,F63,D$10-SUM(E$17:E63))</f>
        <v>0</v>
      </c>
      <c r="E64" s="378">
        <f>IF(+I14&lt;F63,I14,D64)</f>
        <v>0</v>
      </c>
      <c r="F64" s="55">
        <f t="shared" si="30"/>
        <v>0</v>
      </c>
      <c r="G64" s="380">
        <f t="shared" si="32"/>
        <v>0</v>
      </c>
      <c r="H64" s="364">
        <f t="shared" si="33"/>
        <v>0</v>
      </c>
      <c r="I64" s="52">
        <f t="shared" si="31"/>
        <v>0</v>
      </c>
      <c r="J64" s="52"/>
      <c r="K64" s="129"/>
      <c r="L64" s="54">
        <f t="shared" si="26"/>
        <v>0</v>
      </c>
      <c r="M64" s="129"/>
      <c r="N64" s="54">
        <f t="shared" si="27"/>
        <v>0</v>
      </c>
      <c r="O64" s="54">
        <f t="shared" si="28"/>
        <v>0</v>
      </c>
      <c r="P64" s="1"/>
    </row>
    <row r="65" spans="1:16" ht="12.5">
      <c r="B65" s="7" t="str">
        <f t="shared" si="29"/>
        <v/>
      </c>
      <c r="C65" s="50">
        <f>IF(D11="","-",+C64+1)</f>
        <v>2059</v>
      </c>
      <c r="D65" s="55">
        <f>IF(F64+SUM(E$17:E64)=D$10,F64,D$10-SUM(E$17:E64))</f>
        <v>0</v>
      </c>
      <c r="E65" s="378">
        <f>IF(+I14&lt;F64,I14,D65)</f>
        <v>0</v>
      </c>
      <c r="F65" s="55">
        <f t="shared" si="30"/>
        <v>0</v>
      </c>
      <c r="G65" s="380">
        <f t="shared" si="32"/>
        <v>0</v>
      </c>
      <c r="H65" s="364">
        <f t="shared" si="33"/>
        <v>0</v>
      </c>
      <c r="I65" s="52">
        <f t="shared" si="31"/>
        <v>0</v>
      </c>
      <c r="J65" s="52"/>
      <c r="K65" s="129"/>
      <c r="L65" s="54">
        <f t="shared" si="26"/>
        <v>0</v>
      </c>
      <c r="M65" s="129"/>
      <c r="N65" s="54">
        <f t="shared" si="27"/>
        <v>0</v>
      </c>
      <c r="O65" s="54">
        <f t="shared" si="28"/>
        <v>0</v>
      </c>
      <c r="P65" s="1"/>
    </row>
    <row r="66" spans="1:16" ht="12.5">
      <c r="B66" s="7" t="str">
        <f t="shared" si="29"/>
        <v/>
      </c>
      <c r="C66" s="50">
        <f>IF(D11="","-",+C65+1)</f>
        <v>2060</v>
      </c>
      <c r="D66" s="55">
        <f>IF(F65+SUM(E$17:E65)=D$10,F65,D$10-SUM(E$17:E65))</f>
        <v>0</v>
      </c>
      <c r="E66" s="378">
        <f>IF(+I14&lt;F65,I14,D66)</f>
        <v>0</v>
      </c>
      <c r="F66" s="55">
        <f t="shared" si="30"/>
        <v>0</v>
      </c>
      <c r="G66" s="380">
        <f t="shared" si="32"/>
        <v>0</v>
      </c>
      <c r="H66" s="364">
        <f t="shared" si="33"/>
        <v>0</v>
      </c>
      <c r="I66" s="52">
        <f t="shared" si="31"/>
        <v>0</v>
      </c>
      <c r="J66" s="52"/>
      <c r="K66" s="129"/>
      <c r="L66" s="54">
        <f t="shared" si="26"/>
        <v>0</v>
      </c>
      <c r="M66" s="129"/>
      <c r="N66" s="54">
        <f t="shared" si="27"/>
        <v>0</v>
      </c>
      <c r="O66" s="54">
        <f t="shared" si="28"/>
        <v>0</v>
      </c>
      <c r="P66" s="1"/>
    </row>
    <row r="67" spans="1:16" ht="12.5">
      <c r="B67" s="7" t="str">
        <f t="shared" si="29"/>
        <v/>
      </c>
      <c r="C67" s="50">
        <f>IF(D11="","-",+C66+1)</f>
        <v>2061</v>
      </c>
      <c r="D67" s="55">
        <f>IF(F66+SUM(E$17:E66)=D$10,F66,D$10-SUM(E$17:E66))</f>
        <v>0</v>
      </c>
      <c r="E67" s="378">
        <f>IF(+I14&lt;F66,I14,D67)</f>
        <v>0</v>
      </c>
      <c r="F67" s="55">
        <f t="shared" si="30"/>
        <v>0</v>
      </c>
      <c r="G67" s="380">
        <f t="shared" si="32"/>
        <v>0</v>
      </c>
      <c r="H67" s="364">
        <f t="shared" si="33"/>
        <v>0</v>
      </c>
      <c r="I67" s="52">
        <f t="shared" si="31"/>
        <v>0</v>
      </c>
      <c r="J67" s="52"/>
      <c r="K67" s="129"/>
      <c r="L67" s="54">
        <f t="shared" si="26"/>
        <v>0</v>
      </c>
      <c r="M67" s="129"/>
      <c r="N67" s="54">
        <f t="shared" si="27"/>
        <v>0</v>
      </c>
      <c r="O67" s="54">
        <f t="shared" si="28"/>
        <v>0</v>
      </c>
      <c r="P67" s="1"/>
    </row>
    <row r="68" spans="1:16" ht="12.5">
      <c r="B68" s="7" t="str">
        <f t="shared" si="29"/>
        <v/>
      </c>
      <c r="C68" s="50">
        <f>IF(D11="","-",+C67+1)</f>
        <v>2062</v>
      </c>
      <c r="D68" s="55">
        <f>IF(F67+SUM(E$17:E67)=D$10,F67,D$10-SUM(E$17:E67))</f>
        <v>0</v>
      </c>
      <c r="E68" s="378">
        <f>IF(+I14&lt;F67,I14,D68)</f>
        <v>0</v>
      </c>
      <c r="F68" s="55">
        <f t="shared" si="30"/>
        <v>0</v>
      </c>
      <c r="G68" s="380">
        <f t="shared" si="32"/>
        <v>0</v>
      </c>
      <c r="H68" s="364">
        <f t="shared" si="33"/>
        <v>0</v>
      </c>
      <c r="I68" s="52">
        <f t="shared" si="31"/>
        <v>0</v>
      </c>
      <c r="J68" s="52"/>
      <c r="K68" s="129"/>
      <c r="L68" s="54">
        <f t="shared" si="26"/>
        <v>0</v>
      </c>
      <c r="M68" s="129"/>
      <c r="N68" s="54">
        <f t="shared" si="27"/>
        <v>0</v>
      </c>
      <c r="O68" s="54">
        <f t="shared" si="28"/>
        <v>0</v>
      </c>
      <c r="P68" s="1"/>
    </row>
    <row r="69" spans="1:16" ht="12.5">
      <c r="B69" s="7" t="str">
        <f t="shared" si="29"/>
        <v/>
      </c>
      <c r="C69" s="50">
        <f>IF(D11="","-",+C68+1)</f>
        <v>2063</v>
      </c>
      <c r="D69" s="55">
        <f>IF(F68+SUM(E$17:E68)=D$10,F68,D$10-SUM(E$17:E68))</f>
        <v>0</v>
      </c>
      <c r="E69" s="378">
        <f>IF(+I14&lt;F68,I14,D69)</f>
        <v>0</v>
      </c>
      <c r="F69" s="55">
        <f t="shared" si="30"/>
        <v>0</v>
      </c>
      <c r="G69" s="380">
        <f t="shared" si="32"/>
        <v>0</v>
      </c>
      <c r="H69" s="364">
        <f t="shared" si="33"/>
        <v>0</v>
      </c>
      <c r="I69" s="52">
        <f t="shared" si="31"/>
        <v>0</v>
      </c>
      <c r="J69" s="52"/>
      <c r="K69" s="129"/>
      <c r="L69" s="54">
        <f t="shared" si="26"/>
        <v>0</v>
      </c>
      <c r="M69" s="129"/>
      <c r="N69" s="54">
        <f t="shared" si="27"/>
        <v>0</v>
      </c>
      <c r="O69" s="54">
        <f t="shared" si="28"/>
        <v>0</v>
      </c>
      <c r="P69" s="1"/>
    </row>
    <row r="70" spans="1:16" ht="12.5">
      <c r="B70" s="7" t="str">
        <f t="shared" si="29"/>
        <v/>
      </c>
      <c r="C70" s="50">
        <f>IF(D11="","-",+C69+1)</f>
        <v>2064</v>
      </c>
      <c r="D70" s="55">
        <f>IF(F69+SUM(E$17:E69)=D$10,F69,D$10-SUM(E$17:E69))</f>
        <v>0</v>
      </c>
      <c r="E70" s="378">
        <f>IF(+I14&lt;F69,I14,D70)</f>
        <v>0</v>
      </c>
      <c r="F70" s="55">
        <f t="shared" si="30"/>
        <v>0</v>
      </c>
      <c r="G70" s="380">
        <f t="shared" si="32"/>
        <v>0</v>
      </c>
      <c r="H70" s="364">
        <f t="shared" si="33"/>
        <v>0</v>
      </c>
      <c r="I70" s="52">
        <f t="shared" si="31"/>
        <v>0</v>
      </c>
      <c r="J70" s="52"/>
      <c r="K70" s="129"/>
      <c r="L70" s="54">
        <f t="shared" si="26"/>
        <v>0</v>
      </c>
      <c r="M70" s="129"/>
      <c r="N70" s="54">
        <f t="shared" si="27"/>
        <v>0</v>
      </c>
      <c r="O70" s="54">
        <f t="shared" si="28"/>
        <v>0</v>
      </c>
      <c r="P70" s="1"/>
    </row>
    <row r="71" spans="1:16" ht="12.5">
      <c r="B71" s="7" t="str">
        <f t="shared" si="29"/>
        <v/>
      </c>
      <c r="C71" s="50">
        <f>IF(D11="","-",+C70+1)</f>
        <v>2065</v>
      </c>
      <c r="D71" s="55">
        <f>IF(F70+SUM(E$17:E70)=D$10,F70,D$10-SUM(E$17:E70))</f>
        <v>0</v>
      </c>
      <c r="E71" s="378">
        <f>IF(+I14&lt;F70,I14,D71)</f>
        <v>0</v>
      </c>
      <c r="F71" s="55">
        <f t="shared" si="30"/>
        <v>0</v>
      </c>
      <c r="G71" s="380">
        <f t="shared" si="32"/>
        <v>0</v>
      </c>
      <c r="H71" s="364">
        <f t="shared" si="33"/>
        <v>0</v>
      </c>
      <c r="I71" s="52">
        <f t="shared" si="31"/>
        <v>0</v>
      </c>
      <c r="J71" s="52"/>
      <c r="K71" s="129"/>
      <c r="L71" s="54">
        <f t="shared" si="26"/>
        <v>0</v>
      </c>
      <c r="M71" s="129"/>
      <c r="N71" s="54">
        <f t="shared" si="27"/>
        <v>0</v>
      </c>
      <c r="O71" s="54">
        <f t="shared" si="28"/>
        <v>0</v>
      </c>
      <c r="P71" s="1"/>
    </row>
    <row r="72" spans="1:16" ht="13" thickBot="1">
      <c r="B72" s="7" t="str">
        <f t="shared" si="29"/>
        <v/>
      </c>
      <c r="C72" s="59">
        <f>IF(D11="","-",+C71+1)</f>
        <v>2066</v>
      </c>
      <c r="D72" s="60">
        <f>IF(F71+SUM(E$17:E71)=D$10,F71,D$10-SUM(E$17:E71))</f>
        <v>0</v>
      </c>
      <c r="E72" s="381">
        <f>IF(+I14&lt;F71,I14,D72)</f>
        <v>0</v>
      </c>
      <c r="F72" s="60">
        <f t="shared" si="30"/>
        <v>0</v>
      </c>
      <c r="G72" s="382">
        <f t="shared" si="32"/>
        <v>0</v>
      </c>
      <c r="H72" s="362">
        <f t="shared" si="33"/>
        <v>0</v>
      </c>
      <c r="I72" s="63">
        <f t="shared" si="31"/>
        <v>0</v>
      </c>
      <c r="J72" s="52"/>
      <c r="K72" s="130"/>
      <c r="L72" s="64">
        <f t="shared" si="26"/>
        <v>0</v>
      </c>
      <c r="M72" s="130"/>
      <c r="N72" s="64">
        <f t="shared" si="27"/>
        <v>0</v>
      </c>
      <c r="O72" s="64">
        <f t="shared" si="28"/>
        <v>0</v>
      </c>
      <c r="P72" s="1"/>
    </row>
    <row r="73" spans="1:16" ht="12.5">
      <c r="C73" s="12" t="s">
        <v>78</v>
      </c>
      <c r="D73" s="293"/>
      <c r="E73" s="293">
        <f>SUM(E17:E72)</f>
        <v>249140.9999999998</v>
      </c>
      <c r="F73" s="293"/>
      <c r="G73" s="293">
        <f>SUM(G17:G72)</f>
        <v>918502.87879014574</v>
      </c>
      <c r="H73" s="293">
        <f>SUM(H17:H72)</f>
        <v>918502.87879014574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7.5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26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26559.297712193376</v>
      </c>
      <c r="N87" s="387">
        <f>IF(J92&lt;D11,0,VLOOKUP(J92,C17:O72,11))</f>
        <v>26559.297712193376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27150.759999410111</v>
      </c>
      <c r="N88" s="390">
        <f>IF(J92&lt;D11,0,VLOOKUP(J92,C99:P154,7))</f>
        <v>27150.759999410111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27" t="str">
        <f>D7</f>
        <v>Whitney repl CB and Switches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591.46228721673469</v>
      </c>
      <c r="N89" s="392">
        <f>+N88-N87</f>
        <v>591.46228721673469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PID 452, UIP 10586</v>
      </c>
      <c r="E91" s="76" t="str">
        <f>E9</f>
        <v xml:space="preserve">SPP Project ID = </v>
      </c>
      <c r="F91" s="463">
        <f>F9</f>
        <v>452</v>
      </c>
      <c r="G91" s="76"/>
      <c r="H91" s="76"/>
      <c r="I91" s="76"/>
      <c r="J91" s="95"/>
      <c r="Q91" s="1"/>
    </row>
    <row r="92" spans="1:17" ht="13">
      <c r="C92" s="34" t="s">
        <v>51</v>
      </c>
      <c r="D92" s="363">
        <f>IF(D11=I10,0,D10)</f>
        <v>249141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  <c r="Q92" s="1"/>
    </row>
    <row r="93" spans="1:17" ht="12.5">
      <c r="C93" s="34" t="s">
        <v>54</v>
      </c>
      <c r="D93" s="88">
        <f>IF(D11=I10,"",D11)</f>
        <v>2011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4">
        <f>IF(D11=I10,"",D12)</f>
        <v>6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5662.295454545455</v>
      </c>
      <c r="K96" s="293"/>
      <c r="L96" s="293"/>
      <c r="M96" s="293"/>
      <c r="N96" s="293"/>
      <c r="O96" s="293"/>
      <c r="P96" s="1"/>
      <c r="Q96" s="1"/>
    </row>
    <row r="97" spans="1:17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 ht="12.5">
      <c r="C99" s="50">
        <f>IF(D93= "","-",D93)</f>
        <v>2011</v>
      </c>
      <c r="D99" s="133">
        <v>0</v>
      </c>
      <c r="E99" s="376">
        <v>2965.9642857142858</v>
      </c>
      <c r="F99" s="137">
        <v>246175.03571428571</v>
      </c>
      <c r="G99" s="140">
        <v>123087.51785714286</v>
      </c>
      <c r="H99" s="397">
        <v>21475.853068363114</v>
      </c>
      <c r="I99" s="398">
        <v>21475.853068363114</v>
      </c>
      <c r="J99" s="154">
        <f t="shared" ref="J99:J130" si="34">+I99-H99</f>
        <v>0</v>
      </c>
      <c r="K99" s="54"/>
      <c r="L99" s="112">
        <f t="shared" ref="L99:L104" si="35">H99</f>
        <v>21475.853068363114</v>
      </c>
      <c r="M99" s="53">
        <f t="shared" ref="M99:M130" si="36">IF(L99&lt;&gt;0,+H99-L99,0)</f>
        <v>0</v>
      </c>
      <c r="N99" s="112">
        <f t="shared" ref="N99:N104" si="37">I99</f>
        <v>21475.853068363114</v>
      </c>
      <c r="O99" s="53">
        <f t="shared" ref="O99:O130" si="38">IF(N99&lt;&gt;0,+I99-N99,0)</f>
        <v>0</v>
      </c>
      <c r="P99" s="53">
        <f t="shared" ref="P99:P130" si="39">+O99-M99</f>
        <v>0</v>
      </c>
      <c r="Q99" s="1"/>
    </row>
    <row r="100" spans="1:17" ht="12.5">
      <c r="B100" s="7" t="str">
        <f t="shared" ref="B100:B131" si="40">IF(D100=F99,"","IU")</f>
        <v/>
      </c>
      <c r="C100" s="50">
        <f>IF(D93="","-",+C99+1)</f>
        <v>2012</v>
      </c>
      <c r="D100" s="133">
        <v>246175.03571428571</v>
      </c>
      <c r="E100" s="376">
        <v>5931.9285714285716</v>
      </c>
      <c r="F100" s="137">
        <v>240243.10714285713</v>
      </c>
      <c r="G100" s="137">
        <v>243209.07142857142</v>
      </c>
      <c r="H100" s="376">
        <v>41721.09968063391</v>
      </c>
      <c r="I100" s="375">
        <v>41721.09968063391</v>
      </c>
      <c r="J100" s="154">
        <f t="shared" si="34"/>
        <v>0</v>
      </c>
      <c r="K100" s="54"/>
      <c r="L100" s="113">
        <f t="shared" si="35"/>
        <v>41721.09968063391</v>
      </c>
      <c r="M100" s="54">
        <f t="shared" si="36"/>
        <v>0</v>
      </c>
      <c r="N100" s="113">
        <f t="shared" si="37"/>
        <v>41721.09968063391</v>
      </c>
      <c r="O100" s="54">
        <f t="shared" si="38"/>
        <v>0</v>
      </c>
      <c r="P100" s="54">
        <f t="shared" si="39"/>
        <v>0</v>
      </c>
      <c r="Q100" s="1"/>
    </row>
    <row r="101" spans="1:17" ht="12.5">
      <c r="B101" s="7" t="str">
        <f t="shared" si="40"/>
        <v/>
      </c>
      <c r="C101" s="50">
        <f>IF(D93="","-",+C100+1)</f>
        <v>2013</v>
      </c>
      <c r="D101" s="133">
        <v>240243.10714285713</v>
      </c>
      <c r="E101" s="376">
        <v>5931.9285714285716</v>
      </c>
      <c r="F101" s="137">
        <v>234311.17857142855</v>
      </c>
      <c r="G101" s="137">
        <v>237277.14285714284</v>
      </c>
      <c r="H101" s="376">
        <v>38033.557147693406</v>
      </c>
      <c r="I101" s="375">
        <v>38033.557147693406</v>
      </c>
      <c r="J101" s="154">
        <v>0</v>
      </c>
      <c r="K101" s="54"/>
      <c r="L101" s="113">
        <f t="shared" si="35"/>
        <v>38033.557147693406</v>
      </c>
      <c r="M101" s="54">
        <f t="shared" ref="M101:M106" si="41">IF(L101&lt;&gt;0,+H101-L101,0)</f>
        <v>0</v>
      </c>
      <c r="N101" s="113">
        <f t="shared" si="37"/>
        <v>38033.557147693406</v>
      </c>
      <c r="O101" s="54">
        <f>IF(N101&lt;&gt;0,+I101-N101,0)</f>
        <v>0</v>
      </c>
      <c r="P101" s="54">
        <f>+O101-M101</f>
        <v>0</v>
      </c>
      <c r="Q101" s="1"/>
    </row>
    <row r="102" spans="1:17" ht="12.5">
      <c r="B102" s="7" t="str">
        <f t="shared" si="40"/>
        <v/>
      </c>
      <c r="C102" s="50">
        <f>IF(D93="","-",+C101+1)</f>
        <v>2014</v>
      </c>
      <c r="D102" s="133">
        <v>234311.17857142855</v>
      </c>
      <c r="E102" s="376">
        <v>5931.9285714285716</v>
      </c>
      <c r="F102" s="137">
        <v>228379.24999999997</v>
      </c>
      <c r="G102" s="137">
        <v>231345.21428571426</v>
      </c>
      <c r="H102" s="376">
        <v>37377.170497097119</v>
      </c>
      <c r="I102" s="375">
        <v>37377.170497097119</v>
      </c>
      <c r="J102" s="54">
        <v>0</v>
      </c>
      <c r="K102" s="54"/>
      <c r="L102" s="113">
        <f t="shared" si="35"/>
        <v>37377.170497097119</v>
      </c>
      <c r="M102" s="54">
        <f t="shared" si="41"/>
        <v>0</v>
      </c>
      <c r="N102" s="113">
        <f t="shared" si="37"/>
        <v>37377.170497097119</v>
      </c>
      <c r="O102" s="54">
        <f>IF(N102&lt;&gt;0,+I102-N102,0)</f>
        <v>0</v>
      </c>
      <c r="P102" s="54">
        <f>+O102-M102</f>
        <v>0</v>
      </c>
      <c r="Q102" s="1"/>
    </row>
    <row r="103" spans="1:17" ht="12.5">
      <c r="B103" s="7" t="str">
        <f t="shared" si="40"/>
        <v/>
      </c>
      <c r="C103" s="50">
        <f>IF(D93="","-",+C102+1)</f>
        <v>2015</v>
      </c>
      <c r="D103" s="133">
        <v>228379.24999999997</v>
      </c>
      <c r="E103" s="376">
        <v>5931.9285714285716</v>
      </c>
      <c r="F103" s="137">
        <v>222447.32142857139</v>
      </c>
      <c r="G103" s="137">
        <v>225413.28571428568</v>
      </c>
      <c r="H103" s="376">
        <v>35634.384288114808</v>
      </c>
      <c r="I103" s="375">
        <v>35634.384288114808</v>
      </c>
      <c r="J103" s="54">
        <f t="shared" si="34"/>
        <v>0</v>
      </c>
      <c r="K103" s="54"/>
      <c r="L103" s="113">
        <f t="shared" si="35"/>
        <v>35634.384288114808</v>
      </c>
      <c r="M103" s="54">
        <f t="shared" si="41"/>
        <v>0</v>
      </c>
      <c r="N103" s="113">
        <f t="shared" si="37"/>
        <v>35634.384288114808</v>
      </c>
      <c r="O103" s="54">
        <f>IF(N103&lt;&gt;0,+I103-N103,0)</f>
        <v>0</v>
      </c>
      <c r="P103" s="54">
        <f>+O103-M103</f>
        <v>0</v>
      </c>
      <c r="Q103" s="1"/>
    </row>
    <row r="104" spans="1:17" ht="12.5">
      <c r="B104" s="7" t="str">
        <f t="shared" si="40"/>
        <v/>
      </c>
      <c r="C104" s="50">
        <f>IF(D93="","-",+C103+1)</f>
        <v>2016</v>
      </c>
      <c r="D104" s="133">
        <v>222447.32142857139</v>
      </c>
      <c r="E104" s="376">
        <v>5793.9767441860467</v>
      </c>
      <c r="F104" s="137">
        <v>216653.34468438535</v>
      </c>
      <c r="G104" s="137">
        <v>219550.33305647835</v>
      </c>
      <c r="H104" s="376">
        <v>33665.888954411937</v>
      </c>
      <c r="I104" s="375">
        <v>33665.888954411937</v>
      </c>
      <c r="J104" s="54">
        <f t="shared" si="34"/>
        <v>0</v>
      </c>
      <c r="K104" s="54"/>
      <c r="L104" s="113">
        <f t="shared" si="35"/>
        <v>33665.888954411937</v>
      </c>
      <c r="M104" s="54">
        <f t="shared" si="41"/>
        <v>0</v>
      </c>
      <c r="N104" s="113">
        <f t="shared" si="37"/>
        <v>33665.888954411937</v>
      </c>
      <c r="O104" s="54">
        <f>IF(N104&lt;&gt;0,+I104-N104,0)</f>
        <v>0</v>
      </c>
      <c r="P104" s="54">
        <f>+O104-M104</f>
        <v>0</v>
      </c>
      <c r="Q104" s="1"/>
    </row>
    <row r="105" spans="1:17" ht="12.5">
      <c r="B105" s="7" t="str">
        <f t="shared" si="40"/>
        <v/>
      </c>
      <c r="C105" s="50">
        <f>IF(D93="","-",+C104+1)</f>
        <v>2017</v>
      </c>
      <c r="D105" s="133">
        <v>216653.34468438535</v>
      </c>
      <c r="E105" s="376">
        <v>5931.9285714285716</v>
      </c>
      <c r="F105" s="137">
        <v>210721.41611295677</v>
      </c>
      <c r="G105" s="137">
        <v>213687.38039867106</v>
      </c>
      <c r="H105" s="376">
        <v>31888.846157126722</v>
      </c>
      <c r="I105" s="375">
        <v>31888.846157126722</v>
      </c>
      <c r="J105" s="54">
        <f t="shared" si="34"/>
        <v>0</v>
      </c>
      <c r="K105" s="54"/>
      <c r="L105" s="113">
        <f t="shared" ref="L105:L110" si="42">H105</f>
        <v>31888.846157126722</v>
      </c>
      <c r="M105" s="54">
        <f t="shared" si="41"/>
        <v>0</v>
      </c>
      <c r="N105" s="113">
        <f t="shared" ref="N105:N110" si="43">I105</f>
        <v>31888.846157126722</v>
      </c>
      <c r="O105" s="54">
        <f>IF(N105&lt;&gt;0,+I105-N105,0)</f>
        <v>0</v>
      </c>
      <c r="P105" s="54">
        <f>+O105-M105</f>
        <v>0</v>
      </c>
      <c r="Q105" s="1"/>
    </row>
    <row r="106" spans="1:17" ht="12.5">
      <c r="B106" s="7" t="str">
        <f t="shared" si="40"/>
        <v/>
      </c>
      <c r="C106" s="50">
        <f>IF(D93="","-",+C105+1)</f>
        <v>2018</v>
      </c>
      <c r="D106" s="133">
        <v>210721.41611295677</v>
      </c>
      <c r="E106" s="376">
        <v>5931.9285714285716</v>
      </c>
      <c r="F106" s="137">
        <v>204789.48754152819</v>
      </c>
      <c r="G106" s="137">
        <v>207755.45182724248</v>
      </c>
      <c r="H106" s="376">
        <v>27871.857013447705</v>
      </c>
      <c r="I106" s="375">
        <v>27871.857013447705</v>
      </c>
      <c r="J106" s="54">
        <f t="shared" si="34"/>
        <v>0</v>
      </c>
      <c r="K106" s="54"/>
      <c r="L106" s="113">
        <f t="shared" si="42"/>
        <v>27871.857013447705</v>
      </c>
      <c r="M106" s="54">
        <f t="shared" si="41"/>
        <v>0</v>
      </c>
      <c r="N106" s="113">
        <f t="shared" si="43"/>
        <v>27871.857013447705</v>
      </c>
      <c r="O106" s="54">
        <f t="shared" si="38"/>
        <v>0</v>
      </c>
      <c r="P106" s="54">
        <f t="shared" si="39"/>
        <v>0</v>
      </c>
      <c r="Q106" s="1"/>
    </row>
    <row r="107" spans="1:17" ht="12.5">
      <c r="B107" s="7" t="str">
        <f t="shared" si="40"/>
        <v/>
      </c>
      <c r="C107" s="50">
        <f>IF(D93="","-",+C106+1)</f>
        <v>2019</v>
      </c>
      <c r="D107" s="133">
        <v>204789.48754152819</v>
      </c>
      <c r="E107" s="376">
        <v>5793.9767441860467</v>
      </c>
      <c r="F107" s="137">
        <v>198995.51079734214</v>
      </c>
      <c r="G107" s="137">
        <v>201892.49916943518</v>
      </c>
      <c r="H107" s="376">
        <v>27404.660198025118</v>
      </c>
      <c r="I107" s="375">
        <v>27404.660198025118</v>
      </c>
      <c r="J107" s="54">
        <f t="shared" si="34"/>
        <v>0</v>
      </c>
      <c r="K107" s="54"/>
      <c r="L107" s="113">
        <f t="shared" si="42"/>
        <v>27404.660198025118</v>
      </c>
      <c r="M107" s="54">
        <f t="shared" ref="M107" si="44">IF(L107&lt;&gt;0,+H107-L107,0)</f>
        <v>0</v>
      </c>
      <c r="N107" s="113">
        <f t="shared" si="43"/>
        <v>27404.660198025118</v>
      </c>
      <c r="O107" s="54">
        <f t="shared" si="38"/>
        <v>0</v>
      </c>
      <c r="P107" s="54">
        <f t="shared" si="39"/>
        <v>0</v>
      </c>
      <c r="Q107" s="1"/>
    </row>
    <row r="108" spans="1:17" ht="12.5">
      <c r="B108" s="7" t="str">
        <f t="shared" si="40"/>
        <v/>
      </c>
      <c r="C108" s="50">
        <f>IF(D93="","-",+C107+1)</f>
        <v>2020</v>
      </c>
      <c r="D108" s="133">
        <v>198995.51079734214</v>
      </c>
      <c r="E108" s="376">
        <v>5931.9285714285716</v>
      </c>
      <c r="F108" s="137">
        <v>193063.58222591356</v>
      </c>
      <c r="G108" s="137">
        <v>196029.54651162785</v>
      </c>
      <c r="H108" s="376">
        <v>27019.578173065966</v>
      </c>
      <c r="I108" s="375">
        <v>27019.578173065966</v>
      </c>
      <c r="J108" s="54">
        <f t="shared" si="34"/>
        <v>0</v>
      </c>
      <c r="K108" s="54"/>
      <c r="L108" s="113">
        <f t="shared" si="42"/>
        <v>27019.578173065966</v>
      </c>
      <c r="M108" s="54">
        <f t="shared" ref="M108" si="45">IF(L108&lt;&gt;0,+H108-L108,0)</f>
        <v>0</v>
      </c>
      <c r="N108" s="113">
        <f t="shared" si="43"/>
        <v>27019.578173065966</v>
      </c>
      <c r="O108" s="54">
        <f t="shared" si="38"/>
        <v>0</v>
      </c>
      <c r="P108" s="54">
        <f t="shared" si="39"/>
        <v>0</v>
      </c>
      <c r="Q108" s="1"/>
    </row>
    <row r="109" spans="1:17" ht="12.5">
      <c r="B109" s="7" t="str">
        <f t="shared" si="40"/>
        <v/>
      </c>
      <c r="C109" s="50">
        <f>IF(D93="","-",+C108+1)</f>
        <v>2021</v>
      </c>
      <c r="D109" s="133">
        <v>193063.58222591356</v>
      </c>
      <c r="E109" s="376">
        <v>6076.6097560975613</v>
      </c>
      <c r="F109" s="137">
        <v>186986.97246981598</v>
      </c>
      <c r="G109" s="137">
        <v>190025.27734786476</v>
      </c>
      <c r="H109" s="376">
        <v>27647.182105326981</v>
      </c>
      <c r="I109" s="375">
        <v>27647.182105326981</v>
      </c>
      <c r="J109" s="54">
        <f t="shared" si="34"/>
        <v>0</v>
      </c>
      <c r="K109" s="54"/>
      <c r="L109" s="113">
        <f t="shared" si="42"/>
        <v>27647.182105326981</v>
      </c>
      <c r="M109" s="54">
        <f t="shared" ref="M109" si="46">IF(L109&lt;&gt;0,+H109-L109,0)</f>
        <v>0</v>
      </c>
      <c r="N109" s="113">
        <f t="shared" si="43"/>
        <v>27647.182105326981</v>
      </c>
      <c r="O109" s="54">
        <f t="shared" si="38"/>
        <v>0</v>
      </c>
      <c r="P109" s="54">
        <f t="shared" si="39"/>
        <v>0</v>
      </c>
      <c r="Q109" s="1"/>
    </row>
    <row r="110" spans="1:17" ht="12.5">
      <c r="B110" s="7" t="str">
        <f t="shared" si="40"/>
        <v/>
      </c>
      <c r="C110" s="50">
        <f>IF(D93="","-",+C109+1)</f>
        <v>2022</v>
      </c>
      <c r="D110" s="133">
        <v>186986.97246981598</v>
      </c>
      <c r="E110" s="376">
        <v>5931.9285714285716</v>
      </c>
      <c r="F110" s="137">
        <v>181055.0438983874</v>
      </c>
      <c r="G110" s="137">
        <v>184021.00818410169</v>
      </c>
      <c r="H110" s="376">
        <v>27546.639267223029</v>
      </c>
      <c r="I110" s="375">
        <v>27546.639267223029</v>
      </c>
      <c r="J110" s="54">
        <f t="shared" si="34"/>
        <v>0</v>
      </c>
      <c r="K110" s="54"/>
      <c r="L110" s="113">
        <f t="shared" si="42"/>
        <v>27546.639267223029</v>
      </c>
      <c r="M110" s="54">
        <f t="shared" ref="M110" si="47">IF(L110&lt;&gt;0,+H110-L110,0)</f>
        <v>0</v>
      </c>
      <c r="N110" s="113">
        <f t="shared" si="43"/>
        <v>27546.639267223029</v>
      </c>
      <c r="O110" s="54">
        <f t="shared" ref="O110" si="48">IF(N110&lt;&gt;0,+I110-N110,0)</f>
        <v>0</v>
      </c>
      <c r="P110" s="54">
        <f t="shared" ref="P110" si="49">+O110-M110</f>
        <v>0</v>
      </c>
      <c r="Q110" s="1"/>
    </row>
    <row r="111" spans="1:17" ht="12.5">
      <c r="B111" s="7" t="str">
        <f t="shared" si="40"/>
        <v/>
      </c>
      <c r="C111" s="50">
        <f>IF(D93="","-",+C110+1)</f>
        <v>2023</v>
      </c>
      <c r="D111" s="133">
        <v>181055.0438983874</v>
      </c>
      <c r="E111" s="376">
        <v>5662.295454545455</v>
      </c>
      <c r="F111" s="137">
        <v>175392.74844384196</v>
      </c>
      <c r="G111" s="137">
        <v>178223.8961711147</v>
      </c>
      <c r="H111" s="376">
        <v>27648.896424566679</v>
      </c>
      <c r="I111" s="375">
        <v>27648.896424566679</v>
      </c>
      <c r="J111" s="54">
        <f t="shared" si="34"/>
        <v>0</v>
      </c>
      <c r="K111" s="54"/>
      <c r="L111" s="113">
        <f t="shared" ref="L111" si="50">H111</f>
        <v>27648.896424566679</v>
      </c>
      <c r="M111" s="54">
        <f t="shared" ref="M111" si="51">IF(L111&lt;&gt;0,+H111-L111,0)</f>
        <v>0</v>
      </c>
      <c r="N111" s="113">
        <f t="shared" ref="N111" si="52">I111</f>
        <v>27648.896424566679</v>
      </c>
      <c r="O111" s="54">
        <f t="shared" ref="O111" si="53">IF(N111&lt;&gt;0,+I111-N111,0)</f>
        <v>0</v>
      </c>
      <c r="P111" s="54">
        <f t="shared" ref="P111" si="54">+O111-M111</f>
        <v>0</v>
      </c>
      <c r="Q111" s="1"/>
    </row>
    <row r="112" spans="1:17" ht="12.5">
      <c r="B112" s="7" t="str">
        <f t="shared" si="40"/>
        <v/>
      </c>
      <c r="C112" s="50">
        <f>IF(D93="","-",+C111+1)</f>
        <v>2024</v>
      </c>
      <c r="D112" s="12">
        <f>IF(F111+SUM(E$99:E111)=D$92,F111,D$92-SUM(E$99:E111))</f>
        <v>175392.74844384196</v>
      </c>
      <c r="E112" s="378">
        <f>IF(+J96&lt;F111,J96,D112)</f>
        <v>5662.295454545455</v>
      </c>
      <c r="F112" s="55">
        <f t="shared" ref="F112:F131" si="55">+D112-E112</f>
        <v>169730.45298929652</v>
      </c>
      <c r="G112" s="55">
        <f t="shared" ref="G112:G130" si="56">+(F112+D112)/2</f>
        <v>172561.60071656923</v>
      </c>
      <c r="H112" s="380">
        <f t="shared" ref="H112:H130" si="57">+J$94*G112+E112</f>
        <v>27150.759999410111</v>
      </c>
      <c r="I112" s="399">
        <f t="shared" ref="I112:I130" si="58">+J$95*G112+E112</f>
        <v>27150.759999410111</v>
      </c>
      <c r="J112" s="54">
        <f t="shared" si="34"/>
        <v>0</v>
      </c>
      <c r="K112" s="54"/>
      <c r="L112" s="129"/>
      <c r="M112" s="54">
        <f t="shared" si="36"/>
        <v>0</v>
      </c>
      <c r="N112" s="129"/>
      <c r="O112" s="54">
        <f t="shared" si="38"/>
        <v>0</v>
      </c>
      <c r="P112" s="54">
        <f t="shared" si="39"/>
        <v>0</v>
      </c>
      <c r="Q112" s="1"/>
    </row>
    <row r="113" spans="2:17" ht="12.5">
      <c r="B113" s="7" t="str">
        <f t="shared" si="40"/>
        <v/>
      </c>
      <c r="C113" s="50">
        <f>IF(D93="","-",+C112+1)</f>
        <v>2025</v>
      </c>
      <c r="D113" s="12">
        <f>IF(F112+SUM(E$99:E112)=D$92,F112,D$92-SUM(E$99:E112))</f>
        <v>169730.45298929652</v>
      </c>
      <c r="E113" s="378">
        <f>IF(+J96&lt;F112,J96,D113)</f>
        <v>5662.295454545455</v>
      </c>
      <c r="F113" s="55">
        <f t="shared" si="55"/>
        <v>164068.15753475108</v>
      </c>
      <c r="G113" s="55">
        <f t="shared" si="56"/>
        <v>166899.30526202382</v>
      </c>
      <c r="H113" s="380">
        <f t="shared" si="57"/>
        <v>26445.655071011839</v>
      </c>
      <c r="I113" s="399">
        <f t="shared" si="58"/>
        <v>26445.655071011839</v>
      </c>
      <c r="J113" s="54">
        <f t="shared" si="34"/>
        <v>0</v>
      </c>
      <c r="K113" s="54"/>
      <c r="L113" s="129"/>
      <c r="M113" s="54">
        <f t="shared" si="36"/>
        <v>0</v>
      </c>
      <c r="N113" s="129"/>
      <c r="O113" s="54">
        <f t="shared" si="38"/>
        <v>0</v>
      </c>
      <c r="P113" s="54">
        <f t="shared" si="39"/>
        <v>0</v>
      </c>
      <c r="Q113" s="1"/>
    </row>
    <row r="114" spans="2:17" ht="12.5">
      <c r="B114" s="7" t="str">
        <f t="shared" si="40"/>
        <v/>
      </c>
      <c r="C114" s="50">
        <f>IF(D93="","-",+C113+1)</f>
        <v>2026</v>
      </c>
      <c r="D114" s="12">
        <f>IF(F113+SUM(E$99:E113)=D$92,F113,D$92-SUM(E$99:E113))</f>
        <v>164068.15753475108</v>
      </c>
      <c r="E114" s="378">
        <f>IF(+J96&lt;F113,J96,D114)</f>
        <v>5662.295454545455</v>
      </c>
      <c r="F114" s="55">
        <f t="shared" si="55"/>
        <v>158405.86208020564</v>
      </c>
      <c r="G114" s="55">
        <f t="shared" si="56"/>
        <v>161237.00980747835</v>
      </c>
      <c r="H114" s="380">
        <f t="shared" si="57"/>
        <v>25740.550142613563</v>
      </c>
      <c r="I114" s="399">
        <f t="shared" si="58"/>
        <v>25740.550142613563</v>
      </c>
      <c r="J114" s="54">
        <f t="shared" si="34"/>
        <v>0</v>
      </c>
      <c r="K114" s="54"/>
      <c r="L114" s="129"/>
      <c r="M114" s="54">
        <f t="shared" si="36"/>
        <v>0</v>
      </c>
      <c r="N114" s="129"/>
      <c r="O114" s="54">
        <f t="shared" si="38"/>
        <v>0</v>
      </c>
      <c r="P114" s="54">
        <f t="shared" si="39"/>
        <v>0</v>
      </c>
      <c r="Q114" s="1"/>
    </row>
    <row r="115" spans="2:17" ht="12.5">
      <c r="B115" s="7" t="str">
        <f t="shared" si="40"/>
        <v/>
      </c>
      <c r="C115" s="50">
        <f>IF(D93="","-",+C114+1)</f>
        <v>2027</v>
      </c>
      <c r="D115" s="12">
        <f>IF(F114+SUM(E$99:E114)=D$92,F114,D$92-SUM(E$99:E114))</f>
        <v>158405.86208020564</v>
      </c>
      <c r="E115" s="378">
        <f>IF(+J96&lt;F114,J96,D115)</f>
        <v>5662.295454545455</v>
      </c>
      <c r="F115" s="55">
        <f t="shared" si="55"/>
        <v>152743.5666256602</v>
      </c>
      <c r="G115" s="55">
        <f t="shared" si="56"/>
        <v>155574.71435293293</v>
      </c>
      <c r="H115" s="380">
        <f t="shared" si="57"/>
        <v>25035.445214215291</v>
      </c>
      <c r="I115" s="399">
        <f t="shared" si="58"/>
        <v>25035.445214215291</v>
      </c>
      <c r="J115" s="54">
        <f t="shared" si="34"/>
        <v>0</v>
      </c>
      <c r="K115" s="54"/>
      <c r="L115" s="129"/>
      <c r="M115" s="54">
        <f t="shared" si="36"/>
        <v>0</v>
      </c>
      <c r="N115" s="129"/>
      <c r="O115" s="54">
        <f t="shared" si="38"/>
        <v>0</v>
      </c>
      <c r="P115" s="54">
        <f t="shared" si="39"/>
        <v>0</v>
      </c>
      <c r="Q115" s="1"/>
    </row>
    <row r="116" spans="2:17" ht="12.5">
      <c r="B116" s="7" t="str">
        <f t="shared" si="40"/>
        <v/>
      </c>
      <c r="C116" s="50">
        <f>IF(D93="","-",+C115+1)</f>
        <v>2028</v>
      </c>
      <c r="D116" s="12">
        <f>IF(F115+SUM(E$99:E115)=D$92,F115,D$92-SUM(E$99:E115))</f>
        <v>152743.5666256602</v>
      </c>
      <c r="E116" s="378">
        <f>IF(+J96&lt;F115,J96,D116)</f>
        <v>5662.295454545455</v>
      </c>
      <c r="F116" s="55">
        <f t="shared" si="55"/>
        <v>147081.27117111476</v>
      </c>
      <c r="G116" s="55">
        <f t="shared" si="56"/>
        <v>149912.41889838746</v>
      </c>
      <c r="H116" s="380">
        <f t="shared" si="57"/>
        <v>24330.340285817016</v>
      </c>
      <c r="I116" s="399">
        <f t="shared" si="58"/>
        <v>24330.340285817016</v>
      </c>
      <c r="J116" s="54">
        <f t="shared" si="34"/>
        <v>0</v>
      </c>
      <c r="K116" s="54"/>
      <c r="L116" s="129"/>
      <c r="M116" s="54">
        <f t="shared" si="36"/>
        <v>0</v>
      </c>
      <c r="N116" s="129"/>
      <c r="O116" s="54">
        <f t="shared" si="38"/>
        <v>0</v>
      </c>
      <c r="P116" s="54">
        <f t="shared" si="39"/>
        <v>0</v>
      </c>
      <c r="Q116" s="1"/>
    </row>
    <row r="117" spans="2:17" ht="12.5">
      <c r="B117" s="7" t="str">
        <f t="shared" si="40"/>
        <v/>
      </c>
      <c r="C117" s="50">
        <f>IF(D93="","-",+C116+1)</f>
        <v>2029</v>
      </c>
      <c r="D117" s="12">
        <f>IF(F116+SUM(E$99:E116)=D$92,F116,D$92-SUM(E$99:E116))</f>
        <v>147081.27117111476</v>
      </c>
      <c r="E117" s="378">
        <f>IF(+J96&lt;F116,J96,D117)</f>
        <v>5662.295454545455</v>
      </c>
      <c r="F117" s="55">
        <f t="shared" si="55"/>
        <v>141418.97571656932</v>
      </c>
      <c r="G117" s="55">
        <f t="shared" si="56"/>
        <v>144250.12344384205</v>
      </c>
      <c r="H117" s="380">
        <f t="shared" si="57"/>
        <v>23625.235357418747</v>
      </c>
      <c r="I117" s="399">
        <f t="shared" si="58"/>
        <v>23625.235357418747</v>
      </c>
      <c r="J117" s="54">
        <f t="shared" si="34"/>
        <v>0</v>
      </c>
      <c r="K117" s="54"/>
      <c r="L117" s="129"/>
      <c r="M117" s="54">
        <f t="shared" si="36"/>
        <v>0</v>
      </c>
      <c r="N117" s="129"/>
      <c r="O117" s="54">
        <f t="shared" si="38"/>
        <v>0</v>
      </c>
      <c r="P117" s="54">
        <f t="shared" si="39"/>
        <v>0</v>
      </c>
      <c r="Q117" s="1"/>
    </row>
    <row r="118" spans="2:17" ht="12.5">
      <c r="B118" s="7" t="str">
        <f t="shared" si="40"/>
        <v/>
      </c>
      <c r="C118" s="50">
        <f>IF(D93="","-",+C117+1)</f>
        <v>2030</v>
      </c>
      <c r="D118" s="12">
        <f>IF(F117+SUM(E$99:E117)=D$92,F117,D$92-SUM(E$99:E117))</f>
        <v>141418.97571656932</v>
      </c>
      <c r="E118" s="378">
        <f>IF(+J96&lt;F117,J96,D118)</f>
        <v>5662.295454545455</v>
      </c>
      <c r="F118" s="55">
        <f t="shared" si="55"/>
        <v>135756.68026202387</v>
      </c>
      <c r="G118" s="55">
        <f t="shared" si="56"/>
        <v>138587.82798929658</v>
      </c>
      <c r="H118" s="380">
        <f t="shared" si="57"/>
        <v>22920.130429020468</v>
      </c>
      <c r="I118" s="399">
        <f t="shared" si="58"/>
        <v>22920.130429020468</v>
      </c>
      <c r="J118" s="54">
        <f t="shared" si="34"/>
        <v>0</v>
      </c>
      <c r="K118" s="54"/>
      <c r="L118" s="129"/>
      <c r="M118" s="54">
        <f t="shared" si="36"/>
        <v>0</v>
      </c>
      <c r="N118" s="129"/>
      <c r="O118" s="54">
        <f t="shared" si="38"/>
        <v>0</v>
      </c>
      <c r="P118" s="54">
        <f t="shared" si="39"/>
        <v>0</v>
      </c>
      <c r="Q118" s="1"/>
    </row>
    <row r="119" spans="2:17" ht="12.5">
      <c r="B119" s="7" t="str">
        <f t="shared" si="40"/>
        <v/>
      </c>
      <c r="C119" s="50">
        <f>IF(D93="","-",+C118+1)</f>
        <v>2031</v>
      </c>
      <c r="D119" s="12">
        <f>IF(F118+SUM(E$99:E118)=D$92,F118,D$92-SUM(E$99:E118))</f>
        <v>135756.68026202387</v>
      </c>
      <c r="E119" s="378">
        <f>IF(+J96&lt;F118,J96,D119)</f>
        <v>5662.295454545455</v>
      </c>
      <c r="F119" s="55">
        <f t="shared" si="55"/>
        <v>130094.38480747842</v>
      </c>
      <c r="G119" s="55">
        <f t="shared" si="56"/>
        <v>132925.53253475114</v>
      </c>
      <c r="H119" s="380">
        <f t="shared" si="57"/>
        <v>22215.025500622196</v>
      </c>
      <c r="I119" s="399">
        <f t="shared" si="58"/>
        <v>22215.025500622196</v>
      </c>
      <c r="J119" s="54">
        <f t="shared" si="34"/>
        <v>0</v>
      </c>
      <c r="K119" s="54"/>
      <c r="L119" s="129"/>
      <c r="M119" s="54">
        <f t="shared" si="36"/>
        <v>0</v>
      </c>
      <c r="N119" s="129"/>
      <c r="O119" s="54">
        <f t="shared" si="38"/>
        <v>0</v>
      </c>
      <c r="P119" s="54">
        <f t="shared" si="39"/>
        <v>0</v>
      </c>
      <c r="Q119" s="1"/>
    </row>
    <row r="120" spans="2:17" ht="12.5">
      <c r="B120" s="7" t="str">
        <f t="shared" si="40"/>
        <v/>
      </c>
      <c r="C120" s="50">
        <f>IF(D93="","-",+C119+1)</f>
        <v>2032</v>
      </c>
      <c r="D120" s="12">
        <f>IF(F119+SUM(E$99:E119)=D$92,F119,D$92-SUM(E$99:E119))</f>
        <v>130094.38480747842</v>
      </c>
      <c r="E120" s="378">
        <f>IF(+J96&lt;F119,J96,D120)</f>
        <v>5662.295454545455</v>
      </c>
      <c r="F120" s="55">
        <f t="shared" si="55"/>
        <v>124432.08935293296</v>
      </c>
      <c r="G120" s="55">
        <f t="shared" si="56"/>
        <v>127263.2370802057</v>
      </c>
      <c r="H120" s="380">
        <f t="shared" si="57"/>
        <v>21509.92057222392</v>
      </c>
      <c r="I120" s="399">
        <f t="shared" si="58"/>
        <v>21509.92057222392</v>
      </c>
      <c r="J120" s="54">
        <f t="shared" si="34"/>
        <v>0</v>
      </c>
      <c r="K120" s="54"/>
      <c r="L120" s="129"/>
      <c r="M120" s="54">
        <f t="shared" si="36"/>
        <v>0</v>
      </c>
      <c r="N120" s="129"/>
      <c r="O120" s="54">
        <f t="shared" si="38"/>
        <v>0</v>
      </c>
      <c r="P120" s="54">
        <f t="shared" si="39"/>
        <v>0</v>
      </c>
      <c r="Q120" s="1"/>
    </row>
    <row r="121" spans="2:17" ht="12.5">
      <c r="B121" s="7" t="str">
        <f t="shared" si="40"/>
        <v/>
      </c>
      <c r="C121" s="50">
        <f>IF(D93="","-",+C120+1)</f>
        <v>2033</v>
      </c>
      <c r="D121" s="12">
        <f>IF(F120+SUM(E$99:E120)=D$92,F120,D$92-SUM(E$99:E120))</f>
        <v>124432.08935293296</v>
      </c>
      <c r="E121" s="378">
        <f>IF(+J96&lt;F120,J96,D121)</f>
        <v>5662.295454545455</v>
      </c>
      <c r="F121" s="55">
        <f t="shared" si="55"/>
        <v>118769.79389838751</v>
      </c>
      <c r="G121" s="55">
        <f t="shared" si="56"/>
        <v>121600.94162566023</v>
      </c>
      <c r="H121" s="380">
        <f t="shared" si="57"/>
        <v>20804.815643825645</v>
      </c>
      <c r="I121" s="399">
        <f t="shared" si="58"/>
        <v>20804.815643825645</v>
      </c>
      <c r="J121" s="54">
        <f t="shared" si="34"/>
        <v>0</v>
      </c>
      <c r="K121" s="54"/>
      <c r="L121" s="129"/>
      <c r="M121" s="54">
        <f t="shared" si="36"/>
        <v>0</v>
      </c>
      <c r="N121" s="129"/>
      <c r="O121" s="54">
        <f t="shared" si="38"/>
        <v>0</v>
      </c>
      <c r="P121" s="54">
        <f t="shared" si="39"/>
        <v>0</v>
      </c>
      <c r="Q121" s="1"/>
    </row>
    <row r="122" spans="2:17" ht="12.5">
      <c r="B122" s="7" t="str">
        <f t="shared" si="40"/>
        <v/>
      </c>
      <c r="C122" s="50">
        <f>IF(D93="","-",+C121+1)</f>
        <v>2034</v>
      </c>
      <c r="D122" s="12">
        <f>IF(F121+SUM(E$99:E121)=D$92,F121,D$92-SUM(E$99:E121))</f>
        <v>118769.79389838751</v>
      </c>
      <c r="E122" s="378">
        <f>IF(+J96&lt;F121,J96,D122)</f>
        <v>5662.295454545455</v>
      </c>
      <c r="F122" s="55">
        <f t="shared" si="55"/>
        <v>113107.49844384205</v>
      </c>
      <c r="G122" s="55">
        <f t="shared" si="56"/>
        <v>115938.64617111479</v>
      </c>
      <c r="H122" s="380">
        <f t="shared" si="57"/>
        <v>20099.710715427369</v>
      </c>
      <c r="I122" s="399">
        <f t="shared" si="58"/>
        <v>20099.710715427369</v>
      </c>
      <c r="J122" s="54">
        <f t="shared" si="34"/>
        <v>0</v>
      </c>
      <c r="K122" s="54"/>
      <c r="L122" s="129"/>
      <c r="M122" s="54">
        <f t="shared" si="36"/>
        <v>0</v>
      </c>
      <c r="N122" s="129"/>
      <c r="O122" s="54">
        <f t="shared" si="38"/>
        <v>0</v>
      </c>
      <c r="P122" s="54">
        <f t="shared" si="39"/>
        <v>0</v>
      </c>
      <c r="Q122" s="1"/>
    </row>
    <row r="123" spans="2:17" ht="12.5">
      <c r="B123" s="7" t="str">
        <f t="shared" si="40"/>
        <v/>
      </c>
      <c r="C123" s="50">
        <f>IF(D93="","-",+C122+1)</f>
        <v>2035</v>
      </c>
      <c r="D123" s="12">
        <f>IF(F122+SUM(E$99:E122)=D$92,F122,D$92-SUM(E$99:E122))</f>
        <v>113107.49844384205</v>
      </c>
      <c r="E123" s="378">
        <f>IF(+J96&lt;F122,J96,D123)</f>
        <v>5662.295454545455</v>
      </c>
      <c r="F123" s="55">
        <f t="shared" si="55"/>
        <v>107445.20298929659</v>
      </c>
      <c r="G123" s="55">
        <f t="shared" si="56"/>
        <v>110276.35071656932</v>
      </c>
      <c r="H123" s="380">
        <f t="shared" si="57"/>
        <v>19394.605787029093</v>
      </c>
      <c r="I123" s="399">
        <f t="shared" si="58"/>
        <v>19394.605787029093</v>
      </c>
      <c r="J123" s="54">
        <f t="shared" si="34"/>
        <v>0</v>
      </c>
      <c r="K123" s="54"/>
      <c r="L123" s="129"/>
      <c r="M123" s="54">
        <f t="shared" si="36"/>
        <v>0</v>
      </c>
      <c r="N123" s="129"/>
      <c r="O123" s="54">
        <f t="shared" si="38"/>
        <v>0</v>
      </c>
      <c r="P123" s="54">
        <f t="shared" si="39"/>
        <v>0</v>
      </c>
      <c r="Q123" s="1"/>
    </row>
    <row r="124" spans="2:17" ht="12.5">
      <c r="B124" s="7" t="str">
        <f t="shared" si="40"/>
        <v/>
      </c>
      <c r="C124" s="50">
        <f>IF(D93="","-",+C123+1)</f>
        <v>2036</v>
      </c>
      <c r="D124" s="12">
        <f>IF(F123+SUM(E$99:E123)=D$92,F123,D$92-SUM(E$99:E123))</f>
        <v>107445.20298929659</v>
      </c>
      <c r="E124" s="378">
        <f>IF(+J96&lt;F123,J96,D124)</f>
        <v>5662.295454545455</v>
      </c>
      <c r="F124" s="55">
        <f t="shared" si="55"/>
        <v>101782.90753475114</v>
      </c>
      <c r="G124" s="55">
        <f t="shared" si="56"/>
        <v>104614.05526202387</v>
      </c>
      <c r="H124" s="380">
        <f t="shared" si="57"/>
        <v>18689.500858630821</v>
      </c>
      <c r="I124" s="399">
        <f t="shared" si="58"/>
        <v>18689.500858630821</v>
      </c>
      <c r="J124" s="54">
        <f t="shared" si="34"/>
        <v>0</v>
      </c>
      <c r="K124" s="54"/>
      <c r="L124" s="129"/>
      <c r="M124" s="54">
        <f t="shared" si="36"/>
        <v>0</v>
      </c>
      <c r="N124" s="129"/>
      <c r="O124" s="54">
        <f t="shared" si="38"/>
        <v>0</v>
      </c>
      <c r="P124" s="54">
        <f t="shared" si="39"/>
        <v>0</v>
      </c>
      <c r="Q124" s="1"/>
    </row>
    <row r="125" spans="2:17" ht="12.5">
      <c r="B125" s="7" t="str">
        <f t="shared" si="40"/>
        <v/>
      </c>
      <c r="C125" s="50">
        <f>IF(D93="","-",+C124+1)</f>
        <v>2037</v>
      </c>
      <c r="D125" s="12">
        <f>IF(F124+SUM(E$99:E124)=D$92,F124,D$92-SUM(E$99:E124))</f>
        <v>101782.90753475114</v>
      </c>
      <c r="E125" s="378">
        <f>IF(+J96&lt;F124,J96,D125)</f>
        <v>5662.295454545455</v>
      </c>
      <c r="F125" s="55">
        <f t="shared" si="55"/>
        <v>96120.612080205683</v>
      </c>
      <c r="G125" s="55">
        <f t="shared" si="56"/>
        <v>98951.759807478404</v>
      </c>
      <c r="H125" s="380">
        <f t="shared" si="57"/>
        <v>17984.395930232542</v>
      </c>
      <c r="I125" s="399">
        <f t="shared" si="58"/>
        <v>17984.395930232542</v>
      </c>
      <c r="J125" s="54">
        <f t="shared" si="34"/>
        <v>0</v>
      </c>
      <c r="K125" s="54"/>
      <c r="L125" s="129"/>
      <c r="M125" s="54">
        <f t="shared" si="36"/>
        <v>0</v>
      </c>
      <c r="N125" s="129"/>
      <c r="O125" s="54">
        <f t="shared" si="38"/>
        <v>0</v>
      </c>
      <c r="P125" s="54">
        <f t="shared" si="39"/>
        <v>0</v>
      </c>
      <c r="Q125" s="1"/>
    </row>
    <row r="126" spans="2:17" ht="12.5">
      <c r="B126" s="7" t="str">
        <f t="shared" si="40"/>
        <v/>
      </c>
      <c r="C126" s="50">
        <f>IF(D93="","-",+C125+1)</f>
        <v>2038</v>
      </c>
      <c r="D126" s="12">
        <f>IF(F125+SUM(E$99:E125)=D$92,F125,D$92-SUM(E$99:E125))</f>
        <v>96120.612080205683</v>
      </c>
      <c r="E126" s="378">
        <f>IF(+J96&lt;F125,J96,D126)</f>
        <v>5662.295454545455</v>
      </c>
      <c r="F126" s="55">
        <f t="shared" si="55"/>
        <v>90458.316625660227</v>
      </c>
      <c r="G126" s="55">
        <f t="shared" si="56"/>
        <v>93289.464352932962</v>
      </c>
      <c r="H126" s="380">
        <f t="shared" si="57"/>
        <v>17279.29100183427</v>
      </c>
      <c r="I126" s="399">
        <f t="shared" si="58"/>
        <v>17279.29100183427</v>
      </c>
      <c r="J126" s="54">
        <f t="shared" si="34"/>
        <v>0</v>
      </c>
      <c r="K126" s="54"/>
      <c r="L126" s="129"/>
      <c r="M126" s="54">
        <f t="shared" si="36"/>
        <v>0</v>
      </c>
      <c r="N126" s="129"/>
      <c r="O126" s="54">
        <f t="shared" si="38"/>
        <v>0</v>
      </c>
      <c r="P126" s="54">
        <f t="shared" si="39"/>
        <v>0</v>
      </c>
      <c r="Q126" s="1"/>
    </row>
    <row r="127" spans="2:17" ht="12.5">
      <c r="B127" s="7" t="str">
        <f t="shared" si="40"/>
        <v/>
      </c>
      <c r="C127" s="50">
        <f>IF(D93="","-",+C126+1)</f>
        <v>2039</v>
      </c>
      <c r="D127" s="12">
        <f>IF(F126+SUM(E$99:E126)=D$92,F126,D$92-SUM(E$99:E126))</f>
        <v>90458.316625660227</v>
      </c>
      <c r="E127" s="378">
        <f>IF(+J96&lt;F126,J96,D127)</f>
        <v>5662.295454545455</v>
      </c>
      <c r="F127" s="55">
        <f t="shared" si="55"/>
        <v>84796.021171114771</v>
      </c>
      <c r="G127" s="55">
        <f t="shared" si="56"/>
        <v>87627.168898387492</v>
      </c>
      <c r="H127" s="380">
        <f t="shared" si="57"/>
        <v>16574.186073435991</v>
      </c>
      <c r="I127" s="399">
        <f t="shared" si="58"/>
        <v>16574.186073435991</v>
      </c>
      <c r="J127" s="54">
        <f t="shared" si="34"/>
        <v>0</v>
      </c>
      <c r="K127" s="54"/>
      <c r="L127" s="129"/>
      <c r="M127" s="54">
        <f t="shared" si="36"/>
        <v>0</v>
      </c>
      <c r="N127" s="129"/>
      <c r="O127" s="54">
        <f t="shared" si="38"/>
        <v>0</v>
      </c>
      <c r="P127" s="54">
        <f t="shared" si="39"/>
        <v>0</v>
      </c>
      <c r="Q127" s="1"/>
    </row>
    <row r="128" spans="2:17" ht="12.5">
      <c r="B128" s="7" t="str">
        <f t="shared" si="40"/>
        <v/>
      </c>
      <c r="C128" s="50">
        <f>IF(D93="","-",+C127+1)</f>
        <v>2040</v>
      </c>
      <c r="D128" s="12">
        <f>IF(F127+SUM(E$99:E127)=D$92,F127,D$92-SUM(E$99:E127))</f>
        <v>84796.021171114771</v>
      </c>
      <c r="E128" s="378">
        <f>IF(+J96&lt;F127,J96,D128)</f>
        <v>5662.295454545455</v>
      </c>
      <c r="F128" s="55">
        <f t="shared" si="55"/>
        <v>79133.725716569315</v>
      </c>
      <c r="G128" s="55">
        <f t="shared" si="56"/>
        <v>81964.873443842051</v>
      </c>
      <c r="H128" s="380">
        <f t="shared" si="57"/>
        <v>15869.081145037719</v>
      </c>
      <c r="I128" s="399">
        <f t="shared" si="58"/>
        <v>15869.081145037719</v>
      </c>
      <c r="J128" s="54">
        <f t="shared" si="34"/>
        <v>0</v>
      </c>
      <c r="K128" s="54"/>
      <c r="L128" s="129"/>
      <c r="M128" s="54">
        <f t="shared" si="36"/>
        <v>0</v>
      </c>
      <c r="N128" s="129"/>
      <c r="O128" s="54">
        <f t="shared" si="38"/>
        <v>0</v>
      </c>
      <c r="P128" s="54">
        <f t="shared" si="39"/>
        <v>0</v>
      </c>
      <c r="Q128" s="1"/>
    </row>
    <row r="129" spans="2:17" ht="12.5">
      <c r="B129" s="7" t="str">
        <f t="shared" si="40"/>
        <v/>
      </c>
      <c r="C129" s="50">
        <f>IF(D93="","-",+C128+1)</f>
        <v>2041</v>
      </c>
      <c r="D129" s="12">
        <f>IF(F128+SUM(E$99:E128)=D$92,F128,D$92-SUM(E$99:E128))</f>
        <v>79133.725716569315</v>
      </c>
      <c r="E129" s="378">
        <f>IF(+J96&lt;F128,J96,D129)</f>
        <v>5662.295454545455</v>
      </c>
      <c r="F129" s="55">
        <f t="shared" si="55"/>
        <v>73471.43026202386</v>
      </c>
      <c r="G129" s="55">
        <f t="shared" si="56"/>
        <v>76302.57798929658</v>
      </c>
      <c r="H129" s="380">
        <f t="shared" si="57"/>
        <v>15163.976216639443</v>
      </c>
      <c r="I129" s="399">
        <f t="shared" si="58"/>
        <v>15163.976216639443</v>
      </c>
      <c r="J129" s="54">
        <f t="shared" si="34"/>
        <v>0</v>
      </c>
      <c r="K129" s="54"/>
      <c r="L129" s="129"/>
      <c r="M129" s="54">
        <f t="shared" si="36"/>
        <v>0</v>
      </c>
      <c r="N129" s="129"/>
      <c r="O129" s="54">
        <f t="shared" si="38"/>
        <v>0</v>
      </c>
      <c r="P129" s="54">
        <f t="shared" si="39"/>
        <v>0</v>
      </c>
      <c r="Q129" s="1"/>
    </row>
    <row r="130" spans="2:17" ht="12.5">
      <c r="B130" s="7" t="str">
        <f t="shared" si="40"/>
        <v/>
      </c>
      <c r="C130" s="50">
        <f>IF(D93="","-",+C129+1)</f>
        <v>2042</v>
      </c>
      <c r="D130" s="12">
        <f>IF(F129+SUM(E$99:E129)=D$92,F129,D$92-SUM(E$99:E129))</f>
        <v>73471.43026202386</v>
      </c>
      <c r="E130" s="378">
        <f>IF(+J96&lt;F129,J96,D130)</f>
        <v>5662.295454545455</v>
      </c>
      <c r="F130" s="55">
        <f t="shared" si="55"/>
        <v>67809.134807478404</v>
      </c>
      <c r="G130" s="55">
        <f t="shared" si="56"/>
        <v>70640.282534751139</v>
      </c>
      <c r="H130" s="380">
        <f t="shared" si="57"/>
        <v>14458.871288241167</v>
      </c>
      <c r="I130" s="399">
        <f t="shared" si="58"/>
        <v>14458.871288241167</v>
      </c>
      <c r="J130" s="54">
        <f t="shared" si="34"/>
        <v>0</v>
      </c>
      <c r="K130" s="54"/>
      <c r="L130" s="129"/>
      <c r="M130" s="54">
        <f t="shared" si="36"/>
        <v>0</v>
      </c>
      <c r="N130" s="129"/>
      <c r="O130" s="54">
        <f t="shared" si="38"/>
        <v>0</v>
      </c>
      <c r="P130" s="54">
        <f t="shared" si="39"/>
        <v>0</v>
      </c>
      <c r="Q130" s="1"/>
    </row>
    <row r="131" spans="2:17" ht="12.5">
      <c r="B131" s="7" t="str">
        <f t="shared" si="40"/>
        <v/>
      </c>
      <c r="C131" s="50">
        <f>IF(D93="","-",+C130+1)</f>
        <v>2043</v>
      </c>
      <c r="D131" s="12">
        <f>IF(F130+SUM(E$99:E130)=D$92,F130,D$92-SUM(E$99:E130))</f>
        <v>67809.134807478404</v>
      </c>
      <c r="E131" s="378">
        <f>IF(+J96&lt;F130,J96,D131)</f>
        <v>5662.295454545455</v>
      </c>
      <c r="F131" s="55">
        <f t="shared" si="55"/>
        <v>62146.839352932948</v>
      </c>
      <c r="G131" s="55">
        <f t="shared" ref="G131:G154" si="59">+(F131+D131)/2</f>
        <v>64977.987080205676</v>
      </c>
      <c r="H131" s="380">
        <f t="shared" ref="H131:H154" si="60">+J$94*G131+E131</f>
        <v>13753.766359842892</v>
      </c>
      <c r="I131" s="399">
        <f t="shared" ref="I131:I154" si="61">+J$95*G131+E131</f>
        <v>13753.766359842892</v>
      </c>
      <c r="J131" s="54">
        <f t="shared" ref="J131:J154" si="62">+I131-H131</f>
        <v>0</v>
      </c>
      <c r="K131" s="54"/>
      <c r="L131" s="129"/>
      <c r="M131" s="54">
        <f t="shared" ref="M131:M154" si="63">IF(L131&lt;&gt;0,+H131-L131,0)</f>
        <v>0</v>
      </c>
      <c r="N131" s="129"/>
      <c r="O131" s="54">
        <f t="shared" ref="O131:O154" si="64">IF(N131&lt;&gt;0,+I131-N131,0)</f>
        <v>0</v>
      </c>
      <c r="P131" s="54">
        <f t="shared" ref="P131:P154" si="65">+O131-M131</f>
        <v>0</v>
      </c>
      <c r="Q131" s="1"/>
    </row>
    <row r="132" spans="2:17" ht="12.5">
      <c r="B132" s="7" t="str">
        <f t="shared" ref="B132:B154" si="66">IF(D132=F131,"","IU")</f>
        <v/>
      </c>
      <c r="C132" s="50">
        <f>IF(D93="","-",+C131+1)</f>
        <v>2044</v>
      </c>
      <c r="D132" s="12">
        <f>IF(F131+SUM(E$99:E131)=D$92,F131,D$92-SUM(E$99:E131))</f>
        <v>62146.839352932948</v>
      </c>
      <c r="E132" s="378">
        <f>IF(+J96&lt;F131,J96,D132)</f>
        <v>5662.295454545455</v>
      </c>
      <c r="F132" s="55">
        <f t="shared" ref="F132:F154" si="67">+D132-E132</f>
        <v>56484.543898387492</v>
      </c>
      <c r="G132" s="55">
        <f t="shared" si="59"/>
        <v>59315.69162566022</v>
      </c>
      <c r="H132" s="380">
        <f t="shared" si="60"/>
        <v>13048.661431444616</v>
      </c>
      <c r="I132" s="399">
        <f t="shared" si="61"/>
        <v>13048.661431444616</v>
      </c>
      <c r="J132" s="54">
        <f t="shared" si="62"/>
        <v>0</v>
      </c>
      <c r="K132" s="54"/>
      <c r="L132" s="129"/>
      <c r="M132" s="54">
        <f t="shared" si="63"/>
        <v>0</v>
      </c>
      <c r="N132" s="129"/>
      <c r="O132" s="54">
        <f t="shared" si="64"/>
        <v>0</v>
      </c>
      <c r="P132" s="54">
        <f t="shared" si="65"/>
        <v>0</v>
      </c>
      <c r="Q132" s="1"/>
    </row>
    <row r="133" spans="2:17" ht="12.5">
      <c r="B133" s="7" t="str">
        <f t="shared" si="66"/>
        <v/>
      </c>
      <c r="C133" s="50">
        <f>IF(D93="","-",+C132+1)</f>
        <v>2045</v>
      </c>
      <c r="D133" s="12">
        <f>IF(F132+SUM(E$99:E132)=D$92,F132,D$92-SUM(E$99:E132))</f>
        <v>56484.543898387492</v>
      </c>
      <c r="E133" s="378">
        <f>IF(+J96&lt;F132,J96,D133)</f>
        <v>5662.295454545455</v>
      </c>
      <c r="F133" s="55">
        <f t="shared" si="67"/>
        <v>50822.248443842036</v>
      </c>
      <c r="G133" s="55">
        <f t="shared" si="59"/>
        <v>53653.396171114764</v>
      </c>
      <c r="H133" s="380">
        <f t="shared" si="60"/>
        <v>12343.55650304634</v>
      </c>
      <c r="I133" s="399">
        <f t="shared" si="61"/>
        <v>12343.55650304634</v>
      </c>
      <c r="J133" s="54">
        <f t="shared" si="62"/>
        <v>0</v>
      </c>
      <c r="K133" s="54"/>
      <c r="L133" s="129"/>
      <c r="M133" s="54">
        <f t="shared" si="63"/>
        <v>0</v>
      </c>
      <c r="N133" s="129"/>
      <c r="O133" s="54">
        <f t="shared" si="64"/>
        <v>0</v>
      </c>
      <c r="P133" s="54">
        <f t="shared" si="65"/>
        <v>0</v>
      </c>
      <c r="Q133" s="1"/>
    </row>
    <row r="134" spans="2:17" ht="12.5">
      <c r="B134" s="7" t="str">
        <f t="shared" si="66"/>
        <v/>
      </c>
      <c r="C134" s="50">
        <f>IF(D93="","-",+C133+1)</f>
        <v>2046</v>
      </c>
      <c r="D134" s="12">
        <f>IF(F133+SUM(E$99:E133)=D$92,F133,D$92-SUM(E$99:E133))</f>
        <v>50822.248443842036</v>
      </c>
      <c r="E134" s="378">
        <f>IF(+J96&lt;F133,J96,D134)</f>
        <v>5662.295454545455</v>
      </c>
      <c r="F134" s="55">
        <f t="shared" si="67"/>
        <v>45159.95298929658</v>
      </c>
      <c r="G134" s="55">
        <f t="shared" si="59"/>
        <v>47991.100716569308</v>
      </c>
      <c r="H134" s="380">
        <f t="shared" si="60"/>
        <v>11638.451574648065</v>
      </c>
      <c r="I134" s="399">
        <f t="shared" si="61"/>
        <v>11638.451574648065</v>
      </c>
      <c r="J134" s="54">
        <f t="shared" si="62"/>
        <v>0</v>
      </c>
      <c r="K134" s="54"/>
      <c r="L134" s="129"/>
      <c r="M134" s="54">
        <f t="shared" si="63"/>
        <v>0</v>
      </c>
      <c r="N134" s="129"/>
      <c r="O134" s="54">
        <f t="shared" si="64"/>
        <v>0</v>
      </c>
      <c r="P134" s="54">
        <f t="shared" si="65"/>
        <v>0</v>
      </c>
      <c r="Q134" s="1"/>
    </row>
    <row r="135" spans="2:17" ht="12.5">
      <c r="B135" s="7" t="str">
        <f t="shared" si="66"/>
        <v/>
      </c>
      <c r="C135" s="50">
        <f>IF(D93="","-",+C134+1)</f>
        <v>2047</v>
      </c>
      <c r="D135" s="12">
        <f>IF(F134+SUM(E$99:E134)=D$92,F134,D$92-SUM(E$99:E134))</f>
        <v>45159.95298929658</v>
      </c>
      <c r="E135" s="378">
        <f>IF(+J96&lt;F134,J96,D135)</f>
        <v>5662.295454545455</v>
      </c>
      <c r="F135" s="55">
        <f t="shared" si="67"/>
        <v>39497.657534751124</v>
      </c>
      <c r="G135" s="55">
        <f t="shared" si="59"/>
        <v>42328.805262023852</v>
      </c>
      <c r="H135" s="380">
        <f t="shared" si="60"/>
        <v>10933.346646249791</v>
      </c>
      <c r="I135" s="399">
        <f t="shared" si="61"/>
        <v>10933.346646249791</v>
      </c>
      <c r="J135" s="54">
        <f t="shared" si="62"/>
        <v>0</v>
      </c>
      <c r="K135" s="54"/>
      <c r="L135" s="129"/>
      <c r="M135" s="54">
        <f t="shared" si="63"/>
        <v>0</v>
      </c>
      <c r="N135" s="129"/>
      <c r="O135" s="54">
        <f t="shared" si="64"/>
        <v>0</v>
      </c>
      <c r="P135" s="54">
        <f t="shared" si="65"/>
        <v>0</v>
      </c>
      <c r="Q135" s="1"/>
    </row>
    <row r="136" spans="2:17" ht="12.5">
      <c r="B136" s="7" t="str">
        <f t="shared" si="66"/>
        <v/>
      </c>
      <c r="C136" s="50">
        <f>IF(D93="","-",+C135+1)</f>
        <v>2048</v>
      </c>
      <c r="D136" s="12">
        <f>IF(F135+SUM(E$99:E135)=D$92,F135,D$92-SUM(E$99:E135))</f>
        <v>39497.657534751124</v>
      </c>
      <c r="E136" s="378">
        <f>IF(+J96&lt;F135,J96,D136)</f>
        <v>5662.295454545455</v>
      </c>
      <c r="F136" s="55">
        <f t="shared" si="67"/>
        <v>33835.362080205668</v>
      </c>
      <c r="G136" s="55">
        <f t="shared" si="59"/>
        <v>36666.509807478396</v>
      </c>
      <c r="H136" s="380">
        <f t="shared" si="60"/>
        <v>10228.241717851515</v>
      </c>
      <c r="I136" s="399">
        <f t="shared" si="61"/>
        <v>10228.241717851515</v>
      </c>
      <c r="J136" s="54">
        <f t="shared" si="62"/>
        <v>0</v>
      </c>
      <c r="K136" s="54"/>
      <c r="L136" s="129"/>
      <c r="M136" s="54">
        <f t="shared" si="63"/>
        <v>0</v>
      </c>
      <c r="N136" s="129"/>
      <c r="O136" s="54">
        <f t="shared" si="64"/>
        <v>0</v>
      </c>
      <c r="P136" s="54">
        <f t="shared" si="65"/>
        <v>0</v>
      </c>
      <c r="Q136" s="1"/>
    </row>
    <row r="137" spans="2:17" ht="12.5">
      <c r="B137" s="7" t="str">
        <f t="shared" si="66"/>
        <v/>
      </c>
      <c r="C137" s="50">
        <f>IF(D93="","-",+C136+1)</f>
        <v>2049</v>
      </c>
      <c r="D137" s="12">
        <f>IF(F136+SUM(E$99:E136)=D$92,F136,D$92-SUM(E$99:E136))</f>
        <v>33835.362080205668</v>
      </c>
      <c r="E137" s="378">
        <f>IF(+J96&lt;F136,J96,D137)</f>
        <v>5662.295454545455</v>
      </c>
      <c r="F137" s="55">
        <f t="shared" si="67"/>
        <v>28173.066625660213</v>
      </c>
      <c r="G137" s="55">
        <f t="shared" si="59"/>
        <v>31004.214352932941</v>
      </c>
      <c r="H137" s="380">
        <f t="shared" si="60"/>
        <v>9523.1367894532395</v>
      </c>
      <c r="I137" s="399">
        <f t="shared" si="61"/>
        <v>9523.1367894532395</v>
      </c>
      <c r="J137" s="54">
        <f t="shared" si="62"/>
        <v>0</v>
      </c>
      <c r="K137" s="54"/>
      <c r="L137" s="129"/>
      <c r="M137" s="54">
        <f t="shared" si="63"/>
        <v>0</v>
      </c>
      <c r="N137" s="129"/>
      <c r="O137" s="54">
        <f t="shared" si="64"/>
        <v>0</v>
      </c>
      <c r="P137" s="54">
        <f t="shared" si="65"/>
        <v>0</v>
      </c>
      <c r="Q137" s="1"/>
    </row>
    <row r="138" spans="2:17" ht="12.5">
      <c r="B138" s="7" t="str">
        <f t="shared" si="66"/>
        <v/>
      </c>
      <c r="C138" s="50">
        <f>IF(D93="","-",+C137+1)</f>
        <v>2050</v>
      </c>
      <c r="D138" s="12">
        <f>IF(F137+SUM(E$99:E137)=D$92,F137,D$92-SUM(E$99:E137))</f>
        <v>28173.066625660213</v>
      </c>
      <c r="E138" s="378">
        <f>IF(+J96&lt;F137,J96,D138)</f>
        <v>5662.295454545455</v>
      </c>
      <c r="F138" s="55">
        <f t="shared" si="67"/>
        <v>22510.771171114757</v>
      </c>
      <c r="G138" s="55">
        <f t="shared" si="59"/>
        <v>25341.918898387485</v>
      </c>
      <c r="H138" s="380">
        <f t="shared" si="60"/>
        <v>8818.0318610549657</v>
      </c>
      <c r="I138" s="399">
        <f t="shared" si="61"/>
        <v>8818.0318610549657</v>
      </c>
      <c r="J138" s="54">
        <f t="shared" si="62"/>
        <v>0</v>
      </c>
      <c r="K138" s="54"/>
      <c r="L138" s="129"/>
      <c r="M138" s="54">
        <f t="shared" si="63"/>
        <v>0</v>
      </c>
      <c r="N138" s="129"/>
      <c r="O138" s="54">
        <f t="shared" si="64"/>
        <v>0</v>
      </c>
      <c r="P138" s="54">
        <f t="shared" si="65"/>
        <v>0</v>
      </c>
      <c r="Q138" s="1"/>
    </row>
    <row r="139" spans="2:17" ht="12.5">
      <c r="B139" s="7" t="str">
        <f t="shared" si="66"/>
        <v/>
      </c>
      <c r="C139" s="50">
        <f>IF(D93="","-",+C138+1)</f>
        <v>2051</v>
      </c>
      <c r="D139" s="12">
        <f>IF(F138+SUM(E$99:E138)=D$92,F138,D$92-SUM(E$99:E138))</f>
        <v>22510.771171114757</v>
      </c>
      <c r="E139" s="378">
        <f>IF(+J96&lt;F138,J96,D139)</f>
        <v>5662.295454545455</v>
      </c>
      <c r="F139" s="55">
        <f t="shared" si="67"/>
        <v>16848.475716569301</v>
      </c>
      <c r="G139" s="55">
        <f t="shared" si="59"/>
        <v>19679.623443842029</v>
      </c>
      <c r="H139" s="380">
        <f t="shared" si="60"/>
        <v>8112.9269326566891</v>
      </c>
      <c r="I139" s="399">
        <f t="shared" si="61"/>
        <v>8112.9269326566891</v>
      </c>
      <c r="J139" s="54">
        <f t="shared" si="62"/>
        <v>0</v>
      </c>
      <c r="K139" s="54"/>
      <c r="L139" s="129"/>
      <c r="M139" s="54">
        <f t="shared" si="63"/>
        <v>0</v>
      </c>
      <c r="N139" s="129"/>
      <c r="O139" s="54">
        <f t="shared" si="64"/>
        <v>0</v>
      </c>
      <c r="P139" s="54">
        <f t="shared" si="65"/>
        <v>0</v>
      </c>
      <c r="Q139" s="1"/>
    </row>
    <row r="140" spans="2:17" ht="12.5">
      <c r="B140" s="7" t="str">
        <f t="shared" si="66"/>
        <v/>
      </c>
      <c r="C140" s="50">
        <f>IF(D93="","-",+C139+1)</f>
        <v>2052</v>
      </c>
      <c r="D140" s="12">
        <f>IF(F139+SUM(E$99:E139)=D$92,F139,D$92-SUM(E$99:E139))</f>
        <v>16848.475716569301</v>
      </c>
      <c r="E140" s="378">
        <f>IF(+J96&lt;F139,J96,D140)</f>
        <v>5662.295454545455</v>
      </c>
      <c r="F140" s="55">
        <f t="shared" si="67"/>
        <v>11186.180262023845</v>
      </c>
      <c r="G140" s="55">
        <f t="shared" si="59"/>
        <v>14017.327989296573</v>
      </c>
      <c r="H140" s="380">
        <f t="shared" si="60"/>
        <v>7407.8220042584144</v>
      </c>
      <c r="I140" s="399">
        <f t="shared" si="61"/>
        <v>7407.8220042584144</v>
      </c>
      <c r="J140" s="54">
        <f t="shared" si="62"/>
        <v>0</v>
      </c>
      <c r="K140" s="54"/>
      <c r="L140" s="129"/>
      <c r="M140" s="54">
        <f t="shared" si="63"/>
        <v>0</v>
      </c>
      <c r="N140" s="129"/>
      <c r="O140" s="54">
        <f t="shared" si="64"/>
        <v>0</v>
      </c>
      <c r="P140" s="54">
        <f t="shared" si="65"/>
        <v>0</v>
      </c>
      <c r="Q140" s="1"/>
    </row>
    <row r="141" spans="2:17" ht="12.5">
      <c r="B141" s="7" t="str">
        <f t="shared" si="66"/>
        <v/>
      </c>
      <c r="C141" s="50">
        <f>IF(D93="","-",+C140+1)</f>
        <v>2053</v>
      </c>
      <c r="D141" s="12">
        <f>IF(F140+SUM(E$99:E140)=D$92,F140,D$92-SUM(E$99:E140))</f>
        <v>11186.180262023845</v>
      </c>
      <c r="E141" s="378">
        <f>IF(+J96&lt;F140,J96,D141)</f>
        <v>5662.295454545455</v>
      </c>
      <c r="F141" s="55">
        <f t="shared" si="67"/>
        <v>5523.88480747839</v>
      </c>
      <c r="G141" s="55">
        <f t="shared" si="59"/>
        <v>8355.0325347511171</v>
      </c>
      <c r="H141" s="380">
        <f t="shared" si="60"/>
        <v>6702.7170758601387</v>
      </c>
      <c r="I141" s="399">
        <f t="shared" si="61"/>
        <v>6702.7170758601387</v>
      </c>
      <c r="J141" s="54">
        <f t="shared" si="62"/>
        <v>0</v>
      </c>
      <c r="K141" s="54"/>
      <c r="L141" s="129"/>
      <c r="M141" s="54">
        <f t="shared" si="63"/>
        <v>0</v>
      </c>
      <c r="N141" s="129"/>
      <c r="O141" s="54">
        <f t="shared" si="64"/>
        <v>0</v>
      </c>
      <c r="P141" s="54">
        <f t="shared" si="65"/>
        <v>0</v>
      </c>
      <c r="Q141" s="1"/>
    </row>
    <row r="142" spans="2:17" ht="12.5">
      <c r="B142" s="7" t="str">
        <f t="shared" si="66"/>
        <v/>
      </c>
      <c r="C142" s="50">
        <f>IF(D93="","-",+C141+1)</f>
        <v>2054</v>
      </c>
      <c r="D142" s="12">
        <f>IF(F141+SUM(E$99:E141)=D$92,F141,D$92-SUM(E$99:E141))</f>
        <v>5523.88480747839</v>
      </c>
      <c r="E142" s="378">
        <f>IF(+J96&lt;F141,J96,D142)</f>
        <v>5523.88480747839</v>
      </c>
      <c r="F142" s="55">
        <f t="shared" si="67"/>
        <v>0</v>
      </c>
      <c r="G142" s="55">
        <f t="shared" si="59"/>
        <v>2761.942403739195</v>
      </c>
      <c r="H142" s="380">
        <f t="shared" si="60"/>
        <v>5867.8193860361635</v>
      </c>
      <c r="I142" s="399">
        <f t="shared" si="61"/>
        <v>5867.8193860361635</v>
      </c>
      <c r="J142" s="54">
        <f t="shared" si="62"/>
        <v>0</v>
      </c>
      <c r="K142" s="54"/>
      <c r="L142" s="129"/>
      <c r="M142" s="54">
        <f t="shared" si="63"/>
        <v>0</v>
      </c>
      <c r="N142" s="129"/>
      <c r="O142" s="54">
        <f t="shared" si="64"/>
        <v>0</v>
      </c>
      <c r="P142" s="54">
        <f t="shared" si="65"/>
        <v>0</v>
      </c>
      <c r="Q142" s="1"/>
    </row>
    <row r="143" spans="2:17" ht="12.5">
      <c r="B143" s="7" t="str">
        <f t="shared" si="66"/>
        <v/>
      </c>
      <c r="C143" s="50">
        <f>IF(D93="","-",+C142+1)</f>
        <v>2055</v>
      </c>
      <c r="D143" s="12">
        <f>IF(F142+SUM(E$99:E142)=D$92,F142,D$92-SUM(E$99:E142))</f>
        <v>0</v>
      </c>
      <c r="E143" s="378">
        <f>IF(+J96&lt;F142,J96,D143)</f>
        <v>0</v>
      </c>
      <c r="F143" s="55">
        <f t="shared" si="67"/>
        <v>0</v>
      </c>
      <c r="G143" s="55">
        <f t="shared" si="59"/>
        <v>0</v>
      </c>
      <c r="H143" s="380">
        <f t="shared" si="60"/>
        <v>0</v>
      </c>
      <c r="I143" s="399">
        <f t="shared" si="61"/>
        <v>0</v>
      </c>
      <c r="J143" s="54">
        <f t="shared" si="62"/>
        <v>0</v>
      </c>
      <c r="K143" s="54"/>
      <c r="L143" s="129"/>
      <c r="M143" s="54">
        <f t="shared" si="63"/>
        <v>0</v>
      </c>
      <c r="N143" s="129"/>
      <c r="O143" s="54">
        <f t="shared" si="64"/>
        <v>0</v>
      </c>
      <c r="P143" s="54">
        <f t="shared" si="65"/>
        <v>0</v>
      </c>
      <c r="Q143" s="1"/>
    </row>
    <row r="144" spans="2:17" ht="12.5">
      <c r="B144" s="7" t="str">
        <f t="shared" si="66"/>
        <v/>
      </c>
      <c r="C144" s="50">
        <f>IF(D93="","-",+C143+1)</f>
        <v>2056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67"/>
        <v>0</v>
      </c>
      <c r="G144" s="55">
        <f t="shared" si="59"/>
        <v>0</v>
      </c>
      <c r="H144" s="380">
        <f t="shared" si="60"/>
        <v>0</v>
      </c>
      <c r="I144" s="399">
        <f t="shared" si="61"/>
        <v>0</v>
      </c>
      <c r="J144" s="54">
        <f t="shared" si="62"/>
        <v>0</v>
      </c>
      <c r="K144" s="54"/>
      <c r="L144" s="129"/>
      <c r="M144" s="54">
        <f t="shared" si="63"/>
        <v>0</v>
      </c>
      <c r="N144" s="129"/>
      <c r="O144" s="54">
        <f t="shared" si="64"/>
        <v>0</v>
      </c>
      <c r="P144" s="54">
        <f t="shared" si="65"/>
        <v>0</v>
      </c>
      <c r="Q144" s="1"/>
    </row>
    <row r="145" spans="2:17" ht="12.5">
      <c r="B145" s="7" t="str">
        <f t="shared" si="66"/>
        <v/>
      </c>
      <c r="C145" s="50">
        <f>IF(D93="","-",+C144+1)</f>
        <v>2057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67"/>
        <v>0</v>
      </c>
      <c r="G145" s="55">
        <f t="shared" si="59"/>
        <v>0</v>
      </c>
      <c r="H145" s="380">
        <f t="shared" si="60"/>
        <v>0</v>
      </c>
      <c r="I145" s="399">
        <f t="shared" si="61"/>
        <v>0</v>
      </c>
      <c r="J145" s="54">
        <f t="shared" si="62"/>
        <v>0</v>
      </c>
      <c r="K145" s="54"/>
      <c r="L145" s="129"/>
      <c r="M145" s="54">
        <f t="shared" si="63"/>
        <v>0</v>
      </c>
      <c r="N145" s="129"/>
      <c r="O145" s="54">
        <f t="shared" si="64"/>
        <v>0</v>
      </c>
      <c r="P145" s="54">
        <f t="shared" si="65"/>
        <v>0</v>
      </c>
      <c r="Q145" s="1"/>
    </row>
    <row r="146" spans="2:17" ht="12.5">
      <c r="B146" s="7" t="str">
        <f t="shared" si="66"/>
        <v/>
      </c>
      <c r="C146" s="50">
        <f>IF(D93="","-",+C145+1)</f>
        <v>2058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67"/>
        <v>0</v>
      </c>
      <c r="G146" s="55">
        <f t="shared" si="59"/>
        <v>0</v>
      </c>
      <c r="H146" s="380">
        <f t="shared" si="60"/>
        <v>0</v>
      </c>
      <c r="I146" s="399">
        <f t="shared" si="61"/>
        <v>0</v>
      </c>
      <c r="J146" s="54">
        <f t="shared" si="62"/>
        <v>0</v>
      </c>
      <c r="K146" s="54"/>
      <c r="L146" s="129"/>
      <c r="M146" s="54">
        <f t="shared" si="63"/>
        <v>0</v>
      </c>
      <c r="N146" s="129"/>
      <c r="O146" s="54">
        <f t="shared" si="64"/>
        <v>0</v>
      </c>
      <c r="P146" s="54">
        <f t="shared" si="65"/>
        <v>0</v>
      </c>
      <c r="Q146" s="1"/>
    </row>
    <row r="147" spans="2:17" ht="12.5">
      <c r="B147" s="7" t="str">
        <f t="shared" si="66"/>
        <v/>
      </c>
      <c r="C147" s="50">
        <f>IF(D93="","-",+C146+1)</f>
        <v>2059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67"/>
        <v>0</v>
      </c>
      <c r="G147" s="55">
        <f t="shared" si="59"/>
        <v>0</v>
      </c>
      <c r="H147" s="380">
        <f t="shared" si="60"/>
        <v>0</v>
      </c>
      <c r="I147" s="399">
        <f t="shared" si="61"/>
        <v>0</v>
      </c>
      <c r="J147" s="54">
        <f t="shared" si="62"/>
        <v>0</v>
      </c>
      <c r="K147" s="54"/>
      <c r="L147" s="129"/>
      <c r="M147" s="54">
        <f t="shared" si="63"/>
        <v>0</v>
      </c>
      <c r="N147" s="129"/>
      <c r="O147" s="54">
        <f t="shared" si="64"/>
        <v>0</v>
      </c>
      <c r="P147" s="54">
        <f t="shared" si="65"/>
        <v>0</v>
      </c>
      <c r="Q147" s="1"/>
    </row>
    <row r="148" spans="2:17" ht="12.5">
      <c r="B148" s="7" t="str">
        <f t="shared" si="66"/>
        <v/>
      </c>
      <c r="C148" s="50">
        <f>IF(D93="","-",+C147+1)</f>
        <v>2060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67"/>
        <v>0</v>
      </c>
      <c r="G148" s="55">
        <f t="shared" si="59"/>
        <v>0</v>
      </c>
      <c r="H148" s="380">
        <f t="shared" si="60"/>
        <v>0</v>
      </c>
      <c r="I148" s="399">
        <f t="shared" si="61"/>
        <v>0</v>
      </c>
      <c r="J148" s="54">
        <f t="shared" si="62"/>
        <v>0</v>
      </c>
      <c r="K148" s="54"/>
      <c r="L148" s="129"/>
      <c r="M148" s="54">
        <f t="shared" si="63"/>
        <v>0</v>
      </c>
      <c r="N148" s="129"/>
      <c r="O148" s="54">
        <f t="shared" si="64"/>
        <v>0</v>
      </c>
      <c r="P148" s="54">
        <f t="shared" si="65"/>
        <v>0</v>
      </c>
      <c r="Q148" s="1"/>
    </row>
    <row r="149" spans="2:17" ht="12.5">
      <c r="B149" s="7" t="str">
        <f t="shared" si="66"/>
        <v/>
      </c>
      <c r="C149" s="50">
        <f>IF(D93="","-",+C148+1)</f>
        <v>2061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67"/>
        <v>0</v>
      </c>
      <c r="G149" s="55">
        <f t="shared" si="59"/>
        <v>0</v>
      </c>
      <c r="H149" s="380">
        <f t="shared" si="60"/>
        <v>0</v>
      </c>
      <c r="I149" s="399">
        <f t="shared" si="61"/>
        <v>0</v>
      </c>
      <c r="J149" s="54">
        <f t="shared" si="62"/>
        <v>0</v>
      </c>
      <c r="K149" s="54"/>
      <c r="L149" s="129"/>
      <c r="M149" s="54">
        <f t="shared" si="63"/>
        <v>0</v>
      </c>
      <c r="N149" s="129"/>
      <c r="O149" s="54">
        <f t="shared" si="64"/>
        <v>0</v>
      </c>
      <c r="P149" s="54">
        <f t="shared" si="65"/>
        <v>0</v>
      </c>
      <c r="Q149" s="1"/>
    </row>
    <row r="150" spans="2:17" ht="12.5">
      <c r="B150" s="7" t="str">
        <f t="shared" si="66"/>
        <v/>
      </c>
      <c r="C150" s="50">
        <f>IF(D93="","-",+C149+1)</f>
        <v>2062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67"/>
        <v>0</v>
      </c>
      <c r="G150" s="55">
        <f t="shared" si="59"/>
        <v>0</v>
      </c>
      <c r="H150" s="380">
        <f t="shared" si="60"/>
        <v>0</v>
      </c>
      <c r="I150" s="399">
        <f t="shared" si="61"/>
        <v>0</v>
      </c>
      <c r="J150" s="54">
        <f t="shared" si="62"/>
        <v>0</v>
      </c>
      <c r="K150" s="54"/>
      <c r="L150" s="129"/>
      <c r="M150" s="54">
        <f t="shared" si="63"/>
        <v>0</v>
      </c>
      <c r="N150" s="129"/>
      <c r="O150" s="54">
        <f t="shared" si="64"/>
        <v>0</v>
      </c>
      <c r="P150" s="54">
        <f t="shared" si="65"/>
        <v>0</v>
      </c>
      <c r="Q150" s="1"/>
    </row>
    <row r="151" spans="2:17" ht="12.5">
      <c r="B151" s="7" t="str">
        <f t="shared" si="66"/>
        <v/>
      </c>
      <c r="C151" s="50">
        <f>IF(D93="","-",+C150+1)</f>
        <v>2063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67"/>
        <v>0</v>
      </c>
      <c r="G151" s="55">
        <f t="shared" si="59"/>
        <v>0</v>
      </c>
      <c r="H151" s="380">
        <f t="shared" si="60"/>
        <v>0</v>
      </c>
      <c r="I151" s="399">
        <f t="shared" si="61"/>
        <v>0</v>
      </c>
      <c r="J151" s="54">
        <f t="shared" si="62"/>
        <v>0</v>
      </c>
      <c r="K151" s="54"/>
      <c r="L151" s="129"/>
      <c r="M151" s="54">
        <f t="shared" si="63"/>
        <v>0</v>
      </c>
      <c r="N151" s="129"/>
      <c r="O151" s="54">
        <f t="shared" si="64"/>
        <v>0</v>
      </c>
      <c r="P151" s="54">
        <f t="shared" si="65"/>
        <v>0</v>
      </c>
      <c r="Q151" s="1"/>
    </row>
    <row r="152" spans="2:17" ht="12.5">
      <c r="B152" s="7" t="str">
        <f t="shared" si="66"/>
        <v/>
      </c>
      <c r="C152" s="50">
        <f>IF(D93="","-",+C151+1)</f>
        <v>2064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67"/>
        <v>0</v>
      </c>
      <c r="G152" s="55">
        <f t="shared" si="59"/>
        <v>0</v>
      </c>
      <c r="H152" s="380">
        <f t="shared" si="60"/>
        <v>0</v>
      </c>
      <c r="I152" s="399">
        <f t="shared" si="61"/>
        <v>0</v>
      </c>
      <c r="J152" s="54">
        <f t="shared" si="62"/>
        <v>0</v>
      </c>
      <c r="K152" s="54"/>
      <c r="L152" s="129"/>
      <c r="M152" s="54">
        <f t="shared" si="63"/>
        <v>0</v>
      </c>
      <c r="N152" s="129"/>
      <c r="O152" s="54">
        <f t="shared" si="64"/>
        <v>0</v>
      </c>
      <c r="P152" s="54">
        <f t="shared" si="65"/>
        <v>0</v>
      </c>
      <c r="Q152" s="1"/>
    </row>
    <row r="153" spans="2:17" ht="12.5">
      <c r="B153" s="7" t="str">
        <f t="shared" si="66"/>
        <v/>
      </c>
      <c r="C153" s="50">
        <f>IF(D93="","-",+C152+1)</f>
        <v>2065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67"/>
        <v>0</v>
      </c>
      <c r="G153" s="55">
        <f t="shared" si="59"/>
        <v>0</v>
      </c>
      <c r="H153" s="380">
        <f t="shared" si="60"/>
        <v>0</v>
      </c>
      <c r="I153" s="399">
        <f t="shared" si="61"/>
        <v>0</v>
      </c>
      <c r="J153" s="54">
        <f t="shared" si="62"/>
        <v>0</v>
      </c>
      <c r="K153" s="54"/>
      <c r="L153" s="129"/>
      <c r="M153" s="54">
        <f t="shared" si="63"/>
        <v>0</v>
      </c>
      <c r="N153" s="129"/>
      <c r="O153" s="54">
        <f t="shared" si="64"/>
        <v>0</v>
      </c>
      <c r="P153" s="54">
        <f t="shared" si="65"/>
        <v>0</v>
      </c>
      <c r="Q153" s="1"/>
    </row>
    <row r="154" spans="2:17" ht="13" thickBot="1">
      <c r="B154" s="7" t="str">
        <f t="shared" si="66"/>
        <v/>
      </c>
      <c r="C154" s="59">
        <f>IF(D93="","-",+C153+1)</f>
        <v>2066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67"/>
        <v>0</v>
      </c>
      <c r="G154" s="60">
        <f t="shared" si="59"/>
        <v>0</v>
      </c>
      <c r="H154" s="382">
        <f t="shared" si="60"/>
        <v>0</v>
      </c>
      <c r="I154" s="400">
        <f t="shared" si="61"/>
        <v>0</v>
      </c>
      <c r="J154" s="64">
        <f t="shared" si="62"/>
        <v>0</v>
      </c>
      <c r="K154" s="54"/>
      <c r="L154" s="130"/>
      <c r="M154" s="64">
        <f t="shared" si="63"/>
        <v>0</v>
      </c>
      <c r="N154" s="130"/>
      <c r="O154" s="64">
        <f t="shared" si="64"/>
        <v>0</v>
      </c>
      <c r="P154" s="64">
        <f t="shared" si="65"/>
        <v>0</v>
      </c>
      <c r="Q154" s="1"/>
    </row>
    <row r="155" spans="2:17" ht="12.5">
      <c r="C155" s="12" t="s">
        <v>78</v>
      </c>
      <c r="D155" s="293"/>
      <c r="E155" s="293">
        <f>SUM(E99:E154)</f>
        <v>249140.99999999977</v>
      </c>
      <c r="F155" s="293"/>
      <c r="G155" s="293"/>
      <c r="H155" s="293">
        <f>SUM(H99:H154)</f>
        <v>918605.58849018649</v>
      </c>
      <c r="I155" s="293">
        <f>SUM(I99:I154)</f>
        <v>918605.58849018649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 ht="12.5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 ht="12.5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05" priority="1" stopIfTrue="1" operator="equal">
      <formula>$I$10</formula>
    </cfRule>
  </conditionalFormatting>
  <conditionalFormatting sqref="C99:C154">
    <cfRule type="cellIs" dxfId="10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0"/>
  <dimension ref="A1:S137"/>
  <sheetViews>
    <sheetView topLeftCell="F1" zoomScale="90" zoomScaleNormal="90" zoomScaleSheetLayoutView="70" workbookViewId="0">
      <selection activeCell="N18" sqref="N18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0.7265625" customWidth="1"/>
    <col min="4" max="9" width="17.7265625" customWidth="1"/>
    <col min="10" max="10" width="17.7265625" bestFit="1" customWidth="1"/>
    <col min="11" max="11" width="2.1796875" customWidth="1"/>
    <col min="12" max="15" width="17.7265625" customWidth="1"/>
    <col min="16" max="16" width="19.54296875" customWidth="1"/>
    <col min="17" max="17" width="2.1796875" customWidth="1"/>
    <col min="18" max="18" width="16.453125" customWidth="1"/>
    <col min="19" max="19" width="52.453125" customWidth="1"/>
  </cols>
  <sheetData>
    <row r="1" spans="1:19" ht="17.5">
      <c r="A1" s="477" t="str">
        <f>'SWE.WS.F.BPU.ATRR.Projected'!A1</f>
        <v xml:space="preserve">AEP West SPP Member Companies 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</row>
    <row r="2" spans="1:19" ht="17.5">
      <c r="A2" s="477" t="str">
        <f>'SWE.WS.F.BPU.ATRR.Projected'!A2</f>
        <v>2024 Cost of Service Formula Rate Projected on 2024 FF1 Balances</v>
      </c>
      <c r="B2" s="478"/>
      <c r="C2" s="478"/>
      <c r="D2" s="478"/>
      <c r="E2" s="478"/>
      <c r="F2" s="478"/>
      <c r="G2" s="478"/>
      <c r="H2" s="478"/>
      <c r="I2" s="478"/>
      <c r="J2" s="478"/>
      <c r="K2" s="478"/>
      <c r="Q2" s="93" t="s">
        <v>111</v>
      </c>
    </row>
    <row r="3" spans="1:19" ht="18">
      <c r="A3" s="480" t="s">
        <v>126</v>
      </c>
      <c r="B3" s="479"/>
      <c r="C3" s="479"/>
      <c r="D3" s="479"/>
      <c r="E3" s="479"/>
      <c r="F3" s="479"/>
      <c r="G3" s="479"/>
      <c r="H3" s="479"/>
      <c r="I3" s="479"/>
      <c r="J3" s="479"/>
      <c r="K3" s="479"/>
    </row>
    <row r="4" spans="1:19" ht="17.5">
      <c r="A4" s="479" t="str">
        <f>"Based on a Carrying Charge Derived from ""Trued-Up"" "&amp;M16&amp;" Data"</f>
        <v>Based on a Carrying Charge Derived from "Trued-Up" 2024 Data</v>
      </c>
      <c r="B4" s="479"/>
      <c r="C4" s="479"/>
      <c r="D4" s="479"/>
      <c r="E4" s="479"/>
      <c r="F4" s="479"/>
      <c r="G4" s="479"/>
      <c r="H4" s="479"/>
      <c r="I4" s="479"/>
      <c r="J4" s="479"/>
      <c r="K4" s="479"/>
    </row>
    <row r="5" spans="1:19" ht="18">
      <c r="A5" s="483" t="str">
        <f>'SWE.WS.F.BPU.ATRR.Projected'!A5</f>
        <v>SOUTHWESTERN ELECTRIC POWER COMPANY</v>
      </c>
      <c r="B5" s="484"/>
      <c r="C5" s="484"/>
      <c r="D5" s="484"/>
      <c r="E5" s="484"/>
      <c r="F5" s="484"/>
      <c r="G5" s="484"/>
      <c r="H5" s="484"/>
      <c r="I5" s="484"/>
      <c r="J5" s="484"/>
      <c r="K5" s="484"/>
      <c r="N5" s="212"/>
    </row>
    <row r="6" spans="1:19" ht="20">
      <c r="A6" s="13"/>
      <c r="C6" s="10"/>
      <c r="D6" s="7"/>
      <c r="I6" s="210"/>
    </row>
    <row r="7" spans="1:19" ht="12.5">
      <c r="D7" s="7"/>
      <c r="I7" s="210"/>
    </row>
    <row r="8" spans="1:19" ht="17.5">
      <c r="B8" s="4" t="s">
        <v>0</v>
      </c>
      <c r="C8" s="475" t="str">
        <f>"Calculate Return and Income Taxes with "&amp;F13&amp;" basis point ROE increase for Projects Qualified for Incentive."</f>
        <v>Calculate Return and Income Taxes with 0 basis point ROE increase for Projects Qualified for Incentive.</v>
      </c>
      <c r="D8" s="476"/>
      <c r="E8" s="476"/>
      <c r="F8" s="476"/>
      <c r="G8" s="476"/>
      <c r="H8" s="476"/>
      <c r="I8" s="476"/>
    </row>
    <row r="9" spans="1:19" ht="15.75" customHeight="1">
      <c r="C9" s="5"/>
      <c r="D9" s="5"/>
      <c r="E9" s="5"/>
      <c r="F9" s="5"/>
      <c r="G9" s="5"/>
      <c r="H9" s="5"/>
      <c r="I9" s="5"/>
    </row>
    <row r="10" spans="1:19" ht="15.5">
      <c r="C10" s="6" t="str">
        <f>"A.   Determine 'R' with hypothetical "&amp;F13&amp;" basis point increase in ROE for Identified Projects"</f>
        <v>A.   Determine 'R' with hypothetical 0 basis point increase in ROE for Identified Projects</v>
      </c>
      <c r="D10" s="7"/>
      <c r="I10" s="210"/>
    </row>
    <row r="11" spans="1:19" ht="12.5">
      <c r="D11" s="7"/>
      <c r="I11" s="210"/>
    </row>
    <row r="12" spans="1:19" ht="12.5">
      <c r="C12" s="232" t="str">
        <f>S105</f>
        <v xml:space="preserve">   ROE w/o incentives  (TCOS, ln 143)</v>
      </c>
      <c r="D12" s="7"/>
      <c r="E12" s="233"/>
      <c r="F12" s="234">
        <f>+R105</f>
        <v>0.105</v>
      </c>
      <c r="G12" s="234"/>
      <c r="H12" s="235"/>
      <c r="I12" s="236"/>
      <c r="J12" s="237"/>
      <c r="K12" s="237"/>
      <c r="L12" s="237"/>
      <c r="M12" s="237"/>
      <c r="N12" s="237"/>
      <c r="O12" s="237"/>
      <c r="P12" s="237"/>
      <c r="Q12" s="237"/>
      <c r="R12" s="1"/>
      <c r="S12" s="1"/>
    </row>
    <row r="13" spans="1:19" ht="13" thickBot="1">
      <c r="C13" s="232" t="s">
        <v>1</v>
      </c>
      <c r="D13" s="7"/>
      <c r="E13" s="233"/>
      <c r="F13" s="317">
        <f>R106</f>
        <v>0</v>
      </c>
      <c r="G13" s="318" t="s">
        <v>155</v>
      </c>
      <c r="L13" s="237"/>
      <c r="M13" s="237"/>
      <c r="N13" s="237"/>
      <c r="O13" s="237"/>
      <c r="P13" s="237"/>
      <c r="Q13" s="237"/>
      <c r="R13" s="1"/>
      <c r="S13" s="1"/>
    </row>
    <row r="14" spans="1:19" ht="13">
      <c r="C14" s="232" t="str">
        <f>"   ROE with additional "&amp;F13&amp;" basis point incentive"</f>
        <v xml:space="preserve">   ROE with additional 0 basis point incentive</v>
      </c>
      <c r="D14" s="233"/>
      <c r="E14" s="233"/>
      <c r="F14" s="239">
        <f>IF((F12+(F13/10000)&gt;0.1245),"ERROR",F12+(F13/10000))</f>
        <v>0.105</v>
      </c>
      <c r="G14" s="240" t="s">
        <v>2</v>
      </c>
      <c r="I14" s="237"/>
      <c r="J14" s="237"/>
      <c r="K14" s="237"/>
      <c r="L14" s="319" t="s">
        <v>81</v>
      </c>
      <c r="M14" s="320"/>
      <c r="N14" s="320"/>
      <c r="O14" s="320"/>
      <c r="P14" s="321"/>
      <c r="Q14" s="237"/>
      <c r="R14" s="1"/>
      <c r="S14" s="1"/>
    </row>
    <row r="15" spans="1:19" ht="12.5">
      <c r="C15" s="232" t="s">
        <v>3</v>
      </c>
      <c r="D15" s="7"/>
      <c r="E15" s="233"/>
      <c r="F15" s="239"/>
      <c r="G15" s="239"/>
      <c r="H15" s="233"/>
      <c r="I15" s="237"/>
      <c r="J15" s="237"/>
      <c r="K15" s="237"/>
      <c r="L15" s="248"/>
      <c r="M15" s="237"/>
      <c r="N15" s="237" t="s">
        <v>9</v>
      </c>
      <c r="O15" s="237" t="s">
        <v>10</v>
      </c>
      <c r="P15" s="250" t="s">
        <v>11</v>
      </c>
      <c r="Q15" s="237"/>
      <c r="R15" s="1"/>
      <c r="S15" s="1"/>
    </row>
    <row r="16" spans="1:19" ht="12.5">
      <c r="C16" s="237"/>
      <c r="D16" s="241" t="s">
        <v>5</v>
      </c>
      <c r="E16" s="241" t="s">
        <v>6</v>
      </c>
      <c r="F16" s="242" t="s">
        <v>7</v>
      </c>
      <c r="G16" s="242"/>
      <c r="H16" s="233"/>
      <c r="I16" s="237"/>
      <c r="J16" s="237"/>
      <c r="K16" s="237"/>
      <c r="L16" s="248" t="s">
        <v>82</v>
      </c>
      <c r="M16" s="322">
        <f>+R104</f>
        <v>2024</v>
      </c>
      <c r="P16" s="254"/>
      <c r="Q16" s="237"/>
      <c r="R16" s="1"/>
      <c r="S16" s="1"/>
    </row>
    <row r="17" spans="3:19" ht="12.5">
      <c r="C17" s="243" t="s">
        <v>8</v>
      </c>
      <c r="D17" s="244">
        <f>R107</f>
        <v>0.49413164329920617</v>
      </c>
      <c r="E17" s="245">
        <f>R108</f>
        <v>3.8138735926530609E-2</v>
      </c>
      <c r="F17" s="246">
        <f>E17*D17</f>
        <v>1.8845556256731042E-2</v>
      </c>
      <c r="G17" s="246"/>
      <c r="H17" s="233"/>
      <c r="I17" s="237"/>
      <c r="J17" s="247"/>
      <c r="K17" s="247"/>
      <c r="L17" s="253"/>
      <c r="M17" s="323" t="s">
        <v>245</v>
      </c>
      <c r="N17" s="324">
        <f>SUM(S.001:S.077!M87)</f>
        <v>80862461.290840074</v>
      </c>
      <c r="O17" s="324">
        <f>SUM(S.001:S.077!N87)</f>
        <v>80862461.290840074</v>
      </c>
      <c r="P17" s="325">
        <f>+O17-N17</f>
        <v>0</v>
      </c>
      <c r="Q17" s="247"/>
      <c r="R17" s="1"/>
      <c r="S17" s="1"/>
    </row>
    <row r="18" spans="3:19" ht="13" thickBot="1">
      <c r="C18" s="243" t="s">
        <v>12</v>
      </c>
      <c r="D18" s="244">
        <f>R109</f>
        <v>0</v>
      </c>
      <c r="E18" s="245">
        <f>R110</f>
        <v>0</v>
      </c>
      <c r="F18" s="246">
        <f>E18*D18</f>
        <v>0</v>
      </c>
      <c r="G18" s="246"/>
      <c r="H18" s="251"/>
      <c r="I18" s="251"/>
      <c r="J18" s="252"/>
      <c r="K18" s="252"/>
      <c r="L18" s="253"/>
      <c r="M18" s="323" t="s">
        <v>246</v>
      </c>
      <c r="N18" s="326">
        <f>SUM(S.001:S.077!M88)</f>
        <v>84895526.749874592</v>
      </c>
      <c r="O18" s="326">
        <f>SUM(S.001:S.077!N88)</f>
        <v>84895526.749874592</v>
      </c>
      <c r="P18" s="259">
        <f>+O18-N18</f>
        <v>0</v>
      </c>
      <c r="Q18" s="252"/>
      <c r="R18" s="1"/>
      <c r="S18" s="1"/>
    </row>
    <row r="19" spans="3:19" ht="12.5">
      <c r="C19" s="243" t="s">
        <v>13</v>
      </c>
      <c r="D19" s="244">
        <f>R111</f>
        <v>0.50586835670079389</v>
      </c>
      <c r="E19" s="245">
        <f>+F14</f>
        <v>0.105</v>
      </c>
      <c r="F19" s="255">
        <f>E19*D19</f>
        <v>5.3116177453583359E-2</v>
      </c>
      <c r="G19" s="255"/>
      <c r="H19" s="251"/>
      <c r="I19" s="251"/>
      <c r="J19" s="239"/>
      <c r="K19" s="252"/>
      <c r="L19" s="253"/>
      <c r="M19" s="323" t="str">
        <f>"True-up Adjustment For "&amp;M16&amp;""</f>
        <v>True-up Adjustment For 2024</v>
      </c>
      <c r="N19" s="212">
        <f>ROUND(N18-N17,0)</f>
        <v>4033065</v>
      </c>
      <c r="O19" s="212">
        <f>+O18-O17</f>
        <v>4033065.4590345174</v>
      </c>
      <c r="P19" s="327">
        <f>+P18-P17</f>
        <v>0</v>
      </c>
      <c r="Q19" s="252"/>
      <c r="R19" s="1"/>
      <c r="S19" s="1"/>
    </row>
    <row r="20" spans="3:19" ht="12.5">
      <c r="C20" s="232"/>
      <c r="D20" s="233"/>
      <c r="E20" s="260" t="s">
        <v>15</v>
      </c>
      <c r="F20" s="246">
        <f>SUM(F17:F19)</f>
        <v>7.1961733710314404E-2</v>
      </c>
      <c r="G20" s="246"/>
      <c r="H20" s="328"/>
      <c r="I20" s="251"/>
      <c r="J20" s="252"/>
      <c r="K20" s="252"/>
      <c r="L20" s="253"/>
      <c r="N20" s="261" t="str">
        <f>IF(N19=ROUND(SUM(S.001:S.077!M89),0),"","ERROR")</f>
        <v/>
      </c>
      <c r="O20" s="261"/>
      <c r="P20" s="261" t="str">
        <f>IF(P19=SUM(S.001:S.075!O89),"","ERROR")</f>
        <v/>
      </c>
      <c r="Q20" s="252"/>
      <c r="R20" s="1"/>
      <c r="S20" s="1"/>
    </row>
    <row r="21" spans="3:19" ht="13" thickBot="1">
      <c r="D21" s="262"/>
      <c r="E21" s="262"/>
      <c r="F21" s="251"/>
      <c r="G21" s="251"/>
      <c r="H21" s="251"/>
      <c r="I21" s="251"/>
      <c r="J21" s="251"/>
      <c r="K21" s="251"/>
      <c r="L21" s="329"/>
      <c r="M21" s="330"/>
      <c r="N21" s="331"/>
      <c r="O21" s="331"/>
      <c r="P21" s="259"/>
      <c r="Q21" s="251"/>
      <c r="R21" s="1"/>
      <c r="S21" s="1"/>
    </row>
    <row r="22" spans="3:19" ht="15.5">
      <c r="C22" s="6" t="str">
        <f>"B.   Determine Return using 'R' with hypothetical "&amp;F13&amp;" basis point ROE increase for Identified Projects."</f>
        <v>B.   Determine Return using 'R' with hypothetical 0 basis point ROE increase for Identified Projects.</v>
      </c>
      <c r="D22" s="262"/>
      <c r="E22" s="262"/>
      <c r="F22" s="251"/>
      <c r="G22" s="251"/>
      <c r="H22" s="251"/>
      <c r="I22" s="233"/>
      <c r="J22" s="251"/>
      <c r="K22" s="251"/>
      <c r="L22" s="251"/>
      <c r="M22" s="251"/>
      <c r="N22" s="251"/>
      <c r="O22" s="251"/>
      <c r="P22" s="251"/>
      <c r="Q22" s="251"/>
      <c r="R22" s="1"/>
      <c r="S22" s="1"/>
    </row>
    <row r="23" spans="3:19" ht="13">
      <c r="C23" s="237"/>
      <c r="D23" s="262"/>
      <c r="E23" s="262"/>
      <c r="F23" s="251"/>
      <c r="G23" s="251"/>
      <c r="H23" s="251"/>
      <c r="I23" s="251"/>
      <c r="J23" s="251"/>
      <c r="K23" s="251"/>
      <c r="L23" s="25" t="s">
        <v>16</v>
      </c>
      <c r="M23" s="251"/>
      <c r="N23" s="251"/>
      <c r="O23" s="251"/>
      <c r="P23" s="251"/>
      <c r="Q23" s="251"/>
      <c r="R23" s="1"/>
      <c r="S23" s="1"/>
    </row>
    <row r="24" spans="3:19" ht="12.5">
      <c r="C24" s="232" t="str">
        <f>S112</f>
        <v xml:space="preserve">   Rate Base  (TCOS, ln 63)</v>
      </c>
      <c r="D24" s="233"/>
      <c r="E24" s="263">
        <f>R112</f>
        <v>1809260046.1566496</v>
      </c>
      <c r="F24" s="264"/>
      <c r="G24" s="264"/>
      <c r="H24" s="251"/>
      <c r="I24" s="251"/>
      <c r="J24" s="251"/>
      <c r="K24" s="251"/>
      <c r="L24" t="s">
        <v>17</v>
      </c>
      <c r="M24" s="251"/>
      <c r="N24" s="251"/>
      <c r="O24" s="251"/>
      <c r="P24" s="264"/>
      <c r="Q24" s="251"/>
      <c r="R24" s="1"/>
      <c r="S24" s="1"/>
    </row>
    <row r="25" spans="3:19" ht="12.5">
      <c r="C25" s="237" t="s">
        <v>18</v>
      </c>
      <c r="D25" s="235"/>
      <c r="E25" s="265">
        <f>F20</f>
        <v>7.1961733710314404E-2</v>
      </c>
      <c r="F25" s="251"/>
      <c r="G25" s="251"/>
      <c r="H25" s="251"/>
      <c r="I25" s="251"/>
      <c r="J25" s="251"/>
      <c r="K25" s="251"/>
      <c r="L25" s="251"/>
      <c r="M25" s="251"/>
      <c r="N25" s="251"/>
      <c r="O25" s="251"/>
      <c r="P25" s="251"/>
      <c r="Q25" s="251"/>
      <c r="R25" s="1"/>
      <c r="S25" s="1"/>
    </row>
    <row r="26" spans="3:19" ht="12.5">
      <c r="C26" s="266" t="s">
        <v>19</v>
      </c>
      <c r="D26" s="266"/>
      <c r="E26" s="252">
        <f>E24*E25</f>
        <v>130197489.65423596</v>
      </c>
      <c r="F26" s="251"/>
      <c r="G26" s="251"/>
      <c r="H26" s="251"/>
      <c r="I26" s="251"/>
      <c r="J26" s="252"/>
      <c r="K26" s="252"/>
      <c r="L26" s="252"/>
      <c r="M26" s="252"/>
      <c r="N26" s="332"/>
      <c r="O26" s="252"/>
      <c r="P26" s="251"/>
      <c r="Q26" s="252"/>
      <c r="R26" s="1"/>
      <c r="S26" s="1"/>
    </row>
    <row r="27" spans="3:19" ht="12.5">
      <c r="C27" s="266"/>
      <c r="D27" s="237"/>
      <c r="E27" s="237"/>
      <c r="F27" s="251"/>
      <c r="G27" s="251"/>
      <c r="H27" s="251"/>
      <c r="I27" s="251"/>
      <c r="J27" s="252"/>
      <c r="K27" s="252"/>
      <c r="L27" s="252"/>
      <c r="M27" s="252"/>
      <c r="N27" s="261"/>
      <c r="O27" s="252"/>
      <c r="P27" s="251"/>
      <c r="Q27" s="252"/>
      <c r="R27" s="1"/>
      <c r="S27" s="1"/>
    </row>
    <row r="28" spans="3:19" ht="15.5">
      <c r="C28" s="6" t="str">
        <f>"C.   Determine Income Taxes using Return with hypothetical "&amp;F13&amp;" basis point ROE increase for Identified Projects."</f>
        <v>C.   Determine Income Taxes using Return with hypothetical 0 basis point ROE increase for Identified Projects.</v>
      </c>
      <c r="D28" s="267"/>
      <c r="E28" s="267"/>
      <c r="F28" s="268"/>
      <c r="G28" s="268"/>
      <c r="H28" s="268"/>
      <c r="I28" s="268"/>
      <c r="J28" s="269"/>
      <c r="K28" s="269"/>
      <c r="L28" s="269"/>
      <c r="M28" s="269"/>
      <c r="N28" s="333"/>
      <c r="O28" s="269"/>
      <c r="P28" s="268"/>
      <c r="Q28" s="269"/>
      <c r="R28" s="1"/>
      <c r="S28" s="1"/>
    </row>
    <row r="29" spans="3:19" ht="12.5">
      <c r="C29" s="232"/>
      <c r="D29" s="237"/>
      <c r="E29" s="237"/>
      <c r="F29" s="251"/>
      <c r="G29" s="251"/>
      <c r="H29" s="251"/>
      <c r="I29" s="251"/>
      <c r="J29" s="252"/>
      <c r="K29" s="252"/>
      <c r="L29" s="252"/>
      <c r="M29" s="252"/>
      <c r="N29" s="252"/>
      <c r="O29" s="252"/>
      <c r="P29" s="251"/>
      <c r="Q29" s="252"/>
      <c r="R29" s="1"/>
      <c r="S29" s="1"/>
    </row>
    <row r="30" spans="3:19" ht="12.5">
      <c r="C30" s="237" t="s">
        <v>20</v>
      </c>
      <c r="D30" s="260"/>
      <c r="E30" s="264">
        <f>E26</f>
        <v>130197489.65423596</v>
      </c>
      <c r="F30" s="251"/>
      <c r="G30" s="251"/>
      <c r="H30" s="251"/>
      <c r="I30" s="251"/>
      <c r="J30" s="251"/>
      <c r="K30" s="251"/>
      <c r="L30" s="251"/>
      <c r="M30" s="251"/>
      <c r="N30" s="328"/>
      <c r="O30" s="251"/>
      <c r="P30" s="251"/>
      <c r="Q30" s="251"/>
      <c r="R30" s="1"/>
      <c r="S30" s="1"/>
    </row>
    <row r="31" spans="3:19" ht="12.5">
      <c r="C31" s="232" t="str">
        <f>S113</f>
        <v xml:space="preserve">   Tax Rate  (TCOS, ln 99)</v>
      </c>
      <c r="D31" s="260"/>
      <c r="E31" s="8">
        <f>R113</f>
        <v>0.24317999999999995</v>
      </c>
      <c r="F31" s="251"/>
      <c r="G31" s="251"/>
      <c r="H31" s="251"/>
      <c r="I31" s="251"/>
      <c r="J31" s="251"/>
      <c r="K31" s="251"/>
      <c r="L31" s="251"/>
      <c r="M31" s="251"/>
      <c r="N31" s="251"/>
      <c r="O31" s="251"/>
      <c r="P31" s="251"/>
      <c r="Q31" s="251"/>
      <c r="R31" s="1"/>
      <c r="S31" s="1"/>
    </row>
    <row r="32" spans="3:19" ht="12.5">
      <c r="C32" s="237" t="s">
        <v>21</v>
      </c>
      <c r="D32" s="2"/>
      <c r="E32" s="239">
        <f>IF(F17&gt;0,($E31/(1-$E31))*(1-$F17/$F20),0)</f>
        <v>0.23717037978730923</v>
      </c>
      <c r="F32" s="1"/>
      <c r="G32" s="1"/>
      <c r="H32" s="1"/>
      <c r="I32" s="229"/>
      <c r="J32" s="1"/>
      <c r="K32" s="1"/>
      <c r="L32" s="1"/>
      <c r="M32" s="1"/>
      <c r="N32" s="1"/>
      <c r="O32" s="1"/>
      <c r="P32" s="1"/>
      <c r="Q32" s="1"/>
      <c r="R32" s="1"/>
      <c r="S32" s="8"/>
    </row>
    <row r="33" spans="2:19" ht="12.5">
      <c r="C33" s="266" t="s">
        <v>22</v>
      </c>
      <c r="D33" s="2"/>
      <c r="E33" s="270">
        <f>E30*E32</f>
        <v>30878988.068649407</v>
      </c>
      <c r="F33" s="1"/>
      <c r="G33" s="1"/>
      <c r="H33" s="1"/>
      <c r="I33" s="229"/>
      <c r="J33" s="1"/>
      <c r="K33" s="1"/>
      <c r="L33" s="1"/>
      <c r="M33" s="1"/>
      <c r="N33" s="1"/>
      <c r="O33" s="1"/>
      <c r="P33" s="1"/>
      <c r="Q33" s="1"/>
      <c r="R33" s="1"/>
      <c r="S33" s="1"/>
    </row>
    <row r="34" spans="2:19" ht="15.5">
      <c r="C34" s="232" t="str">
        <f>S114</f>
        <v xml:space="preserve">   ITC Adjustment  (TCOS, ln 108)</v>
      </c>
      <c r="D34" s="271"/>
      <c r="E34" s="251">
        <f>R114</f>
        <v>35513.957477600357</v>
      </c>
      <c r="F34" s="271"/>
      <c r="G34" s="271"/>
      <c r="H34" s="271"/>
      <c r="I34" s="271"/>
      <c r="J34" s="271"/>
      <c r="K34" s="271"/>
      <c r="L34" s="271"/>
      <c r="M34" s="271"/>
      <c r="N34" s="271"/>
      <c r="O34" s="271"/>
      <c r="P34" s="272"/>
      <c r="Q34" s="271"/>
      <c r="R34" s="1"/>
      <c r="S34" s="1"/>
    </row>
    <row r="35" spans="2:19" ht="15.5">
      <c r="C35" s="232" t="str">
        <f>+S115</f>
        <v xml:space="preserve">   Excess DFIT Adjustment  (TCOS, ln 109)</v>
      </c>
      <c r="D35" s="271"/>
      <c r="E35" s="251">
        <f>R115</f>
        <v>-953110.19839128165</v>
      </c>
      <c r="F35" s="271"/>
      <c r="G35" s="271"/>
      <c r="H35" s="271"/>
      <c r="I35" s="271"/>
      <c r="J35" s="271"/>
      <c r="K35" s="271"/>
      <c r="L35" s="271"/>
      <c r="M35" s="271"/>
      <c r="N35" s="271"/>
      <c r="O35" s="271"/>
      <c r="P35" s="272"/>
      <c r="Q35" s="271"/>
      <c r="R35" s="1"/>
      <c r="S35" s="1"/>
    </row>
    <row r="36" spans="2:19" ht="15.5">
      <c r="C36" s="232" t="str">
        <f>+S116</f>
        <v xml:space="preserve">   Tax Effect of Permanent and Flow Through Differences (TCOS, ln 110)</v>
      </c>
      <c r="D36" s="271"/>
      <c r="E36" s="251">
        <f>R116</f>
        <v>274110.34539885307</v>
      </c>
      <c r="F36" s="271"/>
      <c r="G36" s="271"/>
      <c r="H36" s="271"/>
      <c r="I36" s="271"/>
      <c r="J36" s="271"/>
      <c r="K36" s="271"/>
      <c r="L36" s="271"/>
      <c r="M36" s="271"/>
      <c r="N36" s="271"/>
      <c r="O36" s="271"/>
      <c r="P36" s="272"/>
      <c r="Q36" s="271"/>
      <c r="R36" s="1"/>
      <c r="S36" s="1"/>
    </row>
    <row r="37" spans="2:19" ht="15.5">
      <c r="C37" s="266" t="s">
        <v>23</v>
      </c>
      <c r="D37" s="271"/>
      <c r="E37" s="251">
        <f>E33+E34+E35+E36</f>
        <v>30235502.17313458</v>
      </c>
      <c r="F37" s="271"/>
      <c r="G37" s="271"/>
      <c r="H37" s="271"/>
      <c r="I37" s="271"/>
      <c r="J37" s="271"/>
      <c r="K37" s="271"/>
      <c r="L37" s="271"/>
      <c r="M37" s="271"/>
      <c r="N37" s="271"/>
      <c r="O37" s="271"/>
      <c r="P37" s="273"/>
      <c r="Q37" s="271"/>
      <c r="R37" s="1"/>
      <c r="S37" s="1"/>
    </row>
    <row r="38" spans="2:19" ht="12.75" customHeight="1">
      <c r="C38" s="274"/>
      <c r="D38" s="271"/>
      <c r="E38" s="271"/>
      <c r="F38" s="271"/>
      <c r="G38" s="271"/>
      <c r="H38" s="271"/>
      <c r="I38" s="271"/>
      <c r="J38" s="271"/>
      <c r="K38" s="271"/>
      <c r="L38" s="271"/>
      <c r="M38" s="271"/>
      <c r="N38" s="271"/>
      <c r="O38" s="271"/>
      <c r="P38" s="273"/>
      <c r="Q38" s="271"/>
      <c r="R38" s="1"/>
      <c r="S38" s="1"/>
    </row>
    <row r="39" spans="2:19" ht="18">
      <c r="B39" s="4" t="s">
        <v>24</v>
      </c>
      <c r="C39" s="10" t="str">
        <f>"Calculate Net Plant Carrying Charge Rate (Fixed Charge Rate or FCR) with hypothetical "&amp;F13&amp;" basis point"</f>
        <v>Calculate Net Plant Carrying Charge Rate (Fixed Charge Rate or FCR) with hypothetical 0 basis point</v>
      </c>
      <c r="D39" s="271"/>
      <c r="E39" s="271"/>
      <c r="F39" s="271"/>
      <c r="G39" s="271"/>
      <c r="H39" s="271"/>
      <c r="I39" s="271"/>
      <c r="J39" s="271"/>
      <c r="K39" s="271"/>
      <c r="L39" s="271"/>
      <c r="M39" s="271"/>
      <c r="N39" s="271"/>
      <c r="O39" s="271"/>
      <c r="P39" s="273"/>
      <c r="Q39" s="271"/>
      <c r="R39" s="1"/>
      <c r="S39" s="1"/>
    </row>
    <row r="40" spans="2:19" ht="18.75" customHeight="1">
      <c r="B40" s="4"/>
      <c r="C40" s="10" t="str">
        <f>"ROE increase."</f>
        <v>ROE increase.</v>
      </c>
      <c r="D40" s="271"/>
      <c r="E40" s="271"/>
      <c r="F40" s="271"/>
      <c r="G40" s="271"/>
      <c r="H40" s="271"/>
      <c r="I40" s="271"/>
      <c r="J40" s="271"/>
      <c r="K40" s="271"/>
      <c r="L40" s="271"/>
      <c r="M40" s="271"/>
      <c r="N40" s="271"/>
      <c r="O40" s="271"/>
      <c r="P40" s="273"/>
      <c r="Q40" s="271"/>
      <c r="R40" s="1"/>
      <c r="S40" s="1"/>
    </row>
    <row r="41" spans="2:19" ht="12.75" customHeight="1">
      <c r="C41" s="274"/>
      <c r="D41" s="271"/>
      <c r="E41" s="271"/>
      <c r="F41" s="271"/>
      <c r="G41" s="271"/>
      <c r="H41" s="271"/>
      <c r="I41" s="271"/>
      <c r="J41" s="271"/>
      <c r="K41" s="271"/>
      <c r="L41" s="271"/>
      <c r="M41" s="271"/>
      <c r="N41" s="271"/>
      <c r="O41" s="271"/>
      <c r="P41" s="273"/>
      <c r="Q41" s="271"/>
      <c r="R41" s="1"/>
      <c r="S41" s="1"/>
    </row>
    <row r="42" spans="2:19" ht="15.5">
      <c r="C42" s="6" t="s">
        <v>25</v>
      </c>
      <c r="D42" s="271"/>
      <c r="E42" s="271"/>
      <c r="F42" s="274"/>
      <c r="G42" s="274"/>
      <c r="H42" s="271"/>
      <c r="I42" s="271"/>
      <c r="J42" s="271"/>
      <c r="K42" s="271"/>
      <c r="L42" s="271"/>
      <c r="M42" s="271"/>
      <c r="N42" s="271"/>
      <c r="O42" s="271"/>
      <c r="P42" s="273"/>
      <c r="Q42" s="271"/>
      <c r="R42" s="1"/>
      <c r="S42" s="1"/>
    </row>
    <row r="43" spans="2:19" ht="12.5">
      <c r="B43" s="1"/>
      <c r="C43" s="232"/>
      <c r="D43" s="233"/>
      <c r="E43" s="233"/>
      <c r="F43" s="233"/>
      <c r="G43" s="233"/>
      <c r="H43" s="233"/>
      <c r="I43" s="233"/>
      <c r="J43" s="233"/>
      <c r="K43" s="233"/>
      <c r="L43" s="233"/>
      <c r="M43" s="233"/>
      <c r="N43" s="233"/>
      <c r="O43" s="233"/>
      <c r="P43" s="251"/>
      <c r="Q43" s="233"/>
      <c r="R43" s="1"/>
      <c r="S43" s="1"/>
    </row>
    <row r="44" spans="2:19" ht="12.75" customHeight="1">
      <c r="B44" s="1"/>
      <c r="C44" s="232" t="str">
        <f>S117</f>
        <v xml:space="preserve">   Net Revenue Requirement  (TCOS, ln 117)</v>
      </c>
      <c r="D44" s="233"/>
      <c r="E44" s="233"/>
      <c r="F44" s="251">
        <f>R117</f>
        <v>307794887.42342484</v>
      </c>
      <c r="G44" s="251"/>
      <c r="H44" s="233"/>
      <c r="I44" s="233"/>
      <c r="J44" s="233"/>
      <c r="K44" s="233"/>
      <c r="L44" s="233"/>
      <c r="M44" s="233"/>
      <c r="N44" s="233"/>
      <c r="O44" s="233"/>
      <c r="P44" s="251"/>
      <c r="Q44" s="233"/>
      <c r="R44" s="1"/>
      <c r="S44" s="1"/>
    </row>
    <row r="45" spans="2:19" ht="12.5">
      <c r="B45" s="1"/>
      <c r="C45" s="232" t="str">
        <f>S118</f>
        <v xml:space="preserve">   Return  (TCOS, ln 112)</v>
      </c>
      <c r="D45" s="233"/>
      <c r="E45" s="233"/>
      <c r="F45" s="251">
        <f>R118</f>
        <v>130197489.65423596</v>
      </c>
      <c r="G45" s="252"/>
      <c r="H45" s="232"/>
      <c r="I45" s="232"/>
      <c r="J45" s="232"/>
      <c r="K45" s="232"/>
      <c r="L45" s="232"/>
      <c r="M45" s="232"/>
      <c r="N45" s="232"/>
      <c r="O45" s="232"/>
      <c r="P45" s="251"/>
      <c r="Q45" s="232"/>
      <c r="R45" s="1"/>
      <c r="S45" s="1"/>
    </row>
    <row r="46" spans="2:19" ht="12.5">
      <c r="B46" s="1"/>
      <c r="C46" s="232" t="str">
        <f>S119</f>
        <v xml:space="preserve">   Income Taxes  (TCOS, ln 111)</v>
      </c>
      <c r="D46" s="233"/>
      <c r="E46" s="233"/>
      <c r="F46" s="251">
        <f>R119</f>
        <v>30235502.17313458</v>
      </c>
      <c r="G46" s="251"/>
      <c r="H46" s="233"/>
      <c r="I46" s="233"/>
      <c r="J46" s="275"/>
      <c r="K46" s="275"/>
      <c r="L46" s="275"/>
      <c r="M46" s="275"/>
      <c r="N46" s="275"/>
      <c r="O46" s="275"/>
      <c r="P46" s="233"/>
      <c r="Q46" s="275"/>
      <c r="R46" s="1"/>
      <c r="S46" s="1"/>
    </row>
    <row r="47" spans="2:19" ht="12.5">
      <c r="B47" s="1"/>
      <c r="C47" s="232" t="str">
        <f>S120</f>
        <v xml:space="preserve">  Gross Margin Taxes  (TCOS, ln 116)</v>
      </c>
      <c r="D47" s="233"/>
      <c r="E47" s="233"/>
      <c r="F47" s="276">
        <f>R120</f>
        <v>137137.54269927507</v>
      </c>
      <c r="G47" s="251"/>
      <c r="H47" s="233"/>
      <c r="I47" s="233"/>
      <c r="J47" s="275"/>
      <c r="K47" s="275"/>
      <c r="L47" s="275"/>
      <c r="M47" s="275"/>
      <c r="N47" s="275"/>
      <c r="O47" s="275"/>
      <c r="P47" s="233"/>
      <c r="Q47" s="275"/>
      <c r="R47" s="1"/>
      <c r="S47" s="1"/>
    </row>
    <row r="48" spans="2:19" ht="12.5">
      <c r="B48" s="1"/>
      <c r="C48" s="1" t="s">
        <v>26</v>
      </c>
      <c r="D48" s="233"/>
      <c r="E48" s="233"/>
      <c r="F48" s="252">
        <f>F44-F45-F46-F47</f>
        <v>147224758.05335504</v>
      </c>
      <c r="G48" s="252"/>
      <c r="H48" s="249"/>
      <c r="I48" s="233"/>
      <c r="J48" s="249"/>
      <c r="K48" s="249"/>
      <c r="L48" s="249"/>
      <c r="M48" s="249"/>
      <c r="N48" s="249"/>
      <c r="O48" s="249"/>
      <c r="P48" s="249"/>
      <c r="Q48" s="249"/>
      <c r="R48" s="1"/>
      <c r="S48" s="1"/>
    </row>
    <row r="49" spans="2:19" ht="12.5">
      <c r="B49" s="1"/>
      <c r="C49" s="232"/>
      <c r="D49" s="233"/>
      <c r="E49" s="233"/>
      <c r="F49" s="251"/>
      <c r="G49" s="251"/>
      <c r="H49" s="234"/>
      <c r="I49" s="246"/>
      <c r="J49" s="246"/>
      <c r="K49" s="246"/>
      <c r="L49" s="246"/>
      <c r="M49" s="246"/>
      <c r="N49" s="246"/>
      <c r="O49" s="246"/>
      <c r="P49" s="246"/>
      <c r="Q49" s="246"/>
      <c r="R49" s="1"/>
      <c r="S49" s="1"/>
    </row>
    <row r="50" spans="2:19" ht="15.5">
      <c r="B50" s="1"/>
      <c r="C50" s="6" t="str">
        <f>"B.   Determine Net Revenue Requirement with hypothetical "&amp;F13&amp;" basis point increase in ROE."</f>
        <v>B.   Determine Net Revenue Requirement with hypothetical 0 basis point increase in ROE.</v>
      </c>
      <c r="D50" s="237"/>
      <c r="E50" s="237"/>
      <c r="F50" s="251"/>
      <c r="G50" s="251"/>
      <c r="H50" s="234"/>
      <c r="I50" s="246"/>
      <c r="J50" s="246"/>
      <c r="K50" s="246"/>
      <c r="L50" s="246"/>
      <c r="M50" s="246"/>
      <c r="N50" s="246"/>
      <c r="O50" s="246"/>
      <c r="P50" s="246"/>
      <c r="Q50" s="246"/>
      <c r="R50" s="1"/>
      <c r="S50" s="1"/>
    </row>
    <row r="51" spans="2:19" ht="12.5">
      <c r="B51" s="1"/>
      <c r="C51" s="232"/>
      <c r="D51" s="237"/>
      <c r="E51" s="237"/>
      <c r="F51" s="251"/>
      <c r="G51" s="251"/>
      <c r="H51" s="234"/>
      <c r="I51" s="246"/>
      <c r="J51" s="246"/>
      <c r="K51" s="246"/>
      <c r="L51" s="246"/>
      <c r="M51" s="246"/>
      <c r="N51" s="246"/>
      <c r="O51" s="246"/>
      <c r="P51" s="246"/>
      <c r="Q51" s="246"/>
      <c r="R51" s="1"/>
      <c r="S51" s="1"/>
    </row>
    <row r="52" spans="2:19" ht="13">
      <c r="B52" s="1"/>
      <c r="C52" s="232" t="str">
        <f>C48</f>
        <v xml:space="preserve">   Net Revenue Requirement, Less Return and Taxes</v>
      </c>
      <c r="D52" s="237"/>
      <c r="E52" s="237"/>
      <c r="F52" s="251">
        <f>F48</f>
        <v>147224758.05335504</v>
      </c>
      <c r="G52" s="251"/>
      <c r="H52" s="233"/>
      <c r="I52" s="233"/>
      <c r="J52" s="233"/>
      <c r="K52" s="233"/>
      <c r="L52" s="233"/>
      <c r="M52" s="233"/>
      <c r="N52" s="233"/>
      <c r="O52" s="233"/>
      <c r="P52" s="279"/>
      <c r="Q52" s="233"/>
      <c r="R52" s="1"/>
      <c r="S52" s="1"/>
    </row>
    <row r="53" spans="2:19" ht="13">
      <c r="B53" s="1"/>
      <c r="C53" s="237" t="s">
        <v>93</v>
      </c>
      <c r="D53" s="2"/>
      <c r="E53" s="1"/>
      <c r="F53" s="270">
        <f>E26</f>
        <v>130197489.65423596</v>
      </c>
      <c r="G53" s="270"/>
      <c r="H53" s="1"/>
      <c r="I53" s="28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2:19" ht="12.75" customHeight="1">
      <c r="B54" s="1"/>
      <c r="C54" s="232" t="s">
        <v>27</v>
      </c>
      <c r="D54" s="233"/>
      <c r="E54" s="233"/>
      <c r="F54" s="334">
        <f>E37</f>
        <v>30235502.17313458</v>
      </c>
      <c r="G54" s="282"/>
      <c r="H54" s="1"/>
      <c r="I54" s="229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2:19" ht="12.5">
      <c r="B55" s="1"/>
      <c r="C55" s="1" t="str">
        <f>"   Net Revenue Requirement, with "&amp;F13&amp;" Basis Point ROE increase"</f>
        <v xml:space="preserve">   Net Revenue Requirement, with 0 Basis Point ROE increase</v>
      </c>
      <c r="D55" s="2"/>
      <c r="E55" s="1"/>
      <c r="F55" s="270">
        <f>SUM(F52:F54)</f>
        <v>307657749.88072556</v>
      </c>
      <c r="G55" s="270"/>
      <c r="H55" s="1"/>
      <c r="I55" s="229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2:19" ht="12.5">
      <c r="B56" s="1"/>
      <c r="C56" s="1" t="str">
        <f>"   Gross Margin Tax with "&amp;F13&amp;" Basis Point ROE Increase (II C. below)"</f>
        <v xml:space="preserve">   Gross Margin Tax with 0 Basis Point ROE Increase (II C. below)</v>
      </c>
      <c r="F56" s="283">
        <f>+F71</f>
        <v>295985.39163929399</v>
      </c>
      <c r="G56" s="270"/>
      <c r="H56" s="1"/>
      <c r="I56" s="229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2:19" ht="12.5">
      <c r="B57" s="1"/>
      <c r="C57" s="1" t="s">
        <v>28</v>
      </c>
      <c r="D57" s="2"/>
      <c r="E57" s="1"/>
      <c r="F57" s="270">
        <f>+F55+F56</f>
        <v>307953735.27236485</v>
      </c>
      <c r="G57" s="270"/>
      <c r="H57" s="1"/>
      <c r="I57" s="229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2:19" ht="12.5">
      <c r="B58" s="1"/>
      <c r="C58" s="232" t="str">
        <f>S121</f>
        <v xml:space="preserve">   Less: Depreciation  (TCOS, ln 86)</v>
      </c>
      <c r="D58" s="2"/>
      <c r="E58" s="1"/>
      <c r="F58" s="284">
        <f>R121</f>
        <v>59782181.27282913</v>
      </c>
      <c r="G58" s="284"/>
      <c r="H58" s="1"/>
      <c r="I58" s="229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2:19" ht="12.5">
      <c r="B59" s="1"/>
      <c r="C59" s="1" t="str">
        <f>"   Net Rev. Req, w/"&amp;F13&amp;" Basis Point ROE increase, less Depreciation"</f>
        <v xml:space="preserve">   Net Rev. Req, w/0 Basis Point ROE increase, less Depreciation</v>
      </c>
      <c r="D59" s="2"/>
      <c r="E59" s="1"/>
      <c r="F59" s="270">
        <f>F57-F58</f>
        <v>248171553.99953574</v>
      </c>
      <c r="G59" s="270"/>
      <c r="H59" s="1"/>
      <c r="I59" s="229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2:19" ht="12.5">
      <c r="B60" s="1"/>
      <c r="C60" s="1"/>
      <c r="D60" s="2"/>
      <c r="E60" s="1"/>
      <c r="F60" s="1"/>
      <c r="G60" s="1"/>
      <c r="H60" s="1"/>
      <c r="I60" s="229"/>
      <c r="J60" s="1"/>
      <c r="K60" s="1"/>
      <c r="L60" s="1"/>
      <c r="M60" s="1"/>
      <c r="N60" s="1"/>
      <c r="O60" s="1"/>
      <c r="P60" s="1"/>
      <c r="Q60" s="1" t="str">
        <f>IF(ROUND(Q59,0)=ROUND(SUM(Q18:Q58),0),"","Error -- check allocations above).")</f>
        <v/>
      </c>
      <c r="R60" s="1"/>
      <c r="S60" s="1"/>
    </row>
    <row r="61" spans="2:19" ht="15.5">
      <c r="B61" s="1"/>
      <c r="C61" s="6" t="str">
        <f>"C.   Determine Gross Margin Tax with hypothetical "&amp;F13&amp;" basis point increase in ROE."</f>
        <v>C.   Determine Gross Margin Tax with hypothetical 0 basis point increase in ROE.</v>
      </c>
      <c r="F61" s="270"/>
      <c r="G61" s="270"/>
      <c r="H61" s="1"/>
      <c r="I61" s="229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2:19" ht="12.5">
      <c r="B62" s="1"/>
      <c r="C62" s="1" t="str">
        <f>"   Net Revenue Requirement before Gross Margin Taxes, with "&amp;F13&amp;" "</f>
        <v xml:space="preserve">   Net Revenue Requirement before Gross Margin Taxes, with 0 </v>
      </c>
      <c r="F62" s="270">
        <f>+F55</f>
        <v>307657749.88072556</v>
      </c>
      <c r="G62" s="270"/>
      <c r="H62" s="1"/>
      <c r="I62" s="229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2:19" ht="12.5">
      <c r="B63" s="1"/>
      <c r="C63" s="1" t="s">
        <v>29</v>
      </c>
      <c r="F63" s="270"/>
      <c r="G63" s="270"/>
      <c r="H63" s="1"/>
      <c r="I63" s="229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2:19" ht="12.5">
      <c r="B64" s="1"/>
      <c r="C64" s="1" t="str">
        <f>S122</f>
        <v xml:space="preserve">       Apportionment Factor to Texas (Worksheet K, ln 12)</v>
      </c>
      <c r="D64" s="2"/>
      <c r="E64" s="1"/>
      <c r="F64" s="286">
        <f>R122</f>
        <v>0.43687623629877959</v>
      </c>
      <c r="G64" s="8"/>
      <c r="H64" s="1"/>
      <c r="I64" s="229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2:19" ht="12.5">
      <c r="B65" s="1"/>
      <c r="C65" s="1" t="s">
        <v>30</v>
      </c>
      <c r="D65" s="2"/>
      <c r="E65" s="1"/>
      <c r="F65" s="270">
        <f>+F64*F62</f>
        <v>134408359.8360427</v>
      </c>
      <c r="G65" s="270"/>
      <c r="H65" s="1"/>
      <c r="I65" s="229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2:19" ht="12.5">
      <c r="B66" s="1"/>
      <c r="C66" s="1" t="str">
        <f>+'SWE.WS.F.BPU.ATRR.Projected'!C66</f>
        <v xml:space="preserve">       Taxable Percentage of Revenue (22%)</v>
      </c>
      <c r="D66" s="2"/>
      <c r="E66" s="1"/>
      <c r="F66" s="287">
        <f>+'SWE.WS.F.BPU.ATRR.Projected'!F66</f>
        <v>0.22</v>
      </c>
      <c r="G66" s="335"/>
      <c r="H66" s="1"/>
      <c r="I66" s="229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2:19" ht="12.5">
      <c r="B67" s="1"/>
      <c r="C67" s="1" t="s">
        <v>31</v>
      </c>
      <c r="D67" s="2"/>
      <c r="E67" s="1"/>
      <c r="F67" s="270">
        <f>+F65*F66</f>
        <v>29569839.163929395</v>
      </c>
      <c r="G67" s="270"/>
      <c r="H67" s="1"/>
      <c r="I67" s="229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2:19" ht="12.5">
      <c r="B68" s="1"/>
      <c r="C68" s="1" t="s">
        <v>32</v>
      </c>
      <c r="D68" s="2"/>
      <c r="E68" s="1"/>
      <c r="F68" s="287">
        <v>0.01</v>
      </c>
      <c r="G68" s="335"/>
      <c r="H68" s="1"/>
      <c r="I68" s="229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2:19" ht="12.5">
      <c r="B69" s="1"/>
      <c r="C69" s="1" t="s">
        <v>33</v>
      </c>
      <c r="D69" s="2"/>
      <c r="E69" s="1"/>
      <c r="F69" s="270">
        <f>+F67*F68</f>
        <v>295698.39163929399</v>
      </c>
      <c r="G69" s="270"/>
      <c r="H69" s="1"/>
      <c r="I69" s="229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2:19" ht="12.5">
      <c r="B70" s="1"/>
      <c r="C70" s="1" t="s">
        <v>34</v>
      </c>
      <c r="D70" s="2"/>
      <c r="E70" s="1"/>
      <c r="F70" s="288">
        <f>+ROUND((F69*F66*F64)/(1-F68)*F68,0)</f>
        <v>287</v>
      </c>
      <c r="G70" s="336"/>
      <c r="H70" s="1"/>
      <c r="I70" s="229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2:19" ht="12.5">
      <c r="B71" s="1"/>
      <c r="C71" s="1" t="s">
        <v>35</v>
      </c>
      <c r="D71" s="2"/>
      <c r="E71" s="1"/>
      <c r="F71" s="270">
        <f>+F69+F70</f>
        <v>295985.39163929399</v>
      </c>
      <c r="G71" s="270"/>
      <c r="H71" s="1"/>
      <c r="I71" s="229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2:19" ht="12.5">
      <c r="B72" s="1"/>
      <c r="C72" s="1"/>
      <c r="D72" s="2"/>
      <c r="E72" s="1"/>
      <c r="F72" s="1"/>
      <c r="G72" s="1"/>
      <c r="H72" s="1"/>
      <c r="I72" s="229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2:19" ht="15.5">
      <c r="B73" s="1"/>
      <c r="C73" s="6" t="str">
        <f>"D.   Determine FCR with hypothetical "&amp;F13&amp;" basis point ROE increase."</f>
        <v>D.   Determine FCR with hypothetical 0 basis point ROE increase.</v>
      </c>
      <c r="D73" s="2"/>
      <c r="E73" s="1"/>
      <c r="F73" s="1"/>
      <c r="G73" s="1"/>
      <c r="H73" s="1"/>
      <c r="I73" s="210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2:19" ht="12.5">
      <c r="B74" s="1"/>
      <c r="C74" s="1"/>
      <c r="D74" s="2"/>
      <c r="E74" s="1"/>
      <c r="F74" s="1"/>
      <c r="G74" s="1"/>
      <c r="H74" s="1"/>
      <c r="I74" s="229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2:19" ht="12.5">
      <c r="B75" s="1"/>
      <c r="C75" s="232" t="str">
        <f>S123</f>
        <v xml:space="preserve">   Net Transmission Plant  (TCOS, ln 37)</v>
      </c>
      <c r="D75" s="2"/>
      <c r="E75" s="1"/>
      <c r="F75" s="270">
        <f>R123</f>
        <v>1991648564.8399999</v>
      </c>
      <c r="G75" s="270"/>
      <c r="I75" s="210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2:19" ht="14">
      <c r="B76" s="1"/>
      <c r="C76" s="1" t="str">
        <f>"   Net Revenue Requirement, with "&amp;F13&amp;" Basis Point ROE increase"</f>
        <v xml:space="preserve">   Net Revenue Requirement, with 0 Basis Point ROE increase</v>
      </c>
      <c r="D76" s="2"/>
      <c r="E76" s="1"/>
      <c r="F76" s="337">
        <f>+F57</f>
        <v>307953735.27236485</v>
      </c>
      <c r="G76" s="337"/>
      <c r="I76" s="210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2:19" ht="12.5">
      <c r="B77" s="1"/>
      <c r="C77" s="1" t="str">
        <f>"   FCR with "&amp;F13&amp;" Basis Point increase in ROE"</f>
        <v xml:space="preserve">   FCR with 0 Basis Point increase in ROE</v>
      </c>
      <c r="D77" s="2"/>
      <c r="E77" s="1"/>
      <c r="F77" s="8">
        <f>IF(F75=0,0,F76/F75)</f>
        <v>0.15462252764312587</v>
      </c>
      <c r="G77" s="8"/>
      <c r="I77" s="210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2:19" ht="12.5">
      <c r="B78" s="1"/>
      <c r="D78" s="2"/>
      <c r="E78" s="1"/>
      <c r="F78" s="1"/>
      <c r="G78" s="1"/>
      <c r="H78" s="338"/>
      <c r="I78" s="210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2:19" ht="12.5">
      <c r="B79" s="1"/>
      <c r="C79" s="1" t="str">
        <f>"   Net Rev. Req, w / "&amp;F13&amp;" Basis Point ROE increase, less Dep."</f>
        <v xml:space="preserve">   Net Rev. Req, w / 0 Basis Point ROE increase, less Dep.</v>
      </c>
      <c r="D79" s="2"/>
      <c r="E79" s="1"/>
      <c r="F79" s="270">
        <f>+F59</f>
        <v>248171553.99953574</v>
      </c>
      <c r="G79" s="270"/>
      <c r="I79" s="210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2:19" ht="12.5">
      <c r="B80" s="1"/>
      <c r="C80" s="1" t="str">
        <f>"   FCR with "&amp;F13&amp;" Basis Point ROE increase, less Depreciation"</f>
        <v xml:space="preserve">   FCR with 0 Basis Point ROE increase, less Depreciation</v>
      </c>
      <c r="D80" s="2"/>
      <c r="E80" s="1"/>
      <c r="F80" s="8">
        <f>IF(F75=0,0,F79/F75)</f>
        <v>0.1246060968690391</v>
      </c>
      <c r="G80" s="8"/>
      <c r="H80" s="230"/>
      <c r="I80" s="210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2:19" ht="12.5">
      <c r="B81" s="1"/>
      <c r="C81" s="232" t="str">
        <f>S124</f>
        <v xml:space="preserve">   FCR less Depreciation  (TCOS, ln 10)</v>
      </c>
      <c r="D81" s="2"/>
      <c r="E81" s="1"/>
      <c r="F81" s="289">
        <f>R124</f>
        <v>0.1245263399019997</v>
      </c>
      <c r="G81" s="289"/>
      <c r="H81" s="339"/>
      <c r="I81" s="210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2:19" ht="12.5">
      <c r="B82" s="1"/>
      <c r="C82" s="1" t="str">
        <f>"   Incremental FCR with "&amp;F13&amp;" Basis Point ROE increase, less Depreciation"</f>
        <v xml:space="preserve">   Incremental FCR with 0 Basis Point ROE increase, less Depreciation</v>
      </c>
      <c r="D82" s="2"/>
      <c r="E82" s="1"/>
      <c r="F82" s="8">
        <f>F80-F81</f>
        <v>7.9756967039407156E-5</v>
      </c>
      <c r="G82" s="8"/>
      <c r="I82" s="210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2:19" ht="12.5">
      <c r="B83" s="1"/>
      <c r="C83" s="1"/>
      <c r="D83" s="2"/>
      <c r="E83" s="1"/>
      <c r="F83" s="8"/>
      <c r="G83" s="8"/>
      <c r="H83" s="1"/>
      <c r="I83" s="229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2:19" ht="18">
      <c r="B84" s="4" t="s">
        <v>36</v>
      </c>
      <c r="C84" s="10" t="s">
        <v>37</v>
      </c>
      <c r="D84" s="2"/>
      <c r="E84" s="1"/>
      <c r="F84" s="8"/>
      <c r="G84" s="8"/>
      <c r="H84" s="1"/>
      <c r="I84" s="229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2:19" ht="12.75" customHeight="1">
      <c r="B85" s="4"/>
      <c r="C85" s="10"/>
      <c r="D85" s="2"/>
      <c r="E85" s="1"/>
      <c r="F85" s="8"/>
      <c r="G85" s="8"/>
      <c r="H85" s="1"/>
      <c r="I85" s="229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2:19" ht="12.75" customHeight="1">
      <c r="B86" s="4"/>
      <c r="C86" s="1" t="s">
        <v>38</v>
      </c>
      <c r="D86" s="2"/>
      <c r="F86" s="285">
        <f>R125</f>
        <v>2674474489</v>
      </c>
      <c r="G86" s="1" t="s">
        <v>39</v>
      </c>
      <c r="I86" s="229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2:19" ht="12.75" customHeight="1">
      <c r="B87" s="4"/>
      <c r="C87" s="1" t="s">
        <v>40</v>
      </c>
      <c r="D87" s="2"/>
      <c r="F87" s="290">
        <f>R126</f>
        <v>2878462592</v>
      </c>
      <c r="G87" s="1" t="s">
        <v>39</v>
      </c>
      <c r="I87" s="229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2:19" ht="12.75" customHeight="1">
      <c r="B88" s="4"/>
      <c r="C88" s="1"/>
      <c r="D88" s="2"/>
      <c r="F88" s="229">
        <f>+F87+F86</f>
        <v>5552937081</v>
      </c>
      <c r="G88" s="229"/>
      <c r="H88" s="1"/>
      <c r="I88" s="229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2:19" ht="12.5">
      <c r="B89" s="1"/>
      <c r="C89" s="1" t="str">
        <f>+S127</f>
        <v>Transmission Plant Average Balance for 2022 (WS A-1 Ln 14 Col (d))</v>
      </c>
      <c r="D89" s="2"/>
      <c r="F89" s="281">
        <f>+F88/2</f>
        <v>2776468540.5</v>
      </c>
      <c r="G89" s="281"/>
      <c r="I89" s="229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2:19" ht="12.5">
      <c r="B90" s="1"/>
      <c r="C90" s="232" t="str">
        <f>S128</f>
        <v>Annual Depreciation Expense  (TCOS, ln 86)</v>
      </c>
      <c r="D90" s="2"/>
      <c r="E90" s="1"/>
      <c r="F90" s="281">
        <f>R128</f>
        <v>62416638</v>
      </c>
      <c r="G90" s="281"/>
      <c r="I90" s="229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2:19" ht="12.5">
      <c r="B91" s="1"/>
      <c r="C91" s="1" t="s">
        <v>41</v>
      </c>
      <c r="D91" s="2"/>
      <c r="E91" s="1"/>
      <c r="F91" s="8">
        <f>IF(F89=0,0,F90/F89)</f>
        <v>2.2480585351332561E-2</v>
      </c>
      <c r="G91" s="8"/>
      <c r="H91" s="1"/>
      <c r="I91" s="292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2:19" ht="12.5">
      <c r="B92" s="1"/>
      <c r="C92" s="1" t="s">
        <v>42</v>
      </c>
      <c r="D92" s="2"/>
      <c r="E92" s="1"/>
      <c r="F92" s="292">
        <f>IF(F91=0,0,1/F91)</f>
        <v>44.482827487440133</v>
      </c>
      <c r="G92" s="292"/>
      <c r="H92" s="1"/>
      <c r="I92" s="229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2:19" ht="12.5">
      <c r="B93" s="1"/>
      <c r="C93" s="1" t="s">
        <v>43</v>
      </c>
      <c r="D93" s="2"/>
      <c r="E93" s="1"/>
      <c r="F93" s="12">
        <f>ROUND(F92,0)</f>
        <v>44</v>
      </c>
      <c r="G93" s="12"/>
      <c r="H93" s="1"/>
      <c r="I93" s="229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2:19" ht="12.5">
      <c r="B94" s="1"/>
      <c r="C94" s="1"/>
      <c r="D94" s="2"/>
      <c r="E94" s="1"/>
      <c r="F94" s="12"/>
      <c r="G94" s="12"/>
      <c r="H94" s="1"/>
      <c r="I94" s="229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2:19" ht="12.5">
      <c r="B95" s="1"/>
      <c r="C95" s="1"/>
      <c r="D95" s="2"/>
      <c r="E95" s="1"/>
      <c r="F95" s="12"/>
      <c r="G95" s="12"/>
      <c r="H95" s="1"/>
      <c r="I95" s="229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2:19" ht="12.5">
      <c r="B96" s="1"/>
      <c r="C96" s="1"/>
      <c r="D96" s="2"/>
      <c r="E96" s="1"/>
      <c r="F96" s="12"/>
      <c r="G96" s="12"/>
      <c r="H96" s="1"/>
      <c r="I96" s="229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3:19" ht="13">
      <c r="C97" s="1"/>
      <c r="D97" s="2"/>
      <c r="E97" s="1"/>
      <c r="F97" s="1"/>
      <c r="G97" s="1"/>
      <c r="H97" s="1"/>
      <c r="I97" s="229"/>
      <c r="J97" s="1"/>
      <c r="K97" s="1"/>
      <c r="L97" s="1"/>
      <c r="M97" s="1"/>
      <c r="N97" s="1"/>
      <c r="O97" s="1"/>
      <c r="P97" s="1"/>
      <c r="Q97" s="1"/>
      <c r="R97" s="294" t="s">
        <v>112</v>
      </c>
      <c r="S97" s="223" t="s">
        <v>118</v>
      </c>
    </row>
    <row r="98" spans="3:19" ht="12.5">
      <c r="C98" s="1"/>
      <c r="D98" s="2"/>
      <c r="E98" s="1"/>
      <c r="F98" s="1"/>
      <c r="G98" s="1"/>
      <c r="H98" s="1"/>
      <c r="I98" s="229"/>
      <c r="J98" s="1"/>
      <c r="K98" s="1"/>
      <c r="L98" s="1"/>
      <c r="M98" s="1"/>
      <c r="N98" s="1"/>
      <c r="O98" s="1"/>
      <c r="P98" s="1"/>
      <c r="Q98" s="1"/>
    </row>
    <row r="99" spans="3:19" ht="13">
      <c r="C99" s="93" t="s">
        <v>109</v>
      </c>
      <c r="L99" s="93" t="s">
        <v>108</v>
      </c>
      <c r="N99" s="1"/>
      <c r="O99" s="1"/>
      <c r="P99" s="1"/>
      <c r="Q99" s="1"/>
    </row>
    <row r="100" spans="3:19" ht="12.5">
      <c r="C100" s="1"/>
      <c r="D100" s="2"/>
      <c r="E100" s="1"/>
      <c r="F100" s="1"/>
      <c r="G100" s="1"/>
      <c r="H100" s="1"/>
      <c r="I100" s="229"/>
      <c r="J100" s="1"/>
      <c r="K100" s="1"/>
      <c r="L100" s="1"/>
      <c r="M100" s="1"/>
      <c r="N100" s="1"/>
      <c r="O100" s="1"/>
      <c r="P100" s="1"/>
      <c r="Q100" s="1"/>
      <c r="S100" s="223" t="s">
        <v>106</v>
      </c>
    </row>
    <row r="101" spans="3:19" ht="13">
      <c r="C101" s="1"/>
      <c r="D101" s="2"/>
      <c r="E101" s="1"/>
      <c r="F101" s="1"/>
      <c r="G101" s="1"/>
      <c r="H101" s="1"/>
      <c r="I101" s="229"/>
      <c r="J101" s="1"/>
      <c r="K101" s="1"/>
      <c r="L101" s="1"/>
      <c r="M101" s="1"/>
      <c r="N101" s="1"/>
      <c r="O101" s="1"/>
      <c r="P101" s="1"/>
      <c r="Q101" s="1"/>
      <c r="R101" s="294" t="s">
        <v>103</v>
      </c>
      <c r="S101" s="199" t="s">
        <v>120</v>
      </c>
    </row>
    <row r="102" spans="3:19" ht="13.5" thickBot="1">
      <c r="C102" s="1"/>
      <c r="D102" s="2"/>
      <c r="E102" s="1"/>
      <c r="F102" s="1"/>
      <c r="G102" s="1"/>
      <c r="H102" s="1"/>
      <c r="I102" s="229"/>
      <c r="J102" s="1"/>
      <c r="K102" s="1"/>
      <c r="L102" s="1"/>
      <c r="M102" s="1"/>
      <c r="N102" s="1"/>
      <c r="O102" s="1"/>
      <c r="P102" s="1"/>
      <c r="Q102" s="1"/>
      <c r="R102" s="295" t="s">
        <v>138</v>
      </c>
    </row>
    <row r="103" spans="3:19" ht="12.5">
      <c r="C103" s="1"/>
      <c r="D103" s="2"/>
      <c r="E103" s="1"/>
      <c r="F103" s="1"/>
      <c r="G103" s="1"/>
      <c r="H103" s="1"/>
      <c r="I103" s="229"/>
      <c r="J103" s="1"/>
      <c r="K103" s="1"/>
      <c r="L103" s="1"/>
      <c r="M103" s="1"/>
      <c r="N103" s="1"/>
      <c r="O103" s="1"/>
      <c r="P103" s="1"/>
      <c r="Q103" s="1"/>
      <c r="R103" s="340" t="s">
        <v>160</v>
      </c>
      <c r="S103" s="341" t="s">
        <v>127</v>
      </c>
    </row>
    <row r="104" spans="3:19" ht="12.5">
      <c r="C104" s="1"/>
      <c r="D104" s="2"/>
      <c r="E104" s="1"/>
      <c r="F104" s="1"/>
      <c r="G104" s="1"/>
      <c r="H104" s="1"/>
      <c r="I104" s="229"/>
      <c r="J104" s="1"/>
      <c r="K104" s="1"/>
      <c r="L104" s="1"/>
      <c r="M104" s="1"/>
      <c r="N104" s="1"/>
      <c r="O104" s="1"/>
      <c r="P104" s="1"/>
      <c r="Q104" s="1"/>
      <c r="R104" s="342">
        <v>2024</v>
      </c>
      <c r="S104" s="343" t="s">
        <v>86</v>
      </c>
    </row>
    <row r="105" spans="3:19" ht="12.5">
      <c r="C105" s="1"/>
      <c r="D105" s="2"/>
      <c r="E105" s="1"/>
      <c r="F105" s="1"/>
      <c r="G105" s="1"/>
      <c r="H105" s="1"/>
      <c r="I105" s="229"/>
      <c r="J105" s="1"/>
      <c r="K105" s="1"/>
      <c r="L105" s="1"/>
      <c r="M105" s="1"/>
      <c r="N105" s="1"/>
      <c r="O105" s="1"/>
      <c r="P105" s="1"/>
      <c r="Q105" s="1"/>
      <c r="R105" s="300">
        <v>0.105</v>
      </c>
      <c r="S105" s="299" t="s">
        <v>476</v>
      </c>
    </row>
    <row r="106" spans="3:19" ht="12.5">
      <c r="C106" s="1"/>
      <c r="D106" s="2"/>
      <c r="E106" s="1"/>
      <c r="F106" s="1"/>
      <c r="G106" s="1"/>
      <c r="H106" s="1"/>
      <c r="I106" s="229"/>
      <c r="J106" s="1"/>
      <c r="K106" s="1"/>
      <c r="L106" s="1"/>
      <c r="M106" s="1"/>
      <c r="N106" s="1"/>
      <c r="O106" s="1"/>
      <c r="P106" s="1"/>
      <c r="Q106" s="1"/>
      <c r="R106" s="344">
        <v>0</v>
      </c>
      <c r="S106" s="299" t="s">
        <v>1</v>
      </c>
    </row>
    <row r="107" spans="3:19" ht="12.5">
      <c r="C107" s="1"/>
      <c r="D107" s="2"/>
      <c r="E107" s="1"/>
      <c r="F107" s="1"/>
      <c r="G107" s="1"/>
      <c r="H107" s="1"/>
      <c r="I107" s="229"/>
      <c r="J107" s="1"/>
      <c r="K107" s="1"/>
      <c r="L107" s="1"/>
      <c r="M107" s="1"/>
      <c r="N107" s="1"/>
      <c r="O107" s="1"/>
      <c r="P107" s="1"/>
      <c r="Q107" s="1"/>
      <c r="R107" s="300">
        <v>0.49413164329920617</v>
      </c>
      <c r="S107" s="302" t="s">
        <v>98</v>
      </c>
    </row>
    <row r="108" spans="3:19" ht="12.5">
      <c r="C108" s="1"/>
      <c r="D108" s="2"/>
      <c r="E108" s="1"/>
      <c r="F108" s="1"/>
      <c r="G108" s="1"/>
      <c r="H108" s="1"/>
      <c r="I108" s="229"/>
      <c r="J108" s="1"/>
      <c r="K108" s="1"/>
      <c r="L108" s="1"/>
      <c r="M108" s="1"/>
      <c r="N108" s="1"/>
      <c r="O108" s="1"/>
      <c r="P108" s="1"/>
      <c r="Q108" s="1"/>
      <c r="R108" s="303">
        <v>3.8138735926530609E-2</v>
      </c>
      <c r="S108" s="302" t="s">
        <v>99</v>
      </c>
    </row>
    <row r="109" spans="3:19" ht="12.5">
      <c r="C109" s="1"/>
      <c r="D109" s="2"/>
      <c r="E109" s="1"/>
      <c r="F109" s="1"/>
      <c r="G109" s="1"/>
      <c r="H109" s="1"/>
      <c r="I109" s="229"/>
      <c r="J109" s="1"/>
      <c r="K109" s="1"/>
      <c r="L109" s="1"/>
      <c r="M109" s="1"/>
      <c r="N109" s="1"/>
      <c r="O109" s="1"/>
      <c r="P109" s="1"/>
      <c r="Q109" s="1"/>
      <c r="R109" s="300">
        <v>0</v>
      </c>
      <c r="S109" s="302" t="s">
        <v>100</v>
      </c>
    </row>
    <row r="110" spans="3:19" ht="12.5">
      <c r="C110" s="1"/>
      <c r="D110" s="2"/>
      <c r="E110" s="1"/>
      <c r="F110" s="1"/>
      <c r="G110" s="1"/>
      <c r="H110" s="1"/>
      <c r="I110" s="229"/>
      <c r="J110" s="1"/>
      <c r="K110" s="1"/>
      <c r="L110" s="1"/>
      <c r="M110" s="1"/>
      <c r="N110" s="1"/>
      <c r="O110" s="1"/>
      <c r="P110" s="1"/>
      <c r="Q110" s="1"/>
      <c r="R110" s="303">
        <v>0</v>
      </c>
      <c r="S110" s="302" t="s">
        <v>101</v>
      </c>
    </row>
    <row r="111" spans="3:19" ht="12.5">
      <c r="C111" s="1"/>
      <c r="D111" s="2"/>
      <c r="E111" s="1"/>
      <c r="F111" s="1"/>
      <c r="G111" s="1"/>
      <c r="H111" s="1"/>
      <c r="I111" s="229"/>
      <c r="J111" s="1"/>
      <c r="K111" s="1"/>
      <c r="L111" s="1"/>
      <c r="M111" s="1"/>
      <c r="N111" s="1"/>
      <c r="O111" s="1"/>
      <c r="P111" s="1"/>
      <c r="Q111" s="1"/>
      <c r="R111" s="300">
        <v>0.50586835670079389</v>
      </c>
      <c r="S111" s="304" t="s">
        <v>102</v>
      </c>
    </row>
    <row r="112" spans="3:19" ht="12.5">
      <c r="C112" s="1"/>
      <c r="D112" s="2"/>
      <c r="E112" s="1"/>
      <c r="F112" s="1"/>
      <c r="G112" s="1"/>
      <c r="H112" s="1"/>
      <c r="I112" s="229"/>
      <c r="J112" s="1"/>
      <c r="K112" s="1"/>
      <c r="L112" s="1"/>
      <c r="M112" s="1"/>
      <c r="N112" s="1"/>
      <c r="O112" s="1"/>
      <c r="P112" s="1"/>
      <c r="Q112" s="1"/>
      <c r="R112" s="309">
        <v>1809260046.1566496</v>
      </c>
      <c r="S112" s="345" t="s">
        <v>462</v>
      </c>
    </row>
    <row r="113" spans="3:19" ht="12.5">
      <c r="C113" s="1"/>
      <c r="D113" s="2"/>
      <c r="E113" s="1"/>
      <c r="F113" s="1"/>
      <c r="G113" s="1"/>
      <c r="H113" s="1"/>
      <c r="I113" s="229"/>
      <c r="J113" s="1"/>
      <c r="K113" s="1"/>
      <c r="L113" s="1"/>
      <c r="M113" s="1"/>
      <c r="N113" s="1"/>
      <c r="O113" s="1"/>
      <c r="P113" s="1"/>
      <c r="Q113" s="1"/>
      <c r="R113" s="307">
        <v>0.24317999999999995</v>
      </c>
      <c r="S113" s="346" t="s">
        <v>463</v>
      </c>
    </row>
    <row r="114" spans="3:19" ht="12.5">
      <c r="C114" s="1"/>
      <c r="D114" s="2"/>
      <c r="E114" s="1"/>
      <c r="F114" s="1"/>
      <c r="G114" s="1"/>
      <c r="H114" s="1"/>
      <c r="I114" s="229"/>
      <c r="J114" s="1"/>
      <c r="K114" s="1"/>
      <c r="L114" s="1"/>
      <c r="M114" s="1"/>
      <c r="N114" s="1"/>
      <c r="O114" s="1"/>
      <c r="P114" s="1"/>
      <c r="Q114" s="1"/>
      <c r="R114" s="309">
        <v>35513.957477600357</v>
      </c>
      <c r="S114" s="346" t="s">
        <v>464</v>
      </c>
    </row>
    <row r="115" spans="3:19" ht="12.5">
      <c r="C115" s="1"/>
      <c r="D115" s="2"/>
      <c r="E115" s="1"/>
      <c r="F115" s="1"/>
      <c r="G115" s="1"/>
      <c r="H115" s="1"/>
      <c r="I115" s="229"/>
      <c r="J115" s="1"/>
      <c r="K115" s="1"/>
      <c r="L115" s="1"/>
      <c r="M115" s="1"/>
      <c r="N115" s="1"/>
      <c r="O115" s="1"/>
      <c r="P115" s="1"/>
      <c r="Q115" s="1"/>
      <c r="R115" s="309">
        <v>-953110.19839128165</v>
      </c>
      <c r="S115" s="347" t="s">
        <v>441</v>
      </c>
    </row>
    <row r="116" spans="3:19" ht="12.5">
      <c r="C116" s="1"/>
      <c r="D116" s="2"/>
      <c r="E116" s="1"/>
      <c r="F116" s="1"/>
      <c r="G116" s="1"/>
      <c r="H116" s="1"/>
      <c r="I116" s="229"/>
      <c r="J116" s="1"/>
      <c r="K116" s="1"/>
      <c r="L116" s="1"/>
      <c r="M116" s="1"/>
      <c r="N116" s="1"/>
      <c r="O116" s="1"/>
      <c r="P116" s="1"/>
      <c r="Q116" s="1"/>
      <c r="R116" s="309">
        <v>274110.34539885307</v>
      </c>
      <c r="S116" s="347" t="s">
        <v>442</v>
      </c>
    </row>
    <row r="117" spans="3:19" ht="12.5">
      <c r="C117" s="1"/>
      <c r="D117" s="2"/>
      <c r="E117" s="1"/>
      <c r="F117" s="1"/>
      <c r="G117" s="1"/>
      <c r="H117" s="1"/>
      <c r="I117" s="229"/>
      <c r="J117" s="1"/>
      <c r="K117" s="1"/>
      <c r="L117" s="1"/>
      <c r="M117" s="1"/>
      <c r="N117" s="1"/>
      <c r="O117" s="1"/>
      <c r="P117" s="1"/>
      <c r="Q117" s="1"/>
      <c r="R117" s="309">
        <v>307794887.42342484</v>
      </c>
      <c r="S117" s="346" t="s">
        <v>465</v>
      </c>
    </row>
    <row r="118" spans="3:19" ht="12.5">
      <c r="C118" s="1"/>
      <c r="D118" s="2"/>
      <c r="E118" s="1"/>
      <c r="F118" s="1"/>
      <c r="G118" s="1"/>
      <c r="H118" s="1"/>
      <c r="I118" s="229"/>
      <c r="J118" s="1"/>
      <c r="K118" s="1"/>
      <c r="L118" s="1"/>
      <c r="M118" s="1"/>
      <c r="N118" s="1"/>
      <c r="O118" s="1"/>
      <c r="P118" s="1"/>
      <c r="Q118" s="1"/>
      <c r="R118" s="309">
        <v>130197489.65423596</v>
      </c>
      <c r="S118" s="346" t="s">
        <v>466</v>
      </c>
    </row>
    <row r="119" spans="3:19" ht="12.5">
      <c r="C119" s="1"/>
      <c r="D119" s="2"/>
      <c r="E119" s="1"/>
      <c r="F119" s="1"/>
      <c r="G119" s="1"/>
      <c r="H119" s="1"/>
      <c r="I119" s="229"/>
      <c r="J119" s="1"/>
      <c r="K119" s="1"/>
      <c r="L119" s="1"/>
      <c r="M119" s="1"/>
      <c r="N119" s="1"/>
      <c r="O119" s="1"/>
      <c r="P119" s="1"/>
      <c r="Q119" s="1"/>
      <c r="R119" s="309">
        <v>30235502.17313458</v>
      </c>
      <c r="S119" s="346" t="s">
        <v>467</v>
      </c>
    </row>
    <row r="120" spans="3:19" ht="12.5">
      <c r="C120" s="1"/>
      <c r="D120" s="2"/>
      <c r="E120" s="1"/>
      <c r="F120" s="1"/>
      <c r="G120" s="1"/>
      <c r="H120" s="1"/>
      <c r="I120" s="229"/>
      <c r="J120" s="1"/>
      <c r="K120" s="1"/>
      <c r="L120" s="1"/>
      <c r="M120" s="1"/>
      <c r="N120" s="1"/>
      <c r="O120" s="1"/>
      <c r="P120" s="1"/>
      <c r="Q120" s="1"/>
      <c r="R120" s="309">
        <v>137137.54269927507</v>
      </c>
      <c r="S120" s="346" t="s">
        <v>468</v>
      </c>
    </row>
    <row r="121" spans="3:19" ht="12.5">
      <c r="C121" s="1"/>
      <c r="D121" s="2"/>
      <c r="E121" s="1"/>
      <c r="F121" s="1"/>
      <c r="G121" s="1"/>
      <c r="H121" s="1"/>
      <c r="I121" s="229"/>
      <c r="J121" s="1"/>
      <c r="K121" s="1"/>
      <c r="L121" s="1"/>
      <c r="M121" s="1"/>
      <c r="N121" s="1"/>
      <c r="O121" s="1"/>
      <c r="P121" s="1"/>
      <c r="Q121" s="1"/>
      <c r="R121" s="309">
        <v>59782181.27282913</v>
      </c>
      <c r="S121" s="346" t="s">
        <v>469</v>
      </c>
    </row>
    <row r="122" spans="3:19" ht="12.5">
      <c r="C122" s="1"/>
      <c r="D122" s="2"/>
      <c r="E122" s="1"/>
      <c r="F122" s="1"/>
      <c r="G122" s="1"/>
      <c r="H122" s="1"/>
      <c r="I122" s="229"/>
      <c r="J122" s="1"/>
      <c r="K122" s="1"/>
      <c r="L122" s="1"/>
      <c r="M122" s="1"/>
      <c r="N122" s="1"/>
      <c r="O122" s="1"/>
      <c r="P122" s="1"/>
      <c r="Q122" s="1"/>
      <c r="R122" s="307">
        <v>0.43687623629877959</v>
      </c>
      <c r="S122" s="346" t="s">
        <v>105</v>
      </c>
    </row>
    <row r="123" spans="3:19" ht="12.5">
      <c r="C123" s="1"/>
      <c r="D123" s="2"/>
      <c r="E123" s="1"/>
      <c r="F123" s="1"/>
      <c r="G123" s="1"/>
      <c r="H123" s="1"/>
      <c r="I123" s="229"/>
      <c r="J123" s="1"/>
      <c r="K123" s="1"/>
      <c r="L123" s="1"/>
      <c r="M123" s="1"/>
      <c r="N123" s="1"/>
      <c r="O123" s="1"/>
      <c r="P123" s="1"/>
      <c r="Q123" s="1"/>
      <c r="R123" s="309">
        <v>1991648564.8399999</v>
      </c>
      <c r="S123" s="346" t="s">
        <v>453</v>
      </c>
    </row>
    <row r="124" spans="3:19" ht="12.5">
      <c r="C124" s="1"/>
      <c r="D124" s="2"/>
      <c r="E124" s="1"/>
      <c r="F124" s="1"/>
      <c r="G124" s="1"/>
      <c r="H124" s="1"/>
      <c r="I124" s="229"/>
      <c r="J124" s="1"/>
      <c r="K124" s="1"/>
      <c r="L124" s="1"/>
      <c r="M124" s="1"/>
      <c r="N124" s="1"/>
      <c r="O124" s="1"/>
      <c r="P124" s="1"/>
      <c r="Q124" s="1"/>
      <c r="R124" s="307">
        <v>0.1245263399019997</v>
      </c>
      <c r="S124" s="348" t="s">
        <v>454</v>
      </c>
    </row>
    <row r="125" spans="3:19" ht="12.5">
      <c r="C125" s="1"/>
      <c r="D125" s="2"/>
      <c r="E125" s="1"/>
      <c r="F125" s="1"/>
      <c r="G125" s="1"/>
      <c r="H125" s="1"/>
      <c r="I125" s="229"/>
      <c r="J125" s="1"/>
      <c r="K125" s="1"/>
      <c r="L125" s="1"/>
      <c r="M125" s="1"/>
      <c r="N125" s="1"/>
      <c r="O125" s="1"/>
      <c r="P125" s="1"/>
      <c r="Q125" s="1"/>
      <c r="R125" s="349">
        <v>2674474489</v>
      </c>
      <c r="S125" s="302" t="s">
        <v>38</v>
      </c>
    </row>
    <row r="126" spans="3:19" ht="12.5">
      <c r="C126" s="1"/>
      <c r="D126" s="2"/>
      <c r="E126" s="1"/>
      <c r="F126" s="1"/>
      <c r="G126" s="1"/>
      <c r="H126" s="1"/>
      <c r="I126" s="229"/>
      <c r="J126" s="1"/>
      <c r="K126" s="1"/>
      <c r="L126" s="1"/>
      <c r="M126" s="1"/>
      <c r="N126" s="229"/>
      <c r="O126" s="1"/>
      <c r="P126" s="1"/>
      <c r="Q126" s="1"/>
      <c r="R126" s="311">
        <v>2878462592</v>
      </c>
      <c r="S126" s="304" t="s">
        <v>40</v>
      </c>
    </row>
    <row r="127" spans="3:19" ht="12.5">
      <c r="C127" s="1"/>
      <c r="D127" s="2"/>
      <c r="E127" s="1"/>
      <c r="F127" s="1"/>
      <c r="G127" s="1"/>
      <c r="H127" s="1"/>
      <c r="I127" s="229"/>
      <c r="J127" s="1"/>
      <c r="K127" s="1"/>
      <c r="L127" s="1"/>
      <c r="M127" s="1"/>
      <c r="N127" s="229"/>
      <c r="O127" s="1"/>
      <c r="P127" s="1"/>
      <c r="Q127" s="1"/>
      <c r="R127" s="311">
        <v>2739528174.0769229</v>
      </c>
      <c r="S127" s="312" t="s">
        <v>477</v>
      </c>
    </row>
    <row r="128" spans="3:19" ht="13" thickBot="1">
      <c r="C128" s="1"/>
      <c r="D128" s="2"/>
      <c r="E128" s="1"/>
      <c r="F128" s="1"/>
      <c r="G128" s="1"/>
      <c r="H128" s="1"/>
      <c r="I128" s="229"/>
      <c r="J128" s="1"/>
      <c r="K128" s="1"/>
      <c r="L128" s="1"/>
      <c r="M128" s="1"/>
      <c r="N128" s="1"/>
      <c r="O128" s="1"/>
      <c r="P128" s="1"/>
      <c r="Q128" s="1"/>
      <c r="R128" s="350">
        <v>62416638</v>
      </c>
      <c r="S128" s="313" t="s">
        <v>478</v>
      </c>
    </row>
    <row r="129" spans="3:19" ht="12.5">
      <c r="C129" s="1"/>
      <c r="D129" s="2"/>
      <c r="E129" s="1"/>
      <c r="F129" s="1"/>
      <c r="G129" s="1"/>
      <c r="H129" s="1"/>
      <c r="I129" s="229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3:19" ht="13">
      <c r="C130" s="1"/>
      <c r="D130" s="2"/>
      <c r="E130" s="1"/>
      <c r="F130" s="1"/>
      <c r="G130" s="1"/>
      <c r="H130" s="1"/>
      <c r="I130" s="229"/>
      <c r="J130" s="1"/>
      <c r="K130" s="1"/>
      <c r="L130" s="1"/>
      <c r="M130" s="1"/>
      <c r="N130" s="1"/>
      <c r="O130" s="1"/>
      <c r="P130" s="1"/>
      <c r="Q130" s="1"/>
      <c r="R130" s="294" t="s">
        <v>104</v>
      </c>
      <c r="S130" s="1" t="s">
        <v>116</v>
      </c>
    </row>
    <row r="131" spans="3:19" ht="13.5" thickBot="1">
      <c r="C131" s="1"/>
      <c r="D131" s="2"/>
      <c r="E131" s="1"/>
      <c r="F131" s="1"/>
      <c r="G131" s="1"/>
      <c r="H131" s="1"/>
      <c r="I131" s="229"/>
      <c r="J131" s="1"/>
      <c r="K131" s="1"/>
      <c r="L131" s="1"/>
      <c r="M131" s="1"/>
      <c r="N131" s="1"/>
      <c r="O131" s="1"/>
      <c r="P131" s="1"/>
      <c r="Q131" s="1"/>
      <c r="R131" s="295" t="s">
        <v>139</v>
      </c>
      <c r="S131" s="1"/>
    </row>
    <row r="132" spans="3:19" ht="12.5">
      <c r="C132" s="1"/>
      <c r="D132" s="2"/>
      <c r="E132" s="1"/>
      <c r="F132" s="1"/>
      <c r="G132" s="1"/>
      <c r="H132" s="1"/>
      <c r="I132" s="229"/>
      <c r="J132" s="1"/>
      <c r="K132" s="1"/>
      <c r="L132" s="1"/>
      <c r="M132" s="1"/>
      <c r="N132" s="1"/>
      <c r="O132" s="1"/>
      <c r="P132" s="1"/>
      <c r="Q132" s="1"/>
      <c r="R132" s="351">
        <f>+N17</f>
        <v>80862461.290840074</v>
      </c>
      <c r="S132" t="s">
        <v>121</v>
      </c>
    </row>
    <row r="133" spans="3:19" ht="12.5">
      <c r="C133" s="1"/>
      <c r="D133" s="2"/>
      <c r="E133" s="1"/>
      <c r="F133" s="1"/>
      <c r="G133" s="1"/>
      <c r="H133" s="1"/>
      <c r="I133" s="229"/>
      <c r="J133" s="1"/>
      <c r="K133" s="1"/>
      <c r="L133" s="1"/>
      <c r="M133" s="1"/>
      <c r="N133" s="1"/>
      <c r="O133" s="1"/>
      <c r="P133" s="1"/>
      <c r="Q133" s="1"/>
      <c r="R133" s="352">
        <f>+O17</f>
        <v>80862461.290840074</v>
      </c>
      <c r="S133" t="s">
        <v>122</v>
      </c>
    </row>
    <row r="134" spans="3:19" ht="12.5">
      <c r="C134" s="1"/>
      <c r="D134" s="2"/>
      <c r="E134" s="1"/>
      <c r="F134" s="1"/>
      <c r="G134" s="1"/>
      <c r="H134" s="1"/>
      <c r="I134" s="229"/>
      <c r="J134" s="1"/>
      <c r="K134" s="1"/>
      <c r="L134" s="1"/>
      <c r="M134" s="1"/>
      <c r="N134" s="1"/>
      <c r="O134" s="1"/>
      <c r="P134" s="1"/>
      <c r="Q134" s="1"/>
      <c r="R134" s="352">
        <f>+N18</f>
        <v>84895526.749874592</v>
      </c>
      <c r="S134" t="s">
        <v>123</v>
      </c>
    </row>
    <row r="135" spans="3:19" ht="13" thickBot="1">
      <c r="C135" s="1"/>
      <c r="D135" s="2"/>
      <c r="E135" s="1"/>
      <c r="F135" s="1"/>
      <c r="G135" s="1"/>
      <c r="H135" s="1"/>
      <c r="I135" s="229"/>
      <c r="J135" s="1"/>
      <c r="K135" s="1"/>
      <c r="L135" s="1"/>
      <c r="M135" s="1"/>
      <c r="N135" s="1"/>
      <c r="O135" s="1"/>
      <c r="P135" s="1"/>
      <c r="Q135" s="1"/>
      <c r="R135" s="353">
        <f>+O18</f>
        <v>84895526.749874592</v>
      </c>
      <c r="S135" t="s">
        <v>124</v>
      </c>
    </row>
    <row r="136" spans="3:19" ht="12.75" customHeight="1">
      <c r="R136" s="1"/>
      <c r="S136" s="1"/>
    </row>
    <row r="137" spans="3:19" ht="12.75" customHeight="1">
      <c r="R137" s="294" t="s">
        <v>114</v>
      </c>
      <c r="S137" s="223" t="s">
        <v>119</v>
      </c>
    </row>
  </sheetData>
  <mergeCells count="6">
    <mergeCell ref="C8:I8"/>
    <mergeCell ref="A1:K1"/>
    <mergeCell ref="A2:K2"/>
    <mergeCell ref="A3:K3"/>
    <mergeCell ref="A4:K4"/>
    <mergeCell ref="A5:K5"/>
  </mergeCells>
  <phoneticPr fontId="0" type="noConversion"/>
  <printOptions horizontalCentered="1"/>
  <pageMargins left="0.25" right="0.25" top="0.75" bottom="0.25" header="0.25" footer="0.5"/>
  <pageSetup scale="41" fitToHeight="5" orientation="landscape" horizontalDpi="1200" verticalDpi="1200" r:id="rId1"/>
  <headerFooter alignWithMargins="0">
    <oddHeader xml:space="preserve">&amp;R&amp;16AEP - SPP Formula Rate
SWEPCO TCOS - WS G
Page: &amp;P of &amp;N
</oddHeader>
    <oddFooter>&amp;L&amp;A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78"/>
  <dimension ref="A1:Q162"/>
  <sheetViews>
    <sheetView topLeftCell="C84" zoomScaleNormal="100" zoomScaleSheetLayoutView="75" workbookViewId="0">
      <selection activeCell="D29" sqref="D29:H29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27 of 77</v>
      </c>
      <c r="Q1" s="13"/>
    </row>
    <row r="2" spans="1:17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45445.779236146016</v>
      </c>
      <c r="P5" s="1"/>
    </row>
    <row r="6" spans="1:17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45445.779236146016</v>
      </c>
      <c r="O6" s="1"/>
      <c r="P6" s="1"/>
    </row>
    <row r="7" spans="1:17" ht="13.5" thickBot="1">
      <c r="C7" s="25" t="s">
        <v>48</v>
      </c>
      <c r="D7" s="127" t="s">
        <v>279</v>
      </c>
      <c r="E7" s="1"/>
      <c r="F7" s="1"/>
      <c r="G7" s="29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104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424" t="s">
        <v>278</v>
      </c>
      <c r="E9" s="31" t="s">
        <v>494</v>
      </c>
      <c r="F9" s="462">
        <v>30152</v>
      </c>
      <c r="G9" s="31"/>
      <c r="H9" s="31"/>
      <c r="I9" s="32"/>
      <c r="J9" s="33"/>
      <c r="P9" s="1"/>
    </row>
    <row r="10" spans="1:17" ht="13">
      <c r="C10" s="34" t="s">
        <v>51</v>
      </c>
      <c r="D10" s="363">
        <v>421517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7" ht="12.5">
      <c r="C11" s="34" t="s">
        <v>54</v>
      </c>
      <c r="D11" s="37">
        <v>2012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3">
        <v>6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9579.931818181818</v>
      </c>
      <c r="J14" s="293"/>
      <c r="K14" s="293"/>
      <c r="L14" s="293"/>
      <c r="M14" s="293"/>
      <c r="N14" s="293"/>
      <c r="O14" s="1"/>
      <c r="P14" s="1"/>
    </row>
    <row r="15" spans="1:17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2012</v>
      </c>
      <c r="D17" s="133">
        <v>450200</v>
      </c>
      <c r="E17" s="374">
        <v>5359.5238095238092</v>
      </c>
      <c r="F17" s="133">
        <v>444840.47619047621</v>
      </c>
      <c r="G17" s="374">
        <v>71516.261736212298</v>
      </c>
      <c r="H17" s="375">
        <v>71516.261736212298</v>
      </c>
      <c r="I17" s="141">
        <v>0</v>
      </c>
      <c r="J17" s="52"/>
      <c r="K17" s="112">
        <f t="shared" ref="K17:K22" si="0">G17</f>
        <v>71516.261736212298</v>
      </c>
      <c r="L17" s="53">
        <f t="shared" ref="L17:L48" si="1">IF(K17&lt;&gt;0,+G17-K17,0)</f>
        <v>0</v>
      </c>
      <c r="M17" s="112">
        <f t="shared" ref="M17:M22" si="2">H17</f>
        <v>71516.261736212298</v>
      </c>
      <c r="N17" s="53">
        <f t="shared" ref="N17:N48" si="3">IF(M17&lt;&gt;0,+H17-M17,0)</f>
        <v>0</v>
      </c>
      <c r="O17" s="54">
        <f t="shared" ref="O17:O48" si="4">+N17-L17</f>
        <v>0</v>
      </c>
      <c r="P17" s="1"/>
    </row>
    <row r="18" spans="2:16" ht="12.5">
      <c r="B18" s="7" t="str">
        <f t="shared" ref="B18:B49" si="5">IF(D18=F17,"","IU")</f>
        <v>IU</v>
      </c>
      <c r="C18" s="50">
        <f>IF(D11="","-",+C17+1)</f>
        <v>2013</v>
      </c>
      <c r="D18" s="151">
        <v>424657.47619047621</v>
      </c>
      <c r="E18" s="420">
        <v>10238.5</v>
      </c>
      <c r="F18" s="151">
        <v>414418.97619047621</v>
      </c>
      <c r="G18" s="420">
        <v>68251.803233746105</v>
      </c>
      <c r="H18" s="421">
        <v>68251.803233746105</v>
      </c>
      <c r="I18" s="153">
        <v>0</v>
      </c>
      <c r="J18" s="52"/>
      <c r="K18" s="113">
        <f t="shared" si="0"/>
        <v>68251.803233746105</v>
      </c>
      <c r="L18" s="54">
        <f t="shared" ref="L18:L23" si="6">IF(K18&lt;&gt;0,+G18-K18,0)</f>
        <v>0</v>
      </c>
      <c r="M18" s="113">
        <f t="shared" si="2"/>
        <v>68251.803233746105</v>
      </c>
      <c r="N18" s="54">
        <f t="shared" ref="N18:N23" si="7">IF(M18&lt;&gt;0,+H18-M18,0)</f>
        <v>0</v>
      </c>
      <c r="O18" s="54">
        <f t="shared" ref="O18:O23" si="8">+N18-L18</f>
        <v>0</v>
      </c>
      <c r="P18" s="1"/>
    </row>
    <row r="19" spans="2:16" ht="12.5">
      <c r="B19" s="7" t="str">
        <f t="shared" si="5"/>
        <v/>
      </c>
      <c r="C19" s="50">
        <f>IF(D11="","-",+C18+1)</f>
        <v>2014</v>
      </c>
      <c r="D19" s="151">
        <v>414418.97619047621</v>
      </c>
      <c r="E19" s="420">
        <v>10238.5</v>
      </c>
      <c r="F19" s="151">
        <v>404180.47619047621</v>
      </c>
      <c r="G19" s="420">
        <v>64766.693467581994</v>
      </c>
      <c r="H19" s="421">
        <v>64766.693467581994</v>
      </c>
      <c r="I19" s="153">
        <v>0</v>
      </c>
      <c r="J19" s="52"/>
      <c r="K19" s="113">
        <f t="shared" si="0"/>
        <v>64766.693467581994</v>
      </c>
      <c r="L19" s="54">
        <f t="shared" si="6"/>
        <v>0</v>
      </c>
      <c r="M19" s="113">
        <f t="shared" si="2"/>
        <v>64766.693467581994</v>
      </c>
      <c r="N19" s="54">
        <f t="shared" si="7"/>
        <v>0</v>
      </c>
      <c r="O19" s="54">
        <f t="shared" si="8"/>
        <v>0</v>
      </c>
      <c r="P19" s="1"/>
    </row>
    <row r="20" spans="2:16" ht="12.5">
      <c r="B20" s="7" t="str">
        <f t="shared" si="5"/>
        <v>IU</v>
      </c>
      <c r="C20" s="50">
        <f>IF(D11="","-",+C19+1)</f>
        <v>2015</v>
      </c>
      <c r="D20" s="151">
        <v>395680.47619047621</v>
      </c>
      <c r="E20" s="420">
        <v>10036.119047619048</v>
      </c>
      <c r="F20" s="151">
        <v>385644.35714285716</v>
      </c>
      <c r="G20" s="420">
        <v>60827.332352293794</v>
      </c>
      <c r="H20" s="421">
        <v>60827.332352293794</v>
      </c>
      <c r="I20" s="52">
        <v>0</v>
      </c>
      <c r="J20" s="52"/>
      <c r="K20" s="113">
        <f t="shared" si="0"/>
        <v>60827.332352293794</v>
      </c>
      <c r="L20" s="54">
        <f t="shared" si="6"/>
        <v>0</v>
      </c>
      <c r="M20" s="113">
        <f t="shared" si="2"/>
        <v>60827.332352293794</v>
      </c>
      <c r="N20" s="54">
        <f t="shared" si="7"/>
        <v>0</v>
      </c>
      <c r="O20" s="54">
        <f t="shared" si="8"/>
        <v>0</v>
      </c>
      <c r="P20" s="1"/>
    </row>
    <row r="21" spans="2:16" ht="12.5">
      <c r="B21" s="7" t="str">
        <f t="shared" si="5"/>
        <v/>
      </c>
      <c r="C21" s="50">
        <f>IF(D12="","-",+C20+1)</f>
        <v>2016</v>
      </c>
      <c r="D21" s="151">
        <v>385644.35714285716</v>
      </c>
      <c r="E21" s="420">
        <v>10036.119047619048</v>
      </c>
      <c r="F21" s="151">
        <v>375608.23809523811</v>
      </c>
      <c r="G21" s="420">
        <v>58895.229275947575</v>
      </c>
      <c r="H21" s="421">
        <v>58895.229275947575</v>
      </c>
      <c r="I21" s="52">
        <f t="shared" ref="I21:I49" si="9">H21-G21</f>
        <v>0</v>
      </c>
      <c r="J21" s="52"/>
      <c r="K21" s="113">
        <f t="shared" si="0"/>
        <v>58895.229275947575</v>
      </c>
      <c r="L21" s="54">
        <f t="shared" si="6"/>
        <v>0</v>
      </c>
      <c r="M21" s="113">
        <f t="shared" si="2"/>
        <v>58895.229275947575</v>
      </c>
      <c r="N21" s="54">
        <f t="shared" si="7"/>
        <v>0</v>
      </c>
      <c r="O21" s="54">
        <f t="shared" si="8"/>
        <v>0</v>
      </c>
      <c r="P21" s="1"/>
    </row>
    <row r="22" spans="2:16" ht="12.5">
      <c r="B22" s="7" t="str">
        <f t="shared" si="5"/>
        <v/>
      </c>
      <c r="C22" s="50">
        <f>IF(D11="","-",+C21+1)</f>
        <v>2017</v>
      </c>
      <c r="D22" s="151">
        <v>375608.23809523811</v>
      </c>
      <c r="E22" s="420">
        <v>9802.7209302325573</v>
      </c>
      <c r="F22" s="151">
        <v>365805.51716500556</v>
      </c>
      <c r="G22" s="420">
        <v>55730.535228858629</v>
      </c>
      <c r="H22" s="421">
        <v>55730.535228858629</v>
      </c>
      <c r="I22" s="52">
        <f t="shared" si="9"/>
        <v>0</v>
      </c>
      <c r="J22" s="52"/>
      <c r="K22" s="113">
        <f t="shared" si="0"/>
        <v>55730.535228858629</v>
      </c>
      <c r="L22" s="54">
        <f t="shared" si="6"/>
        <v>0</v>
      </c>
      <c r="M22" s="113">
        <f t="shared" si="2"/>
        <v>55730.535228858629</v>
      </c>
      <c r="N22" s="54">
        <f t="shared" si="7"/>
        <v>0</v>
      </c>
      <c r="O22" s="54">
        <f t="shared" si="8"/>
        <v>0</v>
      </c>
      <c r="P22" s="1"/>
    </row>
    <row r="23" spans="2:16" ht="12.5">
      <c r="B23" s="7" t="str">
        <f t="shared" si="5"/>
        <v/>
      </c>
      <c r="C23" s="50">
        <f>IF(D11="","-",+C22+1)</f>
        <v>2018</v>
      </c>
      <c r="D23" s="151">
        <v>365805.51716500556</v>
      </c>
      <c r="E23" s="420">
        <v>10280.90243902439</v>
      </c>
      <c r="F23" s="151">
        <v>355524.61472598114</v>
      </c>
      <c r="G23" s="420">
        <v>56119.304010268112</v>
      </c>
      <c r="H23" s="421">
        <v>56119.304010268112</v>
      </c>
      <c r="I23" s="52">
        <f t="shared" si="9"/>
        <v>0</v>
      </c>
      <c r="J23" s="52"/>
      <c r="K23" s="113">
        <f t="shared" ref="K23:K28" si="10">G23</f>
        <v>56119.304010268112</v>
      </c>
      <c r="L23" s="54">
        <f t="shared" si="6"/>
        <v>0</v>
      </c>
      <c r="M23" s="113">
        <f t="shared" ref="M23:M28" si="11">H23</f>
        <v>56119.304010268112</v>
      </c>
      <c r="N23" s="54">
        <f t="shared" si="7"/>
        <v>0</v>
      </c>
      <c r="O23" s="54">
        <f t="shared" si="8"/>
        <v>0</v>
      </c>
      <c r="P23" s="1"/>
    </row>
    <row r="24" spans="2:16" ht="12.5">
      <c r="B24" s="7" t="str">
        <f t="shared" si="5"/>
        <v/>
      </c>
      <c r="C24" s="50">
        <f>IF(D11="","-",+C23+1)</f>
        <v>2019</v>
      </c>
      <c r="D24" s="151">
        <v>355524.61472598114</v>
      </c>
      <c r="E24" s="420">
        <v>10280.90243902439</v>
      </c>
      <c r="F24" s="151">
        <v>345243.71228695672</v>
      </c>
      <c r="G24" s="420">
        <v>54812.661978610966</v>
      </c>
      <c r="H24" s="421">
        <v>54812.661978610966</v>
      </c>
      <c r="I24" s="52">
        <f t="shared" si="9"/>
        <v>0</v>
      </c>
      <c r="J24" s="52"/>
      <c r="K24" s="113">
        <f t="shared" si="10"/>
        <v>54812.661978610966</v>
      </c>
      <c r="L24" s="54">
        <f t="shared" ref="L24" si="12">IF(K24&lt;&gt;0,+G24-K24,0)</f>
        <v>0</v>
      </c>
      <c r="M24" s="113">
        <f t="shared" si="11"/>
        <v>54812.661978610966</v>
      </c>
      <c r="N24" s="54">
        <f t="shared" si="3"/>
        <v>0</v>
      </c>
      <c r="O24" s="54">
        <f t="shared" si="4"/>
        <v>0</v>
      </c>
      <c r="P24" s="1"/>
    </row>
    <row r="25" spans="2:16" ht="12.5">
      <c r="B25" s="7" t="str">
        <f t="shared" si="5"/>
        <v/>
      </c>
      <c r="C25" s="50">
        <f>IF(D11="","-",+C24+1)</f>
        <v>2020</v>
      </c>
      <c r="D25" s="151">
        <v>345243.71228695672</v>
      </c>
      <c r="E25" s="420">
        <v>10280.90243902439</v>
      </c>
      <c r="F25" s="151">
        <v>334962.80984793231</v>
      </c>
      <c r="G25" s="420">
        <v>45085.524504887275</v>
      </c>
      <c r="H25" s="421">
        <v>45085.524504887275</v>
      </c>
      <c r="I25" s="52">
        <f t="shared" si="9"/>
        <v>0</v>
      </c>
      <c r="J25" s="52"/>
      <c r="K25" s="113">
        <f t="shared" si="10"/>
        <v>45085.524504887275</v>
      </c>
      <c r="L25" s="54">
        <f t="shared" ref="L25" si="13">IF(K25&lt;&gt;0,+G25-K25,0)</f>
        <v>0</v>
      </c>
      <c r="M25" s="113">
        <f t="shared" si="11"/>
        <v>45085.524504887275</v>
      </c>
      <c r="N25" s="54">
        <f t="shared" si="3"/>
        <v>0</v>
      </c>
      <c r="O25" s="54">
        <f t="shared" si="4"/>
        <v>0</v>
      </c>
      <c r="P25" s="1"/>
    </row>
    <row r="26" spans="2:16" ht="12.5">
      <c r="B26" s="7" t="str">
        <f t="shared" si="5"/>
        <v>IU</v>
      </c>
      <c r="C26" s="50">
        <f>IF(D11="","-",+C25+1)</f>
        <v>2021</v>
      </c>
      <c r="D26" s="151">
        <v>335440.99135672417</v>
      </c>
      <c r="E26" s="420">
        <v>10036.119047619048</v>
      </c>
      <c r="F26" s="151">
        <v>325404.87230910512</v>
      </c>
      <c r="G26" s="420">
        <v>45062.451608216499</v>
      </c>
      <c r="H26" s="421">
        <v>45062.451608216499</v>
      </c>
      <c r="I26" s="52">
        <f t="shared" si="9"/>
        <v>0</v>
      </c>
      <c r="J26" s="52"/>
      <c r="K26" s="113">
        <f t="shared" si="10"/>
        <v>45062.451608216499</v>
      </c>
      <c r="L26" s="54">
        <f t="shared" ref="L26" si="14">IF(K26&lt;&gt;0,+G26-K26,0)</f>
        <v>0</v>
      </c>
      <c r="M26" s="113">
        <f t="shared" si="11"/>
        <v>45062.451608216499</v>
      </c>
      <c r="N26" s="54">
        <f t="shared" si="3"/>
        <v>0</v>
      </c>
      <c r="O26" s="54">
        <f t="shared" si="4"/>
        <v>0</v>
      </c>
      <c r="P26" s="1"/>
    </row>
    <row r="27" spans="2:16" ht="12.5">
      <c r="B27" s="7" t="str">
        <f t="shared" si="5"/>
        <v>IU</v>
      </c>
      <c r="C27" s="50">
        <f>IF(D11="","-",+C26+1)</f>
        <v>2022</v>
      </c>
      <c r="D27" s="151">
        <v>324926.69080031331</v>
      </c>
      <c r="E27" s="420">
        <v>10036.119047619048</v>
      </c>
      <c r="F27" s="151">
        <v>314890.57175269426</v>
      </c>
      <c r="G27" s="420">
        <v>46007.95617660469</v>
      </c>
      <c r="H27" s="421">
        <v>46007.95617660469</v>
      </c>
      <c r="I27" s="52">
        <f t="shared" si="9"/>
        <v>0</v>
      </c>
      <c r="J27" s="52"/>
      <c r="K27" s="113">
        <f t="shared" si="10"/>
        <v>46007.95617660469</v>
      </c>
      <c r="L27" s="54">
        <f t="shared" ref="L27" si="15">IF(K27&lt;&gt;0,+G27-K27,0)</f>
        <v>0</v>
      </c>
      <c r="M27" s="113">
        <f t="shared" si="11"/>
        <v>46007.95617660469</v>
      </c>
      <c r="N27" s="54">
        <f t="shared" si="3"/>
        <v>0</v>
      </c>
      <c r="O27" s="54">
        <f t="shared" si="4"/>
        <v>0</v>
      </c>
      <c r="P27" s="1"/>
    </row>
    <row r="28" spans="2:16" ht="12.5">
      <c r="B28" s="7" t="str">
        <f t="shared" si="5"/>
        <v/>
      </c>
      <c r="C28" s="50">
        <f>IF(D11="","-",+C27+1)</f>
        <v>2023</v>
      </c>
      <c r="D28" s="151">
        <v>314890.57175269426</v>
      </c>
      <c r="E28" s="420">
        <v>10036.119047619048</v>
      </c>
      <c r="F28" s="151">
        <v>304854.45270507521</v>
      </c>
      <c r="G28" s="420">
        <v>49181.318200671747</v>
      </c>
      <c r="H28" s="421">
        <v>49181.318200671747</v>
      </c>
      <c r="I28" s="52">
        <f t="shared" si="9"/>
        <v>0</v>
      </c>
      <c r="J28" s="52"/>
      <c r="K28" s="113">
        <f t="shared" si="10"/>
        <v>49181.318200671747</v>
      </c>
      <c r="L28" s="54">
        <f t="shared" ref="L28" si="16">IF(K28&lt;&gt;0,+G28-K28,0)</f>
        <v>0</v>
      </c>
      <c r="M28" s="113">
        <f t="shared" si="11"/>
        <v>49181.318200671747</v>
      </c>
      <c r="N28" s="54">
        <f t="shared" si="3"/>
        <v>0</v>
      </c>
      <c r="O28" s="54">
        <f t="shared" si="4"/>
        <v>0</v>
      </c>
      <c r="P28" s="1"/>
    </row>
    <row r="29" spans="2:16" ht="12.5">
      <c r="B29" s="7" t="str">
        <f t="shared" si="5"/>
        <v/>
      </c>
      <c r="C29" s="50">
        <f>IF(D11="","-",+C28+1)</f>
        <v>2024</v>
      </c>
      <c r="D29" s="151">
        <v>304854.45270507521</v>
      </c>
      <c r="E29" s="420">
        <v>9579.931818181818</v>
      </c>
      <c r="F29" s="151">
        <v>295274.52088689338</v>
      </c>
      <c r="G29" s="420">
        <v>45445.779236146016</v>
      </c>
      <c r="H29" s="421">
        <v>45445.779236146016</v>
      </c>
      <c r="I29" s="52">
        <f t="shared" si="9"/>
        <v>0</v>
      </c>
      <c r="J29" s="52"/>
      <c r="K29" s="113">
        <f t="shared" ref="K29" si="17">G29</f>
        <v>45445.779236146016</v>
      </c>
      <c r="L29" s="54">
        <f t="shared" ref="L29" si="18">IF(K29&lt;&gt;0,+G29-K29,0)</f>
        <v>0</v>
      </c>
      <c r="M29" s="113">
        <f t="shared" ref="M29" si="19">H29</f>
        <v>45445.779236146016</v>
      </c>
      <c r="N29" s="54">
        <f t="shared" ref="N29" si="20">IF(M29&lt;&gt;0,+H29-M29,0)</f>
        <v>0</v>
      </c>
      <c r="O29" s="54">
        <f t="shared" ref="O29" si="21">+N29-L29</f>
        <v>0</v>
      </c>
      <c r="P29" s="1"/>
    </row>
    <row r="30" spans="2:16" ht="12.5">
      <c r="B30" s="7" t="str">
        <f t="shared" si="5"/>
        <v/>
      </c>
      <c r="C30" s="50">
        <f>IF(D11="","-",+C29+1)</f>
        <v>2025</v>
      </c>
      <c r="D30" s="55">
        <f>IF(F29+SUM(E$17:E29)=D$10,F29,D$10-SUM(E$17:E29))</f>
        <v>295274.52088689338</v>
      </c>
      <c r="E30" s="378">
        <f>IF(+I14&lt;F29,I14,D30)</f>
        <v>9579.931818181818</v>
      </c>
      <c r="F30" s="55">
        <f t="shared" ref="F30:F49" si="22">+D30-E30</f>
        <v>285694.58906871156</v>
      </c>
      <c r="G30" s="379">
        <f t="shared" ref="G30:G53" si="23">+I$12*((D30+F30)/2)+E30</f>
        <v>44300.717464477508</v>
      </c>
      <c r="H30" s="364">
        <f t="shared" ref="H30:H53" si="24">+I$13*((D30+F30)/2)+E30</f>
        <v>44300.717464477508</v>
      </c>
      <c r="I30" s="52">
        <f t="shared" si="9"/>
        <v>0</v>
      </c>
      <c r="J30" s="52"/>
      <c r="K30" s="129"/>
      <c r="L30" s="54">
        <f t="shared" si="1"/>
        <v>0</v>
      </c>
      <c r="M30" s="129"/>
      <c r="N30" s="54">
        <f t="shared" si="3"/>
        <v>0</v>
      </c>
      <c r="O30" s="54">
        <f t="shared" si="4"/>
        <v>0</v>
      </c>
      <c r="P30" s="1"/>
    </row>
    <row r="31" spans="2:16" ht="12.5">
      <c r="B31" s="7" t="str">
        <f t="shared" si="5"/>
        <v/>
      </c>
      <c r="C31" s="50">
        <f>IF(D11="","-",+C30+1)</f>
        <v>2026</v>
      </c>
      <c r="D31" s="55">
        <f>IF(F30+SUM(E$17:E30)=D$10,F30,D$10-SUM(E$17:E30))</f>
        <v>285694.58906871156</v>
      </c>
      <c r="E31" s="378">
        <f>IF(+I14&lt;F30,I14,D31)</f>
        <v>9579.931818181818</v>
      </c>
      <c r="F31" s="55">
        <f t="shared" si="22"/>
        <v>276114.65725052974</v>
      </c>
      <c r="G31" s="379">
        <f t="shared" si="23"/>
        <v>43155.655692809014</v>
      </c>
      <c r="H31" s="364">
        <f t="shared" si="24"/>
        <v>43155.655692809014</v>
      </c>
      <c r="I31" s="52">
        <f t="shared" si="9"/>
        <v>0</v>
      </c>
      <c r="J31" s="52"/>
      <c r="K31" s="129"/>
      <c r="L31" s="54">
        <f t="shared" si="1"/>
        <v>0</v>
      </c>
      <c r="M31" s="129"/>
      <c r="N31" s="54">
        <f t="shared" si="3"/>
        <v>0</v>
      </c>
      <c r="O31" s="54">
        <f t="shared" si="4"/>
        <v>0</v>
      </c>
      <c r="P31" s="1"/>
    </row>
    <row r="32" spans="2:16" ht="12.5">
      <c r="B32" s="7" t="str">
        <f t="shared" si="5"/>
        <v/>
      </c>
      <c r="C32" s="50">
        <f>IF(D11="","-",+C31+1)</f>
        <v>2027</v>
      </c>
      <c r="D32" s="55">
        <f>IF(F31+SUM(E$17:E31)=D$10,F31,D$10-SUM(E$17:E31))</f>
        <v>276114.65725052974</v>
      </c>
      <c r="E32" s="378">
        <f>IF(+I14&lt;F31,I14,D32)</f>
        <v>9579.931818181818</v>
      </c>
      <c r="F32" s="55">
        <f t="shared" si="22"/>
        <v>266534.72543234791</v>
      </c>
      <c r="G32" s="379">
        <f t="shared" si="23"/>
        <v>42010.593921140506</v>
      </c>
      <c r="H32" s="364">
        <f t="shared" si="24"/>
        <v>42010.593921140506</v>
      </c>
      <c r="I32" s="52">
        <f t="shared" si="9"/>
        <v>0</v>
      </c>
      <c r="J32" s="52"/>
      <c r="K32" s="129"/>
      <c r="L32" s="54">
        <f t="shared" si="1"/>
        <v>0</v>
      </c>
      <c r="M32" s="129"/>
      <c r="N32" s="54">
        <f t="shared" si="3"/>
        <v>0</v>
      </c>
      <c r="O32" s="54">
        <f t="shared" si="4"/>
        <v>0</v>
      </c>
      <c r="P32" s="1"/>
    </row>
    <row r="33" spans="2:16" ht="12.5">
      <c r="B33" s="7" t="str">
        <f t="shared" si="5"/>
        <v/>
      </c>
      <c r="C33" s="50">
        <f>IF(D11="","-",+C32+1)</f>
        <v>2028</v>
      </c>
      <c r="D33" s="55">
        <f>IF(F32+SUM(E$17:E32)=D$10,F32,D$10-SUM(E$17:E32))</f>
        <v>266534.72543234791</v>
      </c>
      <c r="E33" s="378">
        <f>IF(+I14&lt;F32,I14,D33)</f>
        <v>9579.931818181818</v>
      </c>
      <c r="F33" s="55">
        <f t="shared" si="22"/>
        <v>256954.79361416609</v>
      </c>
      <c r="G33" s="379">
        <f t="shared" si="23"/>
        <v>40865.532149472005</v>
      </c>
      <c r="H33" s="364">
        <f t="shared" si="24"/>
        <v>40865.532149472005</v>
      </c>
      <c r="I33" s="52">
        <f t="shared" si="9"/>
        <v>0</v>
      </c>
      <c r="J33" s="52"/>
      <c r="K33" s="129"/>
      <c r="L33" s="54">
        <f t="shared" si="1"/>
        <v>0</v>
      </c>
      <c r="M33" s="129"/>
      <c r="N33" s="54">
        <f t="shared" si="3"/>
        <v>0</v>
      </c>
      <c r="O33" s="54">
        <f t="shared" si="4"/>
        <v>0</v>
      </c>
      <c r="P33" s="1"/>
    </row>
    <row r="34" spans="2:16" ht="12.5">
      <c r="B34" s="7" t="str">
        <f t="shared" si="5"/>
        <v/>
      </c>
      <c r="C34" s="50">
        <f>IF(D11="","-",+C33+1)</f>
        <v>2029</v>
      </c>
      <c r="D34" s="55">
        <f>IF(F33+SUM(E$17:E33)=D$10,F33,D$10-SUM(E$17:E33))</f>
        <v>256954.79361416609</v>
      </c>
      <c r="E34" s="378">
        <f>IF(+I14&lt;F33,I14,D34)</f>
        <v>9579.931818181818</v>
      </c>
      <c r="F34" s="55">
        <f t="shared" si="22"/>
        <v>247374.86179598427</v>
      </c>
      <c r="G34" s="379">
        <f t="shared" si="23"/>
        <v>39720.470377803504</v>
      </c>
      <c r="H34" s="364">
        <f t="shared" si="24"/>
        <v>39720.470377803504</v>
      </c>
      <c r="I34" s="52">
        <f t="shared" si="9"/>
        <v>0</v>
      </c>
      <c r="J34" s="52"/>
      <c r="K34" s="129"/>
      <c r="L34" s="54">
        <f t="shared" si="1"/>
        <v>0</v>
      </c>
      <c r="M34" s="129"/>
      <c r="N34" s="54">
        <f t="shared" si="3"/>
        <v>0</v>
      </c>
      <c r="O34" s="54">
        <f t="shared" si="4"/>
        <v>0</v>
      </c>
      <c r="P34" s="1"/>
    </row>
    <row r="35" spans="2:16" ht="12.5">
      <c r="B35" s="7" t="str">
        <f t="shared" si="5"/>
        <v/>
      </c>
      <c r="C35" s="50">
        <f>IF(D11="","-",+C34+1)</f>
        <v>2030</v>
      </c>
      <c r="D35" s="55">
        <f>IF(F34+SUM(E$17:E34)=D$10,F34,D$10-SUM(E$17:E34))</f>
        <v>247374.86179598427</v>
      </c>
      <c r="E35" s="378">
        <f>IF(+I14&lt;F34,I14,D35)</f>
        <v>9579.931818181818</v>
      </c>
      <c r="F35" s="55">
        <f t="shared" si="22"/>
        <v>237794.92997780244</v>
      </c>
      <c r="G35" s="379">
        <f t="shared" si="23"/>
        <v>38575.408606135003</v>
      </c>
      <c r="H35" s="364">
        <f t="shared" si="24"/>
        <v>38575.408606135003</v>
      </c>
      <c r="I35" s="52">
        <f t="shared" si="9"/>
        <v>0</v>
      </c>
      <c r="J35" s="52"/>
      <c r="K35" s="129"/>
      <c r="L35" s="54">
        <f t="shared" si="1"/>
        <v>0</v>
      </c>
      <c r="M35" s="129"/>
      <c r="N35" s="54">
        <f t="shared" si="3"/>
        <v>0</v>
      </c>
      <c r="O35" s="54">
        <f t="shared" si="4"/>
        <v>0</v>
      </c>
      <c r="P35" s="1"/>
    </row>
    <row r="36" spans="2:16" ht="12.5">
      <c r="B36" s="7" t="str">
        <f t="shared" si="5"/>
        <v/>
      </c>
      <c r="C36" s="50">
        <f>IF(D11="","-",+C35+1)</f>
        <v>2031</v>
      </c>
      <c r="D36" s="55">
        <f>IF(F35+SUM(E$17:E35)=D$10,F35,D$10-SUM(E$17:E35))</f>
        <v>237794.92997780244</v>
      </c>
      <c r="E36" s="378">
        <f>IF(+I14&lt;F35,I14,D36)</f>
        <v>9579.931818181818</v>
      </c>
      <c r="F36" s="55">
        <f t="shared" si="22"/>
        <v>228214.99815962062</v>
      </c>
      <c r="G36" s="379">
        <f t="shared" si="23"/>
        <v>37430.346834466502</v>
      </c>
      <c r="H36" s="364">
        <f t="shared" si="24"/>
        <v>37430.346834466502</v>
      </c>
      <c r="I36" s="52">
        <f t="shared" si="9"/>
        <v>0</v>
      </c>
      <c r="J36" s="52"/>
      <c r="K36" s="129"/>
      <c r="L36" s="54">
        <f t="shared" si="1"/>
        <v>0</v>
      </c>
      <c r="M36" s="129"/>
      <c r="N36" s="54">
        <f t="shared" si="3"/>
        <v>0</v>
      </c>
      <c r="O36" s="54">
        <f t="shared" si="4"/>
        <v>0</v>
      </c>
      <c r="P36" s="1"/>
    </row>
    <row r="37" spans="2:16" ht="12.5">
      <c r="B37" s="7" t="str">
        <f t="shared" si="5"/>
        <v/>
      </c>
      <c r="C37" s="50">
        <f>IF(D11="","-",+C36+1)</f>
        <v>2032</v>
      </c>
      <c r="D37" s="55">
        <f>IF(F36+SUM(E$17:E36)=D$10,F36,D$10-SUM(E$17:E36))</f>
        <v>228214.99815962062</v>
      </c>
      <c r="E37" s="378">
        <f>IF(+I14&lt;F36,I14,D37)</f>
        <v>9579.931818181818</v>
      </c>
      <c r="F37" s="55">
        <f t="shared" si="22"/>
        <v>218635.0663414388</v>
      </c>
      <c r="G37" s="379">
        <f t="shared" si="23"/>
        <v>36285.285062798001</v>
      </c>
      <c r="H37" s="364">
        <f t="shared" si="24"/>
        <v>36285.285062798001</v>
      </c>
      <c r="I37" s="52">
        <f t="shared" si="9"/>
        <v>0</v>
      </c>
      <c r="J37" s="52"/>
      <c r="K37" s="129"/>
      <c r="L37" s="54">
        <f t="shared" si="1"/>
        <v>0</v>
      </c>
      <c r="M37" s="129"/>
      <c r="N37" s="54">
        <f t="shared" si="3"/>
        <v>0</v>
      </c>
      <c r="O37" s="54">
        <f t="shared" si="4"/>
        <v>0</v>
      </c>
      <c r="P37" s="1"/>
    </row>
    <row r="38" spans="2:16" ht="12.5">
      <c r="B38" s="7" t="str">
        <f t="shared" si="5"/>
        <v/>
      </c>
      <c r="C38" s="50">
        <f>IF(D11="","-",+C37+1)</f>
        <v>2033</v>
      </c>
      <c r="D38" s="55">
        <f>IF(F37+SUM(E$17:E37)=D$10,F37,D$10-SUM(E$17:E37))</f>
        <v>218635.0663414388</v>
      </c>
      <c r="E38" s="378">
        <f>IF(+I14&lt;F37,I14,D38)</f>
        <v>9579.931818181818</v>
      </c>
      <c r="F38" s="55">
        <f t="shared" si="22"/>
        <v>209055.13452325697</v>
      </c>
      <c r="G38" s="379">
        <f t="shared" si="23"/>
        <v>35140.223291129492</v>
      </c>
      <c r="H38" s="364">
        <f t="shared" si="24"/>
        <v>35140.223291129492</v>
      </c>
      <c r="I38" s="52">
        <f t="shared" si="9"/>
        <v>0</v>
      </c>
      <c r="J38" s="52"/>
      <c r="K38" s="129"/>
      <c r="L38" s="54">
        <f t="shared" si="1"/>
        <v>0</v>
      </c>
      <c r="M38" s="129"/>
      <c r="N38" s="54">
        <f t="shared" si="3"/>
        <v>0</v>
      </c>
      <c r="O38" s="54">
        <f t="shared" si="4"/>
        <v>0</v>
      </c>
      <c r="P38" s="1"/>
    </row>
    <row r="39" spans="2:16" ht="12.5">
      <c r="B39" s="7" t="str">
        <f t="shared" si="5"/>
        <v/>
      </c>
      <c r="C39" s="50">
        <f>IF(D11="","-",+C38+1)</f>
        <v>2034</v>
      </c>
      <c r="D39" s="55">
        <f>IF(F38+SUM(E$17:E38)=D$10,F38,D$10-SUM(E$17:E38))</f>
        <v>209055.13452325697</v>
      </c>
      <c r="E39" s="378">
        <f>IF(+I14&lt;F38,I14,D39)</f>
        <v>9579.931818181818</v>
      </c>
      <c r="F39" s="55">
        <f t="shared" si="22"/>
        <v>199475.20270507515</v>
      </c>
      <c r="G39" s="379">
        <f t="shared" si="23"/>
        <v>33995.161519460991</v>
      </c>
      <c r="H39" s="364">
        <f t="shared" si="24"/>
        <v>33995.161519460991</v>
      </c>
      <c r="I39" s="52">
        <f t="shared" si="9"/>
        <v>0</v>
      </c>
      <c r="J39" s="52"/>
      <c r="K39" s="129"/>
      <c r="L39" s="54">
        <f t="shared" si="1"/>
        <v>0</v>
      </c>
      <c r="M39" s="129"/>
      <c r="N39" s="54">
        <f t="shared" si="3"/>
        <v>0</v>
      </c>
      <c r="O39" s="54">
        <f t="shared" si="4"/>
        <v>0</v>
      </c>
      <c r="P39" s="1"/>
    </row>
    <row r="40" spans="2:16" ht="12.5">
      <c r="B40" s="7" t="str">
        <f t="shared" si="5"/>
        <v/>
      </c>
      <c r="C40" s="50">
        <f>IF(D11="","-",+C39+1)</f>
        <v>2035</v>
      </c>
      <c r="D40" s="55">
        <f>IF(F39+SUM(E$17:E39)=D$10,F39,D$10-SUM(E$17:E39))</f>
        <v>199475.20270507515</v>
      </c>
      <c r="E40" s="378">
        <f>IF(+I14&lt;F39,I14,D40)</f>
        <v>9579.931818181818</v>
      </c>
      <c r="F40" s="55">
        <f t="shared" si="22"/>
        <v>189895.27088689333</v>
      </c>
      <c r="G40" s="379">
        <f t="shared" si="23"/>
        <v>32850.09974779249</v>
      </c>
      <c r="H40" s="364">
        <f t="shared" si="24"/>
        <v>32850.09974779249</v>
      </c>
      <c r="I40" s="52">
        <f t="shared" si="9"/>
        <v>0</v>
      </c>
      <c r="J40" s="52"/>
      <c r="K40" s="129"/>
      <c r="L40" s="54">
        <f t="shared" si="1"/>
        <v>0</v>
      </c>
      <c r="M40" s="129"/>
      <c r="N40" s="54">
        <f t="shared" si="3"/>
        <v>0</v>
      </c>
      <c r="O40" s="54">
        <f t="shared" si="4"/>
        <v>0</v>
      </c>
      <c r="P40" s="1"/>
    </row>
    <row r="41" spans="2:16" ht="12.5">
      <c r="B41" s="7" t="str">
        <f t="shared" si="5"/>
        <v/>
      </c>
      <c r="C41" s="50">
        <f>IF(D11="","-",+C40+1)</f>
        <v>2036</v>
      </c>
      <c r="D41" s="55">
        <f>IF(F40+SUM(E$17:E40)=D$10,F40,D$10-SUM(E$17:E40))</f>
        <v>189895.27088689333</v>
      </c>
      <c r="E41" s="378">
        <f>IF(+I14&lt;F40,I14,D41)</f>
        <v>9579.931818181818</v>
      </c>
      <c r="F41" s="55">
        <f t="shared" si="22"/>
        <v>180315.3390687115</v>
      </c>
      <c r="G41" s="379">
        <f t="shared" si="23"/>
        <v>31705.037976123989</v>
      </c>
      <c r="H41" s="364">
        <f t="shared" si="24"/>
        <v>31705.037976123989</v>
      </c>
      <c r="I41" s="52">
        <f t="shared" si="9"/>
        <v>0</v>
      </c>
      <c r="J41" s="52"/>
      <c r="K41" s="129"/>
      <c r="L41" s="54">
        <f t="shared" si="1"/>
        <v>0</v>
      </c>
      <c r="M41" s="129"/>
      <c r="N41" s="54">
        <f t="shared" si="3"/>
        <v>0</v>
      </c>
      <c r="O41" s="54">
        <f t="shared" si="4"/>
        <v>0</v>
      </c>
      <c r="P41" s="1"/>
    </row>
    <row r="42" spans="2:16" ht="12.5">
      <c r="B42" s="7" t="str">
        <f t="shared" si="5"/>
        <v/>
      </c>
      <c r="C42" s="50">
        <f>IF(D11="","-",+C41+1)</f>
        <v>2037</v>
      </c>
      <c r="D42" s="55">
        <f>IF(F41+SUM(E$17:E41)=D$10,F41,D$10-SUM(E$17:E41))</f>
        <v>180315.3390687115</v>
      </c>
      <c r="E42" s="378">
        <f>IF(+I14&lt;F41,I14,D42)</f>
        <v>9579.931818181818</v>
      </c>
      <c r="F42" s="55">
        <f t="shared" si="22"/>
        <v>170735.40725052968</v>
      </c>
      <c r="G42" s="379">
        <f t="shared" si="23"/>
        <v>30559.976204455488</v>
      </c>
      <c r="H42" s="364">
        <f t="shared" si="24"/>
        <v>30559.976204455488</v>
      </c>
      <c r="I42" s="52">
        <f t="shared" si="9"/>
        <v>0</v>
      </c>
      <c r="J42" s="52"/>
      <c r="K42" s="129"/>
      <c r="L42" s="54">
        <f t="shared" si="1"/>
        <v>0</v>
      </c>
      <c r="M42" s="129"/>
      <c r="N42" s="54">
        <f t="shared" si="3"/>
        <v>0</v>
      </c>
      <c r="O42" s="54">
        <f t="shared" si="4"/>
        <v>0</v>
      </c>
      <c r="P42" s="1"/>
    </row>
    <row r="43" spans="2:16" ht="12.5">
      <c r="B43" s="7" t="str">
        <f t="shared" si="5"/>
        <v/>
      </c>
      <c r="C43" s="50">
        <f>IF(D11="","-",+C42+1)</f>
        <v>2038</v>
      </c>
      <c r="D43" s="55">
        <f>IF(F42+SUM(E$17:E42)=D$10,F42,D$10-SUM(E$17:E42))</f>
        <v>170735.40725052968</v>
      </c>
      <c r="E43" s="378">
        <f>IF(+I14&lt;F42,I14,D43)</f>
        <v>9579.931818181818</v>
      </c>
      <c r="F43" s="55">
        <f t="shared" si="22"/>
        <v>161155.47543234786</v>
      </c>
      <c r="G43" s="379">
        <f t="shared" si="23"/>
        <v>29414.914432786987</v>
      </c>
      <c r="H43" s="364">
        <f t="shared" si="24"/>
        <v>29414.914432786987</v>
      </c>
      <c r="I43" s="52">
        <f t="shared" si="9"/>
        <v>0</v>
      </c>
      <c r="J43" s="52"/>
      <c r="K43" s="129"/>
      <c r="L43" s="54">
        <f t="shared" si="1"/>
        <v>0</v>
      </c>
      <c r="M43" s="129"/>
      <c r="N43" s="54">
        <f t="shared" si="3"/>
        <v>0</v>
      </c>
      <c r="O43" s="54">
        <f t="shared" si="4"/>
        <v>0</v>
      </c>
      <c r="P43" s="1"/>
    </row>
    <row r="44" spans="2:16" ht="12.5">
      <c r="B44" s="7" t="str">
        <f t="shared" si="5"/>
        <v/>
      </c>
      <c r="C44" s="50">
        <f>IF(D11="","-",+C43+1)</f>
        <v>2039</v>
      </c>
      <c r="D44" s="55">
        <f>IF(F43+SUM(E$17:E43)=D$10,F43,D$10-SUM(E$17:E43))</f>
        <v>161155.47543234786</v>
      </c>
      <c r="E44" s="378">
        <f>IF(+I14&lt;F43,I14,D44)</f>
        <v>9579.931818181818</v>
      </c>
      <c r="F44" s="55">
        <f t="shared" si="22"/>
        <v>151575.54361416603</v>
      </c>
      <c r="G44" s="379">
        <f t="shared" si="23"/>
        <v>28269.852661118486</v>
      </c>
      <c r="H44" s="364">
        <f t="shared" si="24"/>
        <v>28269.852661118486</v>
      </c>
      <c r="I44" s="52">
        <f t="shared" si="9"/>
        <v>0</v>
      </c>
      <c r="J44" s="52"/>
      <c r="K44" s="129"/>
      <c r="L44" s="54">
        <f t="shared" si="1"/>
        <v>0</v>
      </c>
      <c r="M44" s="129"/>
      <c r="N44" s="54">
        <f t="shared" si="3"/>
        <v>0</v>
      </c>
      <c r="O44" s="54">
        <f t="shared" si="4"/>
        <v>0</v>
      </c>
      <c r="P44" s="1"/>
    </row>
    <row r="45" spans="2:16" ht="12.5">
      <c r="B45" s="7" t="str">
        <f t="shared" si="5"/>
        <v/>
      </c>
      <c r="C45" s="50">
        <f>IF(D11="","-",+C44+1)</f>
        <v>2040</v>
      </c>
      <c r="D45" s="55">
        <f>IF(F44+SUM(E$17:E44)=D$10,F44,D$10-SUM(E$17:E44))</f>
        <v>151575.54361416603</v>
      </c>
      <c r="E45" s="378">
        <f>IF(+I14&lt;F44,I14,D45)</f>
        <v>9579.931818181818</v>
      </c>
      <c r="F45" s="55">
        <f t="shared" si="22"/>
        <v>141995.61179598421</v>
      </c>
      <c r="G45" s="379">
        <f t="shared" si="23"/>
        <v>27124.790889449985</v>
      </c>
      <c r="H45" s="364">
        <f t="shared" si="24"/>
        <v>27124.790889449985</v>
      </c>
      <c r="I45" s="52">
        <f t="shared" si="9"/>
        <v>0</v>
      </c>
      <c r="J45" s="52"/>
      <c r="K45" s="129"/>
      <c r="L45" s="54">
        <f t="shared" si="1"/>
        <v>0</v>
      </c>
      <c r="M45" s="129"/>
      <c r="N45" s="54">
        <f t="shared" si="3"/>
        <v>0</v>
      </c>
      <c r="O45" s="54">
        <f t="shared" si="4"/>
        <v>0</v>
      </c>
      <c r="P45" s="1"/>
    </row>
    <row r="46" spans="2:16" ht="12.5">
      <c r="B46" s="7" t="str">
        <f t="shared" si="5"/>
        <v/>
      </c>
      <c r="C46" s="50">
        <f>IF(D11="","-",+C45+1)</f>
        <v>2041</v>
      </c>
      <c r="D46" s="55">
        <f>IF(F45+SUM(E$17:E45)=D$10,F45,D$10-SUM(E$17:E45))</f>
        <v>141995.61179598421</v>
      </c>
      <c r="E46" s="378">
        <f>IF(+I14&lt;F45,I14,D46)</f>
        <v>9579.931818181818</v>
      </c>
      <c r="F46" s="55">
        <f t="shared" si="22"/>
        <v>132415.67997780239</v>
      </c>
      <c r="G46" s="379">
        <f t="shared" si="23"/>
        <v>25979.729117781477</v>
      </c>
      <c r="H46" s="364">
        <f t="shared" si="24"/>
        <v>25979.729117781477</v>
      </c>
      <c r="I46" s="52">
        <f t="shared" si="9"/>
        <v>0</v>
      </c>
      <c r="J46" s="52"/>
      <c r="K46" s="129"/>
      <c r="L46" s="54">
        <f t="shared" si="1"/>
        <v>0</v>
      </c>
      <c r="M46" s="129"/>
      <c r="N46" s="54">
        <f t="shared" si="3"/>
        <v>0</v>
      </c>
      <c r="O46" s="54">
        <f t="shared" si="4"/>
        <v>0</v>
      </c>
      <c r="P46" s="1"/>
    </row>
    <row r="47" spans="2:16" ht="12.5">
      <c r="B47" s="7" t="str">
        <f t="shared" si="5"/>
        <v/>
      </c>
      <c r="C47" s="50">
        <f>IF(D11="","-",+C46+1)</f>
        <v>2042</v>
      </c>
      <c r="D47" s="55">
        <f>IF(F46+SUM(E$17:E46)=D$10,F46,D$10-SUM(E$17:E46))</f>
        <v>132415.67997780239</v>
      </c>
      <c r="E47" s="378">
        <f>IF(+I14&lt;F46,I14,D47)</f>
        <v>9579.931818181818</v>
      </c>
      <c r="F47" s="55">
        <f t="shared" si="22"/>
        <v>122835.74815962056</v>
      </c>
      <c r="G47" s="379">
        <f t="shared" si="23"/>
        <v>24834.667346112976</v>
      </c>
      <c r="H47" s="364">
        <f t="shared" si="24"/>
        <v>24834.667346112976</v>
      </c>
      <c r="I47" s="52">
        <f t="shared" si="9"/>
        <v>0</v>
      </c>
      <c r="J47" s="52"/>
      <c r="K47" s="129"/>
      <c r="L47" s="54">
        <f t="shared" si="1"/>
        <v>0</v>
      </c>
      <c r="M47" s="129"/>
      <c r="N47" s="54">
        <f t="shared" si="3"/>
        <v>0</v>
      </c>
      <c r="O47" s="54">
        <f t="shared" si="4"/>
        <v>0</v>
      </c>
      <c r="P47" s="1"/>
    </row>
    <row r="48" spans="2:16" ht="12.5">
      <c r="B48" s="7" t="str">
        <f t="shared" si="5"/>
        <v/>
      </c>
      <c r="C48" s="50">
        <f>IF(D11="","-",+C47+1)</f>
        <v>2043</v>
      </c>
      <c r="D48" s="55">
        <f>IF(F47+SUM(E$17:E47)=D$10,F47,D$10-SUM(E$17:E47))</f>
        <v>122835.74815962056</v>
      </c>
      <c r="E48" s="378">
        <f>IF(+I14&lt;F47,I14,D48)</f>
        <v>9579.931818181818</v>
      </c>
      <c r="F48" s="55">
        <f t="shared" si="22"/>
        <v>113255.81634143874</v>
      </c>
      <c r="G48" s="379">
        <f t="shared" si="23"/>
        <v>23689.605574444475</v>
      </c>
      <c r="H48" s="364">
        <f t="shared" si="24"/>
        <v>23689.605574444475</v>
      </c>
      <c r="I48" s="52">
        <f t="shared" si="9"/>
        <v>0</v>
      </c>
      <c r="J48" s="52"/>
      <c r="K48" s="129"/>
      <c r="L48" s="54">
        <f t="shared" si="1"/>
        <v>0</v>
      </c>
      <c r="M48" s="129"/>
      <c r="N48" s="54">
        <f t="shared" si="3"/>
        <v>0</v>
      </c>
      <c r="O48" s="54">
        <f t="shared" si="4"/>
        <v>0</v>
      </c>
      <c r="P48" s="1"/>
    </row>
    <row r="49" spans="2:17" ht="12.5">
      <c r="B49" s="7" t="str">
        <f t="shared" si="5"/>
        <v/>
      </c>
      <c r="C49" s="50">
        <f>IF(D11="","-",+C48+1)</f>
        <v>2044</v>
      </c>
      <c r="D49" s="55">
        <f>IF(F48+SUM(E$17:E48)=D$10,F48,D$10-SUM(E$17:E48))</f>
        <v>113255.81634143874</v>
      </c>
      <c r="E49" s="378">
        <f>IF(+I14&lt;F48,I14,D49)</f>
        <v>9579.931818181818</v>
      </c>
      <c r="F49" s="55">
        <f t="shared" si="22"/>
        <v>103675.88452325691</v>
      </c>
      <c r="G49" s="379">
        <f t="shared" si="23"/>
        <v>22544.543802775974</v>
      </c>
      <c r="H49" s="364">
        <f t="shared" si="24"/>
        <v>22544.543802775974</v>
      </c>
      <c r="I49" s="52">
        <f t="shared" si="9"/>
        <v>0</v>
      </c>
      <c r="J49" s="52"/>
      <c r="K49" s="129"/>
      <c r="L49" s="54">
        <f t="shared" ref="L49:L72" si="25">IF(K49&lt;&gt;0,+G49-K49,0)</f>
        <v>0</v>
      </c>
      <c r="M49" s="129"/>
      <c r="N49" s="54">
        <f t="shared" ref="N49:N72" si="26">IF(M49&lt;&gt;0,+H49-M49,0)</f>
        <v>0</v>
      </c>
      <c r="O49" s="54">
        <f t="shared" ref="O49:O72" si="27">+N49-L49</f>
        <v>0</v>
      </c>
      <c r="P49" s="1"/>
    </row>
    <row r="50" spans="2:17" ht="12.5">
      <c r="B50" s="7" t="str">
        <f t="shared" ref="B50:B72" si="28">IF(D50=F49,"","IU")</f>
        <v/>
      </c>
      <c r="C50" s="50">
        <f>IF(D11="","-",+C49+1)</f>
        <v>2045</v>
      </c>
      <c r="D50" s="55">
        <f>IF(F49+SUM(E$17:E49)=D$10,F49,D$10-SUM(E$17:E49))</f>
        <v>103675.88452325691</v>
      </c>
      <c r="E50" s="378">
        <f>IF(+I14&lt;F49,I14,D50)</f>
        <v>9579.931818181818</v>
      </c>
      <c r="F50" s="55">
        <f t="shared" ref="F50:F72" si="29">+D50-E50</f>
        <v>94095.952705075091</v>
      </c>
      <c r="G50" s="379">
        <f t="shared" si="23"/>
        <v>21399.482031107473</v>
      </c>
      <c r="H50" s="364">
        <f t="shared" si="24"/>
        <v>21399.482031107473</v>
      </c>
      <c r="I50" s="52">
        <f t="shared" ref="I50:I72" si="30">H50-G50</f>
        <v>0</v>
      </c>
      <c r="J50" s="52"/>
      <c r="K50" s="129"/>
      <c r="L50" s="54">
        <f t="shared" si="25"/>
        <v>0</v>
      </c>
      <c r="M50" s="129"/>
      <c r="N50" s="54">
        <f t="shared" si="26"/>
        <v>0</v>
      </c>
      <c r="O50" s="54">
        <f t="shared" si="27"/>
        <v>0</v>
      </c>
      <c r="P50" s="1"/>
    </row>
    <row r="51" spans="2:17" ht="12.5">
      <c r="B51" s="7" t="str">
        <f t="shared" si="28"/>
        <v/>
      </c>
      <c r="C51" s="50">
        <f>IF(D11="","-",+C50+1)</f>
        <v>2046</v>
      </c>
      <c r="D51" s="55">
        <f>IF(F50+SUM(E$17:E50)=D$10,F50,D$10-SUM(E$17:E50))</f>
        <v>94095.952705075091</v>
      </c>
      <c r="E51" s="378">
        <f>IF(+I14&lt;F50,I14,D51)</f>
        <v>9579.931818181818</v>
      </c>
      <c r="F51" s="55">
        <f t="shared" si="29"/>
        <v>84516.020886893268</v>
      </c>
      <c r="G51" s="379">
        <f t="shared" si="23"/>
        <v>20254.420259438972</v>
      </c>
      <c r="H51" s="364">
        <f t="shared" si="24"/>
        <v>20254.420259438972</v>
      </c>
      <c r="I51" s="52">
        <f t="shared" si="30"/>
        <v>0</v>
      </c>
      <c r="J51" s="52"/>
      <c r="K51" s="129"/>
      <c r="L51" s="54">
        <f t="shared" si="25"/>
        <v>0</v>
      </c>
      <c r="M51" s="129"/>
      <c r="N51" s="54">
        <f t="shared" si="26"/>
        <v>0</v>
      </c>
      <c r="O51" s="54">
        <f t="shared" si="27"/>
        <v>0</v>
      </c>
      <c r="P51" s="1"/>
    </row>
    <row r="52" spans="2:17" ht="12.5">
      <c r="B52" s="7" t="str">
        <f t="shared" si="28"/>
        <v/>
      </c>
      <c r="C52" s="50">
        <f>IF(D11="","-",+C51+1)</f>
        <v>2047</v>
      </c>
      <c r="D52" s="55">
        <f>IF(F51+SUM(E$17:E51)=D$10,F51,D$10-SUM(E$17:E51))</f>
        <v>84516.020886893268</v>
      </c>
      <c r="E52" s="378">
        <f>IF(+I14&lt;F51,I14,D52)</f>
        <v>9579.931818181818</v>
      </c>
      <c r="F52" s="55">
        <f t="shared" si="29"/>
        <v>74936.089068711444</v>
      </c>
      <c r="G52" s="379">
        <f t="shared" si="23"/>
        <v>19109.358487770471</v>
      </c>
      <c r="H52" s="364">
        <f t="shared" si="24"/>
        <v>19109.358487770471</v>
      </c>
      <c r="I52" s="52">
        <f t="shared" si="30"/>
        <v>0</v>
      </c>
      <c r="J52" s="52"/>
      <c r="K52" s="129"/>
      <c r="L52" s="54">
        <f t="shared" si="25"/>
        <v>0</v>
      </c>
      <c r="M52" s="129"/>
      <c r="N52" s="54">
        <f t="shared" si="26"/>
        <v>0</v>
      </c>
      <c r="O52" s="54">
        <f t="shared" si="27"/>
        <v>0</v>
      </c>
      <c r="P52" s="1"/>
    </row>
    <row r="53" spans="2:17" ht="12.5">
      <c r="B53" s="7" t="str">
        <f t="shared" si="28"/>
        <v/>
      </c>
      <c r="C53" s="50">
        <f>IF(D11="","-",+C52+1)</f>
        <v>2048</v>
      </c>
      <c r="D53" s="55">
        <f>IF(F52+SUM(E$17:E52)=D$10,F52,D$10-SUM(E$17:E52))</f>
        <v>74936.089068711444</v>
      </c>
      <c r="E53" s="378">
        <f>IF(+I14&lt;F52,I14,D53)</f>
        <v>9579.931818181818</v>
      </c>
      <c r="F53" s="55">
        <f t="shared" si="29"/>
        <v>65356.157250529628</v>
      </c>
      <c r="G53" s="379">
        <f t="shared" si="23"/>
        <v>17964.296716101966</v>
      </c>
      <c r="H53" s="364">
        <f t="shared" si="24"/>
        <v>17964.296716101966</v>
      </c>
      <c r="I53" s="52">
        <f t="shared" si="30"/>
        <v>0</v>
      </c>
      <c r="J53" s="52"/>
      <c r="K53" s="129"/>
      <c r="L53" s="54">
        <f t="shared" si="25"/>
        <v>0</v>
      </c>
      <c r="M53" s="129"/>
      <c r="N53" s="54">
        <f t="shared" si="26"/>
        <v>0</v>
      </c>
      <c r="O53" s="54">
        <f t="shared" si="27"/>
        <v>0</v>
      </c>
      <c r="P53" s="1"/>
    </row>
    <row r="54" spans="2:17" ht="12.5">
      <c r="B54" s="7" t="str">
        <f t="shared" si="28"/>
        <v/>
      </c>
      <c r="C54" s="50">
        <f>IF(D11="","-",+C53+1)</f>
        <v>2049</v>
      </c>
      <c r="D54" s="55">
        <f>IF(F53+SUM(E$17:E53)=D$10,F53,D$10-SUM(E$17:E53))</f>
        <v>65356.157250529628</v>
      </c>
      <c r="E54" s="378">
        <f>IF(+I14&lt;F53,I14,D54)</f>
        <v>9579.931818181818</v>
      </c>
      <c r="F54" s="55">
        <f t="shared" si="29"/>
        <v>55776.225432347812</v>
      </c>
      <c r="G54" s="379">
        <f t="shared" ref="G54:G72" si="31">+I$12*((D54+F54)/2)+E54</f>
        <v>16819.234944433465</v>
      </c>
      <c r="H54" s="364">
        <f t="shared" ref="H54:H72" si="32">+I$13*((D54+F54)/2)+E54</f>
        <v>16819.234944433465</v>
      </c>
      <c r="I54" s="52">
        <f t="shared" si="30"/>
        <v>0</v>
      </c>
      <c r="J54" s="52"/>
      <c r="K54" s="129"/>
      <c r="L54" s="54">
        <f t="shared" si="25"/>
        <v>0</v>
      </c>
      <c r="M54" s="129"/>
      <c r="N54" s="54">
        <f t="shared" si="26"/>
        <v>0</v>
      </c>
      <c r="O54" s="54">
        <f t="shared" si="27"/>
        <v>0</v>
      </c>
      <c r="P54" s="1"/>
    </row>
    <row r="55" spans="2:17" ht="12.5">
      <c r="B55" s="7" t="str">
        <f t="shared" si="28"/>
        <v/>
      </c>
      <c r="C55" s="50">
        <f>IF(D11="","-",+C54+1)</f>
        <v>2050</v>
      </c>
      <c r="D55" s="55">
        <f>IF(F54+SUM(E$17:E54)=D$10,F54,D$10-SUM(E$17:E54))</f>
        <v>55776.225432347812</v>
      </c>
      <c r="E55" s="378">
        <f>IF(+I14&lt;F54,I14,D55)</f>
        <v>9579.931818181818</v>
      </c>
      <c r="F55" s="55">
        <f t="shared" si="29"/>
        <v>46196.293614165996</v>
      </c>
      <c r="G55" s="379">
        <f t="shared" si="31"/>
        <v>15674.173172764964</v>
      </c>
      <c r="H55" s="364">
        <f t="shared" si="32"/>
        <v>15674.173172764964</v>
      </c>
      <c r="I55" s="52">
        <f t="shared" si="30"/>
        <v>0</v>
      </c>
      <c r="J55" s="52"/>
      <c r="K55" s="129"/>
      <c r="L55" s="54">
        <f t="shared" si="25"/>
        <v>0</v>
      </c>
      <c r="M55" s="129"/>
      <c r="N55" s="54">
        <f t="shared" si="26"/>
        <v>0</v>
      </c>
      <c r="O55" s="54">
        <f t="shared" si="27"/>
        <v>0</v>
      </c>
      <c r="P55" s="1"/>
    </row>
    <row r="56" spans="2:17" ht="12.5">
      <c r="B56" s="7" t="str">
        <f t="shared" si="28"/>
        <v/>
      </c>
      <c r="C56" s="50">
        <f>IF(D11="","-",+C55+1)</f>
        <v>2051</v>
      </c>
      <c r="D56" s="55">
        <f>IF(F55+SUM(E$17:E55)=D$10,F55,D$10-SUM(E$17:E55))</f>
        <v>46196.293614165996</v>
      </c>
      <c r="E56" s="378">
        <f>IF(+I14&lt;F55,I14,D56)</f>
        <v>9579.931818181818</v>
      </c>
      <c r="F56" s="55">
        <f t="shared" si="29"/>
        <v>36616.361795984179</v>
      </c>
      <c r="G56" s="379">
        <f t="shared" si="31"/>
        <v>14529.111401096463</v>
      </c>
      <c r="H56" s="364">
        <f t="shared" si="32"/>
        <v>14529.111401096463</v>
      </c>
      <c r="I56" s="52">
        <f t="shared" si="30"/>
        <v>0</v>
      </c>
      <c r="J56" s="52"/>
      <c r="K56" s="129"/>
      <c r="L56" s="54">
        <f t="shared" si="25"/>
        <v>0</v>
      </c>
      <c r="M56" s="129"/>
      <c r="N56" s="54">
        <f t="shared" si="26"/>
        <v>0</v>
      </c>
      <c r="O56" s="54">
        <f t="shared" si="27"/>
        <v>0</v>
      </c>
      <c r="P56" s="1"/>
    </row>
    <row r="57" spans="2:17" ht="12.5">
      <c r="B57" s="7" t="str">
        <f t="shared" si="28"/>
        <v/>
      </c>
      <c r="C57" s="50">
        <f>IF(D11="","-",+C56+1)</f>
        <v>2052</v>
      </c>
      <c r="D57" s="55">
        <f>IF(F56+SUM(E$17:E56)=D$10,F56,D$10-SUM(E$17:E56))</f>
        <v>36616.361795984179</v>
      </c>
      <c r="E57" s="378">
        <f>IF(+I14&lt;F56,I14,D57)</f>
        <v>9579.931818181818</v>
      </c>
      <c r="F57" s="55">
        <f t="shared" si="29"/>
        <v>27036.429977802363</v>
      </c>
      <c r="G57" s="379">
        <f t="shared" si="31"/>
        <v>13384.049629427962</v>
      </c>
      <c r="H57" s="364">
        <f t="shared" si="32"/>
        <v>13384.049629427962</v>
      </c>
      <c r="I57" s="52">
        <f t="shared" si="30"/>
        <v>0</v>
      </c>
      <c r="J57" s="52"/>
      <c r="K57" s="129"/>
      <c r="L57" s="54">
        <f t="shared" si="25"/>
        <v>0</v>
      </c>
      <c r="M57" s="129"/>
      <c r="N57" s="54">
        <f t="shared" si="26"/>
        <v>0</v>
      </c>
      <c r="O57" s="54">
        <f t="shared" si="27"/>
        <v>0</v>
      </c>
      <c r="P57" s="1"/>
    </row>
    <row r="58" spans="2:17" ht="12.5">
      <c r="B58" s="7" t="str">
        <f t="shared" si="28"/>
        <v/>
      </c>
      <c r="C58" s="50">
        <f>IF(D11="","-",+C57+1)</f>
        <v>2053</v>
      </c>
      <c r="D58" s="55">
        <f>IF(F57+SUM(E$17:E57)=D$10,F57,D$10-SUM(E$17:E57))</f>
        <v>27036.429977802363</v>
      </c>
      <c r="E58" s="378">
        <f>IF(+I14&lt;F57,I14,D58)</f>
        <v>9579.931818181818</v>
      </c>
      <c r="F58" s="55">
        <f t="shared" si="29"/>
        <v>17456.498159620547</v>
      </c>
      <c r="G58" s="379">
        <f t="shared" si="31"/>
        <v>12238.987857759461</v>
      </c>
      <c r="H58" s="364">
        <f t="shared" si="32"/>
        <v>12238.987857759461</v>
      </c>
      <c r="I58" s="52">
        <f t="shared" si="30"/>
        <v>0</v>
      </c>
      <c r="J58" s="52"/>
      <c r="K58" s="129"/>
      <c r="L58" s="54">
        <f t="shared" si="25"/>
        <v>0</v>
      </c>
      <c r="M58" s="129"/>
      <c r="N58" s="54">
        <f t="shared" si="26"/>
        <v>0</v>
      </c>
      <c r="O58" s="54">
        <f t="shared" si="27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28"/>
        <v/>
      </c>
      <c r="C59" s="50">
        <f>IF(D11="","-",+C58+1)</f>
        <v>2054</v>
      </c>
      <c r="D59" s="55">
        <f>IF(F58+SUM(E$17:E58)=D$10,F58,D$10-SUM(E$17:E58))</f>
        <v>17456.498159620547</v>
      </c>
      <c r="E59" s="378">
        <f>IF(+I14&lt;F58,I14,D59)</f>
        <v>9579.931818181818</v>
      </c>
      <c r="F59" s="55">
        <f t="shared" si="29"/>
        <v>7876.5663414387291</v>
      </c>
      <c r="G59" s="379">
        <f t="shared" si="31"/>
        <v>11093.92608609096</v>
      </c>
      <c r="H59" s="364">
        <f t="shared" si="32"/>
        <v>11093.92608609096</v>
      </c>
      <c r="I59" s="52">
        <f t="shared" si="30"/>
        <v>0</v>
      </c>
      <c r="J59" s="52"/>
      <c r="K59" s="129"/>
      <c r="L59" s="54">
        <f t="shared" si="25"/>
        <v>0</v>
      </c>
      <c r="M59" s="129"/>
      <c r="N59" s="54">
        <f t="shared" si="26"/>
        <v>0</v>
      </c>
      <c r="O59" s="54">
        <f t="shared" si="27"/>
        <v>0</v>
      </c>
      <c r="P59" s="1"/>
    </row>
    <row r="60" spans="2:17" ht="12.5">
      <c r="B60" s="7" t="str">
        <f t="shared" si="28"/>
        <v/>
      </c>
      <c r="C60" s="50">
        <f>IF(D11="","-",+C59+1)</f>
        <v>2055</v>
      </c>
      <c r="D60" s="55">
        <f>IF(F59+SUM(E$17:E59)=D$10,F59,D$10-SUM(E$17:E59))</f>
        <v>7876.5663414387291</v>
      </c>
      <c r="E60" s="378">
        <f>IF(+I14&lt;F59,I14,D60)</f>
        <v>7876.5663414387291</v>
      </c>
      <c r="F60" s="55">
        <f t="shared" si="29"/>
        <v>0</v>
      </c>
      <c r="G60" s="379">
        <f t="shared" si="31"/>
        <v>8347.2980324761738</v>
      </c>
      <c r="H60" s="364">
        <f t="shared" si="32"/>
        <v>8347.2980324761738</v>
      </c>
      <c r="I60" s="52">
        <f t="shared" si="30"/>
        <v>0</v>
      </c>
      <c r="J60" s="52"/>
      <c r="K60" s="129"/>
      <c r="L60" s="54">
        <f t="shared" si="25"/>
        <v>0</v>
      </c>
      <c r="M60" s="129"/>
      <c r="N60" s="54">
        <f t="shared" si="26"/>
        <v>0</v>
      </c>
      <c r="O60" s="54">
        <f t="shared" si="27"/>
        <v>0</v>
      </c>
      <c r="P60" s="1"/>
    </row>
    <row r="61" spans="2:17" ht="12.5">
      <c r="B61" s="7" t="str">
        <f t="shared" si="28"/>
        <v/>
      </c>
      <c r="C61" s="50">
        <f>IF(D11="","-",+C60+1)</f>
        <v>2056</v>
      </c>
      <c r="D61" s="55">
        <f>IF(F60+SUM(E$17:E60)=D$10,F60,D$10-SUM(E$17:E60))</f>
        <v>0</v>
      </c>
      <c r="E61" s="378">
        <f>IF(+I14&lt;F60,I14,D61)</f>
        <v>0</v>
      </c>
      <c r="F61" s="55">
        <f t="shared" si="29"/>
        <v>0</v>
      </c>
      <c r="G61" s="380">
        <f t="shared" si="31"/>
        <v>0</v>
      </c>
      <c r="H61" s="364">
        <f t="shared" si="32"/>
        <v>0</v>
      </c>
      <c r="I61" s="52">
        <f t="shared" si="30"/>
        <v>0</v>
      </c>
      <c r="J61" s="52"/>
      <c r="K61" s="129"/>
      <c r="L61" s="54">
        <f t="shared" si="25"/>
        <v>0</v>
      </c>
      <c r="M61" s="129"/>
      <c r="N61" s="54">
        <f t="shared" si="26"/>
        <v>0</v>
      </c>
      <c r="O61" s="54">
        <f t="shared" si="27"/>
        <v>0</v>
      </c>
      <c r="P61" s="1"/>
    </row>
    <row r="62" spans="2:17" ht="12.5">
      <c r="B62" s="7" t="str">
        <f t="shared" si="28"/>
        <v/>
      </c>
      <c r="C62" s="50">
        <f>IF(D11="","-",+C61+1)</f>
        <v>2057</v>
      </c>
      <c r="D62" s="55">
        <f>IF(F61+SUM(E$17:E61)=D$10,F61,D$10-SUM(E$17:E61))</f>
        <v>0</v>
      </c>
      <c r="E62" s="378">
        <f>IF(+I14&lt;F61,I14,D62)</f>
        <v>0</v>
      </c>
      <c r="F62" s="55">
        <f t="shared" si="29"/>
        <v>0</v>
      </c>
      <c r="G62" s="380">
        <f t="shared" si="31"/>
        <v>0</v>
      </c>
      <c r="H62" s="364">
        <f t="shared" si="32"/>
        <v>0</v>
      </c>
      <c r="I62" s="52">
        <f t="shared" si="30"/>
        <v>0</v>
      </c>
      <c r="J62" s="52"/>
      <c r="K62" s="129"/>
      <c r="L62" s="54">
        <f t="shared" si="25"/>
        <v>0</v>
      </c>
      <c r="M62" s="129"/>
      <c r="N62" s="54">
        <f t="shared" si="26"/>
        <v>0</v>
      </c>
      <c r="O62" s="54">
        <f t="shared" si="27"/>
        <v>0</v>
      </c>
      <c r="P62" s="1"/>
    </row>
    <row r="63" spans="2:17" ht="12.5">
      <c r="B63" s="7" t="str">
        <f t="shared" si="28"/>
        <v/>
      </c>
      <c r="C63" s="50">
        <f>IF(D11="","-",+C62+1)</f>
        <v>2058</v>
      </c>
      <c r="D63" s="55">
        <f>IF(F62+SUM(E$17:E62)=D$10,F62,D$10-SUM(E$17:E62))</f>
        <v>0</v>
      </c>
      <c r="E63" s="378">
        <f>IF(+I14&lt;F62,I14,D63)</f>
        <v>0</v>
      </c>
      <c r="F63" s="55">
        <f t="shared" si="29"/>
        <v>0</v>
      </c>
      <c r="G63" s="380">
        <f t="shared" si="31"/>
        <v>0</v>
      </c>
      <c r="H63" s="364">
        <f t="shared" si="32"/>
        <v>0</v>
      </c>
      <c r="I63" s="52">
        <f t="shared" si="30"/>
        <v>0</v>
      </c>
      <c r="J63" s="52"/>
      <c r="K63" s="129"/>
      <c r="L63" s="54">
        <f t="shared" si="25"/>
        <v>0</v>
      </c>
      <c r="M63" s="129"/>
      <c r="N63" s="54">
        <f t="shared" si="26"/>
        <v>0</v>
      </c>
      <c r="O63" s="54">
        <f t="shared" si="27"/>
        <v>0</v>
      </c>
      <c r="P63" s="1"/>
    </row>
    <row r="64" spans="2:17" ht="12.5">
      <c r="B64" s="7" t="str">
        <f t="shared" si="28"/>
        <v/>
      </c>
      <c r="C64" s="50">
        <f>IF(D11="","-",+C63+1)</f>
        <v>2059</v>
      </c>
      <c r="D64" s="55">
        <f>IF(F63+SUM(E$17:E63)=D$10,F63,D$10-SUM(E$17:E63))</f>
        <v>0</v>
      </c>
      <c r="E64" s="378">
        <f>IF(+I14&lt;F63,I14,D64)</f>
        <v>0</v>
      </c>
      <c r="F64" s="55">
        <f t="shared" si="29"/>
        <v>0</v>
      </c>
      <c r="G64" s="380">
        <f t="shared" si="31"/>
        <v>0</v>
      </c>
      <c r="H64" s="364">
        <f t="shared" si="32"/>
        <v>0</v>
      </c>
      <c r="I64" s="52">
        <f t="shared" si="30"/>
        <v>0</v>
      </c>
      <c r="J64" s="52"/>
      <c r="K64" s="129"/>
      <c r="L64" s="54">
        <f t="shared" si="25"/>
        <v>0</v>
      </c>
      <c r="M64" s="129"/>
      <c r="N64" s="54">
        <f t="shared" si="26"/>
        <v>0</v>
      </c>
      <c r="O64" s="54">
        <f t="shared" si="27"/>
        <v>0</v>
      </c>
      <c r="P64" s="1"/>
    </row>
    <row r="65" spans="1:16" ht="12.5">
      <c r="B65" s="7" t="str">
        <f t="shared" si="28"/>
        <v/>
      </c>
      <c r="C65" s="50">
        <f>IF(D11="","-",+C64+1)</f>
        <v>2060</v>
      </c>
      <c r="D65" s="55">
        <f>IF(F64+SUM(E$17:E64)=D$10,F64,D$10-SUM(E$17:E64))</f>
        <v>0</v>
      </c>
      <c r="E65" s="378">
        <f>IF(+I14&lt;F64,I14,D65)</f>
        <v>0</v>
      </c>
      <c r="F65" s="55">
        <f t="shared" si="29"/>
        <v>0</v>
      </c>
      <c r="G65" s="380">
        <f t="shared" si="31"/>
        <v>0</v>
      </c>
      <c r="H65" s="364">
        <f t="shared" si="32"/>
        <v>0</v>
      </c>
      <c r="I65" s="52">
        <f t="shared" si="30"/>
        <v>0</v>
      </c>
      <c r="J65" s="52"/>
      <c r="K65" s="129"/>
      <c r="L65" s="54">
        <f t="shared" si="25"/>
        <v>0</v>
      </c>
      <c r="M65" s="129"/>
      <c r="N65" s="54">
        <f t="shared" si="26"/>
        <v>0</v>
      </c>
      <c r="O65" s="54">
        <f t="shared" si="27"/>
        <v>0</v>
      </c>
      <c r="P65" s="1"/>
    </row>
    <row r="66" spans="1:16" ht="12.5">
      <c r="B66" s="7" t="str">
        <f t="shared" si="28"/>
        <v/>
      </c>
      <c r="C66" s="50">
        <f>IF(D11="","-",+C65+1)</f>
        <v>2061</v>
      </c>
      <c r="D66" s="55">
        <f>IF(F65+SUM(E$17:E65)=D$10,F65,D$10-SUM(E$17:E65))</f>
        <v>0</v>
      </c>
      <c r="E66" s="378">
        <f>IF(+I14&lt;F65,I14,D66)</f>
        <v>0</v>
      </c>
      <c r="F66" s="55">
        <f t="shared" si="29"/>
        <v>0</v>
      </c>
      <c r="G66" s="380">
        <f t="shared" si="31"/>
        <v>0</v>
      </c>
      <c r="H66" s="364">
        <f t="shared" si="32"/>
        <v>0</v>
      </c>
      <c r="I66" s="52">
        <f t="shared" si="30"/>
        <v>0</v>
      </c>
      <c r="J66" s="52"/>
      <c r="K66" s="129"/>
      <c r="L66" s="54">
        <f t="shared" si="25"/>
        <v>0</v>
      </c>
      <c r="M66" s="129"/>
      <c r="N66" s="54">
        <f t="shared" si="26"/>
        <v>0</v>
      </c>
      <c r="O66" s="54">
        <f t="shared" si="27"/>
        <v>0</v>
      </c>
      <c r="P66" s="1"/>
    </row>
    <row r="67" spans="1:16" ht="12.5">
      <c r="B67" s="7" t="str">
        <f t="shared" si="28"/>
        <v/>
      </c>
      <c r="C67" s="50">
        <f>IF(D11="","-",+C66+1)</f>
        <v>2062</v>
      </c>
      <c r="D67" s="55">
        <f>IF(F66+SUM(E$17:E66)=D$10,F66,D$10-SUM(E$17:E66))</f>
        <v>0</v>
      </c>
      <c r="E67" s="378">
        <f>IF(+I14&lt;F66,I14,D67)</f>
        <v>0</v>
      </c>
      <c r="F67" s="55">
        <f t="shared" si="29"/>
        <v>0</v>
      </c>
      <c r="G67" s="380">
        <f t="shared" si="31"/>
        <v>0</v>
      </c>
      <c r="H67" s="364">
        <f t="shared" si="32"/>
        <v>0</v>
      </c>
      <c r="I67" s="52">
        <f t="shared" si="30"/>
        <v>0</v>
      </c>
      <c r="J67" s="52"/>
      <c r="K67" s="129"/>
      <c r="L67" s="54">
        <f t="shared" si="25"/>
        <v>0</v>
      </c>
      <c r="M67" s="129"/>
      <c r="N67" s="54">
        <f t="shared" si="26"/>
        <v>0</v>
      </c>
      <c r="O67" s="54">
        <f t="shared" si="27"/>
        <v>0</v>
      </c>
      <c r="P67" s="1"/>
    </row>
    <row r="68" spans="1:16" ht="12.5">
      <c r="B68" s="7" t="str">
        <f t="shared" si="28"/>
        <v/>
      </c>
      <c r="C68" s="50">
        <f>IF(D11="","-",+C67+1)</f>
        <v>2063</v>
      </c>
      <c r="D68" s="55">
        <f>IF(F67+SUM(E$17:E67)=D$10,F67,D$10-SUM(E$17:E67))</f>
        <v>0</v>
      </c>
      <c r="E68" s="378">
        <f>IF(+I14&lt;F67,I14,D68)</f>
        <v>0</v>
      </c>
      <c r="F68" s="55">
        <f t="shared" si="29"/>
        <v>0</v>
      </c>
      <c r="G68" s="380">
        <f t="shared" si="31"/>
        <v>0</v>
      </c>
      <c r="H68" s="364">
        <f t="shared" si="32"/>
        <v>0</v>
      </c>
      <c r="I68" s="52">
        <f t="shared" si="30"/>
        <v>0</v>
      </c>
      <c r="J68" s="52"/>
      <c r="K68" s="129"/>
      <c r="L68" s="54">
        <f t="shared" si="25"/>
        <v>0</v>
      </c>
      <c r="M68" s="129"/>
      <c r="N68" s="54">
        <f t="shared" si="26"/>
        <v>0</v>
      </c>
      <c r="O68" s="54">
        <f t="shared" si="27"/>
        <v>0</v>
      </c>
      <c r="P68" s="1"/>
    </row>
    <row r="69" spans="1:16" ht="12.5">
      <c r="B69" s="7" t="str">
        <f t="shared" si="28"/>
        <v/>
      </c>
      <c r="C69" s="50">
        <f>IF(D11="","-",+C68+1)</f>
        <v>2064</v>
      </c>
      <c r="D69" s="55">
        <f>IF(F68+SUM(E$17:E68)=D$10,F68,D$10-SUM(E$17:E68))</f>
        <v>0</v>
      </c>
      <c r="E69" s="378">
        <f>IF(+I14&lt;F68,I14,D69)</f>
        <v>0</v>
      </c>
      <c r="F69" s="55">
        <f t="shared" si="29"/>
        <v>0</v>
      </c>
      <c r="G69" s="380">
        <f t="shared" si="31"/>
        <v>0</v>
      </c>
      <c r="H69" s="364">
        <f t="shared" si="32"/>
        <v>0</v>
      </c>
      <c r="I69" s="52">
        <f t="shared" si="30"/>
        <v>0</v>
      </c>
      <c r="J69" s="52"/>
      <c r="K69" s="129"/>
      <c r="L69" s="54">
        <f t="shared" si="25"/>
        <v>0</v>
      </c>
      <c r="M69" s="129"/>
      <c r="N69" s="54">
        <f t="shared" si="26"/>
        <v>0</v>
      </c>
      <c r="O69" s="54">
        <f t="shared" si="27"/>
        <v>0</v>
      </c>
      <c r="P69" s="1"/>
    </row>
    <row r="70" spans="1:16" ht="12.5">
      <c r="B70" s="7" t="str">
        <f t="shared" si="28"/>
        <v/>
      </c>
      <c r="C70" s="50">
        <f>IF(D11="","-",+C69+1)</f>
        <v>2065</v>
      </c>
      <c r="D70" s="55">
        <f>IF(F69+SUM(E$17:E69)=D$10,F69,D$10-SUM(E$17:E69))</f>
        <v>0</v>
      </c>
      <c r="E70" s="378">
        <f>IF(+I14&lt;F69,I14,D70)</f>
        <v>0</v>
      </c>
      <c r="F70" s="55">
        <f t="shared" si="29"/>
        <v>0</v>
      </c>
      <c r="G70" s="380">
        <f t="shared" si="31"/>
        <v>0</v>
      </c>
      <c r="H70" s="364">
        <f t="shared" si="32"/>
        <v>0</v>
      </c>
      <c r="I70" s="52">
        <f t="shared" si="30"/>
        <v>0</v>
      </c>
      <c r="J70" s="52"/>
      <c r="K70" s="129"/>
      <c r="L70" s="54">
        <f t="shared" si="25"/>
        <v>0</v>
      </c>
      <c r="M70" s="129"/>
      <c r="N70" s="54">
        <f t="shared" si="26"/>
        <v>0</v>
      </c>
      <c r="O70" s="54">
        <f t="shared" si="27"/>
        <v>0</v>
      </c>
      <c r="P70" s="1"/>
    </row>
    <row r="71" spans="1:16" ht="12.5">
      <c r="B71" s="7" t="str">
        <f t="shared" si="28"/>
        <v/>
      </c>
      <c r="C71" s="50">
        <f>IF(D11="","-",+C70+1)</f>
        <v>2066</v>
      </c>
      <c r="D71" s="55">
        <f>IF(F70+SUM(E$17:E70)=D$10,F70,D$10-SUM(E$17:E70))</f>
        <v>0</v>
      </c>
      <c r="E71" s="378">
        <f>IF(+I14&lt;F70,I14,D71)</f>
        <v>0</v>
      </c>
      <c r="F71" s="55">
        <f t="shared" si="29"/>
        <v>0</v>
      </c>
      <c r="G71" s="380">
        <f t="shared" si="31"/>
        <v>0</v>
      </c>
      <c r="H71" s="364">
        <f t="shared" si="32"/>
        <v>0</v>
      </c>
      <c r="I71" s="52">
        <f t="shared" si="30"/>
        <v>0</v>
      </c>
      <c r="J71" s="52"/>
      <c r="K71" s="129"/>
      <c r="L71" s="54">
        <f t="shared" si="25"/>
        <v>0</v>
      </c>
      <c r="M71" s="129"/>
      <c r="N71" s="54">
        <f t="shared" si="26"/>
        <v>0</v>
      </c>
      <c r="O71" s="54">
        <f t="shared" si="27"/>
        <v>0</v>
      </c>
      <c r="P71" s="1"/>
    </row>
    <row r="72" spans="1:16" ht="13" thickBot="1">
      <c r="B72" s="7" t="str">
        <f t="shared" si="28"/>
        <v/>
      </c>
      <c r="C72" s="59">
        <f>IF(D11="","-",+C71+1)</f>
        <v>2067</v>
      </c>
      <c r="D72" s="60">
        <f>IF(F71+SUM(E$17:E71)=D$10,F71,D$10-SUM(E$17:E71))</f>
        <v>0</v>
      </c>
      <c r="E72" s="381">
        <f>IF(+I14&lt;F71,I14,D72)</f>
        <v>0</v>
      </c>
      <c r="F72" s="60">
        <f t="shared" si="29"/>
        <v>0</v>
      </c>
      <c r="G72" s="382">
        <f t="shared" si="31"/>
        <v>0</v>
      </c>
      <c r="H72" s="362">
        <f t="shared" si="32"/>
        <v>0</v>
      </c>
      <c r="I72" s="63">
        <f t="shared" si="30"/>
        <v>0</v>
      </c>
      <c r="J72" s="52"/>
      <c r="K72" s="130"/>
      <c r="L72" s="64">
        <f t="shared" si="25"/>
        <v>0</v>
      </c>
      <c r="M72" s="130"/>
      <c r="N72" s="64">
        <f t="shared" si="26"/>
        <v>0</v>
      </c>
      <c r="O72" s="64">
        <f t="shared" si="27"/>
        <v>0</v>
      </c>
      <c r="P72" s="1"/>
    </row>
    <row r="73" spans="1:16" ht="12.5">
      <c r="C73" s="12" t="s">
        <v>78</v>
      </c>
      <c r="D73" s="293"/>
      <c r="E73" s="293">
        <f>SUM(E17:E72)</f>
        <v>421517</v>
      </c>
      <c r="F73" s="293"/>
      <c r="G73" s="293">
        <f>SUM(G17:G72)</f>
        <v>1560969.8023010483</v>
      </c>
      <c r="H73" s="293">
        <f>SUM(H17:H72)</f>
        <v>1560969.8023010483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7.5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27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45445.779236146016</v>
      </c>
      <c r="N87" s="387">
        <f>IF(J92&lt;D11,0,VLOOKUP(J92,C17:O72,11))</f>
        <v>45445.779236146016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47147.821769688868</v>
      </c>
      <c r="N88" s="390">
        <f>IF(J92&lt;D11,0,VLOOKUP(J92,C99:P154,7))</f>
        <v>47147.821769688868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27" t="str">
        <f>D7</f>
        <v>Linwood - Powell Street 138 kV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1702.0425335428517</v>
      </c>
      <c r="N89" s="392">
        <f>+N88-N87</f>
        <v>1702.0425335428517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TP2009015</v>
      </c>
      <c r="E91" s="76" t="s">
        <v>494</v>
      </c>
      <c r="F91" s="76">
        <f>F9</f>
        <v>30152</v>
      </c>
      <c r="G91" s="76"/>
      <c r="H91" s="76"/>
      <c r="I91" s="76"/>
      <c r="J91" s="95"/>
      <c r="Q91" s="1"/>
    </row>
    <row r="92" spans="1:17" ht="13">
      <c r="C92" s="34" t="s">
        <v>51</v>
      </c>
      <c r="D92" s="363">
        <f>D10</f>
        <v>421517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  <c r="Q92" s="1"/>
    </row>
    <row r="93" spans="1:17" ht="12.5">
      <c r="C93" s="34" t="s">
        <v>54</v>
      </c>
      <c r="D93" s="88">
        <f>IF(D11=I10,"",D11)</f>
        <v>2012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4">
        <f>IF(D11=I10,"",D12)</f>
        <v>6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9579.931818181818</v>
      </c>
      <c r="K96" s="293"/>
      <c r="L96" s="293"/>
      <c r="M96" s="293"/>
      <c r="N96" s="293"/>
      <c r="O96" s="293"/>
      <c r="P96" s="1"/>
      <c r="Q96" s="1"/>
    </row>
    <row r="97" spans="1:17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 ht="12.5">
      <c r="C99" s="50">
        <f>IF(D93= "","-",D93)</f>
        <v>2012</v>
      </c>
      <c r="D99" s="133">
        <v>0</v>
      </c>
      <c r="E99" s="376">
        <v>5119.25</v>
      </c>
      <c r="F99" s="137">
        <v>424897.75</v>
      </c>
      <c r="G99" s="140">
        <v>212448.875</v>
      </c>
      <c r="H99" s="397">
        <v>36381.937261919113</v>
      </c>
      <c r="I99" s="398">
        <v>36381.937261919113</v>
      </c>
      <c r="J99" s="154">
        <f t="shared" ref="J99:J130" si="33">+I99-H99</f>
        <v>0</v>
      </c>
      <c r="K99" s="54"/>
      <c r="L99" s="112">
        <f t="shared" ref="L99:L104" si="34">H99</f>
        <v>36381.937261919113</v>
      </c>
      <c r="M99" s="53">
        <f t="shared" ref="M99:M130" si="35">IF(L99&lt;&gt;0,+H99-L99,0)</f>
        <v>0</v>
      </c>
      <c r="N99" s="112">
        <f t="shared" ref="N99:N104" si="36">I99</f>
        <v>36381.937261919113</v>
      </c>
      <c r="O99" s="53">
        <f t="shared" ref="O99:O130" si="37">IF(N99&lt;&gt;0,+I99-N99,0)</f>
        <v>0</v>
      </c>
      <c r="P99" s="53">
        <f t="shared" ref="P99:P130" si="38">+O99-M99</f>
        <v>0</v>
      </c>
      <c r="Q99" s="1"/>
    </row>
    <row r="100" spans="1:17" ht="12.5">
      <c r="B100" s="7" t="str">
        <f t="shared" ref="B100:B131" si="39">IF(D100=F99,"","IU")</f>
        <v/>
      </c>
      <c r="C100" s="50">
        <f>IF(D93="","-",+C99+1)</f>
        <v>2013</v>
      </c>
      <c r="D100" s="133">
        <v>424897.75</v>
      </c>
      <c r="E100" s="376">
        <v>10238.5</v>
      </c>
      <c r="F100" s="137">
        <v>414659.25</v>
      </c>
      <c r="G100" s="137">
        <v>419778.5</v>
      </c>
      <c r="H100" s="397">
        <v>67031.047857906437</v>
      </c>
      <c r="I100" s="398">
        <v>67031.047857906437</v>
      </c>
      <c r="J100" s="154">
        <v>0</v>
      </c>
      <c r="K100" s="54"/>
      <c r="L100" s="113">
        <f t="shared" si="34"/>
        <v>67031.047857906437</v>
      </c>
      <c r="M100" s="54">
        <f t="shared" ref="M100:M105" si="40">IF(L100&lt;&gt;0,+H100-L100,0)</f>
        <v>0</v>
      </c>
      <c r="N100" s="113">
        <f t="shared" si="36"/>
        <v>67031.047857906437</v>
      </c>
      <c r="O100" s="54">
        <f>IF(N100&lt;&gt;0,+I100-N100,0)</f>
        <v>0</v>
      </c>
      <c r="P100" s="54">
        <f>+O100-M100</f>
        <v>0</v>
      </c>
      <c r="Q100" s="1"/>
    </row>
    <row r="101" spans="1:17" ht="12.5">
      <c r="B101" s="7" t="str">
        <f t="shared" si="39"/>
        <v>IU</v>
      </c>
      <c r="C101" s="50">
        <f>IF(D93="","-",+C100+1)</f>
        <v>2014</v>
      </c>
      <c r="D101" s="133">
        <v>406159.25</v>
      </c>
      <c r="E101" s="376">
        <v>10036.119047619048</v>
      </c>
      <c r="F101" s="137">
        <v>396123.13095238095</v>
      </c>
      <c r="G101" s="137">
        <v>401141.19047619047</v>
      </c>
      <c r="H101" s="397">
        <v>64560.617511183853</v>
      </c>
      <c r="I101" s="398">
        <v>64560.617511183853</v>
      </c>
      <c r="J101" s="54">
        <v>0</v>
      </c>
      <c r="K101" s="54"/>
      <c r="L101" s="113">
        <f t="shared" si="34"/>
        <v>64560.617511183853</v>
      </c>
      <c r="M101" s="54">
        <f t="shared" si="40"/>
        <v>0</v>
      </c>
      <c r="N101" s="113">
        <f t="shared" si="36"/>
        <v>64560.617511183853</v>
      </c>
      <c r="O101" s="54">
        <f>IF(N101&lt;&gt;0,+I101-N101,0)</f>
        <v>0</v>
      </c>
      <c r="P101" s="54">
        <f>+O101-M101</f>
        <v>0</v>
      </c>
      <c r="Q101" s="1"/>
    </row>
    <row r="102" spans="1:17" ht="12.5">
      <c r="B102" s="7" t="str">
        <f t="shared" si="39"/>
        <v/>
      </c>
      <c r="C102" s="50">
        <f>IF(D93="","-",+C101+1)</f>
        <v>2015</v>
      </c>
      <c r="D102" s="133">
        <v>396123.13095238095</v>
      </c>
      <c r="E102" s="376">
        <v>10036.119047619048</v>
      </c>
      <c r="F102" s="137">
        <v>386087.01190476189</v>
      </c>
      <c r="G102" s="137">
        <v>391105.07142857142</v>
      </c>
      <c r="H102" s="397">
        <v>61571.595440980236</v>
      </c>
      <c r="I102" s="398">
        <v>61571.595440980236</v>
      </c>
      <c r="J102" s="54">
        <f t="shared" si="33"/>
        <v>0</v>
      </c>
      <c r="K102" s="54"/>
      <c r="L102" s="113">
        <f t="shared" si="34"/>
        <v>61571.595440980236</v>
      </c>
      <c r="M102" s="54">
        <f t="shared" si="40"/>
        <v>0</v>
      </c>
      <c r="N102" s="113">
        <f t="shared" si="36"/>
        <v>61571.595440980236</v>
      </c>
      <c r="O102" s="54">
        <f>IF(N102&lt;&gt;0,+I102-N102,0)</f>
        <v>0</v>
      </c>
      <c r="P102" s="54">
        <f>+O102-M102</f>
        <v>0</v>
      </c>
      <c r="Q102" s="1"/>
    </row>
    <row r="103" spans="1:17" ht="12.5">
      <c r="B103" s="7" t="str">
        <f t="shared" si="39"/>
        <v/>
      </c>
      <c r="C103" s="50">
        <f>IF(D93="","-",+C102+1)</f>
        <v>2016</v>
      </c>
      <c r="D103" s="133">
        <v>386087.01190476189</v>
      </c>
      <c r="E103" s="376">
        <v>9802.7209302325573</v>
      </c>
      <c r="F103" s="137">
        <v>376284.29097452934</v>
      </c>
      <c r="G103" s="137">
        <v>381185.65143964562</v>
      </c>
      <c r="H103" s="397">
        <v>58194.234916187183</v>
      </c>
      <c r="I103" s="398">
        <v>58194.234916187183</v>
      </c>
      <c r="J103" s="54">
        <f t="shared" si="33"/>
        <v>0</v>
      </c>
      <c r="K103" s="54"/>
      <c r="L103" s="113">
        <f t="shared" si="34"/>
        <v>58194.234916187183</v>
      </c>
      <c r="M103" s="54">
        <f t="shared" si="40"/>
        <v>0</v>
      </c>
      <c r="N103" s="113">
        <f t="shared" si="36"/>
        <v>58194.234916187183</v>
      </c>
      <c r="O103" s="54">
        <f>IF(N103&lt;&gt;0,+I103-N103,0)</f>
        <v>0</v>
      </c>
      <c r="P103" s="54">
        <f>+O103-M103</f>
        <v>0</v>
      </c>
      <c r="Q103" s="1"/>
    </row>
    <row r="104" spans="1:17" ht="12.5">
      <c r="B104" s="7" t="str">
        <f t="shared" si="39"/>
        <v/>
      </c>
      <c r="C104" s="50">
        <f>IF(D93="","-",+C103+1)</f>
        <v>2017</v>
      </c>
      <c r="D104" s="133">
        <v>376284.29097452934</v>
      </c>
      <c r="E104" s="376">
        <v>10036.119047619048</v>
      </c>
      <c r="F104" s="137">
        <v>366248.17192691029</v>
      </c>
      <c r="G104" s="137">
        <v>371266.23145071982</v>
      </c>
      <c r="H104" s="397">
        <v>55134.369370776643</v>
      </c>
      <c r="I104" s="398">
        <v>55134.369370776643</v>
      </c>
      <c r="J104" s="54">
        <f t="shared" si="33"/>
        <v>0</v>
      </c>
      <c r="K104" s="54"/>
      <c r="L104" s="113">
        <f t="shared" si="34"/>
        <v>55134.369370776643</v>
      </c>
      <c r="M104" s="54">
        <f t="shared" si="40"/>
        <v>0</v>
      </c>
      <c r="N104" s="113">
        <f t="shared" si="36"/>
        <v>55134.369370776643</v>
      </c>
      <c r="O104" s="54">
        <f>IF(N104&lt;&gt;0,+I104-N104,0)</f>
        <v>0</v>
      </c>
      <c r="P104" s="54">
        <f>+O104-M104</f>
        <v>0</v>
      </c>
      <c r="Q104" s="1"/>
    </row>
    <row r="105" spans="1:17" ht="12.5">
      <c r="B105" s="7" t="str">
        <f t="shared" si="39"/>
        <v/>
      </c>
      <c r="C105" s="50">
        <f>IF(D93="","-",+C104+1)</f>
        <v>2018</v>
      </c>
      <c r="D105" s="133">
        <v>366248.17192691029</v>
      </c>
      <c r="E105" s="376">
        <v>10036.119047619048</v>
      </c>
      <c r="F105" s="137">
        <v>356212.05287929124</v>
      </c>
      <c r="G105" s="137">
        <v>361230.11240310076</v>
      </c>
      <c r="H105" s="397">
        <v>48183.675453584445</v>
      </c>
      <c r="I105" s="398">
        <v>48183.675453584445</v>
      </c>
      <c r="J105" s="54">
        <f t="shared" si="33"/>
        <v>0</v>
      </c>
      <c r="K105" s="54"/>
      <c r="L105" s="113">
        <f t="shared" ref="L105" si="41">H105</f>
        <v>48183.675453584445</v>
      </c>
      <c r="M105" s="54">
        <f t="shared" si="40"/>
        <v>0</v>
      </c>
      <c r="N105" s="113">
        <f t="shared" ref="N105" si="42">I105</f>
        <v>48183.675453584445</v>
      </c>
      <c r="O105" s="54">
        <f t="shared" si="37"/>
        <v>0</v>
      </c>
      <c r="P105" s="54">
        <f t="shared" si="38"/>
        <v>0</v>
      </c>
      <c r="Q105" s="1"/>
    </row>
    <row r="106" spans="1:17" ht="12.5">
      <c r="B106" s="7" t="str">
        <f t="shared" si="39"/>
        <v/>
      </c>
      <c r="C106" s="50">
        <f>IF(D93="","-",+C105+1)</f>
        <v>2019</v>
      </c>
      <c r="D106" s="133">
        <v>356212.05287929124</v>
      </c>
      <c r="E106" s="376">
        <v>9802.7209302325573</v>
      </c>
      <c r="F106" s="137">
        <v>346409.33194905869</v>
      </c>
      <c r="G106" s="137">
        <v>351310.69241417496</v>
      </c>
      <c r="H106" s="397">
        <v>47407.209452315969</v>
      </c>
      <c r="I106" s="398">
        <v>47407.209452315969</v>
      </c>
      <c r="J106" s="54">
        <f t="shared" si="33"/>
        <v>0</v>
      </c>
      <c r="K106" s="54"/>
      <c r="L106" s="113">
        <f t="shared" ref="L106" si="43">H106</f>
        <v>47407.209452315969</v>
      </c>
      <c r="M106" s="54">
        <f t="shared" ref="M106" si="44">IF(L106&lt;&gt;0,+H106-L106,0)</f>
        <v>0</v>
      </c>
      <c r="N106" s="113">
        <f t="shared" ref="N106" si="45">I106</f>
        <v>47407.209452315969</v>
      </c>
      <c r="O106" s="54">
        <f t="shared" si="37"/>
        <v>0</v>
      </c>
      <c r="P106" s="54">
        <f t="shared" si="38"/>
        <v>0</v>
      </c>
      <c r="Q106" s="1"/>
    </row>
    <row r="107" spans="1:17" ht="12.5">
      <c r="B107" s="7" t="str">
        <f t="shared" si="39"/>
        <v/>
      </c>
      <c r="C107" s="50">
        <f>IF(D93="","-",+C106+1)</f>
        <v>2020</v>
      </c>
      <c r="D107" s="133">
        <v>346409.33194905869</v>
      </c>
      <c r="E107" s="376">
        <v>10036.119047619048</v>
      </c>
      <c r="F107" s="137">
        <v>336373.21290143963</v>
      </c>
      <c r="G107" s="137">
        <v>341391.27242524916</v>
      </c>
      <c r="H107" s="397">
        <v>46760.886604706458</v>
      </c>
      <c r="I107" s="398">
        <v>46760.886604706458</v>
      </c>
      <c r="J107" s="54">
        <f t="shared" si="33"/>
        <v>0</v>
      </c>
      <c r="K107" s="54"/>
      <c r="L107" s="113">
        <f t="shared" ref="L107" si="46">H107</f>
        <v>46760.886604706458</v>
      </c>
      <c r="M107" s="54">
        <f t="shared" ref="M107" si="47">IF(L107&lt;&gt;0,+H107-L107,0)</f>
        <v>0</v>
      </c>
      <c r="N107" s="113">
        <f t="shared" ref="N107" si="48">I107</f>
        <v>46760.886604706458</v>
      </c>
      <c r="O107" s="54">
        <f t="shared" si="37"/>
        <v>0</v>
      </c>
      <c r="P107" s="54">
        <f t="shared" si="38"/>
        <v>0</v>
      </c>
      <c r="Q107" s="1"/>
    </row>
    <row r="108" spans="1:17" ht="12.5">
      <c r="B108" s="7" t="str">
        <f t="shared" si="39"/>
        <v/>
      </c>
      <c r="C108" s="50">
        <f>IF(D93="","-",+C107+1)</f>
        <v>2021</v>
      </c>
      <c r="D108" s="133">
        <v>336373.21290143963</v>
      </c>
      <c r="E108" s="376">
        <v>10280.90243902439</v>
      </c>
      <c r="F108" s="137">
        <v>326092.31046241522</v>
      </c>
      <c r="G108" s="137">
        <v>331232.76168192743</v>
      </c>
      <c r="H108" s="397">
        <v>47880.533130342868</v>
      </c>
      <c r="I108" s="398">
        <v>47880.533130342868</v>
      </c>
      <c r="J108" s="54">
        <f t="shared" si="33"/>
        <v>0</v>
      </c>
      <c r="K108" s="54"/>
      <c r="L108" s="113">
        <f t="shared" ref="L108" si="49">H108</f>
        <v>47880.533130342868</v>
      </c>
      <c r="M108" s="54">
        <f t="shared" ref="M108" si="50">IF(L108&lt;&gt;0,+H108-L108,0)</f>
        <v>0</v>
      </c>
      <c r="N108" s="113">
        <f t="shared" ref="N108" si="51">I108</f>
        <v>47880.533130342868</v>
      </c>
      <c r="O108" s="54">
        <f t="shared" si="37"/>
        <v>0</v>
      </c>
      <c r="P108" s="54">
        <f t="shared" si="38"/>
        <v>0</v>
      </c>
      <c r="Q108" s="1"/>
    </row>
    <row r="109" spans="1:17" ht="12.5">
      <c r="B109" s="7" t="str">
        <f t="shared" si="39"/>
        <v/>
      </c>
      <c r="C109" s="50">
        <f>IF(D93="","-",+C108+1)</f>
        <v>2022</v>
      </c>
      <c r="D109" s="133">
        <v>326092.31046241522</v>
      </c>
      <c r="E109" s="376">
        <v>10036.119047619048</v>
      </c>
      <c r="F109" s="137">
        <v>316056.19141479617</v>
      </c>
      <c r="G109" s="137">
        <v>321074.25093860569</v>
      </c>
      <c r="H109" s="397">
        <v>47748.808019325494</v>
      </c>
      <c r="I109" s="398">
        <v>47748.808019325494</v>
      </c>
      <c r="J109" s="54">
        <f t="shared" si="33"/>
        <v>0</v>
      </c>
      <c r="K109" s="54"/>
      <c r="L109" s="113">
        <f t="shared" ref="L109" si="52">H109</f>
        <v>47748.808019325494</v>
      </c>
      <c r="M109" s="54">
        <f t="shared" ref="M109" si="53">IF(L109&lt;&gt;0,+H109-L109,0)</f>
        <v>0</v>
      </c>
      <c r="N109" s="113">
        <f t="shared" ref="N109" si="54">I109</f>
        <v>47748.808019325494</v>
      </c>
      <c r="O109" s="54">
        <f t="shared" ref="O109" si="55">IF(N109&lt;&gt;0,+I109-N109,0)</f>
        <v>0</v>
      </c>
      <c r="P109" s="54">
        <f t="shared" ref="P109" si="56">+O109-M109</f>
        <v>0</v>
      </c>
      <c r="Q109" s="1"/>
    </row>
    <row r="110" spans="1:17" ht="12.5">
      <c r="B110" s="7" t="str">
        <f t="shared" si="39"/>
        <v/>
      </c>
      <c r="C110" s="50">
        <f>IF(D93="","-",+C109+1)</f>
        <v>2023</v>
      </c>
      <c r="D110" s="133">
        <v>316056.19141479617</v>
      </c>
      <c r="E110" s="376">
        <v>9579.931818181818</v>
      </c>
      <c r="F110" s="137">
        <v>306476.25959661434</v>
      </c>
      <c r="G110" s="137">
        <v>311266.22550570522</v>
      </c>
      <c r="H110" s="397">
        <v>47979.307225550794</v>
      </c>
      <c r="I110" s="398">
        <v>47979.307225550794</v>
      </c>
      <c r="J110" s="54">
        <f t="shared" si="33"/>
        <v>0</v>
      </c>
      <c r="K110" s="54"/>
      <c r="L110" s="113">
        <f t="shared" ref="L110" si="57">H110</f>
        <v>47979.307225550794</v>
      </c>
      <c r="M110" s="54">
        <f t="shared" ref="M110" si="58">IF(L110&lt;&gt;0,+H110-L110,0)</f>
        <v>0</v>
      </c>
      <c r="N110" s="113">
        <f t="shared" ref="N110" si="59">I110</f>
        <v>47979.307225550794</v>
      </c>
      <c r="O110" s="54">
        <f t="shared" ref="O110" si="60">IF(N110&lt;&gt;0,+I110-N110,0)</f>
        <v>0</v>
      </c>
      <c r="P110" s="54">
        <f t="shared" ref="P110" si="61">+O110-M110</f>
        <v>0</v>
      </c>
      <c r="Q110" s="1"/>
    </row>
    <row r="111" spans="1:17" ht="12.5">
      <c r="B111" s="7" t="str">
        <f t="shared" si="39"/>
        <v/>
      </c>
      <c r="C111" s="50">
        <f>IF(D93="","-",+C110+1)</f>
        <v>2024</v>
      </c>
      <c r="D111" s="12">
        <f>IF(F110+SUM(E$99:E110)=D$92,F110,D$92-SUM(E$99:E110))</f>
        <v>306476.25959661434</v>
      </c>
      <c r="E111" s="378">
        <f>IF(+J96&lt;F110,J96,D111)</f>
        <v>9579.931818181818</v>
      </c>
      <c r="F111" s="55">
        <f t="shared" ref="F111:F131" si="62">+D111-E111</f>
        <v>296896.32777843252</v>
      </c>
      <c r="G111" s="55">
        <f t="shared" ref="G111:G130" si="63">+(F111+D111)/2</f>
        <v>301686.29368752346</v>
      </c>
      <c r="H111" s="380">
        <f t="shared" ref="H111:H130" si="64">+J$94*G111+E111</f>
        <v>47147.821769688868</v>
      </c>
      <c r="I111" s="399">
        <f t="shared" ref="I111:I130" si="65">+J$95*G111+E111</f>
        <v>47147.821769688868</v>
      </c>
      <c r="J111" s="54">
        <f t="shared" si="33"/>
        <v>0</v>
      </c>
      <c r="K111" s="54"/>
      <c r="L111" s="129"/>
      <c r="M111" s="54">
        <f t="shared" si="35"/>
        <v>0</v>
      </c>
      <c r="N111" s="129"/>
      <c r="O111" s="54">
        <f t="shared" si="37"/>
        <v>0</v>
      </c>
      <c r="P111" s="54">
        <f t="shared" si="38"/>
        <v>0</v>
      </c>
      <c r="Q111" s="1"/>
    </row>
    <row r="112" spans="1:17" ht="12.5">
      <c r="B112" s="7" t="str">
        <f t="shared" si="39"/>
        <v/>
      </c>
      <c r="C112" s="50">
        <f>IF(D93="","-",+C111+1)</f>
        <v>2025</v>
      </c>
      <c r="D112" s="12">
        <f>IF(F111+SUM(E$99:E111)=D$92,F111,D$92-SUM(E$99:E111))</f>
        <v>296896.32777843252</v>
      </c>
      <c r="E112" s="378">
        <f>IF(+J96&lt;F111,J96,D112)</f>
        <v>9579.931818181818</v>
      </c>
      <c r="F112" s="55">
        <f t="shared" si="62"/>
        <v>287316.39596025069</v>
      </c>
      <c r="G112" s="55">
        <f t="shared" si="63"/>
        <v>292106.36186934158</v>
      </c>
      <c r="H112" s="380">
        <f t="shared" si="64"/>
        <v>45954.867923859973</v>
      </c>
      <c r="I112" s="399">
        <f t="shared" si="65"/>
        <v>45954.867923859973</v>
      </c>
      <c r="J112" s="54">
        <f t="shared" si="33"/>
        <v>0</v>
      </c>
      <c r="K112" s="54"/>
      <c r="L112" s="129"/>
      <c r="M112" s="54">
        <f t="shared" si="35"/>
        <v>0</v>
      </c>
      <c r="N112" s="129"/>
      <c r="O112" s="54">
        <f t="shared" si="37"/>
        <v>0</v>
      </c>
      <c r="P112" s="54">
        <f t="shared" si="38"/>
        <v>0</v>
      </c>
      <c r="Q112" s="1"/>
    </row>
    <row r="113" spans="2:17" ht="12.5">
      <c r="B113" s="7" t="str">
        <f t="shared" si="39"/>
        <v/>
      </c>
      <c r="C113" s="50">
        <f>IF(D93="","-",+C112+1)</f>
        <v>2026</v>
      </c>
      <c r="D113" s="12">
        <f>IF(F112+SUM(E$99:E112)=D$92,F112,D$92-SUM(E$99:E112))</f>
        <v>287316.39596025069</v>
      </c>
      <c r="E113" s="378">
        <f>IF(+J96&lt;F112,J96,D113)</f>
        <v>9579.931818181818</v>
      </c>
      <c r="F113" s="55">
        <f t="shared" si="62"/>
        <v>277736.46414206887</v>
      </c>
      <c r="G113" s="55">
        <f t="shared" si="63"/>
        <v>282526.43005115981</v>
      </c>
      <c r="H113" s="380">
        <f t="shared" si="64"/>
        <v>44761.914078031085</v>
      </c>
      <c r="I113" s="399">
        <f t="shared" si="65"/>
        <v>44761.914078031085</v>
      </c>
      <c r="J113" s="54">
        <f t="shared" si="33"/>
        <v>0</v>
      </c>
      <c r="K113" s="54"/>
      <c r="L113" s="129"/>
      <c r="M113" s="54">
        <f t="shared" si="35"/>
        <v>0</v>
      </c>
      <c r="N113" s="129"/>
      <c r="O113" s="54">
        <f t="shared" si="37"/>
        <v>0</v>
      </c>
      <c r="P113" s="54">
        <f t="shared" si="38"/>
        <v>0</v>
      </c>
      <c r="Q113" s="1"/>
    </row>
    <row r="114" spans="2:17" ht="12.5">
      <c r="B114" s="7" t="str">
        <f t="shared" si="39"/>
        <v/>
      </c>
      <c r="C114" s="50">
        <f>IF(D93="","-",+C113+1)</f>
        <v>2027</v>
      </c>
      <c r="D114" s="12">
        <f>IF(F113+SUM(E$99:E113)=D$92,F113,D$92-SUM(E$99:E113))</f>
        <v>277736.46414206887</v>
      </c>
      <c r="E114" s="378">
        <f>IF(+J96&lt;F113,J96,D114)</f>
        <v>9579.931818181818</v>
      </c>
      <c r="F114" s="55">
        <f t="shared" si="62"/>
        <v>268156.53232388705</v>
      </c>
      <c r="G114" s="55">
        <f t="shared" si="63"/>
        <v>272946.49823297793</v>
      </c>
      <c r="H114" s="380">
        <f t="shared" si="64"/>
        <v>43568.960232202189</v>
      </c>
      <c r="I114" s="399">
        <f t="shared" si="65"/>
        <v>43568.960232202189</v>
      </c>
      <c r="J114" s="54">
        <f t="shared" si="33"/>
        <v>0</v>
      </c>
      <c r="K114" s="54"/>
      <c r="L114" s="129"/>
      <c r="M114" s="54">
        <f t="shared" si="35"/>
        <v>0</v>
      </c>
      <c r="N114" s="129"/>
      <c r="O114" s="54">
        <f t="shared" si="37"/>
        <v>0</v>
      </c>
      <c r="P114" s="54">
        <f t="shared" si="38"/>
        <v>0</v>
      </c>
      <c r="Q114" s="1"/>
    </row>
    <row r="115" spans="2:17" ht="12.5">
      <c r="B115" s="7" t="str">
        <f t="shared" si="39"/>
        <v/>
      </c>
      <c r="C115" s="50">
        <f>IF(D93="","-",+C114+1)</f>
        <v>2028</v>
      </c>
      <c r="D115" s="12">
        <f>IF(F114+SUM(E$99:E114)=D$92,F114,D$92-SUM(E$99:E114))</f>
        <v>268156.53232388705</v>
      </c>
      <c r="E115" s="378">
        <f>IF(+J96&lt;F114,J96,D115)</f>
        <v>9579.931818181818</v>
      </c>
      <c r="F115" s="55">
        <f t="shared" si="62"/>
        <v>258576.60050570522</v>
      </c>
      <c r="G115" s="55">
        <f t="shared" si="63"/>
        <v>263366.56641479617</v>
      </c>
      <c r="H115" s="380">
        <f t="shared" si="64"/>
        <v>42376.006386373301</v>
      </c>
      <c r="I115" s="399">
        <f t="shared" si="65"/>
        <v>42376.006386373301</v>
      </c>
      <c r="J115" s="54">
        <f t="shared" si="33"/>
        <v>0</v>
      </c>
      <c r="K115" s="54"/>
      <c r="L115" s="129"/>
      <c r="M115" s="54">
        <f t="shared" si="35"/>
        <v>0</v>
      </c>
      <c r="N115" s="129"/>
      <c r="O115" s="54">
        <f t="shared" si="37"/>
        <v>0</v>
      </c>
      <c r="P115" s="54">
        <f t="shared" si="38"/>
        <v>0</v>
      </c>
      <c r="Q115" s="1"/>
    </row>
    <row r="116" spans="2:17" ht="12.5">
      <c r="B116" s="7" t="str">
        <f t="shared" si="39"/>
        <v/>
      </c>
      <c r="C116" s="50">
        <f>IF(D93="","-",+C115+1)</f>
        <v>2029</v>
      </c>
      <c r="D116" s="12">
        <f>IF(F115+SUM(E$99:E115)=D$92,F115,D$92-SUM(E$99:E115))</f>
        <v>258576.60050570522</v>
      </c>
      <c r="E116" s="378">
        <f>IF(+J96&lt;F115,J96,D116)</f>
        <v>9579.931818181818</v>
      </c>
      <c r="F116" s="55">
        <f t="shared" si="62"/>
        <v>248996.6686875234</v>
      </c>
      <c r="G116" s="55">
        <f t="shared" si="63"/>
        <v>253786.63459661431</v>
      </c>
      <c r="H116" s="380">
        <f t="shared" si="64"/>
        <v>41183.052540544406</v>
      </c>
      <c r="I116" s="399">
        <f t="shared" si="65"/>
        <v>41183.052540544406</v>
      </c>
      <c r="J116" s="54">
        <f t="shared" si="33"/>
        <v>0</v>
      </c>
      <c r="K116" s="54"/>
      <c r="L116" s="129"/>
      <c r="M116" s="54">
        <f t="shared" si="35"/>
        <v>0</v>
      </c>
      <c r="N116" s="129"/>
      <c r="O116" s="54">
        <f t="shared" si="37"/>
        <v>0</v>
      </c>
      <c r="P116" s="54">
        <f t="shared" si="38"/>
        <v>0</v>
      </c>
      <c r="Q116" s="1"/>
    </row>
    <row r="117" spans="2:17" ht="12.5">
      <c r="B117" s="7" t="str">
        <f t="shared" si="39"/>
        <v/>
      </c>
      <c r="C117" s="50">
        <f>IF(D93="","-",+C116+1)</f>
        <v>2030</v>
      </c>
      <c r="D117" s="12">
        <f>IF(F116+SUM(E$99:E116)=D$92,F116,D$92-SUM(E$99:E116))</f>
        <v>248996.6686875234</v>
      </c>
      <c r="E117" s="378">
        <f>IF(+J96&lt;F116,J96,D117)</f>
        <v>9579.931818181818</v>
      </c>
      <c r="F117" s="55">
        <f t="shared" si="62"/>
        <v>239416.73686934158</v>
      </c>
      <c r="G117" s="55">
        <f t="shared" si="63"/>
        <v>244206.70277843249</v>
      </c>
      <c r="H117" s="380">
        <f t="shared" si="64"/>
        <v>39990.098694715518</v>
      </c>
      <c r="I117" s="399">
        <f t="shared" si="65"/>
        <v>39990.098694715518</v>
      </c>
      <c r="J117" s="54">
        <f t="shared" si="33"/>
        <v>0</v>
      </c>
      <c r="K117" s="54"/>
      <c r="L117" s="129"/>
      <c r="M117" s="54">
        <f t="shared" si="35"/>
        <v>0</v>
      </c>
      <c r="N117" s="129"/>
      <c r="O117" s="54">
        <f t="shared" si="37"/>
        <v>0</v>
      </c>
      <c r="P117" s="54">
        <f t="shared" si="38"/>
        <v>0</v>
      </c>
      <c r="Q117" s="1"/>
    </row>
    <row r="118" spans="2:17" ht="12.5">
      <c r="B118" s="7" t="str">
        <f t="shared" si="39"/>
        <v/>
      </c>
      <c r="C118" s="50">
        <f>IF(D93="","-",+C117+1)</f>
        <v>2031</v>
      </c>
      <c r="D118" s="12">
        <f>IF(F117+SUM(E$99:E117)=D$92,F117,D$92-SUM(E$99:E117))</f>
        <v>239416.73686934158</v>
      </c>
      <c r="E118" s="378">
        <f>IF(+J96&lt;F117,J96,D118)</f>
        <v>9579.931818181818</v>
      </c>
      <c r="F118" s="55">
        <f t="shared" si="62"/>
        <v>229836.80505115975</v>
      </c>
      <c r="G118" s="55">
        <f t="shared" si="63"/>
        <v>234626.77096025067</v>
      </c>
      <c r="H118" s="380">
        <f t="shared" si="64"/>
        <v>38797.144848886623</v>
      </c>
      <c r="I118" s="399">
        <f t="shared" si="65"/>
        <v>38797.144848886623</v>
      </c>
      <c r="J118" s="54">
        <f t="shared" si="33"/>
        <v>0</v>
      </c>
      <c r="K118" s="54"/>
      <c r="L118" s="129"/>
      <c r="M118" s="54">
        <f t="shared" si="35"/>
        <v>0</v>
      </c>
      <c r="N118" s="129"/>
      <c r="O118" s="54">
        <f t="shared" si="37"/>
        <v>0</v>
      </c>
      <c r="P118" s="54">
        <f t="shared" si="38"/>
        <v>0</v>
      </c>
      <c r="Q118" s="1"/>
    </row>
    <row r="119" spans="2:17" ht="12.5">
      <c r="B119" s="7" t="str">
        <f t="shared" si="39"/>
        <v/>
      </c>
      <c r="C119" s="50">
        <f>IF(D93="","-",+C118+1)</f>
        <v>2032</v>
      </c>
      <c r="D119" s="12">
        <f>IF(F118+SUM(E$99:E118)=D$92,F118,D$92-SUM(E$99:E118))</f>
        <v>229836.80505115975</v>
      </c>
      <c r="E119" s="378">
        <f>IF(+J96&lt;F118,J96,D119)</f>
        <v>9579.931818181818</v>
      </c>
      <c r="F119" s="55">
        <f t="shared" si="62"/>
        <v>220256.87323297793</v>
      </c>
      <c r="G119" s="55">
        <f t="shared" si="63"/>
        <v>225046.83914206884</v>
      </c>
      <c r="H119" s="380">
        <f t="shared" si="64"/>
        <v>37604.191003057735</v>
      </c>
      <c r="I119" s="399">
        <f t="shared" si="65"/>
        <v>37604.191003057735</v>
      </c>
      <c r="J119" s="54">
        <f t="shared" si="33"/>
        <v>0</v>
      </c>
      <c r="K119" s="54"/>
      <c r="L119" s="129"/>
      <c r="M119" s="54">
        <f t="shared" si="35"/>
        <v>0</v>
      </c>
      <c r="N119" s="129"/>
      <c r="O119" s="54">
        <f t="shared" si="37"/>
        <v>0</v>
      </c>
      <c r="P119" s="54">
        <f t="shared" si="38"/>
        <v>0</v>
      </c>
      <c r="Q119" s="1"/>
    </row>
    <row r="120" spans="2:17" ht="12.5">
      <c r="B120" s="7" t="str">
        <f t="shared" si="39"/>
        <v/>
      </c>
      <c r="C120" s="50">
        <f>IF(D93="","-",+C119+1)</f>
        <v>2033</v>
      </c>
      <c r="D120" s="12">
        <f>IF(F119+SUM(E$99:E119)=D$92,F119,D$92-SUM(E$99:E119))</f>
        <v>220256.87323297793</v>
      </c>
      <c r="E120" s="378">
        <f>IF(+J96&lt;F119,J96,D120)</f>
        <v>9579.931818181818</v>
      </c>
      <c r="F120" s="55">
        <f t="shared" si="62"/>
        <v>210676.94141479611</v>
      </c>
      <c r="G120" s="55">
        <f t="shared" si="63"/>
        <v>215466.90732388702</v>
      </c>
      <c r="H120" s="380">
        <f t="shared" si="64"/>
        <v>36411.237157228839</v>
      </c>
      <c r="I120" s="399">
        <f t="shared" si="65"/>
        <v>36411.237157228839</v>
      </c>
      <c r="J120" s="54">
        <f t="shared" si="33"/>
        <v>0</v>
      </c>
      <c r="K120" s="54"/>
      <c r="L120" s="129"/>
      <c r="M120" s="54">
        <f t="shared" si="35"/>
        <v>0</v>
      </c>
      <c r="N120" s="129"/>
      <c r="O120" s="54">
        <f t="shared" si="37"/>
        <v>0</v>
      </c>
      <c r="P120" s="54">
        <f t="shared" si="38"/>
        <v>0</v>
      </c>
      <c r="Q120" s="1"/>
    </row>
    <row r="121" spans="2:17" ht="12.5">
      <c r="B121" s="7" t="str">
        <f t="shared" si="39"/>
        <v/>
      </c>
      <c r="C121" s="50">
        <f>IF(D93="","-",+C120+1)</f>
        <v>2034</v>
      </c>
      <c r="D121" s="12">
        <f>IF(F120+SUM(E$99:E120)=D$92,F120,D$92-SUM(E$99:E120))</f>
        <v>210676.94141479611</v>
      </c>
      <c r="E121" s="378">
        <f>IF(+J96&lt;F120,J96,D121)</f>
        <v>9579.931818181818</v>
      </c>
      <c r="F121" s="55">
        <f t="shared" si="62"/>
        <v>201097.00959661428</v>
      </c>
      <c r="G121" s="55">
        <f t="shared" si="63"/>
        <v>205886.9755057052</v>
      </c>
      <c r="H121" s="380">
        <f t="shared" si="64"/>
        <v>35218.283311399951</v>
      </c>
      <c r="I121" s="399">
        <f t="shared" si="65"/>
        <v>35218.283311399951</v>
      </c>
      <c r="J121" s="54">
        <f t="shared" si="33"/>
        <v>0</v>
      </c>
      <c r="K121" s="54"/>
      <c r="L121" s="129"/>
      <c r="M121" s="54">
        <f t="shared" si="35"/>
        <v>0</v>
      </c>
      <c r="N121" s="129"/>
      <c r="O121" s="54">
        <f t="shared" si="37"/>
        <v>0</v>
      </c>
      <c r="P121" s="54">
        <f t="shared" si="38"/>
        <v>0</v>
      </c>
      <c r="Q121" s="1"/>
    </row>
    <row r="122" spans="2:17" ht="12.5">
      <c r="B122" s="7" t="str">
        <f t="shared" si="39"/>
        <v/>
      </c>
      <c r="C122" s="50">
        <f>IF(D93="","-",+C121+1)</f>
        <v>2035</v>
      </c>
      <c r="D122" s="12">
        <f>IF(F121+SUM(E$99:E121)=D$92,F121,D$92-SUM(E$99:E121))</f>
        <v>201097.00959661428</v>
      </c>
      <c r="E122" s="378">
        <f>IF(+J96&lt;F121,J96,D122)</f>
        <v>9579.931818181818</v>
      </c>
      <c r="F122" s="55">
        <f t="shared" si="62"/>
        <v>191517.07777843246</v>
      </c>
      <c r="G122" s="55">
        <f t="shared" si="63"/>
        <v>196307.04368752337</v>
      </c>
      <c r="H122" s="380">
        <f t="shared" si="64"/>
        <v>34025.329465571056</v>
      </c>
      <c r="I122" s="399">
        <f t="shared" si="65"/>
        <v>34025.329465571056</v>
      </c>
      <c r="J122" s="54">
        <f t="shared" si="33"/>
        <v>0</v>
      </c>
      <c r="K122" s="54"/>
      <c r="L122" s="129"/>
      <c r="M122" s="54">
        <f t="shared" si="35"/>
        <v>0</v>
      </c>
      <c r="N122" s="129"/>
      <c r="O122" s="54">
        <f t="shared" si="37"/>
        <v>0</v>
      </c>
      <c r="P122" s="54">
        <f t="shared" si="38"/>
        <v>0</v>
      </c>
      <c r="Q122" s="1"/>
    </row>
    <row r="123" spans="2:17" ht="12.5">
      <c r="B123" s="7" t="str">
        <f t="shared" si="39"/>
        <v/>
      </c>
      <c r="C123" s="50">
        <f>IF(D93="","-",+C122+1)</f>
        <v>2036</v>
      </c>
      <c r="D123" s="12">
        <f>IF(F122+SUM(E$99:E122)=D$92,F122,D$92-SUM(E$99:E122))</f>
        <v>191517.07777843246</v>
      </c>
      <c r="E123" s="378">
        <f>IF(+J96&lt;F122,J96,D123)</f>
        <v>9579.931818181818</v>
      </c>
      <c r="F123" s="55">
        <f t="shared" si="62"/>
        <v>181937.14596025064</v>
      </c>
      <c r="G123" s="55">
        <f t="shared" si="63"/>
        <v>186727.11186934155</v>
      </c>
      <c r="H123" s="380">
        <f t="shared" si="64"/>
        <v>32832.375619742168</v>
      </c>
      <c r="I123" s="399">
        <f t="shared" si="65"/>
        <v>32832.375619742168</v>
      </c>
      <c r="J123" s="54">
        <f t="shared" si="33"/>
        <v>0</v>
      </c>
      <c r="K123" s="54"/>
      <c r="L123" s="129"/>
      <c r="M123" s="54">
        <f t="shared" si="35"/>
        <v>0</v>
      </c>
      <c r="N123" s="129"/>
      <c r="O123" s="54">
        <f t="shared" si="37"/>
        <v>0</v>
      </c>
      <c r="P123" s="54">
        <f t="shared" si="38"/>
        <v>0</v>
      </c>
      <c r="Q123" s="1"/>
    </row>
    <row r="124" spans="2:17" ht="12.5">
      <c r="B124" s="7" t="str">
        <f t="shared" si="39"/>
        <v/>
      </c>
      <c r="C124" s="50">
        <f>IF(D93="","-",+C123+1)</f>
        <v>2037</v>
      </c>
      <c r="D124" s="12">
        <f>IF(F123+SUM(E$99:E123)=D$92,F123,D$92-SUM(E$99:E123))</f>
        <v>181937.14596025064</v>
      </c>
      <c r="E124" s="378">
        <f>IF(+J96&lt;F123,J96,D124)</f>
        <v>9579.931818181818</v>
      </c>
      <c r="F124" s="55">
        <f t="shared" si="62"/>
        <v>172357.21414206881</v>
      </c>
      <c r="G124" s="55">
        <f t="shared" si="63"/>
        <v>177147.18005115972</v>
      </c>
      <c r="H124" s="380">
        <f t="shared" si="64"/>
        <v>31639.421773913273</v>
      </c>
      <c r="I124" s="399">
        <f t="shared" si="65"/>
        <v>31639.421773913273</v>
      </c>
      <c r="J124" s="54">
        <f t="shared" si="33"/>
        <v>0</v>
      </c>
      <c r="K124" s="54"/>
      <c r="L124" s="129"/>
      <c r="M124" s="54">
        <f t="shared" si="35"/>
        <v>0</v>
      </c>
      <c r="N124" s="129"/>
      <c r="O124" s="54">
        <f t="shared" si="37"/>
        <v>0</v>
      </c>
      <c r="P124" s="54">
        <f t="shared" si="38"/>
        <v>0</v>
      </c>
      <c r="Q124" s="1"/>
    </row>
    <row r="125" spans="2:17" ht="12.5">
      <c r="B125" s="7" t="str">
        <f t="shared" si="39"/>
        <v/>
      </c>
      <c r="C125" s="50">
        <f>IF(D93="","-",+C124+1)</f>
        <v>2038</v>
      </c>
      <c r="D125" s="12">
        <f>IF(F124+SUM(E$99:E124)=D$92,F124,D$92-SUM(E$99:E124))</f>
        <v>172357.21414206881</v>
      </c>
      <c r="E125" s="378">
        <f>IF(+J96&lt;F124,J96,D125)</f>
        <v>9579.931818181818</v>
      </c>
      <c r="F125" s="55">
        <f t="shared" si="62"/>
        <v>162777.28232388699</v>
      </c>
      <c r="G125" s="55">
        <f t="shared" si="63"/>
        <v>167567.2482329779</v>
      </c>
      <c r="H125" s="380">
        <f t="shared" si="64"/>
        <v>30446.467928084385</v>
      </c>
      <c r="I125" s="399">
        <f t="shared" si="65"/>
        <v>30446.467928084385</v>
      </c>
      <c r="J125" s="54">
        <f t="shared" si="33"/>
        <v>0</v>
      </c>
      <c r="K125" s="54"/>
      <c r="L125" s="129"/>
      <c r="M125" s="54">
        <f t="shared" si="35"/>
        <v>0</v>
      </c>
      <c r="N125" s="129"/>
      <c r="O125" s="54">
        <f t="shared" si="37"/>
        <v>0</v>
      </c>
      <c r="P125" s="54">
        <f t="shared" si="38"/>
        <v>0</v>
      </c>
      <c r="Q125" s="1"/>
    </row>
    <row r="126" spans="2:17" ht="12.5">
      <c r="B126" s="7" t="str">
        <f t="shared" si="39"/>
        <v/>
      </c>
      <c r="C126" s="50">
        <f>IF(D93="","-",+C125+1)</f>
        <v>2039</v>
      </c>
      <c r="D126" s="12">
        <f>IF(F125+SUM(E$99:E125)=D$92,F125,D$92-SUM(E$99:E125))</f>
        <v>162777.28232388699</v>
      </c>
      <c r="E126" s="378">
        <f>IF(+J96&lt;F125,J96,D126)</f>
        <v>9579.931818181818</v>
      </c>
      <c r="F126" s="55">
        <f t="shared" si="62"/>
        <v>153197.35050570517</v>
      </c>
      <c r="G126" s="55">
        <f t="shared" si="63"/>
        <v>157987.31641479608</v>
      </c>
      <c r="H126" s="380">
        <f t="shared" si="64"/>
        <v>29253.514082255489</v>
      </c>
      <c r="I126" s="399">
        <f t="shared" si="65"/>
        <v>29253.514082255489</v>
      </c>
      <c r="J126" s="54">
        <f t="shared" si="33"/>
        <v>0</v>
      </c>
      <c r="K126" s="54"/>
      <c r="L126" s="129"/>
      <c r="M126" s="54">
        <f t="shared" si="35"/>
        <v>0</v>
      </c>
      <c r="N126" s="129"/>
      <c r="O126" s="54">
        <f t="shared" si="37"/>
        <v>0</v>
      </c>
      <c r="P126" s="54">
        <f t="shared" si="38"/>
        <v>0</v>
      </c>
      <c r="Q126" s="1"/>
    </row>
    <row r="127" spans="2:17" ht="12.5">
      <c r="B127" s="7" t="str">
        <f t="shared" si="39"/>
        <v/>
      </c>
      <c r="C127" s="50">
        <f>IF(D93="","-",+C126+1)</f>
        <v>2040</v>
      </c>
      <c r="D127" s="12">
        <f>IF(F126+SUM(E$99:E126)=D$92,F126,D$92-SUM(E$99:E126))</f>
        <v>153197.35050570517</v>
      </c>
      <c r="E127" s="378">
        <f>IF(+J96&lt;F126,J96,D127)</f>
        <v>9579.931818181818</v>
      </c>
      <c r="F127" s="55">
        <f t="shared" si="62"/>
        <v>143617.41868752334</v>
      </c>
      <c r="G127" s="55">
        <f t="shared" si="63"/>
        <v>148407.38459661425</v>
      </c>
      <c r="H127" s="380">
        <f t="shared" si="64"/>
        <v>28060.560236426601</v>
      </c>
      <c r="I127" s="399">
        <f t="shared" si="65"/>
        <v>28060.560236426601</v>
      </c>
      <c r="J127" s="54">
        <f t="shared" si="33"/>
        <v>0</v>
      </c>
      <c r="K127" s="54"/>
      <c r="L127" s="129"/>
      <c r="M127" s="54">
        <f t="shared" si="35"/>
        <v>0</v>
      </c>
      <c r="N127" s="129"/>
      <c r="O127" s="54">
        <f t="shared" si="37"/>
        <v>0</v>
      </c>
      <c r="P127" s="54">
        <f t="shared" si="38"/>
        <v>0</v>
      </c>
      <c r="Q127" s="1"/>
    </row>
    <row r="128" spans="2:17" ht="12.5">
      <c r="B128" s="7" t="str">
        <f t="shared" si="39"/>
        <v/>
      </c>
      <c r="C128" s="50">
        <f>IF(D93="","-",+C127+1)</f>
        <v>2041</v>
      </c>
      <c r="D128" s="12">
        <f>IF(F127+SUM(E$99:E127)=D$92,F127,D$92-SUM(E$99:E127))</f>
        <v>143617.41868752334</v>
      </c>
      <c r="E128" s="378">
        <f>IF(+J96&lt;F127,J96,D128)</f>
        <v>9579.931818181818</v>
      </c>
      <c r="F128" s="55">
        <f t="shared" si="62"/>
        <v>134037.48686934152</v>
      </c>
      <c r="G128" s="55">
        <f t="shared" si="63"/>
        <v>138827.45277843243</v>
      </c>
      <c r="H128" s="380">
        <f t="shared" si="64"/>
        <v>26867.606390597706</v>
      </c>
      <c r="I128" s="399">
        <f t="shared" si="65"/>
        <v>26867.606390597706</v>
      </c>
      <c r="J128" s="54">
        <f t="shared" si="33"/>
        <v>0</v>
      </c>
      <c r="K128" s="54"/>
      <c r="L128" s="129"/>
      <c r="M128" s="54">
        <f t="shared" si="35"/>
        <v>0</v>
      </c>
      <c r="N128" s="129"/>
      <c r="O128" s="54">
        <f t="shared" si="37"/>
        <v>0</v>
      </c>
      <c r="P128" s="54">
        <f t="shared" si="38"/>
        <v>0</v>
      </c>
      <c r="Q128" s="1"/>
    </row>
    <row r="129" spans="2:17" ht="12.5">
      <c r="B129" s="7" t="str">
        <f t="shared" si="39"/>
        <v/>
      </c>
      <c r="C129" s="50">
        <f>IF(D93="","-",+C128+1)</f>
        <v>2042</v>
      </c>
      <c r="D129" s="12">
        <f>IF(F128+SUM(E$99:E128)=D$92,F128,D$92-SUM(E$99:E128))</f>
        <v>134037.48686934152</v>
      </c>
      <c r="E129" s="378">
        <f>IF(+J96&lt;F128,J96,D129)</f>
        <v>9579.931818181818</v>
      </c>
      <c r="F129" s="55">
        <f t="shared" si="62"/>
        <v>124457.5550511597</v>
      </c>
      <c r="G129" s="55">
        <f t="shared" si="63"/>
        <v>129247.52096025061</v>
      </c>
      <c r="H129" s="380">
        <f t="shared" si="64"/>
        <v>25674.652544768815</v>
      </c>
      <c r="I129" s="399">
        <f t="shared" si="65"/>
        <v>25674.652544768815</v>
      </c>
      <c r="J129" s="54">
        <f t="shared" si="33"/>
        <v>0</v>
      </c>
      <c r="K129" s="54"/>
      <c r="L129" s="129"/>
      <c r="M129" s="54">
        <f t="shared" si="35"/>
        <v>0</v>
      </c>
      <c r="N129" s="129"/>
      <c r="O129" s="54">
        <f t="shared" si="37"/>
        <v>0</v>
      </c>
      <c r="P129" s="54">
        <f t="shared" si="38"/>
        <v>0</v>
      </c>
      <c r="Q129" s="1"/>
    </row>
    <row r="130" spans="2:17" ht="12.5">
      <c r="B130" s="7" t="str">
        <f t="shared" si="39"/>
        <v/>
      </c>
      <c r="C130" s="50">
        <f>IF(D93="","-",+C129+1)</f>
        <v>2043</v>
      </c>
      <c r="D130" s="12">
        <f>IF(F129+SUM(E$99:E129)=D$92,F129,D$92-SUM(E$99:E129))</f>
        <v>124457.5550511597</v>
      </c>
      <c r="E130" s="378">
        <f>IF(+J96&lt;F129,J96,D130)</f>
        <v>9579.931818181818</v>
      </c>
      <c r="F130" s="55">
        <f t="shared" si="62"/>
        <v>114877.62323297787</v>
      </c>
      <c r="G130" s="55">
        <f t="shared" si="63"/>
        <v>119667.58914206878</v>
      </c>
      <c r="H130" s="380">
        <f t="shared" si="64"/>
        <v>24481.698698939923</v>
      </c>
      <c r="I130" s="399">
        <f t="shared" si="65"/>
        <v>24481.698698939923</v>
      </c>
      <c r="J130" s="54">
        <f t="shared" si="33"/>
        <v>0</v>
      </c>
      <c r="K130" s="54"/>
      <c r="L130" s="129"/>
      <c r="M130" s="54">
        <f t="shared" si="35"/>
        <v>0</v>
      </c>
      <c r="N130" s="129"/>
      <c r="O130" s="54">
        <f t="shared" si="37"/>
        <v>0</v>
      </c>
      <c r="P130" s="54">
        <f t="shared" si="38"/>
        <v>0</v>
      </c>
      <c r="Q130" s="1"/>
    </row>
    <row r="131" spans="2:17" ht="12.5">
      <c r="B131" s="7" t="str">
        <f t="shared" si="39"/>
        <v/>
      </c>
      <c r="C131" s="50">
        <f>IF(D93="","-",+C130+1)</f>
        <v>2044</v>
      </c>
      <c r="D131" s="12">
        <f>IF(F130+SUM(E$99:E130)=D$92,F130,D$92-SUM(E$99:E130))</f>
        <v>114877.62323297787</v>
      </c>
      <c r="E131" s="378">
        <f>IF(+J96&lt;F130,J96,D131)</f>
        <v>9579.931818181818</v>
      </c>
      <c r="F131" s="55">
        <f t="shared" si="62"/>
        <v>105297.69141479605</v>
      </c>
      <c r="G131" s="55">
        <f t="shared" ref="G131:G154" si="66">+(F131+D131)/2</f>
        <v>110087.65732388696</v>
      </c>
      <c r="H131" s="380">
        <f t="shared" ref="H131:H154" si="67">+J$94*G131+E131</f>
        <v>23288.744853111031</v>
      </c>
      <c r="I131" s="399">
        <f t="shared" ref="I131:I154" si="68">+J$95*G131+E131</f>
        <v>23288.744853111031</v>
      </c>
      <c r="J131" s="54">
        <f t="shared" ref="J131:J154" si="69">+I131-H131</f>
        <v>0</v>
      </c>
      <c r="K131" s="54"/>
      <c r="L131" s="129"/>
      <c r="M131" s="54">
        <f t="shared" ref="M131:M154" si="70">IF(L131&lt;&gt;0,+H131-L131,0)</f>
        <v>0</v>
      </c>
      <c r="N131" s="129"/>
      <c r="O131" s="54">
        <f t="shared" ref="O131:O154" si="71">IF(N131&lt;&gt;0,+I131-N131,0)</f>
        <v>0</v>
      </c>
      <c r="P131" s="54">
        <f t="shared" ref="P131:P154" si="72">+O131-M131</f>
        <v>0</v>
      </c>
      <c r="Q131" s="1"/>
    </row>
    <row r="132" spans="2:17" ht="12.5">
      <c r="B132" s="7" t="str">
        <f t="shared" ref="B132:B154" si="73">IF(D132=F131,"","IU")</f>
        <v/>
      </c>
      <c r="C132" s="50">
        <f>IF(D93="","-",+C131+1)</f>
        <v>2045</v>
      </c>
      <c r="D132" s="12">
        <f>IF(F131+SUM(E$99:E131)=D$92,F131,D$92-SUM(E$99:E131))</f>
        <v>105297.69141479605</v>
      </c>
      <c r="E132" s="378">
        <f>IF(+J96&lt;F131,J96,D132)</f>
        <v>9579.931818181818</v>
      </c>
      <c r="F132" s="55">
        <f t="shared" ref="F132:F154" si="74">+D132-E132</f>
        <v>95717.759596614225</v>
      </c>
      <c r="G132" s="55">
        <f t="shared" si="66"/>
        <v>100507.72550570514</v>
      </c>
      <c r="H132" s="380">
        <f t="shared" si="67"/>
        <v>22095.79100728214</v>
      </c>
      <c r="I132" s="399">
        <f t="shared" si="68"/>
        <v>22095.79100728214</v>
      </c>
      <c r="J132" s="54">
        <f t="shared" si="69"/>
        <v>0</v>
      </c>
      <c r="K132" s="54"/>
      <c r="L132" s="129"/>
      <c r="M132" s="54">
        <f t="shared" si="70"/>
        <v>0</v>
      </c>
      <c r="N132" s="129"/>
      <c r="O132" s="54">
        <f t="shared" si="71"/>
        <v>0</v>
      </c>
      <c r="P132" s="54">
        <f t="shared" si="72"/>
        <v>0</v>
      </c>
      <c r="Q132" s="1"/>
    </row>
    <row r="133" spans="2:17" ht="12.5">
      <c r="B133" s="7" t="str">
        <f t="shared" si="73"/>
        <v/>
      </c>
      <c r="C133" s="50">
        <f>IF(D93="","-",+C132+1)</f>
        <v>2046</v>
      </c>
      <c r="D133" s="12">
        <f>IF(F132+SUM(E$99:E132)=D$92,F132,D$92-SUM(E$99:E132))</f>
        <v>95717.759596614225</v>
      </c>
      <c r="E133" s="378">
        <f>IF(+J96&lt;F132,J96,D133)</f>
        <v>9579.931818181818</v>
      </c>
      <c r="F133" s="55">
        <f t="shared" si="74"/>
        <v>86137.827778432402</v>
      </c>
      <c r="G133" s="55">
        <f t="shared" si="66"/>
        <v>90927.793687523314</v>
      </c>
      <c r="H133" s="380">
        <f t="shared" si="67"/>
        <v>20902.837161453248</v>
      </c>
      <c r="I133" s="399">
        <f t="shared" si="68"/>
        <v>20902.837161453248</v>
      </c>
      <c r="J133" s="54">
        <f t="shared" si="69"/>
        <v>0</v>
      </c>
      <c r="K133" s="54"/>
      <c r="L133" s="129"/>
      <c r="M133" s="54">
        <f t="shared" si="70"/>
        <v>0</v>
      </c>
      <c r="N133" s="129"/>
      <c r="O133" s="54">
        <f t="shared" si="71"/>
        <v>0</v>
      </c>
      <c r="P133" s="54">
        <f t="shared" si="72"/>
        <v>0</v>
      </c>
      <c r="Q133" s="1"/>
    </row>
    <row r="134" spans="2:17" ht="12.5">
      <c r="B134" s="7" t="str">
        <f t="shared" si="73"/>
        <v/>
      </c>
      <c r="C134" s="50">
        <f>IF(D93="","-",+C133+1)</f>
        <v>2047</v>
      </c>
      <c r="D134" s="12">
        <f>IF(F133+SUM(E$99:E133)=D$92,F133,D$92-SUM(E$99:E133))</f>
        <v>86137.827778432402</v>
      </c>
      <c r="E134" s="378">
        <f>IF(+J96&lt;F133,J96,D134)</f>
        <v>9579.931818181818</v>
      </c>
      <c r="F134" s="55">
        <f t="shared" si="74"/>
        <v>76557.895960250578</v>
      </c>
      <c r="G134" s="55">
        <f t="shared" si="66"/>
        <v>81347.86186934149</v>
      </c>
      <c r="H134" s="380">
        <f t="shared" si="67"/>
        <v>19709.883315624356</v>
      </c>
      <c r="I134" s="399">
        <f t="shared" si="68"/>
        <v>19709.883315624356</v>
      </c>
      <c r="J134" s="54">
        <f t="shared" si="69"/>
        <v>0</v>
      </c>
      <c r="K134" s="54"/>
      <c r="L134" s="129"/>
      <c r="M134" s="54">
        <f t="shared" si="70"/>
        <v>0</v>
      </c>
      <c r="N134" s="129"/>
      <c r="O134" s="54">
        <f t="shared" si="71"/>
        <v>0</v>
      </c>
      <c r="P134" s="54">
        <f t="shared" si="72"/>
        <v>0</v>
      </c>
      <c r="Q134" s="1"/>
    </row>
    <row r="135" spans="2:17" ht="12.5">
      <c r="B135" s="7" t="str">
        <f t="shared" si="73"/>
        <v/>
      </c>
      <c r="C135" s="50">
        <f>IF(D93="","-",+C134+1)</f>
        <v>2048</v>
      </c>
      <c r="D135" s="12">
        <f>IF(F134+SUM(E$99:E134)=D$92,F134,D$92-SUM(E$99:E134))</f>
        <v>76557.895960250578</v>
      </c>
      <c r="E135" s="378">
        <f>IF(+J96&lt;F134,J96,D135)</f>
        <v>9579.931818181818</v>
      </c>
      <c r="F135" s="55">
        <f t="shared" si="74"/>
        <v>66977.964142068755</v>
      </c>
      <c r="G135" s="55">
        <f t="shared" si="66"/>
        <v>71767.930051159667</v>
      </c>
      <c r="H135" s="380">
        <f t="shared" si="67"/>
        <v>18516.929469795465</v>
      </c>
      <c r="I135" s="399">
        <f t="shared" si="68"/>
        <v>18516.929469795465</v>
      </c>
      <c r="J135" s="54">
        <f t="shared" si="69"/>
        <v>0</v>
      </c>
      <c r="K135" s="54"/>
      <c r="L135" s="129"/>
      <c r="M135" s="54">
        <f t="shared" si="70"/>
        <v>0</v>
      </c>
      <c r="N135" s="129"/>
      <c r="O135" s="54">
        <f t="shared" si="71"/>
        <v>0</v>
      </c>
      <c r="P135" s="54">
        <f t="shared" si="72"/>
        <v>0</v>
      </c>
      <c r="Q135" s="1"/>
    </row>
    <row r="136" spans="2:17" ht="12.5">
      <c r="B136" s="7" t="str">
        <f t="shared" si="73"/>
        <v/>
      </c>
      <c r="C136" s="50">
        <f>IF(D93="","-",+C135+1)</f>
        <v>2049</v>
      </c>
      <c r="D136" s="12">
        <f>IF(F135+SUM(E$99:E135)=D$92,F135,D$92-SUM(E$99:E135))</f>
        <v>66977.964142068755</v>
      </c>
      <c r="E136" s="378">
        <f>IF(+J96&lt;F135,J96,D136)</f>
        <v>9579.931818181818</v>
      </c>
      <c r="F136" s="55">
        <f t="shared" si="74"/>
        <v>57398.032323886939</v>
      </c>
      <c r="G136" s="55">
        <f t="shared" si="66"/>
        <v>62187.998232977843</v>
      </c>
      <c r="H136" s="380">
        <f t="shared" si="67"/>
        <v>17323.975623966573</v>
      </c>
      <c r="I136" s="399">
        <f t="shared" si="68"/>
        <v>17323.975623966573</v>
      </c>
      <c r="J136" s="54">
        <f t="shared" si="69"/>
        <v>0</v>
      </c>
      <c r="K136" s="54"/>
      <c r="L136" s="129"/>
      <c r="M136" s="54">
        <f t="shared" si="70"/>
        <v>0</v>
      </c>
      <c r="N136" s="129"/>
      <c r="O136" s="54">
        <f t="shared" si="71"/>
        <v>0</v>
      </c>
      <c r="P136" s="54">
        <f t="shared" si="72"/>
        <v>0</v>
      </c>
      <c r="Q136" s="1"/>
    </row>
    <row r="137" spans="2:17" ht="12.5">
      <c r="B137" s="7" t="str">
        <f t="shared" si="73"/>
        <v/>
      </c>
      <c r="C137" s="50">
        <f>IF(D93="","-",+C136+1)</f>
        <v>2050</v>
      </c>
      <c r="D137" s="12">
        <f>IF(F136+SUM(E$99:E136)=D$92,F136,D$92-SUM(E$99:E136))</f>
        <v>57398.032323886939</v>
      </c>
      <c r="E137" s="378">
        <f>IF(+J96&lt;F136,J96,D137)</f>
        <v>9579.931818181818</v>
      </c>
      <c r="F137" s="55">
        <f t="shared" si="74"/>
        <v>47818.100505705122</v>
      </c>
      <c r="G137" s="55">
        <f t="shared" si="66"/>
        <v>52608.066414796034</v>
      </c>
      <c r="H137" s="380">
        <f t="shared" si="67"/>
        <v>16131.021778137683</v>
      </c>
      <c r="I137" s="399">
        <f t="shared" si="68"/>
        <v>16131.021778137683</v>
      </c>
      <c r="J137" s="54">
        <f t="shared" si="69"/>
        <v>0</v>
      </c>
      <c r="K137" s="54"/>
      <c r="L137" s="129"/>
      <c r="M137" s="54">
        <f t="shared" si="70"/>
        <v>0</v>
      </c>
      <c r="N137" s="129"/>
      <c r="O137" s="54">
        <f t="shared" si="71"/>
        <v>0</v>
      </c>
      <c r="P137" s="54">
        <f t="shared" si="72"/>
        <v>0</v>
      </c>
      <c r="Q137" s="1"/>
    </row>
    <row r="138" spans="2:17" ht="12.5">
      <c r="B138" s="7" t="str">
        <f t="shared" si="73"/>
        <v/>
      </c>
      <c r="C138" s="50">
        <f>IF(D93="","-",+C137+1)</f>
        <v>2051</v>
      </c>
      <c r="D138" s="12">
        <f>IF(F137+SUM(E$99:E137)=D$92,F137,D$92-SUM(E$99:E137))</f>
        <v>47818.100505705122</v>
      </c>
      <c r="E138" s="378">
        <f>IF(+J96&lt;F137,J96,D138)</f>
        <v>9579.931818181818</v>
      </c>
      <c r="F138" s="55">
        <f t="shared" si="74"/>
        <v>38238.168687523306</v>
      </c>
      <c r="G138" s="55">
        <f t="shared" si="66"/>
        <v>43028.134596614211</v>
      </c>
      <c r="H138" s="380">
        <f t="shared" si="67"/>
        <v>14938.067932308792</v>
      </c>
      <c r="I138" s="399">
        <f t="shared" si="68"/>
        <v>14938.067932308792</v>
      </c>
      <c r="J138" s="54">
        <f t="shared" si="69"/>
        <v>0</v>
      </c>
      <c r="K138" s="54"/>
      <c r="L138" s="129"/>
      <c r="M138" s="54">
        <f t="shared" si="70"/>
        <v>0</v>
      </c>
      <c r="N138" s="129"/>
      <c r="O138" s="54">
        <f t="shared" si="71"/>
        <v>0</v>
      </c>
      <c r="P138" s="54">
        <f t="shared" si="72"/>
        <v>0</v>
      </c>
      <c r="Q138" s="1"/>
    </row>
    <row r="139" spans="2:17" ht="12.5">
      <c r="B139" s="7" t="str">
        <f t="shared" si="73"/>
        <v/>
      </c>
      <c r="C139" s="50">
        <f>IF(D93="","-",+C138+1)</f>
        <v>2052</v>
      </c>
      <c r="D139" s="12">
        <f>IF(F138+SUM(E$99:E138)=D$92,F138,D$92-SUM(E$99:E138))</f>
        <v>38238.168687523306</v>
      </c>
      <c r="E139" s="378">
        <f>IF(+J96&lt;F138,J96,D139)</f>
        <v>9579.931818181818</v>
      </c>
      <c r="F139" s="55">
        <f t="shared" si="74"/>
        <v>28658.23686934149</v>
      </c>
      <c r="G139" s="55">
        <f t="shared" si="66"/>
        <v>33448.202778432402</v>
      </c>
      <c r="H139" s="380">
        <f t="shared" si="67"/>
        <v>13745.114086479902</v>
      </c>
      <c r="I139" s="399">
        <f t="shared" si="68"/>
        <v>13745.114086479902</v>
      </c>
      <c r="J139" s="54">
        <f t="shared" si="69"/>
        <v>0</v>
      </c>
      <c r="K139" s="54"/>
      <c r="L139" s="129"/>
      <c r="M139" s="54">
        <f t="shared" si="70"/>
        <v>0</v>
      </c>
      <c r="N139" s="129"/>
      <c r="O139" s="54">
        <f t="shared" si="71"/>
        <v>0</v>
      </c>
      <c r="P139" s="54">
        <f t="shared" si="72"/>
        <v>0</v>
      </c>
      <c r="Q139" s="1"/>
    </row>
    <row r="140" spans="2:17" ht="12.5">
      <c r="B140" s="7" t="str">
        <f t="shared" si="73"/>
        <v/>
      </c>
      <c r="C140" s="50">
        <f>IF(D93="","-",+C139+1)</f>
        <v>2053</v>
      </c>
      <c r="D140" s="12">
        <f>IF(F139+SUM(E$99:E139)=D$92,F139,D$92-SUM(E$99:E139))</f>
        <v>28658.23686934149</v>
      </c>
      <c r="E140" s="378">
        <f>IF(+J96&lt;F139,J96,D140)</f>
        <v>9579.931818181818</v>
      </c>
      <c r="F140" s="55">
        <f t="shared" si="74"/>
        <v>19078.305051159674</v>
      </c>
      <c r="G140" s="55">
        <f t="shared" si="66"/>
        <v>23868.270960250582</v>
      </c>
      <c r="H140" s="380">
        <f t="shared" si="67"/>
        <v>12552.16024065101</v>
      </c>
      <c r="I140" s="399">
        <f t="shared" si="68"/>
        <v>12552.16024065101</v>
      </c>
      <c r="J140" s="54">
        <f t="shared" si="69"/>
        <v>0</v>
      </c>
      <c r="K140" s="54"/>
      <c r="L140" s="129"/>
      <c r="M140" s="54">
        <f t="shared" si="70"/>
        <v>0</v>
      </c>
      <c r="N140" s="129"/>
      <c r="O140" s="54">
        <f t="shared" si="71"/>
        <v>0</v>
      </c>
      <c r="P140" s="54">
        <f t="shared" si="72"/>
        <v>0</v>
      </c>
      <c r="Q140" s="1"/>
    </row>
    <row r="141" spans="2:17" ht="12.5">
      <c r="B141" s="7" t="str">
        <f t="shared" si="73"/>
        <v/>
      </c>
      <c r="C141" s="50">
        <f>IF(D93="","-",+C140+1)</f>
        <v>2054</v>
      </c>
      <c r="D141" s="12">
        <f>IF(F140+SUM(E$99:E140)=D$92,F140,D$92-SUM(E$99:E140))</f>
        <v>19078.305051159674</v>
      </c>
      <c r="E141" s="378">
        <f>IF(+J96&lt;F140,J96,D141)</f>
        <v>9579.931818181818</v>
      </c>
      <c r="F141" s="55">
        <f t="shared" si="74"/>
        <v>9498.3732329778559</v>
      </c>
      <c r="G141" s="55">
        <f t="shared" si="66"/>
        <v>14288.339142068766</v>
      </c>
      <c r="H141" s="380">
        <f t="shared" si="67"/>
        <v>11359.20639482212</v>
      </c>
      <c r="I141" s="399">
        <f t="shared" si="68"/>
        <v>11359.20639482212</v>
      </c>
      <c r="J141" s="54">
        <f t="shared" si="69"/>
        <v>0</v>
      </c>
      <c r="K141" s="54"/>
      <c r="L141" s="129"/>
      <c r="M141" s="54">
        <f t="shared" si="70"/>
        <v>0</v>
      </c>
      <c r="N141" s="129"/>
      <c r="O141" s="54">
        <f t="shared" si="71"/>
        <v>0</v>
      </c>
      <c r="P141" s="54">
        <f t="shared" si="72"/>
        <v>0</v>
      </c>
      <c r="Q141" s="1"/>
    </row>
    <row r="142" spans="2:17" ht="12.5">
      <c r="B142" s="7" t="str">
        <f t="shared" si="73"/>
        <v/>
      </c>
      <c r="C142" s="50">
        <f>IF(D93="","-",+C141+1)</f>
        <v>2055</v>
      </c>
      <c r="D142" s="12">
        <f>IF(F141+SUM(E$99:E141)=D$92,F141,D$92-SUM(E$99:E141))</f>
        <v>9498.3732329778559</v>
      </c>
      <c r="E142" s="378">
        <f>IF(+J96&lt;F141,J96,D142)</f>
        <v>9498.3732329778559</v>
      </c>
      <c r="F142" s="55">
        <f t="shared" si="74"/>
        <v>0</v>
      </c>
      <c r="G142" s="55">
        <f t="shared" si="66"/>
        <v>4749.1866164889279</v>
      </c>
      <c r="H142" s="380">
        <f t="shared" si="67"/>
        <v>10089.772059840783</v>
      </c>
      <c r="I142" s="399">
        <f t="shared" si="68"/>
        <v>10089.772059840783</v>
      </c>
      <c r="J142" s="54">
        <f t="shared" si="69"/>
        <v>0</v>
      </c>
      <c r="K142" s="54"/>
      <c r="L142" s="129"/>
      <c r="M142" s="54">
        <f t="shared" si="70"/>
        <v>0</v>
      </c>
      <c r="N142" s="129"/>
      <c r="O142" s="54">
        <f t="shared" si="71"/>
        <v>0</v>
      </c>
      <c r="P142" s="54">
        <f t="shared" si="72"/>
        <v>0</v>
      </c>
      <c r="Q142" s="1"/>
    </row>
    <row r="143" spans="2:17" ht="12.5">
      <c r="B143" s="7" t="str">
        <f t="shared" si="73"/>
        <v/>
      </c>
      <c r="C143" s="50">
        <f>IF(D93="","-",+C142+1)</f>
        <v>2056</v>
      </c>
      <c r="D143" s="12">
        <f>IF(F142+SUM(E$99:E142)=D$92,F142,D$92-SUM(E$99:E142))</f>
        <v>0</v>
      </c>
      <c r="E143" s="378">
        <f>IF(+J96&lt;F142,J96,D143)</f>
        <v>0</v>
      </c>
      <c r="F143" s="55">
        <f t="shared" si="74"/>
        <v>0</v>
      </c>
      <c r="G143" s="55">
        <f t="shared" si="66"/>
        <v>0</v>
      </c>
      <c r="H143" s="380">
        <f t="shared" si="67"/>
        <v>0</v>
      </c>
      <c r="I143" s="399">
        <f t="shared" si="68"/>
        <v>0</v>
      </c>
      <c r="J143" s="54">
        <f t="shared" si="69"/>
        <v>0</v>
      </c>
      <c r="K143" s="54"/>
      <c r="L143" s="129"/>
      <c r="M143" s="54">
        <f t="shared" si="70"/>
        <v>0</v>
      </c>
      <c r="N143" s="129"/>
      <c r="O143" s="54">
        <f t="shared" si="71"/>
        <v>0</v>
      </c>
      <c r="P143" s="54">
        <f t="shared" si="72"/>
        <v>0</v>
      </c>
      <c r="Q143" s="1"/>
    </row>
    <row r="144" spans="2:17" ht="12.5">
      <c r="B144" s="7" t="str">
        <f t="shared" si="73"/>
        <v/>
      </c>
      <c r="C144" s="50">
        <f>IF(D93="","-",+C143+1)</f>
        <v>2057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74"/>
        <v>0</v>
      </c>
      <c r="G144" s="55">
        <f t="shared" si="66"/>
        <v>0</v>
      </c>
      <c r="H144" s="380">
        <f t="shared" si="67"/>
        <v>0</v>
      </c>
      <c r="I144" s="399">
        <f t="shared" si="68"/>
        <v>0</v>
      </c>
      <c r="J144" s="54">
        <f t="shared" si="69"/>
        <v>0</v>
      </c>
      <c r="K144" s="54"/>
      <c r="L144" s="129"/>
      <c r="M144" s="54">
        <f t="shared" si="70"/>
        <v>0</v>
      </c>
      <c r="N144" s="129"/>
      <c r="O144" s="54">
        <f t="shared" si="71"/>
        <v>0</v>
      </c>
      <c r="P144" s="54">
        <f t="shared" si="72"/>
        <v>0</v>
      </c>
      <c r="Q144" s="1"/>
    </row>
    <row r="145" spans="2:17" ht="12.5">
      <c r="B145" s="7" t="str">
        <f t="shared" si="73"/>
        <v/>
      </c>
      <c r="C145" s="50">
        <f>IF(D93="","-",+C144+1)</f>
        <v>2058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74"/>
        <v>0</v>
      </c>
      <c r="G145" s="55">
        <f t="shared" si="66"/>
        <v>0</v>
      </c>
      <c r="H145" s="380">
        <f t="shared" si="67"/>
        <v>0</v>
      </c>
      <c r="I145" s="399">
        <f t="shared" si="68"/>
        <v>0</v>
      </c>
      <c r="J145" s="54">
        <f t="shared" si="69"/>
        <v>0</v>
      </c>
      <c r="K145" s="54"/>
      <c r="L145" s="129"/>
      <c r="M145" s="54">
        <f t="shared" si="70"/>
        <v>0</v>
      </c>
      <c r="N145" s="129"/>
      <c r="O145" s="54">
        <f t="shared" si="71"/>
        <v>0</v>
      </c>
      <c r="P145" s="54">
        <f t="shared" si="72"/>
        <v>0</v>
      </c>
      <c r="Q145" s="1"/>
    </row>
    <row r="146" spans="2:17" ht="12.5">
      <c r="B146" s="7" t="str">
        <f t="shared" si="73"/>
        <v/>
      </c>
      <c r="C146" s="50">
        <f>IF(D93="","-",+C145+1)</f>
        <v>2059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74"/>
        <v>0</v>
      </c>
      <c r="G146" s="55">
        <f t="shared" si="66"/>
        <v>0</v>
      </c>
      <c r="H146" s="380">
        <f t="shared" si="67"/>
        <v>0</v>
      </c>
      <c r="I146" s="399">
        <f t="shared" si="68"/>
        <v>0</v>
      </c>
      <c r="J146" s="54">
        <f t="shared" si="69"/>
        <v>0</v>
      </c>
      <c r="K146" s="54"/>
      <c r="L146" s="129"/>
      <c r="M146" s="54">
        <f t="shared" si="70"/>
        <v>0</v>
      </c>
      <c r="N146" s="129"/>
      <c r="O146" s="54">
        <f t="shared" si="71"/>
        <v>0</v>
      </c>
      <c r="P146" s="54">
        <f t="shared" si="72"/>
        <v>0</v>
      </c>
      <c r="Q146" s="1"/>
    </row>
    <row r="147" spans="2:17" ht="12.5">
      <c r="B147" s="7" t="str">
        <f t="shared" si="73"/>
        <v/>
      </c>
      <c r="C147" s="50">
        <f>IF(D93="","-",+C146+1)</f>
        <v>2060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74"/>
        <v>0</v>
      </c>
      <c r="G147" s="55">
        <f t="shared" si="66"/>
        <v>0</v>
      </c>
      <c r="H147" s="380">
        <f t="shared" si="67"/>
        <v>0</v>
      </c>
      <c r="I147" s="399">
        <f t="shared" si="68"/>
        <v>0</v>
      </c>
      <c r="J147" s="54">
        <f t="shared" si="69"/>
        <v>0</v>
      </c>
      <c r="K147" s="54"/>
      <c r="L147" s="129"/>
      <c r="M147" s="54">
        <f t="shared" si="70"/>
        <v>0</v>
      </c>
      <c r="N147" s="129"/>
      <c r="O147" s="54">
        <f t="shared" si="71"/>
        <v>0</v>
      </c>
      <c r="P147" s="54">
        <f t="shared" si="72"/>
        <v>0</v>
      </c>
      <c r="Q147" s="1"/>
    </row>
    <row r="148" spans="2:17" ht="12.5">
      <c r="B148" s="7" t="str">
        <f t="shared" si="73"/>
        <v/>
      </c>
      <c r="C148" s="50">
        <f>IF(D93="","-",+C147+1)</f>
        <v>2061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74"/>
        <v>0</v>
      </c>
      <c r="G148" s="55">
        <f t="shared" si="66"/>
        <v>0</v>
      </c>
      <c r="H148" s="380">
        <f t="shared" si="67"/>
        <v>0</v>
      </c>
      <c r="I148" s="399">
        <f t="shared" si="68"/>
        <v>0</v>
      </c>
      <c r="J148" s="54">
        <f t="shared" si="69"/>
        <v>0</v>
      </c>
      <c r="K148" s="54"/>
      <c r="L148" s="129"/>
      <c r="M148" s="54">
        <f t="shared" si="70"/>
        <v>0</v>
      </c>
      <c r="N148" s="129"/>
      <c r="O148" s="54">
        <f t="shared" si="71"/>
        <v>0</v>
      </c>
      <c r="P148" s="54">
        <f t="shared" si="72"/>
        <v>0</v>
      </c>
      <c r="Q148" s="1"/>
    </row>
    <row r="149" spans="2:17" ht="12.5">
      <c r="B149" s="7" t="str">
        <f t="shared" si="73"/>
        <v/>
      </c>
      <c r="C149" s="50">
        <f>IF(D93="","-",+C148+1)</f>
        <v>2062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74"/>
        <v>0</v>
      </c>
      <c r="G149" s="55">
        <f t="shared" si="66"/>
        <v>0</v>
      </c>
      <c r="H149" s="380">
        <f t="shared" si="67"/>
        <v>0</v>
      </c>
      <c r="I149" s="399">
        <f t="shared" si="68"/>
        <v>0</v>
      </c>
      <c r="J149" s="54">
        <f t="shared" si="69"/>
        <v>0</v>
      </c>
      <c r="K149" s="54"/>
      <c r="L149" s="129"/>
      <c r="M149" s="54">
        <f t="shared" si="70"/>
        <v>0</v>
      </c>
      <c r="N149" s="129"/>
      <c r="O149" s="54">
        <f t="shared" si="71"/>
        <v>0</v>
      </c>
      <c r="P149" s="54">
        <f t="shared" si="72"/>
        <v>0</v>
      </c>
      <c r="Q149" s="1"/>
    </row>
    <row r="150" spans="2:17" ht="12.5">
      <c r="B150" s="7" t="str">
        <f t="shared" si="73"/>
        <v/>
      </c>
      <c r="C150" s="50">
        <f>IF(D93="","-",+C149+1)</f>
        <v>2063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74"/>
        <v>0</v>
      </c>
      <c r="G150" s="55">
        <f t="shared" si="66"/>
        <v>0</v>
      </c>
      <c r="H150" s="380">
        <f t="shared" si="67"/>
        <v>0</v>
      </c>
      <c r="I150" s="399">
        <f t="shared" si="68"/>
        <v>0</v>
      </c>
      <c r="J150" s="54">
        <f t="shared" si="69"/>
        <v>0</v>
      </c>
      <c r="K150" s="54"/>
      <c r="L150" s="129"/>
      <c r="M150" s="54">
        <f t="shared" si="70"/>
        <v>0</v>
      </c>
      <c r="N150" s="129"/>
      <c r="O150" s="54">
        <f t="shared" si="71"/>
        <v>0</v>
      </c>
      <c r="P150" s="54">
        <f t="shared" si="72"/>
        <v>0</v>
      </c>
      <c r="Q150" s="1"/>
    </row>
    <row r="151" spans="2:17" ht="12.5">
      <c r="B151" s="7" t="str">
        <f t="shared" si="73"/>
        <v/>
      </c>
      <c r="C151" s="50">
        <f>IF(D93="","-",+C150+1)</f>
        <v>2064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74"/>
        <v>0</v>
      </c>
      <c r="G151" s="55">
        <f t="shared" si="66"/>
        <v>0</v>
      </c>
      <c r="H151" s="380">
        <f t="shared" si="67"/>
        <v>0</v>
      </c>
      <c r="I151" s="399">
        <f t="shared" si="68"/>
        <v>0</v>
      </c>
      <c r="J151" s="54">
        <f t="shared" si="69"/>
        <v>0</v>
      </c>
      <c r="K151" s="54"/>
      <c r="L151" s="129"/>
      <c r="M151" s="54">
        <f t="shared" si="70"/>
        <v>0</v>
      </c>
      <c r="N151" s="129"/>
      <c r="O151" s="54">
        <f t="shared" si="71"/>
        <v>0</v>
      </c>
      <c r="P151" s="54">
        <f t="shared" si="72"/>
        <v>0</v>
      </c>
      <c r="Q151" s="1"/>
    </row>
    <row r="152" spans="2:17" ht="12.5">
      <c r="B152" s="7" t="str">
        <f t="shared" si="73"/>
        <v/>
      </c>
      <c r="C152" s="50">
        <f>IF(D93="","-",+C151+1)</f>
        <v>2065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74"/>
        <v>0</v>
      </c>
      <c r="G152" s="55">
        <f t="shared" si="66"/>
        <v>0</v>
      </c>
      <c r="H152" s="380">
        <f t="shared" si="67"/>
        <v>0</v>
      </c>
      <c r="I152" s="399">
        <f t="shared" si="68"/>
        <v>0</v>
      </c>
      <c r="J152" s="54">
        <f t="shared" si="69"/>
        <v>0</v>
      </c>
      <c r="K152" s="54"/>
      <c r="L152" s="129"/>
      <c r="M152" s="54">
        <f t="shared" si="70"/>
        <v>0</v>
      </c>
      <c r="N152" s="129"/>
      <c r="O152" s="54">
        <f t="shared" si="71"/>
        <v>0</v>
      </c>
      <c r="P152" s="54">
        <f t="shared" si="72"/>
        <v>0</v>
      </c>
      <c r="Q152" s="1"/>
    </row>
    <row r="153" spans="2:17" ht="12.5">
      <c r="B153" s="7" t="str">
        <f t="shared" si="73"/>
        <v/>
      </c>
      <c r="C153" s="50">
        <f>IF(D93="","-",+C152+1)</f>
        <v>2066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74"/>
        <v>0</v>
      </c>
      <c r="G153" s="55">
        <f t="shared" si="66"/>
        <v>0</v>
      </c>
      <c r="H153" s="380">
        <f t="shared" si="67"/>
        <v>0</v>
      </c>
      <c r="I153" s="399">
        <f t="shared" si="68"/>
        <v>0</v>
      </c>
      <c r="J153" s="54">
        <f t="shared" si="69"/>
        <v>0</v>
      </c>
      <c r="K153" s="54"/>
      <c r="L153" s="129"/>
      <c r="M153" s="54">
        <f t="shared" si="70"/>
        <v>0</v>
      </c>
      <c r="N153" s="129"/>
      <c r="O153" s="54">
        <f t="shared" si="71"/>
        <v>0</v>
      </c>
      <c r="P153" s="54">
        <f t="shared" si="72"/>
        <v>0</v>
      </c>
      <c r="Q153" s="1"/>
    </row>
    <row r="154" spans="2:17" ht="13" thickBot="1">
      <c r="B154" s="7" t="str">
        <f t="shared" si="73"/>
        <v/>
      </c>
      <c r="C154" s="59">
        <f>IF(D93="","-",+C153+1)</f>
        <v>2067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74"/>
        <v>0</v>
      </c>
      <c r="G154" s="60">
        <f t="shared" si="66"/>
        <v>0</v>
      </c>
      <c r="H154" s="382">
        <f t="shared" si="67"/>
        <v>0</v>
      </c>
      <c r="I154" s="400">
        <f t="shared" si="68"/>
        <v>0</v>
      </c>
      <c r="J154" s="64">
        <f t="shared" si="69"/>
        <v>0</v>
      </c>
      <c r="K154" s="54"/>
      <c r="L154" s="130"/>
      <c r="M154" s="64">
        <f t="shared" si="70"/>
        <v>0</v>
      </c>
      <c r="N154" s="130"/>
      <c r="O154" s="64">
        <f t="shared" si="71"/>
        <v>0</v>
      </c>
      <c r="P154" s="64">
        <f t="shared" si="72"/>
        <v>0</v>
      </c>
      <c r="Q154" s="1"/>
    </row>
    <row r="155" spans="2:17" ht="12.5">
      <c r="C155" s="12" t="s">
        <v>78</v>
      </c>
      <c r="D155" s="293"/>
      <c r="E155" s="293">
        <f>SUM(E99:E154)</f>
        <v>421517</v>
      </c>
      <c r="F155" s="293"/>
      <c r="G155" s="293"/>
      <c r="H155" s="293">
        <f>SUM(H99:H154)</f>
        <v>1545782.9308545408</v>
      </c>
      <c r="I155" s="293">
        <f>SUM(I99:I154)</f>
        <v>1545782.9308545408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 ht="12.5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 ht="12.5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03" priority="1" stopIfTrue="1" operator="equal">
      <formula>$I$10</formula>
    </cfRule>
  </conditionalFormatting>
  <conditionalFormatting sqref="C99:C154">
    <cfRule type="cellIs" dxfId="10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79"/>
  <dimension ref="A1:Q162"/>
  <sheetViews>
    <sheetView topLeftCell="A82" zoomScaleNormal="100" zoomScaleSheetLayoutView="75" workbookViewId="0">
      <selection activeCell="D29" sqref="D29:H29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28 of 77</v>
      </c>
      <c r="Q1" s="13"/>
    </row>
    <row r="2" spans="1:17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568353.29756523797</v>
      </c>
      <c r="P5" s="1"/>
    </row>
    <row r="6" spans="1:17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568353.29756523797</v>
      </c>
      <c r="O6" s="1"/>
      <c r="P6" s="1"/>
    </row>
    <row r="7" spans="1:17" ht="13.5" thickBot="1">
      <c r="C7" s="25" t="s">
        <v>48</v>
      </c>
      <c r="D7" s="127" t="s">
        <v>281</v>
      </c>
      <c r="E7" s="1"/>
      <c r="F7" s="1"/>
      <c r="G7" s="29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104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424" t="s">
        <v>280</v>
      </c>
      <c r="E9" s="31" t="s">
        <v>496</v>
      </c>
      <c r="F9" s="462" t="s">
        <v>506</v>
      </c>
      <c r="G9" s="31"/>
      <c r="H9" s="31"/>
      <c r="I9" s="32"/>
      <c r="J9" s="33"/>
      <c r="P9" s="1"/>
    </row>
    <row r="10" spans="1:17" ht="13">
      <c r="C10" s="34" t="s">
        <v>51</v>
      </c>
      <c r="D10" s="363">
        <v>5268479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7" ht="12.5">
      <c r="C11" s="34" t="s">
        <v>54</v>
      </c>
      <c r="D11" s="37">
        <v>2012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3">
        <v>6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119738.15909090909</v>
      </c>
      <c r="J14" s="293"/>
      <c r="K14" s="293"/>
      <c r="L14" s="293"/>
      <c r="M14" s="293"/>
      <c r="N14" s="293"/>
      <c r="O14" s="1"/>
      <c r="P14" s="1"/>
    </row>
    <row r="15" spans="1:17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2012</v>
      </c>
      <c r="D17" s="133">
        <v>5819300</v>
      </c>
      <c r="E17" s="374">
        <v>69277.380952380947</v>
      </c>
      <c r="F17" s="133">
        <v>5750022.6190476194</v>
      </c>
      <c r="G17" s="374">
        <v>924421.55024775688</v>
      </c>
      <c r="H17" s="375">
        <v>924421.55024775688</v>
      </c>
      <c r="I17" s="141">
        <v>0</v>
      </c>
      <c r="J17" s="52"/>
      <c r="K17" s="112">
        <f t="shared" ref="K17:K22" si="0">G17</f>
        <v>924421.55024775688</v>
      </c>
      <c r="L17" s="53">
        <f t="shared" ref="L17:L48" si="1">IF(K17&lt;&gt;0,+G17-K17,0)</f>
        <v>0</v>
      </c>
      <c r="M17" s="112">
        <f t="shared" ref="M17:M22" si="2">H17</f>
        <v>924421.55024775688</v>
      </c>
      <c r="N17" s="53">
        <f t="shared" ref="N17:N48" si="3">IF(M17&lt;&gt;0,+H17-M17,0)</f>
        <v>0</v>
      </c>
      <c r="O17" s="54">
        <f t="shared" ref="O17:O48" si="4">+N17-L17</f>
        <v>0</v>
      </c>
      <c r="P17" s="1"/>
    </row>
    <row r="18" spans="2:16" ht="12.5">
      <c r="B18" s="7" t="str">
        <f t="shared" ref="B18:B49" si="5">IF(D18=F17,"","IU")</f>
        <v>IU</v>
      </c>
      <c r="C18" s="50">
        <f>IF(D11="","-",+C17+1)</f>
        <v>2013</v>
      </c>
      <c r="D18" s="151">
        <v>5198431.6190476194</v>
      </c>
      <c r="E18" s="420">
        <v>125421.64285714286</v>
      </c>
      <c r="F18" s="151">
        <v>5073009.9761904767</v>
      </c>
      <c r="G18" s="420">
        <v>835577.50676548237</v>
      </c>
      <c r="H18" s="421">
        <v>835577.50676548237</v>
      </c>
      <c r="I18" s="153">
        <v>0</v>
      </c>
      <c r="J18" s="52"/>
      <c r="K18" s="113">
        <f t="shared" si="0"/>
        <v>835577.50676548237</v>
      </c>
      <c r="L18" s="54">
        <f t="shared" ref="L18:L23" si="6">IF(K18&lt;&gt;0,+G18-K18,0)</f>
        <v>0</v>
      </c>
      <c r="M18" s="113">
        <f t="shared" si="2"/>
        <v>835577.50676548237</v>
      </c>
      <c r="N18" s="54">
        <f t="shared" ref="N18:N23" si="7">IF(M18&lt;&gt;0,+H18-M18,0)</f>
        <v>0</v>
      </c>
      <c r="O18" s="54">
        <f t="shared" ref="O18:O23" si="8">+N18-L18</f>
        <v>0</v>
      </c>
      <c r="P18" s="1"/>
    </row>
    <row r="19" spans="2:16" ht="12.5">
      <c r="B19" s="7" t="str">
        <f t="shared" si="5"/>
        <v>IU</v>
      </c>
      <c r="C19" s="50">
        <f>IF(D11="","-",+C18+1)</f>
        <v>2014</v>
      </c>
      <c r="D19" s="151">
        <v>5073787.9761904757</v>
      </c>
      <c r="E19" s="420">
        <v>125440.16666666667</v>
      </c>
      <c r="F19" s="151">
        <v>4948347.8095238088</v>
      </c>
      <c r="G19" s="420">
        <v>793024.28464727127</v>
      </c>
      <c r="H19" s="421">
        <v>793024.28464727127</v>
      </c>
      <c r="I19" s="153">
        <v>0</v>
      </c>
      <c r="J19" s="52"/>
      <c r="K19" s="113">
        <f t="shared" si="0"/>
        <v>793024.28464727127</v>
      </c>
      <c r="L19" s="54">
        <f t="shared" si="6"/>
        <v>0</v>
      </c>
      <c r="M19" s="113">
        <f t="shared" si="2"/>
        <v>793024.28464727127</v>
      </c>
      <c r="N19" s="54">
        <f t="shared" si="7"/>
        <v>0</v>
      </c>
      <c r="O19" s="54">
        <f t="shared" si="8"/>
        <v>0</v>
      </c>
      <c r="P19" s="1"/>
    </row>
    <row r="20" spans="2:16" ht="12.5">
      <c r="B20" s="7" t="str">
        <f t="shared" si="5"/>
        <v/>
      </c>
      <c r="C20" s="50">
        <f>IF(D11="","-",+C19+1)</f>
        <v>2015</v>
      </c>
      <c r="D20" s="151">
        <v>4948347.8095238088</v>
      </c>
      <c r="E20" s="420">
        <v>125440.16666666667</v>
      </c>
      <c r="F20" s="151">
        <v>4822907.6428571418</v>
      </c>
      <c r="G20" s="420">
        <v>760640.25789050967</v>
      </c>
      <c r="H20" s="421">
        <v>760640.25789050967</v>
      </c>
      <c r="I20" s="52">
        <v>0</v>
      </c>
      <c r="J20" s="52"/>
      <c r="K20" s="113">
        <f t="shared" si="0"/>
        <v>760640.25789050967</v>
      </c>
      <c r="L20" s="54">
        <f t="shared" si="6"/>
        <v>0</v>
      </c>
      <c r="M20" s="113">
        <f t="shared" si="2"/>
        <v>760640.25789050967</v>
      </c>
      <c r="N20" s="54">
        <f t="shared" si="7"/>
        <v>0</v>
      </c>
      <c r="O20" s="54">
        <f t="shared" si="8"/>
        <v>0</v>
      </c>
      <c r="P20" s="1"/>
    </row>
    <row r="21" spans="2:16" ht="12.5">
      <c r="B21" s="7" t="str">
        <f t="shared" si="5"/>
        <v>IU</v>
      </c>
      <c r="C21" s="50">
        <f>IF(D12="","-",+C20+1)</f>
        <v>2016</v>
      </c>
      <c r="D21" s="151">
        <v>4822899.6428571427</v>
      </c>
      <c r="E21" s="420">
        <v>125439.97619047618</v>
      </c>
      <c r="F21" s="151">
        <v>4697459.666666667</v>
      </c>
      <c r="G21" s="420">
        <v>736485.41228285304</v>
      </c>
      <c r="H21" s="421">
        <v>736485.41228285304</v>
      </c>
      <c r="I21" s="52">
        <f t="shared" ref="I21:I48" si="9">H21-G21</f>
        <v>0</v>
      </c>
      <c r="J21" s="52"/>
      <c r="K21" s="113">
        <f t="shared" si="0"/>
        <v>736485.41228285304</v>
      </c>
      <c r="L21" s="54">
        <f t="shared" si="6"/>
        <v>0</v>
      </c>
      <c r="M21" s="113">
        <f t="shared" si="2"/>
        <v>736485.41228285304</v>
      </c>
      <c r="N21" s="54">
        <f t="shared" si="7"/>
        <v>0</v>
      </c>
      <c r="O21" s="54">
        <f t="shared" si="8"/>
        <v>0</v>
      </c>
      <c r="P21" s="1"/>
    </row>
    <row r="22" spans="2:16" ht="12.5">
      <c r="B22" s="7" t="str">
        <f t="shared" si="5"/>
        <v/>
      </c>
      <c r="C22" s="50">
        <f>IF(D11="","-",+C21+1)</f>
        <v>2017</v>
      </c>
      <c r="D22" s="151">
        <v>4697459.666666667</v>
      </c>
      <c r="E22" s="420">
        <v>122522.76744186046</v>
      </c>
      <c r="F22" s="151">
        <v>4574936.8992248066</v>
      </c>
      <c r="G22" s="420">
        <v>696913.1190640803</v>
      </c>
      <c r="H22" s="421">
        <v>696913.1190640803</v>
      </c>
      <c r="I22" s="52">
        <f t="shared" si="9"/>
        <v>0</v>
      </c>
      <c r="J22" s="52"/>
      <c r="K22" s="113">
        <f t="shared" si="0"/>
        <v>696913.1190640803</v>
      </c>
      <c r="L22" s="54">
        <f t="shared" si="6"/>
        <v>0</v>
      </c>
      <c r="M22" s="113">
        <f t="shared" si="2"/>
        <v>696913.1190640803</v>
      </c>
      <c r="N22" s="54">
        <f t="shared" si="7"/>
        <v>0</v>
      </c>
      <c r="O22" s="54">
        <f t="shared" si="8"/>
        <v>0</v>
      </c>
      <c r="P22" s="1"/>
    </row>
    <row r="23" spans="2:16" ht="12.5">
      <c r="B23" s="7" t="str">
        <f t="shared" si="5"/>
        <v/>
      </c>
      <c r="C23" s="50">
        <f>IF(D11="","-",+C22+1)</f>
        <v>2018</v>
      </c>
      <c r="D23" s="151">
        <v>4574936.8992248066</v>
      </c>
      <c r="E23" s="420">
        <v>128499.48780487805</v>
      </c>
      <c r="F23" s="151">
        <v>4446437.4114199281</v>
      </c>
      <c r="G23" s="420">
        <v>701781.20735784783</v>
      </c>
      <c r="H23" s="421">
        <v>701781.20735784783</v>
      </c>
      <c r="I23" s="52">
        <f t="shared" si="9"/>
        <v>0</v>
      </c>
      <c r="J23" s="52"/>
      <c r="K23" s="113">
        <f t="shared" ref="K23:K28" si="10">G23</f>
        <v>701781.20735784783</v>
      </c>
      <c r="L23" s="54">
        <f t="shared" si="6"/>
        <v>0</v>
      </c>
      <c r="M23" s="113">
        <f t="shared" ref="M23:M28" si="11">H23</f>
        <v>701781.20735784783</v>
      </c>
      <c r="N23" s="54">
        <f t="shared" si="7"/>
        <v>0</v>
      </c>
      <c r="O23" s="54">
        <f t="shared" si="8"/>
        <v>0</v>
      </c>
      <c r="P23" s="1"/>
    </row>
    <row r="24" spans="2:16" ht="12.5">
      <c r="B24" s="7" t="str">
        <f t="shared" si="5"/>
        <v/>
      </c>
      <c r="C24" s="50">
        <f>IF(D11="","-",+C23+1)</f>
        <v>2019</v>
      </c>
      <c r="D24" s="151">
        <v>4446437.4114199281</v>
      </c>
      <c r="E24" s="420">
        <v>128499.48780487805</v>
      </c>
      <c r="F24" s="151">
        <v>4317937.9236150496</v>
      </c>
      <c r="G24" s="420">
        <v>685449.68074254401</v>
      </c>
      <c r="H24" s="421">
        <v>685449.68074254401</v>
      </c>
      <c r="I24" s="52">
        <f t="shared" si="9"/>
        <v>0</v>
      </c>
      <c r="J24" s="52"/>
      <c r="K24" s="113">
        <f t="shared" si="10"/>
        <v>685449.68074254401</v>
      </c>
      <c r="L24" s="54">
        <f t="shared" ref="L24" si="12">IF(K24&lt;&gt;0,+G24-K24,0)</f>
        <v>0</v>
      </c>
      <c r="M24" s="113">
        <f t="shared" si="11"/>
        <v>685449.68074254401</v>
      </c>
      <c r="N24" s="54">
        <f t="shared" si="3"/>
        <v>0</v>
      </c>
      <c r="O24" s="54">
        <f t="shared" si="4"/>
        <v>0</v>
      </c>
      <c r="P24" s="1"/>
    </row>
    <row r="25" spans="2:16" ht="12.5">
      <c r="B25" s="7" t="str">
        <f t="shared" si="5"/>
        <v/>
      </c>
      <c r="C25" s="50">
        <f>IF(D11="","-",+C24+1)</f>
        <v>2020</v>
      </c>
      <c r="D25" s="151">
        <v>4317937.9236150496</v>
      </c>
      <c r="E25" s="420">
        <v>128499.48780487805</v>
      </c>
      <c r="F25" s="151">
        <v>4189438.4358101715</v>
      </c>
      <c r="G25" s="420">
        <v>563802.60432385455</v>
      </c>
      <c r="H25" s="421">
        <v>563802.60432385455</v>
      </c>
      <c r="I25" s="52">
        <f t="shared" si="9"/>
        <v>0</v>
      </c>
      <c r="J25" s="52"/>
      <c r="K25" s="113">
        <f t="shared" si="10"/>
        <v>563802.60432385455</v>
      </c>
      <c r="L25" s="54">
        <f t="shared" ref="L25" si="13">IF(K25&lt;&gt;0,+G25-K25,0)</f>
        <v>0</v>
      </c>
      <c r="M25" s="113">
        <f t="shared" si="11"/>
        <v>563802.60432385455</v>
      </c>
      <c r="N25" s="54">
        <f t="shared" si="3"/>
        <v>0</v>
      </c>
      <c r="O25" s="54">
        <f t="shared" si="4"/>
        <v>0</v>
      </c>
      <c r="P25" s="1"/>
    </row>
    <row r="26" spans="2:16" ht="12.5">
      <c r="B26" s="7" t="str">
        <f t="shared" si="5"/>
        <v>IU</v>
      </c>
      <c r="C26" s="50">
        <f>IF(D11="","-",+C25+1)</f>
        <v>2021</v>
      </c>
      <c r="D26" s="151">
        <v>4195415.1561731901</v>
      </c>
      <c r="E26" s="420">
        <v>125439.97619047618</v>
      </c>
      <c r="F26" s="151">
        <v>4069975.1799827139</v>
      </c>
      <c r="G26" s="420">
        <v>563524.4472824221</v>
      </c>
      <c r="H26" s="421">
        <v>563524.4472824221</v>
      </c>
      <c r="I26" s="52">
        <f t="shared" si="9"/>
        <v>0</v>
      </c>
      <c r="J26" s="52"/>
      <c r="K26" s="113">
        <f t="shared" si="10"/>
        <v>563524.4472824221</v>
      </c>
      <c r="L26" s="54">
        <f t="shared" ref="L26" si="14">IF(K26&lt;&gt;0,+G26-K26,0)</f>
        <v>0</v>
      </c>
      <c r="M26" s="113">
        <f t="shared" si="11"/>
        <v>563524.4472824221</v>
      </c>
      <c r="N26" s="54">
        <f t="shared" si="3"/>
        <v>0</v>
      </c>
      <c r="O26" s="54">
        <f t="shared" si="4"/>
        <v>0</v>
      </c>
      <c r="P26" s="1"/>
    </row>
    <row r="27" spans="2:16" ht="12.5">
      <c r="B27" s="7" t="str">
        <f t="shared" si="5"/>
        <v>IU</v>
      </c>
      <c r="C27" s="50">
        <f>IF(D11="","-",+C26+1)</f>
        <v>2022</v>
      </c>
      <c r="D27" s="151">
        <v>4063998.4596196958</v>
      </c>
      <c r="E27" s="420">
        <v>125439.97619047618</v>
      </c>
      <c r="F27" s="151">
        <v>3938558.4834292196</v>
      </c>
      <c r="G27" s="420">
        <v>575360.12029871624</v>
      </c>
      <c r="H27" s="421">
        <v>575360.12029871624</v>
      </c>
      <c r="I27" s="52">
        <f t="shared" si="9"/>
        <v>0</v>
      </c>
      <c r="J27" s="52"/>
      <c r="K27" s="113">
        <f t="shared" si="10"/>
        <v>575360.12029871624</v>
      </c>
      <c r="L27" s="54">
        <f t="shared" ref="L27" si="15">IF(K27&lt;&gt;0,+G27-K27,0)</f>
        <v>0</v>
      </c>
      <c r="M27" s="113">
        <f t="shared" si="11"/>
        <v>575360.12029871624</v>
      </c>
      <c r="N27" s="54">
        <f t="shared" si="3"/>
        <v>0</v>
      </c>
      <c r="O27" s="54">
        <f t="shared" si="4"/>
        <v>0</v>
      </c>
      <c r="P27" s="1"/>
    </row>
    <row r="28" spans="2:16" ht="12.5">
      <c r="B28" s="7" t="str">
        <f t="shared" si="5"/>
        <v/>
      </c>
      <c r="C28" s="50">
        <f>IF(D11="","-",+C27+1)</f>
        <v>2023</v>
      </c>
      <c r="D28" s="151">
        <v>3938558.4834292196</v>
      </c>
      <c r="E28" s="420">
        <v>125439.97619047618</v>
      </c>
      <c r="F28" s="151">
        <v>3813118.5072387434</v>
      </c>
      <c r="G28" s="420">
        <v>615062.20403380867</v>
      </c>
      <c r="H28" s="421">
        <v>615062.20403380867</v>
      </c>
      <c r="I28" s="52">
        <f t="shared" si="9"/>
        <v>0</v>
      </c>
      <c r="J28" s="52"/>
      <c r="K28" s="113">
        <f t="shared" si="10"/>
        <v>615062.20403380867</v>
      </c>
      <c r="L28" s="54">
        <f t="shared" ref="L28" si="16">IF(K28&lt;&gt;0,+G28-K28,0)</f>
        <v>0</v>
      </c>
      <c r="M28" s="113">
        <f t="shared" si="11"/>
        <v>615062.20403380867</v>
      </c>
      <c r="N28" s="54">
        <f t="shared" si="3"/>
        <v>0</v>
      </c>
      <c r="O28" s="54">
        <f t="shared" si="4"/>
        <v>0</v>
      </c>
      <c r="P28" s="1"/>
    </row>
    <row r="29" spans="2:16" ht="12.5">
      <c r="B29" s="7" t="str">
        <f t="shared" si="5"/>
        <v/>
      </c>
      <c r="C29" s="50">
        <f>IF(D11="","-",+C28+1)</f>
        <v>2024</v>
      </c>
      <c r="D29" s="151">
        <v>3813118.5072387434</v>
      </c>
      <c r="E29" s="420">
        <v>119738.15909090909</v>
      </c>
      <c r="F29" s="151">
        <v>3693380.3481478342</v>
      </c>
      <c r="G29" s="420">
        <v>568353.29756523797</v>
      </c>
      <c r="H29" s="421">
        <v>568353.29756523797</v>
      </c>
      <c r="I29" s="52">
        <f t="shared" si="9"/>
        <v>0</v>
      </c>
      <c r="J29" s="52"/>
      <c r="K29" s="113">
        <f t="shared" ref="K29" si="17">G29</f>
        <v>568353.29756523797</v>
      </c>
      <c r="L29" s="54">
        <f t="shared" ref="L29" si="18">IF(K29&lt;&gt;0,+G29-K29,0)</f>
        <v>0</v>
      </c>
      <c r="M29" s="113">
        <f t="shared" ref="M29" si="19">H29</f>
        <v>568353.29756523797</v>
      </c>
      <c r="N29" s="54">
        <f t="shared" ref="N29" si="20">IF(M29&lt;&gt;0,+H29-M29,0)</f>
        <v>0</v>
      </c>
      <c r="O29" s="54">
        <f t="shared" ref="O29" si="21">+N29-L29</f>
        <v>0</v>
      </c>
      <c r="P29" s="1"/>
    </row>
    <row r="30" spans="2:16" ht="12.5">
      <c r="B30" s="7" t="str">
        <f t="shared" si="5"/>
        <v/>
      </c>
      <c r="C30" s="50">
        <f>IF(D11="","-",+C29+1)</f>
        <v>2025</v>
      </c>
      <c r="D30" s="55">
        <f>IF(F29+SUM(E$17:E29)=D$10,F29,D$10-SUM(E$17:E29))</f>
        <v>3693380.3481478342</v>
      </c>
      <c r="E30" s="378">
        <f>IF(+I14&lt;F29,I14,D30)</f>
        <v>119738.15909090909</v>
      </c>
      <c r="F30" s="55">
        <f t="shared" ref="F30:F48" si="22">+D30-E30</f>
        <v>3573642.189056925</v>
      </c>
      <c r="G30" s="379">
        <f t="shared" ref="G30:G53" si="23">+I$12*((D30+F30)/2)+E30</f>
        <v>554041.33885956707</v>
      </c>
      <c r="H30" s="364">
        <f t="shared" ref="H30:H53" si="24">+I$13*((D30+F30)/2)+E30</f>
        <v>554041.33885956707</v>
      </c>
      <c r="I30" s="52">
        <f t="shared" si="9"/>
        <v>0</v>
      </c>
      <c r="J30" s="52"/>
      <c r="K30" s="129"/>
      <c r="L30" s="54">
        <f t="shared" si="1"/>
        <v>0</v>
      </c>
      <c r="M30" s="129"/>
      <c r="N30" s="54">
        <f t="shared" si="3"/>
        <v>0</v>
      </c>
      <c r="O30" s="54">
        <f t="shared" si="4"/>
        <v>0</v>
      </c>
      <c r="P30" s="1"/>
    </row>
    <row r="31" spans="2:16" ht="12.5">
      <c r="B31" s="7" t="str">
        <f t="shared" si="5"/>
        <v/>
      </c>
      <c r="C31" s="50">
        <f>IF(D11="","-",+C30+1)</f>
        <v>2026</v>
      </c>
      <c r="D31" s="55">
        <f>IF(F30+SUM(E$17:E30)=D$10,F30,D$10-SUM(E$17:E30))</f>
        <v>3573642.189056925</v>
      </c>
      <c r="E31" s="378">
        <f>IF(+I14&lt;F30,I14,D31)</f>
        <v>119738.15909090909</v>
      </c>
      <c r="F31" s="55">
        <f t="shared" si="22"/>
        <v>3453904.0299660158</v>
      </c>
      <c r="G31" s="379">
        <f t="shared" si="23"/>
        <v>539729.38015389617</v>
      </c>
      <c r="H31" s="364">
        <f t="shared" si="24"/>
        <v>539729.38015389617</v>
      </c>
      <c r="I31" s="52">
        <f t="shared" si="9"/>
        <v>0</v>
      </c>
      <c r="J31" s="52"/>
      <c r="K31" s="129"/>
      <c r="L31" s="54">
        <f t="shared" si="1"/>
        <v>0</v>
      </c>
      <c r="M31" s="129"/>
      <c r="N31" s="54">
        <f t="shared" si="3"/>
        <v>0</v>
      </c>
      <c r="O31" s="54">
        <f t="shared" si="4"/>
        <v>0</v>
      </c>
      <c r="P31" s="1"/>
    </row>
    <row r="32" spans="2:16" ht="12.5">
      <c r="B32" s="7" t="str">
        <f t="shared" si="5"/>
        <v/>
      </c>
      <c r="C32" s="50">
        <f>IF(D11="","-",+C31+1)</f>
        <v>2027</v>
      </c>
      <c r="D32" s="55">
        <f>IF(F31+SUM(E$17:E31)=D$10,F31,D$10-SUM(E$17:E31))</f>
        <v>3453904.0299660158</v>
      </c>
      <c r="E32" s="378">
        <f>IF(+I14&lt;F31,I14,D32)</f>
        <v>119738.15909090909</v>
      </c>
      <c r="F32" s="55">
        <f t="shared" si="22"/>
        <v>3334165.8708751067</v>
      </c>
      <c r="G32" s="379">
        <f t="shared" si="23"/>
        <v>525417.42144822516</v>
      </c>
      <c r="H32" s="364">
        <f t="shared" si="24"/>
        <v>525417.42144822516</v>
      </c>
      <c r="I32" s="52">
        <f t="shared" si="9"/>
        <v>0</v>
      </c>
      <c r="J32" s="52"/>
      <c r="K32" s="129"/>
      <c r="L32" s="54">
        <f t="shared" si="1"/>
        <v>0</v>
      </c>
      <c r="M32" s="129"/>
      <c r="N32" s="54">
        <f t="shared" si="3"/>
        <v>0</v>
      </c>
      <c r="O32" s="54">
        <f t="shared" si="4"/>
        <v>0</v>
      </c>
      <c r="P32" s="1"/>
    </row>
    <row r="33" spans="2:16" ht="12.5">
      <c r="B33" s="7" t="str">
        <f t="shared" si="5"/>
        <v/>
      </c>
      <c r="C33" s="50">
        <f>IF(D11="","-",+C32+1)</f>
        <v>2028</v>
      </c>
      <c r="D33" s="55">
        <f>IF(F32+SUM(E$17:E32)=D$10,F32,D$10-SUM(E$17:E32))</f>
        <v>3334165.8708751067</v>
      </c>
      <c r="E33" s="378">
        <f>IF(+I14&lt;F32,I14,D33)</f>
        <v>119738.15909090909</v>
      </c>
      <c r="F33" s="55">
        <f t="shared" si="22"/>
        <v>3214427.7117841975</v>
      </c>
      <c r="G33" s="379">
        <f t="shared" si="23"/>
        <v>511105.46274255426</v>
      </c>
      <c r="H33" s="364">
        <f t="shared" si="24"/>
        <v>511105.46274255426</v>
      </c>
      <c r="I33" s="52">
        <f t="shared" si="9"/>
        <v>0</v>
      </c>
      <c r="J33" s="52"/>
      <c r="K33" s="129"/>
      <c r="L33" s="54">
        <f t="shared" si="1"/>
        <v>0</v>
      </c>
      <c r="M33" s="129"/>
      <c r="N33" s="54">
        <f t="shared" si="3"/>
        <v>0</v>
      </c>
      <c r="O33" s="54">
        <f t="shared" si="4"/>
        <v>0</v>
      </c>
      <c r="P33" s="1"/>
    </row>
    <row r="34" spans="2:16" ht="12.5">
      <c r="B34" s="7" t="str">
        <f t="shared" si="5"/>
        <v/>
      </c>
      <c r="C34" s="50">
        <f>IF(D11="","-",+C33+1)</f>
        <v>2029</v>
      </c>
      <c r="D34" s="55">
        <f>IF(F33+SUM(E$17:E33)=D$10,F33,D$10-SUM(E$17:E33))</f>
        <v>3214427.7117841975</v>
      </c>
      <c r="E34" s="378">
        <f>IF(+I14&lt;F33,I14,D34)</f>
        <v>119738.15909090909</v>
      </c>
      <c r="F34" s="55">
        <f t="shared" si="22"/>
        <v>3094689.5526932883</v>
      </c>
      <c r="G34" s="379">
        <f t="shared" si="23"/>
        <v>496793.50403688324</v>
      </c>
      <c r="H34" s="364">
        <f t="shared" si="24"/>
        <v>496793.50403688324</v>
      </c>
      <c r="I34" s="52">
        <f t="shared" si="9"/>
        <v>0</v>
      </c>
      <c r="J34" s="52"/>
      <c r="K34" s="129"/>
      <c r="L34" s="54">
        <f t="shared" si="1"/>
        <v>0</v>
      </c>
      <c r="M34" s="129"/>
      <c r="N34" s="54">
        <f t="shared" si="3"/>
        <v>0</v>
      </c>
      <c r="O34" s="54">
        <f t="shared" si="4"/>
        <v>0</v>
      </c>
      <c r="P34" s="1"/>
    </row>
    <row r="35" spans="2:16" ht="12.5">
      <c r="B35" s="7" t="str">
        <f t="shared" si="5"/>
        <v/>
      </c>
      <c r="C35" s="50">
        <f>IF(D11="","-",+C34+1)</f>
        <v>2030</v>
      </c>
      <c r="D35" s="55">
        <f>IF(F34+SUM(E$17:E34)=D$10,F34,D$10-SUM(E$17:E34))</f>
        <v>3094689.5526932883</v>
      </c>
      <c r="E35" s="378">
        <f>IF(+I14&lt;F34,I14,D35)</f>
        <v>119738.15909090909</v>
      </c>
      <c r="F35" s="55">
        <f t="shared" si="22"/>
        <v>2974951.3936023791</v>
      </c>
      <c r="G35" s="379">
        <f t="shared" si="23"/>
        <v>482481.54533121234</v>
      </c>
      <c r="H35" s="364">
        <f t="shared" si="24"/>
        <v>482481.54533121234</v>
      </c>
      <c r="I35" s="52">
        <f t="shared" si="9"/>
        <v>0</v>
      </c>
      <c r="J35" s="52"/>
      <c r="K35" s="129"/>
      <c r="L35" s="54">
        <f t="shared" si="1"/>
        <v>0</v>
      </c>
      <c r="M35" s="129"/>
      <c r="N35" s="54">
        <f t="shared" si="3"/>
        <v>0</v>
      </c>
      <c r="O35" s="54">
        <f t="shared" si="4"/>
        <v>0</v>
      </c>
      <c r="P35" s="1"/>
    </row>
    <row r="36" spans="2:16" ht="12.5">
      <c r="B36" s="7" t="str">
        <f t="shared" si="5"/>
        <v/>
      </c>
      <c r="C36" s="50">
        <f>IF(D11="","-",+C35+1)</f>
        <v>2031</v>
      </c>
      <c r="D36" s="55">
        <f>IF(F35+SUM(E$17:E35)=D$10,F35,D$10-SUM(E$17:E35))</f>
        <v>2974951.3936023791</v>
      </c>
      <c r="E36" s="378">
        <f>IF(+I14&lt;F35,I14,D36)</f>
        <v>119738.15909090909</v>
      </c>
      <c r="F36" s="55">
        <f t="shared" si="22"/>
        <v>2855213.23451147</v>
      </c>
      <c r="G36" s="379">
        <f t="shared" si="23"/>
        <v>468169.58662554144</v>
      </c>
      <c r="H36" s="364">
        <f t="shared" si="24"/>
        <v>468169.58662554144</v>
      </c>
      <c r="I36" s="52">
        <f t="shared" si="9"/>
        <v>0</v>
      </c>
      <c r="J36" s="52"/>
      <c r="K36" s="129"/>
      <c r="L36" s="54">
        <f t="shared" si="1"/>
        <v>0</v>
      </c>
      <c r="M36" s="129"/>
      <c r="N36" s="54">
        <f t="shared" si="3"/>
        <v>0</v>
      </c>
      <c r="O36" s="54">
        <f t="shared" si="4"/>
        <v>0</v>
      </c>
      <c r="P36" s="1"/>
    </row>
    <row r="37" spans="2:16" ht="12.5">
      <c r="B37" s="7" t="str">
        <f t="shared" si="5"/>
        <v/>
      </c>
      <c r="C37" s="50">
        <f>IF(D11="","-",+C36+1)</f>
        <v>2032</v>
      </c>
      <c r="D37" s="55">
        <f>IF(F36+SUM(E$17:E36)=D$10,F36,D$10-SUM(E$17:E36))</f>
        <v>2855213.23451147</v>
      </c>
      <c r="E37" s="378">
        <f>IF(+I14&lt;F36,I14,D37)</f>
        <v>119738.15909090909</v>
      </c>
      <c r="F37" s="55">
        <f t="shared" si="22"/>
        <v>2735475.0754205608</v>
      </c>
      <c r="G37" s="379">
        <f t="shared" si="23"/>
        <v>453857.62791987043</v>
      </c>
      <c r="H37" s="364">
        <f t="shared" si="24"/>
        <v>453857.62791987043</v>
      </c>
      <c r="I37" s="52">
        <f t="shared" si="9"/>
        <v>0</v>
      </c>
      <c r="J37" s="52"/>
      <c r="K37" s="129"/>
      <c r="L37" s="54">
        <f t="shared" si="1"/>
        <v>0</v>
      </c>
      <c r="M37" s="129"/>
      <c r="N37" s="54">
        <f t="shared" si="3"/>
        <v>0</v>
      </c>
      <c r="O37" s="54">
        <f t="shared" si="4"/>
        <v>0</v>
      </c>
      <c r="P37" s="1"/>
    </row>
    <row r="38" spans="2:16" ht="12.5">
      <c r="B38" s="7" t="str">
        <f t="shared" si="5"/>
        <v/>
      </c>
      <c r="C38" s="50">
        <f>IF(D11="","-",+C37+1)</f>
        <v>2033</v>
      </c>
      <c r="D38" s="55">
        <f>IF(F37+SUM(E$17:E37)=D$10,F37,D$10-SUM(E$17:E37))</f>
        <v>2735475.0754205608</v>
      </c>
      <c r="E38" s="378">
        <f>IF(+I14&lt;F37,I14,D38)</f>
        <v>119738.15909090909</v>
      </c>
      <c r="F38" s="55">
        <f t="shared" si="22"/>
        <v>2615736.9163296516</v>
      </c>
      <c r="G38" s="379">
        <f t="shared" si="23"/>
        <v>439545.66921419953</v>
      </c>
      <c r="H38" s="364">
        <f t="shared" si="24"/>
        <v>439545.66921419953</v>
      </c>
      <c r="I38" s="52">
        <f t="shared" si="9"/>
        <v>0</v>
      </c>
      <c r="J38" s="52"/>
      <c r="K38" s="129"/>
      <c r="L38" s="54">
        <f t="shared" si="1"/>
        <v>0</v>
      </c>
      <c r="M38" s="129"/>
      <c r="N38" s="54">
        <f t="shared" si="3"/>
        <v>0</v>
      </c>
      <c r="O38" s="54">
        <f t="shared" si="4"/>
        <v>0</v>
      </c>
      <c r="P38" s="1"/>
    </row>
    <row r="39" spans="2:16" ht="12.5">
      <c r="B39" s="7" t="str">
        <f t="shared" si="5"/>
        <v/>
      </c>
      <c r="C39" s="50">
        <f>IF(D11="","-",+C38+1)</f>
        <v>2034</v>
      </c>
      <c r="D39" s="55">
        <f>IF(F38+SUM(E$17:E38)=D$10,F38,D$10-SUM(E$17:E38))</f>
        <v>2615736.9163296516</v>
      </c>
      <c r="E39" s="378">
        <f>IF(+I14&lt;F38,I14,D39)</f>
        <v>119738.15909090909</v>
      </c>
      <c r="F39" s="55">
        <f t="shared" si="22"/>
        <v>2495998.7572387424</v>
      </c>
      <c r="G39" s="379">
        <f t="shared" si="23"/>
        <v>425233.71050852863</v>
      </c>
      <c r="H39" s="364">
        <f t="shared" si="24"/>
        <v>425233.71050852863</v>
      </c>
      <c r="I39" s="52">
        <f t="shared" si="9"/>
        <v>0</v>
      </c>
      <c r="J39" s="52"/>
      <c r="K39" s="129"/>
      <c r="L39" s="54">
        <f t="shared" si="1"/>
        <v>0</v>
      </c>
      <c r="M39" s="129"/>
      <c r="N39" s="54">
        <f t="shared" si="3"/>
        <v>0</v>
      </c>
      <c r="O39" s="54">
        <f t="shared" si="4"/>
        <v>0</v>
      </c>
      <c r="P39" s="1"/>
    </row>
    <row r="40" spans="2:16" ht="12.5">
      <c r="B40" s="7" t="str">
        <f t="shared" si="5"/>
        <v/>
      </c>
      <c r="C40" s="50">
        <f>IF(D11="","-",+C39+1)</f>
        <v>2035</v>
      </c>
      <c r="D40" s="55">
        <f>IF(F39+SUM(E$17:E39)=D$10,F39,D$10-SUM(E$17:E39))</f>
        <v>2495998.7572387424</v>
      </c>
      <c r="E40" s="378">
        <f>IF(+I14&lt;F39,I14,D40)</f>
        <v>119738.15909090909</v>
      </c>
      <c r="F40" s="55">
        <f t="shared" si="22"/>
        <v>2376260.5981478333</v>
      </c>
      <c r="G40" s="379">
        <f t="shared" si="23"/>
        <v>410921.75180285762</v>
      </c>
      <c r="H40" s="364">
        <f t="shared" si="24"/>
        <v>410921.75180285762</v>
      </c>
      <c r="I40" s="52">
        <f t="shared" si="9"/>
        <v>0</v>
      </c>
      <c r="J40" s="52"/>
      <c r="K40" s="129"/>
      <c r="L40" s="54">
        <f t="shared" si="1"/>
        <v>0</v>
      </c>
      <c r="M40" s="129"/>
      <c r="N40" s="54">
        <f t="shared" si="3"/>
        <v>0</v>
      </c>
      <c r="O40" s="54">
        <f t="shared" si="4"/>
        <v>0</v>
      </c>
      <c r="P40" s="1"/>
    </row>
    <row r="41" spans="2:16" ht="12.5">
      <c r="B41" s="7" t="str">
        <f t="shared" si="5"/>
        <v/>
      </c>
      <c r="C41" s="50">
        <f>IF(D11="","-",+C40+1)</f>
        <v>2036</v>
      </c>
      <c r="D41" s="55">
        <f>IF(F40+SUM(E$17:E40)=D$10,F40,D$10-SUM(E$17:E40))</f>
        <v>2376260.5981478333</v>
      </c>
      <c r="E41" s="378">
        <f>IF(+I14&lt;F40,I14,D41)</f>
        <v>119738.15909090909</v>
      </c>
      <c r="F41" s="55">
        <f t="shared" si="22"/>
        <v>2256522.4390569241</v>
      </c>
      <c r="G41" s="379">
        <f t="shared" si="23"/>
        <v>396609.79309718672</v>
      </c>
      <c r="H41" s="364">
        <f t="shared" si="24"/>
        <v>396609.79309718672</v>
      </c>
      <c r="I41" s="52">
        <f t="shared" si="9"/>
        <v>0</v>
      </c>
      <c r="J41" s="52"/>
      <c r="K41" s="129"/>
      <c r="L41" s="54">
        <f t="shared" si="1"/>
        <v>0</v>
      </c>
      <c r="M41" s="129"/>
      <c r="N41" s="54">
        <f t="shared" si="3"/>
        <v>0</v>
      </c>
      <c r="O41" s="54">
        <f t="shared" si="4"/>
        <v>0</v>
      </c>
      <c r="P41" s="1"/>
    </row>
    <row r="42" spans="2:16" ht="12.5">
      <c r="B42" s="7" t="str">
        <f t="shared" si="5"/>
        <v/>
      </c>
      <c r="C42" s="50">
        <f>IF(D11="","-",+C41+1)</f>
        <v>2037</v>
      </c>
      <c r="D42" s="55">
        <f>IF(F41+SUM(E$17:E41)=D$10,F41,D$10-SUM(E$17:E41))</f>
        <v>2256522.4390569241</v>
      </c>
      <c r="E42" s="378">
        <f>IF(+I14&lt;F41,I14,D42)</f>
        <v>119738.15909090909</v>
      </c>
      <c r="F42" s="55">
        <f t="shared" si="22"/>
        <v>2136784.2799660149</v>
      </c>
      <c r="G42" s="379">
        <f t="shared" si="23"/>
        <v>382297.8343915157</v>
      </c>
      <c r="H42" s="364">
        <f t="shared" si="24"/>
        <v>382297.8343915157</v>
      </c>
      <c r="I42" s="52">
        <f t="shared" si="9"/>
        <v>0</v>
      </c>
      <c r="J42" s="52"/>
      <c r="K42" s="129"/>
      <c r="L42" s="54">
        <f t="shared" si="1"/>
        <v>0</v>
      </c>
      <c r="M42" s="129"/>
      <c r="N42" s="54">
        <f t="shared" si="3"/>
        <v>0</v>
      </c>
      <c r="O42" s="54">
        <f t="shared" si="4"/>
        <v>0</v>
      </c>
      <c r="P42" s="1"/>
    </row>
    <row r="43" spans="2:16" ht="12.5">
      <c r="B43" s="7" t="str">
        <f t="shared" si="5"/>
        <v/>
      </c>
      <c r="C43" s="50">
        <f>IF(D11="","-",+C42+1)</f>
        <v>2038</v>
      </c>
      <c r="D43" s="55">
        <f>IF(F42+SUM(E$17:E42)=D$10,F42,D$10-SUM(E$17:E42))</f>
        <v>2136784.2799660149</v>
      </c>
      <c r="E43" s="378">
        <f>IF(+I14&lt;F42,I14,D43)</f>
        <v>119738.15909090909</v>
      </c>
      <c r="F43" s="55">
        <f t="shared" si="22"/>
        <v>2017046.1208751057</v>
      </c>
      <c r="G43" s="379">
        <f t="shared" si="23"/>
        <v>367985.8756858448</v>
      </c>
      <c r="H43" s="364">
        <f t="shared" si="24"/>
        <v>367985.8756858448</v>
      </c>
      <c r="I43" s="52">
        <f t="shared" si="9"/>
        <v>0</v>
      </c>
      <c r="J43" s="52"/>
      <c r="K43" s="129"/>
      <c r="L43" s="54">
        <f t="shared" si="1"/>
        <v>0</v>
      </c>
      <c r="M43" s="129"/>
      <c r="N43" s="54">
        <f t="shared" si="3"/>
        <v>0</v>
      </c>
      <c r="O43" s="54">
        <f t="shared" si="4"/>
        <v>0</v>
      </c>
      <c r="P43" s="1"/>
    </row>
    <row r="44" spans="2:16" ht="12.5">
      <c r="B44" s="7" t="str">
        <f t="shared" si="5"/>
        <v/>
      </c>
      <c r="C44" s="50">
        <f>IF(D11="","-",+C43+1)</f>
        <v>2039</v>
      </c>
      <c r="D44" s="55">
        <f>IF(F43+SUM(E$17:E43)=D$10,F43,D$10-SUM(E$17:E43))</f>
        <v>2017046.1208751057</v>
      </c>
      <c r="E44" s="378">
        <f>IF(+I14&lt;F43,I14,D44)</f>
        <v>119738.15909090909</v>
      </c>
      <c r="F44" s="55">
        <f t="shared" si="22"/>
        <v>1897307.9617841966</v>
      </c>
      <c r="G44" s="379">
        <f t="shared" si="23"/>
        <v>353673.9169801739</v>
      </c>
      <c r="H44" s="364">
        <f t="shared" si="24"/>
        <v>353673.9169801739</v>
      </c>
      <c r="I44" s="52">
        <f t="shared" si="9"/>
        <v>0</v>
      </c>
      <c r="J44" s="52"/>
      <c r="K44" s="129"/>
      <c r="L44" s="54">
        <f t="shared" si="1"/>
        <v>0</v>
      </c>
      <c r="M44" s="129"/>
      <c r="N44" s="54">
        <f t="shared" si="3"/>
        <v>0</v>
      </c>
      <c r="O44" s="54">
        <f t="shared" si="4"/>
        <v>0</v>
      </c>
      <c r="P44" s="1"/>
    </row>
    <row r="45" spans="2:16" ht="12.5">
      <c r="B45" s="7" t="str">
        <f t="shared" si="5"/>
        <v/>
      </c>
      <c r="C45" s="50">
        <f>IF(D11="","-",+C44+1)</f>
        <v>2040</v>
      </c>
      <c r="D45" s="55">
        <f>IF(F44+SUM(E$17:E44)=D$10,F44,D$10-SUM(E$17:E44))</f>
        <v>1897307.9617841966</v>
      </c>
      <c r="E45" s="378">
        <f>IF(+I14&lt;F44,I14,D45)</f>
        <v>119738.15909090909</v>
      </c>
      <c r="F45" s="55">
        <f t="shared" si="22"/>
        <v>1777569.8026932874</v>
      </c>
      <c r="G45" s="379">
        <f t="shared" si="23"/>
        <v>339361.95827450289</v>
      </c>
      <c r="H45" s="364">
        <f t="shared" si="24"/>
        <v>339361.95827450289</v>
      </c>
      <c r="I45" s="52">
        <f t="shared" si="9"/>
        <v>0</v>
      </c>
      <c r="J45" s="52"/>
      <c r="K45" s="129"/>
      <c r="L45" s="54">
        <f t="shared" si="1"/>
        <v>0</v>
      </c>
      <c r="M45" s="129"/>
      <c r="N45" s="54">
        <f t="shared" si="3"/>
        <v>0</v>
      </c>
      <c r="O45" s="54">
        <f t="shared" si="4"/>
        <v>0</v>
      </c>
      <c r="P45" s="1"/>
    </row>
    <row r="46" spans="2:16" ht="12.5">
      <c r="B46" s="7" t="str">
        <f t="shared" si="5"/>
        <v/>
      </c>
      <c r="C46" s="50">
        <f>IF(D11="","-",+C45+1)</f>
        <v>2041</v>
      </c>
      <c r="D46" s="55">
        <f>IF(F45+SUM(E$17:E45)=D$10,F45,D$10-SUM(E$17:E45))</f>
        <v>1777569.8026932874</v>
      </c>
      <c r="E46" s="378">
        <f>IF(+I14&lt;F45,I14,D46)</f>
        <v>119738.15909090909</v>
      </c>
      <c r="F46" s="55">
        <f t="shared" si="22"/>
        <v>1657831.6436023782</v>
      </c>
      <c r="G46" s="379">
        <f t="shared" si="23"/>
        <v>325049.99956883199</v>
      </c>
      <c r="H46" s="364">
        <f t="shared" si="24"/>
        <v>325049.99956883199</v>
      </c>
      <c r="I46" s="52">
        <f t="shared" si="9"/>
        <v>0</v>
      </c>
      <c r="J46" s="52"/>
      <c r="K46" s="129"/>
      <c r="L46" s="54">
        <f t="shared" si="1"/>
        <v>0</v>
      </c>
      <c r="M46" s="129"/>
      <c r="N46" s="54">
        <f t="shared" si="3"/>
        <v>0</v>
      </c>
      <c r="O46" s="54">
        <f t="shared" si="4"/>
        <v>0</v>
      </c>
      <c r="P46" s="1"/>
    </row>
    <row r="47" spans="2:16" ht="12.5">
      <c r="B47" s="7" t="str">
        <f t="shared" si="5"/>
        <v/>
      </c>
      <c r="C47" s="50">
        <f>IF(D11="","-",+C46+1)</f>
        <v>2042</v>
      </c>
      <c r="D47" s="55">
        <f>IF(F46+SUM(E$17:E46)=D$10,F46,D$10-SUM(E$17:E46))</f>
        <v>1657831.6436023782</v>
      </c>
      <c r="E47" s="378">
        <f>IF(+I14&lt;F46,I14,D47)</f>
        <v>119738.15909090909</v>
      </c>
      <c r="F47" s="55">
        <f t="shared" si="22"/>
        <v>1538093.484511469</v>
      </c>
      <c r="G47" s="379">
        <f t="shared" si="23"/>
        <v>310738.04086316103</v>
      </c>
      <c r="H47" s="364">
        <f t="shared" si="24"/>
        <v>310738.04086316103</v>
      </c>
      <c r="I47" s="52">
        <f t="shared" si="9"/>
        <v>0</v>
      </c>
      <c r="J47" s="52"/>
      <c r="K47" s="129"/>
      <c r="L47" s="54">
        <f t="shared" si="1"/>
        <v>0</v>
      </c>
      <c r="M47" s="129"/>
      <c r="N47" s="54">
        <f t="shared" si="3"/>
        <v>0</v>
      </c>
      <c r="O47" s="54">
        <f t="shared" si="4"/>
        <v>0</v>
      </c>
      <c r="P47" s="1"/>
    </row>
    <row r="48" spans="2:16" ht="12.5">
      <c r="B48" s="7" t="str">
        <f t="shared" si="5"/>
        <v/>
      </c>
      <c r="C48" s="50">
        <f>IF(D11="","-",+C47+1)</f>
        <v>2043</v>
      </c>
      <c r="D48" s="55">
        <f>IF(F47+SUM(E$17:E47)=D$10,F47,D$10-SUM(E$17:E47))</f>
        <v>1538093.484511469</v>
      </c>
      <c r="E48" s="378">
        <f>IF(+I14&lt;F47,I14,D48)</f>
        <v>119738.15909090909</v>
      </c>
      <c r="F48" s="55">
        <f t="shared" si="22"/>
        <v>1418355.3254205598</v>
      </c>
      <c r="G48" s="379">
        <f t="shared" si="23"/>
        <v>296426.08215749008</v>
      </c>
      <c r="H48" s="364">
        <f t="shared" si="24"/>
        <v>296426.08215749008</v>
      </c>
      <c r="I48" s="52">
        <f t="shared" si="9"/>
        <v>0</v>
      </c>
      <c r="J48" s="52"/>
      <c r="K48" s="129"/>
      <c r="L48" s="54">
        <f t="shared" si="1"/>
        <v>0</v>
      </c>
      <c r="M48" s="129"/>
      <c r="N48" s="54">
        <f t="shared" si="3"/>
        <v>0</v>
      </c>
      <c r="O48" s="54">
        <f t="shared" si="4"/>
        <v>0</v>
      </c>
      <c r="P48" s="1"/>
    </row>
    <row r="49" spans="2:17" ht="12.5">
      <c r="B49" s="7" t="str">
        <f t="shared" si="5"/>
        <v/>
      </c>
      <c r="C49" s="50">
        <f>IF(D11="","-",+C48+1)</f>
        <v>2044</v>
      </c>
      <c r="D49" s="55">
        <f>IF(F48+SUM(E$17:E48)=D$10,F48,D$10-SUM(E$17:E48))</f>
        <v>1418355.3254205598</v>
      </c>
      <c r="E49" s="378">
        <f>IF(+I14&lt;F48,I14,D49)</f>
        <v>119738.15909090909</v>
      </c>
      <c r="F49" s="55">
        <f t="shared" ref="F49:F72" si="25">+D49-E49</f>
        <v>1298617.1663296507</v>
      </c>
      <c r="G49" s="379">
        <f t="shared" si="23"/>
        <v>282114.12345181918</v>
      </c>
      <c r="H49" s="364">
        <f t="shared" si="24"/>
        <v>282114.12345181918</v>
      </c>
      <c r="I49" s="52">
        <f t="shared" ref="I49:I72" si="26">H49-G49</f>
        <v>0</v>
      </c>
      <c r="J49" s="52"/>
      <c r="K49" s="129"/>
      <c r="L49" s="54">
        <f t="shared" ref="L49:L72" si="27">IF(K49&lt;&gt;0,+G49-K49,0)</f>
        <v>0</v>
      </c>
      <c r="M49" s="129"/>
      <c r="N49" s="54">
        <f t="shared" ref="N49:N72" si="28">IF(M49&lt;&gt;0,+H49-M49,0)</f>
        <v>0</v>
      </c>
      <c r="O49" s="54">
        <f t="shared" ref="O49:O72" si="29">+N49-L49</f>
        <v>0</v>
      </c>
      <c r="P49" s="1"/>
    </row>
    <row r="50" spans="2:17" ht="12.5">
      <c r="B50" s="7" t="str">
        <f t="shared" ref="B50:B72" si="30">IF(D50=F49,"","IU")</f>
        <v/>
      </c>
      <c r="C50" s="50">
        <f>IF(D11="","-",+C49+1)</f>
        <v>2045</v>
      </c>
      <c r="D50" s="55">
        <f>IF(F49+SUM(E$17:E49)=D$10,F49,D$10-SUM(E$17:E49))</f>
        <v>1298617.1663296507</v>
      </c>
      <c r="E50" s="378">
        <f>IF(+I14&lt;F49,I14,D50)</f>
        <v>119738.15909090909</v>
      </c>
      <c r="F50" s="55">
        <f t="shared" si="25"/>
        <v>1178879.0072387415</v>
      </c>
      <c r="G50" s="379">
        <f t="shared" si="23"/>
        <v>267802.16474614822</v>
      </c>
      <c r="H50" s="364">
        <f t="shared" si="24"/>
        <v>267802.16474614822</v>
      </c>
      <c r="I50" s="52">
        <f t="shared" si="26"/>
        <v>0</v>
      </c>
      <c r="J50" s="52"/>
      <c r="K50" s="129"/>
      <c r="L50" s="54">
        <f t="shared" si="27"/>
        <v>0</v>
      </c>
      <c r="M50" s="129"/>
      <c r="N50" s="54">
        <f t="shared" si="28"/>
        <v>0</v>
      </c>
      <c r="O50" s="54">
        <f t="shared" si="29"/>
        <v>0</v>
      </c>
      <c r="P50" s="1"/>
    </row>
    <row r="51" spans="2:17" ht="12.5">
      <c r="B51" s="7" t="str">
        <f t="shared" si="30"/>
        <v/>
      </c>
      <c r="C51" s="50">
        <f>IF(D11="","-",+C50+1)</f>
        <v>2046</v>
      </c>
      <c r="D51" s="55">
        <f>IF(F50+SUM(E$17:E50)=D$10,F50,D$10-SUM(E$17:E50))</f>
        <v>1178879.0072387415</v>
      </c>
      <c r="E51" s="378">
        <f>IF(+I14&lt;F50,I14,D51)</f>
        <v>119738.15909090909</v>
      </c>
      <c r="F51" s="55">
        <f t="shared" si="25"/>
        <v>1059140.8481478323</v>
      </c>
      <c r="G51" s="379">
        <f t="shared" si="23"/>
        <v>253490.20604047726</v>
      </c>
      <c r="H51" s="364">
        <f t="shared" si="24"/>
        <v>253490.20604047726</v>
      </c>
      <c r="I51" s="52">
        <f t="shared" si="26"/>
        <v>0</v>
      </c>
      <c r="J51" s="52"/>
      <c r="K51" s="129"/>
      <c r="L51" s="54">
        <f t="shared" si="27"/>
        <v>0</v>
      </c>
      <c r="M51" s="129"/>
      <c r="N51" s="54">
        <f t="shared" si="28"/>
        <v>0</v>
      </c>
      <c r="O51" s="54">
        <f t="shared" si="29"/>
        <v>0</v>
      </c>
      <c r="P51" s="1"/>
    </row>
    <row r="52" spans="2:17" ht="12.5">
      <c r="B52" s="7" t="str">
        <f t="shared" si="30"/>
        <v/>
      </c>
      <c r="C52" s="50">
        <f>IF(D11="","-",+C51+1)</f>
        <v>2047</v>
      </c>
      <c r="D52" s="55">
        <f>IF(F51+SUM(E$17:E51)=D$10,F51,D$10-SUM(E$17:E51))</f>
        <v>1059140.8481478323</v>
      </c>
      <c r="E52" s="378">
        <f>IF(+I14&lt;F51,I14,D52)</f>
        <v>119738.15909090909</v>
      </c>
      <c r="F52" s="55">
        <f t="shared" si="25"/>
        <v>939402.68905692326</v>
      </c>
      <c r="G52" s="379">
        <f t="shared" si="23"/>
        <v>239178.24733480634</v>
      </c>
      <c r="H52" s="364">
        <f t="shared" si="24"/>
        <v>239178.24733480634</v>
      </c>
      <c r="I52" s="52">
        <f t="shared" si="26"/>
        <v>0</v>
      </c>
      <c r="J52" s="52"/>
      <c r="K52" s="129"/>
      <c r="L52" s="54">
        <f t="shared" si="27"/>
        <v>0</v>
      </c>
      <c r="M52" s="129"/>
      <c r="N52" s="54">
        <f t="shared" si="28"/>
        <v>0</v>
      </c>
      <c r="O52" s="54">
        <f t="shared" si="29"/>
        <v>0</v>
      </c>
      <c r="P52" s="1"/>
    </row>
    <row r="53" spans="2:17" ht="12.5">
      <c r="B53" s="7" t="str">
        <f t="shared" si="30"/>
        <v/>
      </c>
      <c r="C53" s="50">
        <f>IF(D11="","-",+C52+1)</f>
        <v>2048</v>
      </c>
      <c r="D53" s="55">
        <f>IF(F52+SUM(E$17:E52)=D$10,F52,D$10-SUM(E$17:E52))</f>
        <v>939402.68905692326</v>
      </c>
      <c r="E53" s="378">
        <f>IF(+I14&lt;F52,I14,D53)</f>
        <v>119738.15909090909</v>
      </c>
      <c r="F53" s="55">
        <f t="shared" si="25"/>
        <v>819664.5299660142</v>
      </c>
      <c r="G53" s="379">
        <f t="shared" si="23"/>
        <v>224866.28862913541</v>
      </c>
      <c r="H53" s="364">
        <f t="shared" si="24"/>
        <v>224866.28862913541</v>
      </c>
      <c r="I53" s="52">
        <f t="shared" si="26"/>
        <v>0</v>
      </c>
      <c r="J53" s="52"/>
      <c r="K53" s="129"/>
      <c r="L53" s="54">
        <f t="shared" si="27"/>
        <v>0</v>
      </c>
      <c r="M53" s="129"/>
      <c r="N53" s="54">
        <f t="shared" si="28"/>
        <v>0</v>
      </c>
      <c r="O53" s="54">
        <f t="shared" si="29"/>
        <v>0</v>
      </c>
      <c r="P53" s="1"/>
    </row>
    <row r="54" spans="2:17" ht="12.5">
      <c r="B54" s="7" t="str">
        <f t="shared" si="30"/>
        <v/>
      </c>
      <c r="C54" s="50">
        <f>IF(D11="","-",+C53+1)</f>
        <v>2049</v>
      </c>
      <c r="D54" s="55">
        <f>IF(F53+SUM(E$17:E53)=D$10,F53,D$10-SUM(E$17:E53))</f>
        <v>819664.5299660142</v>
      </c>
      <c r="E54" s="378">
        <f>IF(+I14&lt;F53,I14,D54)</f>
        <v>119738.15909090909</v>
      </c>
      <c r="F54" s="55">
        <f t="shared" si="25"/>
        <v>699926.37087510515</v>
      </c>
      <c r="G54" s="379">
        <f t="shared" ref="G54:G72" si="31">+I$12*((D54+F54)/2)+E54</f>
        <v>210554.32992346448</v>
      </c>
      <c r="H54" s="364">
        <f t="shared" ref="H54:H72" si="32">+I$13*((D54+F54)/2)+E54</f>
        <v>210554.32992346448</v>
      </c>
      <c r="I54" s="52">
        <f t="shared" si="26"/>
        <v>0</v>
      </c>
      <c r="J54" s="52"/>
      <c r="K54" s="129"/>
      <c r="L54" s="54">
        <f t="shared" si="27"/>
        <v>0</v>
      </c>
      <c r="M54" s="129"/>
      <c r="N54" s="54">
        <f t="shared" si="28"/>
        <v>0</v>
      </c>
      <c r="O54" s="54">
        <f t="shared" si="29"/>
        <v>0</v>
      </c>
      <c r="P54" s="1"/>
    </row>
    <row r="55" spans="2:17" ht="12.5">
      <c r="B55" s="7" t="str">
        <f t="shared" si="30"/>
        <v/>
      </c>
      <c r="C55" s="50">
        <f>IF(D11="","-",+C54+1)</f>
        <v>2050</v>
      </c>
      <c r="D55" s="55">
        <f>IF(F54+SUM(E$17:E54)=D$10,F54,D$10-SUM(E$17:E54))</f>
        <v>699926.37087510515</v>
      </c>
      <c r="E55" s="378">
        <f>IF(+I14&lt;F54,I14,D55)</f>
        <v>119738.15909090909</v>
      </c>
      <c r="F55" s="55">
        <f t="shared" si="25"/>
        <v>580188.21178419609</v>
      </c>
      <c r="G55" s="379">
        <f t="shared" si="31"/>
        <v>196242.37121779355</v>
      </c>
      <c r="H55" s="364">
        <f t="shared" si="32"/>
        <v>196242.37121779355</v>
      </c>
      <c r="I55" s="52">
        <f t="shared" si="26"/>
        <v>0</v>
      </c>
      <c r="J55" s="52"/>
      <c r="K55" s="129"/>
      <c r="L55" s="54">
        <f t="shared" si="27"/>
        <v>0</v>
      </c>
      <c r="M55" s="129"/>
      <c r="N55" s="54">
        <f t="shared" si="28"/>
        <v>0</v>
      </c>
      <c r="O55" s="54">
        <f t="shared" si="29"/>
        <v>0</v>
      </c>
      <c r="P55" s="1"/>
    </row>
    <row r="56" spans="2:17" ht="12.5">
      <c r="B56" s="7" t="str">
        <f t="shared" si="30"/>
        <v/>
      </c>
      <c r="C56" s="50">
        <f>IF(D11="","-",+C55+1)</f>
        <v>2051</v>
      </c>
      <c r="D56" s="55">
        <f>IF(F55+SUM(E$17:E55)=D$10,F55,D$10-SUM(E$17:E55))</f>
        <v>580188.21178419609</v>
      </c>
      <c r="E56" s="378">
        <f>IF(+I14&lt;F55,I14,D56)</f>
        <v>119738.15909090909</v>
      </c>
      <c r="F56" s="55">
        <f t="shared" si="25"/>
        <v>460450.05269328703</v>
      </c>
      <c r="G56" s="379">
        <f t="shared" si="31"/>
        <v>181930.41251212262</v>
      </c>
      <c r="H56" s="364">
        <f t="shared" si="32"/>
        <v>181930.41251212262</v>
      </c>
      <c r="I56" s="52">
        <f t="shared" si="26"/>
        <v>0</v>
      </c>
      <c r="J56" s="52"/>
      <c r="K56" s="129"/>
      <c r="L56" s="54">
        <f t="shared" si="27"/>
        <v>0</v>
      </c>
      <c r="M56" s="129"/>
      <c r="N56" s="54">
        <f t="shared" si="28"/>
        <v>0</v>
      </c>
      <c r="O56" s="54">
        <f t="shared" si="29"/>
        <v>0</v>
      </c>
      <c r="P56" s="1"/>
    </row>
    <row r="57" spans="2:17" ht="12.5">
      <c r="B57" s="7" t="str">
        <f t="shared" si="30"/>
        <v/>
      </c>
      <c r="C57" s="50">
        <f>IF(D11="","-",+C56+1)</f>
        <v>2052</v>
      </c>
      <c r="D57" s="55">
        <f>IF(F56+SUM(E$17:E56)=D$10,F56,D$10-SUM(E$17:E56))</f>
        <v>460450.05269328703</v>
      </c>
      <c r="E57" s="378">
        <f>IF(+I14&lt;F56,I14,D57)</f>
        <v>119738.15909090909</v>
      </c>
      <c r="F57" s="55">
        <f t="shared" si="25"/>
        <v>340711.89360237797</v>
      </c>
      <c r="G57" s="379">
        <f t="shared" si="31"/>
        <v>167618.4538064517</v>
      </c>
      <c r="H57" s="364">
        <f t="shared" si="32"/>
        <v>167618.4538064517</v>
      </c>
      <c r="I57" s="52">
        <f t="shared" si="26"/>
        <v>0</v>
      </c>
      <c r="J57" s="52"/>
      <c r="K57" s="129"/>
      <c r="L57" s="54">
        <f t="shared" si="27"/>
        <v>0</v>
      </c>
      <c r="M57" s="129"/>
      <c r="N57" s="54">
        <f t="shared" si="28"/>
        <v>0</v>
      </c>
      <c r="O57" s="54">
        <f t="shared" si="29"/>
        <v>0</v>
      </c>
      <c r="P57" s="1"/>
    </row>
    <row r="58" spans="2:17" ht="12.5">
      <c r="B58" s="7" t="str">
        <f t="shared" si="30"/>
        <v/>
      </c>
      <c r="C58" s="50">
        <f>IF(D11="","-",+C57+1)</f>
        <v>2053</v>
      </c>
      <c r="D58" s="55">
        <f>IF(F57+SUM(E$17:E57)=D$10,F57,D$10-SUM(E$17:E57))</f>
        <v>340711.89360237797</v>
      </c>
      <c r="E58" s="378">
        <f>IF(+I14&lt;F57,I14,D58)</f>
        <v>119738.15909090909</v>
      </c>
      <c r="F58" s="55">
        <f t="shared" si="25"/>
        <v>220973.73451146888</v>
      </c>
      <c r="G58" s="379">
        <f t="shared" si="31"/>
        <v>153306.49510078077</v>
      </c>
      <c r="H58" s="364">
        <f t="shared" si="32"/>
        <v>153306.49510078077</v>
      </c>
      <c r="I58" s="52">
        <f t="shared" si="26"/>
        <v>0</v>
      </c>
      <c r="J58" s="52"/>
      <c r="K58" s="129"/>
      <c r="L58" s="54">
        <f t="shared" si="27"/>
        <v>0</v>
      </c>
      <c r="M58" s="129"/>
      <c r="N58" s="54">
        <f t="shared" si="28"/>
        <v>0</v>
      </c>
      <c r="O58" s="54">
        <f t="shared" si="29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30"/>
        <v/>
      </c>
      <c r="C59" s="50">
        <f>IF(D11="","-",+C58+1)</f>
        <v>2054</v>
      </c>
      <c r="D59" s="55">
        <f>IF(F58+SUM(E$17:E58)=D$10,F58,D$10-SUM(E$17:E58))</f>
        <v>220973.73451146888</v>
      </c>
      <c r="E59" s="378">
        <f>IF(+I14&lt;F58,I14,D59)</f>
        <v>119738.15909090909</v>
      </c>
      <c r="F59" s="55">
        <f t="shared" si="25"/>
        <v>101235.57542055979</v>
      </c>
      <c r="G59" s="379">
        <f t="shared" si="31"/>
        <v>138994.53639510984</v>
      </c>
      <c r="H59" s="364">
        <f t="shared" si="32"/>
        <v>138994.53639510984</v>
      </c>
      <c r="I59" s="52">
        <f t="shared" si="26"/>
        <v>0</v>
      </c>
      <c r="J59" s="52"/>
      <c r="K59" s="129"/>
      <c r="L59" s="54">
        <f t="shared" si="27"/>
        <v>0</v>
      </c>
      <c r="M59" s="129"/>
      <c r="N59" s="54">
        <f t="shared" si="28"/>
        <v>0</v>
      </c>
      <c r="O59" s="54">
        <f t="shared" si="29"/>
        <v>0</v>
      </c>
      <c r="P59" s="1"/>
    </row>
    <row r="60" spans="2:17" ht="12.5">
      <c r="B60" s="7" t="str">
        <f t="shared" si="30"/>
        <v/>
      </c>
      <c r="C60" s="50">
        <f>IF(D11="","-",+C59+1)</f>
        <v>2055</v>
      </c>
      <c r="D60" s="55">
        <f>IF(F59+SUM(E$17:E59)=D$10,F59,D$10-SUM(E$17:E59))</f>
        <v>101235.57542055979</v>
      </c>
      <c r="E60" s="378">
        <f>IF(+I14&lt;F59,I14,D60)</f>
        <v>101235.57542055979</v>
      </c>
      <c r="F60" s="55">
        <f t="shared" si="25"/>
        <v>0</v>
      </c>
      <c r="G60" s="379">
        <f t="shared" si="31"/>
        <v>107285.77439624243</v>
      </c>
      <c r="H60" s="364">
        <f t="shared" si="32"/>
        <v>107285.77439624243</v>
      </c>
      <c r="I60" s="52">
        <f t="shared" si="26"/>
        <v>0</v>
      </c>
      <c r="J60" s="52"/>
      <c r="K60" s="129"/>
      <c r="L60" s="54">
        <f t="shared" si="27"/>
        <v>0</v>
      </c>
      <c r="M60" s="129"/>
      <c r="N60" s="54">
        <f t="shared" si="28"/>
        <v>0</v>
      </c>
      <c r="O60" s="54">
        <f t="shared" si="29"/>
        <v>0</v>
      </c>
      <c r="P60" s="1"/>
    </row>
    <row r="61" spans="2:17" ht="12.5">
      <c r="B61" s="7" t="str">
        <f t="shared" si="30"/>
        <v/>
      </c>
      <c r="C61" s="50">
        <f>IF(D11="","-",+C60+1)</f>
        <v>2056</v>
      </c>
      <c r="D61" s="55">
        <f>IF(F60+SUM(E$17:E60)=D$10,F60,D$10-SUM(E$17:E60))</f>
        <v>0</v>
      </c>
      <c r="E61" s="378">
        <f>IF(+I14&lt;F60,I14,D61)</f>
        <v>0</v>
      </c>
      <c r="F61" s="55">
        <f t="shared" si="25"/>
        <v>0</v>
      </c>
      <c r="G61" s="380">
        <f t="shared" si="31"/>
        <v>0</v>
      </c>
      <c r="H61" s="364">
        <f t="shared" si="32"/>
        <v>0</v>
      </c>
      <c r="I61" s="52">
        <f t="shared" si="26"/>
        <v>0</v>
      </c>
      <c r="J61" s="52"/>
      <c r="K61" s="129"/>
      <c r="L61" s="54">
        <f t="shared" si="27"/>
        <v>0</v>
      </c>
      <c r="M61" s="129"/>
      <c r="N61" s="54">
        <f t="shared" si="28"/>
        <v>0</v>
      </c>
      <c r="O61" s="54">
        <f t="shared" si="29"/>
        <v>0</v>
      </c>
      <c r="P61" s="1"/>
    </row>
    <row r="62" spans="2:17" ht="12.5">
      <c r="B62" s="7" t="str">
        <f t="shared" si="30"/>
        <v/>
      </c>
      <c r="C62" s="50">
        <f>IF(D11="","-",+C61+1)</f>
        <v>2057</v>
      </c>
      <c r="D62" s="55">
        <f>IF(F61+SUM(E$17:E61)=D$10,F61,D$10-SUM(E$17:E61))</f>
        <v>0</v>
      </c>
      <c r="E62" s="378">
        <f>IF(+I14&lt;F61,I14,D62)</f>
        <v>0</v>
      </c>
      <c r="F62" s="55">
        <f t="shared" si="25"/>
        <v>0</v>
      </c>
      <c r="G62" s="380">
        <f t="shared" si="31"/>
        <v>0</v>
      </c>
      <c r="H62" s="364">
        <f t="shared" si="32"/>
        <v>0</v>
      </c>
      <c r="I62" s="52">
        <f t="shared" si="26"/>
        <v>0</v>
      </c>
      <c r="J62" s="52"/>
      <c r="K62" s="129"/>
      <c r="L62" s="54">
        <f t="shared" si="27"/>
        <v>0</v>
      </c>
      <c r="M62" s="129"/>
      <c r="N62" s="54">
        <f t="shared" si="28"/>
        <v>0</v>
      </c>
      <c r="O62" s="54">
        <f t="shared" si="29"/>
        <v>0</v>
      </c>
      <c r="P62" s="1"/>
    </row>
    <row r="63" spans="2:17" ht="12.5">
      <c r="B63" s="7" t="str">
        <f t="shared" si="30"/>
        <v/>
      </c>
      <c r="C63" s="50">
        <f>IF(D11="","-",+C62+1)</f>
        <v>2058</v>
      </c>
      <c r="D63" s="55">
        <f>IF(F62+SUM(E$17:E62)=D$10,F62,D$10-SUM(E$17:E62))</f>
        <v>0</v>
      </c>
      <c r="E63" s="378">
        <f>IF(+I14&lt;F62,I14,D63)</f>
        <v>0</v>
      </c>
      <c r="F63" s="55">
        <f t="shared" si="25"/>
        <v>0</v>
      </c>
      <c r="G63" s="380">
        <f t="shared" si="31"/>
        <v>0</v>
      </c>
      <c r="H63" s="364">
        <f t="shared" si="32"/>
        <v>0</v>
      </c>
      <c r="I63" s="52">
        <f t="shared" si="26"/>
        <v>0</v>
      </c>
      <c r="J63" s="52"/>
      <c r="K63" s="129"/>
      <c r="L63" s="54">
        <f t="shared" si="27"/>
        <v>0</v>
      </c>
      <c r="M63" s="129"/>
      <c r="N63" s="54">
        <f t="shared" si="28"/>
        <v>0</v>
      </c>
      <c r="O63" s="54">
        <f t="shared" si="29"/>
        <v>0</v>
      </c>
      <c r="P63" s="1"/>
    </row>
    <row r="64" spans="2:17" ht="12.5">
      <c r="B64" s="7" t="str">
        <f t="shared" si="30"/>
        <v/>
      </c>
      <c r="C64" s="50">
        <f>IF(D11="","-",+C63+1)</f>
        <v>2059</v>
      </c>
      <c r="D64" s="55">
        <f>IF(F63+SUM(E$17:E63)=D$10,F63,D$10-SUM(E$17:E63))</f>
        <v>0</v>
      </c>
      <c r="E64" s="378">
        <f>IF(+I14&lt;F63,I14,D64)</f>
        <v>0</v>
      </c>
      <c r="F64" s="55">
        <f t="shared" si="25"/>
        <v>0</v>
      </c>
      <c r="G64" s="380">
        <f t="shared" si="31"/>
        <v>0</v>
      </c>
      <c r="H64" s="364">
        <f t="shared" si="32"/>
        <v>0</v>
      </c>
      <c r="I64" s="52">
        <f t="shared" si="26"/>
        <v>0</v>
      </c>
      <c r="J64" s="52"/>
      <c r="K64" s="129"/>
      <c r="L64" s="54">
        <f t="shared" si="27"/>
        <v>0</v>
      </c>
      <c r="M64" s="129"/>
      <c r="N64" s="54">
        <f t="shared" si="28"/>
        <v>0</v>
      </c>
      <c r="O64" s="54">
        <f t="shared" si="29"/>
        <v>0</v>
      </c>
      <c r="P64" s="1"/>
    </row>
    <row r="65" spans="1:16" ht="12.5">
      <c r="B65" s="7" t="str">
        <f t="shared" si="30"/>
        <v/>
      </c>
      <c r="C65" s="50">
        <f>IF(D11="","-",+C64+1)</f>
        <v>2060</v>
      </c>
      <c r="D65" s="55">
        <f>IF(F64+SUM(E$17:E64)=D$10,F64,D$10-SUM(E$17:E64))</f>
        <v>0</v>
      </c>
      <c r="E65" s="378">
        <f>IF(+I14&lt;F64,I14,D65)</f>
        <v>0</v>
      </c>
      <c r="F65" s="55">
        <f t="shared" si="25"/>
        <v>0</v>
      </c>
      <c r="G65" s="380">
        <f t="shared" si="31"/>
        <v>0</v>
      </c>
      <c r="H65" s="364">
        <f t="shared" si="32"/>
        <v>0</v>
      </c>
      <c r="I65" s="52">
        <f t="shared" si="26"/>
        <v>0</v>
      </c>
      <c r="J65" s="52"/>
      <c r="K65" s="129"/>
      <c r="L65" s="54">
        <f t="shared" si="27"/>
        <v>0</v>
      </c>
      <c r="M65" s="129"/>
      <c r="N65" s="54">
        <f t="shared" si="28"/>
        <v>0</v>
      </c>
      <c r="O65" s="54">
        <f t="shared" si="29"/>
        <v>0</v>
      </c>
      <c r="P65" s="1"/>
    </row>
    <row r="66" spans="1:16" ht="12.5">
      <c r="B66" s="7" t="str">
        <f t="shared" si="30"/>
        <v/>
      </c>
      <c r="C66" s="50">
        <f>IF(D11="","-",+C65+1)</f>
        <v>2061</v>
      </c>
      <c r="D66" s="55">
        <f>IF(F65+SUM(E$17:E65)=D$10,F65,D$10-SUM(E$17:E65))</f>
        <v>0</v>
      </c>
      <c r="E66" s="378">
        <f>IF(+I14&lt;F65,I14,D66)</f>
        <v>0</v>
      </c>
      <c r="F66" s="55">
        <f t="shared" si="25"/>
        <v>0</v>
      </c>
      <c r="G66" s="380">
        <f t="shared" si="31"/>
        <v>0</v>
      </c>
      <c r="H66" s="364">
        <f t="shared" si="32"/>
        <v>0</v>
      </c>
      <c r="I66" s="52">
        <f t="shared" si="26"/>
        <v>0</v>
      </c>
      <c r="J66" s="52"/>
      <c r="K66" s="129"/>
      <c r="L66" s="54">
        <f t="shared" si="27"/>
        <v>0</v>
      </c>
      <c r="M66" s="129"/>
      <c r="N66" s="54">
        <f t="shared" si="28"/>
        <v>0</v>
      </c>
      <c r="O66" s="54">
        <f t="shared" si="29"/>
        <v>0</v>
      </c>
      <c r="P66" s="1"/>
    </row>
    <row r="67" spans="1:16" ht="12.5">
      <c r="B67" s="7" t="str">
        <f t="shared" si="30"/>
        <v/>
      </c>
      <c r="C67" s="50">
        <f>IF(D11="","-",+C66+1)</f>
        <v>2062</v>
      </c>
      <c r="D67" s="55">
        <f>IF(F66+SUM(E$17:E66)=D$10,F66,D$10-SUM(E$17:E66))</f>
        <v>0</v>
      </c>
      <c r="E67" s="378">
        <f>IF(+I14&lt;F66,I14,D67)</f>
        <v>0</v>
      </c>
      <c r="F67" s="55">
        <f t="shared" si="25"/>
        <v>0</v>
      </c>
      <c r="G67" s="380">
        <f t="shared" si="31"/>
        <v>0</v>
      </c>
      <c r="H67" s="364">
        <f t="shared" si="32"/>
        <v>0</v>
      </c>
      <c r="I67" s="52">
        <f t="shared" si="26"/>
        <v>0</v>
      </c>
      <c r="J67" s="52"/>
      <c r="K67" s="129"/>
      <c r="L67" s="54">
        <f t="shared" si="27"/>
        <v>0</v>
      </c>
      <c r="M67" s="129"/>
      <c r="N67" s="54">
        <f t="shared" si="28"/>
        <v>0</v>
      </c>
      <c r="O67" s="54">
        <f t="shared" si="29"/>
        <v>0</v>
      </c>
      <c r="P67" s="1"/>
    </row>
    <row r="68" spans="1:16" ht="12.5">
      <c r="B68" s="7" t="str">
        <f t="shared" si="30"/>
        <v/>
      </c>
      <c r="C68" s="50">
        <f>IF(D11="","-",+C67+1)</f>
        <v>2063</v>
      </c>
      <c r="D68" s="55">
        <f>IF(F67+SUM(E$17:E67)=D$10,F67,D$10-SUM(E$17:E67))</f>
        <v>0</v>
      </c>
      <c r="E68" s="378">
        <f>IF(+I14&lt;F67,I14,D68)</f>
        <v>0</v>
      </c>
      <c r="F68" s="55">
        <f t="shared" si="25"/>
        <v>0</v>
      </c>
      <c r="G68" s="380">
        <f t="shared" si="31"/>
        <v>0</v>
      </c>
      <c r="H68" s="364">
        <f t="shared" si="32"/>
        <v>0</v>
      </c>
      <c r="I68" s="52">
        <f t="shared" si="26"/>
        <v>0</v>
      </c>
      <c r="J68" s="52"/>
      <c r="K68" s="129"/>
      <c r="L68" s="54">
        <f t="shared" si="27"/>
        <v>0</v>
      </c>
      <c r="M68" s="129"/>
      <c r="N68" s="54">
        <f t="shared" si="28"/>
        <v>0</v>
      </c>
      <c r="O68" s="54">
        <f t="shared" si="29"/>
        <v>0</v>
      </c>
      <c r="P68" s="1"/>
    </row>
    <row r="69" spans="1:16" ht="12.5">
      <c r="B69" s="7" t="str">
        <f t="shared" si="30"/>
        <v/>
      </c>
      <c r="C69" s="50">
        <f>IF(D11="","-",+C68+1)</f>
        <v>2064</v>
      </c>
      <c r="D69" s="55">
        <f>IF(F68+SUM(E$17:E68)=D$10,F68,D$10-SUM(E$17:E68))</f>
        <v>0</v>
      </c>
      <c r="E69" s="378">
        <f>IF(+I14&lt;F68,I14,D69)</f>
        <v>0</v>
      </c>
      <c r="F69" s="55">
        <f t="shared" si="25"/>
        <v>0</v>
      </c>
      <c r="G69" s="380">
        <f t="shared" si="31"/>
        <v>0</v>
      </c>
      <c r="H69" s="364">
        <f t="shared" si="32"/>
        <v>0</v>
      </c>
      <c r="I69" s="52">
        <f t="shared" si="26"/>
        <v>0</v>
      </c>
      <c r="J69" s="52"/>
      <c r="K69" s="129"/>
      <c r="L69" s="54">
        <f t="shared" si="27"/>
        <v>0</v>
      </c>
      <c r="M69" s="129"/>
      <c r="N69" s="54">
        <f t="shared" si="28"/>
        <v>0</v>
      </c>
      <c r="O69" s="54">
        <f t="shared" si="29"/>
        <v>0</v>
      </c>
      <c r="P69" s="1"/>
    </row>
    <row r="70" spans="1:16" ht="12.5">
      <c r="B70" s="7" t="str">
        <f t="shared" si="30"/>
        <v/>
      </c>
      <c r="C70" s="50">
        <f>IF(D11="","-",+C69+1)</f>
        <v>2065</v>
      </c>
      <c r="D70" s="55">
        <f>IF(F69+SUM(E$17:E69)=D$10,F69,D$10-SUM(E$17:E69))</f>
        <v>0</v>
      </c>
      <c r="E70" s="378">
        <f>IF(+I14&lt;F69,I14,D70)</f>
        <v>0</v>
      </c>
      <c r="F70" s="55">
        <f t="shared" si="25"/>
        <v>0</v>
      </c>
      <c r="G70" s="380">
        <f t="shared" si="31"/>
        <v>0</v>
      </c>
      <c r="H70" s="364">
        <f t="shared" si="32"/>
        <v>0</v>
      </c>
      <c r="I70" s="52">
        <f t="shared" si="26"/>
        <v>0</v>
      </c>
      <c r="J70" s="52"/>
      <c r="K70" s="129"/>
      <c r="L70" s="54">
        <f t="shared" si="27"/>
        <v>0</v>
      </c>
      <c r="M70" s="129"/>
      <c r="N70" s="54">
        <f t="shared" si="28"/>
        <v>0</v>
      </c>
      <c r="O70" s="54">
        <f t="shared" si="29"/>
        <v>0</v>
      </c>
      <c r="P70" s="1"/>
    </row>
    <row r="71" spans="1:16" ht="12.5">
      <c r="B71" s="7" t="str">
        <f t="shared" si="30"/>
        <v/>
      </c>
      <c r="C71" s="50">
        <f>IF(D11="","-",+C70+1)</f>
        <v>2066</v>
      </c>
      <c r="D71" s="55">
        <f>IF(F70+SUM(E$17:E70)=D$10,F70,D$10-SUM(E$17:E70))</f>
        <v>0</v>
      </c>
      <c r="E71" s="378">
        <f>IF(+I14&lt;F70,I14,D71)</f>
        <v>0</v>
      </c>
      <c r="F71" s="55">
        <f t="shared" si="25"/>
        <v>0</v>
      </c>
      <c r="G71" s="380">
        <f t="shared" si="31"/>
        <v>0</v>
      </c>
      <c r="H71" s="364">
        <f t="shared" si="32"/>
        <v>0</v>
      </c>
      <c r="I71" s="52">
        <f t="shared" si="26"/>
        <v>0</v>
      </c>
      <c r="J71" s="52"/>
      <c r="K71" s="129"/>
      <c r="L71" s="54">
        <f t="shared" si="27"/>
        <v>0</v>
      </c>
      <c r="M71" s="129"/>
      <c r="N71" s="54">
        <f t="shared" si="28"/>
        <v>0</v>
      </c>
      <c r="O71" s="54">
        <f t="shared" si="29"/>
        <v>0</v>
      </c>
      <c r="P71" s="1"/>
    </row>
    <row r="72" spans="1:16" ht="13" thickBot="1">
      <c r="B72" s="7" t="str">
        <f t="shared" si="30"/>
        <v/>
      </c>
      <c r="C72" s="59">
        <f>IF(D11="","-",+C71+1)</f>
        <v>2067</v>
      </c>
      <c r="D72" s="60">
        <f>IF(F71+SUM(E$17:E71)=D$10,F71,D$10-SUM(E$17:E71))</f>
        <v>0</v>
      </c>
      <c r="E72" s="381">
        <f>IF(+I14&lt;F71,I14,D72)</f>
        <v>0</v>
      </c>
      <c r="F72" s="60">
        <f t="shared" si="25"/>
        <v>0</v>
      </c>
      <c r="G72" s="382">
        <f t="shared" si="31"/>
        <v>0</v>
      </c>
      <c r="H72" s="362">
        <f t="shared" si="32"/>
        <v>0</v>
      </c>
      <c r="I72" s="63">
        <f t="shared" si="26"/>
        <v>0</v>
      </c>
      <c r="J72" s="52"/>
      <c r="K72" s="130"/>
      <c r="L72" s="64">
        <f t="shared" si="27"/>
        <v>0</v>
      </c>
      <c r="M72" s="130"/>
      <c r="N72" s="64">
        <f t="shared" si="28"/>
        <v>0</v>
      </c>
      <c r="O72" s="64">
        <f t="shared" si="29"/>
        <v>0</v>
      </c>
      <c r="P72" s="1"/>
    </row>
    <row r="73" spans="1:16" ht="12.5">
      <c r="C73" s="12" t="s">
        <v>78</v>
      </c>
      <c r="D73" s="293"/>
      <c r="E73" s="293">
        <f>SUM(E17:E72)</f>
        <v>5268479</v>
      </c>
      <c r="F73" s="293"/>
      <c r="G73" s="293">
        <f>SUM(G17:G72)</f>
        <v>19523219.595718779</v>
      </c>
      <c r="H73" s="293">
        <f>SUM(H17:H72)</f>
        <v>19523219.595718779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7.5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28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568353.29756523797</v>
      </c>
      <c r="N87" s="387">
        <f>IF(J92&lt;D11,0,VLOOKUP(J92,C17:O72,11))</f>
        <v>568353.29756523797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589767.27501003328</v>
      </c>
      <c r="N88" s="390">
        <f>IF(J92&lt;D11,0,VLOOKUP(J92,C99:P154,7))</f>
        <v>589767.27501003328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27" t="str">
        <f>D7</f>
        <v xml:space="preserve">Bloomburg-Texarkana Plant 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21413.97744479531</v>
      </c>
      <c r="N89" s="392">
        <f>+N88-N87</f>
        <v>21413.97744479531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TP2008027</v>
      </c>
      <c r="E91" s="76" t="s">
        <v>496</v>
      </c>
      <c r="F91" s="463" t="str">
        <f>F9</f>
        <v>30156 &amp; 30157</v>
      </c>
      <c r="G91" s="76"/>
      <c r="H91" s="76"/>
      <c r="I91" s="76"/>
      <c r="J91" s="95"/>
      <c r="Q91" s="1"/>
    </row>
    <row r="92" spans="1:17" ht="13">
      <c r="C92" s="34" t="s">
        <v>51</v>
      </c>
      <c r="D92" s="363">
        <f>IF(D11=I10,0,D10)</f>
        <v>5268479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  <c r="Q92" s="1"/>
    </row>
    <row r="93" spans="1:17" ht="12.5">
      <c r="C93" s="34" t="s">
        <v>54</v>
      </c>
      <c r="D93" s="88">
        <f>IF(D11=I10,"",D11)</f>
        <v>2012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4">
        <f>IF(D11=I10,"",D12)</f>
        <v>6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119738.15909090909</v>
      </c>
      <c r="K96" s="293"/>
      <c r="L96" s="293"/>
      <c r="M96" s="293"/>
      <c r="N96" s="293"/>
      <c r="O96" s="293"/>
      <c r="P96" s="1"/>
      <c r="Q96" s="1"/>
    </row>
    <row r="97" spans="1:17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 ht="12.5">
      <c r="C99" s="50">
        <f>IF(D93= "","-",D93)</f>
        <v>2012</v>
      </c>
      <c r="D99" s="133">
        <v>0</v>
      </c>
      <c r="E99" s="376">
        <v>62710.82142857142</v>
      </c>
      <c r="F99" s="425">
        <v>5204998.1785714282</v>
      </c>
      <c r="G99" s="140">
        <v>2602499.0892857141</v>
      </c>
      <c r="H99" s="398">
        <v>445678.79491286777</v>
      </c>
      <c r="I99" s="398">
        <v>445678.79491286777</v>
      </c>
      <c r="J99" s="54">
        <f t="shared" ref="J99:J130" si="33">+I99-H99</f>
        <v>0</v>
      </c>
      <c r="K99" s="54"/>
      <c r="L99" s="112">
        <f t="shared" ref="L99:L104" si="34">H99</f>
        <v>445678.79491286777</v>
      </c>
      <c r="M99" s="53">
        <f t="shared" ref="M99:M130" si="35">IF(L99&lt;&gt;0,+H99-L99,0)</f>
        <v>0</v>
      </c>
      <c r="N99" s="112">
        <f t="shared" ref="N99:N104" si="36">I99</f>
        <v>445678.79491286777</v>
      </c>
      <c r="O99" s="53">
        <f t="shared" ref="O99:O130" si="37">IF(N99&lt;&gt;0,+I99-N99,0)</f>
        <v>0</v>
      </c>
      <c r="P99" s="53">
        <f t="shared" ref="P99:P130" si="38">+O99-M99</f>
        <v>0</v>
      </c>
      <c r="Q99" s="1"/>
    </row>
    <row r="100" spans="1:17" ht="12.5">
      <c r="B100" s="7" t="str">
        <f t="shared" ref="B100:B131" si="39">IF(D100=F99,"","IU")</f>
        <v>IU</v>
      </c>
      <c r="C100" s="50">
        <f>IF(D93="","-",+C99+1)</f>
        <v>2013</v>
      </c>
      <c r="D100" s="133">
        <v>5205776.1785714282</v>
      </c>
      <c r="E100" s="376">
        <v>125440.16666666667</v>
      </c>
      <c r="F100" s="137">
        <v>5080336.0119047612</v>
      </c>
      <c r="G100" s="137">
        <v>5143056.0952380951</v>
      </c>
      <c r="H100" s="397">
        <v>821252.98086440889</v>
      </c>
      <c r="I100" s="398">
        <v>821252.98086440889</v>
      </c>
      <c r="J100" s="54">
        <v>0</v>
      </c>
      <c r="K100" s="54"/>
      <c r="L100" s="113">
        <f t="shared" si="34"/>
        <v>821252.98086440889</v>
      </c>
      <c r="M100" s="54">
        <f t="shared" ref="M100:M105" si="40">IF(L100&lt;&gt;0,+H100-L100,0)</f>
        <v>0</v>
      </c>
      <c r="N100" s="113">
        <f t="shared" si="36"/>
        <v>821252.98086440889</v>
      </c>
      <c r="O100" s="54">
        <f>IF(N100&lt;&gt;0,+I100-N100,0)</f>
        <v>0</v>
      </c>
      <c r="P100" s="54">
        <f>+O100-M100</f>
        <v>0</v>
      </c>
      <c r="Q100" s="1"/>
    </row>
    <row r="101" spans="1:17" ht="12.5">
      <c r="B101" s="7" t="str">
        <f t="shared" si="39"/>
        <v/>
      </c>
      <c r="C101" s="50">
        <f>IF(D93="","-",+C100+1)</f>
        <v>2014</v>
      </c>
      <c r="D101" s="133">
        <v>5080336.0119047612</v>
      </c>
      <c r="E101" s="376">
        <v>125440.16666666667</v>
      </c>
      <c r="F101" s="137">
        <v>4954895.8452380942</v>
      </c>
      <c r="G101" s="137">
        <v>5017615.9285714272</v>
      </c>
      <c r="H101" s="397">
        <v>807451.88344744302</v>
      </c>
      <c r="I101" s="398">
        <v>807451.88344744302</v>
      </c>
      <c r="J101" s="54">
        <v>0</v>
      </c>
      <c r="K101" s="54"/>
      <c r="L101" s="113">
        <f t="shared" si="34"/>
        <v>807451.88344744302</v>
      </c>
      <c r="M101" s="54">
        <f t="shared" si="40"/>
        <v>0</v>
      </c>
      <c r="N101" s="113">
        <f t="shared" si="36"/>
        <v>807451.88344744302</v>
      </c>
      <c r="O101" s="54">
        <f>IF(N101&lt;&gt;0,+I101-N101,0)</f>
        <v>0</v>
      </c>
      <c r="P101" s="54">
        <f>+O101-M101</f>
        <v>0</v>
      </c>
      <c r="Q101" s="1"/>
    </row>
    <row r="102" spans="1:17" ht="12.5">
      <c r="B102" s="7" t="str">
        <f t="shared" si="39"/>
        <v>IU</v>
      </c>
      <c r="C102" s="50">
        <f>IF(D93="","-",+C101+1)</f>
        <v>2015</v>
      </c>
      <c r="D102" s="133">
        <v>4954887.8452380951</v>
      </c>
      <c r="E102" s="376">
        <v>125439.97619047618</v>
      </c>
      <c r="F102" s="137">
        <v>4829447.8690476194</v>
      </c>
      <c r="G102" s="137">
        <v>4892167.8571428573</v>
      </c>
      <c r="H102" s="397">
        <v>770075.44510229141</v>
      </c>
      <c r="I102" s="398">
        <v>770075.44510229141</v>
      </c>
      <c r="J102" s="54">
        <f t="shared" si="33"/>
        <v>0</v>
      </c>
      <c r="K102" s="54"/>
      <c r="L102" s="113">
        <f t="shared" si="34"/>
        <v>770075.44510229141</v>
      </c>
      <c r="M102" s="54">
        <f t="shared" si="40"/>
        <v>0</v>
      </c>
      <c r="N102" s="113">
        <f t="shared" si="36"/>
        <v>770075.44510229141</v>
      </c>
      <c r="O102" s="54">
        <f>IF(N102&lt;&gt;0,+I102-N102,0)</f>
        <v>0</v>
      </c>
      <c r="P102" s="54">
        <f>+O102-M102</f>
        <v>0</v>
      </c>
      <c r="Q102" s="1"/>
    </row>
    <row r="103" spans="1:17" ht="12.5">
      <c r="B103" s="7" t="str">
        <f t="shared" si="39"/>
        <v/>
      </c>
      <c r="C103" s="50">
        <f>IF(D93="","-",+C102+1)</f>
        <v>2016</v>
      </c>
      <c r="D103" s="133">
        <v>4829447.8690476194</v>
      </c>
      <c r="E103" s="376">
        <v>122522.76744186046</v>
      </c>
      <c r="F103" s="137">
        <v>4706925.101605759</v>
      </c>
      <c r="G103" s="137">
        <v>4768186.4853266887</v>
      </c>
      <c r="H103" s="397">
        <v>727843.98591080913</v>
      </c>
      <c r="I103" s="398">
        <v>727843.98591080913</v>
      </c>
      <c r="J103" s="54">
        <f t="shared" si="33"/>
        <v>0</v>
      </c>
      <c r="K103" s="54"/>
      <c r="L103" s="113">
        <f t="shared" si="34"/>
        <v>727843.98591080913</v>
      </c>
      <c r="M103" s="54">
        <f t="shared" si="40"/>
        <v>0</v>
      </c>
      <c r="N103" s="113">
        <f t="shared" si="36"/>
        <v>727843.98591080913</v>
      </c>
      <c r="O103" s="54">
        <f>IF(N103&lt;&gt;0,+I103-N103,0)</f>
        <v>0</v>
      </c>
      <c r="P103" s="54">
        <f>+O103-M103</f>
        <v>0</v>
      </c>
      <c r="Q103" s="1"/>
    </row>
    <row r="104" spans="1:17" ht="12.5">
      <c r="B104" s="7" t="str">
        <f t="shared" si="39"/>
        <v/>
      </c>
      <c r="C104" s="50">
        <f>IF(D93="","-",+C103+1)</f>
        <v>2017</v>
      </c>
      <c r="D104" s="133">
        <v>4706925.101605759</v>
      </c>
      <c r="E104" s="376">
        <v>125439.97619047618</v>
      </c>
      <c r="F104" s="137">
        <v>4581485.1254152833</v>
      </c>
      <c r="G104" s="137">
        <v>4644205.1135105211</v>
      </c>
      <c r="H104" s="397">
        <v>689578.34111200261</v>
      </c>
      <c r="I104" s="398">
        <v>689578.34111200261</v>
      </c>
      <c r="J104" s="54">
        <f t="shared" si="33"/>
        <v>0</v>
      </c>
      <c r="K104" s="54"/>
      <c r="L104" s="113">
        <f t="shared" si="34"/>
        <v>689578.34111200261</v>
      </c>
      <c r="M104" s="54">
        <f t="shared" si="40"/>
        <v>0</v>
      </c>
      <c r="N104" s="113">
        <f t="shared" si="36"/>
        <v>689578.34111200261</v>
      </c>
      <c r="O104" s="54">
        <f>IF(N104&lt;&gt;0,+I104-N104,0)</f>
        <v>0</v>
      </c>
      <c r="P104" s="54">
        <f>+O104-M104</f>
        <v>0</v>
      </c>
      <c r="Q104" s="1"/>
    </row>
    <row r="105" spans="1:17" ht="12.5">
      <c r="B105" s="7" t="str">
        <f t="shared" si="39"/>
        <v/>
      </c>
      <c r="C105" s="50">
        <f>IF(D93="","-",+C104+1)</f>
        <v>2018</v>
      </c>
      <c r="D105" s="133">
        <v>4581485.1254152833</v>
      </c>
      <c r="E105" s="376">
        <v>125439.97619047618</v>
      </c>
      <c r="F105" s="137">
        <v>4456045.1492248075</v>
      </c>
      <c r="G105" s="137">
        <v>4518765.1373200454</v>
      </c>
      <c r="H105" s="397">
        <v>602642.29693406296</v>
      </c>
      <c r="I105" s="398">
        <v>602642.29693406296</v>
      </c>
      <c r="J105" s="54">
        <f t="shared" si="33"/>
        <v>0</v>
      </c>
      <c r="K105" s="54"/>
      <c r="L105" s="113">
        <f t="shared" ref="L105" si="41">H105</f>
        <v>602642.29693406296</v>
      </c>
      <c r="M105" s="54">
        <f t="shared" si="40"/>
        <v>0</v>
      </c>
      <c r="N105" s="113">
        <f t="shared" ref="N105" si="42">I105</f>
        <v>602642.29693406296</v>
      </c>
      <c r="O105" s="54">
        <f t="shared" si="37"/>
        <v>0</v>
      </c>
      <c r="P105" s="54">
        <f t="shared" si="38"/>
        <v>0</v>
      </c>
      <c r="Q105" s="1"/>
    </row>
    <row r="106" spans="1:17" ht="12.5">
      <c r="B106" s="7" t="str">
        <f t="shared" si="39"/>
        <v/>
      </c>
      <c r="C106" s="50">
        <f>IF(D93="","-",+C105+1)</f>
        <v>2019</v>
      </c>
      <c r="D106" s="133">
        <v>4456045.1492248075</v>
      </c>
      <c r="E106" s="376">
        <v>122522.76744186046</v>
      </c>
      <c r="F106" s="137">
        <v>4333522.3817829471</v>
      </c>
      <c r="G106" s="137">
        <v>4394783.7655038778</v>
      </c>
      <c r="H106" s="397">
        <v>592942.82363557536</v>
      </c>
      <c r="I106" s="398">
        <v>592942.82363557536</v>
      </c>
      <c r="J106" s="54">
        <f t="shared" si="33"/>
        <v>0</v>
      </c>
      <c r="K106" s="54"/>
      <c r="L106" s="113">
        <f t="shared" ref="L106" si="43">H106</f>
        <v>592942.82363557536</v>
      </c>
      <c r="M106" s="54">
        <f t="shared" ref="M106" si="44">IF(L106&lt;&gt;0,+H106-L106,0)</f>
        <v>0</v>
      </c>
      <c r="N106" s="113">
        <f t="shared" ref="N106" si="45">I106</f>
        <v>592942.82363557536</v>
      </c>
      <c r="O106" s="54">
        <f t="shared" si="37"/>
        <v>0</v>
      </c>
      <c r="P106" s="54">
        <f t="shared" si="38"/>
        <v>0</v>
      </c>
      <c r="Q106" s="1"/>
    </row>
    <row r="107" spans="1:17" ht="12.5">
      <c r="B107" s="7" t="str">
        <f t="shared" si="39"/>
        <v/>
      </c>
      <c r="C107" s="50">
        <f>IF(D93="","-",+C106+1)</f>
        <v>2020</v>
      </c>
      <c r="D107" s="133">
        <v>4333522.3817829471</v>
      </c>
      <c r="E107" s="376">
        <v>125439.97619047618</v>
      </c>
      <c r="F107" s="137">
        <v>4208082.4055924714</v>
      </c>
      <c r="G107" s="137">
        <v>4270802.3936877092</v>
      </c>
      <c r="H107" s="397">
        <v>584866.55753278674</v>
      </c>
      <c r="I107" s="398">
        <v>584866.55753278674</v>
      </c>
      <c r="J107" s="54">
        <f t="shared" si="33"/>
        <v>0</v>
      </c>
      <c r="K107" s="54"/>
      <c r="L107" s="113">
        <f t="shared" ref="L107" si="46">H107</f>
        <v>584866.55753278674</v>
      </c>
      <c r="M107" s="54">
        <f t="shared" ref="M107" si="47">IF(L107&lt;&gt;0,+H107-L107,0)</f>
        <v>0</v>
      </c>
      <c r="N107" s="113">
        <f t="shared" ref="N107" si="48">I107</f>
        <v>584866.55753278674</v>
      </c>
      <c r="O107" s="54">
        <f t="shared" si="37"/>
        <v>0</v>
      </c>
      <c r="P107" s="54">
        <f t="shared" si="38"/>
        <v>0</v>
      </c>
      <c r="Q107" s="1"/>
    </row>
    <row r="108" spans="1:17" ht="12.5">
      <c r="B108" s="7" t="str">
        <f t="shared" si="39"/>
        <v/>
      </c>
      <c r="C108" s="50">
        <f>IF(D93="","-",+C107+1)</f>
        <v>2021</v>
      </c>
      <c r="D108" s="133">
        <v>4208082.4055924714</v>
      </c>
      <c r="E108" s="376">
        <v>128499.48780487805</v>
      </c>
      <c r="F108" s="137">
        <v>4079582.9177875933</v>
      </c>
      <c r="G108" s="137">
        <v>4143832.6616900321</v>
      </c>
      <c r="H108" s="397">
        <v>598883.44661081501</v>
      </c>
      <c r="I108" s="398">
        <v>598883.44661081501</v>
      </c>
      <c r="J108" s="54">
        <f t="shared" si="33"/>
        <v>0</v>
      </c>
      <c r="K108" s="54"/>
      <c r="L108" s="113">
        <f t="shared" ref="L108" si="49">H108</f>
        <v>598883.44661081501</v>
      </c>
      <c r="M108" s="54">
        <f t="shared" ref="M108" si="50">IF(L108&lt;&gt;0,+H108-L108,0)</f>
        <v>0</v>
      </c>
      <c r="N108" s="113">
        <f t="shared" ref="N108" si="51">I108</f>
        <v>598883.44661081501</v>
      </c>
      <c r="O108" s="54">
        <f t="shared" si="37"/>
        <v>0</v>
      </c>
      <c r="P108" s="54">
        <f t="shared" si="38"/>
        <v>0</v>
      </c>
      <c r="Q108" s="1"/>
    </row>
    <row r="109" spans="1:17" ht="12.5">
      <c r="B109" s="7" t="str">
        <f t="shared" si="39"/>
        <v/>
      </c>
      <c r="C109" s="50">
        <f>IF(D93="","-",+C108+1)</f>
        <v>2022</v>
      </c>
      <c r="D109" s="133">
        <v>4079582.9177875933</v>
      </c>
      <c r="E109" s="376">
        <v>125439.97619047618</v>
      </c>
      <c r="F109" s="137">
        <v>3954142.9415971171</v>
      </c>
      <c r="G109" s="137">
        <v>4016862.929692355</v>
      </c>
      <c r="H109" s="397">
        <v>597252.03170916019</v>
      </c>
      <c r="I109" s="398">
        <v>597252.03170916019</v>
      </c>
      <c r="J109" s="54">
        <f t="shared" si="33"/>
        <v>0</v>
      </c>
      <c r="K109" s="54"/>
      <c r="L109" s="113">
        <f t="shared" ref="L109" si="52">H109</f>
        <v>597252.03170916019</v>
      </c>
      <c r="M109" s="54">
        <f t="shared" ref="M109" si="53">IF(L109&lt;&gt;0,+H109-L109,0)</f>
        <v>0</v>
      </c>
      <c r="N109" s="113">
        <f t="shared" ref="N109" si="54">I109</f>
        <v>597252.03170916019</v>
      </c>
      <c r="O109" s="54">
        <f t="shared" ref="O109" si="55">IF(N109&lt;&gt;0,+I109-N109,0)</f>
        <v>0</v>
      </c>
      <c r="P109" s="54">
        <f t="shared" ref="P109" si="56">+O109-M109</f>
        <v>0</v>
      </c>
      <c r="Q109" s="1"/>
    </row>
    <row r="110" spans="1:17" ht="12.5">
      <c r="B110" s="7" t="str">
        <f t="shared" si="39"/>
        <v/>
      </c>
      <c r="C110" s="50">
        <f>IF(D93="","-",+C109+1)</f>
        <v>2023</v>
      </c>
      <c r="D110" s="133">
        <v>3954142.9415971171</v>
      </c>
      <c r="E110" s="376">
        <v>119738.15909090909</v>
      </c>
      <c r="F110" s="137">
        <v>3834404.7825062079</v>
      </c>
      <c r="G110" s="137">
        <v>3894273.8620516625</v>
      </c>
      <c r="H110" s="397">
        <v>600155.47299985273</v>
      </c>
      <c r="I110" s="398">
        <v>600155.47299985273</v>
      </c>
      <c r="J110" s="54">
        <f t="shared" si="33"/>
        <v>0</v>
      </c>
      <c r="K110" s="54"/>
      <c r="L110" s="113">
        <f t="shared" ref="L110" si="57">H110</f>
        <v>600155.47299985273</v>
      </c>
      <c r="M110" s="54">
        <f t="shared" ref="M110" si="58">IF(L110&lt;&gt;0,+H110-L110,0)</f>
        <v>0</v>
      </c>
      <c r="N110" s="113">
        <f t="shared" ref="N110" si="59">I110</f>
        <v>600155.47299985273</v>
      </c>
      <c r="O110" s="54">
        <f t="shared" ref="O110" si="60">IF(N110&lt;&gt;0,+I110-N110,0)</f>
        <v>0</v>
      </c>
      <c r="P110" s="54">
        <f t="shared" ref="P110" si="61">+O110-M110</f>
        <v>0</v>
      </c>
      <c r="Q110" s="1"/>
    </row>
    <row r="111" spans="1:17" ht="12.5">
      <c r="B111" s="7" t="str">
        <f t="shared" si="39"/>
        <v/>
      </c>
      <c r="C111" s="50">
        <f>IF(D93="","-",+C110+1)</f>
        <v>2024</v>
      </c>
      <c r="D111" s="12">
        <f>IF(F110+SUM(E$99:E110)=D$92,F110,D$92-SUM(E$99:E110))</f>
        <v>3834404.7825062079</v>
      </c>
      <c r="E111" s="378">
        <f>IF(+J96&lt;F110,J96,D111)</f>
        <v>119738.15909090909</v>
      </c>
      <c r="F111" s="55">
        <f t="shared" ref="F111:F131" si="62">+D111-E111</f>
        <v>3714666.6234152988</v>
      </c>
      <c r="G111" s="55">
        <f t="shared" ref="G111:G130" si="63">+(F111+D111)/2</f>
        <v>3774535.7029607533</v>
      </c>
      <c r="H111" s="380">
        <f t="shared" ref="H111:H130" si="64">+J$94*G111+E111</f>
        <v>589767.27501003328</v>
      </c>
      <c r="I111" s="399">
        <f t="shared" ref="I111:I130" si="65">+J$95*G111+E111</f>
        <v>589767.27501003328</v>
      </c>
      <c r="J111" s="54">
        <f t="shared" si="33"/>
        <v>0</v>
      </c>
      <c r="K111" s="54"/>
      <c r="L111" s="129"/>
      <c r="M111" s="54">
        <f t="shared" si="35"/>
        <v>0</v>
      </c>
      <c r="N111" s="129"/>
      <c r="O111" s="54">
        <f t="shared" si="37"/>
        <v>0</v>
      </c>
      <c r="P111" s="54">
        <f t="shared" si="38"/>
        <v>0</v>
      </c>
      <c r="Q111" s="1"/>
    </row>
    <row r="112" spans="1:17" ht="12.5">
      <c r="B112" s="7" t="str">
        <f t="shared" si="39"/>
        <v/>
      </c>
      <c r="C112" s="50">
        <f>IF(D93="","-",+C111+1)</f>
        <v>2025</v>
      </c>
      <c r="D112" s="12">
        <f>IF(F111+SUM(E$99:E111)=D$92,F111,D$92-SUM(E$99:E111))</f>
        <v>3714666.6234152988</v>
      </c>
      <c r="E112" s="378">
        <f>IF(+J96&lt;F111,J96,D112)</f>
        <v>119738.15909090909</v>
      </c>
      <c r="F112" s="55">
        <f t="shared" si="62"/>
        <v>3594928.4643243896</v>
      </c>
      <c r="G112" s="55">
        <f t="shared" si="63"/>
        <v>3654797.5438698442</v>
      </c>
      <c r="H112" s="380">
        <f t="shared" si="64"/>
        <v>574856.7203118389</v>
      </c>
      <c r="I112" s="399">
        <f t="shared" si="65"/>
        <v>574856.7203118389</v>
      </c>
      <c r="J112" s="54">
        <f t="shared" si="33"/>
        <v>0</v>
      </c>
      <c r="K112" s="54"/>
      <c r="L112" s="129"/>
      <c r="M112" s="54">
        <f t="shared" si="35"/>
        <v>0</v>
      </c>
      <c r="N112" s="129"/>
      <c r="O112" s="54">
        <f t="shared" si="37"/>
        <v>0</v>
      </c>
      <c r="P112" s="54">
        <f t="shared" si="38"/>
        <v>0</v>
      </c>
      <c r="Q112" s="1"/>
    </row>
    <row r="113" spans="2:17" ht="12.5">
      <c r="B113" s="7" t="str">
        <f t="shared" si="39"/>
        <v/>
      </c>
      <c r="C113" s="50">
        <f>IF(D93="","-",+C112+1)</f>
        <v>2026</v>
      </c>
      <c r="D113" s="12">
        <f>IF(F112+SUM(E$99:E112)=D$92,F112,D$92-SUM(E$99:E112))</f>
        <v>3594928.4643243896</v>
      </c>
      <c r="E113" s="378">
        <f>IF(+J96&lt;F112,J96,D113)</f>
        <v>119738.15909090909</v>
      </c>
      <c r="F113" s="55">
        <f t="shared" si="62"/>
        <v>3475190.3052334804</v>
      </c>
      <c r="G113" s="55">
        <f t="shared" si="63"/>
        <v>3535059.384778935</v>
      </c>
      <c r="H113" s="380">
        <f t="shared" si="64"/>
        <v>559946.16561364464</v>
      </c>
      <c r="I113" s="399">
        <f t="shared" si="65"/>
        <v>559946.16561364464</v>
      </c>
      <c r="J113" s="54">
        <f t="shared" si="33"/>
        <v>0</v>
      </c>
      <c r="K113" s="54"/>
      <c r="L113" s="129"/>
      <c r="M113" s="54">
        <f t="shared" si="35"/>
        <v>0</v>
      </c>
      <c r="N113" s="129"/>
      <c r="O113" s="54">
        <f t="shared" si="37"/>
        <v>0</v>
      </c>
      <c r="P113" s="54">
        <f t="shared" si="38"/>
        <v>0</v>
      </c>
      <c r="Q113" s="1"/>
    </row>
    <row r="114" spans="2:17" ht="12.5">
      <c r="B114" s="7" t="str">
        <f t="shared" si="39"/>
        <v/>
      </c>
      <c r="C114" s="50">
        <f>IF(D93="","-",+C113+1)</f>
        <v>2027</v>
      </c>
      <c r="D114" s="12">
        <f>IF(F113+SUM(E$99:E113)=D$92,F113,D$92-SUM(E$99:E113))</f>
        <v>3475190.3052334804</v>
      </c>
      <c r="E114" s="378">
        <f>IF(+J96&lt;F113,J96,D114)</f>
        <v>119738.15909090909</v>
      </c>
      <c r="F114" s="55">
        <f t="shared" si="62"/>
        <v>3355452.1461425712</v>
      </c>
      <c r="G114" s="55">
        <f t="shared" si="63"/>
        <v>3415321.2256880258</v>
      </c>
      <c r="H114" s="380">
        <f t="shared" si="64"/>
        <v>545035.61091545038</v>
      </c>
      <c r="I114" s="399">
        <f t="shared" si="65"/>
        <v>545035.61091545038</v>
      </c>
      <c r="J114" s="54">
        <f t="shared" si="33"/>
        <v>0</v>
      </c>
      <c r="K114" s="54"/>
      <c r="L114" s="129"/>
      <c r="M114" s="54">
        <f t="shared" si="35"/>
        <v>0</v>
      </c>
      <c r="N114" s="129"/>
      <c r="O114" s="54">
        <f t="shared" si="37"/>
        <v>0</v>
      </c>
      <c r="P114" s="54">
        <f t="shared" si="38"/>
        <v>0</v>
      </c>
      <c r="Q114" s="1"/>
    </row>
    <row r="115" spans="2:17" ht="12.5">
      <c r="B115" s="7" t="str">
        <f t="shared" si="39"/>
        <v/>
      </c>
      <c r="C115" s="50">
        <f>IF(D93="","-",+C114+1)</f>
        <v>2028</v>
      </c>
      <c r="D115" s="12">
        <f>IF(F114+SUM(E$99:E114)=D$92,F114,D$92-SUM(E$99:E114))</f>
        <v>3355452.1461425712</v>
      </c>
      <c r="E115" s="378">
        <f>IF(+J96&lt;F114,J96,D115)</f>
        <v>119738.15909090909</v>
      </c>
      <c r="F115" s="55">
        <f t="shared" si="62"/>
        <v>3235713.9870516621</v>
      </c>
      <c r="G115" s="55">
        <f t="shared" si="63"/>
        <v>3295583.0665971166</v>
      </c>
      <c r="H115" s="380">
        <f t="shared" si="64"/>
        <v>530125.05621725612</v>
      </c>
      <c r="I115" s="399">
        <f t="shared" si="65"/>
        <v>530125.05621725612</v>
      </c>
      <c r="J115" s="54">
        <f t="shared" si="33"/>
        <v>0</v>
      </c>
      <c r="K115" s="54"/>
      <c r="L115" s="129"/>
      <c r="M115" s="54">
        <f t="shared" si="35"/>
        <v>0</v>
      </c>
      <c r="N115" s="129"/>
      <c r="O115" s="54">
        <f t="shared" si="37"/>
        <v>0</v>
      </c>
      <c r="P115" s="54">
        <f t="shared" si="38"/>
        <v>0</v>
      </c>
      <c r="Q115" s="1"/>
    </row>
    <row r="116" spans="2:17" ht="12.5">
      <c r="B116" s="7" t="str">
        <f t="shared" si="39"/>
        <v/>
      </c>
      <c r="C116" s="50">
        <f>IF(D93="","-",+C115+1)</f>
        <v>2029</v>
      </c>
      <c r="D116" s="12">
        <f>IF(F115+SUM(E$99:E115)=D$92,F115,D$92-SUM(E$99:E115))</f>
        <v>3235713.9870516621</v>
      </c>
      <c r="E116" s="378">
        <f>IF(+J96&lt;F115,J96,D116)</f>
        <v>119738.15909090909</v>
      </c>
      <c r="F116" s="55">
        <f t="shared" si="62"/>
        <v>3115975.8279607529</v>
      </c>
      <c r="G116" s="55">
        <f t="shared" si="63"/>
        <v>3175844.9075062075</v>
      </c>
      <c r="H116" s="380">
        <f t="shared" si="64"/>
        <v>515214.50151906186</v>
      </c>
      <c r="I116" s="399">
        <f t="shared" si="65"/>
        <v>515214.50151906186</v>
      </c>
      <c r="J116" s="54">
        <f t="shared" si="33"/>
        <v>0</v>
      </c>
      <c r="K116" s="54"/>
      <c r="L116" s="129"/>
      <c r="M116" s="54">
        <f t="shared" si="35"/>
        <v>0</v>
      </c>
      <c r="N116" s="129"/>
      <c r="O116" s="54">
        <f t="shared" si="37"/>
        <v>0</v>
      </c>
      <c r="P116" s="54">
        <f t="shared" si="38"/>
        <v>0</v>
      </c>
      <c r="Q116" s="1"/>
    </row>
    <row r="117" spans="2:17" ht="12.5">
      <c r="B117" s="7" t="str">
        <f t="shared" si="39"/>
        <v/>
      </c>
      <c r="C117" s="50">
        <f>IF(D93="","-",+C116+1)</f>
        <v>2030</v>
      </c>
      <c r="D117" s="12">
        <f>IF(F116+SUM(E$99:E116)=D$92,F116,D$92-SUM(E$99:E116))</f>
        <v>3115975.8279607529</v>
      </c>
      <c r="E117" s="378">
        <f>IF(+J96&lt;F116,J96,D117)</f>
        <v>119738.15909090909</v>
      </c>
      <c r="F117" s="55">
        <f t="shared" si="62"/>
        <v>2996237.6688698437</v>
      </c>
      <c r="G117" s="55">
        <f t="shared" si="63"/>
        <v>3056106.7484152983</v>
      </c>
      <c r="H117" s="380">
        <f t="shared" si="64"/>
        <v>500303.9468208676</v>
      </c>
      <c r="I117" s="399">
        <f t="shared" si="65"/>
        <v>500303.9468208676</v>
      </c>
      <c r="J117" s="54">
        <f t="shared" si="33"/>
        <v>0</v>
      </c>
      <c r="K117" s="54"/>
      <c r="L117" s="129"/>
      <c r="M117" s="54">
        <f t="shared" si="35"/>
        <v>0</v>
      </c>
      <c r="N117" s="129"/>
      <c r="O117" s="54">
        <f t="shared" si="37"/>
        <v>0</v>
      </c>
      <c r="P117" s="54">
        <f t="shared" si="38"/>
        <v>0</v>
      </c>
      <c r="Q117" s="1"/>
    </row>
    <row r="118" spans="2:17" ht="12.5">
      <c r="B118" s="7" t="str">
        <f t="shared" si="39"/>
        <v/>
      </c>
      <c r="C118" s="50">
        <f>IF(D93="","-",+C117+1)</f>
        <v>2031</v>
      </c>
      <c r="D118" s="12">
        <f>IF(F117+SUM(E$99:E117)=D$92,F117,D$92-SUM(E$99:E117))</f>
        <v>2996237.6688698437</v>
      </c>
      <c r="E118" s="378">
        <f>IF(+J96&lt;F117,J96,D118)</f>
        <v>119738.15909090909</v>
      </c>
      <c r="F118" s="55">
        <f t="shared" si="62"/>
        <v>2876499.5097789345</v>
      </c>
      <c r="G118" s="55">
        <f t="shared" si="63"/>
        <v>2936368.5893243891</v>
      </c>
      <c r="H118" s="380">
        <f t="shared" si="64"/>
        <v>485393.39212267334</v>
      </c>
      <c r="I118" s="399">
        <f t="shared" si="65"/>
        <v>485393.39212267334</v>
      </c>
      <c r="J118" s="54">
        <f t="shared" si="33"/>
        <v>0</v>
      </c>
      <c r="K118" s="54"/>
      <c r="L118" s="129"/>
      <c r="M118" s="54">
        <f t="shared" si="35"/>
        <v>0</v>
      </c>
      <c r="N118" s="129"/>
      <c r="O118" s="54">
        <f t="shared" si="37"/>
        <v>0</v>
      </c>
      <c r="P118" s="54">
        <f t="shared" si="38"/>
        <v>0</v>
      </c>
      <c r="Q118" s="1"/>
    </row>
    <row r="119" spans="2:17" ht="12.5">
      <c r="B119" s="7" t="str">
        <f t="shared" si="39"/>
        <v/>
      </c>
      <c r="C119" s="50">
        <f>IF(D93="","-",+C118+1)</f>
        <v>2032</v>
      </c>
      <c r="D119" s="12">
        <f>IF(F118+SUM(E$99:E118)=D$92,F118,D$92-SUM(E$99:E118))</f>
        <v>2876499.5097789345</v>
      </c>
      <c r="E119" s="378">
        <f>IF(+J96&lt;F118,J96,D119)</f>
        <v>119738.15909090909</v>
      </c>
      <c r="F119" s="55">
        <f t="shared" si="62"/>
        <v>2756761.3506880254</v>
      </c>
      <c r="G119" s="55">
        <f t="shared" si="63"/>
        <v>2816630.4302334799</v>
      </c>
      <c r="H119" s="380">
        <f t="shared" si="64"/>
        <v>470482.83742447908</v>
      </c>
      <c r="I119" s="399">
        <f t="shared" si="65"/>
        <v>470482.83742447908</v>
      </c>
      <c r="J119" s="54">
        <f t="shared" si="33"/>
        <v>0</v>
      </c>
      <c r="K119" s="54"/>
      <c r="L119" s="129"/>
      <c r="M119" s="54">
        <f t="shared" si="35"/>
        <v>0</v>
      </c>
      <c r="N119" s="129"/>
      <c r="O119" s="54">
        <f t="shared" si="37"/>
        <v>0</v>
      </c>
      <c r="P119" s="54">
        <f t="shared" si="38"/>
        <v>0</v>
      </c>
      <c r="Q119" s="1"/>
    </row>
    <row r="120" spans="2:17" ht="12.5">
      <c r="B120" s="7" t="str">
        <f t="shared" si="39"/>
        <v/>
      </c>
      <c r="C120" s="50">
        <f>IF(D93="","-",+C119+1)</f>
        <v>2033</v>
      </c>
      <c r="D120" s="12">
        <f>IF(F119+SUM(E$99:E119)=D$92,F119,D$92-SUM(E$99:E119))</f>
        <v>2756761.3506880254</v>
      </c>
      <c r="E120" s="378">
        <f>IF(+J96&lt;F119,J96,D120)</f>
        <v>119738.15909090909</v>
      </c>
      <c r="F120" s="55">
        <f t="shared" si="62"/>
        <v>2637023.1915971162</v>
      </c>
      <c r="G120" s="55">
        <f t="shared" si="63"/>
        <v>2696892.2711425708</v>
      </c>
      <c r="H120" s="380">
        <f t="shared" si="64"/>
        <v>455572.28272628481</v>
      </c>
      <c r="I120" s="399">
        <f t="shared" si="65"/>
        <v>455572.28272628481</v>
      </c>
      <c r="J120" s="54">
        <f t="shared" si="33"/>
        <v>0</v>
      </c>
      <c r="K120" s="54"/>
      <c r="L120" s="129"/>
      <c r="M120" s="54">
        <f t="shared" si="35"/>
        <v>0</v>
      </c>
      <c r="N120" s="129"/>
      <c r="O120" s="54">
        <f t="shared" si="37"/>
        <v>0</v>
      </c>
      <c r="P120" s="54">
        <f t="shared" si="38"/>
        <v>0</v>
      </c>
      <c r="Q120" s="1"/>
    </row>
    <row r="121" spans="2:17" ht="12.5">
      <c r="B121" s="7" t="str">
        <f t="shared" si="39"/>
        <v/>
      </c>
      <c r="C121" s="50">
        <f>IF(D93="","-",+C120+1)</f>
        <v>2034</v>
      </c>
      <c r="D121" s="12">
        <f>IF(F120+SUM(E$99:E120)=D$92,F120,D$92-SUM(E$99:E120))</f>
        <v>2637023.1915971162</v>
      </c>
      <c r="E121" s="378">
        <f>IF(+J96&lt;F120,J96,D121)</f>
        <v>119738.15909090909</v>
      </c>
      <c r="F121" s="55">
        <f t="shared" si="62"/>
        <v>2517285.032506207</v>
      </c>
      <c r="G121" s="55">
        <f t="shared" si="63"/>
        <v>2577154.1120516616</v>
      </c>
      <c r="H121" s="380">
        <f t="shared" si="64"/>
        <v>440661.72802809055</v>
      </c>
      <c r="I121" s="399">
        <f t="shared" si="65"/>
        <v>440661.72802809055</v>
      </c>
      <c r="J121" s="54">
        <f t="shared" si="33"/>
        <v>0</v>
      </c>
      <c r="K121" s="54"/>
      <c r="L121" s="129"/>
      <c r="M121" s="54">
        <f t="shared" si="35"/>
        <v>0</v>
      </c>
      <c r="N121" s="129"/>
      <c r="O121" s="54">
        <f t="shared" si="37"/>
        <v>0</v>
      </c>
      <c r="P121" s="54">
        <f t="shared" si="38"/>
        <v>0</v>
      </c>
      <c r="Q121" s="1"/>
    </row>
    <row r="122" spans="2:17" ht="12.5">
      <c r="B122" s="7" t="str">
        <f t="shared" si="39"/>
        <v/>
      </c>
      <c r="C122" s="50">
        <f>IF(D93="","-",+C121+1)</f>
        <v>2035</v>
      </c>
      <c r="D122" s="12">
        <f>IF(F121+SUM(E$99:E121)=D$92,F121,D$92-SUM(E$99:E121))</f>
        <v>2517285.032506207</v>
      </c>
      <c r="E122" s="378">
        <f>IF(+J96&lt;F121,J96,D122)</f>
        <v>119738.15909090909</v>
      </c>
      <c r="F122" s="55">
        <f t="shared" si="62"/>
        <v>2397546.8734152978</v>
      </c>
      <c r="G122" s="55">
        <f t="shared" si="63"/>
        <v>2457415.9529607524</v>
      </c>
      <c r="H122" s="380">
        <f t="shared" si="64"/>
        <v>425751.17332989629</v>
      </c>
      <c r="I122" s="399">
        <f t="shared" si="65"/>
        <v>425751.17332989629</v>
      </c>
      <c r="J122" s="54">
        <f t="shared" si="33"/>
        <v>0</v>
      </c>
      <c r="K122" s="54"/>
      <c r="L122" s="129"/>
      <c r="M122" s="54">
        <f t="shared" si="35"/>
        <v>0</v>
      </c>
      <c r="N122" s="129"/>
      <c r="O122" s="54">
        <f t="shared" si="37"/>
        <v>0</v>
      </c>
      <c r="P122" s="54">
        <f t="shared" si="38"/>
        <v>0</v>
      </c>
      <c r="Q122" s="1"/>
    </row>
    <row r="123" spans="2:17" ht="12.5">
      <c r="B123" s="7" t="str">
        <f t="shared" si="39"/>
        <v/>
      </c>
      <c r="C123" s="50">
        <f>IF(D93="","-",+C122+1)</f>
        <v>2036</v>
      </c>
      <c r="D123" s="12">
        <f>IF(F122+SUM(E$99:E122)=D$92,F122,D$92-SUM(E$99:E122))</f>
        <v>2397546.8734152978</v>
      </c>
      <c r="E123" s="378">
        <f>IF(+J96&lt;F122,J96,D123)</f>
        <v>119738.15909090909</v>
      </c>
      <c r="F123" s="55">
        <f t="shared" si="62"/>
        <v>2277808.7143243887</v>
      </c>
      <c r="G123" s="55">
        <f t="shared" si="63"/>
        <v>2337677.7938698432</v>
      </c>
      <c r="H123" s="380">
        <f t="shared" si="64"/>
        <v>410840.61863170192</v>
      </c>
      <c r="I123" s="399">
        <f t="shared" si="65"/>
        <v>410840.61863170192</v>
      </c>
      <c r="J123" s="54">
        <f t="shared" si="33"/>
        <v>0</v>
      </c>
      <c r="K123" s="54"/>
      <c r="L123" s="129"/>
      <c r="M123" s="54">
        <f t="shared" si="35"/>
        <v>0</v>
      </c>
      <c r="N123" s="129"/>
      <c r="O123" s="54">
        <f t="shared" si="37"/>
        <v>0</v>
      </c>
      <c r="P123" s="54">
        <f t="shared" si="38"/>
        <v>0</v>
      </c>
      <c r="Q123" s="1"/>
    </row>
    <row r="124" spans="2:17" ht="12.5">
      <c r="B124" s="7" t="str">
        <f t="shared" si="39"/>
        <v/>
      </c>
      <c r="C124" s="50">
        <f>IF(D93="","-",+C123+1)</f>
        <v>2037</v>
      </c>
      <c r="D124" s="12">
        <f>IF(F123+SUM(E$99:E123)=D$92,F123,D$92-SUM(E$99:E123))</f>
        <v>2277808.7143243887</v>
      </c>
      <c r="E124" s="378">
        <f>IF(+J96&lt;F123,J96,D124)</f>
        <v>119738.15909090909</v>
      </c>
      <c r="F124" s="55">
        <f t="shared" si="62"/>
        <v>2158070.5552334795</v>
      </c>
      <c r="G124" s="55">
        <f t="shared" si="63"/>
        <v>2217939.6347789341</v>
      </c>
      <c r="H124" s="380">
        <f t="shared" si="64"/>
        <v>395930.06393350766</v>
      </c>
      <c r="I124" s="399">
        <f t="shared" si="65"/>
        <v>395930.06393350766</v>
      </c>
      <c r="J124" s="54">
        <f t="shared" si="33"/>
        <v>0</v>
      </c>
      <c r="K124" s="54"/>
      <c r="L124" s="129"/>
      <c r="M124" s="54">
        <f t="shared" si="35"/>
        <v>0</v>
      </c>
      <c r="N124" s="129"/>
      <c r="O124" s="54">
        <f t="shared" si="37"/>
        <v>0</v>
      </c>
      <c r="P124" s="54">
        <f t="shared" si="38"/>
        <v>0</v>
      </c>
      <c r="Q124" s="1"/>
    </row>
    <row r="125" spans="2:17" ht="12.5">
      <c r="B125" s="7" t="str">
        <f t="shared" si="39"/>
        <v/>
      </c>
      <c r="C125" s="50">
        <f>IF(D93="","-",+C124+1)</f>
        <v>2038</v>
      </c>
      <c r="D125" s="12">
        <f>IF(F124+SUM(E$99:E124)=D$92,F124,D$92-SUM(E$99:E124))</f>
        <v>2158070.5552334795</v>
      </c>
      <c r="E125" s="378">
        <f>IF(+J96&lt;F124,J96,D125)</f>
        <v>119738.15909090909</v>
      </c>
      <c r="F125" s="55">
        <f t="shared" si="62"/>
        <v>2038332.3961425703</v>
      </c>
      <c r="G125" s="55">
        <f t="shared" si="63"/>
        <v>2098201.4756880249</v>
      </c>
      <c r="H125" s="380">
        <f t="shared" si="64"/>
        <v>381019.5092353134</v>
      </c>
      <c r="I125" s="399">
        <f t="shared" si="65"/>
        <v>381019.5092353134</v>
      </c>
      <c r="J125" s="54">
        <f t="shared" si="33"/>
        <v>0</v>
      </c>
      <c r="K125" s="54"/>
      <c r="L125" s="129"/>
      <c r="M125" s="54">
        <f t="shared" si="35"/>
        <v>0</v>
      </c>
      <c r="N125" s="129"/>
      <c r="O125" s="54">
        <f t="shared" si="37"/>
        <v>0</v>
      </c>
      <c r="P125" s="54">
        <f t="shared" si="38"/>
        <v>0</v>
      </c>
      <c r="Q125" s="1"/>
    </row>
    <row r="126" spans="2:17" ht="12.5">
      <c r="B126" s="7" t="str">
        <f t="shared" si="39"/>
        <v/>
      </c>
      <c r="C126" s="50">
        <f>IF(D93="","-",+C125+1)</f>
        <v>2039</v>
      </c>
      <c r="D126" s="12">
        <f>IF(F125+SUM(E$99:E125)=D$92,F125,D$92-SUM(E$99:E125))</f>
        <v>2038332.3961425703</v>
      </c>
      <c r="E126" s="378">
        <f>IF(+J96&lt;F125,J96,D126)</f>
        <v>119738.15909090909</v>
      </c>
      <c r="F126" s="55">
        <f t="shared" si="62"/>
        <v>1918594.2370516611</v>
      </c>
      <c r="G126" s="55">
        <f t="shared" si="63"/>
        <v>1978463.3165971157</v>
      </c>
      <c r="H126" s="380">
        <f t="shared" si="64"/>
        <v>366108.95453711913</v>
      </c>
      <c r="I126" s="399">
        <f t="shared" si="65"/>
        <v>366108.95453711913</v>
      </c>
      <c r="J126" s="54">
        <f t="shared" si="33"/>
        <v>0</v>
      </c>
      <c r="K126" s="54"/>
      <c r="L126" s="129"/>
      <c r="M126" s="54">
        <f t="shared" si="35"/>
        <v>0</v>
      </c>
      <c r="N126" s="129"/>
      <c r="O126" s="54">
        <f t="shared" si="37"/>
        <v>0</v>
      </c>
      <c r="P126" s="54">
        <f t="shared" si="38"/>
        <v>0</v>
      </c>
      <c r="Q126" s="1"/>
    </row>
    <row r="127" spans="2:17" ht="12.5">
      <c r="B127" s="7" t="str">
        <f t="shared" si="39"/>
        <v/>
      </c>
      <c r="C127" s="50">
        <f>IF(D93="","-",+C126+1)</f>
        <v>2040</v>
      </c>
      <c r="D127" s="12">
        <f>IF(F126+SUM(E$99:E126)=D$92,F126,D$92-SUM(E$99:E126))</f>
        <v>1918594.2370516611</v>
      </c>
      <c r="E127" s="378">
        <f>IF(+J96&lt;F126,J96,D127)</f>
        <v>119738.15909090909</v>
      </c>
      <c r="F127" s="55">
        <f t="shared" si="62"/>
        <v>1798856.077960752</v>
      </c>
      <c r="G127" s="55">
        <f t="shared" si="63"/>
        <v>1858725.1575062065</v>
      </c>
      <c r="H127" s="380">
        <f t="shared" si="64"/>
        <v>351198.39983892487</v>
      </c>
      <c r="I127" s="399">
        <f t="shared" si="65"/>
        <v>351198.39983892487</v>
      </c>
      <c r="J127" s="54">
        <f t="shared" si="33"/>
        <v>0</v>
      </c>
      <c r="K127" s="54"/>
      <c r="L127" s="129"/>
      <c r="M127" s="54">
        <f t="shared" si="35"/>
        <v>0</v>
      </c>
      <c r="N127" s="129"/>
      <c r="O127" s="54">
        <f t="shared" si="37"/>
        <v>0</v>
      </c>
      <c r="P127" s="54">
        <f t="shared" si="38"/>
        <v>0</v>
      </c>
      <c r="Q127" s="1"/>
    </row>
    <row r="128" spans="2:17" ht="12.5">
      <c r="B128" s="7" t="str">
        <f t="shared" si="39"/>
        <v/>
      </c>
      <c r="C128" s="50">
        <f>IF(D93="","-",+C127+1)</f>
        <v>2041</v>
      </c>
      <c r="D128" s="12">
        <f>IF(F127+SUM(E$99:E127)=D$92,F127,D$92-SUM(E$99:E127))</f>
        <v>1798856.077960752</v>
      </c>
      <c r="E128" s="378">
        <f>IF(+J96&lt;F127,J96,D128)</f>
        <v>119738.15909090909</v>
      </c>
      <c r="F128" s="55">
        <f t="shared" si="62"/>
        <v>1679117.9188698428</v>
      </c>
      <c r="G128" s="55">
        <f t="shared" si="63"/>
        <v>1738986.9984152974</v>
      </c>
      <c r="H128" s="380">
        <f t="shared" si="64"/>
        <v>336287.84514073061</v>
      </c>
      <c r="I128" s="399">
        <f t="shared" si="65"/>
        <v>336287.84514073061</v>
      </c>
      <c r="J128" s="54">
        <f t="shared" si="33"/>
        <v>0</v>
      </c>
      <c r="K128" s="54"/>
      <c r="L128" s="129"/>
      <c r="M128" s="54">
        <f t="shared" si="35"/>
        <v>0</v>
      </c>
      <c r="N128" s="129"/>
      <c r="O128" s="54">
        <f t="shared" si="37"/>
        <v>0</v>
      </c>
      <c r="P128" s="54">
        <f t="shared" si="38"/>
        <v>0</v>
      </c>
      <c r="Q128" s="1"/>
    </row>
    <row r="129" spans="2:17" ht="12.5">
      <c r="B129" s="7" t="str">
        <f t="shared" si="39"/>
        <v/>
      </c>
      <c r="C129" s="50">
        <f>IF(D93="","-",+C128+1)</f>
        <v>2042</v>
      </c>
      <c r="D129" s="12">
        <f>IF(F128+SUM(E$99:E128)=D$92,F128,D$92-SUM(E$99:E128))</f>
        <v>1679117.9188698428</v>
      </c>
      <c r="E129" s="378">
        <f>IF(+J96&lt;F128,J96,D129)</f>
        <v>119738.15909090909</v>
      </c>
      <c r="F129" s="55">
        <f t="shared" si="62"/>
        <v>1559379.7597789336</v>
      </c>
      <c r="G129" s="55">
        <f t="shared" si="63"/>
        <v>1619248.8393243882</v>
      </c>
      <c r="H129" s="380">
        <f t="shared" si="64"/>
        <v>321377.29044253635</v>
      </c>
      <c r="I129" s="399">
        <f t="shared" si="65"/>
        <v>321377.29044253635</v>
      </c>
      <c r="J129" s="54">
        <f t="shared" si="33"/>
        <v>0</v>
      </c>
      <c r="K129" s="54"/>
      <c r="L129" s="129"/>
      <c r="M129" s="54">
        <f t="shared" si="35"/>
        <v>0</v>
      </c>
      <c r="N129" s="129"/>
      <c r="O129" s="54">
        <f t="shared" si="37"/>
        <v>0</v>
      </c>
      <c r="P129" s="54">
        <f t="shared" si="38"/>
        <v>0</v>
      </c>
      <c r="Q129" s="1"/>
    </row>
    <row r="130" spans="2:17" ht="12.5">
      <c r="B130" s="7" t="str">
        <f t="shared" si="39"/>
        <v/>
      </c>
      <c r="C130" s="50">
        <f>IF(D93="","-",+C129+1)</f>
        <v>2043</v>
      </c>
      <c r="D130" s="12">
        <f>IF(F129+SUM(E$99:E129)=D$92,F129,D$92-SUM(E$99:E129))</f>
        <v>1559379.7597789336</v>
      </c>
      <c r="E130" s="378">
        <f>IF(+J96&lt;F129,J96,D130)</f>
        <v>119738.15909090909</v>
      </c>
      <c r="F130" s="55">
        <f t="shared" si="62"/>
        <v>1439641.6006880244</v>
      </c>
      <c r="G130" s="55">
        <f t="shared" si="63"/>
        <v>1499510.680233479</v>
      </c>
      <c r="H130" s="380">
        <f t="shared" si="64"/>
        <v>306466.73574434209</v>
      </c>
      <c r="I130" s="399">
        <f t="shared" si="65"/>
        <v>306466.73574434209</v>
      </c>
      <c r="J130" s="54">
        <f t="shared" si="33"/>
        <v>0</v>
      </c>
      <c r="K130" s="54"/>
      <c r="L130" s="129"/>
      <c r="M130" s="54">
        <f t="shared" si="35"/>
        <v>0</v>
      </c>
      <c r="N130" s="129"/>
      <c r="O130" s="54">
        <f t="shared" si="37"/>
        <v>0</v>
      </c>
      <c r="P130" s="54">
        <f t="shared" si="38"/>
        <v>0</v>
      </c>
      <c r="Q130" s="1"/>
    </row>
    <row r="131" spans="2:17" ht="12.5">
      <c r="B131" s="7" t="str">
        <f t="shared" si="39"/>
        <v/>
      </c>
      <c r="C131" s="50">
        <f>IF(D93="","-",+C130+1)</f>
        <v>2044</v>
      </c>
      <c r="D131" s="12">
        <f>IF(F130+SUM(E$99:E130)=D$92,F130,D$92-SUM(E$99:E130))</f>
        <v>1439641.6006880244</v>
      </c>
      <c r="E131" s="378">
        <f>IF(+J96&lt;F130,J96,D131)</f>
        <v>119738.15909090909</v>
      </c>
      <c r="F131" s="55">
        <f t="shared" si="62"/>
        <v>1319903.4415971152</v>
      </c>
      <c r="G131" s="55">
        <f t="shared" ref="G131:G154" si="66">+(F131+D131)/2</f>
        <v>1379772.5211425698</v>
      </c>
      <c r="H131" s="380">
        <f t="shared" ref="H131:H154" si="67">+J$94*G131+E131</f>
        <v>291556.18104614783</v>
      </c>
      <c r="I131" s="399">
        <f t="shared" ref="I131:I154" si="68">+J$95*G131+E131</f>
        <v>291556.18104614783</v>
      </c>
      <c r="J131" s="54">
        <f t="shared" ref="J131:J154" si="69">+I131-H131</f>
        <v>0</v>
      </c>
      <c r="K131" s="54"/>
      <c r="L131" s="129"/>
      <c r="M131" s="54">
        <f t="shared" ref="M131:M154" si="70">IF(L131&lt;&gt;0,+H131-L131,0)</f>
        <v>0</v>
      </c>
      <c r="N131" s="129"/>
      <c r="O131" s="54">
        <f t="shared" ref="O131:O154" si="71">IF(N131&lt;&gt;0,+I131-N131,0)</f>
        <v>0</v>
      </c>
      <c r="P131" s="54">
        <f t="shared" ref="P131:P154" si="72">+O131-M131</f>
        <v>0</v>
      </c>
      <c r="Q131" s="1"/>
    </row>
    <row r="132" spans="2:17" ht="12.5">
      <c r="B132" s="7" t="str">
        <f t="shared" ref="B132:B154" si="73">IF(D132=F131,"","IU")</f>
        <v/>
      </c>
      <c r="C132" s="50">
        <f>IF(D93="","-",+C131+1)</f>
        <v>2045</v>
      </c>
      <c r="D132" s="12">
        <f>IF(F131+SUM(E$99:E131)=D$92,F131,D$92-SUM(E$99:E131))</f>
        <v>1319903.4415971152</v>
      </c>
      <c r="E132" s="378">
        <f>IF(+J96&lt;F131,J96,D132)</f>
        <v>119738.15909090909</v>
      </c>
      <c r="F132" s="55">
        <f t="shared" ref="F132:F154" si="74">+D132-E132</f>
        <v>1200165.2825062061</v>
      </c>
      <c r="G132" s="55">
        <f t="shared" si="66"/>
        <v>1260034.3620516607</v>
      </c>
      <c r="H132" s="380">
        <f t="shared" si="67"/>
        <v>276645.62634795357</v>
      </c>
      <c r="I132" s="399">
        <f t="shared" si="68"/>
        <v>276645.62634795357</v>
      </c>
      <c r="J132" s="54">
        <f t="shared" si="69"/>
        <v>0</v>
      </c>
      <c r="K132" s="54"/>
      <c r="L132" s="129"/>
      <c r="M132" s="54">
        <f t="shared" si="70"/>
        <v>0</v>
      </c>
      <c r="N132" s="129"/>
      <c r="O132" s="54">
        <f t="shared" si="71"/>
        <v>0</v>
      </c>
      <c r="P132" s="54">
        <f t="shared" si="72"/>
        <v>0</v>
      </c>
      <c r="Q132" s="1"/>
    </row>
    <row r="133" spans="2:17" ht="12.5">
      <c r="B133" s="7" t="str">
        <f t="shared" si="73"/>
        <v/>
      </c>
      <c r="C133" s="50">
        <f>IF(D93="","-",+C132+1)</f>
        <v>2046</v>
      </c>
      <c r="D133" s="12">
        <f>IF(F132+SUM(E$99:E132)=D$92,F132,D$92-SUM(E$99:E132))</f>
        <v>1200165.2825062061</v>
      </c>
      <c r="E133" s="378">
        <f>IF(+J96&lt;F132,J96,D133)</f>
        <v>119738.15909090909</v>
      </c>
      <c r="F133" s="55">
        <f t="shared" si="74"/>
        <v>1080427.1234152969</v>
      </c>
      <c r="G133" s="55">
        <f t="shared" si="66"/>
        <v>1140296.2029607515</v>
      </c>
      <c r="H133" s="380">
        <f t="shared" si="67"/>
        <v>261735.07164975925</v>
      </c>
      <c r="I133" s="399">
        <f t="shared" si="68"/>
        <v>261735.07164975925</v>
      </c>
      <c r="J133" s="54">
        <f t="shared" si="69"/>
        <v>0</v>
      </c>
      <c r="K133" s="54"/>
      <c r="L133" s="129"/>
      <c r="M133" s="54">
        <f t="shared" si="70"/>
        <v>0</v>
      </c>
      <c r="N133" s="129"/>
      <c r="O133" s="54">
        <f t="shared" si="71"/>
        <v>0</v>
      </c>
      <c r="P133" s="54">
        <f t="shared" si="72"/>
        <v>0</v>
      </c>
      <c r="Q133" s="1"/>
    </row>
    <row r="134" spans="2:17" ht="12.5">
      <c r="B134" s="7" t="str">
        <f t="shared" si="73"/>
        <v/>
      </c>
      <c r="C134" s="50">
        <f>IF(D93="","-",+C133+1)</f>
        <v>2047</v>
      </c>
      <c r="D134" s="12">
        <f>IF(F133+SUM(E$99:E133)=D$92,F133,D$92-SUM(E$99:E133))</f>
        <v>1080427.1234152969</v>
      </c>
      <c r="E134" s="378">
        <f>IF(+J96&lt;F133,J96,D134)</f>
        <v>119738.15909090909</v>
      </c>
      <c r="F134" s="55">
        <f t="shared" si="74"/>
        <v>960688.96432438784</v>
      </c>
      <c r="G134" s="55">
        <f t="shared" si="66"/>
        <v>1020558.0438698423</v>
      </c>
      <c r="H134" s="380">
        <f t="shared" si="67"/>
        <v>246824.51695156499</v>
      </c>
      <c r="I134" s="399">
        <f t="shared" si="68"/>
        <v>246824.51695156499</v>
      </c>
      <c r="J134" s="54">
        <f t="shared" si="69"/>
        <v>0</v>
      </c>
      <c r="K134" s="54"/>
      <c r="L134" s="129"/>
      <c r="M134" s="54">
        <f t="shared" si="70"/>
        <v>0</v>
      </c>
      <c r="N134" s="129"/>
      <c r="O134" s="54">
        <f t="shared" si="71"/>
        <v>0</v>
      </c>
      <c r="P134" s="54">
        <f t="shared" si="72"/>
        <v>0</v>
      </c>
      <c r="Q134" s="1"/>
    </row>
    <row r="135" spans="2:17" ht="12.5">
      <c r="B135" s="7" t="str">
        <f t="shared" si="73"/>
        <v/>
      </c>
      <c r="C135" s="50">
        <f>IF(D93="","-",+C134+1)</f>
        <v>2048</v>
      </c>
      <c r="D135" s="12">
        <f>IF(F134+SUM(E$99:E134)=D$92,F134,D$92-SUM(E$99:E134))</f>
        <v>960688.96432438784</v>
      </c>
      <c r="E135" s="378">
        <f>IF(+J96&lt;F134,J96,D135)</f>
        <v>119738.15909090909</v>
      </c>
      <c r="F135" s="55">
        <f t="shared" si="74"/>
        <v>840950.80523347878</v>
      </c>
      <c r="G135" s="55">
        <f t="shared" si="66"/>
        <v>900819.88477893337</v>
      </c>
      <c r="H135" s="380">
        <f t="shared" si="67"/>
        <v>231913.96225337073</v>
      </c>
      <c r="I135" s="399">
        <f t="shared" si="68"/>
        <v>231913.96225337073</v>
      </c>
      <c r="J135" s="54">
        <f t="shared" si="69"/>
        <v>0</v>
      </c>
      <c r="K135" s="54"/>
      <c r="L135" s="129"/>
      <c r="M135" s="54">
        <f t="shared" si="70"/>
        <v>0</v>
      </c>
      <c r="N135" s="129"/>
      <c r="O135" s="54">
        <f t="shared" si="71"/>
        <v>0</v>
      </c>
      <c r="P135" s="54">
        <f t="shared" si="72"/>
        <v>0</v>
      </c>
      <c r="Q135" s="1"/>
    </row>
    <row r="136" spans="2:17" ht="12.5">
      <c r="B136" s="7" t="str">
        <f t="shared" si="73"/>
        <v/>
      </c>
      <c r="C136" s="50">
        <f>IF(D93="","-",+C135+1)</f>
        <v>2049</v>
      </c>
      <c r="D136" s="12">
        <f>IF(F135+SUM(E$99:E135)=D$92,F135,D$92-SUM(E$99:E135))</f>
        <v>840950.80523347878</v>
      </c>
      <c r="E136" s="378">
        <f>IF(+J96&lt;F135,J96,D136)</f>
        <v>119738.15909090909</v>
      </c>
      <c r="F136" s="55">
        <f t="shared" si="74"/>
        <v>721212.64614256972</v>
      </c>
      <c r="G136" s="55">
        <f t="shared" si="66"/>
        <v>781081.72568802419</v>
      </c>
      <c r="H136" s="380">
        <f t="shared" si="67"/>
        <v>217003.40755517647</v>
      </c>
      <c r="I136" s="399">
        <f t="shared" si="68"/>
        <v>217003.40755517647</v>
      </c>
      <c r="J136" s="54">
        <f t="shared" si="69"/>
        <v>0</v>
      </c>
      <c r="K136" s="54"/>
      <c r="L136" s="129"/>
      <c r="M136" s="54">
        <f t="shared" si="70"/>
        <v>0</v>
      </c>
      <c r="N136" s="129"/>
      <c r="O136" s="54">
        <f t="shared" si="71"/>
        <v>0</v>
      </c>
      <c r="P136" s="54">
        <f t="shared" si="72"/>
        <v>0</v>
      </c>
      <c r="Q136" s="1"/>
    </row>
    <row r="137" spans="2:17" ht="12.5">
      <c r="B137" s="7" t="str">
        <f t="shared" si="73"/>
        <v/>
      </c>
      <c r="C137" s="50">
        <f>IF(D93="","-",+C136+1)</f>
        <v>2050</v>
      </c>
      <c r="D137" s="12">
        <f>IF(F136+SUM(E$99:E136)=D$92,F136,D$92-SUM(E$99:E136))</f>
        <v>721212.64614256972</v>
      </c>
      <c r="E137" s="378">
        <f>IF(+J96&lt;F136,J96,D137)</f>
        <v>119738.15909090909</v>
      </c>
      <c r="F137" s="55">
        <f t="shared" si="74"/>
        <v>601474.48705166066</v>
      </c>
      <c r="G137" s="55">
        <f t="shared" si="66"/>
        <v>661343.56659711525</v>
      </c>
      <c r="H137" s="380">
        <f t="shared" si="67"/>
        <v>202092.85285698224</v>
      </c>
      <c r="I137" s="399">
        <f t="shared" si="68"/>
        <v>202092.85285698224</v>
      </c>
      <c r="J137" s="54">
        <f t="shared" si="69"/>
        <v>0</v>
      </c>
      <c r="K137" s="54"/>
      <c r="L137" s="129"/>
      <c r="M137" s="54">
        <f t="shared" si="70"/>
        <v>0</v>
      </c>
      <c r="N137" s="129"/>
      <c r="O137" s="54">
        <f t="shared" si="71"/>
        <v>0</v>
      </c>
      <c r="P137" s="54">
        <f t="shared" si="72"/>
        <v>0</v>
      </c>
      <c r="Q137" s="1"/>
    </row>
    <row r="138" spans="2:17" ht="12.5">
      <c r="B138" s="7" t="str">
        <f t="shared" si="73"/>
        <v/>
      </c>
      <c r="C138" s="50">
        <f>IF(D93="","-",+C137+1)</f>
        <v>2051</v>
      </c>
      <c r="D138" s="12">
        <f>IF(F137+SUM(E$99:E137)=D$92,F137,D$92-SUM(E$99:E137))</f>
        <v>601474.48705166066</v>
      </c>
      <c r="E138" s="378">
        <f>IF(+J96&lt;F137,J96,D138)</f>
        <v>119738.15909090909</v>
      </c>
      <c r="F138" s="55">
        <f t="shared" si="74"/>
        <v>481736.3279607516</v>
      </c>
      <c r="G138" s="55">
        <f t="shared" si="66"/>
        <v>541605.40750620607</v>
      </c>
      <c r="H138" s="380">
        <f t="shared" si="67"/>
        <v>187182.29815878795</v>
      </c>
      <c r="I138" s="399">
        <f t="shared" si="68"/>
        <v>187182.29815878795</v>
      </c>
      <c r="J138" s="54">
        <f t="shared" si="69"/>
        <v>0</v>
      </c>
      <c r="K138" s="54"/>
      <c r="L138" s="129"/>
      <c r="M138" s="54">
        <f t="shared" si="70"/>
        <v>0</v>
      </c>
      <c r="N138" s="129"/>
      <c r="O138" s="54">
        <f t="shared" si="71"/>
        <v>0</v>
      </c>
      <c r="P138" s="54">
        <f t="shared" si="72"/>
        <v>0</v>
      </c>
      <c r="Q138" s="1"/>
    </row>
    <row r="139" spans="2:17" ht="12.5">
      <c r="B139" s="7" t="str">
        <f t="shared" si="73"/>
        <v/>
      </c>
      <c r="C139" s="50">
        <f>IF(D93="","-",+C138+1)</f>
        <v>2052</v>
      </c>
      <c r="D139" s="12">
        <f>IF(F138+SUM(E$99:E138)=D$92,F138,D$92-SUM(E$99:E138))</f>
        <v>481736.3279607516</v>
      </c>
      <c r="E139" s="378">
        <f>IF(+J96&lt;F138,J96,D139)</f>
        <v>119738.15909090909</v>
      </c>
      <c r="F139" s="55">
        <f t="shared" si="74"/>
        <v>361998.16886984254</v>
      </c>
      <c r="G139" s="55">
        <f t="shared" si="66"/>
        <v>421867.24841529707</v>
      </c>
      <c r="H139" s="380">
        <f t="shared" si="67"/>
        <v>172271.74346059372</v>
      </c>
      <c r="I139" s="399">
        <f t="shared" si="68"/>
        <v>172271.74346059372</v>
      </c>
      <c r="J139" s="54">
        <f t="shared" si="69"/>
        <v>0</v>
      </c>
      <c r="K139" s="54"/>
      <c r="L139" s="129"/>
      <c r="M139" s="54">
        <f t="shared" si="70"/>
        <v>0</v>
      </c>
      <c r="N139" s="129"/>
      <c r="O139" s="54">
        <f t="shared" si="71"/>
        <v>0</v>
      </c>
      <c r="P139" s="54">
        <f t="shared" si="72"/>
        <v>0</v>
      </c>
      <c r="Q139" s="1"/>
    </row>
    <row r="140" spans="2:17" ht="12.5">
      <c r="B140" s="7" t="str">
        <f t="shared" si="73"/>
        <v/>
      </c>
      <c r="C140" s="50">
        <f>IF(D93="","-",+C139+1)</f>
        <v>2053</v>
      </c>
      <c r="D140" s="12">
        <f>IF(F139+SUM(E$99:E139)=D$92,F139,D$92-SUM(E$99:E139))</f>
        <v>361998.16886984254</v>
      </c>
      <c r="E140" s="378">
        <f>IF(+J96&lt;F139,J96,D140)</f>
        <v>119738.15909090909</v>
      </c>
      <c r="F140" s="55">
        <f t="shared" si="74"/>
        <v>242260.00977893345</v>
      </c>
      <c r="G140" s="55">
        <f t="shared" si="66"/>
        <v>302129.08932438801</v>
      </c>
      <c r="H140" s="380">
        <f t="shared" si="67"/>
        <v>157361.18876239946</v>
      </c>
      <c r="I140" s="399">
        <f t="shared" si="68"/>
        <v>157361.18876239946</v>
      </c>
      <c r="J140" s="54">
        <f t="shared" si="69"/>
        <v>0</v>
      </c>
      <c r="K140" s="54"/>
      <c r="L140" s="129"/>
      <c r="M140" s="54">
        <f t="shared" si="70"/>
        <v>0</v>
      </c>
      <c r="N140" s="129"/>
      <c r="O140" s="54">
        <f t="shared" si="71"/>
        <v>0</v>
      </c>
      <c r="P140" s="54">
        <f t="shared" si="72"/>
        <v>0</v>
      </c>
      <c r="Q140" s="1"/>
    </row>
    <row r="141" spans="2:17" ht="12.5">
      <c r="B141" s="7" t="str">
        <f t="shared" si="73"/>
        <v/>
      </c>
      <c r="C141" s="50">
        <f>IF(D93="","-",+C140+1)</f>
        <v>2054</v>
      </c>
      <c r="D141" s="12">
        <f>IF(F140+SUM(E$99:E140)=D$92,F140,D$92-SUM(E$99:E140))</f>
        <v>242260.00977893345</v>
      </c>
      <c r="E141" s="378">
        <f>IF(+J96&lt;F140,J96,D141)</f>
        <v>119738.15909090909</v>
      </c>
      <c r="F141" s="55">
        <f t="shared" si="74"/>
        <v>122521.85068802437</v>
      </c>
      <c r="G141" s="55">
        <f t="shared" si="66"/>
        <v>182390.9302334789</v>
      </c>
      <c r="H141" s="380">
        <f t="shared" si="67"/>
        <v>142450.63406420519</v>
      </c>
      <c r="I141" s="399">
        <f t="shared" si="68"/>
        <v>142450.63406420519</v>
      </c>
      <c r="J141" s="54">
        <f t="shared" si="69"/>
        <v>0</v>
      </c>
      <c r="K141" s="54"/>
      <c r="L141" s="129"/>
      <c r="M141" s="54">
        <f t="shared" si="70"/>
        <v>0</v>
      </c>
      <c r="N141" s="129"/>
      <c r="O141" s="54">
        <f t="shared" si="71"/>
        <v>0</v>
      </c>
      <c r="P141" s="54">
        <f t="shared" si="72"/>
        <v>0</v>
      </c>
      <c r="Q141" s="1"/>
    </row>
    <row r="142" spans="2:17" ht="12.5">
      <c r="B142" s="7" t="str">
        <f t="shared" si="73"/>
        <v/>
      </c>
      <c r="C142" s="50">
        <f>IF(D93="","-",+C141+1)</f>
        <v>2055</v>
      </c>
      <c r="D142" s="12">
        <f>IF(F141+SUM(E$99:E141)=D$92,F141,D$92-SUM(E$99:E141))</f>
        <v>122521.85068802437</v>
      </c>
      <c r="E142" s="378">
        <f>IF(+J96&lt;F141,J96,D142)</f>
        <v>119738.15909090909</v>
      </c>
      <c r="F142" s="55">
        <f t="shared" si="74"/>
        <v>2783.6915971152775</v>
      </c>
      <c r="G142" s="55">
        <f t="shared" si="66"/>
        <v>62652.771142569822</v>
      </c>
      <c r="H142" s="380">
        <f t="shared" si="67"/>
        <v>127540.07936601093</v>
      </c>
      <c r="I142" s="399">
        <f t="shared" si="68"/>
        <v>127540.07936601093</v>
      </c>
      <c r="J142" s="54">
        <f t="shared" si="69"/>
        <v>0</v>
      </c>
      <c r="K142" s="54"/>
      <c r="L142" s="129"/>
      <c r="M142" s="54">
        <f t="shared" si="70"/>
        <v>0</v>
      </c>
      <c r="N142" s="129"/>
      <c r="O142" s="54">
        <f t="shared" si="71"/>
        <v>0</v>
      </c>
      <c r="P142" s="54">
        <f t="shared" si="72"/>
        <v>0</v>
      </c>
      <c r="Q142" s="1"/>
    </row>
    <row r="143" spans="2:17" ht="12.5">
      <c r="B143" s="7" t="str">
        <f t="shared" si="73"/>
        <v/>
      </c>
      <c r="C143" s="50">
        <f>IF(D93="","-",+C142+1)</f>
        <v>2056</v>
      </c>
      <c r="D143" s="12">
        <f>IF(F142+SUM(E$99:E142)=D$92,F142,D$92-SUM(E$99:E142))</f>
        <v>2783.6915971152775</v>
      </c>
      <c r="E143" s="378">
        <f>IF(+J96&lt;F142,J96,D143)</f>
        <v>2783.6915971152775</v>
      </c>
      <c r="F143" s="55">
        <f t="shared" si="74"/>
        <v>0</v>
      </c>
      <c r="G143" s="55">
        <f t="shared" si="66"/>
        <v>1391.8457985576388</v>
      </c>
      <c r="H143" s="380">
        <f t="shared" si="67"/>
        <v>2957.0130601176361</v>
      </c>
      <c r="I143" s="399">
        <f t="shared" si="68"/>
        <v>2957.0130601176361</v>
      </c>
      <c r="J143" s="54">
        <f t="shared" si="69"/>
        <v>0</v>
      </c>
      <c r="K143" s="54"/>
      <c r="L143" s="129"/>
      <c r="M143" s="54">
        <f t="shared" si="70"/>
        <v>0</v>
      </c>
      <c r="N143" s="129"/>
      <c r="O143" s="54">
        <f t="shared" si="71"/>
        <v>0</v>
      </c>
      <c r="P143" s="54">
        <f t="shared" si="72"/>
        <v>0</v>
      </c>
      <c r="Q143" s="1"/>
    </row>
    <row r="144" spans="2:17" ht="12.5">
      <c r="B144" s="7" t="str">
        <f t="shared" si="73"/>
        <v/>
      </c>
      <c r="C144" s="50">
        <f>IF(D93="","-",+C143+1)</f>
        <v>2057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74"/>
        <v>0</v>
      </c>
      <c r="G144" s="55">
        <f t="shared" si="66"/>
        <v>0</v>
      </c>
      <c r="H144" s="380">
        <f t="shared" si="67"/>
        <v>0</v>
      </c>
      <c r="I144" s="399">
        <f t="shared" si="68"/>
        <v>0</v>
      </c>
      <c r="J144" s="54">
        <f t="shared" si="69"/>
        <v>0</v>
      </c>
      <c r="K144" s="54"/>
      <c r="L144" s="129"/>
      <c r="M144" s="54">
        <f t="shared" si="70"/>
        <v>0</v>
      </c>
      <c r="N144" s="129"/>
      <c r="O144" s="54">
        <f t="shared" si="71"/>
        <v>0</v>
      </c>
      <c r="P144" s="54">
        <f t="shared" si="72"/>
        <v>0</v>
      </c>
      <c r="Q144" s="1"/>
    </row>
    <row r="145" spans="2:17" ht="12.5">
      <c r="B145" s="7" t="str">
        <f t="shared" si="73"/>
        <v/>
      </c>
      <c r="C145" s="50">
        <f>IF(D93="","-",+C144+1)</f>
        <v>2058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74"/>
        <v>0</v>
      </c>
      <c r="G145" s="55">
        <f t="shared" si="66"/>
        <v>0</v>
      </c>
      <c r="H145" s="380">
        <f t="shared" si="67"/>
        <v>0</v>
      </c>
      <c r="I145" s="399">
        <f t="shared" si="68"/>
        <v>0</v>
      </c>
      <c r="J145" s="54">
        <f t="shared" si="69"/>
        <v>0</v>
      </c>
      <c r="K145" s="54"/>
      <c r="L145" s="129"/>
      <c r="M145" s="54">
        <f t="shared" si="70"/>
        <v>0</v>
      </c>
      <c r="N145" s="129"/>
      <c r="O145" s="54">
        <f t="shared" si="71"/>
        <v>0</v>
      </c>
      <c r="P145" s="54">
        <f t="shared" si="72"/>
        <v>0</v>
      </c>
      <c r="Q145" s="1"/>
    </row>
    <row r="146" spans="2:17" ht="12.5">
      <c r="B146" s="7" t="str">
        <f t="shared" si="73"/>
        <v/>
      </c>
      <c r="C146" s="50">
        <f>IF(D93="","-",+C145+1)</f>
        <v>2059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74"/>
        <v>0</v>
      </c>
      <c r="G146" s="55">
        <f t="shared" si="66"/>
        <v>0</v>
      </c>
      <c r="H146" s="380">
        <f t="shared" si="67"/>
        <v>0</v>
      </c>
      <c r="I146" s="399">
        <f t="shared" si="68"/>
        <v>0</v>
      </c>
      <c r="J146" s="54">
        <f t="shared" si="69"/>
        <v>0</v>
      </c>
      <c r="K146" s="54"/>
      <c r="L146" s="129"/>
      <c r="M146" s="54">
        <f t="shared" si="70"/>
        <v>0</v>
      </c>
      <c r="N146" s="129"/>
      <c r="O146" s="54">
        <f t="shared" si="71"/>
        <v>0</v>
      </c>
      <c r="P146" s="54">
        <f t="shared" si="72"/>
        <v>0</v>
      </c>
      <c r="Q146" s="1"/>
    </row>
    <row r="147" spans="2:17" ht="12.5">
      <c r="B147" s="7" t="str">
        <f t="shared" si="73"/>
        <v/>
      </c>
      <c r="C147" s="50">
        <f>IF(D93="","-",+C146+1)</f>
        <v>2060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74"/>
        <v>0</v>
      </c>
      <c r="G147" s="55">
        <f t="shared" si="66"/>
        <v>0</v>
      </c>
      <c r="H147" s="380">
        <f t="shared" si="67"/>
        <v>0</v>
      </c>
      <c r="I147" s="399">
        <f t="shared" si="68"/>
        <v>0</v>
      </c>
      <c r="J147" s="54">
        <f t="shared" si="69"/>
        <v>0</v>
      </c>
      <c r="K147" s="54"/>
      <c r="L147" s="129"/>
      <c r="M147" s="54">
        <f t="shared" si="70"/>
        <v>0</v>
      </c>
      <c r="N147" s="129"/>
      <c r="O147" s="54">
        <f t="shared" si="71"/>
        <v>0</v>
      </c>
      <c r="P147" s="54">
        <f t="shared" si="72"/>
        <v>0</v>
      </c>
      <c r="Q147" s="1"/>
    </row>
    <row r="148" spans="2:17" ht="12.5">
      <c r="B148" s="7" t="str">
        <f t="shared" si="73"/>
        <v/>
      </c>
      <c r="C148" s="50">
        <f>IF(D93="","-",+C147+1)</f>
        <v>2061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74"/>
        <v>0</v>
      </c>
      <c r="G148" s="55">
        <f t="shared" si="66"/>
        <v>0</v>
      </c>
      <c r="H148" s="380">
        <f t="shared" si="67"/>
        <v>0</v>
      </c>
      <c r="I148" s="399">
        <f t="shared" si="68"/>
        <v>0</v>
      </c>
      <c r="J148" s="54">
        <f t="shared" si="69"/>
        <v>0</v>
      </c>
      <c r="K148" s="54"/>
      <c r="L148" s="129"/>
      <c r="M148" s="54">
        <f t="shared" si="70"/>
        <v>0</v>
      </c>
      <c r="N148" s="129"/>
      <c r="O148" s="54">
        <f t="shared" si="71"/>
        <v>0</v>
      </c>
      <c r="P148" s="54">
        <f t="shared" si="72"/>
        <v>0</v>
      </c>
      <c r="Q148" s="1"/>
    </row>
    <row r="149" spans="2:17" ht="12.5">
      <c r="B149" s="7" t="str">
        <f t="shared" si="73"/>
        <v/>
      </c>
      <c r="C149" s="50">
        <f>IF(D93="","-",+C148+1)</f>
        <v>2062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74"/>
        <v>0</v>
      </c>
      <c r="G149" s="55">
        <f t="shared" si="66"/>
        <v>0</v>
      </c>
      <c r="H149" s="380">
        <f t="shared" si="67"/>
        <v>0</v>
      </c>
      <c r="I149" s="399">
        <f t="shared" si="68"/>
        <v>0</v>
      </c>
      <c r="J149" s="54">
        <f t="shared" si="69"/>
        <v>0</v>
      </c>
      <c r="K149" s="54"/>
      <c r="L149" s="129"/>
      <c r="M149" s="54">
        <f t="shared" si="70"/>
        <v>0</v>
      </c>
      <c r="N149" s="129"/>
      <c r="O149" s="54">
        <f t="shared" si="71"/>
        <v>0</v>
      </c>
      <c r="P149" s="54">
        <f t="shared" si="72"/>
        <v>0</v>
      </c>
      <c r="Q149" s="1"/>
    </row>
    <row r="150" spans="2:17" ht="12.5">
      <c r="B150" s="7" t="str">
        <f t="shared" si="73"/>
        <v/>
      </c>
      <c r="C150" s="50">
        <f>IF(D93="","-",+C149+1)</f>
        <v>2063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74"/>
        <v>0</v>
      </c>
      <c r="G150" s="55">
        <f t="shared" si="66"/>
        <v>0</v>
      </c>
      <c r="H150" s="380">
        <f t="shared" si="67"/>
        <v>0</v>
      </c>
      <c r="I150" s="399">
        <f t="shared" si="68"/>
        <v>0</v>
      </c>
      <c r="J150" s="54">
        <f t="shared" si="69"/>
        <v>0</v>
      </c>
      <c r="K150" s="54"/>
      <c r="L150" s="129"/>
      <c r="M150" s="54">
        <f t="shared" si="70"/>
        <v>0</v>
      </c>
      <c r="N150" s="129"/>
      <c r="O150" s="54">
        <f t="shared" si="71"/>
        <v>0</v>
      </c>
      <c r="P150" s="54">
        <f t="shared" si="72"/>
        <v>0</v>
      </c>
      <c r="Q150" s="1"/>
    </row>
    <row r="151" spans="2:17" ht="12.5">
      <c r="B151" s="7" t="str">
        <f t="shared" si="73"/>
        <v/>
      </c>
      <c r="C151" s="50">
        <f>IF(D93="","-",+C150+1)</f>
        <v>2064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74"/>
        <v>0</v>
      </c>
      <c r="G151" s="55">
        <f t="shared" si="66"/>
        <v>0</v>
      </c>
      <c r="H151" s="380">
        <f t="shared" si="67"/>
        <v>0</v>
      </c>
      <c r="I151" s="399">
        <f t="shared" si="68"/>
        <v>0</v>
      </c>
      <c r="J151" s="54">
        <f t="shared" si="69"/>
        <v>0</v>
      </c>
      <c r="K151" s="54"/>
      <c r="L151" s="129"/>
      <c r="M151" s="54">
        <f t="shared" si="70"/>
        <v>0</v>
      </c>
      <c r="N151" s="129"/>
      <c r="O151" s="54">
        <f t="shared" si="71"/>
        <v>0</v>
      </c>
      <c r="P151" s="54">
        <f t="shared" si="72"/>
        <v>0</v>
      </c>
      <c r="Q151" s="1"/>
    </row>
    <row r="152" spans="2:17" ht="12.5">
      <c r="B152" s="7" t="str">
        <f t="shared" si="73"/>
        <v/>
      </c>
      <c r="C152" s="50">
        <f>IF(D93="","-",+C151+1)</f>
        <v>2065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74"/>
        <v>0</v>
      </c>
      <c r="G152" s="55">
        <f t="shared" si="66"/>
        <v>0</v>
      </c>
      <c r="H152" s="380">
        <f t="shared" si="67"/>
        <v>0</v>
      </c>
      <c r="I152" s="399">
        <f t="shared" si="68"/>
        <v>0</v>
      </c>
      <c r="J152" s="54">
        <f t="shared" si="69"/>
        <v>0</v>
      </c>
      <c r="K152" s="54"/>
      <c r="L152" s="129"/>
      <c r="M152" s="54">
        <f t="shared" si="70"/>
        <v>0</v>
      </c>
      <c r="N152" s="129"/>
      <c r="O152" s="54">
        <f t="shared" si="71"/>
        <v>0</v>
      </c>
      <c r="P152" s="54">
        <f t="shared" si="72"/>
        <v>0</v>
      </c>
      <c r="Q152" s="1"/>
    </row>
    <row r="153" spans="2:17" ht="12.5">
      <c r="B153" s="7" t="str">
        <f t="shared" si="73"/>
        <v/>
      </c>
      <c r="C153" s="50">
        <f>IF(D93="","-",+C152+1)</f>
        <v>2066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74"/>
        <v>0</v>
      </c>
      <c r="G153" s="55">
        <f t="shared" si="66"/>
        <v>0</v>
      </c>
      <c r="H153" s="380">
        <f t="shared" si="67"/>
        <v>0</v>
      </c>
      <c r="I153" s="399">
        <f t="shared" si="68"/>
        <v>0</v>
      </c>
      <c r="J153" s="54">
        <f t="shared" si="69"/>
        <v>0</v>
      </c>
      <c r="K153" s="54"/>
      <c r="L153" s="129"/>
      <c r="M153" s="54">
        <f t="shared" si="70"/>
        <v>0</v>
      </c>
      <c r="N153" s="129"/>
      <c r="O153" s="54">
        <f t="shared" si="71"/>
        <v>0</v>
      </c>
      <c r="P153" s="54">
        <f t="shared" si="72"/>
        <v>0</v>
      </c>
      <c r="Q153" s="1"/>
    </row>
    <row r="154" spans="2:17" ht="13" thickBot="1">
      <c r="B154" s="7" t="str">
        <f t="shared" si="73"/>
        <v/>
      </c>
      <c r="C154" s="59">
        <f>IF(D93="","-",+C153+1)</f>
        <v>2067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74"/>
        <v>0</v>
      </c>
      <c r="G154" s="60">
        <f t="shared" si="66"/>
        <v>0</v>
      </c>
      <c r="H154" s="382">
        <f t="shared" si="67"/>
        <v>0</v>
      </c>
      <c r="I154" s="400">
        <f t="shared" si="68"/>
        <v>0</v>
      </c>
      <c r="J154" s="64">
        <f t="shared" si="69"/>
        <v>0</v>
      </c>
      <c r="K154" s="54"/>
      <c r="L154" s="130"/>
      <c r="M154" s="64">
        <f t="shared" si="70"/>
        <v>0</v>
      </c>
      <c r="N154" s="130"/>
      <c r="O154" s="64">
        <f t="shared" si="71"/>
        <v>0</v>
      </c>
      <c r="P154" s="64">
        <f t="shared" si="72"/>
        <v>0</v>
      </c>
      <c r="Q154" s="1"/>
    </row>
    <row r="155" spans="2:17" ht="12.5">
      <c r="C155" s="12" t="s">
        <v>78</v>
      </c>
      <c r="D155" s="293"/>
      <c r="E155" s="293">
        <f>SUM(E99:E154)</f>
        <v>5268479.0000000028</v>
      </c>
      <c r="F155" s="293"/>
      <c r="G155" s="293"/>
      <c r="H155" s="293">
        <f>SUM(H99:H154)</f>
        <v>19318498.743848898</v>
      </c>
      <c r="I155" s="293">
        <f>SUM(I99:I154)</f>
        <v>19318498.743848898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 ht="12.5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 ht="12.5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01" priority="1" stopIfTrue="1" operator="equal">
      <formula>$I$10</formula>
    </cfRule>
  </conditionalFormatting>
  <conditionalFormatting sqref="C99:C154">
    <cfRule type="cellIs" dxfId="10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80"/>
  <dimension ref="A1:Q162"/>
  <sheetViews>
    <sheetView topLeftCell="A82" zoomScaleNormal="100" zoomScaleSheetLayoutView="75" workbookViewId="0">
      <selection activeCell="D29" sqref="D29:H29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29 of 77</v>
      </c>
      <c r="Q1" s="13"/>
    </row>
    <row r="2" spans="1:17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205957.48812840792</v>
      </c>
      <c r="P5" s="1"/>
    </row>
    <row r="6" spans="1:17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205957.48812840792</v>
      </c>
      <c r="O6" s="1"/>
      <c r="P6" s="1"/>
    </row>
    <row r="7" spans="1:17" ht="13.5" thickBot="1">
      <c r="C7" s="25" t="s">
        <v>48</v>
      </c>
      <c r="D7" s="127" t="s">
        <v>283</v>
      </c>
      <c r="E7" s="1"/>
      <c r="F7" s="1"/>
      <c r="G7" s="29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104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424" t="s">
        <v>282</v>
      </c>
      <c r="E9" s="31" t="s">
        <v>494</v>
      </c>
      <c r="F9" s="462" t="s">
        <v>507</v>
      </c>
      <c r="G9" s="31"/>
      <c r="H9" s="31"/>
      <c r="I9" s="32"/>
      <c r="J9" s="33"/>
      <c r="P9" s="1"/>
    </row>
    <row r="10" spans="1:17" ht="13">
      <c r="C10" s="34" t="s">
        <v>51</v>
      </c>
      <c r="D10" s="363">
        <v>1881887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7" ht="12.5">
      <c r="C11" s="34" t="s">
        <v>54</v>
      </c>
      <c r="D11" s="37">
        <v>2012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3">
        <v>12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42770.159090909088</v>
      </c>
      <c r="J14" s="293"/>
      <c r="K14" s="293"/>
      <c r="L14" s="293"/>
      <c r="M14" s="293"/>
      <c r="N14" s="293"/>
      <c r="O14" s="1"/>
      <c r="P14" s="1"/>
    </row>
    <row r="15" spans="1:17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2012</v>
      </c>
      <c r="D17" s="133">
        <v>1521900</v>
      </c>
      <c r="E17" s="374">
        <v>0</v>
      </c>
      <c r="F17" s="133">
        <v>1521900</v>
      </c>
      <c r="G17" s="374">
        <v>226337.18116854847</v>
      </c>
      <c r="H17" s="375">
        <v>226337.18116854847</v>
      </c>
      <c r="I17" s="141">
        <v>0</v>
      </c>
      <c r="J17" s="52"/>
      <c r="K17" s="112">
        <f t="shared" ref="K17:K22" si="0">G17</f>
        <v>226337.18116854847</v>
      </c>
      <c r="L17" s="53">
        <f t="shared" ref="L17:L48" si="1">IF(K17&lt;&gt;0,+G17-K17,0)</f>
        <v>0</v>
      </c>
      <c r="M17" s="112">
        <f t="shared" ref="M17:M22" si="2">H17</f>
        <v>226337.18116854847</v>
      </c>
      <c r="N17" s="53">
        <f t="shared" ref="N17:N48" si="3">IF(M17&lt;&gt;0,+H17-M17,0)</f>
        <v>0</v>
      </c>
      <c r="O17" s="54">
        <f t="shared" ref="O17:O48" si="4">+N17-L17</f>
        <v>0</v>
      </c>
      <c r="P17" s="1"/>
    </row>
    <row r="18" spans="2:16" ht="12.5">
      <c r="B18" s="7" t="str">
        <f t="shared" ref="B18:B49" si="5">IF(D18=F17,"","IU")</f>
        <v>IU</v>
      </c>
      <c r="C18" s="50">
        <f>IF(D11="","-",+C17+1)</f>
        <v>2013</v>
      </c>
      <c r="D18" s="151">
        <v>1886753</v>
      </c>
      <c r="E18" s="420">
        <v>44922.690476190473</v>
      </c>
      <c r="F18" s="151">
        <v>1841830.3095238095</v>
      </c>
      <c r="G18" s="420">
        <v>302755.14118520013</v>
      </c>
      <c r="H18" s="421">
        <v>302755.14118520013</v>
      </c>
      <c r="I18" s="153">
        <v>0</v>
      </c>
      <c r="J18" s="52"/>
      <c r="K18" s="113">
        <f t="shared" si="0"/>
        <v>302755.14118520013</v>
      </c>
      <c r="L18" s="54">
        <f t="shared" ref="L18:L23" si="6">IF(K18&lt;&gt;0,+G18-K18,0)</f>
        <v>0</v>
      </c>
      <c r="M18" s="113">
        <f t="shared" si="2"/>
        <v>302755.14118520013</v>
      </c>
      <c r="N18" s="54">
        <f t="shared" ref="N18:N23" si="7">IF(M18&lt;&gt;0,+H18-M18,0)</f>
        <v>0</v>
      </c>
      <c r="O18" s="54">
        <f t="shared" ref="O18:O23" si="8">+N18-L18</f>
        <v>0</v>
      </c>
      <c r="P18" s="1"/>
    </row>
    <row r="19" spans="2:16" ht="12.5">
      <c r="B19" s="7" t="str">
        <f t="shared" si="5"/>
        <v>IU</v>
      </c>
      <c r="C19" s="50">
        <f>IF(D11="","-",+C18+1)</f>
        <v>2014</v>
      </c>
      <c r="D19" s="151">
        <v>1836964.3095238095</v>
      </c>
      <c r="E19" s="420">
        <v>44806.833333333336</v>
      </c>
      <c r="F19" s="151">
        <v>1792157.4761904762</v>
      </c>
      <c r="G19" s="420">
        <v>286587.70931021811</v>
      </c>
      <c r="H19" s="421">
        <v>286587.70931021811</v>
      </c>
      <c r="I19" s="153">
        <v>0</v>
      </c>
      <c r="J19" s="52"/>
      <c r="K19" s="113">
        <f t="shared" si="0"/>
        <v>286587.70931021811</v>
      </c>
      <c r="L19" s="54">
        <f t="shared" si="6"/>
        <v>0</v>
      </c>
      <c r="M19" s="113">
        <f t="shared" si="2"/>
        <v>286587.70931021811</v>
      </c>
      <c r="N19" s="54">
        <f t="shared" si="7"/>
        <v>0</v>
      </c>
      <c r="O19" s="54">
        <f t="shared" si="8"/>
        <v>0</v>
      </c>
      <c r="P19" s="1"/>
    </row>
    <row r="20" spans="2:16" ht="12.5">
      <c r="B20" s="7" t="str">
        <f t="shared" si="5"/>
        <v/>
      </c>
      <c r="C20" s="50">
        <f>IF(D11="","-",+C19+1)</f>
        <v>2015</v>
      </c>
      <c r="D20" s="151">
        <v>1792157.4761904762</v>
      </c>
      <c r="E20" s="420">
        <v>44806.833333333336</v>
      </c>
      <c r="F20" s="151">
        <v>1747350.642857143</v>
      </c>
      <c r="G20" s="420">
        <v>274941.30198456615</v>
      </c>
      <c r="H20" s="421">
        <v>274941.30198456615</v>
      </c>
      <c r="I20" s="52">
        <v>0</v>
      </c>
      <c r="J20" s="52"/>
      <c r="K20" s="113">
        <f t="shared" si="0"/>
        <v>274941.30198456615</v>
      </c>
      <c r="L20" s="54">
        <f t="shared" si="6"/>
        <v>0</v>
      </c>
      <c r="M20" s="113">
        <f t="shared" si="2"/>
        <v>274941.30198456615</v>
      </c>
      <c r="N20" s="54">
        <f t="shared" si="7"/>
        <v>0</v>
      </c>
      <c r="O20" s="54">
        <f t="shared" si="8"/>
        <v>0</v>
      </c>
      <c r="P20" s="1"/>
    </row>
    <row r="21" spans="2:16" ht="12.5">
      <c r="B21" s="7" t="str">
        <f t="shared" si="5"/>
        <v/>
      </c>
      <c r="C21" s="50">
        <f>IF(D12="","-",+C20+1)</f>
        <v>2016</v>
      </c>
      <c r="D21" s="151">
        <v>1747350.642857143</v>
      </c>
      <c r="E21" s="420">
        <v>44806.833333333336</v>
      </c>
      <c r="F21" s="151">
        <v>1702543.8095238097</v>
      </c>
      <c r="G21" s="420">
        <v>266273.68954480469</v>
      </c>
      <c r="H21" s="421">
        <v>266273.68954480469</v>
      </c>
      <c r="I21" s="52">
        <f t="shared" ref="I21:I48" si="9">H21-G21</f>
        <v>0</v>
      </c>
      <c r="J21" s="52"/>
      <c r="K21" s="113">
        <f t="shared" si="0"/>
        <v>266273.68954480469</v>
      </c>
      <c r="L21" s="54">
        <f t="shared" si="6"/>
        <v>0</v>
      </c>
      <c r="M21" s="113">
        <f t="shared" si="2"/>
        <v>266273.68954480469</v>
      </c>
      <c r="N21" s="54">
        <f t="shared" si="7"/>
        <v>0</v>
      </c>
      <c r="O21" s="54">
        <f t="shared" si="8"/>
        <v>0</v>
      </c>
      <c r="P21" s="1"/>
    </row>
    <row r="22" spans="2:16" ht="12.5">
      <c r="B22" s="7" t="str">
        <f t="shared" si="5"/>
        <v/>
      </c>
      <c r="C22" s="50">
        <f>IF(D11="","-",+C21+1)</f>
        <v>2017</v>
      </c>
      <c r="D22" s="151">
        <v>1702543.8095238097</v>
      </c>
      <c r="E22" s="420">
        <v>43764.813953488374</v>
      </c>
      <c r="F22" s="151">
        <v>1658778.9955703213</v>
      </c>
      <c r="G22" s="420">
        <v>251986.21326636171</v>
      </c>
      <c r="H22" s="421">
        <v>251986.21326636171</v>
      </c>
      <c r="I22" s="52">
        <f t="shared" si="9"/>
        <v>0</v>
      </c>
      <c r="J22" s="52"/>
      <c r="K22" s="113">
        <f t="shared" si="0"/>
        <v>251986.21326636171</v>
      </c>
      <c r="L22" s="54">
        <f t="shared" si="6"/>
        <v>0</v>
      </c>
      <c r="M22" s="113">
        <f t="shared" si="2"/>
        <v>251986.21326636171</v>
      </c>
      <c r="N22" s="54">
        <f t="shared" si="7"/>
        <v>0</v>
      </c>
      <c r="O22" s="54">
        <f t="shared" si="8"/>
        <v>0</v>
      </c>
      <c r="P22" s="1"/>
    </row>
    <row r="23" spans="2:16" ht="12.5">
      <c r="B23" s="7" t="str">
        <f t="shared" si="5"/>
        <v/>
      </c>
      <c r="C23" s="50">
        <f>IF(D11="","-",+C22+1)</f>
        <v>2018</v>
      </c>
      <c r="D23" s="151">
        <v>1658778.9955703213</v>
      </c>
      <c r="E23" s="420">
        <v>45899.682926829271</v>
      </c>
      <c r="F23" s="151">
        <v>1612879.3126434921</v>
      </c>
      <c r="G23" s="420">
        <v>253803.9152686233</v>
      </c>
      <c r="H23" s="421">
        <v>253803.9152686233</v>
      </c>
      <c r="I23" s="52">
        <f t="shared" si="9"/>
        <v>0</v>
      </c>
      <c r="J23" s="52"/>
      <c r="K23" s="113">
        <f t="shared" ref="K23:K28" si="10">G23</f>
        <v>253803.9152686233</v>
      </c>
      <c r="L23" s="54">
        <f t="shared" si="6"/>
        <v>0</v>
      </c>
      <c r="M23" s="113">
        <f t="shared" ref="M23:M28" si="11">H23</f>
        <v>253803.9152686233</v>
      </c>
      <c r="N23" s="54">
        <f t="shared" si="7"/>
        <v>0</v>
      </c>
      <c r="O23" s="54">
        <f t="shared" si="8"/>
        <v>0</v>
      </c>
      <c r="P23" s="1"/>
    </row>
    <row r="24" spans="2:16" ht="12.5">
      <c r="B24" s="7" t="str">
        <f t="shared" si="5"/>
        <v/>
      </c>
      <c r="C24" s="50">
        <f>IF(D11="","-",+C23+1)</f>
        <v>2019</v>
      </c>
      <c r="D24" s="151">
        <v>1612879.3126434921</v>
      </c>
      <c r="E24" s="420">
        <v>45899.682926829271</v>
      </c>
      <c r="F24" s="151">
        <v>1566979.6297166629</v>
      </c>
      <c r="G24" s="420">
        <v>247970.33642594516</v>
      </c>
      <c r="H24" s="421">
        <v>247970.33642594516</v>
      </c>
      <c r="I24" s="52">
        <f t="shared" si="9"/>
        <v>0</v>
      </c>
      <c r="J24" s="52"/>
      <c r="K24" s="113">
        <f t="shared" si="10"/>
        <v>247970.33642594516</v>
      </c>
      <c r="L24" s="54">
        <f t="shared" ref="L24" si="12">IF(K24&lt;&gt;0,+G24-K24,0)</f>
        <v>0</v>
      </c>
      <c r="M24" s="113">
        <f t="shared" si="11"/>
        <v>247970.33642594516</v>
      </c>
      <c r="N24" s="54">
        <f t="shared" si="3"/>
        <v>0</v>
      </c>
      <c r="O24" s="54">
        <f t="shared" si="4"/>
        <v>0</v>
      </c>
      <c r="P24" s="1"/>
    </row>
    <row r="25" spans="2:16" ht="12.5">
      <c r="B25" s="7" t="str">
        <f t="shared" si="5"/>
        <v/>
      </c>
      <c r="C25" s="50">
        <f>IF(D11="","-",+C24+1)</f>
        <v>2020</v>
      </c>
      <c r="D25" s="151">
        <v>1566979.6297166629</v>
      </c>
      <c r="E25" s="420">
        <v>45899.682926829271</v>
      </c>
      <c r="F25" s="151">
        <v>1521079.9467898337</v>
      </c>
      <c r="G25" s="420">
        <v>203908.67428410932</v>
      </c>
      <c r="H25" s="421">
        <v>203908.67428410932</v>
      </c>
      <c r="I25" s="52">
        <f t="shared" si="9"/>
        <v>0</v>
      </c>
      <c r="J25" s="52"/>
      <c r="K25" s="113">
        <f t="shared" si="10"/>
        <v>203908.67428410932</v>
      </c>
      <c r="L25" s="54">
        <f t="shared" ref="L25" si="13">IF(K25&lt;&gt;0,+G25-K25,0)</f>
        <v>0</v>
      </c>
      <c r="M25" s="113">
        <f t="shared" si="11"/>
        <v>203908.67428410932</v>
      </c>
      <c r="N25" s="54">
        <f t="shared" si="3"/>
        <v>0</v>
      </c>
      <c r="O25" s="54">
        <f t="shared" si="4"/>
        <v>0</v>
      </c>
      <c r="P25" s="1"/>
    </row>
    <row r="26" spans="2:16" ht="12.5">
      <c r="B26" s="7" t="str">
        <f t="shared" si="5"/>
        <v>IU</v>
      </c>
      <c r="C26" s="50">
        <f>IF(D11="","-",+C25+1)</f>
        <v>2021</v>
      </c>
      <c r="D26" s="151">
        <v>1523214.8157631741</v>
      </c>
      <c r="E26" s="420">
        <v>44806.833333333336</v>
      </c>
      <c r="F26" s="151">
        <v>1478407.9824298408</v>
      </c>
      <c r="G26" s="420">
        <v>203899.66288933976</v>
      </c>
      <c r="H26" s="421">
        <v>203899.66288933976</v>
      </c>
      <c r="I26" s="52">
        <f t="shared" si="9"/>
        <v>0</v>
      </c>
      <c r="J26" s="52"/>
      <c r="K26" s="113">
        <f t="shared" si="10"/>
        <v>203899.66288933976</v>
      </c>
      <c r="L26" s="54">
        <f t="shared" ref="L26" si="14">IF(K26&lt;&gt;0,+G26-K26,0)</f>
        <v>0</v>
      </c>
      <c r="M26" s="113">
        <f t="shared" si="11"/>
        <v>203899.66288933976</v>
      </c>
      <c r="N26" s="54">
        <f t="shared" si="3"/>
        <v>0</v>
      </c>
      <c r="O26" s="54">
        <f t="shared" si="4"/>
        <v>0</v>
      </c>
      <c r="P26" s="1"/>
    </row>
    <row r="27" spans="2:16" ht="12.5">
      <c r="B27" s="7" t="str">
        <f t="shared" si="5"/>
        <v>IU</v>
      </c>
      <c r="C27" s="50">
        <f>IF(D11="","-",+C26+1)</f>
        <v>2022</v>
      </c>
      <c r="D27" s="151">
        <v>1476273.1134565</v>
      </c>
      <c r="E27" s="420">
        <v>44806.833333333336</v>
      </c>
      <c r="F27" s="151">
        <v>1431466.2801231667</v>
      </c>
      <c r="G27" s="420">
        <v>208285.89837452956</v>
      </c>
      <c r="H27" s="421">
        <v>208285.89837452956</v>
      </c>
      <c r="I27" s="52">
        <f t="shared" si="9"/>
        <v>0</v>
      </c>
      <c r="J27" s="52"/>
      <c r="K27" s="113">
        <f t="shared" si="10"/>
        <v>208285.89837452956</v>
      </c>
      <c r="L27" s="54">
        <f t="shared" ref="L27" si="15">IF(K27&lt;&gt;0,+G27-K27,0)</f>
        <v>0</v>
      </c>
      <c r="M27" s="113">
        <f t="shared" si="11"/>
        <v>208285.89837452956</v>
      </c>
      <c r="N27" s="54">
        <f t="shared" si="3"/>
        <v>0</v>
      </c>
      <c r="O27" s="54">
        <f t="shared" si="4"/>
        <v>0</v>
      </c>
      <c r="P27" s="1"/>
    </row>
    <row r="28" spans="2:16" ht="12.5">
      <c r="B28" s="7" t="str">
        <f t="shared" si="5"/>
        <v/>
      </c>
      <c r="C28" s="50">
        <f>IF(D11="","-",+C27+1)</f>
        <v>2023</v>
      </c>
      <c r="D28" s="151">
        <v>1431466.2801231667</v>
      </c>
      <c r="E28" s="420">
        <v>44806.833333333336</v>
      </c>
      <c r="F28" s="151">
        <v>1386659.4467898335</v>
      </c>
      <c r="G28" s="420">
        <v>222809.21893516878</v>
      </c>
      <c r="H28" s="421">
        <v>222809.21893516878</v>
      </c>
      <c r="I28" s="52">
        <f t="shared" si="9"/>
        <v>0</v>
      </c>
      <c r="J28" s="52"/>
      <c r="K28" s="113">
        <f t="shared" si="10"/>
        <v>222809.21893516878</v>
      </c>
      <c r="L28" s="54">
        <f t="shared" ref="L28" si="16">IF(K28&lt;&gt;0,+G28-K28,0)</f>
        <v>0</v>
      </c>
      <c r="M28" s="113">
        <f t="shared" si="11"/>
        <v>222809.21893516878</v>
      </c>
      <c r="N28" s="54">
        <f t="shared" si="3"/>
        <v>0</v>
      </c>
      <c r="O28" s="54">
        <f t="shared" si="4"/>
        <v>0</v>
      </c>
      <c r="P28" s="1"/>
    </row>
    <row r="29" spans="2:16" ht="12.5">
      <c r="B29" s="7" t="str">
        <f t="shared" si="5"/>
        <v/>
      </c>
      <c r="C29" s="50">
        <f>IF(D11="","-",+C28+1)</f>
        <v>2024</v>
      </c>
      <c r="D29" s="151">
        <v>1386659.4467898335</v>
      </c>
      <c r="E29" s="420">
        <v>42770.159090909088</v>
      </c>
      <c r="F29" s="151">
        <v>1343889.2876989243</v>
      </c>
      <c r="G29" s="420">
        <v>205957.48812840792</v>
      </c>
      <c r="H29" s="421">
        <v>205957.48812840792</v>
      </c>
      <c r="I29" s="52">
        <f t="shared" si="9"/>
        <v>0</v>
      </c>
      <c r="J29" s="52"/>
      <c r="K29" s="113">
        <f t="shared" ref="K29" si="17">G29</f>
        <v>205957.48812840792</v>
      </c>
      <c r="L29" s="54">
        <f t="shared" ref="L29" si="18">IF(K29&lt;&gt;0,+G29-K29,0)</f>
        <v>0</v>
      </c>
      <c r="M29" s="113">
        <f t="shared" ref="M29" si="19">H29</f>
        <v>205957.48812840792</v>
      </c>
      <c r="N29" s="54">
        <f t="shared" ref="N29" si="20">IF(M29&lt;&gt;0,+H29-M29,0)</f>
        <v>0</v>
      </c>
      <c r="O29" s="54">
        <f t="shared" ref="O29" si="21">+N29-L29</f>
        <v>0</v>
      </c>
      <c r="P29" s="1"/>
    </row>
    <row r="30" spans="2:16" ht="12.5">
      <c r="B30" s="7" t="str">
        <f t="shared" si="5"/>
        <v/>
      </c>
      <c r="C30" s="50">
        <f>IF(D11="","-",+C29+1)</f>
        <v>2025</v>
      </c>
      <c r="D30" s="55">
        <f>IF(F29+SUM(E$17:E29)=D$10,F29,D$10-SUM(E$17:E29))</f>
        <v>1343889.2876989243</v>
      </c>
      <c r="E30" s="378">
        <f>IF(+I14&lt;F29,I14,D30)</f>
        <v>42770.159090909088</v>
      </c>
      <c r="F30" s="55">
        <f t="shared" ref="F30:F48" si="22">+D30-E30</f>
        <v>1301119.1286080151</v>
      </c>
      <c r="G30" s="379">
        <f t="shared" ref="G30:G53" si="23">+I$12*((D30+F30)/2)+E30</f>
        <v>200845.29369188476</v>
      </c>
      <c r="H30" s="364">
        <f t="shared" ref="H30:H53" si="24">+I$13*((D30+F30)/2)+E30</f>
        <v>200845.29369188476</v>
      </c>
      <c r="I30" s="52">
        <f t="shared" si="9"/>
        <v>0</v>
      </c>
      <c r="J30" s="52"/>
      <c r="K30" s="129"/>
      <c r="L30" s="54">
        <f t="shared" si="1"/>
        <v>0</v>
      </c>
      <c r="M30" s="129"/>
      <c r="N30" s="54">
        <f t="shared" si="3"/>
        <v>0</v>
      </c>
      <c r="O30" s="54">
        <f t="shared" si="4"/>
        <v>0</v>
      </c>
      <c r="P30" s="1"/>
    </row>
    <row r="31" spans="2:16" ht="12.5">
      <c r="B31" s="7" t="str">
        <f t="shared" si="5"/>
        <v/>
      </c>
      <c r="C31" s="50">
        <f>IF(D11="","-",+C30+1)</f>
        <v>2026</v>
      </c>
      <c r="D31" s="55">
        <f>IF(F30+SUM(E$17:E30)=D$10,F30,D$10-SUM(E$17:E30))</f>
        <v>1301119.1286080151</v>
      </c>
      <c r="E31" s="378">
        <f>IF(+I14&lt;F30,I14,D31)</f>
        <v>42770.159090909088</v>
      </c>
      <c r="F31" s="55">
        <f t="shared" si="22"/>
        <v>1258348.969517106</v>
      </c>
      <c r="G31" s="379">
        <f t="shared" si="23"/>
        <v>195733.09925536162</v>
      </c>
      <c r="H31" s="364">
        <f t="shared" si="24"/>
        <v>195733.09925536162</v>
      </c>
      <c r="I31" s="52">
        <f t="shared" si="9"/>
        <v>0</v>
      </c>
      <c r="J31" s="52"/>
      <c r="K31" s="129"/>
      <c r="L31" s="54">
        <f t="shared" si="1"/>
        <v>0</v>
      </c>
      <c r="M31" s="129"/>
      <c r="N31" s="54">
        <f t="shared" si="3"/>
        <v>0</v>
      </c>
      <c r="O31" s="54">
        <f t="shared" si="4"/>
        <v>0</v>
      </c>
      <c r="P31" s="1"/>
    </row>
    <row r="32" spans="2:16" ht="12.5">
      <c r="B32" s="7" t="str">
        <f t="shared" si="5"/>
        <v/>
      </c>
      <c r="C32" s="50">
        <f>IF(D11="","-",+C31+1)</f>
        <v>2027</v>
      </c>
      <c r="D32" s="55">
        <f>IF(F31+SUM(E$17:E31)=D$10,F31,D$10-SUM(E$17:E31))</f>
        <v>1258348.969517106</v>
      </c>
      <c r="E32" s="378">
        <f>IF(+I14&lt;F31,I14,D32)</f>
        <v>42770.159090909088</v>
      </c>
      <c r="F32" s="55">
        <f t="shared" si="22"/>
        <v>1215578.8104261968</v>
      </c>
      <c r="G32" s="379">
        <f t="shared" si="23"/>
        <v>190620.90481883849</v>
      </c>
      <c r="H32" s="364">
        <f t="shared" si="24"/>
        <v>190620.90481883849</v>
      </c>
      <c r="I32" s="52">
        <f t="shared" si="9"/>
        <v>0</v>
      </c>
      <c r="J32" s="52"/>
      <c r="K32" s="129"/>
      <c r="L32" s="54">
        <f t="shared" si="1"/>
        <v>0</v>
      </c>
      <c r="M32" s="129"/>
      <c r="N32" s="54">
        <f t="shared" si="3"/>
        <v>0</v>
      </c>
      <c r="O32" s="54">
        <f t="shared" si="4"/>
        <v>0</v>
      </c>
      <c r="P32" s="1"/>
    </row>
    <row r="33" spans="2:16" ht="12.5">
      <c r="B33" s="7" t="str">
        <f t="shared" si="5"/>
        <v/>
      </c>
      <c r="C33" s="50">
        <f>IF(D11="","-",+C32+1)</f>
        <v>2028</v>
      </c>
      <c r="D33" s="55">
        <f>IF(F32+SUM(E$17:E32)=D$10,F32,D$10-SUM(E$17:E32))</f>
        <v>1215578.8104261968</v>
      </c>
      <c r="E33" s="378">
        <f>IF(+I14&lt;F32,I14,D33)</f>
        <v>42770.159090909088</v>
      </c>
      <c r="F33" s="55">
        <f t="shared" si="22"/>
        <v>1172808.6513352876</v>
      </c>
      <c r="G33" s="379">
        <f t="shared" si="23"/>
        <v>185508.71038231533</v>
      </c>
      <c r="H33" s="364">
        <f t="shared" si="24"/>
        <v>185508.71038231533</v>
      </c>
      <c r="I33" s="52">
        <f t="shared" si="9"/>
        <v>0</v>
      </c>
      <c r="J33" s="52"/>
      <c r="K33" s="129"/>
      <c r="L33" s="54">
        <f t="shared" si="1"/>
        <v>0</v>
      </c>
      <c r="M33" s="129"/>
      <c r="N33" s="54">
        <f t="shared" si="3"/>
        <v>0</v>
      </c>
      <c r="O33" s="54">
        <f t="shared" si="4"/>
        <v>0</v>
      </c>
      <c r="P33" s="1"/>
    </row>
    <row r="34" spans="2:16" ht="12.5">
      <c r="B34" s="7" t="str">
        <f t="shared" si="5"/>
        <v/>
      </c>
      <c r="C34" s="50">
        <f>IF(D11="","-",+C33+1)</f>
        <v>2029</v>
      </c>
      <c r="D34" s="55">
        <f>IF(F33+SUM(E$17:E33)=D$10,F33,D$10-SUM(E$17:E33))</f>
        <v>1172808.6513352876</v>
      </c>
      <c r="E34" s="378">
        <f>IF(+I14&lt;F33,I14,D34)</f>
        <v>42770.159090909088</v>
      </c>
      <c r="F34" s="55">
        <f t="shared" si="22"/>
        <v>1130038.4922443784</v>
      </c>
      <c r="G34" s="379">
        <f t="shared" si="23"/>
        <v>180396.5159457922</v>
      </c>
      <c r="H34" s="364">
        <f t="shared" si="24"/>
        <v>180396.5159457922</v>
      </c>
      <c r="I34" s="52">
        <f t="shared" si="9"/>
        <v>0</v>
      </c>
      <c r="J34" s="52"/>
      <c r="K34" s="129"/>
      <c r="L34" s="54">
        <f t="shared" si="1"/>
        <v>0</v>
      </c>
      <c r="M34" s="129"/>
      <c r="N34" s="54">
        <f t="shared" si="3"/>
        <v>0</v>
      </c>
      <c r="O34" s="54">
        <f t="shared" si="4"/>
        <v>0</v>
      </c>
      <c r="P34" s="1"/>
    </row>
    <row r="35" spans="2:16" ht="12.5">
      <c r="B35" s="7" t="str">
        <f t="shared" si="5"/>
        <v/>
      </c>
      <c r="C35" s="50">
        <f>IF(D11="","-",+C34+1)</f>
        <v>2030</v>
      </c>
      <c r="D35" s="55">
        <f>IF(F34+SUM(E$17:E34)=D$10,F34,D$10-SUM(E$17:E34))</f>
        <v>1130038.4922443784</v>
      </c>
      <c r="E35" s="378">
        <f>IF(+I14&lt;F34,I14,D35)</f>
        <v>42770.159090909088</v>
      </c>
      <c r="F35" s="55">
        <f t="shared" si="22"/>
        <v>1087268.3331534693</v>
      </c>
      <c r="G35" s="379">
        <f t="shared" si="23"/>
        <v>175284.32150926904</v>
      </c>
      <c r="H35" s="364">
        <f t="shared" si="24"/>
        <v>175284.32150926904</v>
      </c>
      <c r="I35" s="52">
        <f t="shared" si="9"/>
        <v>0</v>
      </c>
      <c r="J35" s="52"/>
      <c r="K35" s="129"/>
      <c r="L35" s="54">
        <f t="shared" si="1"/>
        <v>0</v>
      </c>
      <c r="M35" s="129"/>
      <c r="N35" s="54">
        <f t="shared" si="3"/>
        <v>0</v>
      </c>
      <c r="O35" s="54">
        <f t="shared" si="4"/>
        <v>0</v>
      </c>
      <c r="P35" s="1"/>
    </row>
    <row r="36" spans="2:16" ht="12.5">
      <c r="B36" s="7" t="str">
        <f t="shared" si="5"/>
        <v/>
      </c>
      <c r="C36" s="50">
        <f>IF(D11="","-",+C35+1)</f>
        <v>2031</v>
      </c>
      <c r="D36" s="55">
        <f>IF(F35+SUM(E$17:E35)=D$10,F35,D$10-SUM(E$17:E35))</f>
        <v>1087268.3331534693</v>
      </c>
      <c r="E36" s="378">
        <f>IF(+I14&lt;F35,I14,D36)</f>
        <v>42770.159090909088</v>
      </c>
      <c r="F36" s="55">
        <f t="shared" si="22"/>
        <v>1044498.1740625602</v>
      </c>
      <c r="G36" s="379">
        <f t="shared" si="23"/>
        <v>170172.12707274591</v>
      </c>
      <c r="H36" s="364">
        <f t="shared" si="24"/>
        <v>170172.12707274591</v>
      </c>
      <c r="I36" s="52">
        <f t="shared" si="9"/>
        <v>0</v>
      </c>
      <c r="J36" s="52"/>
      <c r="K36" s="129"/>
      <c r="L36" s="54">
        <f t="shared" si="1"/>
        <v>0</v>
      </c>
      <c r="M36" s="129"/>
      <c r="N36" s="54">
        <f t="shared" si="3"/>
        <v>0</v>
      </c>
      <c r="O36" s="54">
        <f t="shared" si="4"/>
        <v>0</v>
      </c>
      <c r="P36" s="1"/>
    </row>
    <row r="37" spans="2:16" ht="12.5">
      <c r="B37" s="7" t="str">
        <f t="shared" si="5"/>
        <v/>
      </c>
      <c r="C37" s="50">
        <f>IF(D11="","-",+C36+1)</f>
        <v>2032</v>
      </c>
      <c r="D37" s="55">
        <f>IF(F36+SUM(E$17:E36)=D$10,F36,D$10-SUM(E$17:E36))</f>
        <v>1044498.1740625602</v>
      </c>
      <c r="E37" s="378">
        <f>IF(+I14&lt;F36,I14,D37)</f>
        <v>42770.159090909088</v>
      </c>
      <c r="F37" s="55">
        <f t="shared" si="22"/>
        <v>1001728.0149716511</v>
      </c>
      <c r="G37" s="379">
        <f t="shared" si="23"/>
        <v>165059.9326362228</v>
      </c>
      <c r="H37" s="364">
        <f t="shared" si="24"/>
        <v>165059.9326362228</v>
      </c>
      <c r="I37" s="52">
        <f t="shared" si="9"/>
        <v>0</v>
      </c>
      <c r="J37" s="52"/>
      <c r="K37" s="129"/>
      <c r="L37" s="54">
        <f t="shared" si="1"/>
        <v>0</v>
      </c>
      <c r="M37" s="129"/>
      <c r="N37" s="54">
        <f t="shared" si="3"/>
        <v>0</v>
      </c>
      <c r="O37" s="54">
        <f t="shared" si="4"/>
        <v>0</v>
      </c>
      <c r="P37" s="1"/>
    </row>
    <row r="38" spans="2:16" ht="12.5">
      <c r="B38" s="7" t="str">
        <f t="shared" si="5"/>
        <v/>
      </c>
      <c r="C38" s="50">
        <f>IF(D11="","-",+C37+1)</f>
        <v>2033</v>
      </c>
      <c r="D38" s="55">
        <f>IF(F37+SUM(E$17:E37)=D$10,F37,D$10-SUM(E$17:E37))</f>
        <v>1001728.0149716511</v>
      </c>
      <c r="E38" s="378">
        <f>IF(+I14&lt;F37,I14,D38)</f>
        <v>42770.159090909088</v>
      </c>
      <c r="F38" s="55">
        <f t="shared" si="22"/>
        <v>958957.85588074208</v>
      </c>
      <c r="G38" s="379">
        <f t="shared" si="23"/>
        <v>159947.73819969967</v>
      </c>
      <c r="H38" s="364">
        <f t="shared" si="24"/>
        <v>159947.73819969967</v>
      </c>
      <c r="I38" s="52">
        <f t="shared" si="9"/>
        <v>0</v>
      </c>
      <c r="J38" s="52"/>
      <c r="K38" s="129"/>
      <c r="L38" s="54">
        <f t="shared" si="1"/>
        <v>0</v>
      </c>
      <c r="M38" s="129"/>
      <c r="N38" s="54">
        <f t="shared" si="3"/>
        <v>0</v>
      </c>
      <c r="O38" s="54">
        <f t="shared" si="4"/>
        <v>0</v>
      </c>
      <c r="P38" s="1"/>
    </row>
    <row r="39" spans="2:16" ht="12.5">
      <c r="B39" s="7" t="str">
        <f t="shared" si="5"/>
        <v/>
      </c>
      <c r="C39" s="50">
        <f>IF(D11="","-",+C38+1)</f>
        <v>2034</v>
      </c>
      <c r="D39" s="55">
        <f>IF(F38+SUM(E$17:E38)=D$10,F38,D$10-SUM(E$17:E38))</f>
        <v>958957.85588074208</v>
      </c>
      <c r="E39" s="378">
        <f>IF(+I14&lt;F38,I14,D39)</f>
        <v>42770.159090909088</v>
      </c>
      <c r="F39" s="55">
        <f t="shared" si="22"/>
        <v>916187.69678983302</v>
      </c>
      <c r="G39" s="379">
        <f t="shared" si="23"/>
        <v>154835.54376317654</v>
      </c>
      <c r="H39" s="364">
        <f t="shared" si="24"/>
        <v>154835.54376317654</v>
      </c>
      <c r="I39" s="52">
        <f t="shared" si="9"/>
        <v>0</v>
      </c>
      <c r="J39" s="52"/>
      <c r="K39" s="129"/>
      <c r="L39" s="54">
        <f t="shared" si="1"/>
        <v>0</v>
      </c>
      <c r="M39" s="129"/>
      <c r="N39" s="54">
        <f t="shared" si="3"/>
        <v>0</v>
      </c>
      <c r="O39" s="54">
        <f t="shared" si="4"/>
        <v>0</v>
      </c>
      <c r="P39" s="1"/>
    </row>
    <row r="40" spans="2:16" ht="12.5">
      <c r="B40" s="7" t="str">
        <f t="shared" si="5"/>
        <v/>
      </c>
      <c r="C40" s="50">
        <f>IF(D11="","-",+C39+1)</f>
        <v>2035</v>
      </c>
      <c r="D40" s="55">
        <f>IF(F39+SUM(E$17:E39)=D$10,F39,D$10-SUM(E$17:E39))</f>
        <v>916187.69678983302</v>
      </c>
      <c r="E40" s="378">
        <f>IF(+I14&lt;F39,I14,D40)</f>
        <v>42770.159090909088</v>
      </c>
      <c r="F40" s="55">
        <f t="shared" si="22"/>
        <v>873417.53769892396</v>
      </c>
      <c r="G40" s="379">
        <f t="shared" si="23"/>
        <v>149723.34932665341</v>
      </c>
      <c r="H40" s="364">
        <f t="shared" si="24"/>
        <v>149723.34932665341</v>
      </c>
      <c r="I40" s="52">
        <f t="shared" si="9"/>
        <v>0</v>
      </c>
      <c r="J40" s="52"/>
      <c r="K40" s="129"/>
      <c r="L40" s="54">
        <f t="shared" si="1"/>
        <v>0</v>
      </c>
      <c r="M40" s="129"/>
      <c r="N40" s="54">
        <f t="shared" si="3"/>
        <v>0</v>
      </c>
      <c r="O40" s="54">
        <f t="shared" si="4"/>
        <v>0</v>
      </c>
      <c r="P40" s="1"/>
    </row>
    <row r="41" spans="2:16" ht="12.5">
      <c r="B41" s="7" t="str">
        <f t="shared" si="5"/>
        <v/>
      </c>
      <c r="C41" s="50">
        <f>IF(D11="","-",+C40+1)</f>
        <v>2036</v>
      </c>
      <c r="D41" s="55">
        <f>IF(F40+SUM(E$17:E40)=D$10,F40,D$10-SUM(E$17:E40))</f>
        <v>873417.53769892396</v>
      </c>
      <c r="E41" s="378">
        <f>IF(+I14&lt;F40,I14,D41)</f>
        <v>42770.159090909088</v>
      </c>
      <c r="F41" s="55">
        <f t="shared" si="22"/>
        <v>830647.3786080149</v>
      </c>
      <c r="G41" s="379">
        <f t="shared" si="23"/>
        <v>144611.15489013027</v>
      </c>
      <c r="H41" s="364">
        <f t="shared" si="24"/>
        <v>144611.15489013027</v>
      </c>
      <c r="I41" s="52">
        <f t="shared" si="9"/>
        <v>0</v>
      </c>
      <c r="J41" s="52"/>
      <c r="K41" s="129"/>
      <c r="L41" s="54">
        <f t="shared" si="1"/>
        <v>0</v>
      </c>
      <c r="M41" s="129"/>
      <c r="N41" s="54">
        <f t="shared" si="3"/>
        <v>0</v>
      </c>
      <c r="O41" s="54">
        <f t="shared" si="4"/>
        <v>0</v>
      </c>
      <c r="P41" s="1"/>
    </row>
    <row r="42" spans="2:16" ht="12.5">
      <c r="B42" s="7" t="str">
        <f t="shared" si="5"/>
        <v/>
      </c>
      <c r="C42" s="50">
        <f>IF(D11="","-",+C41+1)</f>
        <v>2037</v>
      </c>
      <c r="D42" s="55">
        <f>IF(F41+SUM(E$17:E41)=D$10,F41,D$10-SUM(E$17:E41))</f>
        <v>830647.3786080149</v>
      </c>
      <c r="E42" s="378">
        <f>IF(+I14&lt;F41,I14,D42)</f>
        <v>42770.159090909088</v>
      </c>
      <c r="F42" s="55">
        <f t="shared" si="22"/>
        <v>787877.21951710584</v>
      </c>
      <c r="G42" s="379">
        <f t="shared" si="23"/>
        <v>139498.96045360714</v>
      </c>
      <c r="H42" s="364">
        <f t="shared" si="24"/>
        <v>139498.96045360714</v>
      </c>
      <c r="I42" s="52">
        <f t="shared" si="9"/>
        <v>0</v>
      </c>
      <c r="J42" s="52"/>
      <c r="K42" s="129"/>
      <c r="L42" s="54">
        <f t="shared" si="1"/>
        <v>0</v>
      </c>
      <c r="M42" s="129"/>
      <c r="N42" s="54">
        <f t="shared" si="3"/>
        <v>0</v>
      </c>
      <c r="O42" s="54">
        <f t="shared" si="4"/>
        <v>0</v>
      </c>
      <c r="P42" s="1"/>
    </row>
    <row r="43" spans="2:16" ht="12.5">
      <c r="B43" s="7" t="str">
        <f t="shared" si="5"/>
        <v/>
      </c>
      <c r="C43" s="50">
        <f>IF(D11="","-",+C42+1)</f>
        <v>2038</v>
      </c>
      <c r="D43" s="55">
        <f>IF(F42+SUM(E$17:E42)=D$10,F42,D$10-SUM(E$17:E42))</f>
        <v>787877.21951710584</v>
      </c>
      <c r="E43" s="378">
        <f>IF(+I14&lt;F42,I14,D43)</f>
        <v>42770.159090909088</v>
      </c>
      <c r="F43" s="55">
        <f t="shared" si="22"/>
        <v>745107.06042619678</v>
      </c>
      <c r="G43" s="379">
        <f t="shared" si="23"/>
        <v>134386.76601708401</v>
      </c>
      <c r="H43" s="364">
        <f t="shared" si="24"/>
        <v>134386.76601708401</v>
      </c>
      <c r="I43" s="52">
        <f t="shared" si="9"/>
        <v>0</v>
      </c>
      <c r="J43" s="52"/>
      <c r="K43" s="129"/>
      <c r="L43" s="54">
        <f t="shared" si="1"/>
        <v>0</v>
      </c>
      <c r="M43" s="129"/>
      <c r="N43" s="54">
        <f t="shared" si="3"/>
        <v>0</v>
      </c>
      <c r="O43" s="54">
        <f t="shared" si="4"/>
        <v>0</v>
      </c>
      <c r="P43" s="1"/>
    </row>
    <row r="44" spans="2:16" ht="12.5">
      <c r="B44" s="7" t="str">
        <f t="shared" si="5"/>
        <v/>
      </c>
      <c r="C44" s="50">
        <f>IF(D11="","-",+C43+1)</f>
        <v>2039</v>
      </c>
      <c r="D44" s="55">
        <f>IF(F43+SUM(E$17:E43)=D$10,F43,D$10-SUM(E$17:E43))</f>
        <v>745107.06042619678</v>
      </c>
      <c r="E44" s="378">
        <f>IF(+I14&lt;F43,I14,D44)</f>
        <v>42770.159090909088</v>
      </c>
      <c r="F44" s="55">
        <f t="shared" si="22"/>
        <v>702336.90133528772</v>
      </c>
      <c r="G44" s="379">
        <f t="shared" si="23"/>
        <v>129274.57158056088</v>
      </c>
      <c r="H44" s="364">
        <f t="shared" si="24"/>
        <v>129274.57158056088</v>
      </c>
      <c r="I44" s="52">
        <f t="shared" si="9"/>
        <v>0</v>
      </c>
      <c r="J44" s="52"/>
      <c r="K44" s="129"/>
      <c r="L44" s="54">
        <f t="shared" si="1"/>
        <v>0</v>
      </c>
      <c r="M44" s="129"/>
      <c r="N44" s="54">
        <f t="shared" si="3"/>
        <v>0</v>
      </c>
      <c r="O44" s="54">
        <f t="shared" si="4"/>
        <v>0</v>
      </c>
      <c r="P44" s="1"/>
    </row>
    <row r="45" spans="2:16" ht="12.5">
      <c r="B45" s="7" t="str">
        <f t="shared" si="5"/>
        <v/>
      </c>
      <c r="C45" s="50">
        <f>IF(D11="","-",+C44+1)</f>
        <v>2040</v>
      </c>
      <c r="D45" s="55">
        <f>IF(F44+SUM(E$17:E44)=D$10,F44,D$10-SUM(E$17:E44))</f>
        <v>702336.90133528772</v>
      </c>
      <c r="E45" s="378">
        <f>IF(+I14&lt;F44,I14,D45)</f>
        <v>42770.159090909088</v>
      </c>
      <c r="F45" s="55">
        <f t="shared" si="22"/>
        <v>659566.74224437866</v>
      </c>
      <c r="G45" s="379">
        <f t="shared" si="23"/>
        <v>124162.37714403777</v>
      </c>
      <c r="H45" s="364">
        <f t="shared" si="24"/>
        <v>124162.37714403777</v>
      </c>
      <c r="I45" s="52">
        <f t="shared" si="9"/>
        <v>0</v>
      </c>
      <c r="J45" s="52"/>
      <c r="K45" s="129"/>
      <c r="L45" s="54">
        <f t="shared" si="1"/>
        <v>0</v>
      </c>
      <c r="M45" s="129"/>
      <c r="N45" s="54">
        <f t="shared" si="3"/>
        <v>0</v>
      </c>
      <c r="O45" s="54">
        <f t="shared" si="4"/>
        <v>0</v>
      </c>
      <c r="P45" s="1"/>
    </row>
    <row r="46" spans="2:16" ht="12.5">
      <c r="B46" s="7" t="str">
        <f t="shared" si="5"/>
        <v/>
      </c>
      <c r="C46" s="50">
        <f>IF(D11="","-",+C45+1)</f>
        <v>2041</v>
      </c>
      <c r="D46" s="55">
        <f>IF(F45+SUM(E$17:E45)=D$10,F45,D$10-SUM(E$17:E45))</f>
        <v>659566.74224437866</v>
      </c>
      <c r="E46" s="378">
        <f>IF(+I14&lt;F45,I14,D46)</f>
        <v>42770.159090909088</v>
      </c>
      <c r="F46" s="55">
        <f t="shared" si="22"/>
        <v>616796.5831534696</v>
      </c>
      <c r="G46" s="379">
        <f t="shared" si="23"/>
        <v>119050.18270751463</v>
      </c>
      <c r="H46" s="364">
        <f t="shared" si="24"/>
        <v>119050.18270751463</v>
      </c>
      <c r="I46" s="52">
        <f t="shared" si="9"/>
        <v>0</v>
      </c>
      <c r="J46" s="52"/>
      <c r="K46" s="129"/>
      <c r="L46" s="54">
        <f t="shared" si="1"/>
        <v>0</v>
      </c>
      <c r="M46" s="129"/>
      <c r="N46" s="54">
        <f t="shared" si="3"/>
        <v>0</v>
      </c>
      <c r="O46" s="54">
        <f t="shared" si="4"/>
        <v>0</v>
      </c>
      <c r="P46" s="1"/>
    </row>
    <row r="47" spans="2:16" ht="12.5">
      <c r="B47" s="7" t="str">
        <f t="shared" si="5"/>
        <v/>
      </c>
      <c r="C47" s="50">
        <f>IF(D11="","-",+C46+1)</f>
        <v>2042</v>
      </c>
      <c r="D47" s="55">
        <f>IF(F46+SUM(E$17:E46)=D$10,F46,D$10-SUM(E$17:E46))</f>
        <v>616796.5831534696</v>
      </c>
      <c r="E47" s="378">
        <f>IF(+I14&lt;F46,I14,D47)</f>
        <v>42770.159090909088</v>
      </c>
      <c r="F47" s="55">
        <f t="shared" si="22"/>
        <v>574026.42406256055</v>
      </c>
      <c r="G47" s="379">
        <f t="shared" si="23"/>
        <v>113937.98827099151</v>
      </c>
      <c r="H47" s="364">
        <f t="shared" si="24"/>
        <v>113937.98827099151</v>
      </c>
      <c r="I47" s="52">
        <f t="shared" si="9"/>
        <v>0</v>
      </c>
      <c r="J47" s="52"/>
      <c r="K47" s="129"/>
      <c r="L47" s="54">
        <f t="shared" si="1"/>
        <v>0</v>
      </c>
      <c r="M47" s="129"/>
      <c r="N47" s="54">
        <f t="shared" si="3"/>
        <v>0</v>
      </c>
      <c r="O47" s="54">
        <f t="shared" si="4"/>
        <v>0</v>
      </c>
      <c r="P47" s="1"/>
    </row>
    <row r="48" spans="2:16" ht="12.5">
      <c r="B48" s="7" t="str">
        <f t="shared" si="5"/>
        <v/>
      </c>
      <c r="C48" s="50">
        <f>IF(D11="","-",+C47+1)</f>
        <v>2043</v>
      </c>
      <c r="D48" s="55">
        <f>IF(F47+SUM(E$17:E47)=D$10,F47,D$10-SUM(E$17:E47))</f>
        <v>574026.42406256055</v>
      </c>
      <c r="E48" s="378">
        <f>IF(+I14&lt;F47,I14,D48)</f>
        <v>42770.159090909088</v>
      </c>
      <c r="F48" s="55">
        <f t="shared" si="22"/>
        <v>531256.26497165149</v>
      </c>
      <c r="G48" s="379">
        <f t="shared" si="23"/>
        <v>108825.79383446838</v>
      </c>
      <c r="H48" s="364">
        <f t="shared" si="24"/>
        <v>108825.79383446838</v>
      </c>
      <c r="I48" s="52">
        <f t="shared" si="9"/>
        <v>0</v>
      </c>
      <c r="J48" s="52"/>
      <c r="K48" s="129"/>
      <c r="L48" s="54">
        <f t="shared" si="1"/>
        <v>0</v>
      </c>
      <c r="M48" s="129"/>
      <c r="N48" s="54">
        <f t="shared" si="3"/>
        <v>0</v>
      </c>
      <c r="O48" s="54">
        <f t="shared" si="4"/>
        <v>0</v>
      </c>
      <c r="P48" s="1"/>
    </row>
    <row r="49" spans="2:17" ht="12.5">
      <c r="B49" s="7" t="str">
        <f t="shared" si="5"/>
        <v/>
      </c>
      <c r="C49" s="50">
        <f>IF(D11="","-",+C48+1)</f>
        <v>2044</v>
      </c>
      <c r="D49" s="55">
        <f>IF(F48+SUM(E$17:E48)=D$10,F48,D$10-SUM(E$17:E48))</f>
        <v>531256.26497165149</v>
      </c>
      <c r="E49" s="378">
        <f>IF(+I14&lt;F48,I14,D49)</f>
        <v>42770.159090909088</v>
      </c>
      <c r="F49" s="55">
        <f t="shared" ref="F49:F72" si="25">+D49-E49</f>
        <v>488486.10588074243</v>
      </c>
      <c r="G49" s="379">
        <f t="shared" si="23"/>
        <v>103713.59939794525</v>
      </c>
      <c r="H49" s="364">
        <f t="shared" si="24"/>
        <v>103713.59939794525</v>
      </c>
      <c r="I49" s="52">
        <f t="shared" ref="I49:I72" si="26">H49-G49</f>
        <v>0</v>
      </c>
      <c r="J49" s="52"/>
      <c r="K49" s="129"/>
      <c r="L49" s="54">
        <f t="shared" ref="L49:L72" si="27">IF(K49&lt;&gt;0,+G49-K49,0)</f>
        <v>0</v>
      </c>
      <c r="M49" s="129"/>
      <c r="N49" s="54">
        <f t="shared" ref="N49:N72" si="28">IF(M49&lt;&gt;0,+H49-M49,0)</f>
        <v>0</v>
      </c>
      <c r="O49" s="54">
        <f t="shared" ref="O49:O72" si="29">+N49-L49</f>
        <v>0</v>
      </c>
      <c r="P49" s="1"/>
    </row>
    <row r="50" spans="2:17" ht="12.5">
      <c r="B50" s="7" t="str">
        <f t="shared" ref="B50:B72" si="30">IF(D50=F49,"","IU")</f>
        <v/>
      </c>
      <c r="C50" s="50">
        <f>IF(D11="","-",+C49+1)</f>
        <v>2045</v>
      </c>
      <c r="D50" s="55">
        <f>IF(F49+SUM(E$17:E49)=D$10,F49,D$10-SUM(E$17:E49))</f>
        <v>488486.10588074243</v>
      </c>
      <c r="E50" s="378">
        <f>IF(+I14&lt;F49,I14,D50)</f>
        <v>42770.159090909088</v>
      </c>
      <c r="F50" s="55">
        <f t="shared" si="25"/>
        <v>445715.94678983337</v>
      </c>
      <c r="G50" s="379">
        <f t="shared" si="23"/>
        <v>98601.404961422115</v>
      </c>
      <c r="H50" s="364">
        <f t="shared" si="24"/>
        <v>98601.404961422115</v>
      </c>
      <c r="I50" s="52">
        <f t="shared" si="26"/>
        <v>0</v>
      </c>
      <c r="J50" s="52"/>
      <c r="K50" s="129"/>
      <c r="L50" s="54">
        <f t="shared" si="27"/>
        <v>0</v>
      </c>
      <c r="M50" s="129"/>
      <c r="N50" s="54">
        <f t="shared" si="28"/>
        <v>0</v>
      </c>
      <c r="O50" s="54">
        <f t="shared" si="29"/>
        <v>0</v>
      </c>
      <c r="P50" s="1"/>
    </row>
    <row r="51" spans="2:17" ht="12.5">
      <c r="B51" s="7" t="str">
        <f t="shared" si="30"/>
        <v/>
      </c>
      <c r="C51" s="50">
        <f>IF(D11="","-",+C50+1)</f>
        <v>2046</v>
      </c>
      <c r="D51" s="55">
        <f>IF(F50+SUM(E$17:E50)=D$10,F50,D$10-SUM(E$17:E50))</f>
        <v>445715.94678983337</v>
      </c>
      <c r="E51" s="378">
        <f>IF(+I14&lt;F50,I14,D51)</f>
        <v>42770.159090909088</v>
      </c>
      <c r="F51" s="55">
        <f t="shared" si="25"/>
        <v>402945.78769892431</v>
      </c>
      <c r="G51" s="379">
        <f t="shared" si="23"/>
        <v>93489.210524898997</v>
      </c>
      <c r="H51" s="364">
        <f t="shared" si="24"/>
        <v>93489.210524898997</v>
      </c>
      <c r="I51" s="52">
        <f t="shared" si="26"/>
        <v>0</v>
      </c>
      <c r="J51" s="52"/>
      <c r="K51" s="129"/>
      <c r="L51" s="54">
        <f t="shared" si="27"/>
        <v>0</v>
      </c>
      <c r="M51" s="129"/>
      <c r="N51" s="54">
        <f t="shared" si="28"/>
        <v>0</v>
      </c>
      <c r="O51" s="54">
        <f t="shared" si="29"/>
        <v>0</v>
      </c>
      <c r="P51" s="1"/>
    </row>
    <row r="52" spans="2:17" ht="12.5">
      <c r="B52" s="7" t="str">
        <f t="shared" si="30"/>
        <v/>
      </c>
      <c r="C52" s="50">
        <f>IF(D11="","-",+C51+1)</f>
        <v>2047</v>
      </c>
      <c r="D52" s="55">
        <f>IF(F51+SUM(E$17:E51)=D$10,F51,D$10-SUM(E$17:E51))</f>
        <v>402945.78769892431</v>
      </c>
      <c r="E52" s="378">
        <f>IF(+I14&lt;F51,I14,D52)</f>
        <v>42770.159090909088</v>
      </c>
      <c r="F52" s="55">
        <f t="shared" si="25"/>
        <v>360175.62860801525</v>
      </c>
      <c r="G52" s="379">
        <f t="shared" si="23"/>
        <v>88377.016088375865</v>
      </c>
      <c r="H52" s="364">
        <f t="shared" si="24"/>
        <v>88377.016088375865</v>
      </c>
      <c r="I52" s="52">
        <f t="shared" si="26"/>
        <v>0</v>
      </c>
      <c r="J52" s="52"/>
      <c r="K52" s="129"/>
      <c r="L52" s="54">
        <f t="shared" si="27"/>
        <v>0</v>
      </c>
      <c r="M52" s="129"/>
      <c r="N52" s="54">
        <f t="shared" si="28"/>
        <v>0</v>
      </c>
      <c r="O52" s="54">
        <f t="shared" si="29"/>
        <v>0</v>
      </c>
      <c r="P52" s="1"/>
    </row>
    <row r="53" spans="2:17" ht="12.5">
      <c r="B53" s="7" t="str">
        <f t="shared" si="30"/>
        <v/>
      </c>
      <c r="C53" s="50">
        <f>IF(D11="","-",+C52+1)</f>
        <v>2048</v>
      </c>
      <c r="D53" s="55">
        <f>IF(F52+SUM(E$17:E52)=D$10,F52,D$10-SUM(E$17:E52))</f>
        <v>360175.62860801525</v>
      </c>
      <c r="E53" s="378">
        <f>IF(+I14&lt;F52,I14,D53)</f>
        <v>42770.159090909088</v>
      </c>
      <c r="F53" s="55">
        <f t="shared" si="25"/>
        <v>317405.46951710619</v>
      </c>
      <c r="G53" s="379">
        <f t="shared" si="23"/>
        <v>83264.821651852748</v>
      </c>
      <c r="H53" s="364">
        <f t="shared" si="24"/>
        <v>83264.821651852748</v>
      </c>
      <c r="I53" s="52">
        <f t="shared" si="26"/>
        <v>0</v>
      </c>
      <c r="J53" s="52"/>
      <c r="K53" s="129"/>
      <c r="L53" s="54">
        <f t="shared" si="27"/>
        <v>0</v>
      </c>
      <c r="M53" s="129"/>
      <c r="N53" s="54">
        <f t="shared" si="28"/>
        <v>0</v>
      </c>
      <c r="O53" s="54">
        <f t="shared" si="29"/>
        <v>0</v>
      </c>
      <c r="P53" s="1"/>
    </row>
    <row r="54" spans="2:17" ht="12.5">
      <c r="B54" s="7" t="str">
        <f t="shared" si="30"/>
        <v/>
      </c>
      <c r="C54" s="50">
        <f>IF(D11="","-",+C53+1)</f>
        <v>2049</v>
      </c>
      <c r="D54" s="55">
        <f>IF(F53+SUM(E$17:E53)=D$10,F53,D$10-SUM(E$17:E53))</f>
        <v>317405.46951710619</v>
      </c>
      <c r="E54" s="378">
        <f>IF(+I14&lt;F53,I14,D54)</f>
        <v>42770.159090909088</v>
      </c>
      <c r="F54" s="55">
        <f t="shared" si="25"/>
        <v>274635.31042619713</v>
      </c>
      <c r="G54" s="379">
        <f t="shared" ref="G54:G72" si="31">+I$12*((D54+F54)/2)+E54</f>
        <v>78152.627215329616</v>
      </c>
      <c r="H54" s="364">
        <f t="shared" ref="H54:H72" si="32">+I$13*((D54+F54)/2)+E54</f>
        <v>78152.627215329616</v>
      </c>
      <c r="I54" s="52">
        <f t="shared" si="26"/>
        <v>0</v>
      </c>
      <c r="J54" s="52"/>
      <c r="K54" s="129"/>
      <c r="L54" s="54">
        <f t="shared" si="27"/>
        <v>0</v>
      </c>
      <c r="M54" s="129"/>
      <c r="N54" s="54">
        <f t="shared" si="28"/>
        <v>0</v>
      </c>
      <c r="O54" s="54">
        <f t="shared" si="29"/>
        <v>0</v>
      </c>
      <c r="P54" s="1"/>
    </row>
    <row r="55" spans="2:17" ht="12.5">
      <c r="B55" s="7" t="str">
        <f t="shared" si="30"/>
        <v/>
      </c>
      <c r="C55" s="50">
        <f>IF(D11="","-",+C54+1)</f>
        <v>2050</v>
      </c>
      <c r="D55" s="55">
        <f>IF(F54+SUM(E$17:E54)=D$10,F54,D$10-SUM(E$17:E54))</f>
        <v>274635.31042619713</v>
      </c>
      <c r="E55" s="378">
        <f>IF(+I14&lt;F54,I14,D55)</f>
        <v>42770.159090909088</v>
      </c>
      <c r="F55" s="55">
        <f t="shared" si="25"/>
        <v>231865.15133528804</v>
      </c>
      <c r="G55" s="379">
        <f t="shared" si="31"/>
        <v>73040.432778806484</v>
      </c>
      <c r="H55" s="364">
        <f t="shared" si="32"/>
        <v>73040.432778806484</v>
      </c>
      <c r="I55" s="52">
        <f t="shared" si="26"/>
        <v>0</v>
      </c>
      <c r="J55" s="52"/>
      <c r="K55" s="129"/>
      <c r="L55" s="54">
        <f t="shared" si="27"/>
        <v>0</v>
      </c>
      <c r="M55" s="129"/>
      <c r="N55" s="54">
        <f t="shared" si="28"/>
        <v>0</v>
      </c>
      <c r="O55" s="54">
        <f t="shared" si="29"/>
        <v>0</v>
      </c>
      <c r="P55" s="1"/>
    </row>
    <row r="56" spans="2:17" ht="12.5">
      <c r="B56" s="7" t="str">
        <f t="shared" si="30"/>
        <v/>
      </c>
      <c r="C56" s="50">
        <f>IF(D11="","-",+C55+1)</f>
        <v>2051</v>
      </c>
      <c r="D56" s="55">
        <f>IF(F55+SUM(E$17:E55)=D$10,F55,D$10-SUM(E$17:E55))</f>
        <v>231865.15133528804</v>
      </c>
      <c r="E56" s="378">
        <f>IF(+I14&lt;F55,I14,D56)</f>
        <v>42770.159090909088</v>
      </c>
      <c r="F56" s="55">
        <f t="shared" si="25"/>
        <v>189094.99224437895</v>
      </c>
      <c r="G56" s="379">
        <f t="shared" si="31"/>
        <v>67928.238342283352</v>
      </c>
      <c r="H56" s="364">
        <f t="shared" si="32"/>
        <v>67928.238342283352</v>
      </c>
      <c r="I56" s="52">
        <f t="shared" si="26"/>
        <v>0</v>
      </c>
      <c r="J56" s="52"/>
      <c r="K56" s="129"/>
      <c r="L56" s="54">
        <f t="shared" si="27"/>
        <v>0</v>
      </c>
      <c r="M56" s="129"/>
      <c r="N56" s="54">
        <f t="shared" si="28"/>
        <v>0</v>
      </c>
      <c r="O56" s="54">
        <f t="shared" si="29"/>
        <v>0</v>
      </c>
      <c r="P56" s="1"/>
    </row>
    <row r="57" spans="2:17" ht="12.5">
      <c r="B57" s="7" t="str">
        <f t="shared" si="30"/>
        <v/>
      </c>
      <c r="C57" s="50">
        <f>IF(D11="","-",+C56+1)</f>
        <v>2052</v>
      </c>
      <c r="D57" s="55">
        <f>IF(F56+SUM(E$17:E56)=D$10,F56,D$10-SUM(E$17:E56))</f>
        <v>189094.99224437895</v>
      </c>
      <c r="E57" s="378">
        <f>IF(+I14&lt;F56,I14,D57)</f>
        <v>42770.159090909088</v>
      </c>
      <c r="F57" s="55">
        <f t="shared" si="25"/>
        <v>146324.83315346987</v>
      </c>
      <c r="G57" s="379">
        <f t="shared" si="31"/>
        <v>62816.04390576022</v>
      </c>
      <c r="H57" s="364">
        <f t="shared" si="32"/>
        <v>62816.04390576022</v>
      </c>
      <c r="I57" s="52">
        <f t="shared" si="26"/>
        <v>0</v>
      </c>
      <c r="J57" s="52"/>
      <c r="K57" s="129"/>
      <c r="L57" s="54">
        <f t="shared" si="27"/>
        <v>0</v>
      </c>
      <c r="M57" s="129"/>
      <c r="N57" s="54">
        <f t="shared" si="28"/>
        <v>0</v>
      </c>
      <c r="O57" s="54">
        <f t="shared" si="29"/>
        <v>0</v>
      </c>
      <c r="P57" s="1"/>
    </row>
    <row r="58" spans="2:17" ht="12.5">
      <c r="B58" s="7" t="str">
        <f t="shared" si="30"/>
        <v/>
      </c>
      <c r="C58" s="50">
        <f>IF(D11="","-",+C57+1)</f>
        <v>2053</v>
      </c>
      <c r="D58" s="55">
        <f>IF(F57+SUM(E$17:E57)=D$10,F57,D$10-SUM(E$17:E57))</f>
        <v>146324.83315346987</v>
      </c>
      <c r="E58" s="378">
        <f>IF(+I14&lt;F57,I14,D58)</f>
        <v>42770.159090909088</v>
      </c>
      <c r="F58" s="55">
        <f t="shared" si="25"/>
        <v>103554.67406256078</v>
      </c>
      <c r="G58" s="379">
        <f t="shared" si="31"/>
        <v>57703.849469237088</v>
      </c>
      <c r="H58" s="364">
        <f t="shared" si="32"/>
        <v>57703.849469237088</v>
      </c>
      <c r="I58" s="52">
        <f t="shared" si="26"/>
        <v>0</v>
      </c>
      <c r="J58" s="52"/>
      <c r="K58" s="129"/>
      <c r="L58" s="54">
        <f t="shared" si="27"/>
        <v>0</v>
      </c>
      <c r="M58" s="129"/>
      <c r="N58" s="54">
        <f t="shared" si="28"/>
        <v>0</v>
      </c>
      <c r="O58" s="54">
        <f t="shared" si="29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30"/>
        <v/>
      </c>
      <c r="C59" s="50">
        <f>IF(D11="","-",+C58+1)</f>
        <v>2054</v>
      </c>
      <c r="D59" s="55">
        <f>IF(F58+SUM(E$17:E58)=D$10,F58,D$10-SUM(E$17:E58))</f>
        <v>103554.67406256078</v>
      </c>
      <c r="E59" s="378">
        <f>IF(+I14&lt;F58,I14,D59)</f>
        <v>42770.159090909088</v>
      </c>
      <c r="F59" s="55">
        <f t="shared" si="25"/>
        <v>60784.51497165169</v>
      </c>
      <c r="G59" s="379">
        <f t="shared" si="31"/>
        <v>52591.655032713956</v>
      </c>
      <c r="H59" s="364">
        <f t="shared" si="32"/>
        <v>52591.655032713956</v>
      </c>
      <c r="I59" s="52">
        <f t="shared" si="26"/>
        <v>0</v>
      </c>
      <c r="J59" s="52"/>
      <c r="K59" s="129"/>
      <c r="L59" s="54">
        <f t="shared" si="27"/>
        <v>0</v>
      </c>
      <c r="M59" s="129"/>
      <c r="N59" s="54">
        <f t="shared" si="28"/>
        <v>0</v>
      </c>
      <c r="O59" s="54">
        <f t="shared" si="29"/>
        <v>0</v>
      </c>
      <c r="P59" s="1"/>
    </row>
    <row r="60" spans="2:17" ht="12.5">
      <c r="B60" s="7" t="str">
        <f t="shared" si="30"/>
        <v/>
      </c>
      <c r="C60" s="50">
        <f>IF(D11="","-",+C59+1)</f>
        <v>2055</v>
      </c>
      <c r="D60" s="55">
        <f>IF(F59+SUM(E$17:E59)=D$10,F59,D$10-SUM(E$17:E59))</f>
        <v>60784.51497165169</v>
      </c>
      <c r="E60" s="378">
        <f>IF(+I14&lt;F59,I14,D60)</f>
        <v>42770.159090909088</v>
      </c>
      <c r="F60" s="55">
        <f t="shared" si="25"/>
        <v>18014.355880742602</v>
      </c>
      <c r="G60" s="379">
        <f t="shared" si="31"/>
        <v>47479.460596190824</v>
      </c>
      <c r="H60" s="364">
        <f t="shared" si="32"/>
        <v>47479.460596190824</v>
      </c>
      <c r="I60" s="52">
        <f t="shared" si="26"/>
        <v>0</v>
      </c>
      <c r="J60" s="52"/>
      <c r="K60" s="129"/>
      <c r="L60" s="54">
        <f t="shared" si="27"/>
        <v>0</v>
      </c>
      <c r="M60" s="129"/>
      <c r="N60" s="54">
        <f t="shared" si="28"/>
        <v>0</v>
      </c>
      <c r="O60" s="54">
        <f t="shared" si="29"/>
        <v>0</v>
      </c>
      <c r="P60" s="1"/>
    </row>
    <row r="61" spans="2:17" ht="12.5">
      <c r="B61" s="7" t="str">
        <f t="shared" si="30"/>
        <v/>
      </c>
      <c r="C61" s="50">
        <f>IF(D11="","-",+C60+1)</f>
        <v>2056</v>
      </c>
      <c r="D61" s="55">
        <f>IF(F60+SUM(E$17:E60)=D$10,F60,D$10-SUM(E$17:E60))</f>
        <v>18014.355880742602</v>
      </c>
      <c r="E61" s="378">
        <f>IF(+I14&lt;F60,I14,D61)</f>
        <v>18014.355880742602</v>
      </c>
      <c r="F61" s="55">
        <f t="shared" si="25"/>
        <v>0</v>
      </c>
      <c r="G61" s="380">
        <f t="shared" si="31"/>
        <v>19090.958024252686</v>
      </c>
      <c r="H61" s="364">
        <f t="shared" si="32"/>
        <v>19090.958024252686</v>
      </c>
      <c r="I61" s="52">
        <f t="shared" si="26"/>
        <v>0</v>
      </c>
      <c r="J61" s="52"/>
      <c r="K61" s="129"/>
      <c r="L61" s="54">
        <f t="shared" si="27"/>
        <v>0</v>
      </c>
      <c r="M61" s="129"/>
      <c r="N61" s="54">
        <f t="shared" si="28"/>
        <v>0</v>
      </c>
      <c r="O61" s="54">
        <f t="shared" si="29"/>
        <v>0</v>
      </c>
      <c r="P61" s="1"/>
    </row>
    <row r="62" spans="2:17" ht="12.5">
      <c r="B62" s="7" t="str">
        <f t="shared" si="30"/>
        <v/>
      </c>
      <c r="C62" s="50">
        <f>IF(D11="","-",+C61+1)</f>
        <v>2057</v>
      </c>
      <c r="D62" s="55">
        <f>IF(F61+SUM(E$17:E61)=D$10,F61,D$10-SUM(E$17:E61))</f>
        <v>0</v>
      </c>
      <c r="E62" s="378">
        <f>IF(+I14&lt;F61,I14,D62)</f>
        <v>0</v>
      </c>
      <c r="F62" s="55">
        <f t="shared" si="25"/>
        <v>0</v>
      </c>
      <c r="G62" s="380">
        <f t="shared" si="31"/>
        <v>0</v>
      </c>
      <c r="H62" s="364">
        <f t="shared" si="32"/>
        <v>0</v>
      </c>
      <c r="I62" s="52">
        <f t="shared" si="26"/>
        <v>0</v>
      </c>
      <c r="J62" s="52"/>
      <c r="K62" s="129"/>
      <c r="L62" s="54">
        <f t="shared" si="27"/>
        <v>0</v>
      </c>
      <c r="M62" s="129"/>
      <c r="N62" s="54">
        <f t="shared" si="28"/>
        <v>0</v>
      </c>
      <c r="O62" s="54">
        <f t="shared" si="29"/>
        <v>0</v>
      </c>
      <c r="P62" s="1"/>
    </row>
    <row r="63" spans="2:17" ht="12.5">
      <c r="B63" s="7" t="str">
        <f t="shared" si="30"/>
        <v/>
      </c>
      <c r="C63" s="50">
        <f>IF(D11="","-",+C62+1)</f>
        <v>2058</v>
      </c>
      <c r="D63" s="55">
        <f>IF(F62+SUM(E$17:E62)=D$10,F62,D$10-SUM(E$17:E62))</f>
        <v>0</v>
      </c>
      <c r="E63" s="378">
        <f>IF(+I14&lt;F62,I14,D63)</f>
        <v>0</v>
      </c>
      <c r="F63" s="55">
        <f t="shared" si="25"/>
        <v>0</v>
      </c>
      <c r="G63" s="380">
        <f t="shared" si="31"/>
        <v>0</v>
      </c>
      <c r="H63" s="364">
        <f t="shared" si="32"/>
        <v>0</v>
      </c>
      <c r="I63" s="52">
        <f t="shared" si="26"/>
        <v>0</v>
      </c>
      <c r="J63" s="52"/>
      <c r="K63" s="129"/>
      <c r="L63" s="54">
        <f t="shared" si="27"/>
        <v>0</v>
      </c>
      <c r="M63" s="129"/>
      <c r="N63" s="54">
        <f t="shared" si="28"/>
        <v>0</v>
      </c>
      <c r="O63" s="54">
        <f t="shared" si="29"/>
        <v>0</v>
      </c>
      <c r="P63" s="1"/>
    </row>
    <row r="64" spans="2:17" ht="12.5">
      <c r="B64" s="7" t="str">
        <f t="shared" si="30"/>
        <v/>
      </c>
      <c r="C64" s="50">
        <f>IF(D11="","-",+C63+1)</f>
        <v>2059</v>
      </c>
      <c r="D64" s="55">
        <f>IF(F63+SUM(E$17:E63)=D$10,F63,D$10-SUM(E$17:E63))</f>
        <v>0</v>
      </c>
      <c r="E64" s="378">
        <f>IF(+I14&lt;F63,I14,D64)</f>
        <v>0</v>
      </c>
      <c r="F64" s="55">
        <f t="shared" si="25"/>
        <v>0</v>
      </c>
      <c r="G64" s="380">
        <f t="shared" si="31"/>
        <v>0</v>
      </c>
      <c r="H64" s="364">
        <f t="shared" si="32"/>
        <v>0</v>
      </c>
      <c r="I64" s="52">
        <f t="shared" si="26"/>
        <v>0</v>
      </c>
      <c r="J64" s="52"/>
      <c r="K64" s="129"/>
      <c r="L64" s="54">
        <f t="shared" si="27"/>
        <v>0</v>
      </c>
      <c r="M64" s="129"/>
      <c r="N64" s="54">
        <f t="shared" si="28"/>
        <v>0</v>
      </c>
      <c r="O64" s="54">
        <f t="shared" si="29"/>
        <v>0</v>
      </c>
      <c r="P64" s="1"/>
    </row>
    <row r="65" spans="1:16" ht="12.5">
      <c r="B65" s="7" t="str">
        <f t="shared" si="30"/>
        <v/>
      </c>
      <c r="C65" s="50">
        <f>IF(D11="","-",+C64+1)</f>
        <v>2060</v>
      </c>
      <c r="D65" s="55">
        <f>IF(F64+SUM(E$17:E64)=D$10,F64,D$10-SUM(E$17:E64))</f>
        <v>0</v>
      </c>
      <c r="E65" s="378">
        <f>IF(+I14&lt;F64,I14,D65)</f>
        <v>0</v>
      </c>
      <c r="F65" s="55">
        <f t="shared" si="25"/>
        <v>0</v>
      </c>
      <c r="G65" s="380">
        <f t="shared" si="31"/>
        <v>0</v>
      </c>
      <c r="H65" s="364">
        <f t="shared" si="32"/>
        <v>0</v>
      </c>
      <c r="I65" s="52">
        <f t="shared" si="26"/>
        <v>0</v>
      </c>
      <c r="J65" s="52"/>
      <c r="K65" s="129"/>
      <c r="L65" s="54">
        <f t="shared" si="27"/>
        <v>0</v>
      </c>
      <c r="M65" s="129"/>
      <c r="N65" s="54">
        <f t="shared" si="28"/>
        <v>0</v>
      </c>
      <c r="O65" s="54">
        <f t="shared" si="29"/>
        <v>0</v>
      </c>
      <c r="P65" s="1"/>
    </row>
    <row r="66" spans="1:16" ht="12.5">
      <c r="B66" s="7" t="str">
        <f t="shared" si="30"/>
        <v/>
      </c>
      <c r="C66" s="50">
        <f>IF(D11="","-",+C65+1)</f>
        <v>2061</v>
      </c>
      <c r="D66" s="55">
        <f>IF(F65+SUM(E$17:E65)=D$10,F65,D$10-SUM(E$17:E65))</f>
        <v>0</v>
      </c>
      <c r="E66" s="378">
        <f>IF(+I14&lt;F65,I14,D66)</f>
        <v>0</v>
      </c>
      <c r="F66" s="55">
        <f t="shared" si="25"/>
        <v>0</v>
      </c>
      <c r="G66" s="380">
        <f t="shared" si="31"/>
        <v>0</v>
      </c>
      <c r="H66" s="364">
        <f t="shared" si="32"/>
        <v>0</v>
      </c>
      <c r="I66" s="52">
        <f t="shared" si="26"/>
        <v>0</v>
      </c>
      <c r="J66" s="52"/>
      <c r="K66" s="129"/>
      <c r="L66" s="54">
        <f t="shared" si="27"/>
        <v>0</v>
      </c>
      <c r="M66" s="129"/>
      <c r="N66" s="54">
        <f t="shared" si="28"/>
        <v>0</v>
      </c>
      <c r="O66" s="54">
        <f t="shared" si="29"/>
        <v>0</v>
      </c>
      <c r="P66" s="1"/>
    </row>
    <row r="67" spans="1:16" ht="12.5">
      <c r="B67" s="7" t="str">
        <f t="shared" si="30"/>
        <v/>
      </c>
      <c r="C67" s="50">
        <f>IF(D11="","-",+C66+1)</f>
        <v>2062</v>
      </c>
      <c r="D67" s="55">
        <f>IF(F66+SUM(E$17:E66)=D$10,F66,D$10-SUM(E$17:E66))</f>
        <v>0</v>
      </c>
      <c r="E67" s="378">
        <f>IF(+I14&lt;F66,I14,D67)</f>
        <v>0</v>
      </c>
      <c r="F67" s="55">
        <f t="shared" si="25"/>
        <v>0</v>
      </c>
      <c r="G67" s="380">
        <f t="shared" si="31"/>
        <v>0</v>
      </c>
      <c r="H67" s="364">
        <f t="shared" si="32"/>
        <v>0</v>
      </c>
      <c r="I67" s="52">
        <f t="shared" si="26"/>
        <v>0</v>
      </c>
      <c r="J67" s="52"/>
      <c r="K67" s="129"/>
      <c r="L67" s="54">
        <f t="shared" si="27"/>
        <v>0</v>
      </c>
      <c r="M67" s="129"/>
      <c r="N67" s="54">
        <f t="shared" si="28"/>
        <v>0</v>
      </c>
      <c r="O67" s="54">
        <f t="shared" si="29"/>
        <v>0</v>
      </c>
      <c r="P67" s="1"/>
    </row>
    <row r="68" spans="1:16" ht="12.5">
      <c r="B68" s="7" t="str">
        <f t="shared" si="30"/>
        <v/>
      </c>
      <c r="C68" s="50">
        <f>IF(D11="","-",+C67+1)</f>
        <v>2063</v>
      </c>
      <c r="D68" s="55">
        <f>IF(F67+SUM(E$17:E67)=D$10,F67,D$10-SUM(E$17:E67))</f>
        <v>0</v>
      </c>
      <c r="E68" s="378">
        <f>IF(+I14&lt;F67,I14,D68)</f>
        <v>0</v>
      </c>
      <c r="F68" s="55">
        <f t="shared" si="25"/>
        <v>0</v>
      </c>
      <c r="G68" s="380">
        <f t="shared" si="31"/>
        <v>0</v>
      </c>
      <c r="H68" s="364">
        <f t="shared" si="32"/>
        <v>0</v>
      </c>
      <c r="I68" s="52">
        <f t="shared" si="26"/>
        <v>0</v>
      </c>
      <c r="J68" s="52"/>
      <c r="K68" s="129"/>
      <c r="L68" s="54">
        <f t="shared" si="27"/>
        <v>0</v>
      </c>
      <c r="M68" s="129"/>
      <c r="N68" s="54">
        <f t="shared" si="28"/>
        <v>0</v>
      </c>
      <c r="O68" s="54">
        <f t="shared" si="29"/>
        <v>0</v>
      </c>
      <c r="P68" s="1"/>
    </row>
    <row r="69" spans="1:16" ht="12.5">
      <c r="B69" s="7" t="str">
        <f t="shared" si="30"/>
        <v/>
      </c>
      <c r="C69" s="50">
        <f>IF(D11="","-",+C68+1)</f>
        <v>2064</v>
      </c>
      <c r="D69" s="55">
        <f>IF(F68+SUM(E$17:E68)=D$10,F68,D$10-SUM(E$17:E68))</f>
        <v>0</v>
      </c>
      <c r="E69" s="378">
        <f>IF(+I14&lt;F68,I14,D69)</f>
        <v>0</v>
      </c>
      <c r="F69" s="55">
        <f t="shared" si="25"/>
        <v>0</v>
      </c>
      <c r="G69" s="380">
        <f t="shared" si="31"/>
        <v>0</v>
      </c>
      <c r="H69" s="364">
        <f t="shared" si="32"/>
        <v>0</v>
      </c>
      <c r="I69" s="52">
        <f t="shared" si="26"/>
        <v>0</v>
      </c>
      <c r="J69" s="52"/>
      <c r="K69" s="129"/>
      <c r="L69" s="54">
        <f t="shared" si="27"/>
        <v>0</v>
      </c>
      <c r="M69" s="129"/>
      <c r="N69" s="54">
        <f t="shared" si="28"/>
        <v>0</v>
      </c>
      <c r="O69" s="54">
        <f t="shared" si="29"/>
        <v>0</v>
      </c>
      <c r="P69" s="1"/>
    </row>
    <row r="70" spans="1:16" ht="12.5">
      <c r="B70" s="7" t="str">
        <f t="shared" si="30"/>
        <v/>
      </c>
      <c r="C70" s="50">
        <f>IF(D11="","-",+C69+1)</f>
        <v>2065</v>
      </c>
      <c r="D70" s="55">
        <f>IF(F69+SUM(E$17:E69)=D$10,F69,D$10-SUM(E$17:E69))</f>
        <v>0</v>
      </c>
      <c r="E70" s="378">
        <f>IF(+I14&lt;F69,I14,D70)</f>
        <v>0</v>
      </c>
      <c r="F70" s="55">
        <f t="shared" si="25"/>
        <v>0</v>
      </c>
      <c r="G70" s="380">
        <f t="shared" si="31"/>
        <v>0</v>
      </c>
      <c r="H70" s="364">
        <f t="shared" si="32"/>
        <v>0</v>
      </c>
      <c r="I70" s="52">
        <f t="shared" si="26"/>
        <v>0</v>
      </c>
      <c r="J70" s="52"/>
      <c r="K70" s="129"/>
      <c r="L70" s="54">
        <f t="shared" si="27"/>
        <v>0</v>
      </c>
      <c r="M70" s="129"/>
      <c r="N70" s="54">
        <f t="shared" si="28"/>
        <v>0</v>
      </c>
      <c r="O70" s="54">
        <f t="shared" si="29"/>
        <v>0</v>
      </c>
      <c r="P70" s="1"/>
    </row>
    <row r="71" spans="1:16" ht="12.5">
      <c r="B71" s="7" t="str">
        <f t="shared" si="30"/>
        <v/>
      </c>
      <c r="C71" s="50">
        <f>IF(D11="","-",+C70+1)</f>
        <v>2066</v>
      </c>
      <c r="D71" s="55">
        <f>IF(F70+SUM(E$17:E70)=D$10,F70,D$10-SUM(E$17:E70))</f>
        <v>0</v>
      </c>
      <c r="E71" s="378">
        <f>IF(+I14&lt;F70,I14,D71)</f>
        <v>0</v>
      </c>
      <c r="F71" s="55">
        <f t="shared" si="25"/>
        <v>0</v>
      </c>
      <c r="G71" s="380">
        <f t="shared" si="31"/>
        <v>0</v>
      </c>
      <c r="H71" s="364">
        <f t="shared" si="32"/>
        <v>0</v>
      </c>
      <c r="I71" s="52">
        <f t="shared" si="26"/>
        <v>0</v>
      </c>
      <c r="J71" s="52"/>
      <c r="K71" s="129"/>
      <c r="L71" s="54">
        <f t="shared" si="27"/>
        <v>0</v>
      </c>
      <c r="M71" s="129"/>
      <c r="N71" s="54">
        <f t="shared" si="28"/>
        <v>0</v>
      </c>
      <c r="O71" s="54">
        <f t="shared" si="29"/>
        <v>0</v>
      </c>
      <c r="P71" s="1"/>
    </row>
    <row r="72" spans="1:16" ht="13" thickBot="1">
      <c r="B72" s="7" t="str">
        <f t="shared" si="30"/>
        <v/>
      </c>
      <c r="C72" s="59">
        <f>IF(D11="","-",+C71+1)</f>
        <v>2067</v>
      </c>
      <c r="D72" s="60">
        <f>IF(F71+SUM(E$17:E71)=D$10,F71,D$10-SUM(E$17:E71))</f>
        <v>0</v>
      </c>
      <c r="E72" s="381">
        <f>IF(+I14&lt;F71,I14,D72)</f>
        <v>0</v>
      </c>
      <c r="F72" s="60">
        <f t="shared" si="25"/>
        <v>0</v>
      </c>
      <c r="G72" s="382">
        <f t="shared" si="31"/>
        <v>0</v>
      </c>
      <c r="H72" s="362">
        <f t="shared" si="32"/>
        <v>0</v>
      </c>
      <c r="I72" s="63">
        <f t="shared" si="26"/>
        <v>0</v>
      </c>
      <c r="J72" s="52"/>
      <c r="K72" s="130"/>
      <c r="L72" s="64">
        <f t="shared" si="27"/>
        <v>0</v>
      </c>
      <c r="M72" s="130"/>
      <c r="N72" s="64">
        <f t="shared" si="28"/>
        <v>0</v>
      </c>
      <c r="O72" s="64">
        <f t="shared" si="29"/>
        <v>0</v>
      </c>
      <c r="P72" s="1"/>
    </row>
    <row r="73" spans="1:16" ht="12.5">
      <c r="C73" s="12" t="s">
        <v>78</v>
      </c>
      <c r="D73" s="293"/>
      <c r="E73" s="293">
        <f>SUM(E17:E72)</f>
        <v>1881887.0000000014</v>
      </c>
      <c r="F73" s="293"/>
      <c r="G73" s="293">
        <f>SUM(G17:G72)</f>
        <v>7023641.0802552467</v>
      </c>
      <c r="H73" s="293">
        <f>SUM(H17:H72)</f>
        <v>7023641.0802552467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7.5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29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205957.48812840792</v>
      </c>
      <c r="N87" s="387">
        <f>IF(J92&lt;D11,0,VLOOKUP(J92,C17:O72,11))</f>
        <v>205957.48812840792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213452.76184016542</v>
      </c>
      <c r="N88" s="390">
        <f>IF(J92&lt;D11,0,VLOOKUP(J92,C99:P154,7))</f>
        <v>213452.76184016542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27" t="str">
        <f>D7</f>
        <v xml:space="preserve">Knox Lee - Pirkey 138 kV / Pirkey - Whitney 138 kV - Replace Breaker,  Wavetraps, and reset relays and CT's 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7495.2737117575016</v>
      </c>
      <c r="N89" s="392">
        <f>+N88-N87</f>
        <v>7495.2737117575016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TP2010062</v>
      </c>
      <c r="E91" s="76" t="s">
        <v>494</v>
      </c>
      <c r="F91" s="76" t="str">
        <f>F9</f>
        <v>30317, 30318, &amp; 30319</v>
      </c>
      <c r="G91" s="76"/>
      <c r="H91" s="76"/>
      <c r="I91" s="76"/>
      <c r="J91" s="95"/>
      <c r="Q91" s="1"/>
    </row>
    <row r="92" spans="1:17" ht="13">
      <c r="C92" s="34" t="s">
        <v>51</v>
      </c>
      <c r="D92" s="363">
        <f>IF(D11=I10,0,D10)</f>
        <v>1881887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  <c r="Q92" s="1"/>
    </row>
    <row r="93" spans="1:17" ht="12.5">
      <c r="C93" s="34" t="s">
        <v>54</v>
      </c>
      <c r="D93" s="88">
        <f>IF(D11=I10,"",D11)</f>
        <v>2012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4">
        <f>IF(D11=I10,"",D12)</f>
        <v>12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42770.159090909088</v>
      </c>
      <c r="K96" s="293"/>
      <c r="L96" s="293"/>
      <c r="M96" s="293"/>
      <c r="N96" s="293"/>
      <c r="O96" s="293"/>
      <c r="P96" s="1"/>
      <c r="Q96" s="1"/>
    </row>
    <row r="97" spans="1:17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 ht="12.5">
      <c r="C99" s="50">
        <f>IF(D93= "","-",D93)</f>
        <v>2012</v>
      </c>
      <c r="D99" s="133">
        <v>0</v>
      </c>
      <c r="E99" s="376">
        <v>0</v>
      </c>
      <c r="F99" s="137">
        <v>1886753</v>
      </c>
      <c r="G99" s="140">
        <v>943376.5</v>
      </c>
      <c r="H99" s="397">
        <v>138821.56113909211</v>
      </c>
      <c r="I99" s="398">
        <v>138821.56113909211</v>
      </c>
      <c r="J99" s="154">
        <f t="shared" ref="J99:J130" si="33">+I99-H99</f>
        <v>0</v>
      </c>
      <c r="K99" s="54"/>
      <c r="L99" s="112">
        <f t="shared" ref="L99:L104" si="34">H99</f>
        <v>138821.56113909211</v>
      </c>
      <c r="M99" s="53">
        <f t="shared" ref="M99:M130" si="35">IF(L99&lt;&gt;0,+H99-L99,0)</f>
        <v>0</v>
      </c>
      <c r="N99" s="112">
        <f t="shared" ref="N99:N104" si="36">I99</f>
        <v>138821.56113909211</v>
      </c>
      <c r="O99" s="53">
        <f t="shared" ref="O99:O130" si="37">IF(N99&lt;&gt;0,+I99-N99,0)</f>
        <v>0</v>
      </c>
      <c r="P99" s="53">
        <f t="shared" ref="P99:P130" si="38">+O99-M99</f>
        <v>0</v>
      </c>
      <c r="Q99" s="1"/>
    </row>
    <row r="100" spans="1:17" ht="12.5">
      <c r="B100" s="7" t="str">
        <f t="shared" ref="B100:B131" si="39">IF(D100=F99,"","IU")</f>
        <v>IU</v>
      </c>
      <c r="C100" s="50">
        <f>IF(D93="","-",+C99+1)</f>
        <v>2013</v>
      </c>
      <c r="D100" s="133">
        <v>1881887</v>
      </c>
      <c r="E100" s="376">
        <v>44806.833333333336</v>
      </c>
      <c r="F100" s="137">
        <v>1837080.1666666667</v>
      </c>
      <c r="G100" s="137">
        <v>1859483.5833333335</v>
      </c>
      <c r="H100" s="397">
        <v>296379.53273897158</v>
      </c>
      <c r="I100" s="398">
        <v>296379.53273897158</v>
      </c>
      <c r="J100" s="154">
        <v>0</v>
      </c>
      <c r="K100" s="54"/>
      <c r="L100" s="113">
        <f t="shared" si="34"/>
        <v>296379.53273897158</v>
      </c>
      <c r="M100" s="54">
        <f t="shared" ref="M100:M105" si="40">IF(L100&lt;&gt;0,+H100-L100,0)</f>
        <v>0</v>
      </c>
      <c r="N100" s="113">
        <f t="shared" si="36"/>
        <v>296379.53273897158</v>
      </c>
      <c r="O100" s="54">
        <f>IF(N100&lt;&gt;0,+I100-N100,0)</f>
        <v>0</v>
      </c>
      <c r="P100" s="54">
        <f>+O100-M100</f>
        <v>0</v>
      </c>
      <c r="Q100" s="1"/>
    </row>
    <row r="101" spans="1:17" ht="12.5">
      <c r="B101" s="7" t="str">
        <f t="shared" si="39"/>
        <v/>
      </c>
      <c r="C101" s="50">
        <f>IF(D93="","-",+C100+1)</f>
        <v>2014</v>
      </c>
      <c r="D101" s="133">
        <v>1837080.1666666667</v>
      </c>
      <c r="E101" s="376">
        <v>44806.833333333336</v>
      </c>
      <c r="F101" s="137">
        <v>1792273.3333333335</v>
      </c>
      <c r="G101" s="137">
        <v>1814676.75</v>
      </c>
      <c r="H101" s="397">
        <v>291463.97554748988</v>
      </c>
      <c r="I101" s="398">
        <v>291463.97554748988</v>
      </c>
      <c r="J101" s="54">
        <v>0</v>
      </c>
      <c r="K101" s="54"/>
      <c r="L101" s="113">
        <f t="shared" si="34"/>
        <v>291463.97554748988</v>
      </c>
      <c r="M101" s="54">
        <f t="shared" si="40"/>
        <v>0</v>
      </c>
      <c r="N101" s="113">
        <f t="shared" si="36"/>
        <v>291463.97554748988</v>
      </c>
      <c r="O101" s="54">
        <f>IF(N101&lt;&gt;0,+I101-N101,0)</f>
        <v>0</v>
      </c>
      <c r="P101" s="54">
        <f>+O101-M101</f>
        <v>0</v>
      </c>
      <c r="Q101" s="1"/>
    </row>
    <row r="102" spans="1:17" ht="12.5">
      <c r="B102" s="7" t="str">
        <f t="shared" si="39"/>
        <v/>
      </c>
      <c r="C102" s="50">
        <f>IF(D93="","-",+C101+1)</f>
        <v>2015</v>
      </c>
      <c r="D102" s="133">
        <v>1792273.3333333335</v>
      </c>
      <c r="E102" s="376">
        <v>44806.833333333336</v>
      </c>
      <c r="F102" s="137">
        <v>1747466.5000000002</v>
      </c>
      <c r="G102" s="137">
        <v>1769869.916666667</v>
      </c>
      <c r="H102" s="397">
        <v>278020.60623720445</v>
      </c>
      <c r="I102" s="398">
        <v>278020.60623720445</v>
      </c>
      <c r="J102" s="54">
        <f t="shared" si="33"/>
        <v>0</v>
      </c>
      <c r="K102" s="54"/>
      <c r="L102" s="113">
        <f t="shared" si="34"/>
        <v>278020.60623720445</v>
      </c>
      <c r="M102" s="54">
        <f t="shared" si="40"/>
        <v>0</v>
      </c>
      <c r="N102" s="113">
        <f t="shared" si="36"/>
        <v>278020.60623720445</v>
      </c>
      <c r="O102" s="54">
        <f>IF(N102&lt;&gt;0,+I102-N102,0)</f>
        <v>0</v>
      </c>
      <c r="P102" s="54">
        <f>+O102-M102</f>
        <v>0</v>
      </c>
      <c r="Q102" s="1"/>
    </row>
    <row r="103" spans="1:17" ht="12.5">
      <c r="B103" s="7" t="str">
        <f t="shared" si="39"/>
        <v/>
      </c>
      <c r="C103" s="50">
        <f>IF(D93="","-",+C102+1)</f>
        <v>2016</v>
      </c>
      <c r="D103" s="133">
        <v>1747466.5000000002</v>
      </c>
      <c r="E103" s="376">
        <v>43764.813953488374</v>
      </c>
      <c r="F103" s="137">
        <v>1703701.6860465119</v>
      </c>
      <c r="G103" s="137">
        <v>1725584.0930232559</v>
      </c>
      <c r="H103" s="397">
        <v>262827.69435337436</v>
      </c>
      <c r="I103" s="398">
        <v>262827.69435337436</v>
      </c>
      <c r="J103" s="54">
        <f t="shared" si="33"/>
        <v>0</v>
      </c>
      <c r="K103" s="54"/>
      <c r="L103" s="113">
        <f t="shared" si="34"/>
        <v>262827.69435337436</v>
      </c>
      <c r="M103" s="54">
        <f t="shared" si="40"/>
        <v>0</v>
      </c>
      <c r="N103" s="113">
        <f t="shared" si="36"/>
        <v>262827.69435337436</v>
      </c>
      <c r="O103" s="54">
        <f>IF(N103&lt;&gt;0,+I103-N103,0)</f>
        <v>0</v>
      </c>
      <c r="P103" s="54">
        <f>+O103-M103</f>
        <v>0</v>
      </c>
      <c r="Q103" s="1"/>
    </row>
    <row r="104" spans="1:17" ht="12.5">
      <c r="B104" s="7" t="str">
        <f t="shared" si="39"/>
        <v/>
      </c>
      <c r="C104" s="50">
        <f>IF(D93="","-",+C103+1)</f>
        <v>2017</v>
      </c>
      <c r="D104" s="133">
        <v>1703701.6860465119</v>
      </c>
      <c r="E104" s="376">
        <v>44806.833333333336</v>
      </c>
      <c r="F104" s="137">
        <v>1658894.8527131786</v>
      </c>
      <c r="G104" s="137">
        <v>1681298.2693798454</v>
      </c>
      <c r="H104" s="397">
        <v>249036.58491645948</v>
      </c>
      <c r="I104" s="398">
        <v>249036.58491645948</v>
      </c>
      <c r="J104" s="54">
        <f t="shared" si="33"/>
        <v>0</v>
      </c>
      <c r="K104" s="54"/>
      <c r="L104" s="113">
        <f t="shared" si="34"/>
        <v>249036.58491645948</v>
      </c>
      <c r="M104" s="54">
        <f t="shared" si="40"/>
        <v>0</v>
      </c>
      <c r="N104" s="113">
        <f t="shared" si="36"/>
        <v>249036.58491645948</v>
      </c>
      <c r="O104" s="54">
        <f>IF(N104&lt;&gt;0,+I104-N104,0)</f>
        <v>0</v>
      </c>
      <c r="P104" s="54">
        <f>+O104-M104</f>
        <v>0</v>
      </c>
      <c r="Q104" s="1"/>
    </row>
    <row r="105" spans="1:17" ht="12.5">
      <c r="B105" s="7" t="str">
        <f t="shared" si="39"/>
        <v/>
      </c>
      <c r="C105" s="50">
        <f>IF(D93="","-",+C104+1)</f>
        <v>2018</v>
      </c>
      <c r="D105" s="133">
        <v>1658894.8527131786</v>
      </c>
      <c r="E105" s="376">
        <v>44806.833333333336</v>
      </c>
      <c r="F105" s="137">
        <v>1614088.0193798454</v>
      </c>
      <c r="G105" s="137">
        <v>1636491.4360465119</v>
      </c>
      <c r="H105" s="397">
        <v>217627.83363465747</v>
      </c>
      <c r="I105" s="398">
        <v>217627.83363465747</v>
      </c>
      <c r="J105" s="54">
        <f t="shared" si="33"/>
        <v>0</v>
      </c>
      <c r="K105" s="54"/>
      <c r="L105" s="113">
        <f t="shared" ref="L105" si="41">H105</f>
        <v>217627.83363465747</v>
      </c>
      <c r="M105" s="54">
        <f t="shared" si="40"/>
        <v>0</v>
      </c>
      <c r="N105" s="113">
        <f t="shared" ref="N105" si="42">I105</f>
        <v>217627.83363465747</v>
      </c>
      <c r="O105" s="54">
        <f t="shared" si="37"/>
        <v>0</v>
      </c>
      <c r="P105" s="54">
        <f t="shared" si="38"/>
        <v>0</v>
      </c>
      <c r="Q105" s="1"/>
    </row>
    <row r="106" spans="1:17" ht="12.5">
      <c r="B106" s="7" t="str">
        <f t="shared" si="39"/>
        <v/>
      </c>
      <c r="C106" s="50">
        <f>IF(D93="","-",+C105+1)</f>
        <v>2019</v>
      </c>
      <c r="D106" s="133">
        <v>1614088.0193798454</v>
      </c>
      <c r="E106" s="376">
        <v>43764.813953488374</v>
      </c>
      <c r="F106" s="137">
        <v>1570323.205426357</v>
      </c>
      <c r="G106" s="137">
        <v>1592205.6124031013</v>
      </c>
      <c r="H106" s="397">
        <v>214195.37291245433</v>
      </c>
      <c r="I106" s="398">
        <v>214195.37291245433</v>
      </c>
      <c r="J106" s="54">
        <f t="shared" si="33"/>
        <v>0</v>
      </c>
      <c r="K106" s="54"/>
      <c r="L106" s="113">
        <f t="shared" ref="L106" si="43">H106</f>
        <v>214195.37291245433</v>
      </c>
      <c r="M106" s="54">
        <f t="shared" ref="M106" si="44">IF(L106&lt;&gt;0,+H106-L106,0)</f>
        <v>0</v>
      </c>
      <c r="N106" s="113">
        <f t="shared" ref="N106" si="45">I106</f>
        <v>214195.37291245433</v>
      </c>
      <c r="O106" s="54">
        <f t="shared" si="37"/>
        <v>0</v>
      </c>
      <c r="P106" s="54">
        <f t="shared" si="38"/>
        <v>0</v>
      </c>
      <c r="Q106" s="1"/>
    </row>
    <row r="107" spans="1:17" ht="12.5">
      <c r="B107" s="7" t="str">
        <f t="shared" si="39"/>
        <v/>
      </c>
      <c r="C107" s="50">
        <f>IF(D93="","-",+C106+1)</f>
        <v>2020</v>
      </c>
      <c r="D107" s="133">
        <v>1570323.205426357</v>
      </c>
      <c r="E107" s="376">
        <v>44806.833333333336</v>
      </c>
      <c r="F107" s="137">
        <v>1525516.3720930237</v>
      </c>
      <c r="G107" s="137">
        <v>1547919.7887596902</v>
      </c>
      <c r="H107" s="397">
        <v>211322.4974139453</v>
      </c>
      <c r="I107" s="398">
        <v>211322.4974139453</v>
      </c>
      <c r="J107" s="54">
        <f t="shared" si="33"/>
        <v>0</v>
      </c>
      <c r="K107" s="54"/>
      <c r="L107" s="113">
        <f t="shared" ref="L107" si="46">H107</f>
        <v>211322.4974139453</v>
      </c>
      <c r="M107" s="54">
        <f t="shared" ref="M107" si="47">IF(L107&lt;&gt;0,+H107-L107,0)</f>
        <v>0</v>
      </c>
      <c r="N107" s="113">
        <f t="shared" ref="N107" si="48">I107</f>
        <v>211322.4974139453</v>
      </c>
      <c r="O107" s="54">
        <f t="shared" si="37"/>
        <v>0</v>
      </c>
      <c r="P107" s="54">
        <f t="shared" si="38"/>
        <v>0</v>
      </c>
      <c r="Q107" s="1"/>
    </row>
    <row r="108" spans="1:17" ht="12.5">
      <c r="B108" s="7" t="str">
        <f t="shared" si="39"/>
        <v/>
      </c>
      <c r="C108" s="50">
        <f>IF(D93="","-",+C107+1)</f>
        <v>2021</v>
      </c>
      <c r="D108" s="133">
        <v>1525516.3720930237</v>
      </c>
      <c r="E108" s="376">
        <v>45899.682926829271</v>
      </c>
      <c r="F108" s="137">
        <v>1479616.6891661945</v>
      </c>
      <c r="G108" s="137">
        <v>1502566.5306296092</v>
      </c>
      <c r="H108" s="397">
        <v>216462.36022340748</v>
      </c>
      <c r="I108" s="398">
        <v>216462.36022340748</v>
      </c>
      <c r="J108" s="54">
        <f t="shared" si="33"/>
        <v>0</v>
      </c>
      <c r="K108" s="54"/>
      <c r="L108" s="113">
        <f t="shared" ref="L108" si="49">H108</f>
        <v>216462.36022340748</v>
      </c>
      <c r="M108" s="54">
        <f t="shared" ref="M108" si="50">IF(L108&lt;&gt;0,+H108-L108,0)</f>
        <v>0</v>
      </c>
      <c r="N108" s="113">
        <f t="shared" ref="N108" si="51">I108</f>
        <v>216462.36022340748</v>
      </c>
      <c r="O108" s="54">
        <f t="shared" si="37"/>
        <v>0</v>
      </c>
      <c r="P108" s="54">
        <f t="shared" si="38"/>
        <v>0</v>
      </c>
      <c r="Q108" s="1"/>
    </row>
    <row r="109" spans="1:17" ht="12.5">
      <c r="B109" s="7" t="str">
        <f t="shared" si="39"/>
        <v/>
      </c>
      <c r="C109" s="50">
        <f>IF(D93="","-",+C108+1)</f>
        <v>2022</v>
      </c>
      <c r="D109" s="133">
        <v>1479616.6891661945</v>
      </c>
      <c r="E109" s="376">
        <v>44806.833333333336</v>
      </c>
      <c r="F109" s="137">
        <v>1434809.8558328613</v>
      </c>
      <c r="G109" s="137">
        <v>1457213.2724995278</v>
      </c>
      <c r="H109" s="397">
        <v>215967.96117390104</v>
      </c>
      <c r="I109" s="398">
        <v>215967.96117390104</v>
      </c>
      <c r="J109" s="54">
        <f t="shared" si="33"/>
        <v>0</v>
      </c>
      <c r="K109" s="54"/>
      <c r="L109" s="113">
        <f t="shared" ref="L109" si="52">H109</f>
        <v>215967.96117390104</v>
      </c>
      <c r="M109" s="54">
        <f t="shared" ref="M109" si="53">IF(L109&lt;&gt;0,+H109-L109,0)</f>
        <v>0</v>
      </c>
      <c r="N109" s="113">
        <f t="shared" ref="N109" si="54">I109</f>
        <v>215967.96117390104</v>
      </c>
      <c r="O109" s="54">
        <f t="shared" ref="O109" si="55">IF(N109&lt;&gt;0,+I109-N109,0)</f>
        <v>0</v>
      </c>
      <c r="P109" s="54">
        <f t="shared" ref="P109" si="56">+O109-M109</f>
        <v>0</v>
      </c>
      <c r="Q109" s="1"/>
    </row>
    <row r="110" spans="1:17" ht="12.5">
      <c r="B110" s="7" t="str">
        <f t="shared" si="39"/>
        <v/>
      </c>
      <c r="C110" s="50">
        <f>IF(D93="","-",+C109+1)</f>
        <v>2023</v>
      </c>
      <c r="D110" s="133">
        <v>1434809.8558328613</v>
      </c>
      <c r="E110" s="376">
        <v>42770.159090909088</v>
      </c>
      <c r="F110" s="137">
        <v>1392039.6967419521</v>
      </c>
      <c r="G110" s="137">
        <v>1413424.7762874067</v>
      </c>
      <c r="H110" s="397">
        <v>217137.38607340044</v>
      </c>
      <c r="I110" s="398">
        <v>217137.38607340044</v>
      </c>
      <c r="J110" s="54">
        <f t="shared" si="33"/>
        <v>0</v>
      </c>
      <c r="K110" s="54"/>
      <c r="L110" s="113">
        <f t="shared" ref="L110" si="57">H110</f>
        <v>217137.38607340044</v>
      </c>
      <c r="M110" s="54">
        <f t="shared" ref="M110" si="58">IF(L110&lt;&gt;0,+H110-L110,0)</f>
        <v>0</v>
      </c>
      <c r="N110" s="113">
        <f t="shared" ref="N110" si="59">I110</f>
        <v>217137.38607340044</v>
      </c>
      <c r="O110" s="54">
        <f t="shared" ref="O110" si="60">IF(N110&lt;&gt;0,+I110-N110,0)</f>
        <v>0</v>
      </c>
      <c r="P110" s="54">
        <f t="shared" ref="P110" si="61">+O110-M110</f>
        <v>0</v>
      </c>
      <c r="Q110" s="1"/>
    </row>
    <row r="111" spans="1:17" ht="12.5">
      <c r="B111" s="7" t="str">
        <f t="shared" si="39"/>
        <v/>
      </c>
      <c r="C111" s="50">
        <f>IF(D93="","-",+C110+1)</f>
        <v>2024</v>
      </c>
      <c r="D111" s="12">
        <f>IF(F110+SUM(E$99:E110)=D$92,F110,D$92-SUM(E$99:E110))</f>
        <v>1392039.6967419521</v>
      </c>
      <c r="E111" s="378">
        <f>IF(+J96&lt;F110,J96,D111)</f>
        <v>42770.159090909088</v>
      </c>
      <c r="F111" s="55">
        <f t="shared" ref="F111:F131" si="62">+D111-E111</f>
        <v>1349269.5376510429</v>
      </c>
      <c r="G111" s="55">
        <f t="shared" ref="G111:G130" si="63">+(F111+D111)/2</f>
        <v>1370654.6171964975</v>
      </c>
      <c r="H111" s="380">
        <f t="shared" ref="H111:H130" si="64">+J$94*G111+E111</f>
        <v>213452.76184016542</v>
      </c>
      <c r="I111" s="399">
        <f t="shared" ref="I111:I130" si="65">+J$95*G111+E111</f>
        <v>213452.76184016542</v>
      </c>
      <c r="J111" s="54">
        <f t="shared" si="33"/>
        <v>0</v>
      </c>
      <c r="K111" s="54"/>
      <c r="L111" s="129"/>
      <c r="M111" s="54">
        <f t="shared" si="35"/>
        <v>0</v>
      </c>
      <c r="N111" s="129"/>
      <c r="O111" s="54">
        <f t="shared" si="37"/>
        <v>0</v>
      </c>
      <c r="P111" s="54">
        <f t="shared" si="38"/>
        <v>0</v>
      </c>
      <c r="Q111" s="1"/>
    </row>
    <row r="112" spans="1:17" ht="12.5">
      <c r="B112" s="7" t="str">
        <f t="shared" si="39"/>
        <v/>
      </c>
      <c r="C112" s="50">
        <f>IF(D93="","-",+C111+1)</f>
        <v>2025</v>
      </c>
      <c r="D112" s="12">
        <f>IF(F111+SUM(E$99:E111)=D$92,F111,D$92-SUM(E$99:E111))</f>
        <v>1349269.5376510429</v>
      </c>
      <c r="E112" s="378">
        <f>IF(+J96&lt;F111,J96,D112)</f>
        <v>42770.159090909088</v>
      </c>
      <c r="F112" s="55">
        <f t="shared" si="62"/>
        <v>1306499.3785601337</v>
      </c>
      <c r="G112" s="55">
        <f t="shared" si="63"/>
        <v>1327884.4581055883</v>
      </c>
      <c r="H112" s="380">
        <f t="shared" si="64"/>
        <v>208126.75047154826</v>
      </c>
      <c r="I112" s="399">
        <f t="shared" si="65"/>
        <v>208126.75047154826</v>
      </c>
      <c r="J112" s="54">
        <f t="shared" si="33"/>
        <v>0</v>
      </c>
      <c r="K112" s="54"/>
      <c r="L112" s="129"/>
      <c r="M112" s="54">
        <f t="shared" si="35"/>
        <v>0</v>
      </c>
      <c r="N112" s="129"/>
      <c r="O112" s="54">
        <f t="shared" si="37"/>
        <v>0</v>
      </c>
      <c r="P112" s="54">
        <f t="shared" si="38"/>
        <v>0</v>
      </c>
      <c r="Q112" s="1"/>
    </row>
    <row r="113" spans="2:17" ht="12.5">
      <c r="B113" s="7" t="str">
        <f t="shared" si="39"/>
        <v/>
      </c>
      <c r="C113" s="50">
        <f>IF(D93="","-",+C112+1)</f>
        <v>2026</v>
      </c>
      <c r="D113" s="12">
        <f>IF(F112+SUM(E$99:E112)=D$92,F112,D$92-SUM(E$99:E112))</f>
        <v>1306499.3785601337</v>
      </c>
      <c r="E113" s="378">
        <f>IF(+J96&lt;F112,J96,D113)</f>
        <v>42770.159090909088</v>
      </c>
      <c r="F113" s="55">
        <f t="shared" si="62"/>
        <v>1263729.2194692246</v>
      </c>
      <c r="G113" s="55">
        <f t="shared" si="63"/>
        <v>1285114.2990146792</v>
      </c>
      <c r="H113" s="380">
        <f t="shared" si="64"/>
        <v>202800.73910293111</v>
      </c>
      <c r="I113" s="399">
        <f t="shared" si="65"/>
        <v>202800.73910293111</v>
      </c>
      <c r="J113" s="54">
        <f t="shared" si="33"/>
        <v>0</v>
      </c>
      <c r="K113" s="54"/>
      <c r="L113" s="129"/>
      <c r="M113" s="54">
        <f t="shared" si="35"/>
        <v>0</v>
      </c>
      <c r="N113" s="129"/>
      <c r="O113" s="54">
        <f t="shared" si="37"/>
        <v>0</v>
      </c>
      <c r="P113" s="54">
        <f t="shared" si="38"/>
        <v>0</v>
      </c>
      <c r="Q113" s="1"/>
    </row>
    <row r="114" spans="2:17" ht="12.5">
      <c r="B114" s="7" t="str">
        <f t="shared" si="39"/>
        <v/>
      </c>
      <c r="C114" s="50">
        <f>IF(D93="","-",+C113+1)</f>
        <v>2027</v>
      </c>
      <c r="D114" s="12">
        <f>IF(F113+SUM(E$99:E113)=D$92,F113,D$92-SUM(E$99:E113))</f>
        <v>1263729.2194692246</v>
      </c>
      <c r="E114" s="378">
        <f>IF(+J96&lt;F113,J96,D114)</f>
        <v>42770.159090909088</v>
      </c>
      <c r="F114" s="55">
        <f t="shared" si="62"/>
        <v>1220959.0603783154</v>
      </c>
      <c r="G114" s="55">
        <f t="shared" si="63"/>
        <v>1242344.13992377</v>
      </c>
      <c r="H114" s="380">
        <f t="shared" si="64"/>
        <v>197474.72773431393</v>
      </c>
      <c r="I114" s="399">
        <f t="shared" si="65"/>
        <v>197474.72773431393</v>
      </c>
      <c r="J114" s="54">
        <f t="shared" si="33"/>
        <v>0</v>
      </c>
      <c r="K114" s="54"/>
      <c r="L114" s="129"/>
      <c r="M114" s="54">
        <f t="shared" si="35"/>
        <v>0</v>
      </c>
      <c r="N114" s="129"/>
      <c r="O114" s="54">
        <f t="shared" si="37"/>
        <v>0</v>
      </c>
      <c r="P114" s="54">
        <f t="shared" si="38"/>
        <v>0</v>
      </c>
      <c r="Q114" s="1"/>
    </row>
    <row r="115" spans="2:17" ht="12.5">
      <c r="B115" s="7" t="str">
        <f t="shared" si="39"/>
        <v/>
      </c>
      <c r="C115" s="50">
        <f>IF(D93="","-",+C114+1)</f>
        <v>2028</v>
      </c>
      <c r="D115" s="12">
        <f>IF(F114+SUM(E$99:E114)=D$92,F114,D$92-SUM(E$99:E114))</f>
        <v>1220959.0603783154</v>
      </c>
      <c r="E115" s="378">
        <f>IF(+J96&lt;F114,J96,D115)</f>
        <v>42770.159090909088</v>
      </c>
      <c r="F115" s="55">
        <f t="shared" si="62"/>
        <v>1178188.9012874062</v>
      </c>
      <c r="G115" s="55">
        <f t="shared" si="63"/>
        <v>1199573.9808328608</v>
      </c>
      <c r="H115" s="380">
        <f t="shared" si="64"/>
        <v>192148.71636569678</v>
      </c>
      <c r="I115" s="399">
        <f t="shared" si="65"/>
        <v>192148.71636569678</v>
      </c>
      <c r="J115" s="54">
        <f t="shared" si="33"/>
        <v>0</v>
      </c>
      <c r="K115" s="54"/>
      <c r="L115" s="129"/>
      <c r="M115" s="54">
        <f t="shared" si="35"/>
        <v>0</v>
      </c>
      <c r="N115" s="129"/>
      <c r="O115" s="54">
        <f t="shared" si="37"/>
        <v>0</v>
      </c>
      <c r="P115" s="54">
        <f t="shared" si="38"/>
        <v>0</v>
      </c>
      <c r="Q115" s="1"/>
    </row>
    <row r="116" spans="2:17" ht="12.5">
      <c r="B116" s="7" t="str">
        <f t="shared" si="39"/>
        <v/>
      </c>
      <c r="C116" s="50">
        <f>IF(D93="","-",+C115+1)</f>
        <v>2029</v>
      </c>
      <c r="D116" s="12">
        <f>IF(F115+SUM(E$99:E115)=D$92,F115,D$92-SUM(E$99:E115))</f>
        <v>1178188.9012874062</v>
      </c>
      <c r="E116" s="378">
        <f>IF(+J96&lt;F115,J96,D116)</f>
        <v>42770.159090909088</v>
      </c>
      <c r="F116" s="55">
        <f t="shared" si="62"/>
        <v>1135418.742196497</v>
      </c>
      <c r="G116" s="55">
        <f t="shared" si="63"/>
        <v>1156803.8217419516</v>
      </c>
      <c r="H116" s="380">
        <f t="shared" si="64"/>
        <v>186822.70499707962</v>
      </c>
      <c r="I116" s="399">
        <f t="shared" si="65"/>
        <v>186822.70499707962</v>
      </c>
      <c r="J116" s="54">
        <f t="shared" si="33"/>
        <v>0</v>
      </c>
      <c r="K116" s="54"/>
      <c r="L116" s="129"/>
      <c r="M116" s="54">
        <f t="shared" si="35"/>
        <v>0</v>
      </c>
      <c r="N116" s="129"/>
      <c r="O116" s="54">
        <f t="shared" si="37"/>
        <v>0</v>
      </c>
      <c r="P116" s="54">
        <f t="shared" si="38"/>
        <v>0</v>
      </c>
      <c r="Q116" s="1"/>
    </row>
    <row r="117" spans="2:17" ht="12.5">
      <c r="B117" s="7" t="str">
        <f t="shared" si="39"/>
        <v/>
      </c>
      <c r="C117" s="50">
        <f>IF(D93="","-",+C116+1)</f>
        <v>2030</v>
      </c>
      <c r="D117" s="12">
        <f>IF(F116+SUM(E$99:E116)=D$92,F116,D$92-SUM(E$99:E116))</f>
        <v>1135418.742196497</v>
      </c>
      <c r="E117" s="378">
        <f>IF(+J96&lt;F116,J96,D117)</f>
        <v>42770.159090909088</v>
      </c>
      <c r="F117" s="55">
        <f t="shared" si="62"/>
        <v>1092648.5831055879</v>
      </c>
      <c r="G117" s="55">
        <f t="shared" si="63"/>
        <v>1114033.6626510425</v>
      </c>
      <c r="H117" s="380">
        <f t="shared" si="64"/>
        <v>181496.69362846247</v>
      </c>
      <c r="I117" s="399">
        <f t="shared" si="65"/>
        <v>181496.69362846247</v>
      </c>
      <c r="J117" s="54">
        <f t="shared" si="33"/>
        <v>0</v>
      </c>
      <c r="K117" s="54"/>
      <c r="L117" s="129"/>
      <c r="M117" s="54">
        <f t="shared" si="35"/>
        <v>0</v>
      </c>
      <c r="N117" s="129"/>
      <c r="O117" s="54">
        <f t="shared" si="37"/>
        <v>0</v>
      </c>
      <c r="P117" s="54">
        <f t="shared" si="38"/>
        <v>0</v>
      </c>
      <c r="Q117" s="1"/>
    </row>
    <row r="118" spans="2:17" ht="12.5">
      <c r="B118" s="7" t="str">
        <f t="shared" si="39"/>
        <v/>
      </c>
      <c r="C118" s="50">
        <f>IF(D93="","-",+C117+1)</f>
        <v>2031</v>
      </c>
      <c r="D118" s="12">
        <f>IF(F117+SUM(E$99:E117)=D$92,F117,D$92-SUM(E$99:E117))</f>
        <v>1092648.5831055879</v>
      </c>
      <c r="E118" s="378">
        <f>IF(+J96&lt;F117,J96,D118)</f>
        <v>42770.159090909088</v>
      </c>
      <c r="F118" s="55">
        <f t="shared" si="62"/>
        <v>1049878.4240146787</v>
      </c>
      <c r="G118" s="55">
        <f t="shared" si="63"/>
        <v>1071263.5035601333</v>
      </c>
      <c r="H118" s="380">
        <f t="shared" si="64"/>
        <v>176170.68225984531</v>
      </c>
      <c r="I118" s="399">
        <f t="shared" si="65"/>
        <v>176170.68225984531</v>
      </c>
      <c r="J118" s="54">
        <f t="shared" si="33"/>
        <v>0</v>
      </c>
      <c r="K118" s="54"/>
      <c r="L118" s="129"/>
      <c r="M118" s="54">
        <f t="shared" si="35"/>
        <v>0</v>
      </c>
      <c r="N118" s="129"/>
      <c r="O118" s="54">
        <f t="shared" si="37"/>
        <v>0</v>
      </c>
      <c r="P118" s="54">
        <f t="shared" si="38"/>
        <v>0</v>
      </c>
      <c r="Q118" s="1"/>
    </row>
    <row r="119" spans="2:17" ht="12.5">
      <c r="B119" s="7" t="str">
        <f t="shared" si="39"/>
        <v/>
      </c>
      <c r="C119" s="50">
        <f>IF(D93="","-",+C118+1)</f>
        <v>2032</v>
      </c>
      <c r="D119" s="12">
        <f>IF(F118+SUM(E$99:E118)=D$92,F118,D$92-SUM(E$99:E118))</f>
        <v>1049878.4240146787</v>
      </c>
      <c r="E119" s="378">
        <f>IF(+J96&lt;F118,J96,D119)</f>
        <v>42770.159090909088</v>
      </c>
      <c r="F119" s="55">
        <f t="shared" si="62"/>
        <v>1007108.2649237696</v>
      </c>
      <c r="G119" s="55">
        <f t="shared" si="63"/>
        <v>1028493.3444692241</v>
      </c>
      <c r="H119" s="380">
        <f t="shared" si="64"/>
        <v>170844.67089122813</v>
      </c>
      <c r="I119" s="399">
        <f t="shared" si="65"/>
        <v>170844.67089122813</v>
      </c>
      <c r="J119" s="54">
        <f t="shared" si="33"/>
        <v>0</v>
      </c>
      <c r="K119" s="54"/>
      <c r="L119" s="129"/>
      <c r="M119" s="54">
        <f t="shared" si="35"/>
        <v>0</v>
      </c>
      <c r="N119" s="129"/>
      <c r="O119" s="54">
        <f t="shared" si="37"/>
        <v>0</v>
      </c>
      <c r="P119" s="54">
        <f t="shared" si="38"/>
        <v>0</v>
      </c>
      <c r="Q119" s="1"/>
    </row>
    <row r="120" spans="2:17" ht="12.5">
      <c r="B120" s="7" t="str">
        <f t="shared" si="39"/>
        <v/>
      </c>
      <c r="C120" s="50">
        <f>IF(D93="","-",+C119+1)</f>
        <v>2033</v>
      </c>
      <c r="D120" s="12">
        <f>IF(F119+SUM(E$99:E119)=D$92,F119,D$92-SUM(E$99:E119))</f>
        <v>1007108.2649237696</v>
      </c>
      <c r="E120" s="378">
        <f>IF(+J96&lt;F119,J96,D120)</f>
        <v>42770.159090909088</v>
      </c>
      <c r="F120" s="55">
        <f t="shared" si="62"/>
        <v>964338.10583286057</v>
      </c>
      <c r="G120" s="55">
        <f t="shared" si="63"/>
        <v>985723.18537831516</v>
      </c>
      <c r="H120" s="380">
        <f t="shared" si="64"/>
        <v>165518.65952261101</v>
      </c>
      <c r="I120" s="399">
        <f t="shared" si="65"/>
        <v>165518.65952261101</v>
      </c>
      <c r="J120" s="54">
        <f t="shared" si="33"/>
        <v>0</v>
      </c>
      <c r="K120" s="54"/>
      <c r="L120" s="129"/>
      <c r="M120" s="54">
        <f t="shared" si="35"/>
        <v>0</v>
      </c>
      <c r="N120" s="129"/>
      <c r="O120" s="54">
        <f t="shared" si="37"/>
        <v>0</v>
      </c>
      <c r="P120" s="54">
        <f t="shared" si="38"/>
        <v>0</v>
      </c>
      <c r="Q120" s="1"/>
    </row>
    <row r="121" spans="2:17" ht="12.5">
      <c r="B121" s="7" t="str">
        <f t="shared" si="39"/>
        <v/>
      </c>
      <c r="C121" s="50">
        <f>IF(D93="","-",+C120+1)</f>
        <v>2034</v>
      </c>
      <c r="D121" s="12">
        <f>IF(F120+SUM(E$99:E120)=D$92,F120,D$92-SUM(E$99:E120))</f>
        <v>964338.10583286057</v>
      </c>
      <c r="E121" s="378">
        <f>IF(+J96&lt;F120,J96,D121)</f>
        <v>42770.159090909088</v>
      </c>
      <c r="F121" s="55">
        <f t="shared" si="62"/>
        <v>921567.94674195151</v>
      </c>
      <c r="G121" s="55">
        <f t="shared" si="63"/>
        <v>942953.02628740598</v>
      </c>
      <c r="H121" s="380">
        <f t="shared" si="64"/>
        <v>160192.64815399385</v>
      </c>
      <c r="I121" s="399">
        <f t="shared" si="65"/>
        <v>160192.64815399385</v>
      </c>
      <c r="J121" s="54">
        <f t="shared" si="33"/>
        <v>0</v>
      </c>
      <c r="K121" s="54"/>
      <c r="L121" s="129"/>
      <c r="M121" s="54">
        <f t="shared" si="35"/>
        <v>0</v>
      </c>
      <c r="N121" s="129"/>
      <c r="O121" s="54">
        <f t="shared" si="37"/>
        <v>0</v>
      </c>
      <c r="P121" s="54">
        <f t="shared" si="38"/>
        <v>0</v>
      </c>
      <c r="Q121" s="1"/>
    </row>
    <row r="122" spans="2:17" ht="12.5">
      <c r="B122" s="7" t="str">
        <f t="shared" si="39"/>
        <v/>
      </c>
      <c r="C122" s="50">
        <f>IF(D93="","-",+C121+1)</f>
        <v>2035</v>
      </c>
      <c r="D122" s="12">
        <f>IF(F121+SUM(E$99:E121)=D$92,F121,D$92-SUM(E$99:E121))</f>
        <v>921567.94674195151</v>
      </c>
      <c r="E122" s="378">
        <f>IF(+J96&lt;F121,J96,D122)</f>
        <v>42770.159090909088</v>
      </c>
      <c r="F122" s="55">
        <f t="shared" si="62"/>
        <v>878797.78765104245</v>
      </c>
      <c r="G122" s="55">
        <f t="shared" si="63"/>
        <v>900182.86719649704</v>
      </c>
      <c r="H122" s="380">
        <f t="shared" si="64"/>
        <v>154866.63678537673</v>
      </c>
      <c r="I122" s="399">
        <f t="shared" si="65"/>
        <v>154866.63678537673</v>
      </c>
      <c r="J122" s="54">
        <f t="shared" si="33"/>
        <v>0</v>
      </c>
      <c r="K122" s="54"/>
      <c r="L122" s="129"/>
      <c r="M122" s="54">
        <f t="shared" si="35"/>
        <v>0</v>
      </c>
      <c r="N122" s="129"/>
      <c r="O122" s="54">
        <f t="shared" si="37"/>
        <v>0</v>
      </c>
      <c r="P122" s="54">
        <f t="shared" si="38"/>
        <v>0</v>
      </c>
      <c r="Q122" s="1"/>
    </row>
    <row r="123" spans="2:17" ht="12.5">
      <c r="B123" s="7" t="str">
        <f t="shared" si="39"/>
        <v/>
      </c>
      <c r="C123" s="50">
        <f>IF(D93="","-",+C122+1)</f>
        <v>2036</v>
      </c>
      <c r="D123" s="12">
        <f>IF(F122+SUM(E$99:E122)=D$92,F122,D$92-SUM(E$99:E122))</f>
        <v>878797.78765104245</v>
      </c>
      <c r="E123" s="378">
        <f>IF(+J96&lt;F122,J96,D123)</f>
        <v>42770.159090909088</v>
      </c>
      <c r="F123" s="55">
        <f t="shared" si="62"/>
        <v>836027.62856013339</v>
      </c>
      <c r="G123" s="55">
        <f t="shared" si="63"/>
        <v>857412.70810558787</v>
      </c>
      <c r="H123" s="380">
        <f t="shared" si="64"/>
        <v>149540.62541675958</v>
      </c>
      <c r="I123" s="399">
        <f t="shared" si="65"/>
        <v>149540.62541675958</v>
      </c>
      <c r="J123" s="54">
        <f t="shared" si="33"/>
        <v>0</v>
      </c>
      <c r="K123" s="54"/>
      <c r="L123" s="129"/>
      <c r="M123" s="54">
        <f t="shared" si="35"/>
        <v>0</v>
      </c>
      <c r="N123" s="129"/>
      <c r="O123" s="54">
        <f t="shared" si="37"/>
        <v>0</v>
      </c>
      <c r="P123" s="54">
        <f t="shared" si="38"/>
        <v>0</v>
      </c>
      <c r="Q123" s="1"/>
    </row>
    <row r="124" spans="2:17" ht="12.5">
      <c r="B124" s="7" t="str">
        <f t="shared" si="39"/>
        <v/>
      </c>
      <c r="C124" s="50">
        <f>IF(D93="","-",+C123+1)</f>
        <v>2037</v>
      </c>
      <c r="D124" s="12">
        <f>IF(F123+SUM(E$99:E123)=D$92,F123,D$92-SUM(E$99:E123))</f>
        <v>836027.62856013339</v>
      </c>
      <c r="E124" s="378">
        <f>IF(+J96&lt;F123,J96,D124)</f>
        <v>42770.159090909088</v>
      </c>
      <c r="F124" s="55">
        <f t="shared" si="62"/>
        <v>793257.46946922434</v>
      </c>
      <c r="G124" s="55">
        <f t="shared" si="63"/>
        <v>814642.54901467892</v>
      </c>
      <c r="H124" s="380">
        <f t="shared" si="64"/>
        <v>144214.61404814245</v>
      </c>
      <c r="I124" s="399">
        <f t="shared" si="65"/>
        <v>144214.61404814245</v>
      </c>
      <c r="J124" s="54">
        <f t="shared" si="33"/>
        <v>0</v>
      </c>
      <c r="K124" s="54"/>
      <c r="L124" s="129"/>
      <c r="M124" s="54">
        <f t="shared" si="35"/>
        <v>0</v>
      </c>
      <c r="N124" s="129"/>
      <c r="O124" s="54">
        <f t="shared" si="37"/>
        <v>0</v>
      </c>
      <c r="P124" s="54">
        <f t="shared" si="38"/>
        <v>0</v>
      </c>
      <c r="Q124" s="1"/>
    </row>
    <row r="125" spans="2:17" ht="12.5">
      <c r="B125" s="7" t="str">
        <f t="shared" si="39"/>
        <v/>
      </c>
      <c r="C125" s="50">
        <f>IF(D93="","-",+C124+1)</f>
        <v>2038</v>
      </c>
      <c r="D125" s="12">
        <f>IF(F124+SUM(E$99:E124)=D$92,F124,D$92-SUM(E$99:E124))</f>
        <v>793257.46946922434</v>
      </c>
      <c r="E125" s="378">
        <f>IF(+J96&lt;F124,J96,D125)</f>
        <v>42770.159090909088</v>
      </c>
      <c r="F125" s="55">
        <f t="shared" si="62"/>
        <v>750487.31037831528</v>
      </c>
      <c r="G125" s="55">
        <f t="shared" si="63"/>
        <v>771872.38992376975</v>
      </c>
      <c r="H125" s="380">
        <f t="shared" si="64"/>
        <v>138888.60267952527</v>
      </c>
      <c r="I125" s="399">
        <f t="shared" si="65"/>
        <v>138888.60267952527</v>
      </c>
      <c r="J125" s="54">
        <f t="shared" si="33"/>
        <v>0</v>
      </c>
      <c r="K125" s="54"/>
      <c r="L125" s="129"/>
      <c r="M125" s="54">
        <f t="shared" si="35"/>
        <v>0</v>
      </c>
      <c r="N125" s="129"/>
      <c r="O125" s="54">
        <f t="shared" si="37"/>
        <v>0</v>
      </c>
      <c r="P125" s="54">
        <f t="shared" si="38"/>
        <v>0</v>
      </c>
      <c r="Q125" s="1"/>
    </row>
    <row r="126" spans="2:17" ht="12.5">
      <c r="B126" s="7" t="str">
        <f t="shared" si="39"/>
        <v/>
      </c>
      <c r="C126" s="50">
        <f>IF(D93="","-",+C125+1)</f>
        <v>2039</v>
      </c>
      <c r="D126" s="12">
        <f>IF(F125+SUM(E$99:E125)=D$92,F125,D$92-SUM(E$99:E125))</f>
        <v>750487.31037831528</v>
      </c>
      <c r="E126" s="378">
        <f>IF(+J96&lt;F125,J96,D126)</f>
        <v>42770.159090909088</v>
      </c>
      <c r="F126" s="55">
        <f t="shared" si="62"/>
        <v>707717.15128740622</v>
      </c>
      <c r="G126" s="55">
        <f t="shared" si="63"/>
        <v>729102.23083286081</v>
      </c>
      <c r="H126" s="380">
        <f t="shared" si="64"/>
        <v>133562.59131090814</v>
      </c>
      <c r="I126" s="399">
        <f t="shared" si="65"/>
        <v>133562.59131090814</v>
      </c>
      <c r="J126" s="54">
        <f t="shared" si="33"/>
        <v>0</v>
      </c>
      <c r="K126" s="54"/>
      <c r="L126" s="129"/>
      <c r="M126" s="54">
        <f t="shared" si="35"/>
        <v>0</v>
      </c>
      <c r="N126" s="129"/>
      <c r="O126" s="54">
        <f t="shared" si="37"/>
        <v>0</v>
      </c>
      <c r="P126" s="54">
        <f t="shared" si="38"/>
        <v>0</v>
      </c>
      <c r="Q126" s="1"/>
    </row>
    <row r="127" spans="2:17" ht="12.5">
      <c r="B127" s="7" t="str">
        <f t="shared" si="39"/>
        <v/>
      </c>
      <c r="C127" s="50">
        <f>IF(D93="","-",+C126+1)</f>
        <v>2040</v>
      </c>
      <c r="D127" s="12">
        <f>IF(F126+SUM(E$99:E126)=D$92,F126,D$92-SUM(E$99:E126))</f>
        <v>707717.15128740622</v>
      </c>
      <c r="E127" s="378">
        <f>IF(+J96&lt;F126,J96,D127)</f>
        <v>42770.159090909088</v>
      </c>
      <c r="F127" s="55">
        <f t="shared" si="62"/>
        <v>664946.99219649716</v>
      </c>
      <c r="G127" s="55">
        <f t="shared" si="63"/>
        <v>686332.07174195163</v>
      </c>
      <c r="H127" s="380">
        <f t="shared" si="64"/>
        <v>128236.57994229099</v>
      </c>
      <c r="I127" s="399">
        <f t="shared" si="65"/>
        <v>128236.57994229099</v>
      </c>
      <c r="J127" s="54">
        <f t="shared" si="33"/>
        <v>0</v>
      </c>
      <c r="K127" s="54"/>
      <c r="L127" s="129"/>
      <c r="M127" s="54">
        <f t="shared" si="35"/>
        <v>0</v>
      </c>
      <c r="N127" s="129"/>
      <c r="O127" s="54">
        <f t="shared" si="37"/>
        <v>0</v>
      </c>
      <c r="P127" s="54">
        <f t="shared" si="38"/>
        <v>0</v>
      </c>
      <c r="Q127" s="1"/>
    </row>
    <row r="128" spans="2:17" ht="12.5">
      <c r="B128" s="7" t="str">
        <f t="shared" si="39"/>
        <v/>
      </c>
      <c r="C128" s="50">
        <f>IF(D93="","-",+C127+1)</f>
        <v>2041</v>
      </c>
      <c r="D128" s="12">
        <f>IF(F127+SUM(E$99:E127)=D$92,F127,D$92-SUM(E$99:E127))</f>
        <v>664946.99219649716</v>
      </c>
      <c r="E128" s="378">
        <f>IF(+J96&lt;F127,J96,D128)</f>
        <v>42770.159090909088</v>
      </c>
      <c r="F128" s="55">
        <f t="shared" si="62"/>
        <v>622176.8331055881</v>
      </c>
      <c r="G128" s="55">
        <f t="shared" si="63"/>
        <v>643561.91265104269</v>
      </c>
      <c r="H128" s="380">
        <f t="shared" si="64"/>
        <v>122910.56857367387</v>
      </c>
      <c r="I128" s="399">
        <f t="shared" si="65"/>
        <v>122910.56857367387</v>
      </c>
      <c r="J128" s="54">
        <f t="shared" si="33"/>
        <v>0</v>
      </c>
      <c r="K128" s="54"/>
      <c r="L128" s="129"/>
      <c r="M128" s="54">
        <f t="shared" si="35"/>
        <v>0</v>
      </c>
      <c r="N128" s="129"/>
      <c r="O128" s="54">
        <f t="shared" si="37"/>
        <v>0</v>
      </c>
      <c r="P128" s="54">
        <f t="shared" si="38"/>
        <v>0</v>
      </c>
      <c r="Q128" s="1"/>
    </row>
    <row r="129" spans="2:17" ht="12.5">
      <c r="B129" s="7" t="str">
        <f t="shared" si="39"/>
        <v/>
      </c>
      <c r="C129" s="50">
        <f>IF(D93="","-",+C128+1)</f>
        <v>2042</v>
      </c>
      <c r="D129" s="12">
        <f>IF(F128+SUM(E$99:E128)=D$92,F128,D$92-SUM(E$99:E128))</f>
        <v>622176.8331055881</v>
      </c>
      <c r="E129" s="378">
        <f>IF(+J96&lt;F128,J96,D129)</f>
        <v>42770.159090909088</v>
      </c>
      <c r="F129" s="55">
        <f t="shared" si="62"/>
        <v>579406.67401467904</v>
      </c>
      <c r="G129" s="55">
        <f t="shared" si="63"/>
        <v>600791.75356013351</v>
      </c>
      <c r="H129" s="380">
        <f t="shared" si="64"/>
        <v>117584.55720505671</v>
      </c>
      <c r="I129" s="399">
        <f t="shared" si="65"/>
        <v>117584.55720505671</v>
      </c>
      <c r="J129" s="54">
        <f t="shared" si="33"/>
        <v>0</v>
      </c>
      <c r="K129" s="54"/>
      <c r="L129" s="129"/>
      <c r="M129" s="54">
        <f t="shared" si="35"/>
        <v>0</v>
      </c>
      <c r="N129" s="129"/>
      <c r="O129" s="54">
        <f t="shared" si="37"/>
        <v>0</v>
      </c>
      <c r="P129" s="54">
        <f t="shared" si="38"/>
        <v>0</v>
      </c>
      <c r="Q129" s="1"/>
    </row>
    <row r="130" spans="2:17" ht="12.5">
      <c r="B130" s="7" t="str">
        <f t="shared" si="39"/>
        <v/>
      </c>
      <c r="C130" s="50">
        <f>IF(D93="","-",+C129+1)</f>
        <v>2043</v>
      </c>
      <c r="D130" s="12">
        <f>IF(F129+SUM(E$99:E129)=D$92,F129,D$92-SUM(E$99:E129))</f>
        <v>579406.67401467904</v>
      </c>
      <c r="E130" s="378">
        <f>IF(+J96&lt;F129,J96,D130)</f>
        <v>42770.159090909088</v>
      </c>
      <c r="F130" s="55">
        <f t="shared" si="62"/>
        <v>536636.51492376998</v>
      </c>
      <c r="G130" s="55">
        <f t="shared" si="63"/>
        <v>558021.59446922457</v>
      </c>
      <c r="H130" s="380">
        <f t="shared" si="64"/>
        <v>112258.54583643957</v>
      </c>
      <c r="I130" s="399">
        <f t="shared" si="65"/>
        <v>112258.54583643957</v>
      </c>
      <c r="J130" s="54">
        <f t="shared" si="33"/>
        <v>0</v>
      </c>
      <c r="K130" s="54"/>
      <c r="L130" s="129"/>
      <c r="M130" s="54">
        <f t="shared" si="35"/>
        <v>0</v>
      </c>
      <c r="N130" s="129"/>
      <c r="O130" s="54">
        <f t="shared" si="37"/>
        <v>0</v>
      </c>
      <c r="P130" s="54">
        <f t="shared" si="38"/>
        <v>0</v>
      </c>
      <c r="Q130" s="1"/>
    </row>
    <row r="131" spans="2:17" ht="12.5">
      <c r="B131" s="7" t="str">
        <f t="shared" si="39"/>
        <v/>
      </c>
      <c r="C131" s="50">
        <f>IF(D93="","-",+C130+1)</f>
        <v>2044</v>
      </c>
      <c r="D131" s="12">
        <f>IF(F130+SUM(E$99:E130)=D$92,F130,D$92-SUM(E$99:E130))</f>
        <v>536636.51492376998</v>
      </c>
      <c r="E131" s="378">
        <f>IF(+J96&lt;F130,J96,D131)</f>
        <v>42770.159090909088</v>
      </c>
      <c r="F131" s="55">
        <f t="shared" si="62"/>
        <v>493866.35583286092</v>
      </c>
      <c r="G131" s="55">
        <f t="shared" ref="G131:G154" si="66">+(F131+D131)/2</f>
        <v>515251.43537831545</v>
      </c>
      <c r="H131" s="380">
        <f t="shared" ref="H131:H154" si="67">+J$94*G131+E131</f>
        <v>106932.53446782244</v>
      </c>
      <c r="I131" s="399">
        <f t="shared" ref="I131:I154" si="68">+J$95*G131+E131</f>
        <v>106932.53446782244</v>
      </c>
      <c r="J131" s="54">
        <f t="shared" ref="J131:J154" si="69">+I131-H131</f>
        <v>0</v>
      </c>
      <c r="K131" s="54"/>
      <c r="L131" s="129"/>
      <c r="M131" s="54">
        <f t="shared" ref="M131:M154" si="70">IF(L131&lt;&gt;0,+H131-L131,0)</f>
        <v>0</v>
      </c>
      <c r="N131" s="129"/>
      <c r="O131" s="54">
        <f t="shared" ref="O131:O154" si="71">IF(N131&lt;&gt;0,+I131-N131,0)</f>
        <v>0</v>
      </c>
      <c r="P131" s="54">
        <f t="shared" ref="P131:P154" si="72">+O131-M131</f>
        <v>0</v>
      </c>
      <c r="Q131" s="1"/>
    </row>
    <row r="132" spans="2:17" ht="12.5">
      <c r="B132" s="7" t="str">
        <f t="shared" ref="B132:B154" si="73">IF(D132=F131,"","IU")</f>
        <v/>
      </c>
      <c r="C132" s="50">
        <f>IF(D93="","-",+C131+1)</f>
        <v>2045</v>
      </c>
      <c r="D132" s="12">
        <f>IF(F131+SUM(E$99:E131)=D$92,F131,D$92-SUM(E$99:E131))</f>
        <v>493866.35583286092</v>
      </c>
      <c r="E132" s="378">
        <f>IF(+J96&lt;F131,J96,D132)</f>
        <v>42770.159090909088</v>
      </c>
      <c r="F132" s="55">
        <f t="shared" ref="F132:F154" si="74">+D132-E132</f>
        <v>451096.19674195186</v>
      </c>
      <c r="G132" s="55">
        <f t="shared" si="66"/>
        <v>472481.27628740639</v>
      </c>
      <c r="H132" s="380">
        <f t="shared" si="67"/>
        <v>101606.52309920528</v>
      </c>
      <c r="I132" s="399">
        <f t="shared" si="68"/>
        <v>101606.52309920528</v>
      </c>
      <c r="J132" s="54">
        <f t="shared" si="69"/>
        <v>0</v>
      </c>
      <c r="K132" s="54"/>
      <c r="L132" s="129"/>
      <c r="M132" s="54">
        <f t="shared" si="70"/>
        <v>0</v>
      </c>
      <c r="N132" s="129"/>
      <c r="O132" s="54">
        <f t="shared" si="71"/>
        <v>0</v>
      </c>
      <c r="P132" s="54">
        <f t="shared" si="72"/>
        <v>0</v>
      </c>
      <c r="Q132" s="1"/>
    </row>
    <row r="133" spans="2:17" ht="12.5">
      <c r="B133" s="7" t="str">
        <f t="shared" si="73"/>
        <v/>
      </c>
      <c r="C133" s="50">
        <f>IF(D93="","-",+C132+1)</f>
        <v>2046</v>
      </c>
      <c r="D133" s="12">
        <f>IF(F132+SUM(E$99:E132)=D$92,F132,D$92-SUM(E$99:E132))</f>
        <v>451096.19674195186</v>
      </c>
      <c r="E133" s="378">
        <f>IF(+J96&lt;F132,J96,D133)</f>
        <v>42770.159090909088</v>
      </c>
      <c r="F133" s="55">
        <f t="shared" si="74"/>
        <v>408326.0376510428</v>
      </c>
      <c r="G133" s="55">
        <f t="shared" si="66"/>
        <v>429711.11719649733</v>
      </c>
      <c r="H133" s="380">
        <f t="shared" si="67"/>
        <v>96280.511730588143</v>
      </c>
      <c r="I133" s="399">
        <f t="shared" si="68"/>
        <v>96280.511730588143</v>
      </c>
      <c r="J133" s="54">
        <f t="shared" si="69"/>
        <v>0</v>
      </c>
      <c r="K133" s="54"/>
      <c r="L133" s="129"/>
      <c r="M133" s="54">
        <f t="shared" si="70"/>
        <v>0</v>
      </c>
      <c r="N133" s="129"/>
      <c r="O133" s="54">
        <f t="shared" si="71"/>
        <v>0</v>
      </c>
      <c r="P133" s="54">
        <f t="shared" si="72"/>
        <v>0</v>
      </c>
      <c r="Q133" s="1"/>
    </row>
    <row r="134" spans="2:17" ht="12.5">
      <c r="B134" s="7" t="str">
        <f t="shared" si="73"/>
        <v/>
      </c>
      <c r="C134" s="50">
        <f>IF(D93="","-",+C133+1)</f>
        <v>2047</v>
      </c>
      <c r="D134" s="12">
        <f>IF(F133+SUM(E$99:E133)=D$92,F133,D$92-SUM(E$99:E133))</f>
        <v>408326.0376510428</v>
      </c>
      <c r="E134" s="378">
        <f>IF(+J96&lt;F133,J96,D134)</f>
        <v>42770.159090909088</v>
      </c>
      <c r="F134" s="55">
        <f t="shared" si="74"/>
        <v>365555.87856013374</v>
      </c>
      <c r="G134" s="55">
        <f t="shared" si="66"/>
        <v>386940.95810558827</v>
      </c>
      <c r="H134" s="380">
        <f t="shared" si="67"/>
        <v>90954.500361971004</v>
      </c>
      <c r="I134" s="399">
        <f t="shared" si="68"/>
        <v>90954.500361971004</v>
      </c>
      <c r="J134" s="54">
        <f t="shared" si="69"/>
        <v>0</v>
      </c>
      <c r="K134" s="54"/>
      <c r="L134" s="129"/>
      <c r="M134" s="54">
        <f t="shared" si="70"/>
        <v>0</v>
      </c>
      <c r="N134" s="129"/>
      <c r="O134" s="54">
        <f t="shared" si="71"/>
        <v>0</v>
      </c>
      <c r="P134" s="54">
        <f t="shared" si="72"/>
        <v>0</v>
      </c>
      <c r="Q134" s="1"/>
    </row>
    <row r="135" spans="2:17" ht="12.5">
      <c r="B135" s="7" t="str">
        <f t="shared" si="73"/>
        <v/>
      </c>
      <c r="C135" s="50">
        <f>IF(D93="","-",+C134+1)</f>
        <v>2048</v>
      </c>
      <c r="D135" s="12">
        <f>IF(F134+SUM(E$99:E134)=D$92,F134,D$92-SUM(E$99:E134))</f>
        <v>365555.87856013374</v>
      </c>
      <c r="E135" s="378">
        <f>IF(+J96&lt;F134,J96,D135)</f>
        <v>42770.159090909088</v>
      </c>
      <c r="F135" s="55">
        <f t="shared" si="74"/>
        <v>322785.71946922468</v>
      </c>
      <c r="G135" s="55">
        <f t="shared" si="66"/>
        <v>344170.79901467921</v>
      </c>
      <c r="H135" s="380">
        <f t="shared" si="67"/>
        <v>85628.488993353851</v>
      </c>
      <c r="I135" s="399">
        <f t="shared" si="68"/>
        <v>85628.488993353851</v>
      </c>
      <c r="J135" s="54">
        <f t="shared" si="69"/>
        <v>0</v>
      </c>
      <c r="K135" s="54"/>
      <c r="L135" s="129"/>
      <c r="M135" s="54">
        <f t="shared" si="70"/>
        <v>0</v>
      </c>
      <c r="N135" s="129"/>
      <c r="O135" s="54">
        <f t="shared" si="71"/>
        <v>0</v>
      </c>
      <c r="P135" s="54">
        <f t="shared" si="72"/>
        <v>0</v>
      </c>
      <c r="Q135" s="1"/>
    </row>
    <row r="136" spans="2:17" ht="12.5">
      <c r="B136" s="7" t="str">
        <f t="shared" si="73"/>
        <v/>
      </c>
      <c r="C136" s="50">
        <f>IF(D93="","-",+C135+1)</f>
        <v>2049</v>
      </c>
      <c r="D136" s="12">
        <f>IF(F135+SUM(E$99:E135)=D$92,F135,D$92-SUM(E$99:E135))</f>
        <v>322785.71946922468</v>
      </c>
      <c r="E136" s="378">
        <f>IF(+J96&lt;F135,J96,D136)</f>
        <v>42770.159090909088</v>
      </c>
      <c r="F136" s="55">
        <f t="shared" si="74"/>
        <v>280015.56037831563</v>
      </c>
      <c r="G136" s="55">
        <f t="shared" si="66"/>
        <v>301400.63992377016</v>
      </c>
      <c r="H136" s="380">
        <f t="shared" si="67"/>
        <v>80302.477624736712</v>
      </c>
      <c r="I136" s="399">
        <f t="shared" si="68"/>
        <v>80302.477624736712</v>
      </c>
      <c r="J136" s="54">
        <f t="shared" si="69"/>
        <v>0</v>
      </c>
      <c r="K136" s="54"/>
      <c r="L136" s="129"/>
      <c r="M136" s="54">
        <f t="shared" si="70"/>
        <v>0</v>
      </c>
      <c r="N136" s="129"/>
      <c r="O136" s="54">
        <f t="shared" si="71"/>
        <v>0</v>
      </c>
      <c r="P136" s="54">
        <f t="shared" si="72"/>
        <v>0</v>
      </c>
      <c r="Q136" s="1"/>
    </row>
    <row r="137" spans="2:17" ht="12.5">
      <c r="B137" s="7" t="str">
        <f t="shared" si="73"/>
        <v/>
      </c>
      <c r="C137" s="50">
        <f>IF(D93="","-",+C136+1)</f>
        <v>2050</v>
      </c>
      <c r="D137" s="12">
        <f>IF(F136+SUM(E$99:E136)=D$92,F136,D$92-SUM(E$99:E136))</f>
        <v>280015.56037831563</v>
      </c>
      <c r="E137" s="378">
        <f>IF(+J96&lt;F136,J96,D137)</f>
        <v>42770.159090909088</v>
      </c>
      <c r="F137" s="55">
        <f t="shared" si="74"/>
        <v>237245.40128740654</v>
      </c>
      <c r="G137" s="55">
        <f t="shared" si="66"/>
        <v>258630.4808328611</v>
      </c>
      <c r="H137" s="380">
        <f t="shared" si="67"/>
        <v>74976.466256119573</v>
      </c>
      <c r="I137" s="399">
        <f t="shared" si="68"/>
        <v>74976.466256119573</v>
      </c>
      <c r="J137" s="54">
        <f t="shared" si="69"/>
        <v>0</v>
      </c>
      <c r="K137" s="54"/>
      <c r="L137" s="129"/>
      <c r="M137" s="54">
        <f t="shared" si="70"/>
        <v>0</v>
      </c>
      <c r="N137" s="129"/>
      <c r="O137" s="54">
        <f t="shared" si="71"/>
        <v>0</v>
      </c>
      <c r="P137" s="54">
        <f t="shared" si="72"/>
        <v>0</v>
      </c>
      <c r="Q137" s="1"/>
    </row>
    <row r="138" spans="2:17" ht="12.5">
      <c r="B138" s="7" t="str">
        <f t="shared" si="73"/>
        <v/>
      </c>
      <c r="C138" s="50">
        <f>IF(D93="","-",+C137+1)</f>
        <v>2051</v>
      </c>
      <c r="D138" s="12">
        <f>IF(F137+SUM(E$99:E137)=D$92,F137,D$92-SUM(E$99:E137))</f>
        <v>237245.40128740654</v>
      </c>
      <c r="E138" s="378">
        <f>IF(+J96&lt;F137,J96,D138)</f>
        <v>42770.159090909088</v>
      </c>
      <c r="F138" s="55">
        <f t="shared" si="74"/>
        <v>194475.24219649745</v>
      </c>
      <c r="G138" s="55">
        <f t="shared" si="66"/>
        <v>215860.32174195198</v>
      </c>
      <c r="H138" s="380">
        <f t="shared" si="67"/>
        <v>69650.454887502419</v>
      </c>
      <c r="I138" s="399">
        <f t="shared" si="68"/>
        <v>69650.454887502419</v>
      </c>
      <c r="J138" s="54">
        <f t="shared" si="69"/>
        <v>0</v>
      </c>
      <c r="K138" s="54"/>
      <c r="L138" s="129"/>
      <c r="M138" s="54">
        <f t="shared" si="70"/>
        <v>0</v>
      </c>
      <c r="N138" s="129"/>
      <c r="O138" s="54">
        <f t="shared" si="71"/>
        <v>0</v>
      </c>
      <c r="P138" s="54">
        <f t="shared" si="72"/>
        <v>0</v>
      </c>
      <c r="Q138" s="1"/>
    </row>
    <row r="139" spans="2:17" ht="12.5">
      <c r="B139" s="7" t="str">
        <f t="shared" si="73"/>
        <v/>
      </c>
      <c r="C139" s="50">
        <f>IF(D93="","-",+C138+1)</f>
        <v>2052</v>
      </c>
      <c r="D139" s="12">
        <f>IF(F138+SUM(E$99:E138)=D$92,F138,D$92-SUM(E$99:E138))</f>
        <v>194475.24219649745</v>
      </c>
      <c r="E139" s="378">
        <f>IF(+J96&lt;F138,J96,D139)</f>
        <v>42770.159090909088</v>
      </c>
      <c r="F139" s="55">
        <f t="shared" si="74"/>
        <v>151705.08310558836</v>
      </c>
      <c r="G139" s="55">
        <f t="shared" si="66"/>
        <v>173090.16265104292</v>
      </c>
      <c r="H139" s="380">
        <f t="shared" si="67"/>
        <v>64324.443518885273</v>
      </c>
      <c r="I139" s="399">
        <f t="shared" si="68"/>
        <v>64324.443518885273</v>
      </c>
      <c r="J139" s="54">
        <f t="shared" si="69"/>
        <v>0</v>
      </c>
      <c r="K139" s="54"/>
      <c r="L139" s="129"/>
      <c r="M139" s="54">
        <f t="shared" si="70"/>
        <v>0</v>
      </c>
      <c r="N139" s="129"/>
      <c r="O139" s="54">
        <f t="shared" si="71"/>
        <v>0</v>
      </c>
      <c r="P139" s="54">
        <f t="shared" si="72"/>
        <v>0</v>
      </c>
      <c r="Q139" s="1"/>
    </row>
    <row r="140" spans="2:17" ht="12.5">
      <c r="B140" s="7" t="str">
        <f t="shared" si="73"/>
        <v/>
      </c>
      <c r="C140" s="50">
        <f>IF(D93="","-",+C139+1)</f>
        <v>2053</v>
      </c>
      <c r="D140" s="12">
        <f>IF(F139+SUM(E$99:E139)=D$92,F139,D$92-SUM(E$99:E139))</f>
        <v>151705.08310558836</v>
      </c>
      <c r="E140" s="378">
        <f>IF(+J96&lt;F139,J96,D140)</f>
        <v>42770.159090909088</v>
      </c>
      <c r="F140" s="55">
        <f t="shared" si="74"/>
        <v>108934.92401467927</v>
      </c>
      <c r="G140" s="55">
        <f t="shared" si="66"/>
        <v>130320.00356013382</v>
      </c>
      <c r="H140" s="380">
        <f t="shared" si="67"/>
        <v>58998.432150268127</v>
      </c>
      <c r="I140" s="399">
        <f t="shared" si="68"/>
        <v>58998.432150268127</v>
      </c>
      <c r="J140" s="54">
        <f t="shared" si="69"/>
        <v>0</v>
      </c>
      <c r="K140" s="54"/>
      <c r="L140" s="129"/>
      <c r="M140" s="54">
        <f t="shared" si="70"/>
        <v>0</v>
      </c>
      <c r="N140" s="129"/>
      <c r="O140" s="54">
        <f t="shared" si="71"/>
        <v>0</v>
      </c>
      <c r="P140" s="54">
        <f t="shared" si="72"/>
        <v>0</v>
      </c>
      <c r="Q140" s="1"/>
    </row>
    <row r="141" spans="2:17" ht="12.5">
      <c r="B141" s="7" t="str">
        <f t="shared" si="73"/>
        <v/>
      </c>
      <c r="C141" s="50">
        <f>IF(D93="","-",+C140+1)</f>
        <v>2054</v>
      </c>
      <c r="D141" s="12">
        <f>IF(F140+SUM(E$99:E140)=D$92,F140,D$92-SUM(E$99:E140))</f>
        <v>108934.92401467927</v>
      </c>
      <c r="E141" s="378">
        <f>IF(+J96&lt;F140,J96,D141)</f>
        <v>42770.159090909088</v>
      </c>
      <c r="F141" s="55">
        <f t="shared" si="74"/>
        <v>66164.764923770184</v>
      </c>
      <c r="G141" s="55">
        <f t="shared" si="66"/>
        <v>87549.844469224729</v>
      </c>
      <c r="H141" s="380">
        <f t="shared" si="67"/>
        <v>53672.420781650973</v>
      </c>
      <c r="I141" s="399">
        <f t="shared" si="68"/>
        <v>53672.420781650973</v>
      </c>
      <c r="J141" s="54">
        <f t="shared" si="69"/>
        <v>0</v>
      </c>
      <c r="K141" s="54"/>
      <c r="L141" s="129"/>
      <c r="M141" s="54">
        <f t="shared" si="70"/>
        <v>0</v>
      </c>
      <c r="N141" s="129"/>
      <c r="O141" s="54">
        <f t="shared" si="71"/>
        <v>0</v>
      </c>
      <c r="P141" s="54">
        <f t="shared" si="72"/>
        <v>0</v>
      </c>
      <c r="Q141" s="1"/>
    </row>
    <row r="142" spans="2:17" ht="12.5">
      <c r="B142" s="7" t="str">
        <f t="shared" si="73"/>
        <v/>
      </c>
      <c r="C142" s="50">
        <f>IF(D93="","-",+C141+1)</f>
        <v>2055</v>
      </c>
      <c r="D142" s="12">
        <f>IF(F141+SUM(E$99:E141)=D$92,F141,D$92-SUM(E$99:E141))</f>
        <v>66164.764923770184</v>
      </c>
      <c r="E142" s="378">
        <f>IF(+J96&lt;F141,J96,D142)</f>
        <v>42770.159090909088</v>
      </c>
      <c r="F142" s="55">
        <f t="shared" si="74"/>
        <v>23394.605832861096</v>
      </c>
      <c r="G142" s="55">
        <f t="shared" si="66"/>
        <v>44779.68537831564</v>
      </c>
      <c r="H142" s="380">
        <f t="shared" si="67"/>
        <v>48346.409413033827</v>
      </c>
      <c r="I142" s="399">
        <f t="shared" si="68"/>
        <v>48346.409413033827</v>
      </c>
      <c r="J142" s="54">
        <f t="shared" si="69"/>
        <v>0</v>
      </c>
      <c r="K142" s="54"/>
      <c r="L142" s="129"/>
      <c r="M142" s="54">
        <f t="shared" si="70"/>
        <v>0</v>
      </c>
      <c r="N142" s="129"/>
      <c r="O142" s="54">
        <f t="shared" si="71"/>
        <v>0</v>
      </c>
      <c r="P142" s="54">
        <f t="shared" si="72"/>
        <v>0</v>
      </c>
      <c r="Q142" s="1"/>
    </row>
    <row r="143" spans="2:17" ht="12.5">
      <c r="B143" s="7" t="str">
        <f t="shared" si="73"/>
        <v/>
      </c>
      <c r="C143" s="50">
        <f>IF(D93="","-",+C142+1)</f>
        <v>2056</v>
      </c>
      <c r="D143" s="12">
        <f>IF(F142+SUM(E$99:E142)=D$92,F142,D$92-SUM(E$99:E142))</f>
        <v>23394.605832861096</v>
      </c>
      <c r="E143" s="378">
        <f>IF(+J96&lt;F142,J96,D143)</f>
        <v>23394.605832861096</v>
      </c>
      <c r="F143" s="55">
        <f t="shared" si="74"/>
        <v>0</v>
      </c>
      <c r="G143" s="55">
        <f t="shared" si="66"/>
        <v>11697.302916430548</v>
      </c>
      <c r="H143" s="380">
        <f t="shared" si="67"/>
        <v>24851.228151769181</v>
      </c>
      <c r="I143" s="399">
        <f t="shared" si="68"/>
        <v>24851.228151769181</v>
      </c>
      <c r="J143" s="54">
        <f t="shared" si="69"/>
        <v>0</v>
      </c>
      <c r="K143" s="54"/>
      <c r="L143" s="129"/>
      <c r="M143" s="54">
        <f t="shared" si="70"/>
        <v>0</v>
      </c>
      <c r="N143" s="129"/>
      <c r="O143" s="54">
        <f t="shared" si="71"/>
        <v>0</v>
      </c>
      <c r="P143" s="54">
        <f t="shared" si="72"/>
        <v>0</v>
      </c>
      <c r="Q143" s="1"/>
    </row>
    <row r="144" spans="2:17" ht="12.5">
      <c r="B144" s="7" t="str">
        <f t="shared" si="73"/>
        <v/>
      </c>
      <c r="C144" s="50">
        <f>IF(D93="","-",+C143+1)</f>
        <v>2057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74"/>
        <v>0</v>
      </c>
      <c r="G144" s="55">
        <f t="shared" si="66"/>
        <v>0</v>
      </c>
      <c r="H144" s="380">
        <f t="shared" si="67"/>
        <v>0</v>
      </c>
      <c r="I144" s="399">
        <f t="shared" si="68"/>
        <v>0</v>
      </c>
      <c r="J144" s="54">
        <f t="shared" si="69"/>
        <v>0</v>
      </c>
      <c r="K144" s="54"/>
      <c r="L144" s="129"/>
      <c r="M144" s="54">
        <f t="shared" si="70"/>
        <v>0</v>
      </c>
      <c r="N144" s="129"/>
      <c r="O144" s="54">
        <f t="shared" si="71"/>
        <v>0</v>
      </c>
      <c r="P144" s="54">
        <f t="shared" si="72"/>
        <v>0</v>
      </c>
      <c r="Q144" s="1"/>
    </row>
    <row r="145" spans="2:17" ht="12.5">
      <c r="B145" s="7" t="str">
        <f t="shared" si="73"/>
        <v/>
      </c>
      <c r="C145" s="50">
        <f>IF(D93="","-",+C144+1)</f>
        <v>2058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74"/>
        <v>0</v>
      </c>
      <c r="G145" s="55">
        <f t="shared" si="66"/>
        <v>0</v>
      </c>
      <c r="H145" s="380">
        <f t="shared" si="67"/>
        <v>0</v>
      </c>
      <c r="I145" s="399">
        <f t="shared" si="68"/>
        <v>0</v>
      </c>
      <c r="J145" s="54">
        <f t="shared" si="69"/>
        <v>0</v>
      </c>
      <c r="K145" s="54"/>
      <c r="L145" s="129"/>
      <c r="M145" s="54">
        <f t="shared" si="70"/>
        <v>0</v>
      </c>
      <c r="N145" s="129"/>
      <c r="O145" s="54">
        <f t="shared" si="71"/>
        <v>0</v>
      </c>
      <c r="P145" s="54">
        <f t="shared" si="72"/>
        <v>0</v>
      </c>
      <c r="Q145" s="1"/>
    </row>
    <row r="146" spans="2:17" ht="12.5">
      <c r="B146" s="7" t="str">
        <f t="shared" si="73"/>
        <v/>
      </c>
      <c r="C146" s="50">
        <f>IF(D93="","-",+C145+1)</f>
        <v>2059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74"/>
        <v>0</v>
      </c>
      <c r="G146" s="55">
        <f t="shared" si="66"/>
        <v>0</v>
      </c>
      <c r="H146" s="380">
        <f t="shared" si="67"/>
        <v>0</v>
      </c>
      <c r="I146" s="399">
        <f t="shared" si="68"/>
        <v>0</v>
      </c>
      <c r="J146" s="54">
        <f t="shared" si="69"/>
        <v>0</v>
      </c>
      <c r="K146" s="54"/>
      <c r="L146" s="129"/>
      <c r="M146" s="54">
        <f t="shared" si="70"/>
        <v>0</v>
      </c>
      <c r="N146" s="129"/>
      <c r="O146" s="54">
        <f t="shared" si="71"/>
        <v>0</v>
      </c>
      <c r="P146" s="54">
        <f t="shared" si="72"/>
        <v>0</v>
      </c>
      <c r="Q146" s="1"/>
    </row>
    <row r="147" spans="2:17" ht="12.5">
      <c r="B147" s="7" t="str">
        <f t="shared" si="73"/>
        <v/>
      </c>
      <c r="C147" s="50">
        <f>IF(D93="","-",+C146+1)</f>
        <v>2060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74"/>
        <v>0</v>
      </c>
      <c r="G147" s="55">
        <f t="shared" si="66"/>
        <v>0</v>
      </c>
      <c r="H147" s="380">
        <f t="shared" si="67"/>
        <v>0</v>
      </c>
      <c r="I147" s="399">
        <f t="shared" si="68"/>
        <v>0</v>
      </c>
      <c r="J147" s="54">
        <f t="shared" si="69"/>
        <v>0</v>
      </c>
      <c r="K147" s="54"/>
      <c r="L147" s="129"/>
      <c r="M147" s="54">
        <f t="shared" si="70"/>
        <v>0</v>
      </c>
      <c r="N147" s="129"/>
      <c r="O147" s="54">
        <f t="shared" si="71"/>
        <v>0</v>
      </c>
      <c r="P147" s="54">
        <f t="shared" si="72"/>
        <v>0</v>
      </c>
      <c r="Q147" s="1"/>
    </row>
    <row r="148" spans="2:17" ht="12.5">
      <c r="B148" s="7" t="str">
        <f t="shared" si="73"/>
        <v/>
      </c>
      <c r="C148" s="50">
        <f>IF(D93="","-",+C147+1)</f>
        <v>2061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74"/>
        <v>0</v>
      </c>
      <c r="G148" s="55">
        <f t="shared" si="66"/>
        <v>0</v>
      </c>
      <c r="H148" s="380">
        <f t="shared" si="67"/>
        <v>0</v>
      </c>
      <c r="I148" s="399">
        <f t="shared" si="68"/>
        <v>0</v>
      </c>
      <c r="J148" s="54">
        <f t="shared" si="69"/>
        <v>0</v>
      </c>
      <c r="K148" s="54"/>
      <c r="L148" s="129"/>
      <c r="M148" s="54">
        <f t="shared" si="70"/>
        <v>0</v>
      </c>
      <c r="N148" s="129"/>
      <c r="O148" s="54">
        <f t="shared" si="71"/>
        <v>0</v>
      </c>
      <c r="P148" s="54">
        <f t="shared" si="72"/>
        <v>0</v>
      </c>
      <c r="Q148" s="1"/>
    </row>
    <row r="149" spans="2:17" ht="12.5">
      <c r="B149" s="7" t="str">
        <f t="shared" si="73"/>
        <v/>
      </c>
      <c r="C149" s="50">
        <f>IF(D93="","-",+C148+1)</f>
        <v>2062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74"/>
        <v>0</v>
      </c>
      <c r="G149" s="55">
        <f t="shared" si="66"/>
        <v>0</v>
      </c>
      <c r="H149" s="380">
        <f t="shared" si="67"/>
        <v>0</v>
      </c>
      <c r="I149" s="399">
        <f t="shared" si="68"/>
        <v>0</v>
      </c>
      <c r="J149" s="54">
        <f t="shared" si="69"/>
        <v>0</v>
      </c>
      <c r="K149" s="54"/>
      <c r="L149" s="129"/>
      <c r="M149" s="54">
        <f t="shared" si="70"/>
        <v>0</v>
      </c>
      <c r="N149" s="129"/>
      <c r="O149" s="54">
        <f t="shared" si="71"/>
        <v>0</v>
      </c>
      <c r="P149" s="54">
        <f t="shared" si="72"/>
        <v>0</v>
      </c>
      <c r="Q149" s="1"/>
    </row>
    <row r="150" spans="2:17" ht="12.5">
      <c r="B150" s="7" t="str">
        <f t="shared" si="73"/>
        <v/>
      </c>
      <c r="C150" s="50">
        <f>IF(D93="","-",+C149+1)</f>
        <v>2063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74"/>
        <v>0</v>
      </c>
      <c r="G150" s="55">
        <f t="shared" si="66"/>
        <v>0</v>
      </c>
      <c r="H150" s="380">
        <f t="shared" si="67"/>
        <v>0</v>
      </c>
      <c r="I150" s="399">
        <f t="shared" si="68"/>
        <v>0</v>
      </c>
      <c r="J150" s="54">
        <f t="shared" si="69"/>
        <v>0</v>
      </c>
      <c r="K150" s="54"/>
      <c r="L150" s="129"/>
      <c r="M150" s="54">
        <f t="shared" si="70"/>
        <v>0</v>
      </c>
      <c r="N150" s="129"/>
      <c r="O150" s="54">
        <f t="shared" si="71"/>
        <v>0</v>
      </c>
      <c r="P150" s="54">
        <f t="shared" si="72"/>
        <v>0</v>
      </c>
      <c r="Q150" s="1"/>
    </row>
    <row r="151" spans="2:17" ht="12.5">
      <c r="B151" s="7" t="str">
        <f t="shared" si="73"/>
        <v/>
      </c>
      <c r="C151" s="50">
        <f>IF(D93="","-",+C150+1)</f>
        <v>2064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74"/>
        <v>0</v>
      </c>
      <c r="G151" s="55">
        <f t="shared" si="66"/>
        <v>0</v>
      </c>
      <c r="H151" s="380">
        <f t="shared" si="67"/>
        <v>0</v>
      </c>
      <c r="I151" s="399">
        <f t="shared" si="68"/>
        <v>0</v>
      </c>
      <c r="J151" s="54">
        <f t="shared" si="69"/>
        <v>0</v>
      </c>
      <c r="K151" s="54"/>
      <c r="L151" s="129"/>
      <c r="M151" s="54">
        <f t="shared" si="70"/>
        <v>0</v>
      </c>
      <c r="N151" s="129"/>
      <c r="O151" s="54">
        <f t="shared" si="71"/>
        <v>0</v>
      </c>
      <c r="P151" s="54">
        <f t="shared" si="72"/>
        <v>0</v>
      </c>
      <c r="Q151" s="1"/>
    </row>
    <row r="152" spans="2:17" ht="12.5">
      <c r="B152" s="7" t="str">
        <f t="shared" si="73"/>
        <v/>
      </c>
      <c r="C152" s="50">
        <f>IF(D93="","-",+C151+1)</f>
        <v>2065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74"/>
        <v>0</v>
      </c>
      <c r="G152" s="55">
        <f t="shared" si="66"/>
        <v>0</v>
      </c>
      <c r="H152" s="380">
        <f t="shared" si="67"/>
        <v>0</v>
      </c>
      <c r="I152" s="399">
        <f t="shared" si="68"/>
        <v>0</v>
      </c>
      <c r="J152" s="54">
        <f t="shared" si="69"/>
        <v>0</v>
      </c>
      <c r="K152" s="54"/>
      <c r="L152" s="129"/>
      <c r="M152" s="54">
        <f t="shared" si="70"/>
        <v>0</v>
      </c>
      <c r="N152" s="129"/>
      <c r="O152" s="54">
        <f t="shared" si="71"/>
        <v>0</v>
      </c>
      <c r="P152" s="54">
        <f t="shared" si="72"/>
        <v>0</v>
      </c>
      <c r="Q152" s="1"/>
    </row>
    <row r="153" spans="2:17" ht="12.5">
      <c r="B153" s="7" t="str">
        <f t="shared" si="73"/>
        <v/>
      </c>
      <c r="C153" s="50">
        <f>IF(D93="","-",+C152+1)</f>
        <v>2066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74"/>
        <v>0</v>
      </c>
      <c r="G153" s="55">
        <f t="shared" si="66"/>
        <v>0</v>
      </c>
      <c r="H153" s="380">
        <f t="shared" si="67"/>
        <v>0</v>
      </c>
      <c r="I153" s="399">
        <f t="shared" si="68"/>
        <v>0</v>
      </c>
      <c r="J153" s="54">
        <f t="shared" si="69"/>
        <v>0</v>
      </c>
      <c r="K153" s="54"/>
      <c r="L153" s="129"/>
      <c r="M153" s="54">
        <f t="shared" si="70"/>
        <v>0</v>
      </c>
      <c r="N153" s="129"/>
      <c r="O153" s="54">
        <f t="shared" si="71"/>
        <v>0</v>
      </c>
      <c r="P153" s="54">
        <f t="shared" si="72"/>
        <v>0</v>
      </c>
      <c r="Q153" s="1"/>
    </row>
    <row r="154" spans="2:17" ht="13" thickBot="1">
      <c r="B154" s="7" t="str">
        <f t="shared" si="73"/>
        <v/>
      </c>
      <c r="C154" s="59">
        <f>IF(D93="","-",+C153+1)</f>
        <v>2067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74"/>
        <v>0</v>
      </c>
      <c r="G154" s="60">
        <f t="shared" si="66"/>
        <v>0</v>
      </c>
      <c r="H154" s="382">
        <f t="shared" si="67"/>
        <v>0</v>
      </c>
      <c r="I154" s="400">
        <f t="shared" si="68"/>
        <v>0</v>
      </c>
      <c r="J154" s="64">
        <f t="shared" si="69"/>
        <v>0</v>
      </c>
      <c r="K154" s="54"/>
      <c r="L154" s="130"/>
      <c r="M154" s="64">
        <f t="shared" si="70"/>
        <v>0</v>
      </c>
      <c r="N154" s="130"/>
      <c r="O154" s="64">
        <f t="shared" si="71"/>
        <v>0</v>
      </c>
      <c r="P154" s="64">
        <f t="shared" si="72"/>
        <v>0</v>
      </c>
      <c r="Q154" s="1"/>
    </row>
    <row r="155" spans="2:17" ht="12.5">
      <c r="C155" s="12" t="s">
        <v>78</v>
      </c>
      <c r="D155" s="293"/>
      <c r="E155" s="293">
        <f>SUM(E99:E154)</f>
        <v>1881887.0000000014</v>
      </c>
      <c r="F155" s="293"/>
      <c r="G155" s="293"/>
      <c r="H155" s="293">
        <f>SUM(H99:H154)</f>
        <v>7022901.334567314</v>
      </c>
      <c r="I155" s="293">
        <f>SUM(I99:I154)</f>
        <v>7022901.334567314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 ht="12.5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 ht="12.5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99" priority="1" stopIfTrue="1" operator="equal">
      <formula>$I$10</formula>
    </cfRule>
  </conditionalFormatting>
  <conditionalFormatting sqref="C99:C154">
    <cfRule type="cellIs" dxfId="9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81"/>
  <dimension ref="A1:Q162"/>
  <sheetViews>
    <sheetView topLeftCell="A80" zoomScaleNormal="100" zoomScaleSheetLayoutView="75" workbookViewId="0">
      <selection activeCell="D29" sqref="D29:H29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30 of 77</v>
      </c>
      <c r="Q1" s="13"/>
    </row>
    <row r="2" spans="1:17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5173447.5605440196</v>
      </c>
      <c r="P5" s="1"/>
    </row>
    <row r="6" spans="1:17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5173447.5605440196</v>
      </c>
      <c r="O6" s="1"/>
      <c r="P6" s="1"/>
    </row>
    <row r="7" spans="1:17" ht="13.5" thickBot="1">
      <c r="C7" s="25" t="s">
        <v>48</v>
      </c>
      <c r="D7" s="127" t="s">
        <v>284</v>
      </c>
      <c r="E7" s="1"/>
      <c r="F7" s="1"/>
      <c r="G7" s="29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104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424" t="s">
        <v>248</v>
      </c>
      <c r="E9" s="31" t="s">
        <v>494</v>
      </c>
      <c r="F9" s="31" t="s">
        <v>508</v>
      </c>
      <c r="G9" s="31"/>
      <c r="H9" s="31"/>
      <c r="I9" s="32"/>
      <c r="J9" s="33"/>
      <c r="P9" s="1"/>
    </row>
    <row r="10" spans="1:17" ht="13">
      <c r="C10" s="34" t="s">
        <v>51</v>
      </c>
      <c r="D10" s="363">
        <v>47660028.540000007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7" ht="12.5">
      <c r="C11" s="34" t="s">
        <v>54</v>
      </c>
      <c r="D11" s="37">
        <v>2012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3">
        <v>8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1083182.466818182</v>
      </c>
      <c r="J14" s="293"/>
      <c r="K14" s="293"/>
      <c r="L14" s="293"/>
      <c r="M14" s="293"/>
      <c r="N14" s="293"/>
      <c r="O14" s="1"/>
      <c r="P14" s="1"/>
    </row>
    <row r="15" spans="1:17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2012</v>
      </c>
      <c r="D17" s="133">
        <v>47434000</v>
      </c>
      <c r="E17" s="374">
        <v>376460.31746031746</v>
      </c>
      <c r="F17" s="133">
        <v>47057539.682539679</v>
      </c>
      <c r="G17" s="374">
        <v>7374864.2102739988</v>
      </c>
      <c r="H17" s="375">
        <v>7374864.2102739988</v>
      </c>
      <c r="I17" s="423">
        <v>0</v>
      </c>
      <c r="J17" s="52"/>
      <c r="K17" s="112">
        <f t="shared" ref="K17:K22" si="0">G17</f>
        <v>7374864.2102739988</v>
      </c>
      <c r="L17" s="53">
        <f t="shared" ref="L17:L48" si="1">IF(K17&lt;&gt;0,+G17-K17,0)</f>
        <v>0</v>
      </c>
      <c r="M17" s="112">
        <f t="shared" ref="M17:M22" si="2">H17</f>
        <v>7374864.2102739988</v>
      </c>
      <c r="N17" s="53">
        <f t="shared" ref="N17:N48" si="3">IF(M17&lt;&gt;0,+H17-M17,0)</f>
        <v>0</v>
      </c>
      <c r="O17" s="54">
        <f t="shared" ref="O17:O48" si="4">+N17-L17</f>
        <v>0</v>
      </c>
      <c r="P17" s="1"/>
    </row>
    <row r="18" spans="2:16" ht="12.5">
      <c r="B18" s="7" t="str">
        <f t="shared" ref="B18:B49" si="5">IF(D18=F17,"","IU")</f>
        <v>IU</v>
      </c>
      <c r="C18" s="50">
        <f>IF(D11="","-",+C17+1)</f>
        <v>2013</v>
      </c>
      <c r="D18" s="151">
        <v>46796111.682539679</v>
      </c>
      <c r="E18" s="420">
        <v>1123156.4761904762</v>
      </c>
      <c r="F18" s="151">
        <v>45672955.206349202</v>
      </c>
      <c r="G18" s="420">
        <v>7516780.2053061184</v>
      </c>
      <c r="H18" s="421">
        <v>7516780.2053061184</v>
      </c>
      <c r="I18" s="423">
        <v>0</v>
      </c>
      <c r="J18" s="52"/>
      <c r="K18" s="113">
        <f t="shared" si="0"/>
        <v>7516780.2053061184</v>
      </c>
      <c r="L18" s="54">
        <f t="shared" ref="L18:L23" si="6">IF(K18&lt;&gt;0,+G18-K18,0)</f>
        <v>0</v>
      </c>
      <c r="M18" s="113">
        <f t="shared" si="2"/>
        <v>7516780.2053061184</v>
      </c>
      <c r="N18" s="54">
        <f t="shared" ref="N18:N23" si="7">IF(M18&lt;&gt;0,+H18-M18,0)</f>
        <v>0</v>
      </c>
      <c r="O18" s="54">
        <f t="shared" ref="O18:O23" si="8">+N18-L18</f>
        <v>0</v>
      </c>
      <c r="P18" s="1"/>
    </row>
    <row r="19" spans="2:16" ht="12.5">
      <c r="B19" s="7" t="str">
        <f t="shared" si="5"/>
        <v>IU</v>
      </c>
      <c r="C19" s="50">
        <f>IF(D11="","-",+C18+1)</f>
        <v>2014</v>
      </c>
      <c r="D19" s="151">
        <v>45915504.206349209</v>
      </c>
      <c r="E19" s="420">
        <v>1128931.4523809524</v>
      </c>
      <c r="F19" s="151">
        <v>44786572.753968254</v>
      </c>
      <c r="G19" s="420">
        <v>7171110.7453941712</v>
      </c>
      <c r="H19" s="421">
        <v>7171110.7453941712</v>
      </c>
      <c r="I19" s="423">
        <v>0</v>
      </c>
      <c r="J19" s="52"/>
      <c r="K19" s="113">
        <f t="shared" si="0"/>
        <v>7171110.7453941712</v>
      </c>
      <c r="L19" s="54">
        <f t="shared" si="6"/>
        <v>0</v>
      </c>
      <c r="M19" s="113">
        <f t="shared" si="2"/>
        <v>7171110.7453941712</v>
      </c>
      <c r="N19" s="54">
        <f t="shared" si="7"/>
        <v>0</v>
      </c>
      <c r="O19" s="54">
        <f t="shared" si="8"/>
        <v>0</v>
      </c>
      <c r="P19" s="1"/>
    </row>
    <row r="20" spans="2:16" ht="12.5">
      <c r="B20" s="7" t="str">
        <f t="shared" si="5"/>
        <v>IU</v>
      </c>
      <c r="C20" s="50">
        <f>IF(D11="","-",+C19+1)</f>
        <v>2015</v>
      </c>
      <c r="D20" s="151">
        <v>45031351.753968254</v>
      </c>
      <c r="E20" s="420">
        <v>1134759.5238095238</v>
      </c>
      <c r="F20" s="151">
        <v>43896592.230158731</v>
      </c>
      <c r="G20" s="420">
        <v>6916151.4669681974</v>
      </c>
      <c r="H20" s="421">
        <v>6916151.4669681974</v>
      </c>
      <c r="I20" s="52">
        <v>0</v>
      </c>
      <c r="J20" s="52"/>
      <c r="K20" s="113">
        <f t="shared" si="0"/>
        <v>6916151.4669681974</v>
      </c>
      <c r="L20" s="54">
        <f t="shared" si="6"/>
        <v>0</v>
      </c>
      <c r="M20" s="113">
        <f t="shared" si="2"/>
        <v>6916151.4669681974</v>
      </c>
      <c r="N20" s="54">
        <f t="shared" si="7"/>
        <v>0</v>
      </c>
      <c r="O20" s="54">
        <f t="shared" si="8"/>
        <v>0</v>
      </c>
      <c r="P20" s="1"/>
    </row>
    <row r="21" spans="2:16" ht="12.5">
      <c r="B21" s="7" t="str">
        <f t="shared" si="5"/>
        <v/>
      </c>
      <c r="C21" s="50">
        <f>IF(D12="","-",+C20+1)</f>
        <v>2016</v>
      </c>
      <c r="D21" s="151">
        <v>43896592.230158731</v>
      </c>
      <c r="E21" s="420">
        <v>1134759.5238095238</v>
      </c>
      <c r="F21" s="151">
        <v>42761832.706349209</v>
      </c>
      <c r="G21" s="420">
        <v>6697217.6540145967</v>
      </c>
      <c r="H21" s="421">
        <v>6697217.6540145967</v>
      </c>
      <c r="I21" s="52">
        <f t="shared" ref="I21:I48" si="9">H21-G21</f>
        <v>0</v>
      </c>
      <c r="J21" s="52"/>
      <c r="K21" s="113">
        <f t="shared" si="0"/>
        <v>6697217.6540145967</v>
      </c>
      <c r="L21" s="54">
        <f t="shared" si="6"/>
        <v>0</v>
      </c>
      <c r="M21" s="113">
        <f t="shared" si="2"/>
        <v>6697217.6540145967</v>
      </c>
      <c r="N21" s="54">
        <f t="shared" si="7"/>
        <v>0</v>
      </c>
      <c r="O21" s="54">
        <f t="shared" si="8"/>
        <v>0</v>
      </c>
      <c r="P21" s="1"/>
    </row>
    <row r="22" spans="2:16" ht="12.5">
      <c r="B22" s="7" t="str">
        <f t="shared" si="5"/>
        <v>IU</v>
      </c>
      <c r="C22" s="50">
        <f>IF(D11="","-",+C21+1)</f>
        <v>2017</v>
      </c>
      <c r="D22" s="151">
        <v>42761961.706349209</v>
      </c>
      <c r="E22" s="420">
        <v>1108372.7674418604</v>
      </c>
      <c r="F22" s="151">
        <v>41653588.938907348</v>
      </c>
      <c r="G22" s="420">
        <v>6337600.9904746711</v>
      </c>
      <c r="H22" s="421">
        <v>6337600.9904746711</v>
      </c>
      <c r="I22" s="52">
        <f t="shared" si="9"/>
        <v>0</v>
      </c>
      <c r="J22" s="52"/>
      <c r="K22" s="113">
        <f t="shared" si="0"/>
        <v>6337600.9904746711</v>
      </c>
      <c r="L22" s="54">
        <f t="shared" si="6"/>
        <v>0</v>
      </c>
      <c r="M22" s="113">
        <f t="shared" si="2"/>
        <v>6337600.9904746711</v>
      </c>
      <c r="N22" s="54">
        <f t="shared" si="7"/>
        <v>0</v>
      </c>
      <c r="O22" s="54">
        <f t="shared" si="8"/>
        <v>0</v>
      </c>
      <c r="P22" s="1"/>
    </row>
    <row r="23" spans="2:16" ht="12.5">
      <c r="B23" s="7" t="str">
        <f t="shared" si="5"/>
        <v/>
      </c>
      <c r="C23" s="50">
        <f>IF(D11="","-",+C22+1)</f>
        <v>2018</v>
      </c>
      <c r="D23" s="151">
        <v>41653588.938907348</v>
      </c>
      <c r="E23" s="420">
        <v>1162439.7317073171</v>
      </c>
      <c r="F23" s="151">
        <v>40491149.207200028</v>
      </c>
      <c r="G23" s="420">
        <v>6382495.4698959831</v>
      </c>
      <c r="H23" s="421">
        <v>6382495.4698959831</v>
      </c>
      <c r="I23" s="52">
        <f t="shared" si="9"/>
        <v>0</v>
      </c>
      <c r="J23" s="52"/>
      <c r="K23" s="113">
        <f t="shared" ref="K23:K28" si="10">G23</f>
        <v>6382495.4698959831</v>
      </c>
      <c r="L23" s="54">
        <f t="shared" si="6"/>
        <v>0</v>
      </c>
      <c r="M23" s="113">
        <f t="shared" ref="M23:M28" si="11">H23</f>
        <v>6382495.4698959831</v>
      </c>
      <c r="N23" s="54">
        <f t="shared" si="7"/>
        <v>0</v>
      </c>
      <c r="O23" s="54">
        <f t="shared" si="8"/>
        <v>0</v>
      </c>
      <c r="P23" s="1"/>
    </row>
    <row r="24" spans="2:16" ht="12.5">
      <c r="B24" s="7" t="str">
        <f t="shared" si="5"/>
        <v/>
      </c>
      <c r="C24" s="50">
        <f>IF(D11="","-",+C23+1)</f>
        <v>2019</v>
      </c>
      <c r="D24" s="151">
        <v>40491149.207200028</v>
      </c>
      <c r="E24" s="420">
        <v>1162439.7317073171</v>
      </c>
      <c r="F24" s="151">
        <v>39328709.475492708</v>
      </c>
      <c r="G24" s="420">
        <v>6234756.239636234</v>
      </c>
      <c r="H24" s="421">
        <v>6234756.239636234</v>
      </c>
      <c r="I24" s="52">
        <f t="shared" si="9"/>
        <v>0</v>
      </c>
      <c r="J24" s="52"/>
      <c r="K24" s="113">
        <f t="shared" si="10"/>
        <v>6234756.239636234</v>
      </c>
      <c r="L24" s="54">
        <f t="shared" ref="L24" si="12">IF(K24&lt;&gt;0,+G24-K24,0)</f>
        <v>0</v>
      </c>
      <c r="M24" s="113">
        <f t="shared" si="11"/>
        <v>6234756.239636234</v>
      </c>
      <c r="N24" s="54">
        <f t="shared" si="3"/>
        <v>0</v>
      </c>
      <c r="O24" s="54">
        <f t="shared" si="4"/>
        <v>0</v>
      </c>
      <c r="P24" s="1"/>
    </row>
    <row r="25" spans="2:16" ht="12.5">
      <c r="B25" s="7" t="str">
        <f t="shared" si="5"/>
        <v/>
      </c>
      <c r="C25" s="50">
        <f>IF(D11="","-",+C24+1)</f>
        <v>2020</v>
      </c>
      <c r="D25" s="151">
        <v>39328709.475492708</v>
      </c>
      <c r="E25" s="420">
        <v>1162439.7317073171</v>
      </c>
      <c r="F25" s="151">
        <v>38166269.743785389</v>
      </c>
      <c r="G25" s="420">
        <v>5127681.7221303442</v>
      </c>
      <c r="H25" s="421">
        <v>5127681.7221303442</v>
      </c>
      <c r="I25" s="52">
        <f t="shared" si="9"/>
        <v>0</v>
      </c>
      <c r="J25" s="52"/>
      <c r="K25" s="113">
        <f t="shared" si="10"/>
        <v>5127681.7221303442</v>
      </c>
      <c r="L25" s="54">
        <f t="shared" ref="L25" si="13">IF(K25&lt;&gt;0,+G25-K25,0)</f>
        <v>0</v>
      </c>
      <c r="M25" s="113">
        <f t="shared" si="11"/>
        <v>5127681.7221303442</v>
      </c>
      <c r="N25" s="54">
        <f t="shared" si="3"/>
        <v>0</v>
      </c>
      <c r="O25" s="54">
        <f t="shared" si="4"/>
        <v>0</v>
      </c>
      <c r="P25" s="1"/>
    </row>
    <row r="26" spans="2:16" ht="12.5">
      <c r="B26" s="7" t="str">
        <f t="shared" si="5"/>
        <v>IU</v>
      </c>
      <c r="C26" s="50">
        <f>IF(D11="","-",+C25+1)</f>
        <v>2021</v>
      </c>
      <c r="D26" s="151">
        <v>38220336.708050847</v>
      </c>
      <c r="E26" s="420">
        <v>1134762.5952380951</v>
      </c>
      <c r="F26" s="151">
        <v>37085574.11281275</v>
      </c>
      <c r="G26" s="420">
        <v>5126147.0030310545</v>
      </c>
      <c r="H26" s="421">
        <v>5126147.0030310545</v>
      </c>
      <c r="I26" s="52">
        <f t="shared" si="9"/>
        <v>0</v>
      </c>
      <c r="J26" s="52"/>
      <c r="K26" s="113">
        <f t="shared" si="10"/>
        <v>5126147.0030310545</v>
      </c>
      <c r="L26" s="54">
        <f t="shared" ref="L26" si="14">IF(K26&lt;&gt;0,+G26-K26,0)</f>
        <v>0</v>
      </c>
      <c r="M26" s="113">
        <f t="shared" si="11"/>
        <v>5126147.0030310545</v>
      </c>
      <c r="N26" s="54">
        <f t="shared" si="3"/>
        <v>0</v>
      </c>
      <c r="O26" s="54">
        <f t="shared" si="4"/>
        <v>0</v>
      </c>
      <c r="P26" s="1"/>
    </row>
    <row r="27" spans="2:16" ht="12.5">
      <c r="B27" s="7" t="str">
        <f t="shared" si="5"/>
        <v>IU</v>
      </c>
      <c r="C27" s="50">
        <f>IF(D11="","-",+C26+1)</f>
        <v>2022</v>
      </c>
      <c r="D27" s="151">
        <v>37031507.148547299</v>
      </c>
      <c r="E27" s="420">
        <v>1134762.5952380951</v>
      </c>
      <c r="F27" s="151">
        <v>35896744.553309202</v>
      </c>
      <c r="G27" s="420">
        <v>5234938.295176344</v>
      </c>
      <c r="H27" s="421">
        <v>5234938.295176344</v>
      </c>
      <c r="I27" s="52">
        <f t="shared" si="9"/>
        <v>0</v>
      </c>
      <c r="J27" s="52"/>
      <c r="K27" s="113">
        <f t="shared" si="10"/>
        <v>5234938.295176344</v>
      </c>
      <c r="L27" s="54">
        <f t="shared" ref="L27" si="15">IF(K27&lt;&gt;0,+G27-K27,0)</f>
        <v>0</v>
      </c>
      <c r="M27" s="113">
        <f t="shared" si="11"/>
        <v>5234938.295176344</v>
      </c>
      <c r="N27" s="54">
        <f t="shared" si="3"/>
        <v>0</v>
      </c>
      <c r="O27" s="54">
        <f t="shared" si="4"/>
        <v>0</v>
      </c>
      <c r="P27" s="1"/>
    </row>
    <row r="28" spans="2:16" ht="12.5">
      <c r="B28" s="7" t="str">
        <f t="shared" si="5"/>
        <v>IU</v>
      </c>
      <c r="C28" s="50">
        <f>IF(D11="","-",+C27+1)</f>
        <v>2023</v>
      </c>
      <c r="D28" s="151">
        <v>35896744.093309209</v>
      </c>
      <c r="E28" s="420">
        <v>1134762.5842857144</v>
      </c>
      <c r="F28" s="151">
        <v>34761981.509023495</v>
      </c>
      <c r="G28" s="420">
        <v>5597807.5083239786</v>
      </c>
      <c r="H28" s="421">
        <v>5597807.5083239786</v>
      </c>
      <c r="I28" s="52">
        <f t="shared" si="9"/>
        <v>0</v>
      </c>
      <c r="J28" s="52"/>
      <c r="K28" s="113">
        <f t="shared" si="10"/>
        <v>5597807.5083239786</v>
      </c>
      <c r="L28" s="54">
        <f t="shared" ref="L28" si="16">IF(K28&lt;&gt;0,+G28-K28,0)</f>
        <v>0</v>
      </c>
      <c r="M28" s="113">
        <f t="shared" si="11"/>
        <v>5597807.5083239786</v>
      </c>
      <c r="N28" s="54">
        <f t="shared" si="3"/>
        <v>0</v>
      </c>
      <c r="O28" s="54">
        <f t="shared" si="4"/>
        <v>0</v>
      </c>
      <c r="P28" s="1"/>
    </row>
    <row r="29" spans="2:16" ht="12.5">
      <c r="B29" s="7" t="str">
        <f t="shared" si="5"/>
        <v/>
      </c>
      <c r="C29" s="50">
        <f>IF(D11="","-",+C28+1)</f>
        <v>2024</v>
      </c>
      <c r="D29" s="151">
        <v>34761981.509023495</v>
      </c>
      <c r="E29" s="420">
        <v>1083182.466818182</v>
      </c>
      <c r="F29" s="151">
        <v>33678799.042205311</v>
      </c>
      <c r="G29" s="420">
        <v>5173447.5605440196</v>
      </c>
      <c r="H29" s="421">
        <v>5173447.5605440196</v>
      </c>
      <c r="I29" s="52">
        <f t="shared" si="9"/>
        <v>0</v>
      </c>
      <c r="J29" s="52"/>
      <c r="K29" s="113">
        <f t="shared" ref="K29" si="17">G29</f>
        <v>5173447.5605440196</v>
      </c>
      <c r="L29" s="54">
        <f t="shared" ref="L29" si="18">IF(K29&lt;&gt;0,+G29-K29,0)</f>
        <v>0</v>
      </c>
      <c r="M29" s="113">
        <f t="shared" ref="M29" si="19">H29</f>
        <v>5173447.5605440196</v>
      </c>
      <c r="N29" s="54">
        <f t="shared" ref="N29" si="20">IF(M29&lt;&gt;0,+H29-M29,0)</f>
        <v>0</v>
      </c>
      <c r="O29" s="54">
        <f t="shared" ref="O29" si="21">+N29-L29</f>
        <v>0</v>
      </c>
      <c r="P29" s="1"/>
    </row>
    <row r="30" spans="2:16" ht="12.5">
      <c r="B30" s="7" t="str">
        <f t="shared" si="5"/>
        <v/>
      </c>
      <c r="C30" s="50">
        <f>IF(D11="","-",+C29+1)</f>
        <v>2025</v>
      </c>
      <c r="D30" s="55">
        <f>IF(F29+SUM(E$17:E29)=D$10,F29,D$10-SUM(E$17:E29))</f>
        <v>33678799.042205311</v>
      </c>
      <c r="E30" s="378">
        <f>IF(+I14&lt;F29,I14,D30)</f>
        <v>1083182.466818182</v>
      </c>
      <c r="F30" s="55">
        <f t="shared" ref="F30:F48" si="22">+D30-E30</f>
        <v>32595616.575387128</v>
      </c>
      <c r="G30" s="379">
        <f t="shared" ref="G30:G53" si="23">+I$12*((D30+F30)/2)+E30</f>
        <v>5043977.8672272991</v>
      </c>
      <c r="H30" s="364">
        <f t="shared" ref="H30:H53" si="24">+I$13*((D30+F30)/2)+E30</f>
        <v>5043977.8672272991</v>
      </c>
      <c r="I30" s="52">
        <f t="shared" si="9"/>
        <v>0</v>
      </c>
      <c r="J30" s="52"/>
      <c r="K30" s="129"/>
      <c r="L30" s="54">
        <f t="shared" si="1"/>
        <v>0</v>
      </c>
      <c r="M30" s="129"/>
      <c r="N30" s="54">
        <f t="shared" si="3"/>
        <v>0</v>
      </c>
      <c r="O30" s="54">
        <f t="shared" si="4"/>
        <v>0</v>
      </c>
      <c r="P30" s="1"/>
    </row>
    <row r="31" spans="2:16" ht="12.5">
      <c r="B31" s="7" t="str">
        <f t="shared" si="5"/>
        <v/>
      </c>
      <c r="C31" s="50">
        <f>IF(D11="","-",+C30+1)</f>
        <v>2026</v>
      </c>
      <c r="D31" s="55">
        <f>IF(F30+SUM(E$17:E30)=D$10,F30,D$10-SUM(E$17:E30))</f>
        <v>32595616.575387128</v>
      </c>
      <c r="E31" s="378">
        <f>IF(+I14&lt;F30,I14,D31)</f>
        <v>1083182.466818182</v>
      </c>
      <c r="F31" s="55">
        <f t="shared" si="22"/>
        <v>31512434.108568944</v>
      </c>
      <c r="G31" s="379">
        <f t="shared" si="23"/>
        <v>4914508.1739105796</v>
      </c>
      <c r="H31" s="364">
        <f t="shared" si="24"/>
        <v>4914508.1739105796</v>
      </c>
      <c r="I31" s="52">
        <f t="shared" si="9"/>
        <v>0</v>
      </c>
      <c r="J31" s="52"/>
      <c r="K31" s="129"/>
      <c r="L31" s="54">
        <f t="shared" si="1"/>
        <v>0</v>
      </c>
      <c r="M31" s="129"/>
      <c r="N31" s="54">
        <f t="shared" si="3"/>
        <v>0</v>
      </c>
      <c r="O31" s="54">
        <f t="shared" si="4"/>
        <v>0</v>
      </c>
      <c r="P31" s="1"/>
    </row>
    <row r="32" spans="2:16" ht="12.5">
      <c r="B32" s="7" t="str">
        <f t="shared" si="5"/>
        <v/>
      </c>
      <c r="C32" s="50">
        <f>IF(D11="","-",+C31+1)</f>
        <v>2027</v>
      </c>
      <c r="D32" s="55">
        <f>IF(F31+SUM(E$17:E31)=D$10,F31,D$10-SUM(E$17:E31))</f>
        <v>31512434.108568944</v>
      </c>
      <c r="E32" s="378">
        <f>IF(+I14&lt;F31,I14,D32)</f>
        <v>1083182.466818182</v>
      </c>
      <c r="F32" s="55">
        <f t="shared" si="22"/>
        <v>30429251.64175076</v>
      </c>
      <c r="G32" s="379">
        <f t="shared" si="23"/>
        <v>4785038.4805938592</v>
      </c>
      <c r="H32" s="364">
        <f t="shared" si="24"/>
        <v>4785038.4805938592</v>
      </c>
      <c r="I32" s="52">
        <f t="shared" si="9"/>
        <v>0</v>
      </c>
      <c r="J32" s="52"/>
      <c r="K32" s="129"/>
      <c r="L32" s="54">
        <f t="shared" si="1"/>
        <v>0</v>
      </c>
      <c r="M32" s="129"/>
      <c r="N32" s="54">
        <f t="shared" si="3"/>
        <v>0</v>
      </c>
      <c r="O32" s="54">
        <f t="shared" si="4"/>
        <v>0</v>
      </c>
      <c r="P32" s="1"/>
    </row>
    <row r="33" spans="2:16" ht="12.5">
      <c r="B33" s="7" t="str">
        <f t="shared" si="5"/>
        <v/>
      </c>
      <c r="C33" s="50">
        <f>IF(D11="","-",+C32+1)</f>
        <v>2028</v>
      </c>
      <c r="D33" s="55">
        <f>IF(F32+SUM(E$17:E32)=D$10,F32,D$10-SUM(E$17:E32))</f>
        <v>30429251.64175076</v>
      </c>
      <c r="E33" s="378">
        <f>IF(+I14&lt;F32,I14,D33)</f>
        <v>1083182.466818182</v>
      </c>
      <c r="F33" s="55">
        <f t="shared" si="22"/>
        <v>29346069.174932577</v>
      </c>
      <c r="G33" s="379">
        <f t="shared" si="23"/>
        <v>4655568.7872771397</v>
      </c>
      <c r="H33" s="364">
        <f t="shared" si="24"/>
        <v>4655568.7872771397</v>
      </c>
      <c r="I33" s="52">
        <f t="shared" si="9"/>
        <v>0</v>
      </c>
      <c r="J33" s="52"/>
      <c r="K33" s="129"/>
      <c r="L33" s="54">
        <f t="shared" si="1"/>
        <v>0</v>
      </c>
      <c r="M33" s="129"/>
      <c r="N33" s="54">
        <f t="shared" si="3"/>
        <v>0</v>
      </c>
      <c r="O33" s="54">
        <f t="shared" si="4"/>
        <v>0</v>
      </c>
      <c r="P33" s="1"/>
    </row>
    <row r="34" spans="2:16" ht="12.5">
      <c r="B34" s="7" t="str">
        <f t="shared" si="5"/>
        <v/>
      </c>
      <c r="C34" s="50">
        <f>IF(D11="","-",+C33+1)</f>
        <v>2029</v>
      </c>
      <c r="D34" s="55">
        <f>IF(F33+SUM(E$17:E33)=D$10,F33,D$10-SUM(E$17:E33))</f>
        <v>29346069.174932577</v>
      </c>
      <c r="E34" s="378">
        <f>IF(+I14&lt;F33,I14,D34)</f>
        <v>1083182.466818182</v>
      </c>
      <c r="F34" s="55">
        <f t="shared" si="22"/>
        <v>28262886.708114393</v>
      </c>
      <c r="G34" s="379">
        <f t="shared" si="23"/>
        <v>4526099.0939604193</v>
      </c>
      <c r="H34" s="364">
        <f t="shared" si="24"/>
        <v>4526099.0939604193</v>
      </c>
      <c r="I34" s="52">
        <f t="shared" si="9"/>
        <v>0</v>
      </c>
      <c r="J34" s="52"/>
      <c r="K34" s="129"/>
      <c r="L34" s="54">
        <f t="shared" si="1"/>
        <v>0</v>
      </c>
      <c r="M34" s="129"/>
      <c r="N34" s="54">
        <f t="shared" si="3"/>
        <v>0</v>
      </c>
      <c r="O34" s="54">
        <f t="shared" si="4"/>
        <v>0</v>
      </c>
      <c r="P34" s="1"/>
    </row>
    <row r="35" spans="2:16" ht="12.5">
      <c r="B35" s="7" t="str">
        <f t="shared" si="5"/>
        <v/>
      </c>
      <c r="C35" s="50">
        <f>IF(D11="","-",+C34+1)</f>
        <v>2030</v>
      </c>
      <c r="D35" s="55">
        <f>IF(F34+SUM(E$17:E34)=D$10,F34,D$10-SUM(E$17:E34))</f>
        <v>28262886.708114393</v>
      </c>
      <c r="E35" s="378">
        <f>IF(+I14&lt;F34,I14,D35)</f>
        <v>1083182.466818182</v>
      </c>
      <c r="F35" s="55">
        <f t="shared" si="22"/>
        <v>27179704.241296209</v>
      </c>
      <c r="G35" s="379">
        <f t="shared" si="23"/>
        <v>4396629.4006436998</v>
      </c>
      <c r="H35" s="364">
        <f t="shared" si="24"/>
        <v>4396629.4006436998</v>
      </c>
      <c r="I35" s="52">
        <f t="shared" si="9"/>
        <v>0</v>
      </c>
      <c r="J35" s="52"/>
      <c r="K35" s="129"/>
      <c r="L35" s="54">
        <f t="shared" si="1"/>
        <v>0</v>
      </c>
      <c r="M35" s="129"/>
      <c r="N35" s="54">
        <f t="shared" si="3"/>
        <v>0</v>
      </c>
      <c r="O35" s="54">
        <f t="shared" si="4"/>
        <v>0</v>
      </c>
      <c r="P35" s="1"/>
    </row>
    <row r="36" spans="2:16" ht="12.5">
      <c r="B36" s="7" t="str">
        <f t="shared" si="5"/>
        <v/>
      </c>
      <c r="C36" s="50">
        <f>IF(D11="","-",+C35+1)</f>
        <v>2031</v>
      </c>
      <c r="D36" s="55">
        <f>IF(F35+SUM(E$17:E35)=D$10,F35,D$10-SUM(E$17:E35))</f>
        <v>27179704.241296209</v>
      </c>
      <c r="E36" s="378">
        <f>IF(+I14&lt;F35,I14,D36)</f>
        <v>1083182.466818182</v>
      </c>
      <c r="F36" s="55">
        <f t="shared" si="22"/>
        <v>26096521.774478026</v>
      </c>
      <c r="G36" s="379">
        <f t="shared" si="23"/>
        <v>4267159.7073269794</v>
      </c>
      <c r="H36" s="364">
        <f t="shared" si="24"/>
        <v>4267159.7073269794</v>
      </c>
      <c r="I36" s="52">
        <f t="shared" si="9"/>
        <v>0</v>
      </c>
      <c r="J36" s="52"/>
      <c r="K36" s="129"/>
      <c r="L36" s="54">
        <f t="shared" si="1"/>
        <v>0</v>
      </c>
      <c r="M36" s="129"/>
      <c r="N36" s="54">
        <f t="shared" si="3"/>
        <v>0</v>
      </c>
      <c r="O36" s="54">
        <f t="shared" si="4"/>
        <v>0</v>
      </c>
      <c r="P36" s="1"/>
    </row>
    <row r="37" spans="2:16" ht="12.5">
      <c r="B37" s="7" t="str">
        <f t="shared" si="5"/>
        <v/>
      </c>
      <c r="C37" s="50">
        <f>IF(D11="","-",+C36+1)</f>
        <v>2032</v>
      </c>
      <c r="D37" s="55">
        <f>IF(F36+SUM(E$17:E36)=D$10,F36,D$10-SUM(E$17:E36))</f>
        <v>26096521.774478026</v>
      </c>
      <c r="E37" s="378">
        <f>IF(+I14&lt;F36,I14,D37)</f>
        <v>1083182.466818182</v>
      </c>
      <c r="F37" s="55">
        <f t="shared" si="22"/>
        <v>25013339.307659842</v>
      </c>
      <c r="G37" s="379">
        <f t="shared" si="23"/>
        <v>4137690.0140102599</v>
      </c>
      <c r="H37" s="364">
        <f t="shared" si="24"/>
        <v>4137690.0140102599</v>
      </c>
      <c r="I37" s="52">
        <f t="shared" si="9"/>
        <v>0</v>
      </c>
      <c r="J37" s="52"/>
      <c r="K37" s="129"/>
      <c r="L37" s="54">
        <f t="shared" si="1"/>
        <v>0</v>
      </c>
      <c r="M37" s="129"/>
      <c r="N37" s="54">
        <f t="shared" si="3"/>
        <v>0</v>
      </c>
      <c r="O37" s="54">
        <f t="shared" si="4"/>
        <v>0</v>
      </c>
      <c r="P37" s="1"/>
    </row>
    <row r="38" spans="2:16" ht="12.5">
      <c r="B38" s="7" t="str">
        <f t="shared" si="5"/>
        <v/>
      </c>
      <c r="C38" s="50">
        <f>IF(D11="","-",+C37+1)</f>
        <v>2033</v>
      </c>
      <c r="D38" s="55">
        <f>IF(F37+SUM(E$17:E37)=D$10,F37,D$10-SUM(E$17:E37))</f>
        <v>25013339.307659842</v>
      </c>
      <c r="E38" s="378">
        <f>IF(+I14&lt;F37,I14,D38)</f>
        <v>1083182.466818182</v>
      </c>
      <c r="F38" s="55">
        <f t="shared" si="22"/>
        <v>23930156.840841658</v>
      </c>
      <c r="G38" s="379">
        <f t="shared" si="23"/>
        <v>4008220.3206935395</v>
      </c>
      <c r="H38" s="364">
        <f t="shared" si="24"/>
        <v>4008220.3206935395</v>
      </c>
      <c r="I38" s="52">
        <f t="shared" si="9"/>
        <v>0</v>
      </c>
      <c r="J38" s="52"/>
      <c r="K38" s="129"/>
      <c r="L38" s="54">
        <f t="shared" si="1"/>
        <v>0</v>
      </c>
      <c r="M38" s="129"/>
      <c r="N38" s="54">
        <f t="shared" si="3"/>
        <v>0</v>
      </c>
      <c r="O38" s="54">
        <f t="shared" si="4"/>
        <v>0</v>
      </c>
      <c r="P38" s="1"/>
    </row>
    <row r="39" spans="2:16" ht="12.5">
      <c r="B39" s="7" t="str">
        <f t="shared" si="5"/>
        <v/>
      </c>
      <c r="C39" s="50">
        <f>IF(D11="","-",+C38+1)</f>
        <v>2034</v>
      </c>
      <c r="D39" s="55">
        <f>IF(F38+SUM(E$17:E38)=D$10,F38,D$10-SUM(E$17:E38))</f>
        <v>23930156.840841658</v>
      </c>
      <c r="E39" s="378">
        <f>IF(+I14&lt;F38,I14,D39)</f>
        <v>1083182.466818182</v>
      </c>
      <c r="F39" s="55">
        <f t="shared" si="22"/>
        <v>22846974.374023475</v>
      </c>
      <c r="G39" s="379">
        <f t="shared" si="23"/>
        <v>3878750.62737682</v>
      </c>
      <c r="H39" s="364">
        <f t="shared" si="24"/>
        <v>3878750.62737682</v>
      </c>
      <c r="I39" s="52">
        <f t="shared" si="9"/>
        <v>0</v>
      </c>
      <c r="J39" s="52"/>
      <c r="K39" s="129"/>
      <c r="L39" s="54">
        <f t="shared" si="1"/>
        <v>0</v>
      </c>
      <c r="M39" s="129"/>
      <c r="N39" s="54">
        <f t="shared" si="3"/>
        <v>0</v>
      </c>
      <c r="O39" s="54">
        <f t="shared" si="4"/>
        <v>0</v>
      </c>
      <c r="P39" s="1"/>
    </row>
    <row r="40" spans="2:16" ht="12.5">
      <c r="B40" s="7" t="str">
        <f t="shared" si="5"/>
        <v/>
      </c>
      <c r="C40" s="50">
        <f>IF(D11="","-",+C39+1)</f>
        <v>2035</v>
      </c>
      <c r="D40" s="55">
        <f>IF(F39+SUM(E$17:E39)=D$10,F39,D$10-SUM(E$17:E39))</f>
        <v>22846974.374023475</v>
      </c>
      <c r="E40" s="378">
        <f>IF(+I14&lt;F39,I14,D40)</f>
        <v>1083182.466818182</v>
      </c>
      <c r="F40" s="55">
        <f t="shared" si="22"/>
        <v>21763791.907205291</v>
      </c>
      <c r="G40" s="379">
        <f t="shared" si="23"/>
        <v>3749280.9340600995</v>
      </c>
      <c r="H40" s="364">
        <f t="shared" si="24"/>
        <v>3749280.9340600995</v>
      </c>
      <c r="I40" s="52">
        <f t="shared" si="9"/>
        <v>0</v>
      </c>
      <c r="J40" s="52"/>
      <c r="K40" s="129"/>
      <c r="L40" s="54">
        <f t="shared" si="1"/>
        <v>0</v>
      </c>
      <c r="M40" s="129"/>
      <c r="N40" s="54">
        <f t="shared" si="3"/>
        <v>0</v>
      </c>
      <c r="O40" s="54">
        <f t="shared" si="4"/>
        <v>0</v>
      </c>
      <c r="P40" s="1"/>
    </row>
    <row r="41" spans="2:16" ht="12.5">
      <c r="B41" s="7" t="str">
        <f t="shared" si="5"/>
        <v/>
      </c>
      <c r="C41" s="50">
        <f>IF(D11="","-",+C40+1)</f>
        <v>2036</v>
      </c>
      <c r="D41" s="55">
        <f>IF(F40+SUM(E$17:E40)=D$10,F40,D$10-SUM(E$17:E40))</f>
        <v>21763791.907205291</v>
      </c>
      <c r="E41" s="378">
        <f>IF(+I14&lt;F40,I14,D41)</f>
        <v>1083182.466818182</v>
      </c>
      <c r="F41" s="55">
        <f t="shared" si="22"/>
        <v>20680609.440387107</v>
      </c>
      <c r="G41" s="379">
        <f t="shared" si="23"/>
        <v>3619811.24074338</v>
      </c>
      <c r="H41" s="364">
        <f t="shared" si="24"/>
        <v>3619811.24074338</v>
      </c>
      <c r="I41" s="52">
        <f t="shared" si="9"/>
        <v>0</v>
      </c>
      <c r="J41" s="52"/>
      <c r="K41" s="129"/>
      <c r="L41" s="54">
        <f t="shared" si="1"/>
        <v>0</v>
      </c>
      <c r="M41" s="129"/>
      <c r="N41" s="54">
        <f t="shared" si="3"/>
        <v>0</v>
      </c>
      <c r="O41" s="54">
        <f t="shared" si="4"/>
        <v>0</v>
      </c>
      <c r="P41" s="1"/>
    </row>
    <row r="42" spans="2:16" ht="12.5">
      <c r="B42" s="7" t="str">
        <f t="shared" si="5"/>
        <v/>
      </c>
      <c r="C42" s="50">
        <f>IF(D11="","-",+C41+1)</f>
        <v>2037</v>
      </c>
      <c r="D42" s="55">
        <f>IF(F41+SUM(E$17:E41)=D$10,F41,D$10-SUM(E$17:E41))</f>
        <v>20680609.440387107</v>
      </c>
      <c r="E42" s="378">
        <f>IF(+I14&lt;F41,I14,D42)</f>
        <v>1083182.466818182</v>
      </c>
      <c r="F42" s="55">
        <f t="shared" si="22"/>
        <v>19597426.973568924</v>
      </c>
      <c r="G42" s="379">
        <f t="shared" si="23"/>
        <v>3490341.5474266605</v>
      </c>
      <c r="H42" s="364">
        <f t="shared" si="24"/>
        <v>3490341.5474266605</v>
      </c>
      <c r="I42" s="52">
        <f t="shared" si="9"/>
        <v>0</v>
      </c>
      <c r="J42" s="52"/>
      <c r="K42" s="129"/>
      <c r="L42" s="54">
        <f t="shared" si="1"/>
        <v>0</v>
      </c>
      <c r="M42" s="129"/>
      <c r="N42" s="54">
        <f t="shared" si="3"/>
        <v>0</v>
      </c>
      <c r="O42" s="54">
        <f t="shared" si="4"/>
        <v>0</v>
      </c>
      <c r="P42" s="1"/>
    </row>
    <row r="43" spans="2:16" ht="12.5">
      <c r="B43" s="7" t="str">
        <f t="shared" si="5"/>
        <v/>
      </c>
      <c r="C43" s="50">
        <f>IF(D11="","-",+C42+1)</f>
        <v>2038</v>
      </c>
      <c r="D43" s="55">
        <f>IF(F42+SUM(E$17:E42)=D$10,F42,D$10-SUM(E$17:E42))</f>
        <v>19597426.973568924</v>
      </c>
      <c r="E43" s="378">
        <f>IF(+I14&lt;F42,I14,D43)</f>
        <v>1083182.466818182</v>
      </c>
      <c r="F43" s="55">
        <f t="shared" si="22"/>
        <v>18514244.50675074</v>
      </c>
      <c r="G43" s="379">
        <f t="shared" si="23"/>
        <v>3360871.8541099401</v>
      </c>
      <c r="H43" s="364">
        <f t="shared" si="24"/>
        <v>3360871.8541099401</v>
      </c>
      <c r="I43" s="52">
        <f t="shared" si="9"/>
        <v>0</v>
      </c>
      <c r="J43" s="52"/>
      <c r="K43" s="129"/>
      <c r="L43" s="54">
        <f t="shared" si="1"/>
        <v>0</v>
      </c>
      <c r="M43" s="129"/>
      <c r="N43" s="54">
        <f t="shared" si="3"/>
        <v>0</v>
      </c>
      <c r="O43" s="54">
        <f t="shared" si="4"/>
        <v>0</v>
      </c>
      <c r="P43" s="1"/>
    </row>
    <row r="44" spans="2:16" ht="12.5">
      <c r="B44" s="7" t="str">
        <f t="shared" si="5"/>
        <v/>
      </c>
      <c r="C44" s="50">
        <f>IF(D11="","-",+C43+1)</f>
        <v>2039</v>
      </c>
      <c r="D44" s="55">
        <f>IF(F43+SUM(E$17:E43)=D$10,F43,D$10-SUM(E$17:E43))</f>
        <v>18514244.50675074</v>
      </c>
      <c r="E44" s="378">
        <f>IF(+I14&lt;F43,I14,D44)</f>
        <v>1083182.466818182</v>
      </c>
      <c r="F44" s="55">
        <f t="shared" si="22"/>
        <v>17431062.039932556</v>
      </c>
      <c r="G44" s="379">
        <f t="shared" si="23"/>
        <v>3231402.1607932206</v>
      </c>
      <c r="H44" s="364">
        <f t="shared" si="24"/>
        <v>3231402.1607932206</v>
      </c>
      <c r="I44" s="52">
        <f t="shared" si="9"/>
        <v>0</v>
      </c>
      <c r="J44" s="52"/>
      <c r="K44" s="129"/>
      <c r="L44" s="54">
        <f t="shared" si="1"/>
        <v>0</v>
      </c>
      <c r="M44" s="129"/>
      <c r="N44" s="54">
        <f t="shared" si="3"/>
        <v>0</v>
      </c>
      <c r="O44" s="54">
        <f t="shared" si="4"/>
        <v>0</v>
      </c>
      <c r="P44" s="1"/>
    </row>
    <row r="45" spans="2:16" ht="12.5">
      <c r="B45" s="7" t="str">
        <f t="shared" si="5"/>
        <v/>
      </c>
      <c r="C45" s="50">
        <f>IF(D11="","-",+C44+1)</f>
        <v>2040</v>
      </c>
      <c r="D45" s="55">
        <f>IF(F44+SUM(E$17:E44)=D$10,F44,D$10-SUM(E$17:E44))</f>
        <v>17431062.039932556</v>
      </c>
      <c r="E45" s="378">
        <f>IF(+I14&lt;F44,I14,D45)</f>
        <v>1083182.466818182</v>
      </c>
      <c r="F45" s="55">
        <f t="shared" si="22"/>
        <v>16347879.573114375</v>
      </c>
      <c r="G45" s="379">
        <f t="shared" si="23"/>
        <v>3101932.4674765002</v>
      </c>
      <c r="H45" s="364">
        <f t="shared" si="24"/>
        <v>3101932.4674765002</v>
      </c>
      <c r="I45" s="52">
        <f t="shared" si="9"/>
        <v>0</v>
      </c>
      <c r="J45" s="52"/>
      <c r="K45" s="129"/>
      <c r="L45" s="54">
        <f t="shared" si="1"/>
        <v>0</v>
      </c>
      <c r="M45" s="129"/>
      <c r="N45" s="54">
        <f t="shared" si="3"/>
        <v>0</v>
      </c>
      <c r="O45" s="54">
        <f t="shared" si="4"/>
        <v>0</v>
      </c>
      <c r="P45" s="1"/>
    </row>
    <row r="46" spans="2:16" ht="12.5">
      <c r="B46" s="7" t="str">
        <f t="shared" si="5"/>
        <v/>
      </c>
      <c r="C46" s="50">
        <f>IF(D11="","-",+C45+1)</f>
        <v>2041</v>
      </c>
      <c r="D46" s="55">
        <f>IF(F45+SUM(E$17:E45)=D$10,F45,D$10-SUM(E$17:E45))</f>
        <v>16347879.573114375</v>
      </c>
      <c r="E46" s="378">
        <f>IF(+I14&lt;F45,I14,D46)</f>
        <v>1083182.466818182</v>
      </c>
      <c r="F46" s="55">
        <f t="shared" si="22"/>
        <v>15264697.106296193</v>
      </c>
      <c r="G46" s="379">
        <f t="shared" si="23"/>
        <v>2972462.7741597807</v>
      </c>
      <c r="H46" s="364">
        <f t="shared" si="24"/>
        <v>2972462.7741597807</v>
      </c>
      <c r="I46" s="52">
        <f t="shared" si="9"/>
        <v>0</v>
      </c>
      <c r="J46" s="52"/>
      <c r="K46" s="129"/>
      <c r="L46" s="54">
        <f t="shared" si="1"/>
        <v>0</v>
      </c>
      <c r="M46" s="129"/>
      <c r="N46" s="54">
        <f t="shared" si="3"/>
        <v>0</v>
      </c>
      <c r="O46" s="54">
        <f t="shared" si="4"/>
        <v>0</v>
      </c>
      <c r="P46" s="1"/>
    </row>
    <row r="47" spans="2:16" ht="12.5">
      <c r="B47" s="7" t="str">
        <f t="shared" si="5"/>
        <v/>
      </c>
      <c r="C47" s="50">
        <f>IF(D11="","-",+C46+1)</f>
        <v>2042</v>
      </c>
      <c r="D47" s="55">
        <f>IF(F46+SUM(E$17:E46)=D$10,F46,D$10-SUM(E$17:E46))</f>
        <v>15264697.106296193</v>
      </c>
      <c r="E47" s="378">
        <f>IF(+I14&lt;F46,I14,D47)</f>
        <v>1083182.466818182</v>
      </c>
      <c r="F47" s="55">
        <f t="shared" si="22"/>
        <v>14181514.639478011</v>
      </c>
      <c r="G47" s="379">
        <f t="shared" si="23"/>
        <v>2842993.0808430612</v>
      </c>
      <c r="H47" s="364">
        <f t="shared" si="24"/>
        <v>2842993.0808430612</v>
      </c>
      <c r="I47" s="52">
        <f t="shared" si="9"/>
        <v>0</v>
      </c>
      <c r="J47" s="52"/>
      <c r="K47" s="129"/>
      <c r="L47" s="54">
        <f t="shared" si="1"/>
        <v>0</v>
      </c>
      <c r="M47" s="129"/>
      <c r="N47" s="54">
        <f t="shared" si="3"/>
        <v>0</v>
      </c>
      <c r="O47" s="54">
        <f t="shared" si="4"/>
        <v>0</v>
      </c>
      <c r="P47" s="1"/>
    </row>
    <row r="48" spans="2:16" ht="12.5">
      <c r="B48" s="7" t="str">
        <f t="shared" si="5"/>
        <v/>
      </c>
      <c r="C48" s="50">
        <f>IF(D11="","-",+C47+1)</f>
        <v>2043</v>
      </c>
      <c r="D48" s="55">
        <f>IF(F47+SUM(E$17:E47)=D$10,F47,D$10-SUM(E$17:E47))</f>
        <v>14181514.639478011</v>
      </c>
      <c r="E48" s="378">
        <f>IF(+I14&lt;F47,I14,D48)</f>
        <v>1083182.466818182</v>
      </c>
      <c r="F48" s="55">
        <f t="shared" si="22"/>
        <v>13098332.172659829</v>
      </c>
      <c r="G48" s="379">
        <f t="shared" si="23"/>
        <v>2713523.3875263417</v>
      </c>
      <c r="H48" s="364">
        <f t="shared" si="24"/>
        <v>2713523.3875263417</v>
      </c>
      <c r="I48" s="52">
        <f t="shared" si="9"/>
        <v>0</v>
      </c>
      <c r="J48" s="52"/>
      <c r="K48" s="129"/>
      <c r="L48" s="54">
        <f t="shared" si="1"/>
        <v>0</v>
      </c>
      <c r="M48" s="129"/>
      <c r="N48" s="54">
        <f t="shared" si="3"/>
        <v>0</v>
      </c>
      <c r="O48" s="54">
        <f t="shared" si="4"/>
        <v>0</v>
      </c>
      <c r="P48" s="1"/>
    </row>
    <row r="49" spans="2:17" ht="12.5">
      <c r="B49" s="7" t="str">
        <f t="shared" si="5"/>
        <v/>
      </c>
      <c r="C49" s="50">
        <f>IF(D11="","-",+C48+1)</f>
        <v>2044</v>
      </c>
      <c r="D49" s="55">
        <f>IF(F48+SUM(E$17:E48)=D$10,F48,D$10-SUM(E$17:E48))</f>
        <v>13098332.172659829</v>
      </c>
      <c r="E49" s="378">
        <f>IF(+I14&lt;F48,I14,D49)</f>
        <v>1083182.466818182</v>
      </c>
      <c r="F49" s="55">
        <f t="shared" ref="F49:F72" si="25">+D49-E49</f>
        <v>12015149.705841647</v>
      </c>
      <c r="G49" s="379">
        <f t="shared" si="23"/>
        <v>2584053.6942096213</v>
      </c>
      <c r="H49" s="364">
        <f t="shared" si="24"/>
        <v>2584053.6942096213</v>
      </c>
      <c r="I49" s="52">
        <f t="shared" ref="I49:I72" si="26">H49-G49</f>
        <v>0</v>
      </c>
      <c r="J49" s="52"/>
      <c r="K49" s="129"/>
      <c r="L49" s="54">
        <f t="shared" ref="L49:L72" si="27">IF(K49&lt;&gt;0,+G49-K49,0)</f>
        <v>0</v>
      </c>
      <c r="M49" s="129"/>
      <c r="N49" s="54">
        <f t="shared" ref="N49:N72" si="28">IF(M49&lt;&gt;0,+H49-M49,0)</f>
        <v>0</v>
      </c>
      <c r="O49" s="54">
        <f t="shared" ref="O49:O72" si="29">+N49-L49</f>
        <v>0</v>
      </c>
      <c r="P49" s="1"/>
    </row>
    <row r="50" spans="2:17" ht="12.5">
      <c r="B50" s="7" t="str">
        <f t="shared" ref="B50:B72" si="30">IF(D50=F49,"","IU")</f>
        <v/>
      </c>
      <c r="C50" s="50">
        <f>IF(D11="","-",+C49+1)</f>
        <v>2045</v>
      </c>
      <c r="D50" s="55">
        <f>IF(F49+SUM(E$17:E49)=D$10,F49,D$10-SUM(E$17:E49))</f>
        <v>12015149.705841647</v>
      </c>
      <c r="E50" s="378">
        <f>IF(+I14&lt;F49,I14,D50)</f>
        <v>1083182.466818182</v>
      </c>
      <c r="F50" s="55">
        <f t="shared" si="25"/>
        <v>10931967.239023466</v>
      </c>
      <c r="G50" s="379">
        <f t="shared" si="23"/>
        <v>2454584.0008929023</v>
      </c>
      <c r="H50" s="364">
        <f t="shared" si="24"/>
        <v>2454584.0008929023</v>
      </c>
      <c r="I50" s="52">
        <f t="shared" si="26"/>
        <v>0</v>
      </c>
      <c r="J50" s="52"/>
      <c r="K50" s="129"/>
      <c r="L50" s="54">
        <f t="shared" si="27"/>
        <v>0</v>
      </c>
      <c r="M50" s="129"/>
      <c r="N50" s="54">
        <f t="shared" si="28"/>
        <v>0</v>
      </c>
      <c r="O50" s="54">
        <f t="shared" si="29"/>
        <v>0</v>
      </c>
      <c r="P50" s="1"/>
    </row>
    <row r="51" spans="2:17" ht="12.5">
      <c r="B51" s="7" t="str">
        <f t="shared" si="30"/>
        <v/>
      </c>
      <c r="C51" s="50">
        <f>IF(D11="","-",+C50+1)</f>
        <v>2046</v>
      </c>
      <c r="D51" s="55">
        <f>IF(F50+SUM(E$17:E50)=D$10,F50,D$10-SUM(E$17:E50))</f>
        <v>10931967.239023466</v>
      </c>
      <c r="E51" s="378">
        <f>IF(+I14&lt;F50,I14,D51)</f>
        <v>1083182.466818182</v>
      </c>
      <c r="F51" s="55">
        <f t="shared" si="25"/>
        <v>9848784.7722052839</v>
      </c>
      <c r="G51" s="379">
        <f t="shared" si="23"/>
        <v>2325114.3075761823</v>
      </c>
      <c r="H51" s="364">
        <f t="shared" si="24"/>
        <v>2325114.3075761823</v>
      </c>
      <c r="I51" s="52">
        <f t="shared" si="26"/>
        <v>0</v>
      </c>
      <c r="J51" s="52"/>
      <c r="K51" s="129"/>
      <c r="L51" s="54">
        <f t="shared" si="27"/>
        <v>0</v>
      </c>
      <c r="M51" s="129"/>
      <c r="N51" s="54">
        <f t="shared" si="28"/>
        <v>0</v>
      </c>
      <c r="O51" s="54">
        <f t="shared" si="29"/>
        <v>0</v>
      </c>
      <c r="P51" s="1"/>
    </row>
    <row r="52" spans="2:17" ht="12.5">
      <c r="B52" s="7" t="str">
        <f t="shared" si="30"/>
        <v/>
      </c>
      <c r="C52" s="50">
        <f>IF(D11="","-",+C51+1)</f>
        <v>2047</v>
      </c>
      <c r="D52" s="55">
        <f>IF(F51+SUM(E$17:E51)=D$10,F51,D$10-SUM(E$17:E51))</f>
        <v>9848784.7722052839</v>
      </c>
      <c r="E52" s="378">
        <f>IF(+I14&lt;F51,I14,D52)</f>
        <v>1083182.466818182</v>
      </c>
      <c r="F52" s="55">
        <f t="shared" si="25"/>
        <v>8765602.3053871021</v>
      </c>
      <c r="G52" s="379">
        <f t="shared" si="23"/>
        <v>2195644.6142594628</v>
      </c>
      <c r="H52" s="364">
        <f t="shared" si="24"/>
        <v>2195644.6142594628</v>
      </c>
      <c r="I52" s="52">
        <f t="shared" si="26"/>
        <v>0</v>
      </c>
      <c r="J52" s="52"/>
      <c r="K52" s="129"/>
      <c r="L52" s="54">
        <f t="shared" si="27"/>
        <v>0</v>
      </c>
      <c r="M52" s="129"/>
      <c r="N52" s="54">
        <f t="shared" si="28"/>
        <v>0</v>
      </c>
      <c r="O52" s="54">
        <f t="shared" si="29"/>
        <v>0</v>
      </c>
      <c r="P52" s="1"/>
    </row>
    <row r="53" spans="2:17" ht="12.5">
      <c r="B53" s="7" t="str">
        <f t="shared" si="30"/>
        <v/>
      </c>
      <c r="C53" s="50">
        <f>IF(D11="","-",+C52+1)</f>
        <v>2048</v>
      </c>
      <c r="D53" s="55">
        <f>IF(F52+SUM(E$17:E52)=D$10,F52,D$10-SUM(E$17:E52))</f>
        <v>8765602.3053871021</v>
      </c>
      <c r="E53" s="378">
        <f>IF(+I14&lt;F52,I14,D53)</f>
        <v>1083182.466818182</v>
      </c>
      <c r="F53" s="55">
        <f t="shared" si="25"/>
        <v>7682419.8385689203</v>
      </c>
      <c r="G53" s="379">
        <f t="shared" si="23"/>
        <v>2066174.9209427428</v>
      </c>
      <c r="H53" s="364">
        <f t="shared" si="24"/>
        <v>2066174.9209427428</v>
      </c>
      <c r="I53" s="52">
        <f t="shared" si="26"/>
        <v>0</v>
      </c>
      <c r="J53" s="52"/>
      <c r="K53" s="129"/>
      <c r="L53" s="54">
        <f t="shared" si="27"/>
        <v>0</v>
      </c>
      <c r="M53" s="129"/>
      <c r="N53" s="54">
        <f t="shared" si="28"/>
        <v>0</v>
      </c>
      <c r="O53" s="54">
        <f t="shared" si="29"/>
        <v>0</v>
      </c>
      <c r="P53" s="1"/>
    </row>
    <row r="54" spans="2:17" ht="12.5">
      <c r="B54" s="7" t="str">
        <f t="shared" si="30"/>
        <v/>
      </c>
      <c r="C54" s="50">
        <f>IF(D11="","-",+C53+1)</f>
        <v>2049</v>
      </c>
      <c r="D54" s="55">
        <f>IF(F53+SUM(E$17:E53)=D$10,F53,D$10-SUM(E$17:E53))</f>
        <v>7682419.8385689203</v>
      </c>
      <c r="E54" s="378">
        <f>IF(+I14&lt;F53,I14,D54)</f>
        <v>1083182.466818182</v>
      </c>
      <c r="F54" s="55">
        <f t="shared" si="25"/>
        <v>6599237.3717507385</v>
      </c>
      <c r="G54" s="379">
        <f t="shared" ref="G54:G72" si="31">+I$12*((D54+F54)/2)+E54</f>
        <v>1936705.2276260233</v>
      </c>
      <c r="H54" s="364">
        <f t="shared" ref="H54:H72" si="32">+I$13*((D54+F54)/2)+E54</f>
        <v>1936705.2276260233</v>
      </c>
      <c r="I54" s="52">
        <f t="shared" si="26"/>
        <v>0</v>
      </c>
      <c r="J54" s="52"/>
      <c r="K54" s="129"/>
      <c r="L54" s="54">
        <f t="shared" si="27"/>
        <v>0</v>
      </c>
      <c r="M54" s="129"/>
      <c r="N54" s="54">
        <f t="shared" si="28"/>
        <v>0</v>
      </c>
      <c r="O54" s="54">
        <f t="shared" si="29"/>
        <v>0</v>
      </c>
      <c r="P54" s="1"/>
    </row>
    <row r="55" spans="2:17" ht="12.5">
      <c r="B55" s="7" t="str">
        <f t="shared" si="30"/>
        <v/>
      </c>
      <c r="C55" s="50">
        <f>IF(D11="","-",+C54+1)</f>
        <v>2050</v>
      </c>
      <c r="D55" s="55">
        <f>IF(F54+SUM(E$17:E54)=D$10,F54,D$10-SUM(E$17:E54))</f>
        <v>6599237.3717507385</v>
      </c>
      <c r="E55" s="378">
        <f>IF(+I14&lt;F54,I14,D55)</f>
        <v>1083182.466818182</v>
      </c>
      <c r="F55" s="55">
        <f t="shared" si="25"/>
        <v>5516054.9049325567</v>
      </c>
      <c r="G55" s="379">
        <f t="shared" si="31"/>
        <v>1807235.5343093034</v>
      </c>
      <c r="H55" s="364">
        <f t="shared" si="32"/>
        <v>1807235.5343093034</v>
      </c>
      <c r="I55" s="52">
        <f t="shared" si="26"/>
        <v>0</v>
      </c>
      <c r="J55" s="52"/>
      <c r="K55" s="129"/>
      <c r="L55" s="54">
        <f t="shared" si="27"/>
        <v>0</v>
      </c>
      <c r="M55" s="129"/>
      <c r="N55" s="54">
        <f t="shared" si="28"/>
        <v>0</v>
      </c>
      <c r="O55" s="54">
        <f t="shared" si="29"/>
        <v>0</v>
      </c>
      <c r="P55" s="1"/>
    </row>
    <row r="56" spans="2:17" ht="12.5">
      <c r="B56" s="7" t="str">
        <f t="shared" si="30"/>
        <v/>
      </c>
      <c r="C56" s="50">
        <f>IF(D11="","-",+C55+1)</f>
        <v>2051</v>
      </c>
      <c r="D56" s="55">
        <f>IF(F55+SUM(E$17:E55)=D$10,F55,D$10-SUM(E$17:E55))</f>
        <v>5516054.9049325567</v>
      </c>
      <c r="E56" s="378">
        <f>IF(+I14&lt;F55,I14,D56)</f>
        <v>1083182.466818182</v>
      </c>
      <c r="F56" s="55">
        <f t="shared" si="25"/>
        <v>4432872.4381143749</v>
      </c>
      <c r="G56" s="379">
        <f t="shared" si="31"/>
        <v>1677765.8409925839</v>
      </c>
      <c r="H56" s="364">
        <f t="shared" si="32"/>
        <v>1677765.8409925839</v>
      </c>
      <c r="I56" s="52">
        <f t="shared" si="26"/>
        <v>0</v>
      </c>
      <c r="J56" s="52"/>
      <c r="K56" s="129"/>
      <c r="L56" s="54">
        <f t="shared" si="27"/>
        <v>0</v>
      </c>
      <c r="M56" s="129"/>
      <c r="N56" s="54">
        <f t="shared" si="28"/>
        <v>0</v>
      </c>
      <c r="O56" s="54">
        <f t="shared" si="29"/>
        <v>0</v>
      </c>
      <c r="P56" s="1"/>
    </row>
    <row r="57" spans="2:17" ht="12.5">
      <c r="B57" s="7" t="str">
        <f t="shared" si="30"/>
        <v/>
      </c>
      <c r="C57" s="50">
        <f>IF(D11="","-",+C56+1)</f>
        <v>2052</v>
      </c>
      <c r="D57" s="55">
        <f>IF(F56+SUM(E$17:E56)=D$10,F56,D$10-SUM(E$17:E56))</f>
        <v>4432872.4381143749</v>
      </c>
      <c r="E57" s="378">
        <f>IF(+I14&lt;F56,I14,D57)</f>
        <v>1083182.466818182</v>
      </c>
      <c r="F57" s="55">
        <f t="shared" si="25"/>
        <v>3349689.9712961931</v>
      </c>
      <c r="G57" s="379">
        <f t="shared" si="31"/>
        <v>1548296.1476758642</v>
      </c>
      <c r="H57" s="364">
        <f t="shared" si="32"/>
        <v>1548296.1476758642</v>
      </c>
      <c r="I57" s="52">
        <f t="shared" si="26"/>
        <v>0</v>
      </c>
      <c r="J57" s="52"/>
      <c r="K57" s="129"/>
      <c r="L57" s="54">
        <f t="shared" si="27"/>
        <v>0</v>
      </c>
      <c r="M57" s="129"/>
      <c r="N57" s="54">
        <f t="shared" si="28"/>
        <v>0</v>
      </c>
      <c r="O57" s="54">
        <f t="shared" si="29"/>
        <v>0</v>
      </c>
      <c r="P57" s="1"/>
    </row>
    <row r="58" spans="2:17" ht="12.5">
      <c r="B58" s="7" t="str">
        <f t="shared" si="30"/>
        <v/>
      </c>
      <c r="C58" s="50">
        <f>IF(D11="","-",+C57+1)</f>
        <v>2053</v>
      </c>
      <c r="D58" s="55">
        <f>IF(F57+SUM(E$17:E57)=D$10,F57,D$10-SUM(E$17:E57))</f>
        <v>3349689.9712961931</v>
      </c>
      <c r="E58" s="378">
        <f>IF(+I14&lt;F57,I14,D58)</f>
        <v>1083182.466818182</v>
      </c>
      <c r="F58" s="55">
        <f t="shared" si="25"/>
        <v>2266507.5044780113</v>
      </c>
      <c r="G58" s="379">
        <f t="shared" si="31"/>
        <v>1418826.4543591444</v>
      </c>
      <c r="H58" s="364">
        <f t="shared" si="32"/>
        <v>1418826.4543591444</v>
      </c>
      <c r="I58" s="52">
        <f t="shared" si="26"/>
        <v>0</v>
      </c>
      <c r="J58" s="52"/>
      <c r="K58" s="129"/>
      <c r="L58" s="54">
        <f t="shared" si="27"/>
        <v>0</v>
      </c>
      <c r="M58" s="129"/>
      <c r="N58" s="54">
        <f t="shared" si="28"/>
        <v>0</v>
      </c>
      <c r="O58" s="54">
        <f t="shared" si="29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30"/>
        <v/>
      </c>
      <c r="C59" s="50">
        <f>IF(D11="","-",+C58+1)</f>
        <v>2054</v>
      </c>
      <c r="D59" s="55">
        <f>IF(F58+SUM(E$17:E58)=D$10,F58,D$10-SUM(E$17:E58))</f>
        <v>2266507.5044780113</v>
      </c>
      <c r="E59" s="378">
        <f>IF(+I14&lt;F58,I14,D59)</f>
        <v>1083182.466818182</v>
      </c>
      <c r="F59" s="55">
        <f t="shared" si="25"/>
        <v>1183325.0376598292</v>
      </c>
      <c r="G59" s="379">
        <f t="shared" si="31"/>
        <v>1289356.7610424247</v>
      </c>
      <c r="H59" s="364">
        <f t="shared" si="32"/>
        <v>1289356.7610424247</v>
      </c>
      <c r="I59" s="52">
        <f t="shared" si="26"/>
        <v>0</v>
      </c>
      <c r="J59" s="52"/>
      <c r="K59" s="129"/>
      <c r="L59" s="54">
        <f t="shared" si="27"/>
        <v>0</v>
      </c>
      <c r="M59" s="129"/>
      <c r="N59" s="54">
        <f t="shared" si="28"/>
        <v>0</v>
      </c>
      <c r="O59" s="54">
        <f t="shared" si="29"/>
        <v>0</v>
      </c>
      <c r="P59" s="1"/>
    </row>
    <row r="60" spans="2:17" ht="12.5">
      <c r="B60" s="7" t="str">
        <f t="shared" si="30"/>
        <v/>
      </c>
      <c r="C60" s="50">
        <f>IF(D11="","-",+C59+1)</f>
        <v>2055</v>
      </c>
      <c r="D60" s="55">
        <f>IF(F59+SUM(E$17:E59)=D$10,F59,D$10-SUM(E$17:E59))</f>
        <v>1183325.0376598292</v>
      </c>
      <c r="E60" s="378">
        <f>IF(+I14&lt;F59,I14,D60)</f>
        <v>1083182.466818182</v>
      </c>
      <c r="F60" s="55">
        <f t="shared" si="25"/>
        <v>100142.57084164722</v>
      </c>
      <c r="G60" s="379">
        <f t="shared" si="31"/>
        <v>1159887.067725705</v>
      </c>
      <c r="H60" s="364">
        <f t="shared" si="32"/>
        <v>1159887.067725705</v>
      </c>
      <c r="I60" s="52">
        <f t="shared" si="26"/>
        <v>0</v>
      </c>
      <c r="J60" s="52"/>
      <c r="K60" s="129"/>
      <c r="L60" s="54">
        <f t="shared" si="27"/>
        <v>0</v>
      </c>
      <c r="M60" s="129"/>
      <c r="N60" s="54">
        <f t="shared" si="28"/>
        <v>0</v>
      </c>
      <c r="O60" s="54">
        <f t="shared" si="29"/>
        <v>0</v>
      </c>
      <c r="P60" s="1"/>
    </row>
    <row r="61" spans="2:17" ht="12.5">
      <c r="B61" s="7" t="str">
        <f t="shared" si="30"/>
        <v/>
      </c>
      <c r="C61" s="50">
        <f>IF(D11="","-",+C60+1)</f>
        <v>2056</v>
      </c>
      <c r="D61" s="55">
        <f>IF(F60+SUM(E$17:E60)=D$10,F60,D$10-SUM(E$17:E60))</f>
        <v>100142.57084164722</v>
      </c>
      <c r="E61" s="378">
        <f>IF(+I14&lt;F60,I14,D61)</f>
        <v>100142.57084164722</v>
      </c>
      <c r="F61" s="55">
        <f t="shared" si="25"/>
        <v>0</v>
      </c>
      <c r="G61" s="380">
        <f t="shared" si="31"/>
        <v>106127.44796622879</v>
      </c>
      <c r="H61" s="364">
        <f t="shared" si="32"/>
        <v>106127.44796622879</v>
      </c>
      <c r="I61" s="52">
        <f t="shared" si="26"/>
        <v>0</v>
      </c>
      <c r="J61" s="52"/>
      <c r="K61" s="129"/>
      <c r="L61" s="54">
        <f t="shared" si="27"/>
        <v>0</v>
      </c>
      <c r="M61" s="129"/>
      <c r="N61" s="54">
        <f t="shared" si="28"/>
        <v>0</v>
      </c>
      <c r="O61" s="54">
        <f t="shared" si="29"/>
        <v>0</v>
      </c>
      <c r="P61" s="1"/>
    </row>
    <row r="62" spans="2:17" ht="12.5">
      <c r="B62" s="7" t="str">
        <f t="shared" si="30"/>
        <v/>
      </c>
      <c r="C62" s="50">
        <f>IF(D11="","-",+C61+1)</f>
        <v>2057</v>
      </c>
      <c r="D62" s="55">
        <f>IF(F61+SUM(E$17:E61)=D$10,F61,D$10-SUM(E$17:E61))</f>
        <v>0</v>
      </c>
      <c r="E62" s="378">
        <f>IF(+I14&lt;F61,I14,D62)</f>
        <v>0</v>
      </c>
      <c r="F62" s="55">
        <f t="shared" si="25"/>
        <v>0</v>
      </c>
      <c r="G62" s="380">
        <f t="shared" si="31"/>
        <v>0</v>
      </c>
      <c r="H62" s="364">
        <f t="shared" si="32"/>
        <v>0</v>
      </c>
      <c r="I62" s="52">
        <f t="shared" si="26"/>
        <v>0</v>
      </c>
      <c r="J62" s="52"/>
      <c r="K62" s="129"/>
      <c r="L62" s="54">
        <f t="shared" si="27"/>
        <v>0</v>
      </c>
      <c r="M62" s="129"/>
      <c r="N62" s="54">
        <f t="shared" si="28"/>
        <v>0</v>
      </c>
      <c r="O62" s="54">
        <f t="shared" si="29"/>
        <v>0</v>
      </c>
      <c r="P62" s="1"/>
    </row>
    <row r="63" spans="2:17" ht="12.5">
      <c r="B63" s="7" t="str">
        <f t="shared" si="30"/>
        <v/>
      </c>
      <c r="C63" s="50">
        <f>IF(D11="","-",+C62+1)</f>
        <v>2058</v>
      </c>
      <c r="D63" s="55">
        <f>IF(F62+SUM(E$17:E62)=D$10,F62,D$10-SUM(E$17:E62))</f>
        <v>0</v>
      </c>
      <c r="E63" s="378">
        <f>IF(+I14&lt;F62,I14,D63)</f>
        <v>0</v>
      </c>
      <c r="F63" s="55">
        <f t="shared" si="25"/>
        <v>0</v>
      </c>
      <c r="G63" s="380">
        <f t="shared" si="31"/>
        <v>0</v>
      </c>
      <c r="H63" s="364">
        <f t="shared" si="32"/>
        <v>0</v>
      </c>
      <c r="I63" s="52">
        <f t="shared" si="26"/>
        <v>0</v>
      </c>
      <c r="J63" s="52"/>
      <c r="K63" s="129"/>
      <c r="L63" s="54">
        <f t="shared" si="27"/>
        <v>0</v>
      </c>
      <c r="M63" s="129"/>
      <c r="N63" s="54">
        <f t="shared" si="28"/>
        <v>0</v>
      </c>
      <c r="O63" s="54">
        <f t="shared" si="29"/>
        <v>0</v>
      </c>
      <c r="P63" s="1"/>
    </row>
    <row r="64" spans="2:17" ht="12.5">
      <c r="B64" s="7" t="str">
        <f t="shared" si="30"/>
        <v/>
      </c>
      <c r="C64" s="50">
        <f>IF(D11="","-",+C63+1)</f>
        <v>2059</v>
      </c>
      <c r="D64" s="55">
        <f>IF(F63+SUM(E$17:E63)=D$10,F63,D$10-SUM(E$17:E63))</f>
        <v>0</v>
      </c>
      <c r="E64" s="378">
        <f>IF(+I14&lt;F63,I14,D64)</f>
        <v>0</v>
      </c>
      <c r="F64" s="55">
        <f t="shared" si="25"/>
        <v>0</v>
      </c>
      <c r="G64" s="380">
        <f t="shared" si="31"/>
        <v>0</v>
      </c>
      <c r="H64" s="364">
        <f t="shared" si="32"/>
        <v>0</v>
      </c>
      <c r="I64" s="52">
        <f t="shared" si="26"/>
        <v>0</v>
      </c>
      <c r="J64" s="52"/>
      <c r="K64" s="129"/>
      <c r="L64" s="54">
        <f t="shared" si="27"/>
        <v>0</v>
      </c>
      <c r="M64" s="129"/>
      <c r="N64" s="54">
        <f t="shared" si="28"/>
        <v>0</v>
      </c>
      <c r="O64" s="54">
        <f t="shared" si="29"/>
        <v>0</v>
      </c>
      <c r="P64" s="1"/>
    </row>
    <row r="65" spans="1:16" ht="12.5">
      <c r="B65" s="7" t="str">
        <f t="shared" si="30"/>
        <v/>
      </c>
      <c r="C65" s="50">
        <f>IF(D11="","-",+C64+1)</f>
        <v>2060</v>
      </c>
      <c r="D65" s="55">
        <f>IF(F64+SUM(E$17:E64)=D$10,F64,D$10-SUM(E$17:E64))</f>
        <v>0</v>
      </c>
      <c r="E65" s="378">
        <f>IF(+I14&lt;F64,I14,D65)</f>
        <v>0</v>
      </c>
      <c r="F65" s="55">
        <f t="shared" si="25"/>
        <v>0</v>
      </c>
      <c r="G65" s="380">
        <f t="shared" si="31"/>
        <v>0</v>
      </c>
      <c r="H65" s="364">
        <f t="shared" si="32"/>
        <v>0</v>
      </c>
      <c r="I65" s="52">
        <f t="shared" si="26"/>
        <v>0</v>
      </c>
      <c r="J65" s="52"/>
      <c r="K65" s="129"/>
      <c r="L65" s="54">
        <f t="shared" si="27"/>
        <v>0</v>
      </c>
      <c r="M65" s="129"/>
      <c r="N65" s="54">
        <f t="shared" si="28"/>
        <v>0</v>
      </c>
      <c r="O65" s="54">
        <f t="shared" si="29"/>
        <v>0</v>
      </c>
      <c r="P65" s="1"/>
    </row>
    <row r="66" spans="1:16" ht="12.5">
      <c r="B66" s="7" t="str">
        <f t="shared" si="30"/>
        <v/>
      </c>
      <c r="C66" s="50">
        <f>IF(D11="","-",+C65+1)</f>
        <v>2061</v>
      </c>
      <c r="D66" s="55">
        <f>IF(F65+SUM(E$17:E65)=D$10,F65,D$10-SUM(E$17:E65))</f>
        <v>0</v>
      </c>
      <c r="E66" s="378">
        <f>IF(+I14&lt;F65,I14,D66)</f>
        <v>0</v>
      </c>
      <c r="F66" s="55">
        <f t="shared" si="25"/>
        <v>0</v>
      </c>
      <c r="G66" s="380">
        <f t="shared" si="31"/>
        <v>0</v>
      </c>
      <c r="H66" s="364">
        <f t="shared" si="32"/>
        <v>0</v>
      </c>
      <c r="I66" s="52">
        <f t="shared" si="26"/>
        <v>0</v>
      </c>
      <c r="J66" s="52"/>
      <c r="K66" s="129"/>
      <c r="L66" s="54">
        <f t="shared" si="27"/>
        <v>0</v>
      </c>
      <c r="M66" s="129"/>
      <c r="N66" s="54">
        <f t="shared" si="28"/>
        <v>0</v>
      </c>
      <c r="O66" s="54">
        <f t="shared" si="29"/>
        <v>0</v>
      </c>
      <c r="P66" s="1"/>
    </row>
    <row r="67" spans="1:16" ht="12.5">
      <c r="B67" s="7" t="str">
        <f t="shared" si="30"/>
        <v/>
      </c>
      <c r="C67" s="50">
        <f>IF(D11="","-",+C66+1)</f>
        <v>2062</v>
      </c>
      <c r="D67" s="55">
        <f>IF(F66+SUM(E$17:E66)=D$10,F66,D$10-SUM(E$17:E66))</f>
        <v>0</v>
      </c>
      <c r="E67" s="378">
        <f>IF(+I14&lt;F66,I14,D67)</f>
        <v>0</v>
      </c>
      <c r="F67" s="55">
        <f t="shared" si="25"/>
        <v>0</v>
      </c>
      <c r="G67" s="380">
        <f t="shared" si="31"/>
        <v>0</v>
      </c>
      <c r="H67" s="364">
        <f t="shared" si="32"/>
        <v>0</v>
      </c>
      <c r="I67" s="52">
        <f t="shared" si="26"/>
        <v>0</v>
      </c>
      <c r="J67" s="52"/>
      <c r="K67" s="129"/>
      <c r="L67" s="54">
        <f t="shared" si="27"/>
        <v>0</v>
      </c>
      <c r="M67" s="129"/>
      <c r="N67" s="54">
        <f t="shared" si="28"/>
        <v>0</v>
      </c>
      <c r="O67" s="54">
        <f t="shared" si="29"/>
        <v>0</v>
      </c>
      <c r="P67" s="1"/>
    </row>
    <row r="68" spans="1:16" ht="12.5">
      <c r="B68" s="7" t="str">
        <f t="shared" si="30"/>
        <v/>
      </c>
      <c r="C68" s="50">
        <f>IF(D11="","-",+C67+1)</f>
        <v>2063</v>
      </c>
      <c r="D68" s="55">
        <f>IF(F67+SUM(E$17:E67)=D$10,F67,D$10-SUM(E$17:E67))</f>
        <v>0</v>
      </c>
      <c r="E68" s="378">
        <f>IF(+I14&lt;F67,I14,D68)</f>
        <v>0</v>
      </c>
      <c r="F68" s="55">
        <f t="shared" si="25"/>
        <v>0</v>
      </c>
      <c r="G68" s="380">
        <f t="shared" si="31"/>
        <v>0</v>
      </c>
      <c r="H68" s="364">
        <f t="shared" si="32"/>
        <v>0</v>
      </c>
      <c r="I68" s="52">
        <f t="shared" si="26"/>
        <v>0</v>
      </c>
      <c r="J68" s="52"/>
      <c r="K68" s="129"/>
      <c r="L68" s="54">
        <f t="shared" si="27"/>
        <v>0</v>
      </c>
      <c r="M68" s="129"/>
      <c r="N68" s="54">
        <f t="shared" si="28"/>
        <v>0</v>
      </c>
      <c r="O68" s="54">
        <f t="shared" si="29"/>
        <v>0</v>
      </c>
      <c r="P68" s="1"/>
    </row>
    <row r="69" spans="1:16" ht="12.5">
      <c r="B69" s="7" t="str">
        <f t="shared" si="30"/>
        <v/>
      </c>
      <c r="C69" s="50">
        <f>IF(D11="","-",+C68+1)</f>
        <v>2064</v>
      </c>
      <c r="D69" s="55">
        <f>IF(F68+SUM(E$17:E68)=D$10,F68,D$10-SUM(E$17:E68))</f>
        <v>0</v>
      </c>
      <c r="E69" s="378">
        <f>IF(+I14&lt;F68,I14,D69)</f>
        <v>0</v>
      </c>
      <c r="F69" s="55">
        <f t="shared" si="25"/>
        <v>0</v>
      </c>
      <c r="G69" s="380">
        <f t="shared" si="31"/>
        <v>0</v>
      </c>
      <c r="H69" s="364">
        <f t="shared" si="32"/>
        <v>0</v>
      </c>
      <c r="I69" s="52">
        <f t="shared" si="26"/>
        <v>0</v>
      </c>
      <c r="J69" s="52"/>
      <c r="K69" s="129"/>
      <c r="L69" s="54">
        <f t="shared" si="27"/>
        <v>0</v>
      </c>
      <c r="M69" s="129"/>
      <c r="N69" s="54">
        <f t="shared" si="28"/>
        <v>0</v>
      </c>
      <c r="O69" s="54">
        <f t="shared" si="29"/>
        <v>0</v>
      </c>
      <c r="P69" s="1"/>
    </row>
    <row r="70" spans="1:16" ht="12.5">
      <c r="B70" s="7" t="str">
        <f t="shared" si="30"/>
        <v/>
      </c>
      <c r="C70" s="50">
        <f>IF(D11="","-",+C69+1)</f>
        <v>2065</v>
      </c>
      <c r="D70" s="55">
        <f>IF(F69+SUM(E$17:E69)=D$10,F69,D$10-SUM(E$17:E69))</f>
        <v>0</v>
      </c>
      <c r="E70" s="378">
        <f>IF(+I14&lt;F69,I14,D70)</f>
        <v>0</v>
      </c>
      <c r="F70" s="55">
        <f t="shared" si="25"/>
        <v>0</v>
      </c>
      <c r="G70" s="380">
        <f t="shared" si="31"/>
        <v>0</v>
      </c>
      <c r="H70" s="364">
        <f t="shared" si="32"/>
        <v>0</v>
      </c>
      <c r="I70" s="52">
        <f t="shared" si="26"/>
        <v>0</v>
      </c>
      <c r="J70" s="52"/>
      <c r="K70" s="129"/>
      <c r="L70" s="54">
        <f t="shared" si="27"/>
        <v>0</v>
      </c>
      <c r="M70" s="129"/>
      <c r="N70" s="54">
        <f t="shared" si="28"/>
        <v>0</v>
      </c>
      <c r="O70" s="54">
        <f t="shared" si="29"/>
        <v>0</v>
      </c>
      <c r="P70" s="1"/>
    </row>
    <row r="71" spans="1:16" ht="12.5">
      <c r="B71" s="7" t="str">
        <f t="shared" si="30"/>
        <v/>
      </c>
      <c r="C71" s="50">
        <f>IF(D11="","-",+C70+1)</f>
        <v>2066</v>
      </c>
      <c r="D71" s="55">
        <f>IF(F70+SUM(E$17:E70)=D$10,F70,D$10-SUM(E$17:E70))</f>
        <v>0</v>
      </c>
      <c r="E71" s="378">
        <f>IF(+I14&lt;F70,I14,D71)</f>
        <v>0</v>
      </c>
      <c r="F71" s="55">
        <f t="shared" si="25"/>
        <v>0</v>
      </c>
      <c r="G71" s="380">
        <f t="shared" si="31"/>
        <v>0</v>
      </c>
      <c r="H71" s="364">
        <f t="shared" si="32"/>
        <v>0</v>
      </c>
      <c r="I71" s="52">
        <f t="shared" si="26"/>
        <v>0</v>
      </c>
      <c r="J71" s="52"/>
      <c r="K71" s="129"/>
      <c r="L71" s="54">
        <f t="shared" si="27"/>
        <v>0</v>
      </c>
      <c r="M71" s="129"/>
      <c r="N71" s="54">
        <f t="shared" si="28"/>
        <v>0</v>
      </c>
      <c r="O71" s="54">
        <f t="shared" si="29"/>
        <v>0</v>
      </c>
      <c r="P71" s="1"/>
    </row>
    <row r="72" spans="1:16" ht="13" thickBot="1">
      <c r="B72" s="7" t="str">
        <f t="shared" si="30"/>
        <v/>
      </c>
      <c r="C72" s="59">
        <f>IF(D11="","-",+C71+1)</f>
        <v>2067</v>
      </c>
      <c r="D72" s="60">
        <f>IF(F71+SUM(E$17:E71)=D$10,F71,D$10-SUM(E$17:E71))</f>
        <v>0</v>
      </c>
      <c r="E72" s="381">
        <f>IF(+I14&lt;F71,I14,D72)</f>
        <v>0</v>
      </c>
      <c r="F72" s="60">
        <f t="shared" si="25"/>
        <v>0</v>
      </c>
      <c r="G72" s="382">
        <f t="shared" si="31"/>
        <v>0</v>
      </c>
      <c r="H72" s="362">
        <f t="shared" si="32"/>
        <v>0</v>
      </c>
      <c r="I72" s="63">
        <f t="shared" si="26"/>
        <v>0</v>
      </c>
      <c r="J72" s="52"/>
      <c r="K72" s="130"/>
      <c r="L72" s="64">
        <f t="shared" si="27"/>
        <v>0</v>
      </c>
      <c r="M72" s="130"/>
      <c r="N72" s="64">
        <f t="shared" si="28"/>
        <v>0</v>
      </c>
      <c r="O72" s="64">
        <f t="shared" si="29"/>
        <v>0</v>
      </c>
      <c r="P72" s="1"/>
    </row>
    <row r="73" spans="1:16" ht="12.5">
      <c r="C73" s="12" t="s">
        <v>78</v>
      </c>
      <c r="D73" s="293"/>
      <c r="E73" s="293">
        <f>SUM(E17:E72)</f>
        <v>47660028.540000029</v>
      </c>
      <c r="F73" s="293"/>
      <c r="G73" s="293">
        <f>SUM(G17:G72)</f>
        <v>177157033.01090747</v>
      </c>
      <c r="H73" s="293">
        <f>SUM(H17:H72)</f>
        <v>177157033.01090747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7.5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30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5173447.5605440196</v>
      </c>
      <c r="N87" s="387">
        <f>IF(J92&lt;D11,0,VLOOKUP(J92,C17:O72,11))</f>
        <v>5173447.5605440196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5359938.7752727838</v>
      </c>
      <c r="N88" s="390">
        <f>IF(J92&lt;D11,0,VLOOKUP(J92,C99:P154,7))</f>
        <v>5359938.7752727838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27" t="str">
        <f>D7</f>
        <v>NW Texarkana - Turk 345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186491.21472876426</v>
      </c>
      <c r="N89" s="392">
        <f>+N88-N87</f>
        <v>186491.21472876426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D9</f>
        <v>TP2006077</v>
      </c>
      <c r="E91" s="76" t="str">
        <f>E9</f>
        <v xml:space="preserve">SPP Project ID = </v>
      </c>
      <c r="F91" s="76" t="str">
        <f>F9</f>
        <v>349 &amp; 30142</v>
      </c>
      <c r="G91" s="76"/>
      <c r="H91" s="76"/>
      <c r="I91" s="76"/>
      <c r="J91" s="95"/>
      <c r="Q91" s="1"/>
    </row>
    <row r="92" spans="1:17" ht="13">
      <c r="C92" s="34" t="s">
        <v>51</v>
      </c>
      <c r="D92" s="363">
        <f>D10</f>
        <v>47660028.540000007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  <c r="Q92" s="1"/>
    </row>
    <row r="93" spans="1:17" ht="12.5">
      <c r="C93" s="34" t="s">
        <v>54</v>
      </c>
      <c r="D93" s="88">
        <f>IF(D11=I10,"",D11)</f>
        <v>2012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4">
        <f>IF(D11=I10,"",D12)</f>
        <v>8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1083182.466818182</v>
      </c>
      <c r="K96" s="293"/>
      <c r="L96" s="293"/>
      <c r="M96" s="293"/>
      <c r="N96" s="293"/>
      <c r="O96" s="293"/>
      <c r="P96" s="1"/>
      <c r="Q96" s="1"/>
    </row>
    <row r="97" spans="1:17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 ht="12.5">
      <c r="C99" s="50">
        <f>IF(D93= "","-",D93)</f>
        <v>2012</v>
      </c>
      <c r="D99" s="133">
        <v>0</v>
      </c>
      <c r="E99" s="376">
        <v>374385.49206349207</v>
      </c>
      <c r="F99" s="137">
        <v>46798186.507936507</v>
      </c>
      <c r="G99" s="140">
        <v>23399093.253968254</v>
      </c>
      <c r="H99" s="397">
        <v>3817654.064849725</v>
      </c>
      <c r="I99" s="398">
        <v>3817654.064849725</v>
      </c>
      <c r="J99" s="154">
        <f t="shared" ref="J99:J130" si="33">+I99-H99</f>
        <v>0</v>
      </c>
      <c r="K99" s="54"/>
      <c r="L99" s="112">
        <f t="shared" ref="L99:L104" si="34">H99</f>
        <v>3817654.064849725</v>
      </c>
      <c r="M99" s="53">
        <f t="shared" ref="M99:M130" si="35">IF(L99&lt;&gt;0,+H99-L99,0)</f>
        <v>0</v>
      </c>
      <c r="N99" s="112">
        <f t="shared" ref="N99:N104" si="36">I99</f>
        <v>3817654.064849725</v>
      </c>
      <c r="O99" s="53">
        <f t="shared" ref="O99:O130" si="37">IF(N99&lt;&gt;0,+I99-N99,0)</f>
        <v>0</v>
      </c>
      <c r="P99" s="53">
        <f t="shared" ref="P99:P130" si="38">+O99-M99</f>
        <v>0</v>
      </c>
      <c r="Q99" s="1"/>
    </row>
    <row r="100" spans="1:17" ht="12.5">
      <c r="B100" s="7" t="str">
        <f t="shared" ref="B100:B131" si="39">IF(D100=F99,"","IU")</f>
        <v>IU</v>
      </c>
      <c r="C100" s="50">
        <f>IF(D93="","-",+C99+1)</f>
        <v>2013</v>
      </c>
      <c r="D100" s="133">
        <v>47040735.507936507</v>
      </c>
      <c r="E100" s="376">
        <v>1128931.4523809524</v>
      </c>
      <c r="F100" s="137">
        <v>45911804.055555552</v>
      </c>
      <c r="G100" s="137">
        <v>46476269.78174603</v>
      </c>
      <c r="H100" s="397">
        <v>7416785.108146511</v>
      </c>
      <c r="I100" s="398">
        <v>7416785.108146511</v>
      </c>
      <c r="J100" s="154">
        <v>0</v>
      </c>
      <c r="K100" s="54"/>
      <c r="L100" s="113">
        <f t="shared" si="34"/>
        <v>7416785.108146511</v>
      </c>
      <c r="M100" s="54">
        <f t="shared" ref="M100:M105" si="40">IF(L100&lt;&gt;0,+H100-L100,0)</f>
        <v>0</v>
      </c>
      <c r="N100" s="113">
        <f t="shared" si="36"/>
        <v>7416785.108146511</v>
      </c>
      <c r="O100" s="54">
        <f>IF(N100&lt;&gt;0,+I100-N100,0)</f>
        <v>0</v>
      </c>
      <c r="P100" s="54">
        <f>+O100-M100</f>
        <v>0</v>
      </c>
      <c r="Q100" s="1"/>
    </row>
    <row r="101" spans="1:17" ht="12.5">
      <c r="B101" s="7" t="str">
        <f t="shared" si="39"/>
        <v>IU</v>
      </c>
      <c r="C101" s="50">
        <f>IF(D93="","-",+C100+1)</f>
        <v>2014</v>
      </c>
      <c r="D101" s="133">
        <v>46156435.055555552</v>
      </c>
      <c r="E101" s="376">
        <v>1134756</v>
      </c>
      <c r="F101" s="137">
        <v>45021679.055555552</v>
      </c>
      <c r="G101" s="137">
        <v>45589057.055555552</v>
      </c>
      <c r="H101" s="397">
        <v>7331378.3623912428</v>
      </c>
      <c r="I101" s="398">
        <v>7331378.3623912428</v>
      </c>
      <c r="J101" s="54">
        <v>0</v>
      </c>
      <c r="K101" s="54"/>
      <c r="L101" s="113">
        <f t="shared" si="34"/>
        <v>7331378.3623912428</v>
      </c>
      <c r="M101" s="54">
        <f t="shared" si="40"/>
        <v>0</v>
      </c>
      <c r="N101" s="113">
        <f t="shared" si="36"/>
        <v>7331378.3623912428</v>
      </c>
      <c r="O101" s="54">
        <f>IF(N101&lt;&gt;0,+I101-N101,0)</f>
        <v>0</v>
      </c>
      <c r="P101" s="54">
        <f>+O101-M101</f>
        <v>0</v>
      </c>
      <c r="Q101" s="1"/>
    </row>
    <row r="102" spans="1:17" ht="12.5">
      <c r="B102" s="7" t="str">
        <f t="shared" si="39"/>
        <v/>
      </c>
      <c r="C102" s="50">
        <f>IF(D93="","-",+C101+1)</f>
        <v>2015</v>
      </c>
      <c r="D102" s="133">
        <v>45021679.055555552</v>
      </c>
      <c r="E102" s="376">
        <v>1134756</v>
      </c>
      <c r="F102" s="137">
        <v>43886923.055555552</v>
      </c>
      <c r="G102" s="137">
        <v>44454301.055555552</v>
      </c>
      <c r="H102" s="397">
        <v>6992449.3668075977</v>
      </c>
      <c r="I102" s="398">
        <v>6992449.3668075977</v>
      </c>
      <c r="J102" s="54">
        <f t="shared" si="33"/>
        <v>0</v>
      </c>
      <c r="K102" s="54"/>
      <c r="L102" s="113">
        <f t="shared" si="34"/>
        <v>6992449.3668075977</v>
      </c>
      <c r="M102" s="54">
        <f t="shared" si="40"/>
        <v>0</v>
      </c>
      <c r="N102" s="113">
        <f t="shared" si="36"/>
        <v>6992449.3668075977</v>
      </c>
      <c r="O102" s="54">
        <f>IF(N102&lt;&gt;0,+I102-N102,0)</f>
        <v>0</v>
      </c>
      <c r="P102" s="54">
        <f>+O102-M102</f>
        <v>0</v>
      </c>
      <c r="Q102" s="1"/>
    </row>
    <row r="103" spans="1:17" ht="12.5">
      <c r="B103" s="7" t="str">
        <f t="shared" si="39"/>
        <v>IU</v>
      </c>
      <c r="C103" s="50">
        <f>IF(D93="","-",+C102+1)</f>
        <v>2016</v>
      </c>
      <c r="D103" s="133">
        <v>43887200.055555552</v>
      </c>
      <c r="E103" s="376">
        <v>1108372.7674418604</v>
      </c>
      <c r="F103" s="137">
        <v>42778827.288113691</v>
      </c>
      <c r="G103" s="137">
        <v>43333013.671834618</v>
      </c>
      <c r="H103" s="397">
        <v>6609498.3455806924</v>
      </c>
      <c r="I103" s="398">
        <v>6609498.3455806924</v>
      </c>
      <c r="J103" s="54">
        <f t="shared" si="33"/>
        <v>0</v>
      </c>
      <c r="K103" s="54"/>
      <c r="L103" s="113">
        <f t="shared" si="34"/>
        <v>6609498.3455806924</v>
      </c>
      <c r="M103" s="54">
        <f t="shared" si="40"/>
        <v>0</v>
      </c>
      <c r="N103" s="113">
        <f t="shared" si="36"/>
        <v>6609498.3455806924</v>
      </c>
      <c r="O103" s="54">
        <f>IF(N103&lt;&gt;0,+I103-N103,0)</f>
        <v>0</v>
      </c>
      <c r="P103" s="54">
        <f>+O103-M103</f>
        <v>0</v>
      </c>
      <c r="Q103" s="1"/>
    </row>
    <row r="104" spans="1:17" ht="12.5">
      <c r="B104" s="7" t="str">
        <f t="shared" si="39"/>
        <v/>
      </c>
      <c r="C104" s="50">
        <f>IF(D93="","-",+C103+1)</f>
        <v>2017</v>
      </c>
      <c r="D104" s="133">
        <v>42778827.288113691</v>
      </c>
      <c r="E104" s="376">
        <v>1134762.5952380951</v>
      </c>
      <c r="F104" s="137">
        <v>41644064.692875594</v>
      </c>
      <c r="G104" s="137">
        <v>42211445.990494639</v>
      </c>
      <c r="H104" s="397">
        <v>6262248.4706521584</v>
      </c>
      <c r="I104" s="398">
        <v>6262248.4706521584</v>
      </c>
      <c r="J104" s="54">
        <f t="shared" si="33"/>
        <v>0</v>
      </c>
      <c r="K104" s="54"/>
      <c r="L104" s="113">
        <f t="shared" si="34"/>
        <v>6262248.4706521584</v>
      </c>
      <c r="M104" s="54">
        <f t="shared" si="40"/>
        <v>0</v>
      </c>
      <c r="N104" s="113">
        <f t="shared" si="36"/>
        <v>6262248.4706521584</v>
      </c>
      <c r="O104" s="54">
        <f>IF(N104&lt;&gt;0,+I104-N104,0)</f>
        <v>0</v>
      </c>
      <c r="P104" s="54">
        <f>+O104-M104</f>
        <v>0</v>
      </c>
      <c r="Q104" s="1"/>
    </row>
    <row r="105" spans="1:17" ht="12.5">
      <c r="B105" s="7" t="str">
        <f t="shared" si="39"/>
        <v/>
      </c>
      <c r="C105" s="50">
        <f>IF(D93="","-",+C104+1)</f>
        <v>2018</v>
      </c>
      <c r="D105" s="133">
        <v>41644064.692875594</v>
      </c>
      <c r="E105" s="376">
        <v>1134762.5952380951</v>
      </c>
      <c r="F105" s="137">
        <v>40509302.097637497</v>
      </c>
      <c r="G105" s="137">
        <v>41076683.395256549</v>
      </c>
      <c r="H105" s="397">
        <v>5472648.7320447806</v>
      </c>
      <c r="I105" s="398">
        <v>5472648.7320447806</v>
      </c>
      <c r="J105" s="54">
        <f t="shared" si="33"/>
        <v>0</v>
      </c>
      <c r="K105" s="54"/>
      <c r="L105" s="113">
        <f t="shared" ref="L105" si="41">H105</f>
        <v>5472648.7320447806</v>
      </c>
      <c r="M105" s="54">
        <f t="shared" si="40"/>
        <v>0</v>
      </c>
      <c r="N105" s="113">
        <f t="shared" ref="N105" si="42">I105</f>
        <v>5472648.7320447806</v>
      </c>
      <c r="O105" s="54">
        <f t="shared" si="37"/>
        <v>0</v>
      </c>
      <c r="P105" s="54">
        <f t="shared" si="38"/>
        <v>0</v>
      </c>
      <c r="Q105" s="1"/>
    </row>
    <row r="106" spans="1:17" ht="12.5">
      <c r="B106" s="7" t="str">
        <f t="shared" si="39"/>
        <v/>
      </c>
      <c r="C106" s="50">
        <f>IF(D93="","-",+C105+1)</f>
        <v>2019</v>
      </c>
      <c r="D106" s="133">
        <v>40509302.097637497</v>
      </c>
      <c r="E106" s="376">
        <v>1108372.7674418604</v>
      </c>
      <c r="F106" s="137">
        <v>39400929.330195636</v>
      </c>
      <c r="G106" s="137">
        <v>39955115.71391657</v>
      </c>
      <c r="H106" s="397">
        <v>5385190.1906108065</v>
      </c>
      <c r="I106" s="398">
        <v>5385190.1906108065</v>
      </c>
      <c r="J106" s="54">
        <f t="shared" si="33"/>
        <v>0</v>
      </c>
      <c r="K106" s="54"/>
      <c r="L106" s="113">
        <f t="shared" ref="L106" si="43">H106</f>
        <v>5385190.1906108065</v>
      </c>
      <c r="M106" s="54">
        <f t="shared" ref="M106" si="44">IF(L106&lt;&gt;0,+H106-L106,0)</f>
        <v>0</v>
      </c>
      <c r="N106" s="113">
        <f t="shared" ref="N106" si="45">I106</f>
        <v>5385190.1906108065</v>
      </c>
      <c r="O106" s="54">
        <f t="shared" si="37"/>
        <v>0</v>
      </c>
      <c r="P106" s="54">
        <f t="shared" si="38"/>
        <v>0</v>
      </c>
      <c r="Q106" s="1"/>
    </row>
    <row r="107" spans="1:17" ht="12.5">
      <c r="B107" s="7" t="str">
        <f t="shared" si="39"/>
        <v/>
      </c>
      <c r="C107" s="50">
        <f>IF(D93="","-",+C106+1)</f>
        <v>2020</v>
      </c>
      <c r="D107" s="133">
        <v>39400929.330195636</v>
      </c>
      <c r="E107" s="376">
        <v>1134762.5952380951</v>
      </c>
      <c r="F107" s="137">
        <v>38266166.734957539</v>
      </c>
      <c r="G107" s="137">
        <v>38833548.032576591</v>
      </c>
      <c r="H107" s="397">
        <v>5312236.1867038347</v>
      </c>
      <c r="I107" s="398">
        <v>5312236.1867038347</v>
      </c>
      <c r="J107" s="54">
        <f t="shared" si="33"/>
        <v>0</v>
      </c>
      <c r="K107" s="54"/>
      <c r="L107" s="113">
        <f t="shared" ref="L107" si="46">H107</f>
        <v>5312236.1867038347</v>
      </c>
      <c r="M107" s="54">
        <f t="shared" ref="M107" si="47">IF(L107&lt;&gt;0,+H107-L107,0)</f>
        <v>0</v>
      </c>
      <c r="N107" s="113">
        <f t="shared" ref="N107" si="48">I107</f>
        <v>5312236.1867038347</v>
      </c>
      <c r="O107" s="54">
        <f t="shared" si="37"/>
        <v>0</v>
      </c>
      <c r="P107" s="54">
        <f t="shared" si="38"/>
        <v>0</v>
      </c>
      <c r="Q107" s="1"/>
    </row>
    <row r="108" spans="1:17" ht="12.5">
      <c r="B108" s="7" t="str">
        <f t="shared" si="39"/>
        <v/>
      </c>
      <c r="C108" s="50">
        <f>IF(D93="","-",+C107+1)</f>
        <v>2021</v>
      </c>
      <c r="D108" s="133">
        <v>38266166.734957539</v>
      </c>
      <c r="E108" s="376">
        <v>1162439.7317073171</v>
      </c>
      <c r="F108" s="137">
        <v>37103727.003250219</v>
      </c>
      <c r="G108" s="137">
        <v>37684946.869103879</v>
      </c>
      <c r="H108" s="397">
        <v>5440217.3214159943</v>
      </c>
      <c r="I108" s="398">
        <v>5440217.3214159943</v>
      </c>
      <c r="J108" s="54">
        <f t="shared" si="33"/>
        <v>0</v>
      </c>
      <c r="K108" s="54"/>
      <c r="L108" s="113">
        <f t="shared" ref="L108" si="49">H108</f>
        <v>5440217.3214159943</v>
      </c>
      <c r="M108" s="54">
        <f t="shared" ref="M108" si="50">IF(L108&lt;&gt;0,+H108-L108,0)</f>
        <v>0</v>
      </c>
      <c r="N108" s="113">
        <f t="shared" ref="N108" si="51">I108</f>
        <v>5440217.3214159943</v>
      </c>
      <c r="O108" s="54">
        <f t="shared" si="37"/>
        <v>0</v>
      </c>
      <c r="P108" s="54">
        <f t="shared" si="38"/>
        <v>0</v>
      </c>
      <c r="Q108" s="1"/>
    </row>
    <row r="109" spans="1:17" ht="12.5">
      <c r="B109" s="7" t="str">
        <f t="shared" si="39"/>
        <v/>
      </c>
      <c r="C109" s="50">
        <f>IF(D93="","-",+C108+1)</f>
        <v>2022</v>
      </c>
      <c r="D109" s="133">
        <v>37103727.003250219</v>
      </c>
      <c r="E109" s="376">
        <v>1134762.5952380951</v>
      </c>
      <c r="F109" s="137">
        <v>35968964.408012122</v>
      </c>
      <c r="G109" s="137">
        <v>36536345.705631167</v>
      </c>
      <c r="H109" s="397">
        <v>5426242.9544733902</v>
      </c>
      <c r="I109" s="398">
        <v>5426242.9544733902</v>
      </c>
      <c r="J109" s="54">
        <f t="shared" si="33"/>
        <v>0</v>
      </c>
      <c r="K109" s="54"/>
      <c r="L109" s="113">
        <f t="shared" ref="L109" si="52">H109</f>
        <v>5426242.9544733902</v>
      </c>
      <c r="M109" s="54">
        <f t="shared" ref="M109" si="53">IF(L109&lt;&gt;0,+H109-L109,0)</f>
        <v>0</v>
      </c>
      <c r="N109" s="113">
        <f t="shared" ref="N109" si="54">I109</f>
        <v>5426242.9544733902</v>
      </c>
      <c r="O109" s="54">
        <f t="shared" ref="O109" si="55">IF(N109&lt;&gt;0,+I109-N109,0)</f>
        <v>0</v>
      </c>
      <c r="P109" s="54">
        <f t="shared" ref="P109" si="56">+O109-M109</f>
        <v>0</v>
      </c>
      <c r="Q109" s="1"/>
    </row>
    <row r="110" spans="1:17" ht="12.5">
      <c r="B110" s="7" t="str">
        <f t="shared" si="39"/>
        <v>IU</v>
      </c>
      <c r="C110" s="50">
        <f>IF(D93="","-",+C109+1)</f>
        <v>2023</v>
      </c>
      <c r="D110" s="133">
        <v>35968963.948012143</v>
      </c>
      <c r="E110" s="376">
        <v>1083182.466818182</v>
      </c>
      <c r="F110" s="137">
        <v>34885781.48119396</v>
      </c>
      <c r="G110" s="137">
        <v>35427372.714603052</v>
      </c>
      <c r="H110" s="397">
        <v>5453682.2933079926</v>
      </c>
      <c r="I110" s="398">
        <v>5453682.2933079926</v>
      </c>
      <c r="J110" s="54">
        <f t="shared" si="33"/>
        <v>0</v>
      </c>
      <c r="K110" s="54"/>
      <c r="L110" s="113">
        <f t="shared" ref="L110" si="57">H110</f>
        <v>5453682.2933079926</v>
      </c>
      <c r="M110" s="54">
        <f t="shared" ref="M110" si="58">IF(L110&lt;&gt;0,+H110-L110,0)</f>
        <v>0</v>
      </c>
      <c r="N110" s="113">
        <f t="shared" ref="N110" si="59">I110</f>
        <v>5453682.2933079926</v>
      </c>
      <c r="O110" s="54">
        <f t="shared" ref="O110" si="60">IF(N110&lt;&gt;0,+I110-N110,0)</f>
        <v>0</v>
      </c>
      <c r="P110" s="54">
        <f t="shared" ref="P110" si="61">+O110-M110</f>
        <v>0</v>
      </c>
      <c r="Q110" s="1"/>
    </row>
    <row r="111" spans="1:17" ht="12.5">
      <c r="B111" s="7" t="str">
        <f t="shared" si="39"/>
        <v/>
      </c>
      <c r="C111" s="50">
        <f>IF(D93="","-",+C110+1)</f>
        <v>2024</v>
      </c>
      <c r="D111" s="12">
        <f>IF(F110+SUM(E$99:E110)=D$92,F110,D$92-SUM(E$99:E110))</f>
        <v>34885781.48119396</v>
      </c>
      <c r="E111" s="378">
        <f>IF(+J96&lt;F110,J96,D111)</f>
        <v>1083182.466818182</v>
      </c>
      <c r="F111" s="55">
        <f t="shared" ref="F111:F131" si="62">+D111-E111</f>
        <v>33802599.014375776</v>
      </c>
      <c r="G111" s="55">
        <f t="shared" ref="G111:G130" si="63">+(F111+D111)/2</f>
        <v>34344190.247784868</v>
      </c>
      <c r="H111" s="380">
        <f t="shared" ref="H111:H130" si="64">+J$94*G111+E111</f>
        <v>5359938.7752727838</v>
      </c>
      <c r="I111" s="399">
        <f t="shared" ref="I111:I130" si="65">+J$95*G111+E111</f>
        <v>5359938.7752727838</v>
      </c>
      <c r="J111" s="54">
        <f t="shared" si="33"/>
        <v>0</v>
      </c>
      <c r="K111" s="54"/>
      <c r="L111" s="129"/>
      <c r="M111" s="54">
        <f t="shared" si="35"/>
        <v>0</v>
      </c>
      <c r="N111" s="129"/>
      <c r="O111" s="54">
        <f t="shared" si="37"/>
        <v>0</v>
      </c>
      <c r="P111" s="54">
        <f t="shared" si="38"/>
        <v>0</v>
      </c>
      <c r="Q111" s="1"/>
    </row>
    <row r="112" spans="1:17" ht="12.5">
      <c r="B112" s="7" t="str">
        <f t="shared" si="39"/>
        <v/>
      </c>
      <c r="C112" s="50">
        <f>IF(D93="","-",+C111+1)</f>
        <v>2025</v>
      </c>
      <c r="D112" s="12">
        <f>IF(F111+SUM(E$99:E111)=D$92,F111,D$92-SUM(E$99:E111))</f>
        <v>33802599.014375776</v>
      </c>
      <c r="E112" s="378">
        <f>IF(+J96&lt;F111,J96,D112)</f>
        <v>1083182.466818182</v>
      </c>
      <c r="F112" s="55">
        <f t="shared" si="62"/>
        <v>32719416.547557592</v>
      </c>
      <c r="G112" s="55">
        <f t="shared" si="63"/>
        <v>33261007.780966684</v>
      </c>
      <c r="H112" s="380">
        <f t="shared" si="64"/>
        <v>5225054.0272338958</v>
      </c>
      <c r="I112" s="399">
        <f t="shared" si="65"/>
        <v>5225054.0272338958</v>
      </c>
      <c r="J112" s="54">
        <f t="shared" si="33"/>
        <v>0</v>
      </c>
      <c r="K112" s="54"/>
      <c r="L112" s="129"/>
      <c r="M112" s="54">
        <f t="shared" si="35"/>
        <v>0</v>
      </c>
      <c r="N112" s="129"/>
      <c r="O112" s="54">
        <f t="shared" si="37"/>
        <v>0</v>
      </c>
      <c r="P112" s="54">
        <f t="shared" si="38"/>
        <v>0</v>
      </c>
      <c r="Q112" s="1"/>
    </row>
    <row r="113" spans="2:17" ht="12.5">
      <c r="B113" s="7" t="str">
        <f t="shared" si="39"/>
        <v/>
      </c>
      <c r="C113" s="50">
        <f>IF(D93="","-",+C112+1)</f>
        <v>2026</v>
      </c>
      <c r="D113" s="12">
        <f>IF(F112+SUM(E$99:E112)=D$92,F112,D$92-SUM(E$99:E112))</f>
        <v>32719416.547557592</v>
      </c>
      <c r="E113" s="378">
        <f>IF(+J96&lt;F112,J96,D113)</f>
        <v>1083182.466818182</v>
      </c>
      <c r="F113" s="55">
        <f t="shared" si="62"/>
        <v>31636234.080739409</v>
      </c>
      <c r="G113" s="55">
        <f t="shared" si="63"/>
        <v>32177825.314148501</v>
      </c>
      <c r="H113" s="380">
        <f t="shared" si="64"/>
        <v>5090169.2791950088</v>
      </c>
      <c r="I113" s="399">
        <f t="shared" si="65"/>
        <v>5090169.2791950088</v>
      </c>
      <c r="J113" s="54">
        <f t="shared" si="33"/>
        <v>0</v>
      </c>
      <c r="K113" s="54"/>
      <c r="L113" s="129"/>
      <c r="M113" s="54">
        <f t="shared" si="35"/>
        <v>0</v>
      </c>
      <c r="N113" s="129"/>
      <c r="O113" s="54">
        <f t="shared" si="37"/>
        <v>0</v>
      </c>
      <c r="P113" s="54">
        <f t="shared" si="38"/>
        <v>0</v>
      </c>
      <c r="Q113" s="1"/>
    </row>
    <row r="114" spans="2:17" ht="12.5">
      <c r="B114" s="7" t="str">
        <f t="shared" si="39"/>
        <v/>
      </c>
      <c r="C114" s="50">
        <f>IF(D93="","-",+C113+1)</f>
        <v>2027</v>
      </c>
      <c r="D114" s="12">
        <f>IF(F113+SUM(E$99:E113)=D$92,F113,D$92-SUM(E$99:E113))</f>
        <v>31636234.080739409</v>
      </c>
      <c r="E114" s="378">
        <f>IF(+J96&lt;F113,J96,D114)</f>
        <v>1083182.466818182</v>
      </c>
      <c r="F114" s="55">
        <f t="shared" si="62"/>
        <v>30553051.613921225</v>
      </c>
      <c r="G114" s="55">
        <f t="shared" si="63"/>
        <v>31094642.847330317</v>
      </c>
      <c r="H114" s="380">
        <f t="shared" si="64"/>
        <v>4955284.5311561208</v>
      </c>
      <c r="I114" s="399">
        <f t="shared" si="65"/>
        <v>4955284.5311561208</v>
      </c>
      <c r="J114" s="54">
        <f t="shared" si="33"/>
        <v>0</v>
      </c>
      <c r="K114" s="54"/>
      <c r="L114" s="129"/>
      <c r="M114" s="54">
        <f t="shared" si="35"/>
        <v>0</v>
      </c>
      <c r="N114" s="129"/>
      <c r="O114" s="54">
        <f t="shared" si="37"/>
        <v>0</v>
      </c>
      <c r="P114" s="54">
        <f t="shared" si="38"/>
        <v>0</v>
      </c>
      <c r="Q114" s="1"/>
    </row>
    <row r="115" spans="2:17" ht="12.5">
      <c r="B115" s="7" t="str">
        <f t="shared" si="39"/>
        <v/>
      </c>
      <c r="C115" s="50">
        <f>IF(D93="","-",+C114+1)</f>
        <v>2028</v>
      </c>
      <c r="D115" s="12">
        <f>IF(F114+SUM(E$99:E114)=D$92,F114,D$92-SUM(E$99:E114))</f>
        <v>30553051.613921225</v>
      </c>
      <c r="E115" s="378">
        <f>IF(+J96&lt;F114,J96,D115)</f>
        <v>1083182.466818182</v>
      </c>
      <c r="F115" s="55">
        <f t="shared" si="62"/>
        <v>29469869.147103041</v>
      </c>
      <c r="G115" s="55">
        <f t="shared" si="63"/>
        <v>30011460.380512133</v>
      </c>
      <c r="H115" s="380">
        <f t="shared" si="64"/>
        <v>4820399.7831172328</v>
      </c>
      <c r="I115" s="399">
        <f t="shared" si="65"/>
        <v>4820399.7831172328</v>
      </c>
      <c r="J115" s="54">
        <f t="shared" si="33"/>
        <v>0</v>
      </c>
      <c r="K115" s="54"/>
      <c r="L115" s="129"/>
      <c r="M115" s="54">
        <f t="shared" si="35"/>
        <v>0</v>
      </c>
      <c r="N115" s="129"/>
      <c r="O115" s="54">
        <f t="shared" si="37"/>
        <v>0</v>
      </c>
      <c r="P115" s="54">
        <f t="shared" si="38"/>
        <v>0</v>
      </c>
      <c r="Q115" s="1"/>
    </row>
    <row r="116" spans="2:17" ht="12.5">
      <c r="B116" s="7" t="str">
        <f t="shared" si="39"/>
        <v/>
      </c>
      <c r="C116" s="50">
        <f>IF(D93="","-",+C115+1)</f>
        <v>2029</v>
      </c>
      <c r="D116" s="12">
        <f>IF(F115+SUM(E$99:E115)=D$92,F115,D$92-SUM(E$99:E115))</f>
        <v>29469869.147103041</v>
      </c>
      <c r="E116" s="378">
        <f>IF(+J96&lt;F115,J96,D116)</f>
        <v>1083182.466818182</v>
      </c>
      <c r="F116" s="55">
        <f t="shared" si="62"/>
        <v>28386686.680284858</v>
      </c>
      <c r="G116" s="55">
        <f t="shared" si="63"/>
        <v>28928277.91369395</v>
      </c>
      <c r="H116" s="380">
        <f t="shared" si="64"/>
        <v>4685515.0350783458</v>
      </c>
      <c r="I116" s="399">
        <f t="shared" si="65"/>
        <v>4685515.0350783458</v>
      </c>
      <c r="J116" s="54">
        <f t="shared" si="33"/>
        <v>0</v>
      </c>
      <c r="K116" s="54"/>
      <c r="L116" s="129"/>
      <c r="M116" s="54">
        <f t="shared" si="35"/>
        <v>0</v>
      </c>
      <c r="N116" s="129"/>
      <c r="O116" s="54">
        <f t="shared" si="37"/>
        <v>0</v>
      </c>
      <c r="P116" s="54">
        <f t="shared" si="38"/>
        <v>0</v>
      </c>
      <c r="Q116" s="1"/>
    </row>
    <row r="117" spans="2:17" ht="12.5">
      <c r="B117" s="7" t="str">
        <f t="shared" si="39"/>
        <v/>
      </c>
      <c r="C117" s="50">
        <f>IF(D93="","-",+C116+1)</f>
        <v>2030</v>
      </c>
      <c r="D117" s="12">
        <f>IF(F116+SUM(E$99:E116)=D$92,F116,D$92-SUM(E$99:E116))</f>
        <v>28386686.680284858</v>
      </c>
      <c r="E117" s="378">
        <f>IF(+J96&lt;F116,J96,D117)</f>
        <v>1083182.466818182</v>
      </c>
      <c r="F117" s="55">
        <f t="shared" si="62"/>
        <v>27303504.213466674</v>
      </c>
      <c r="G117" s="55">
        <f t="shared" si="63"/>
        <v>27845095.446875766</v>
      </c>
      <c r="H117" s="380">
        <f t="shared" si="64"/>
        <v>4550630.2870394578</v>
      </c>
      <c r="I117" s="399">
        <f t="shared" si="65"/>
        <v>4550630.2870394578</v>
      </c>
      <c r="J117" s="54">
        <f t="shared" si="33"/>
        <v>0</v>
      </c>
      <c r="K117" s="54"/>
      <c r="L117" s="129"/>
      <c r="M117" s="54">
        <f t="shared" si="35"/>
        <v>0</v>
      </c>
      <c r="N117" s="129"/>
      <c r="O117" s="54">
        <f t="shared" si="37"/>
        <v>0</v>
      </c>
      <c r="P117" s="54">
        <f t="shared" si="38"/>
        <v>0</v>
      </c>
      <c r="Q117" s="1"/>
    </row>
    <row r="118" spans="2:17" ht="12.5">
      <c r="B118" s="7" t="str">
        <f t="shared" si="39"/>
        <v/>
      </c>
      <c r="C118" s="50">
        <f>IF(D93="","-",+C117+1)</f>
        <v>2031</v>
      </c>
      <c r="D118" s="12">
        <f>IF(F117+SUM(E$99:E117)=D$92,F117,D$92-SUM(E$99:E117))</f>
        <v>27303504.213466674</v>
      </c>
      <c r="E118" s="378">
        <f>IF(+J96&lt;F117,J96,D118)</f>
        <v>1083182.466818182</v>
      </c>
      <c r="F118" s="55">
        <f t="shared" si="62"/>
        <v>26220321.74664849</v>
      </c>
      <c r="G118" s="55">
        <f t="shared" si="63"/>
        <v>26761912.980057582</v>
      </c>
      <c r="H118" s="380">
        <f t="shared" si="64"/>
        <v>4415745.5390005698</v>
      </c>
      <c r="I118" s="399">
        <f t="shared" si="65"/>
        <v>4415745.5390005698</v>
      </c>
      <c r="J118" s="54">
        <f t="shared" si="33"/>
        <v>0</v>
      </c>
      <c r="K118" s="54"/>
      <c r="L118" s="129"/>
      <c r="M118" s="54">
        <f t="shared" si="35"/>
        <v>0</v>
      </c>
      <c r="N118" s="129"/>
      <c r="O118" s="54">
        <f t="shared" si="37"/>
        <v>0</v>
      </c>
      <c r="P118" s="54">
        <f t="shared" si="38"/>
        <v>0</v>
      </c>
      <c r="Q118" s="1"/>
    </row>
    <row r="119" spans="2:17" ht="12.5">
      <c r="B119" s="7" t="str">
        <f t="shared" si="39"/>
        <v/>
      </c>
      <c r="C119" s="50">
        <f>IF(D93="","-",+C118+1)</f>
        <v>2032</v>
      </c>
      <c r="D119" s="12">
        <f>IF(F118+SUM(E$99:E118)=D$92,F118,D$92-SUM(E$99:E118))</f>
        <v>26220321.74664849</v>
      </c>
      <c r="E119" s="378">
        <f>IF(+J96&lt;F118,J96,D119)</f>
        <v>1083182.466818182</v>
      </c>
      <c r="F119" s="55">
        <f t="shared" si="62"/>
        <v>25137139.279830307</v>
      </c>
      <c r="G119" s="55">
        <f t="shared" si="63"/>
        <v>25678730.513239399</v>
      </c>
      <c r="H119" s="380">
        <f t="shared" si="64"/>
        <v>4280860.7909616828</v>
      </c>
      <c r="I119" s="399">
        <f t="shared" si="65"/>
        <v>4280860.7909616828</v>
      </c>
      <c r="J119" s="54">
        <f t="shared" si="33"/>
        <v>0</v>
      </c>
      <c r="K119" s="54"/>
      <c r="L119" s="129"/>
      <c r="M119" s="54">
        <f t="shared" si="35"/>
        <v>0</v>
      </c>
      <c r="N119" s="129"/>
      <c r="O119" s="54">
        <f t="shared" si="37"/>
        <v>0</v>
      </c>
      <c r="P119" s="54">
        <f t="shared" si="38"/>
        <v>0</v>
      </c>
      <c r="Q119" s="1"/>
    </row>
    <row r="120" spans="2:17" ht="12.5">
      <c r="B120" s="7" t="str">
        <f t="shared" si="39"/>
        <v/>
      </c>
      <c r="C120" s="50">
        <f>IF(D93="","-",+C119+1)</f>
        <v>2033</v>
      </c>
      <c r="D120" s="12">
        <f>IF(F119+SUM(E$99:E119)=D$92,F119,D$92-SUM(E$99:E119))</f>
        <v>25137139.279830307</v>
      </c>
      <c r="E120" s="378">
        <f>IF(+J96&lt;F119,J96,D120)</f>
        <v>1083182.466818182</v>
      </c>
      <c r="F120" s="55">
        <f t="shared" si="62"/>
        <v>24053956.813012123</v>
      </c>
      <c r="G120" s="55">
        <f t="shared" si="63"/>
        <v>24595548.046421215</v>
      </c>
      <c r="H120" s="380">
        <f t="shared" si="64"/>
        <v>4145976.0429227948</v>
      </c>
      <c r="I120" s="399">
        <f t="shared" si="65"/>
        <v>4145976.0429227948</v>
      </c>
      <c r="J120" s="54">
        <f t="shared" si="33"/>
        <v>0</v>
      </c>
      <c r="K120" s="54"/>
      <c r="L120" s="129"/>
      <c r="M120" s="54">
        <f t="shared" si="35"/>
        <v>0</v>
      </c>
      <c r="N120" s="129"/>
      <c r="O120" s="54">
        <f t="shared" si="37"/>
        <v>0</v>
      </c>
      <c r="P120" s="54">
        <f t="shared" si="38"/>
        <v>0</v>
      </c>
      <c r="Q120" s="1"/>
    </row>
    <row r="121" spans="2:17" ht="12.5">
      <c r="B121" s="7" t="str">
        <f t="shared" si="39"/>
        <v/>
      </c>
      <c r="C121" s="50">
        <f>IF(D93="","-",+C120+1)</f>
        <v>2034</v>
      </c>
      <c r="D121" s="12">
        <f>IF(F120+SUM(E$99:E120)=D$92,F120,D$92-SUM(E$99:E120))</f>
        <v>24053956.813012123</v>
      </c>
      <c r="E121" s="378">
        <f>IF(+J96&lt;F120,J96,D121)</f>
        <v>1083182.466818182</v>
      </c>
      <c r="F121" s="55">
        <f t="shared" si="62"/>
        <v>22970774.346193939</v>
      </c>
      <c r="G121" s="55">
        <f t="shared" si="63"/>
        <v>23512365.579603031</v>
      </c>
      <c r="H121" s="380">
        <f t="shared" si="64"/>
        <v>4011091.2948839068</v>
      </c>
      <c r="I121" s="399">
        <f t="shared" si="65"/>
        <v>4011091.2948839068</v>
      </c>
      <c r="J121" s="54">
        <f t="shared" si="33"/>
        <v>0</v>
      </c>
      <c r="K121" s="54"/>
      <c r="L121" s="129"/>
      <c r="M121" s="54">
        <f t="shared" si="35"/>
        <v>0</v>
      </c>
      <c r="N121" s="129"/>
      <c r="O121" s="54">
        <f t="shared" si="37"/>
        <v>0</v>
      </c>
      <c r="P121" s="54">
        <f t="shared" si="38"/>
        <v>0</v>
      </c>
      <c r="Q121" s="1"/>
    </row>
    <row r="122" spans="2:17" ht="12.5">
      <c r="B122" s="7" t="str">
        <f t="shared" si="39"/>
        <v/>
      </c>
      <c r="C122" s="50">
        <f>IF(D93="","-",+C121+1)</f>
        <v>2035</v>
      </c>
      <c r="D122" s="12">
        <f>IF(F121+SUM(E$99:E121)=D$92,F121,D$92-SUM(E$99:E121))</f>
        <v>22970774.346193939</v>
      </c>
      <c r="E122" s="378">
        <f>IF(+J96&lt;F121,J96,D122)</f>
        <v>1083182.466818182</v>
      </c>
      <c r="F122" s="55">
        <f t="shared" si="62"/>
        <v>21887591.879375756</v>
      </c>
      <c r="G122" s="55">
        <f t="shared" si="63"/>
        <v>22429183.112784848</v>
      </c>
      <c r="H122" s="380">
        <f t="shared" si="64"/>
        <v>3876206.5468450198</v>
      </c>
      <c r="I122" s="399">
        <f t="shared" si="65"/>
        <v>3876206.5468450198</v>
      </c>
      <c r="J122" s="54">
        <f t="shared" si="33"/>
        <v>0</v>
      </c>
      <c r="K122" s="54"/>
      <c r="L122" s="129"/>
      <c r="M122" s="54">
        <f t="shared" si="35"/>
        <v>0</v>
      </c>
      <c r="N122" s="129"/>
      <c r="O122" s="54">
        <f t="shared" si="37"/>
        <v>0</v>
      </c>
      <c r="P122" s="54">
        <f t="shared" si="38"/>
        <v>0</v>
      </c>
      <c r="Q122" s="1"/>
    </row>
    <row r="123" spans="2:17" ht="12.5">
      <c r="B123" s="7" t="str">
        <f t="shared" si="39"/>
        <v/>
      </c>
      <c r="C123" s="50">
        <f>IF(D93="","-",+C122+1)</f>
        <v>2036</v>
      </c>
      <c r="D123" s="12">
        <f>IF(F122+SUM(E$99:E122)=D$92,F122,D$92-SUM(E$99:E122))</f>
        <v>21887591.879375756</v>
      </c>
      <c r="E123" s="378">
        <f>IF(+J96&lt;F122,J96,D123)</f>
        <v>1083182.466818182</v>
      </c>
      <c r="F123" s="55">
        <f t="shared" si="62"/>
        <v>20804409.412557572</v>
      </c>
      <c r="G123" s="55">
        <f t="shared" si="63"/>
        <v>21346000.645966664</v>
      </c>
      <c r="H123" s="380">
        <f t="shared" si="64"/>
        <v>3741321.7988061318</v>
      </c>
      <c r="I123" s="399">
        <f t="shared" si="65"/>
        <v>3741321.7988061318</v>
      </c>
      <c r="J123" s="54">
        <f t="shared" si="33"/>
        <v>0</v>
      </c>
      <c r="K123" s="54"/>
      <c r="L123" s="129"/>
      <c r="M123" s="54">
        <f t="shared" si="35"/>
        <v>0</v>
      </c>
      <c r="N123" s="129"/>
      <c r="O123" s="54">
        <f t="shared" si="37"/>
        <v>0</v>
      </c>
      <c r="P123" s="54">
        <f t="shared" si="38"/>
        <v>0</v>
      </c>
      <c r="Q123" s="1"/>
    </row>
    <row r="124" spans="2:17" ht="12.5">
      <c r="B124" s="7" t="str">
        <f t="shared" si="39"/>
        <v/>
      </c>
      <c r="C124" s="50">
        <f>IF(D93="","-",+C123+1)</f>
        <v>2037</v>
      </c>
      <c r="D124" s="12">
        <f>IF(F123+SUM(E$99:E123)=D$92,F123,D$92-SUM(E$99:E123))</f>
        <v>20804409.412557572</v>
      </c>
      <c r="E124" s="378">
        <f>IF(+J96&lt;F123,J96,D124)</f>
        <v>1083182.466818182</v>
      </c>
      <c r="F124" s="55">
        <f t="shared" si="62"/>
        <v>19721226.945739388</v>
      </c>
      <c r="G124" s="55">
        <f t="shared" si="63"/>
        <v>20262818.17914848</v>
      </c>
      <c r="H124" s="380">
        <f t="shared" si="64"/>
        <v>3606437.0507672438</v>
      </c>
      <c r="I124" s="399">
        <f t="shared" si="65"/>
        <v>3606437.0507672438</v>
      </c>
      <c r="J124" s="54">
        <f t="shared" si="33"/>
        <v>0</v>
      </c>
      <c r="K124" s="54"/>
      <c r="L124" s="129"/>
      <c r="M124" s="54">
        <f t="shared" si="35"/>
        <v>0</v>
      </c>
      <c r="N124" s="129"/>
      <c r="O124" s="54">
        <f t="shared" si="37"/>
        <v>0</v>
      </c>
      <c r="P124" s="54">
        <f t="shared" si="38"/>
        <v>0</v>
      </c>
      <c r="Q124" s="1"/>
    </row>
    <row r="125" spans="2:17" ht="12.5">
      <c r="B125" s="7" t="str">
        <f t="shared" si="39"/>
        <v/>
      </c>
      <c r="C125" s="50">
        <f>IF(D93="","-",+C124+1)</f>
        <v>2038</v>
      </c>
      <c r="D125" s="12">
        <f>IF(F124+SUM(E$99:E124)=D$92,F124,D$92-SUM(E$99:E124))</f>
        <v>19721226.945739388</v>
      </c>
      <c r="E125" s="378">
        <f>IF(+J96&lt;F124,J96,D125)</f>
        <v>1083182.466818182</v>
      </c>
      <c r="F125" s="55">
        <f t="shared" si="62"/>
        <v>18638044.478921205</v>
      </c>
      <c r="G125" s="55">
        <f t="shared" si="63"/>
        <v>19179635.712330297</v>
      </c>
      <c r="H125" s="380">
        <f t="shared" si="64"/>
        <v>3471552.3027283568</v>
      </c>
      <c r="I125" s="399">
        <f t="shared" si="65"/>
        <v>3471552.3027283568</v>
      </c>
      <c r="J125" s="54">
        <f t="shared" si="33"/>
        <v>0</v>
      </c>
      <c r="K125" s="54"/>
      <c r="L125" s="129"/>
      <c r="M125" s="54">
        <f t="shared" si="35"/>
        <v>0</v>
      </c>
      <c r="N125" s="129"/>
      <c r="O125" s="54">
        <f t="shared" si="37"/>
        <v>0</v>
      </c>
      <c r="P125" s="54">
        <f t="shared" si="38"/>
        <v>0</v>
      </c>
      <c r="Q125" s="1"/>
    </row>
    <row r="126" spans="2:17" ht="12.5">
      <c r="B126" s="7" t="str">
        <f t="shared" si="39"/>
        <v/>
      </c>
      <c r="C126" s="50">
        <f>IF(D93="","-",+C125+1)</f>
        <v>2039</v>
      </c>
      <c r="D126" s="12">
        <f>IF(F125+SUM(E$99:E125)=D$92,F125,D$92-SUM(E$99:E125))</f>
        <v>18638044.478921205</v>
      </c>
      <c r="E126" s="378">
        <f>IF(+J96&lt;F125,J96,D126)</f>
        <v>1083182.466818182</v>
      </c>
      <c r="F126" s="55">
        <f t="shared" si="62"/>
        <v>17554862.012103021</v>
      </c>
      <c r="G126" s="55">
        <f t="shared" si="63"/>
        <v>18096453.245512113</v>
      </c>
      <c r="H126" s="380">
        <f t="shared" si="64"/>
        <v>3336667.5546894688</v>
      </c>
      <c r="I126" s="399">
        <f t="shared" si="65"/>
        <v>3336667.5546894688</v>
      </c>
      <c r="J126" s="54">
        <f t="shared" si="33"/>
        <v>0</v>
      </c>
      <c r="K126" s="54"/>
      <c r="L126" s="129"/>
      <c r="M126" s="54">
        <f t="shared" si="35"/>
        <v>0</v>
      </c>
      <c r="N126" s="129"/>
      <c r="O126" s="54">
        <f t="shared" si="37"/>
        <v>0</v>
      </c>
      <c r="P126" s="54">
        <f t="shared" si="38"/>
        <v>0</v>
      </c>
      <c r="Q126" s="1"/>
    </row>
    <row r="127" spans="2:17" ht="12.5">
      <c r="B127" s="7" t="str">
        <f t="shared" si="39"/>
        <v/>
      </c>
      <c r="C127" s="50">
        <f>IF(D93="","-",+C126+1)</f>
        <v>2040</v>
      </c>
      <c r="D127" s="12">
        <f>IF(F126+SUM(E$99:E126)=D$92,F126,D$92-SUM(E$99:E126))</f>
        <v>17554862.012103021</v>
      </c>
      <c r="E127" s="378">
        <f>IF(+J96&lt;F126,J96,D127)</f>
        <v>1083182.466818182</v>
      </c>
      <c r="F127" s="55">
        <f t="shared" si="62"/>
        <v>16471679.545284839</v>
      </c>
      <c r="G127" s="55">
        <f t="shared" si="63"/>
        <v>17013270.778693929</v>
      </c>
      <c r="H127" s="380">
        <f t="shared" si="64"/>
        <v>3201782.8066505818</v>
      </c>
      <c r="I127" s="399">
        <f t="shared" si="65"/>
        <v>3201782.8066505818</v>
      </c>
      <c r="J127" s="54">
        <f t="shared" si="33"/>
        <v>0</v>
      </c>
      <c r="K127" s="54"/>
      <c r="L127" s="129"/>
      <c r="M127" s="54">
        <f t="shared" si="35"/>
        <v>0</v>
      </c>
      <c r="N127" s="129"/>
      <c r="O127" s="54">
        <f t="shared" si="37"/>
        <v>0</v>
      </c>
      <c r="P127" s="54">
        <f t="shared" si="38"/>
        <v>0</v>
      </c>
      <c r="Q127" s="1"/>
    </row>
    <row r="128" spans="2:17" ht="12.5">
      <c r="B128" s="7" t="str">
        <f t="shared" si="39"/>
        <v/>
      </c>
      <c r="C128" s="50">
        <f>IF(D93="","-",+C127+1)</f>
        <v>2041</v>
      </c>
      <c r="D128" s="12">
        <f>IF(F127+SUM(E$99:E127)=D$92,F127,D$92-SUM(E$99:E127))</f>
        <v>16471679.545284839</v>
      </c>
      <c r="E128" s="378">
        <f>IF(+J96&lt;F127,J96,D128)</f>
        <v>1083182.466818182</v>
      </c>
      <c r="F128" s="55">
        <f t="shared" si="62"/>
        <v>15388497.078466658</v>
      </c>
      <c r="G128" s="55">
        <f t="shared" si="63"/>
        <v>15930088.311875749</v>
      </c>
      <c r="H128" s="380">
        <f t="shared" si="64"/>
        <v>3066898.0586116943</v>
      </c>
      <c r="I128" s="399">
        <f t="shared" si="65"/>
        <v>3066898.0586116943</v>
      </c>
      <c r="J128" s="54">
        <f t="shared" si="33"/>
        <v>0</v>
      </c>
      <c r="K128" s="54"/>
      <c r="L128" s="129"/>
      <c r="M128" s="54">
        <f t="shared" si="35"/>
        <v>0</v>
      </c>
      <c r="N128" s="129"/>
      <c r="O128" s="54">
        <f t="shared" si="37"/>
        <v>0</v>
      </c>
      <c r="P128" s="54">
        <f t="shared" si="38"/>
        <v>0</v>
      </c>
      <c r="Q128" s="1"/>
    </row>
    <row r="129" spans="2:17" ht="12.5">
      <c r="B129" s="7" t="str">
        <f t="shared" si="39"/>
        <v/>
      </c>
      <c r="C129" s="50">
        <f>IF(D93="","-",+C128+1)</f>
        <v>2042</v>
      </c>
      <c r="D129" s="12">
        <f>IF(F128+SUM(E$99:E128)=D$92,F128,D$92-SUM(E$99:E128))</f>
        <v>15388497.078466658</v>
      </c>
      <c r="E129" s="378">
        <f>IF(+J96&lt;F128,J96,D129)</f>
        <v>1083182.466818182</v>
      </c>
      <c r="F129" s="55">
        <f t="shared" si="62"/>
        <v>14305314.611648476</v>
      </c>
      <c r="G129" s="55">
        <f t="shared" si="63"/>
        <v>14846905.845057566</v>
      </c>
      <c r="H129" s="380">
        <f t="shared" si="64"/>
        <v>2932013.3105728067</v>
      </c>
      <c r="I129" s="399">
        <f t="shared" si="65"/>
        <v>2932013.3105728067</v>
      </c>
      <c r="J129" s="54">
        <f t="shared" si="33"/>
        <v>0</v>
      </c>
      <c r="K129" s="54"/>
      <c r="L129" s="129"/>
      <c r="M129" s="54">
        <f t="shared" si="35"/>
        <v>0</v>
      </c>
      <c r="N129" s="129"/>
      <c r="O129" s="54">
        <f t="shared" si="37"/>
        <v>0</v>
      </c>
      <c r="P129" s="54">
        <f t="shared" si="38"/>
        <v>0</v>
      </c>
      <c r="Q129" s="1"/>
    </row>
    <row r="130" spans="2:17" ht="12.5">
      <c r="B130" s="7" t="str">
        <f t="shared" si="39"/>
        <v/>
      </c>
      <c r="C130" s="50">
        <f>IF(D93="","-",+C129+1)</f>
        <v>2043</v>
      </c>
      <c r="D130" s="12">
        <f>IF(F129+SUM(E$99:E129)=D$92,F129,D$92-SUM(E$99:E129))</f>
        <v>14305314.611648476</v>
      </c>
      <c r="E130" s="378">
        <f>IF(+J96&lt;F129,J96,D130)</f>
        <v>1083182.466818182</v>
      </c>
      <c r="F130" s="55">
        <f t="shared" si="62"/>
        <v>13222132.144830294</v>
      </c>
      <c r="G130" s="55">
        <f t="shared" si="63"/>
        <v>13763723.378239386</v>
      </c>
      <c r="H130" s="380">
        <f t="shared" si="64"/>
        <v>2797128.5625339192</v>
      </c>
      <c r="I130" s="399">
        <f t="shared" si="65"/>
        <v>2797128.5625339192</v>
      </c>
      <c r="J130" s="54">
        <f t="shared" si="33"/>
        <v>0</v>
      </c>
      <c r="K130" s="54"/>
      <c r="L130" s="129"/>
      <c r="M130" s="54">
        <f t="shared" si="35"/>
        <v>0</v>
      </c>
      <c r="N130" s="129"/>
      <c r="O130" s="54">
        <f t="shared" si="37"/>
        <v>0</v>
      </c>
      <c r="P130" s="54">
        <f t="shared" si="38"/>
        <v>0</v>
      </c>
      <c r="Q130" s="1"/>
    </row>
    <row r="131" spans="2:17" ht="12.5">
      <c r="B131" s="7" t="str">
        <f t="shared" si="39"/>
        <v/>
      </c>
      <c r="C131" s="50">
        <f>IF(D93="","-",+C130+1)</f>
        <v>2044</v>
      </c>
      <c r="D131" s="12">
        <f>IF(F130+SUM(E$99:E130)=D$92,F130,D$92-SUM(E$99:E130))</f>
        <v>13222132.144830294</v>
      </c>
      <c r="E131" s="378">
        <f>IF(+J96&lt;F130,J96,D131)</f>
        <v>1083182.466818182</v>
      </c>
      <c r="F131" s="55">
        <f t="shared" si="62"/>
        <v>12138949.678012112</v>
      </c>
      <c r="G131" s="55">
        <f t="shared" ref="G131:G154" si="66">+(F131+D131)/2</f>
        <v>12680540.911421202</v>
      </c>
      <c r="H131" s="380">
        <f t="shared" ref="H131:H154" si="67">+J$94*G131+E131</f>
        <v>2662243.8144950317</v>
      </c>
      <c r="I131" s="399">
        <f t="shared" ref="I131:I154" si="68">+J$95*G131+E131</f>
        <v>2662243.8144950317</v>
      </c>
      <c r="J131" s="54">
        <f t="shared" ref="J131:J154" si="69">+I131-H131</f>
        <v>0</v>
      </c>
      <c r="K131" s="54"/>
      <c r="L131" s="129"/>
      <c r="M131" s="54">
        <f t="shared" ref="M131:M154" si="70">IF(L131&lt;&gt;0,+H131-L131,0)</f>
        <v>0</v>
      </c>
      <c r="N131" s="129"/>
      <c r="O131" s="54">
        <f t="shared" ref="O131:O154" si="71">IF(N131&lt;&gt;0,+I131-N131,0)</f>
        <v>0</v>
      </c>
      <c r="P131" s="54">
        <f t="shared" ref="P131:P154" si="72">+O131-M131</f>
        <v>0</v>
      </c>
      <c r="Q131" s="1"/>
    </row>
    <row r="132" spans="2:17" ht="12.5">
      <c r="B132" s="7" t="str">
        <f t="shared" ref="B132:B154" si="73">IF(D132=F131,"","IU")</f>
        <v/>
      </c>
      <c r="C132" s="50">
        <f>IF(D93="","-",+C131+1)</f>
        <v>2045</v>
      </c>
      <c r="D132" s="12">
        <f>IF(F131+SUM(E$99:E131)=D$92,F131,D$92-SUM(E$99:E131))</f>
        <v>12138949.678012112</v>
      </c>
      <c r="E132" s="378">
        <f>IF(+J96&lt;F131,J96,D132)</f>
        <v>1083182.466818182</v>
      </c>
      <c r="F132" s="55">
        <f t="shared" ref="F132:F154" si="74">+D132-E132</f>
        <v>11055767.21119393</v>
      </c>
      <c r="G132" s="55">
        <f t="shared" si="66"/>
        <v>11597358.444603022</v>
      </c>
      <c r="H132" s="380">
        <f t="shared" si="67"/>
        <v>2527359.0664561447</v>
      </c>
      <c r="I132" s="399">
        <f t="shared" si="68"/>
        <v>2527359.0664561447</v>
      </c>
      <c r="J132" s="54">
        <f t="shared" si="69"/>
        <v>0</v>
      </c>
      <c r="K132" s="54"/>
      <c r="L132" s="129"/>
      <c r="M132" s="54">
        <f t="shared" si="70"/>
        <v>0</v>
      </c>
      <c r="N132" s="129"/>
      <c r="O132" s="54">
        <f t="shared" si="71"/>
        <v>0</v>
      </c>
      <c r="P132" s="54">
        <f t="shared" si="72"/>
        <v>0</v>
      </c>
      <c r="Q132" s="1"/>
    </row>
    <row r="133" spans="2:17" ht="12.5">
      <c r="B133" s="7" t="str">
        <f t="shared" si="73"/>
        <v/>
      </c>
      <c r="C133" s="50">
        <f>IF(D93="","-",+C132+1)</f>
        <v>2046</v>
      </c>
      <c r="D133" s="12">
        <f>IF(F132+SUM(E$99:E132)=D$92,F132,D$92-SUM(E$99:E132))</f>
        <v>11055767.21119393</v>
      </c>
      <c r="E133" s="378">
        <f>IF(+J96&lt;F132,J96,D133)</f>
        <v>1083182.466818182</v>
      </c>
      <c r="F133" s="55">
        <f t="shared" si="74"/>
        <v>9972584.7443757486</v>
      </c>
      <c r="G133" s="55">
        <f t="shared" si="66"/>
        <v>10514175.977784839</v>
      </c>
      <c r="H133" s="380">
        <f t="shared" si="67"/>
        <v>2392474.3184172567</v>
      </c>
      <c r="I133" s="399">
        <f t="shared" si="68"/>
        <v>2392474.3184172567</v>
      </c>
      <c r="J133" s="54">
        <f t="shared" si="69"/>
        <v>0</v>
      </c>
      <c r="K133" s="54"/>
      <c r="L133" s="129"/>
      <c r="M133" s="54">
        <f t="shared" si="70"/>
        <v>0</v>
      </c>
      <c r="N133" s="129"/>
      <c r="O133" s="54">
        <f t="shared" si="71"/>
        <v>0</v>
      </c>
      <c r="P133" s="54">
        <f t="shared" si="72"/>
        <v>0</v>
      </c>
      <c r="Q133" s="1"/>
    </row>
    <row r="134" spans="2:17" ht="12.5">
      <c r="B134" s="7" t="str">
        <f t="shared" si="73"/>
        <v/>
      </c>
      <c r="C134" s="50">
        <f>IF(D93="","-",+C133+1)</f>
        <v>2047</v>
      </c>
      <c r="D134" s="12">
        <f>IF(F133+SUM(E$99:E133)=D$92,F133,D$92-SUM(E$99:E133))</f>
        <v>9972584.7443757486</v>
      </c>
      <c r="E134" s="378">
        <f>IF(+J96&lt;F133,J96,D134)</f>
        <v>1083182.466818182</v>
      </c>
      <c r="F134" s="55">
        <f t="shared" si="74"/>
        <v>8889402.2775575668</v>
      </c>
      <c r="G134" s="55">
        <f t="shared" si="66"/>
        <v>9430993.5109666586</v>
      </c>
      <c r="H134" s="380">
        <f t="shared" si="67"/>
        <v>2257589.5703783697</v>
      </c>
      <c r="I134" s="399">
        <f t="shared" si="68"/>
        <v>2257589.5703783697</v>
      </c>
      <c r="J134" s="54">
        <f t="shared" si="69"/>
        <v>0</v>
      </c>
      <c r="K134" s="54"/>
      <c r="L134" s="129"/>
      <c r="M134" s="54">
        <f t="shared" si="70"/>
        <v>0</v>
      </c>
      <c r="N134" s="129"/>
      <c r="O134" s="54">
        <f t="shared" si="71"/>
        <v>0</v>
      </c>
      <c r="P134" s="54">
        <f t="shared" si="72"/>
        <v>0</v>
      </c>
      <c r="Q134" s="1"/>
    </row>
    <row r="135" spans="2:17" ht="12.5">
      <c r="B135" s="7" t="str">
        <f t="shared" si="73"/>
        <v/>
      </c>
      <c r="C135" s="50">
        <f>IF(D93="","-",+C134+1)</f>
        <v>2048</v>
      </c>
      <c r="D135" s="12">
        <f>IF(F134+SUM(E$99:E134)=D$92,F134,D$92-SUM(E$99:E134))</f>
        <v>8889402.2775575668</v>
      </c>
      <c r="E135" s="378">
        <f>IF(+J96&lt;F134,J96,D135)</f>
        <v>1083182.466818182</v>
      </c>
      <c r="F135" s="55">
        <f t="shared" si="74"/>
        <v>7806219.810739385</v>
      </c>
      <c r="G135" s="55">
        <f t="shared" si="66"/>
        <v>8347811.0441484759</v>
      </c>
      <c r="H135" s="380">
        <f t="shared" si="67"/>
        <v>2122704.8223394821</v>
      </c>
      <c r="I135" s="399">
        <f t="shared" si="68"/>
        <v>2122704.8223394821</v>
      </c>
      <c r="J135" s="54">
        <f t="shared" si="69"/>
        <v>0</v>
      </c>
      <c r="K135" s="54"/>
      <c r="L135" s="129"/>
      <c r="M135" s="54">
        <f t="shared" si="70"/>
        <v>0</v>
      </c>
      <c r="N135" s="129"/>
      <c r="O135" s="54">
        <f t="shared" si="71"/>
        <v>0</v>
      </c>
      <c r="P135" s="54">
        <f t="shared" si="72"/>
        <v>0</v>
      </c>
      <c r="Q135" s="1"/>
    </row>
    <row r="136" spans="2:17" ht="12.5">
      <c r="B136" s="7" t="str">
        <f t="shared" si="73"/>
        <v/>
      </c>
      <c r="C136" s="50">
        <f>IF(D93="","-",+C135+1)</f>
        <v>2049</v>
      </c>
      <c r="D136" s="12">
        <f>IF(F135+SUM(E$99:E135)=D$92,F135,D$92-SUM(E$99:E135))</f>
        <v>7806219.810739385</v>
      </c>
      <c r="E136" s="378">
        <f>IF(+J96&lt;F135,J96,D136)</f>
        <v>1083182.466818182</v>
      </c>
      <c r="F136" s="55">
        <f t="shared" si="74"/>
        <v>6723037.3439212032</v>
      </c>
      <c r="G136" s="55">
        <f t="shared" si="66"/>
        <v>7264628.5773302941</v>
      </c>
      <c r="H136" s="380">
        <f t="shared" si="67"/>
        <v>1987820.0743005946</v>
      </c>
      <c r="I136" s="399">
        <f t="shared" si="68"/>
        <v>1987820.0743005946</v>
      </c>
      <c r="J136" s="54">
        <f t="shared" si="69"/>
        <v>0</v>
      </c>
      <c r="K136" s="54"/>
      <c r="L136" s="129"/>
      <c r="M136" s="54">
        <f t="shared" si="70"/>
        <v>0</v>
      </c>
      <c r="N136" s="129"/>
      <c r="O136" s="54">
        <f t="shared" si="71"/>
        <v>0</v>
      </c>
      <c r="P136" s="54">
        <f t="shared" si="72"/>
        <v>0</v>
      </c>
      <c r="Q136" s="1"/>
    </row>
    <row r="137" spans="2:17" ht="12.5">
      <c r="B137" s="7" t="str">
        <f t="shared" si="73"/>
        <v/>
      </c>
      <c r="C137" s="50">
        <f>IF(D93="","-",+C136+1)</f>
        <v>2050</v>
      </c>
      <c r="D137" s="12">
        <f>IF(F136+SUM(E$99:E136)=D$92,F136,D$92-SUM(E$99:E136))</f>
        <v>6723037.3439212032</v>
      </c>
      <c r="E137" s="378">
        <f>IF(+J96&lt;F136,J96,D137)</f>
        <v>1083182.466818182</v>
      </c>
      <c r="F137" s="55">
        <f t="shared" si="74"/>
        <v>5639854.8771030214</v>
      </c>
      <c r="G137" s="55">
        <f t="shared" si="66"/>
        <v>6181446.1105121123</v>
      </c>
      <c r="H137" s="380">
        <f t="shared" si="67"/>
        <v>1852935.3262617073</v>
      </c>
      <c r="I137" s="399">
        <f t="shared" si="68"/>
        <v>1852935.3262617073</v>
      </c>
      <c r="J137" s="54">
        <f t="shared" si="69"/>
        <v>0</v>
      </c>
      <c r="K137" s="54"/>
      <c r="L137" s="129"/>
      <c r="M137" s="54">
        <f t="shared" si="70"/>
        <v>0</v>
      </c>
      <c r="N137" s="129"/>
      <c r="O137" s="54">
        <f t="shared" si="71"/>
        <v>0</v>
      </c>
      <c r="P137" s="54">
        <f t="shared" si="72"/>
        <v>0</v>
      </c>
      <c r="Q137" s="1"/>
    </row>
    <row r="138" spans="2:17" ht="12.5">
      <c r="B138" s="7" t="str">
        <f t="shared" si="73"/>
        <v/>
      </c>
      <c r="C138" s="50">
        <f>IF(D93="","-",+C137+1)</f>
        <v>2051</v>
      </c>
      <c r="D138" s="12">
        <f>IF(F137+SUM(E$99:E137)=D$92,F137,D$92-SUM(E$99:E137))</f>
        <v>5639854.8771030214</v>
      </c>
      <c r="E138" s="378">
        <f>IF(+J96&lt;F137,J96,D138)</f>
        <v>1083182.466818182</v>
      </c>
      <c r="F138" s="55">
        <f t="shared" si="74"/>
        <v>4556672.4102848396</v>
      </c>
      <c r="G138" s="55">
        <f t="shared" si="66"/>
        <v>5098263.6436939305</v>
      </c>
      <c r="H138" s="380">
        <f t="shared" si="67"/>
        <v>1718050.5782228198</v>
      </c>
      <c r="I138" s="399">
        <f t="shared" si="68"/>
        <v>1718050.5782228198</v>
      </c>
      <c r="J138" s="54">
        <f t="shared" si="69"/>
        <v>0</v>
      </c>
      <c r="K138" s="54"/>
      <c r="L138" s="129"/>
      <c r="M138" s="54">
        <f t="shared" si="70"/>
        <v>0</v>
      </c>
      <c r="N138" s="129"/>
      <c r="O138" s="54">
        <f t="shared" si="71"/>
        <v>0</v>
      </c>
      <c r="P138" s="54">
        <f t="shared" si="72"/>
        <v>0</v>
      </c>
      <c r="Q138" s="1"/>
    </row>
    <row r="139" spans="2:17" ht="12.5">
      <c r="B139" s="7" t="str">
        <f t="shared" si="73"/>
        <v/>
      </c>
      <c r="C139" s="50">
        <f>IF(D93="","-",+C138+1)</f>
        <v>2052</v>
      </c>
      <c r="D139" s="12">
        <f>IF(F138+SUM(E$99:E138)=D$92,F138,D$92-SUM(E$99:E138))</f>
        <v>4556672.4102848396</v>
      </c>
      <c r="E139" s="378">
        <f>IF(+J96&lt;F138,J96,D139)</f>
        <v>1083182.466818182</v>
      </c>
      <c r="F139" s="55">
        <f t="shared" si="74"/>
        <v>3473489.9434666578</v>
      </c>
      <c r="G139" s="55">
        <f t="shared" si="66"/>
        <v>4015081.1768757487</v>
      </c>
      <c r="H139" s="380">
        <f t="shared" si="67"/>
        <v>1583165.8301839326</v>
      </c>
      <c r="I139" s="399">
        <f t="shared" si="68"/>
        <v>1583165.8301839326</v>
      </c>
      <c r="J139" s="54">
        <f t="shared" si="69"/>
        <v>0</v>
      </c>
      <c r="K139" s="54"/>
      <c r="L139" s="129"/>
      <c r="M139" s="54">
        <f t="shared" si="70"/>
        <v>0</v>
      </c>
      <c r="N139" s="129"/>
      <c r="O139" s="54">
        <f t="shared" si="71"/>
        <v>0</v>
      </c>
      <c r="P139" s="54">
        <f t="shared" si="72"/>
        <v>0</v>
      </c>
      <c r="Q139" s="1"/>
    </row>
    <row r="140" spans="2:17" ht="12.5">
      <c r="B140" s="7" t="str">
        <f t="shared" si="73"/>
        <v/>
      </c>
      <c r="C140" s="50">
        <f>IF(D93="","-",+C139+1)</f>
        <v>2053</v>
      </c>
      <c r="D140" s="12">
        <f>IF(F139+SUM(E$99:E139)=D$92,F139,D$92-SUM(E$99:E139))</f>
        <v>3473489.9434666578</v>
      </c>
      <c r="E140" s="378">
        <f>IF(+J96&lt;F139,J96,D140)</f>
        <v>1083182.466818182</v>
      </c>
      <c r="F140" s="55">
        <f t="shared" si="74"/>
        <v>2390307.476648476</v>
      </c>
      <c r="G140" s="55">
        <f t="shared" si="66"/>
        <v>2931898.7100575669</v>
      </c>
      <c r="H140" s="380">
        <f t="shared" si="67"/>
        <v>1448281.082145045</v>
      </c>
      <c r="I140" s="399">
        <f t="shared" si="68"/>
        <v>1448281.082145045</v>
      </c>
      <c r="J140" s="54">
        <f t="shared" si="69"/>
        <v>0</v>
      </c>
      <c r="K140" s="54"/>
      <c r="L140" s="129"/>
      <c r="M140" s="54">
        <f t="shared" si="70"/>
        <v>0</v>
      </c>
      <c r="N140" s="129"/>
      <c r="O140" s="54">
        <f t="shared" si="71"/>
        <v>0</v>
      </c>
      <c r="P140" s="54">
        <f t="shared" si="72"/>
        <v>0</v>
      </c>
      <c r="Q140" s="1"/>
    </row>
    <row r="141" spans="2:17" ht="12.5">
      <c r="B141" s="7" t="str">
        <f t="shared" si="73"/>
        <v/>
      </c>
      <c r="C141" s="50">
        <f>IF(D93="","-",+C140+1)</f>
        <v>2054</v>
      </c>
      <c r="D141" s="12">
        <f>IF(F140+SUM(E$99:E140)=D$92,F140,D$92-SUM(E$99:E140))</f>
        <v>2390307.476648476</v>
      </c>
      <c r="E141" s="378">
        <f>IF(+J96&lt;F140,J96,D141)</f>
        <v>1083182.466818182</v>
      </c>
      <c r="F141" s="55">
        <f t="shared" si="74"/>
        <v>1307125.0098302939</v>
      </c>
      <c r="G141" s="55">
        <f t="shared" si="66"/>
        <v>1848716.2432393851</v>
      </c>
      <c r="H141" s="380">
        <f t="shared" si="67"/>
        <v>1313396.3341061575</v>
      </c>
      <c r="I141" s="399">
        <f t="shared" si="68"/>
        <v>1313396.3341061575</v>
      </c>
      <c r="J141" s="54">
        <f t="shared" si="69"/>
        <v>0</v>
      </c>
      <c r="K141" s="54"/>
      <c r="L141" s="129"/>
      <c r="M141" s="54">
        <f t="shared" si="70"/>
        <v>0</v>
      </c>
      <c r="N141" s="129"/>
      <c r="O141" s="54">
        <f t="shared" si="71"/>
        <v>0</v>
      </c>
      <c r="P141" s="54">
        <f t="shared" si="72"/>
        <v>0</v>
      </c>
      <c r="Q141" s="1"/>
    </row>
    <row r="142" spans="2:17" ht="12.5">
      <c r="B142" s="7" t="str">
        <f t="shared" si="73"/>
        <v/>
      </c>
      <c r="C142" s="50">
        <f>IF(D93="","-",+C141+1)</f>
        <v>2055</v>
      </c>
      <c r="D142" s="12">
        <f>IF(F141+SUM(E$99:E141)=D$92,F141,D$92-SUM(E$99:E141))</f>
        <v>1307125.0098302939</v>
      </c>
      <c r="E142" s="378">
        <f>IF(+J96&lt;F141,J96,D142)</f>
        <v>1083182.466818182</v>
      </c>
      <c r="F142" s="55">
        <f t="shared" si="74"/>
        <v>223942.54301211191</v>
      </c>
      <c r="G142" s="55">
        <f t="shared" si="66"/>
        <v>765533.77642120293</v>
      </c>
      <c r="H142" s="380">
        <f t="shared" si="67"/>
        <v>1178511.5860672703</v>
      </c>
      <c r="I142" s="399">
        <f t="shared" si="68"/>
        <v>1178511.5860672703</v>
      </c>
      <c r="J142" s="54">
        <f t="shared" si="69"/>
        <v>0</v>
      </c>
      <c r="K142" s="54"/>
      <c r="L142" s="129"/>
      <c r="M142" s="54">
        <f t="shared" si="70"/>
        <v>0</v>
      </c>
      <c r="N142" s="129"/>
      <c r="O142" s="54">
        <f t="shared" si="71"/>
        <v>0</v>
      </c>
      <c r="P142" s="54">
        <f t="shared" si="72"/>
        <v>0</v>
      </c>
      <c r="Q142" s="1"/>
    </row>
    <row r="143" spans="2:17" ht="12.5">
      <c r="B143" s="7" t="str">
        <f t="shared" si="73"/>
        <v/>
      </c>
      <c r="C143" s="50">
        <f>IF(D93="","-",+C142+1)</f>
        <v>2056</v>
      </c>
      <c r="D143" s="12">
        <f>IF(F142+SUM(E$99:E142)=D$92,F142,D$92-SUM(E$99:E142))</f>
        <v>223942.54301211191</v>
      </c>
      <c r="E143" s="378">
        <f>IF(+J96&lt;F142,J96,D143)</f>
        <v>223942.54301211191</v>
      </c>
      <c r="F143" s="55">
        <f t="shared" si="74"/>
        <v>0</v>
      </c>
      <c r="G143" s="55">
        <f t="shared" si="66"/>
        <v>111971.27150605596</v>
      </c>
      <c r="H143" s="380">
        <f t="shared" si="67"/>
        <v>237885.91562693412</v>
      </c>
      <c r="I143" s="399">
        <f t="shared" si="68"/>
        <v>237885.91562693412</v>
      </c>
      <c r="J143" s="54">
        <f t="shared" si="69"/>
        <v>0</v>
      </c>
      <c r="K143" s="54"/>
      <c r="L143" s="129"/>
      <c r="M143" s="54">
        <f t="shared" si="70"/>
        <v>0</v>
      </c>
      <c r="N143" s="129"/>
      <c r="O143" s="54">
        <f t="shared" si="71"/>
        <v>0</v>
      </c>
      <c r="P143" s="54">
        <f t="shared" si="72"/>
        <v>0</v>
      </c>
      <c r="Q143" s="1"/>
    </row>
    <row r="144" spans="2:17" ht="12.5">
      <c r="B144" s="7" t="str">
        <f t="shared" si="73"/>
        <v/>
      </c>
      <c r="C144" s="50">
        <f>IF(D93="","-",+C143+1)</f>
        <v>2057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74"/>
        <v>0</v>
      </c>
      <c r="G144" s="55">
        <f t="shared" si="66"/>
        <v>0</v>
      </c>
      <c r="H144" s="380">
        <f t="shared" si="67"/>
        <v>0</v>
      </c>
      <c r="I144" s="399">
        <f t="shared" si="68"/>
        <v>0</v>
      </c>
      <c r="J144" s="54">
        <f t="shared" si="69"/>
        <v>0</v>
      </c>
      <c r="K144" s="54"/>
      <c r="L144" s="129"/>
      <c r="M144" s="54">
        <f t="shared" si="70"/>
        <v>0</v>
      </c>
      <c r="N144" s="129"/>
      <c r="O144" s="54">
        <f t="shared" si="71"/>
        <v>0</v>
      </c>
      <c r="P144" s="54">
        <f t="shared" si="72"/>
        <v>0</v>
      </c>
      <c r="Q144" s="1"/>
    </row>
    <row r="145" spans="2:17" ht="12.5">
      <c r="B145" s="7" t="str">
        <f t="shared" si="73"/>
        <v/>
      </c>
      <c r="C145" s="50">
        <f>IF(D93="","-",+C144+1)</f>
        <v>2058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74"/>
        <v>0</v>
      </c>
      <c r="G145" s="55">
        <f t="shared" si="66"/>
        <v>0</v>
      </c>
      <c r="H145" s="380">
        <f t="shared" si="67"/>
        <v>0</v>
      </c>
      <c r="I145" s="399">
        <f t="shared" si="68"/>
        <v>0</v>
      </c>
      <c r="J145" s="54">
        <f t="shared" si="69"/>
        <v>0</v>
      </c>
      <c r="K145" s="54"/>
      <c r="L145" s="129"/>
      <c r="M145" s="54">
        <f t="shared" si="70"/>
        <v>0</v>
      </c>
      <c r="N145" s="129"/>
      <c r="O145" s="54">
        <f t="shared" si="71"/>
        <v>0</v>
      </c>
      <c r="P145" s="54">
        <f t="shared" si="72"/>
        <v>0</v>
      </c>
      <c r="Q145" s="1"/>
    </row>
    <row r="146" spans="2:17" ht="12.5">
      <c r="B146" s="7" t="str">
        <f t="shared" si="73"/>
        <v/>
      </c>
      <c r="C146" s="50">
        <f>IF(D93="","-",+C145+1)</f>
        <v>2059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74"/>
        <v>0</v>
      </c>
      <c r="G146" s="55">
        <f t="shared" si="66"/>
        <v>0</v>
      </c>
      <c r="H146" s="380">
        <f t="shared" si="67"/>
        <v>0</v>
      </c>
      <c r="I146" s="399">
        <f t="shared" si="68"/>
        <v>0</v>
      </c>
      <c r="J146" s="54">
        <f t="shared" si="69"/>
        <v>0</v>
      </c>
      <c r="K146" s="54"/>
      <c r="L146" s="129"/>
      <c r="M146" s="54">
        <f t="shared" si="70"/>
        <v>0</v>
      </c>
      <c r="N146" s="129"/>
      <c r="O146" s="54">
        <f t="shared" si="71"/>
        <v>0</v>
      </c>
      <c r="P146" s="54">
        <f t="shared" si="72"/>
        <v>0</v>
      </c>
      <c r="Q146" s="1"/>
    </row>
    <row r="147" spans="2:17" ht="12.5">
      <c r="B147" s="7" t="str">
        <f t="shared" si="73"/>
        <v/>
      </c>
      <c r="C147" s="50">
        <f>IF(D93="","-",+C146+1)</f>
        <v>2060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74"/>
        <v>0</v>
      </c>
      <c r="G147" s="55">
        <f t="shared" si="66"/>
        <v>0</v>
      </c>
      <c r="H147" s="380">
        <f t="shared" si="67"/>
        <v>0</v>
      </c>
      <c r="I147" s="399">
        <f t="shared" si="68"/>
        <v>0</v>
      </c>
      <c r="J147" s="54">
        <f t="shared" si="69"/>
        <v>0</v>
      </c>
      <c r="K147" s="54"/>
      <c r="L147" s="129"/>
      <c r="M147" s="54">
        <f t="shared" si="70"/>
        <v>0</v>
      </c>
      <c r="N147" s="129"/>
      <c r="O147" s="54">
        <f t="shared" si="71"/>
        <v>0</v>
      </c>
      <c r="P147" s="54">
        <f t="shared" si="72"/>
        <v>0</v>
      </c>
      <c r="Q147" s="1"/>
    </row>
    <row r="148" spans="2:17" ht="12.5">
      <c r="B148" s="7" t="str">
        <f t="shared" si="73"/>
        <v/>
      </c>
      <c r="C148" s="50">
        <f>IF(D93="","-",+C147+1)</f>
        <v>2061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74"/>
        <v>0</v>
      </c>
      <c r="G148" s="55">
        <f t="shared" si="66"/>
        <v>0</v>
      </c>
      <c r="H148" s="380">
        <f t="shared" si="67"/>
        <v>0</v>
      </c>
      <c r="I148" s="399">
        <f t="shared" si="68"/>
        <v>0</v>
      </c>
      <c r="J148" s="54">
        <f t="shared" si="69"/>
        <v>0</v>
      </c>
      <c r="K148" s="54"/>
      <c r="L148" s="129"/>
      <c r="M148" s="54">
        <f t="shared" si="70"/>
        <v>0</v>
      </c>
      <c r="N148" s="129"/>
      <c r="O148" s="54">
        <f t="shared" si="71"/>
        <v>0</v>
      </c>
      <c r="P148" s="54">
        <f t="shared" si="72"/>
        <v>0</v>
      </c>
      <c r="Q148" s="1"/>
    </row>
    <row r="149" spans="2:17" ht="12.5">
      <c r="B149" s="7" t="str">
        <f t="shared" si="73"/>
        <v/>
      </c>
      <c r="C149" s="50">
        <f>IF(D93="","-",+C148+1)</f>
        <v>2062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74"/>
        <v>0</v>
      </c>
      <c r="G149" s="55">
        <f t="shared" si="66"/>
        <v>0</v>
      </c>
      <c r="H149" s="380">
        <f t="shared" si="67"/>
        <v>0</v>
      </c>
      <c r="I149" s="399">
        <f t="shared" si="68"/>
        <v>0</v>
      </c>
      <c r="J149" s="54">
        <f t="shared" si="69"/>
        <v>0</v>
      </c>
      <c r="K149" s="54"/>
      <c r="L149" s="129"/>
      <c r="M149" s="54">
        <f t="shared" si="70"/>
        <v>0</v>
      </c>
      <c r="N149" s="129"/>
      <c r="O149" s="54">
        <f t="shared" si="71"/>
        <v>0</v>
      </c>
      <c r="P149" s="54">
        <f t="shared" si="72"/>
        <v>0</v>
      </c>
      <c r="Q149" s="1"/>
    </row>
    <row r="150" spans="2:17" ht="12.5">
      <c r="B150" s="7" t="str">
        <f t="shared" si="73"/>
        <v/>
      </c>
      <c r="C150" s="50">
        <f>IF(D93="","-",+C149+1)</f>
        <v>2063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74"/>
        <v>0</v>
      </c>
      <c r="G150" s="55">
        <f t="shared" si="66"/>
        <v>0</v>
      </c>
      <c r="H150" s="380">
        <f t="shared" si="67"/>
        <v>0</v>
      </c>
      <c r="I150" s="399">
        <f t="shared" si="68"/>
        <v>0</v>
      </c>
      <c r="J150" s="54">
        <f t="shared" si="69"/>
        <v>0</v>
      </c>
      <c r="K150" s="54"/>
      <c r="L150" s="129"/>
      <c r="M150" s="54">
        <f t="shared" si="70"/>
        <v>0</v>
      </c>
      <c r="N150" s="129"/>
      <c r="O150" s="54">
        <f t="shared" si="71"/>
        <v>0</v>
      </c>
      <c r="P150" s="54">
        <f t="shared" si="72"/>
        <v>0</v>
      </c>
      <c r="Q150" s="1"/>
    </row>
    <row r="151" spans="2:17" ht="12.5">
      <c r="B151" s="7" t="str">
        <f t="shared" si="73"/>
        <v/>
      </c>
      <c r="C151" s="50">
        <f>IF(D93="","-",+C150+1)</f>
        <v>2064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74"/>
        <v>0</v>
      </c>
      <c r="G151" s="55">
        <f t="shared" si="66"/>
        <v>0</v>
      </c>
      <c r="H151" s="380">
        <f t="shared" si="67"/>
        <v>0</v>
      </c>
      <c r="I151" s="399">
        <f t="shared" si="68"/>
        <v>0</v>
      </c>
      <c r="J151" s="54">
        <f t="shared" si="69"/>
        <v>0</v>
      </c>
      <c r="K151" s="54"/>
      <c r="L151" s="129"/>
      <c r="M151" s="54">
        <f t="shared" si="70"/>
        <v>0</v>
      </c>
      <c r="N151" s="129"/>
      <c r="O151" s="54">
        <f t="shared" si="71"/>
        <v>0</v>
      </c>
      <c r="P151" s="54">
        <f t="shared" si="72"/>
        <v>0</v>
      </c>
      <c r="Q151" s="1"/>
    </row>
    <row r="152" spans="2:17" ht="12.5">
      <c r="B152" s="7" t="str">
        <f t="shared" si="73"/>
        <v/>
      </c>
      <c r="C152" s="50">
        <f>IF(D93="","-",+C151+1)</f>
        <v>2065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74"/>
        <v>0</v>
      </c>
      <c r="G152" s="55">
        <f t="shared" si="66"/>
        <v>0</v>
      </c>
      <c r="H152" s="380">
        <f t="shared" si="67"/>
        <v>0</v>
      </c>
      <c r="I152" s="399">
        <f t="shared" si="68"/>
        <v>0</v>
      </c>
      <c r="J152" s="54">
        <f t="shared" si="69"/>
        <v>0</v>
      </c>
      <c r="K152" s="54"/>
      <c r="L152" s="129"/>
      <c r="M152" s="54">
        <f t="shared" si="70"/>
        <v>0</v>
      </c>
      <c r="N152" s="129"/>
      <c r="O152" s="54">
        <f t="shared" si="71"/>
        <v>0</v>
      </c>
      <c r="P152" s="54">
        <f t="shared" si="72"/>
        <v>0</v>
      </c>
      <c r="Q152" s="1"/>
    </row>
    <row r="153" spans="2:17" ht="12.5">
      <c r="B153" s="7" t="str">
        <f t="shared" si="73"/>
        <v/>
      </c>
      <c r="C153" s="50">
        <f>IF(D93="","-",+C152+1)</f>
        <v>2066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74"/>
        <v>0</v>
      </c>
      <c r="G153" s="55">
        <f t="shared" si="66"/>
        <v>0</v>
      </c>
      <c r="H153" s="380">
        <f t="shared" si="67"/>
        <v>0</v>
      </c>
      <c r="I153" s="399">
        <f t="shared" si="68"/>
        <v>0</v>
      </c>
      <c r="J153" s="54">
        <f t="shared" si="69"/>
        <v>0</v>
      </c>
      <c r="K153" s="54"/>
      <c r="L153" s="129"/>
      <c r="M153" s="54">
        <f t="shared" si="70"/>
        <v>0</v>
      </c>
      <c r="N153" s="129"/>
      <c r="O153" s="54">
        <f t="shared" si="71"/>
        <v>0</v>
      </c>
      <c r="P153" s="54">
        <f t="shared" si="72"/>
        <v>0</v>
      </c>
      <c r="Q153" s="1"/>
    </row>
    <row r="154" spans="2:17" ht="13" thickBot="1">
      <c r="B154" s="7" t="str">
        <f t="shared" si="73"/>
        <v/>
      </c>
      <c r="C154" s="59">
        <f>IF(D93="","-",+C153+1)</f>
        <v>2067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74"/>
        <v>0</v>
      </c>
      <c r="G154" s="60">
        <f t="shared" si="66"/>
        <v>0</v>
      </c>
      <c r="H154" s="382">
        <f t="shared" si="67"/>
        <v>0</v>
      </c>
      <c r="I154" s="400">
        <f t="shared" si="68"/>
        <v>0</v>
      </c>
      <c r="J154" s="64">
        <f t="shared" si="69"/>
        <v>0</v>
      </c>
      <c r="K154" s="54"/>
      <c r="L154" s="130"/>
      <c r="M154" s="64">
        <f t="shared" si="70"/>
        <v>0</v>
      </c>
      <c r="N154" s="130"/>
      <c r="O154" s="64">
        <f t="shared" si="71"/>
        <v>0</v>
      </c>
      <c r="P154" s="64">
        <f t="shared" si="72"/>
        <v>0</v>
      </c>
      <c r="Q154" s="1"/>
    </row>
    <row r="155" spans="2:17" ht="12.5">
      <c r="C155" s="12" t="s">
        <v>78</v>
      </c>
      <c r="D155" s="293"/>
      <c r="E155" s="293">
        <f>SUM(E99:E154)</f>
        <v>47660028.540000029</v>
      </c>
      <c r="F155" s="293"/>
      <c r="G155" s="293"/>
      <c r="H155" s="293">
        <f>SUM(H99:H154)</f>
        <v>175773323.0940524</v>
      </c>
      <c r="I155" s="293">
        <f>SUM(I99:I154)</f>
        <v>175773323.0940524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 ht="12.5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 ht="12.5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97" priority="1" stopIfTrue="1" operator="equal">
      <formula>$I$10</formula>
    </cfRule>
  </conditionalFormatting>
  <conditionalFormatting sqref="C99:C154">
    <cfRule type="cellIs" dxfId="9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82"/>
  <dimension ref="A1:Q162"/>
  <sheetViews>
    <sheetView topLeftCell="C74" zoomScaleNormal="100" zoomScaleSheetLayoutView="75" workbookViewId="0">
      <selection activeCell="D29" sqref="D29:H29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31 of 77</v>
      </c>
      <c r="Q1" s="13"/>
    </row>
    <row r="2" spans="1:17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24851.183022536876</v>
      </c>
      <c r="P5" s="1"/>
    </row>
    <row r="6" spans="1:17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24851.183022536876</v>
      </c>
      <c r="O6" s="1"/>
      <c r="P6" s="1"/>
    </row>
    <row r="7" spans="1:17" ht="13.5" thickBot="1">
      <c r="C7" s="25" t="s">
        <v>48</v>
      </c>
      <c r="D7" s="127" t="s">
        <v>286</v>
      </c>
      <c r="E7" s="1"/>
      <c r="F7" s="1"/>
      <c r="G7" s="29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104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424" t="s">
        <v>285</v>
      </c>
      <c r="E9" s="31" t="s">
        <v>494</v>
      </c>
      <c r="F9" s="462">
        <v>391</v>
      </c>
      <c r="G9" s="31"/>
      <c r="H9" s="31"/>
      <c r="I9" s="32"/>
      <c r="J9" s="33"/>
      <c r="P9" s="1"/>
    </row>
    <row r="10" spans="1:17" ht="13">
      <c r="C10" s="34" t="s">
        <v>51</v>
      </c>
      <c r="D10" s="363">
        <v>230750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7" ht="12.5">
      <c r="C11" s="34" t="s">
        <v>54</v>
      </c>
      <c r="D11" s="37">
        <v>2012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3">
        <v>6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5244.318181818182</v>
      </c>
      <c r="J14" s="293"/>
      <c r="K14" s="293"/>
      <c r="L14" s="293"/>
      <c r="M14" s="293"/>
      <c r="N14" s="293"/>
      <c r="O14" s="1"/>
      <c r="P14" s="1"/>
    </row>
    <row r="15" spans="1:17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2012</v>
      </c>
      <c r="D17" s="133">
        <v>284100</v>
      </c>
      <c r="E17" s="374">
        <v>3382.1428571428578</v>
      </c>
      <c r="F17" s="133">
        <v>280717.85714285716</v>
      </c>
      <c r="G17" s="374">
        <v>45130.541890843866</v>
      </c>
      <c r="H17" s="375">
        <v>45130.541890843866</v>
      </c>
      <c r="I17" s="423">
        <v>0</v>
      </c>
      <c r="J17" s="52"/>
      <c r="K17" s="112">
        <f t="shared" ref="K17:K22" si="0">G17</f>
        <v>45130.541890843866</v>
      </c>
      <c r="L17" s="53">
        <f t="shared" ref="L17:L48" si="1">IF(K17&lt;&gt;0,+G17-K17,0)</f>
        <v>0</v>
      </c>
      <c r="M17" s="112">
        <f t="shared" ref="M17:M22" si="2">H17</f>
        <v>45130.541890843866</v>
      </c>
      <c r="N17" s="53">
        <f t="shared" ref="N17:N48" si="3">IF(M17&lt;&gt;0,+H17-M17,0)</f>
        <v>0</v>
      </c>
      <c r="O17" s="54">
        <f t="shared" ref="O17:O48" si="4">+N17-L17</f>
        <v>0</v>
      </c>
      <c r="P17" s="1"/>
    </row>
    <row r="18" spans="2:16" ht="12.5">
      <c r="B18" s="7" t="str">
        <f t="shared" ref="B18:B49" si="5">IF(D18=F17,"","IU")</f>
        <v>IU</v>
      </c>
      <c r="C18" s="50">
        <f>IF(D11="","-",+C17+1)</f>
        <v>2013</v>
      </c>
      <c r="D18" s="133">
        <v>227367.85714285713</v>
      </c>
      <c r="E18" s="376">
        <v>5494.0476190476193</v>
      </c>
      <c r="F18" s="133">
        <v>221873.8095238095</v>
      </c>
      <c r="G18" s="376">
        <v>36553.514803328042</v>
      </c>
      <c r="H18" s="375">
        <v>36553.514803328042</v>
      </c>
      <c r="I18" s="423">
        <v>0</v>
      </c>
      <c r="J18" s="52"/>
      <c r="K18" s="113">
        <f t="shared" si="0"/>
        <v>36553.514803328042</v>
      </c>
      <c r="L18" s="54">
        <f t="shared" ref="L18:L23" si="6">IF(K18&lt;&gt;0,+G18-K18,0)</f>
        <v>0</v>
      </c>
      <c r="M18" s="113">
        <f t="shared" si="2"/>
        <v>36553.514803328042</v>
      </c>
      <c r="N18" s="54">
        <f t="shared" ref="N18:N23" si="7">IF(M18&lt;&gt;0,+H18-M18,0)</f>
        <v>0</v>
      </c>
      <c r="O18" s="54">
        <f t="shared" ref="O18:O23" si="8">+N18-L18</f>
        <v>0</v>
      </c>
      <c r="P18" s="1"/>
    </row>
    <row r="19" spans="2:16" ht="12.5">
      <c r="B19" s="7" t="str">
        <f t="shared" si="5"/>
        <v/>
      </c>
      <c r="C19" s="50">
        <f>IF(D11="","-",+C18+1)</f>
        <v>2014</v>
      </c>
      <c r="D19" s="133">
        <v>221873.8095238095</v>
      </c>
      <c r="E19" s="376">
        <v>5494.0476190476193</v>
      </c>
      <c r="F19" s="133">
        <v>216379.76190476186</v>
      </c>
      <c r="G19" s="376">
        <v>34685.951272631864</v>
      </c>
      <c r="H19" s="375">
        <v>34685.951272631864</v>
      </c>
      <c r="I19" s="423">
        <v>0</v>
      </c>
      <c r="J19" s="52"/>
      <c r="K19" s="113">
        <f t="shared" si="0"/>
        <v>34685.951272631864</v>
      </c>
      <c r="L19" s="54">
        <f t="shared" si="6"/>
        <v>0</v>
      </c>
      <c r="M19" s="113">
        <f t="shared" si="2"/>
        <v>34685.951272631864</v>
      </c>
      <c r="N19" s="54">
        <f t="shared" si="7"/>
        <v>0</v>
      </c>
      <c r="O19" s="54">
        <f t="shared" si="8"/>
        <v>0</v>
      </c>
      <c r="P19" s="1"/>
    </row>
    <row r="20" spans="2:16" ht="12.5">
      <c r="B20" s="7" t="str">
        <f t="shared" si="5"/>
        <v/>
      </c>
      <c r="C20" s="50">
        <f>IF(D11="","-",+C19+1)</f>
        <v>2015</v>
      </c>
      <c r="D20" s="133">
        <v>216379.76190476186</v>
      </c>
      <c r="E20" s="376">
        <v>5494.0476190476193</v>
      </c>
      <c r="F20" s="133">
        <v>210885.71428571423</v>
      </c>
      <c r="G20" s="376">
        <v>33268.708647541804</v>
      </c>
      <c r="H20" s="375">
        <v>33268.708647541804</v>
      </c>
      <c r="I20" s="52">
        <v>0</v>
      </c>
      <c r="J20" s="52"/>
      <c r="K20" s="113">
        <f t="shared" si="0"/>
        <v>33268.708647541804</v>
      </c>
      <c r="L20" s="54">
        <f t="shared" si="6"/>
        <v>0</v>
      </c>
      <c r="M20" s="113">
        <f t="shared" si="2"/>
        <v>33268.708647541804</v>
      </c>
      <c r="N20" s="54">
        <f t="shared" si="7"/>
        <v>0</v>
      </c>
      <c r="O20" s="54">
        <f t="shared" si="8"/>
        <v>0</v>
      </c>
      <c r="P20" s="1"/>
    </row>
    <row r="21" spans="2:16" ht="12.5">
      <c r="B21" s="7" t="str">
        <f t="shared" si="5"/>
        <v/>
      </c>
      <c r="C21" s="50">
        <f>IF(D12="","-",+C20+1)</f>
        <v>2016</v>
      </c>
      <c r="D21" s="133">
        <v>210885.71428571423</v>
      </c>
      <c r="E21" s="376">
        <v>5494.0476190476193</v>
      </c>
      <c r="F21" s="133">
        <v>205391.6666666666</v>
      </c>
      <c r="G21" s="376">
        <v>32211.390488141627</v>
      </c>
      <c r="H21" s="375">
        <v>32211.390488141627</v>
      </c>
      <c r="I21" s="52">
        <f t="shared" ref="I21:I48" si="9">H21-G21</f>
        <v>0</v>
      </c>
      <c r="J21" s="52"/>
      <c r="K21" s="113">
        <f t="shared" si="0"/>
        <v>32211.390488141627</v>
      </c>
      <c r="L21" s="54">
        <f t="shared" si="6"/>
        <v>0</v>
      </c>
      <c r="M21" s="113">
        <f t="shared" si="2"/>
        <v>32211.390488141627</v>
      </c>
      <c r="N21" s="54">
        <f t="shared" si="7"/>
        <v>0</v>
      </c>
      <c r="O21" s="54">
        <f t="shared" si="8"/>
        <v>0</v>
      </c>
      <c r="P21" s="1"/>
    </row>
    <row r="22" spans="2:16" ht="12.5">
      <c r="B22" s="7" t="str">
        <f t="shared" si="5"/>
        <v/>
      </c>
      <c r="C22" s="50">
        <f>IF(D11="","-",+C21+1)</f>
        <v>2017</v>
      </c>
      <c r="D22" s="133">
        <v>205391.6666666666</v>
      </c>
      <c r="E22" s="376">
        <v>5366.2790697674418</v>
      </c>
      <c r="F22" s="133">
        <v>200025.38759689915</v>
      </c>
      <c r="G22" s="376">
        <v>30480.352081775804</v>
      </c>
      <c r="H22" s="375">
        <v>30480.352081775804</v>
      </c>
      <c r="I22" s="52">
        <f t="shared" si="9"/>
        <v>0</v>
      </c>
      <c r="J22" s="52"/>
      <c r="K22" s="113">
        <f t="shared" si="0"/>
        <v>30480.352081775804</v>
      </c>
      <c r="L22" s="54">
        <f t="shared" si="6"/>
        <v>0</v>
      </c>
      <c r="M22" s="113">
        <f t="shared" si="2"/>
        <v>30480.352081775804</v>
      </c>
      <c r="N22" s="54">
        <f t="shared" si="7"/>
        <v>0</v>
      </c>
      <c r="O22" s="54">
        <f t="shared" si="8"/>
        <v>0</v>
      </c>
      <c r="P22" s="1"/>
    </row>
    <row r="23" spans="2:16" ht="12.5">
      <c r="B23" s="7" t="str">
        <f t="shared" si="5"/>
        <v/>
      </c>
      <c r="C23" s="50">
        <f>IF(D11="","-",+C22+1)</f>
        <v>2018</v>
      </c>
      <c r="D23" s="133">
        <v>200025.38759689915</v>
      </c>
      <c r="E23" s="376">
        <v>5628.0487804878048</v>
      </c>
      <c r="F23" s="133">
        <v>194397.33881641136</v>
      </c>
      <c r="G23" s="376">
        <v>30692.449285651339</v>
      </c>
      <c r="H23" s="375">
        <v>30692.449285651339</v>
      </c>
      <c r="I23" s="52">
        <f t="shared" si="9"/>
        <v>0</v>
      </c>
      <c r="J23" s="52"/>
      <c r="K23" s="113">
        <f t="shared" ref="K23:K28" si="10">G23</f>
        <v>30692.449285651339</v>
      </c>
      <c r="L23" s="54">
        <f t="shared" si="6"/>
        <v>0</v>
      </c>
      <c r="M23" s="113">
        <f t="shared" ref="M23:M28" si="11">H23</f>
        <v>30692.449285651339</v>
      </c>
      <c r="N23" s="54">
        <f t="shared" si="7"/>
        <v>0</v>
      </c>
      <c r="O23" s="54">
        <f t="shared" si="8"/>
        <v>0</v>
      </c>
      <c r="P23" s="1"/>
    </row>
    <row r="24" spans="2:16" ht="12.5">
      <c r="B24" s="7" t="str">
        <f t="shared" si="5"/>
        <v/>
      </c>
      <c r="C24" s="50">
        <f>IF(D11="","-",+C23+1)</f>
        <v>2019</v>
      </c>
      <c r="D24" s="133">
        <v>194397.33881641136</v>
      </c>
      <c r="E24" s="376">
        <v>5628.0487804878048</v>
      </c>
      <c r="F24" s="133">
        <v>188769.29003592356</v>
      </c>
      <c r="G24" s="376">
        <v>29977.157497170956</v>
      </c>
      <c r="H24" s="375">
        <v>29977.157497170956</v>
      </c>
      <c r="I24" s="52">
        <f t="shared" si="9"/>
        <v>0</v>
      </c>
      <c r="J24" s="52"/>
      <c r="K24" s="113">
        <f t="shared" si="10"/>
        <v>29977.157497170956</v>
      </c>
      <c r="L24" s="54">
        <f t="shared" ref="L24" si="12">IF(K24&lt;&gt;0,+G24-K24,0)</f>
        <v>0</v>
      </c>
      <c r="M24" s="113">
        <f t="shared" si="11"/>
        <v>29977.157497170956</v>
      </c>
      <c r="N24" s="54">
        <f t="shared" si="3"/>
        <v>0</v>
      </c>
      <c r="O24" s="54">
        <f t="shared" si="4"/>
        <v>0</v>
      </c>
      <c r="P24" s="1"/>
    </row>
    <row r="25" spans="2:16" ht="12.5">
      <c r="B25" s="7" t="str">
        <f t="shared" si="5"/>
        <v/>
      </c>
      <c r="C25" s="50">
        <f>IF(D11="","-",+C24+1)</f>
        <v>2020</v>
      </c>
      <c r="D25" s="133">
        <v>188769.29003592356</v>
      </c>
      <c r="E25" s="376">
        <v>5628.0487804878048</v>
      </c>
      <c r="F25" s="133">
        <v>183141.24125543577</v>
      </c>
      <c r="G25" s="376">
        <v>24657.865553316573</v>
      </c>
      <c r="H25" s="375">
        <v>24657.865553316573</v>
      </c>
      <c r="I25" s="52">
        <f t="shared" si="9"/>
        <v>0</v>
      </c>
      <c r="J25" s="52"/>
      <c r="K25" s="113">
        <f t="shared" si="10"/>
        <v>24657.865553316573</v>
      </c>
      <c r="L25" s="54">
        <f t="shared" ref="L25" si="13">IF(K25&lt;&gt;0,+G25-K25,0)</f>
        <v>0</v>
      </c>
      <c r="M25" s="113">
        <f t="shared" si="11"/>
        <v>24657.865553316573</v>
      </c>
      <c r="N25" s="54">
        <f t="shared" si="3"/>
        <v>0</v>
      </c>
      <c r="O25" s="54">
        <f t="shared" si="4"/>
        <v>0</v>
      </c>
      <c r="P25" s="1"/>
    </row>
    <row r="26" spans="2:16" ht="12.5">
      <c r="B26" s="7" t="str">
        <f t="shared" si="5"/>
        <v>IU</v>
      </c>
      <c r="C26" s="50">
        <f>IF(D11="","-",+C25+1)</f>
        <v>2021</v>
      </c>
      <c r="D26" s="133">
        <v>183403.01096615617</v>
      </c>
      <c r="E26" s="376">
        <v>5494.0476190476193</v>
      </c>
      <c r="F26" s="133">
        <v>177908.96334710854</v>
      </c>
      <c r="G26" s="376">
        <v>24644.403346812211</v>
      </c>
      <c r="H26" s="375">
        <v>24644.403346812211</v>
      </c>
      <c r="I26" s="52">
        <f t="shared" si="9"/>
        <v>0</v>
      </c>
      <c r="J26" s="52"/>
      <c r="K26" s="113">
        <f t="shared" si="10"/>
        <v>24644.403346812211</v>
      </c>
      <c r="L26" s="54">
        <f t="shared" ref="L26" si="14">IF(K26&lt;&gt;0,+G26-K26,0)</f>
        <v>0</v>
      </c>
      <c r="M26" s="113">
        <f t="shared" si="11"/>
        <v>24644.403346812211</v>
      </c>
      <c r="N26" s="54">
        <f t="shared" si="3"/>
        <v>0</v>
      </c>
      <c r="O26" s="54">
        <f t="shared" si="4"/>
        <v>0</v>
      </c>
      <c r="P26" s="1"/>
    </row>
    <row r="27" spans="2:16" ht="12.5">
      <c r="B27" s="7" t="str">
        <f t="shared" si="5"/>
        <v>IU</v>
      </c>
      <c r="C27" s="50">
        <f>IF(D11="","-",+C26+1)</f>
        <v>2022</v>
      </c>
      <c r="D27" s="133">
        <v>177647.1936363882</v>
      </c>
      <c r="E27" s="376">
        <v>5494.0476190476193</v>
      </c>
      <c r="F27" s="133">
        <v>172153.14601734056</v>
      </c>
      <c r="G27" s="376">
        <v>25160.539259925026</v>
      </c>
      <c r="H27" s="375">
        <v>25160.539259925026</v>
      </c>
      <c r="I27" s="52">
        <f t="shared" si="9"/>
        <v>0</v>
      </c>
      <c r="J27" s="52"/>
      <c r="K27" s="113">
        <f t="shared" si="10"/>
        <v>25160.539259925026</v>
      </c>
      <c r="L27" s="54">
        <f t="shared" ref="L27" si="15">IF(K27&lt;&gt;0,+G27-K27,0)</f>
        <v>0</v>
      </c>
      <c r="M27" s="113">
        <f t="shared" si="11"/>
        <v>25160.539259925026</v>
      </c>
      <c r="N27" s="54">
        <f t="shared" si="3"/>
        <v>0</v>
      </c>
      <c r="O27" s="54">
        <f t="shared" si="4"/>
        <v>0</v>
      </c>
      <c r="P27" s="1"/>
    </row>
    <row r="28" spans="2:16" ht="12.5">
      <c r="B28" s="7" t="str">
        <f t="shared" si="5"/>
        <v/>
      </c>
      <c r="C28" s="50">
        <f>IF(D11="","-",+C27+1)</f>
        <v>2023</v>
      </c>
      <c r="D28" s="133">
        <v>172153.14601734056</v>
      </c>
      <c r="E28" s="376">
        <v>5494.0476190476193</v>
      </c>
      <c r="F28" s="133">
        <v>166659.09839829293</v>
      </c>
      <c r="G28" s="376">
        <v>26894.578901645269</v>
      </c>
      <c r="H28" s="375">
        <v>26894.578901645269</v>
      </c>
      <c r="I28" s="52">
        <f t="shared" si="9"/>
        <v>0</v>
      </c>
      <c r="J28" s="52"/>
      <c r="K28" s="113">
        <f t="shared" si="10"/>
        <v>26894.578901645269</v>
      </c>
      <c r="L28" s="54">
        <f t="shared" ref="L28" si="16">IF(K28&lt;&gt;0,+G28-K28,0)</f>
        <v>0</v>
      </c>
      <c r="M28" s="113">
        <f t="shared" si="11"/>
        <v>26894.578901645269</v>
      </c>
      <c r="N28" s="54">
        <f t="shared" si="3"/>
        <v>0</v>
      </c>
      <c r="O28" s="54">
        <f t="shared" si="4"/>
        <v>0</v>
      </c>
      <c r="P28" s="1"/>
    </row>
    <row r="29" spans="2:16" ht="12.5">
      <c r="B29" s="7" t="str">
        <f t="shared" si="5"/>
        <v/>
      </c>
      <c r="C29" s="50">
        <f>IF(D11="","-",+C28+1)</f>
        <v>2024</v>
      </c>
      <c r="D29" s="133">
        <v>166659.09839829293</v>
      </c>
      <c r="E29" s="376">
        <v>5244.318181818182</v>
      </c>
      <c r="F29" s="133">
        <v>161414.78021647476</v>
      </c>
      <c r="G29" s="376">
        <v>24851.183022536876</v>
      </c>
      <c r="H29" s="375">
        <v>24851.183022536876</v>
      </c>
      <c r="I29" s="52">
        <f t="shared" si="9"/>
        <v>0</v>
      </c>
      <c r="J29" s="52"/>
      <c r="K29" s="113">
        <f t="shared" ref="K29" si="17">G29</f>
        <v>24851.183022536876</v>
      </c>
      <c r="L29" s="54">
        <f t="shared" ref="L29" si="18">IF(K29&lt;&gt;0,+G29-K29,0)</f>
        <v>0</v>
      </c>
      <c r="M29" s="113">
        <f t="shared" ref="M29" si="19">H29</f>
        <v>24851.183022536876</v>
      </c>
      <c r="N29" s="54">
        <f t="shared" ref="N29" si="20">IF(M29&lt;&gt;0,+H29-M29,0)</f>
        <v>0</v>
      </c>
      <c r="O29" s="54">
        <f t="shared" ref="O29" si="21">+N29-L29</f>
        <v>0</v>
      </c>
      <c r="P29" s="1"/>
    </row>
    <row r="30" spans="2:16" ht="12.5">
      <c r="B30" s="7" t="str">
        <f t="shared" si="5"/>
        <v/>
      </c>
      <c r="C30" s="50">
        <f>IF(D11="","-",+C29+1)</f>
        <v>2025</v>
      </c>
      <c r="D30" s="55">
        <f>IF(F29+SUM(E$17:E29)=D$10,F29,D$10-SUM(E$17:E29))</f>
        <v>161414.78021647476</v>
      </c>
      <c r="E30" s="378">
        <f>IF(+I14&lt;F29,I14,D30)</f>
        <v>5244.318181818182</v>
      </c>
      <c r="F30" s="55">
        <f t="shared" ref="F30:F48" si="22">+D30-E30</f>
        <v>156170.46203465658</v>
      </c>
      <c r="G30" s="379">
        <f t="shared" ref="G30:G53" si="23">+I$12*((D30+F30)/2)+E30</f>
        <v>24224.344712783037</v>
      </c>
      <c r="H30" s="364">
        <f t="shared" ref="H30:H53" si="24">+I$13*((D30+F30)/2)+E30</f>
        <v>24224.344712783037</v>
      </c>
      <c r="I30" s="52">
        <f t="shared" si="9"/>
        <v>0</v>
      </c>
      <c r="J30" s="52"/>
      <c r="K30" s="129"/>
      <c r="L30" s="54">
        <f t="shared" si="1"/>
        <v>0</v>
      </c>
      <c r="M30" s="129"/>
      <c r="N30" s="54">
        <f t="shared" si="3"/>
        <v>0</v>
      </c>
      <c r="O30" s="54">
        <f t="shared" si="4"/>
        <v>0</v>
      </c>
      <c r="P30" s="1"/>
    </row>
    <row r="31" spans="2:16" ht="12.5">
      <c r="B31" s="7" t="str">
        <f t="shared" si="5"/>
        <v/>
      </c>
      <c r="C31" s="50">
        <f>IF(D11="","-",+C30+1)</f>
        <v>2026</v>
      </c>
      <c r="D31" s="55">
        <f>IF(F30+SUM(E$17:E30)=D$10,F30,D$10-SUM(E$17:E30))</f>
        <v>156170.46203465658</v>
      </c>
      <c r="E31" s="378">
        <f>IF(+I14&lt;F30,I14,D31)</f>
        <v>5244.318181818182</v>
      </c>
      <c r="F31" s="55">
        <f t="shared" si="22"/>
        <v>150926.1438528384</v>
      </c>
      <c r="G31" s="379">
        <f t="shared" si="23"/>
        <v>23597.506403029205</v>
      </c>
      <c r="H31" s="364">
        <f t="shared" si="24"/>
        <v>23597.506403029205</v>
      </c>
      <c r="I31" s="52">
        <f t="shared" si="9"/>
        <v>0</v>
      </c>
      <c r="J31" s="52"/>
      <c r="K31" s="129"/>
      <c r="L31" s="54">
        <f t="shared" si="1"/>
        <v>0</v>
      </c>
      <c r="M31" s="129"/>
      <c r="N31" s="54">
        <f t="shared" si="3"/>
        <v>0</v>
      </c>
      <c r="O31" s="54">
        <f t="shared" si="4"/>
        <v>0</v>
      </c>
      <c r="P31" s="1"/>
    </row>
    <row r="32" spans="2:16" ht="12.5">
      <c r="B32" s="7" t="str">
        <f t="shared" si="5"/>
        <v/>
      </c>
      <c r="C32" s="50">
        <f>IF(D11="","-",+C31+1)</f>
        <v>2027</v>
      </c>
      <c r="D32" s="55">
        <f>IF(F31+SUM(E$17:E31)=D$10,F31,D$10-SUM(E$17:E31))</f>
        <v>150926.1438528384</v>
      </c>
      <c r="E32" s="378">
        <f>IF(+I14&lt;F31,I14,D32)</f>
        <v>5244.318181818182</v>
      </c>
      <c r="F32" s="55">
        <f t="shared" si="22"/>
        <v>145681.82567102023</v>
      </c>
      <c r="G32" s="379">
        <f t="shared" si="23"/>
        <v>22970.668093275373</v>
      </c>
      <c r="H32" s="364">
        <f t="shared" si="24"/>
        <v>22970.668093275373</v>
      </c>
      <c r="I32" s="52">
        <f t="shared" si="9"/>
        <v>0</v>
      </c>
      <c r="J32" s="52"/>
      <c r="K32" s="129"/>
      <c r="L32" s="54">
        <f t="shared" si="1"/>
        <v>0</v>
      </c>
      <c r="M32" s="129"/>
      <c r="N32" s="54">
        <f t="shared" si="3"/>
        <v>0</v>
      </c>
      <c r="O32" s="54">
        <f t="shared" si="4"/>
        <v>0</v>
      </c>
      <c r="P32" s="1"/>
    </row>
    <row r="33" spans="2:16" ht="12.5">
      <c r="B33" s="7" t="str">
        <f t="shared" si="5"/>
        <v/>
      </c>
      <c r="C33" s="50">
        <f>IF(D11="","-",+C32+1)</f>
        <v>2028</v>
      </c>
      <c r="D33" s="55">
        <f>IF(F32+SUM(E$17:E32)=D$10,F32,D$10-SUM(E$17:E32))</f>
        <v>145681.82567102023</v>
      </c>
      <c r="E33" s="378">
        <f>IF(+I14&lt;F32,I14,D33)</f>
        <v>5244.318181818182</v>
      </c>
      <c r="F33" s="55">
        <f t="shared" si="22"/>
        <v>140437.50748920205</v>
      </c>
      <c r="G33" s="379">
        <f t="shared" si="23"/>
        <v>22343.829783521542</v>
      </c>
      <c r="H33" s="364">
        <f t="shared" si="24"/>
        <v>22343.829783521542</v>
      </c>
      <c r="I33" s="52">
        <f t="shared" si="9"/>
        <v>0</v>
      </c>
      <c r="J33" s="52"/>
      <c r="K33" s="129"/>
      <c r="L33" s="54">
        <f t="shared" si="1"/>
        <v>0</v>
      </c>
      <c r="M33" s="129"/>
      <c r="N33" s="54">
        <f t="shared" si="3"/>
        <v>0</v>
      </c>
      <c r="O33" s="54">
        <f t="shared" si="4"/>
        <v>0</v>
      </c>
      <c r="P33" s="1"/>
    </row>
    <row r="34" spans="2:16" ht="12.5">
      <c r="B34" s="7" t="str">
        <f t="shared" si="5"/>
        <v/>
      </c>
      <c r="C34" s="50">
        <f>IF(D11="","-",+C33+1)</f>
        <v>2029</v>
      </c>
      <c r="D34" s="55">
        <f>IF(F33+SUM(E$17:E33)=D$10,F33,D$10-SUM(E$17:E33))</f>
        <v>140437.50748920205</v>
      </c>
      <c r="E34" s="378">
        <f>IF(+I14&lt;F33,I14,D34)</f>
        <v>5244.318181818182</v>
      </c>
      <c r="F34" s="55">
        <f t="shared" si="22"/>
        <v>135193.18930738387</v>
      </c>
      <c r="G34" s="379">
        <f t="shared" si="23"/>
        <v>21716.99147376771</v>
      </c>
      <c r="H34" s="364">
        <f t="shared" si="24"/>
        <v>21716.99147376771</v>
      </c>
      <c r="I34" s="52">
        <f t="shared" si="9"/>
        <v>0</v>
      </c>
      <c r="J34" s="52"/>
      <c r="K34" s="129"/>
      <c r="L34" s="54">
        <f t="shared" si="1"/>
        <v>0</v>
      </c>
      <c r="M34" s="129"/>
      <c r="N34" s="54">
        <f t="shared" si="3"/>
        <v>0</v>
      </c>
      <c r="O34" s="54">
        <f t="shared" si="4"/>
        <v>0</v>
      </c>
      <c r="P34" s="1"/>
    </row>
    <row r="35" spans="2:16" ht="12.5">
      <c r="B35" s="7" t="str">
        <f t="shared" si="5"/>
        <v/>
      </c>
      <c r="C35" s="50">
        <f>IF(D11="","-",+C34+1)</f>
        <v>2030</v>
      </c>
      <c r="D35" s="55">
        <f>IF(F34+SUM(E$17:E34)=D$10,F34,D$10-SUM(E$17:E34))</f>
        <v>135193.18930738387</v>
      </c>
      <c r="E35" s="378">
        <f>IF(+I14&lt;F34,I14,D35)</f>
        <v>5244.318181818182</v>
      </c>
      <c r="F35" s="55">
        <f t="shared" si="22"/>
        <v>129948.8711255657</v>
      </c>
      <c r="G35" s="379">
        <f t="shared" si="23"/>
        <v>21090.153164013875</v>
      </c>
      <c r="H35" s="364">
        <f t="shared" si="24"/>
        <v>21090.153164013875</v>
      </c>
      <c r="I35" s="52">
        <f t="shared" si="9"/>
        <v>0</v>
      </c>
      <c r="J35" s="52"/>
      <c r="K35" s="129"/>
      <c r="L35" s="54">
        <f t="shared" si="1"/>
        <v>0</v>
      </c>
      <c r="M35" s="129"/>
      <c r="N35" s="54">
        <f t="shared" si="3"/>
        <v>0</v>
      </c>
      <c r="O35" s="54">
        <f t="shared" si="4"/>
        <v>0</v>
      </c>
      <c r="P35" s="1"/>
    </row>
    <row r="36" spans="2:16" ht="12.5">
      <c r="B36" s="7" t="str">
        <f t="shared" si="5"/>
        <v/>
      </c>
      <c r="C36" s="50">
        <f>IF(D11="","-",+C35+1)</f>
        <v>2031</v>
      </c>
      <c r="D36" s="55">
        <f>IF(F35+SUM(E$17:E35)=D$10,F35,D$10-SUM(E$17:E35))</f>
        <v>129948.8711255657</v>
      </c>
      <c r="E36" s="378">
        <f>IF(+I14&lt;F35,I14,D36)</f>
        <v>5244.318181818182</v>
      </c>
      <c r="F36" s="55">
        <f t="shared" si="22"/>
        <v>124704.55294374752</v>
      </c>
      <c r="G36" s="379">
        <f t="shared" si="23"/>
        <v>20463.314854260039</v>
      </c>
      <c r="H36" s="364">
        <f t="shared" si="24"/>
        <v>20463.314854260039</v>
      </c>
      <c r="I36" s="52">
        <f t="shared" si="9"/>
        <v>0</v>
      </c>
      <c r="J36" s="52"/>
      <c r="K36" s="129"/>
      <c r="L36" s="54">
        <f t="shared" si="1"/>
        <v>0</v>
      </c>
      <c r="M36" s="129"/>
      <c r="N36" s="54">
        <f t="shared" si="3"/>
        <v>0</v>
      </c>
      <c r="O36" s="54">
        <f t="shared" si="4"/>
        <v>0</v>
      </c>
      <c r="P36" s="1"/>
    </row>
    <row r="37" spans="2:16" ht="12.5">
      <c r="B37" s="7" t="str">
        <f t="shared" si="5"/>
        <v/>
      </c>
      <c r="C37" s="50">
        <f>IF(D11="","-",+C36+1)</f>
        <v>2032</v>
      </c>
      <c r="D37" s="55">
        <f>IF(F36+SUM(E$17:E36)=D$10,F36,D$10-SUM(E$17:E36))</f>
        <v>124704.55294374752</v>
      </c>
      <c r="E37" s="378">
        <f>IF(+I14&lt;F36,I14,D37)</f>
        <v>5244.318181818182</v>
      </c>
      <c r="F37" s="55">
        <f t="shared" si="22"/>
        <v>119460.23476192934</v>
      </c>
      <c r="G37" s="379">
        <f t="shared" si="23"/>
        <v>19836.476544506208</v>
      </c>
      <c r="H37" s="364">
        <f t="shared" si="24"/>
        <v>19836.476544506208</v>
      </c>
      <c r="I37" s="52">
        <f t="shared" si="9"/>
        <v>0</v>
      </c>
      <c r="J37" s="52"/>
      <c r="K37" s="129"/>
      <c r="L37" s="54">
        <f t="shared" si="1"/>
        <v>0</v>
      </c>
      <c r="M37" s="129"/>
      <c r="N37" s="54">
        <f t="shared" si="3"/>
        <v>0</v>
      </c>
      <c r="O37" s="54">
        <f t="shared" si="4"/>
        <v>0</v>
      </c>
      <c r="P37" s="1"/>
    </row>
    <row r="38" spans="2:16" ht="12.5">
      <c r="B38" s="7" t="str">
        <f t="shared" si="5"/>
        <v/>
      </c>
      <c r="C38" s="50">
        <f>IF(D11="","-",+C37+1)</f>
        <v>2033</v>
      </c>
      <c r="D38" s="55">
        <f>IF(F37+SUM(E$17:E37)=D$10,F37,D$10-SUM(E$17:E37))</f>
        <v>119460.23476192934</v>
      </c>
      <c r="E38" s="378">
        <f>IF(+I14&lt;F37,I14,D38)</f>
        <v>5244.318181818182</v>
      </c>
      <c r="F38" s="55">
        <f t="shared" si="22"/>
        <v>114215.91658011117</v>
      </c>
      <c r="G38" s="379">
        <f t="shared" si="23"/>
        <v>19209.638234752376</v>
      </c>
      <c r="H38" s="364">
        <f t="shared" si="24"/>
        <v>19209.638234752376</v>
      </c>
      <c r="I38" s="52">
        <f t="shared" si="9"/>
        <v>0</v>
      </c>
      <c r="J38" s="52"/>
      <c r="K38" s="129"/>
      <c r="L38" s="54">
        <f t="shared" si="1"/>
        <v>0</v>
      </c>
      <c r="M38" s="129"/>
      <c r="N38" s="54">
        <f t="shared" si="3"/>
        <v>0</v>
      </c>
      <c r="O38" s="54">
        <f t="shared" si="4"/>
        <v>0</v>
      </c>
      <c r="P38" s="1"/>
    </row>
    <row r="39" spans="2:16" ht="12.5">
      <c r="B39" s="7" t="str">
        <f t="shared" si="5"/>
        <v/>
      </c>
      <c r="C39" s="50">
        <f>IF(D11="","-",+C38+1)</f>
        <v>2034</v>
      </c>
      <c r="D39" s="55">
        <f>IF(F38+SUM(E$17:E38)=D$10,F38,D$10-SUM(E$17:E38))</f>
        <v>114215.91658011117</v>
      </c>
      <c r="E39" s="378">
        <f>IF(+I14&lt;F38,I14,D39)</f>
        <v>5244.318181818182</v>
      </c>
      <c r="F39" s="55">
        <f t="shared" si="22"/>
        <v>108971.59839829299</v>
      </c>
      <c r="G39" s="379">
        <f t="shared" si="23"/>
        <v>18582.799924998544</v>
      </c>
      <c r="H39" s="364">
        <f t="shared" si="24"/>
        <v>18582.799924998544</v>
      </c>
      <c r="I39" s="52">
        <f t="shared" si="9"/>
        <v>0</v>
      </c>
      <c r="J39" s="52"/>
      <c r="K39" s="129"/>
      <c r="L39" s="54">
        <f t="shared" si="1"/>
        <v>0</v>
      </c>
      <c r="M39" s="129"/>
      <c r="N39" s="54">
        <f t="shared" si="3"/>
        <v>0</v>
      </c>
      <c r="O39" s="54">
        <f t="shared" si="4"/>
        <v>0</v>
      </c>
      <c r="P39" s="1"/>
    </row>
    <row r="40" spans="2:16" ht="12.5">
      <c r="B40" s="7" t="str">
        <f t="shared" si="5"/>
        <v/>
      </c>
      <c r="C40" s="50">
        <f>IF(D11="","-",+C39+1)</f>
        <v>2035</v>
      </c>
      <c r="D40" s="55">
        <f>IF(F39+SUM(E$17:E39)=D$10,F39,D$10-SUM(E$17:E39))</f>
        <v>108971.59839829299</v>
      </c>
      <c r="E40" s="378">
        <f>IF(+I14&lt;F39,I14,D40)</f>
        <v>5244.318181818182</v>
      </c>
      <c r="F40" s="55">
        <f t="shared" si="22"/>
        <v>103727.28021647481</v>
      </c>
      <c r="G40" s="379">
        <f t="shared" si="23"/>
        <v>17955.961615244712</v>
      </c>
      <c r="H40" s="364">
        <f t="shared" si="24"/>
        <v>17955.961615244712</v>
      </c>
      <c r="I40" s="52">
        <f t="shared" si="9"/>
        <v>0</v>
      </c>
      <c r="J40" s="52"/>
      <c r="K40" s="129"/>
      <c r="L40" s="54">
        <f t="shared" si="1"/>
        <v>0</v>
      </c>
      <c r="M40" s="129"/>
      <c r="N40" s="54">
        <f t="shared" si="3"/>
        <v>0</v>
      </c>
      <c r="O40" s="54">
        <f t="shared" si="4"/>
        <v>0</v>
      </c>
      <c r="P40" s="1"/>
    </row>
    <row r="41" spans="2:16" ht="12.5">
      <c r="B41" s="7" t="str">
        <f t="shared" si="5"/>
        <v/>
      </c>
      <c r="C41" s="50">
        <f>IF(D11="","-",+C40+1)</f>
        <v>2036</v>
      </c>
      <c r="D41" s="55">
        <f>IF(F40+SUM(E$17:E40)=D$10,F40,D$10-SUM(E$17:E40))</f>
        <v>103727.28021647481</v>
      </c>
      <c r="E41" s="378">
        <f>IF(+I14&lt;F40,I14,D41)</f>
        <v>5244.318181818182</v>
      </c>
      <c r="F41" s="55">
        <f t="shared" si="22"/>
        <v>98482.962034656637</v>
      </c>
      <c r="G41" s="379">
        <f t="shared" si="23"/>
        <v>17329.123305490877</v>
      </c>
      <c r="H41" s="364">
        <f t="shared" si="24"/>
        <v>17329.123305490877</v>
      </c>
      <c r="I41" s="52">
        <f t="shared" si="9"/>
        <v>0</v>
      </c>
      <c r="J41" s="52"/>
      <c r="K41" s="129"/>
      <c r="L41" s="54">
        <f t="shared" si="1"/>
        <v>0</v>
      </c>
      <c r="M41" s="129"/>
      <c r="N41" s="54">
        <f t="shared" si="3"/>
        <v>0</v>
      </c>
      <c r="O41" s="54">
        <f t="shared" si="4"/>
        <v>0</v>
      </c>
      <c r="P41" s="1"/>
    </row>
    <row r="42" spans="2:16" ht="12.5">
      <c r="B42" s="7" t="str">
        <f t="shared" si="5"/>
        <v/>
      </c>
      <c r="C42" s="50">
        <f>IF(D11="","-",+C41+1)</f>
        <v>2037</v>
      </c>
      <c r="D42" s="55">
        <f>IF(F41+SUM(E$17:E41)=D$10,F41,D$10-SUM(E$17:E41))</f>
        <v>98482.962034656637</v>
      </c>
      <c r="E42" s="378">
        <f>IF(+I14&lt;F41,I14,D42)</f>
        <v>5244.318181818182</v>
      </c>
      <c r="F42" s="55">
        <f t="shared" si="22"/>
        <v>93238.643852838461</v>
      </c>
      <c r="G42" s="379">
        <f t="shared" si="23"/>
        <v>16702.284995737042</v>
      </c>
      <c r="H42" s="364">
        <f t="shared" si="24"/>
        <v>16702.284995737042</v>
      </c>
      <c r="I42" s="52">
        <f t="shared" si="9"/>
        <v>0</v>
      </c>
      <c r="J42" s="52"/>
      <c r="K42" s="129"/>
      <c r="L42" s="54">
        <f t="shared" si="1"/>
        <v>0</v>
      </c>
      <c r="M42" s="129"/>
      <c r="N42" s="54">
        <f t="shared" si="3"/>
        <v>0</v>
      </c>
      <c r="O42" s="54">
        <f t="shared" si="4"/>
        <v>0</v>
      </c>
      <c r="P42" s="1"/>
    </row>
    <row r="43" spans="2:16" ht="12.5">
      <c r="B43" s="7" t="str">
        <f t="shared" si="5"/>
        <v/>
      </c>
      <c r="C43" s="50">
        <f>IF(D11="","-",+C42+1)</f>
        <v>2038</v>
      </c>
      <c r="D43" s="55">
        <f>IF(F42+SUM(E$17:E42)=D$10,F42,D$10-SUM(E$17:E42))</f>
        <v>93238.643852838461</v>
      </c>
      <c r="E43" s="378">
        <f>IF(+I14&lt;F42,I14,D43)</f>
        <v>5244.318181818182</v>
      </c>
      <c r="F43" s="55">
        <f t="shared" si="22"/>
        <v>87994.325671020284</v>
      </c>
      <c r="G43" s="379">
        <f t="shared" si="23"/>
        <v>16075.44668598321</v>
      </c>
      <c r="H43" s="364">
        <f t="shared" si="24"/>
        <v>16075.44668598321</v>
      </c>
      <c r="I43" s="52">
        <f t="shared" si="9"/>
        <v>0</v>
      </c>
      <c r="J43" s="52"/>
      <c r="K43" s="129"/>
      <c r="L43" s="54">
        <f t="shared" si="1"/>
        <v>0</v>
      </c>
      <c r="M43" s="129"/>
      <c r="N43" s="54">
        <f t="shared" si="3"/>
        <v>0</v>
      </c>
      <c r="O43" s="54">
        <f t="shared" si="4"/>
        <v>0</v>
      </c>
      <c r="P43" s="1"/>
    </row>
    <row r="44" spans="2:16" ht="12.5">
      <c r="B44" s="7" t="str">
        <f t="shared" si="5"/>
        <v/>
      </c>
      <c r="C44" s="50">
        <f>IF(D11="","-",+C43+1)</f>
        <v>2039</v>
      </c>
      <c r="D44" s="55">
        <f>IF(F43+SUM(E$17:E43)=D$10,F43,D$10-SUM(E$17:E43))</f>
        <v>87994.325671020284</v>
      </c>
      <c r="E44" s="378">
        <f>IF(+I14&lt;F43,I14,D44)</f>
        <v>5244.318181818182</v>
      </c>
      <c r="F44" s="55">
        <f t="shared" si="22"/>
        <v>82750.007489202108</v>
      </c>
      <c r="G44" s="379">
        <f t="shared" si="23"/>
        <v>15448.608376229378</v>
      </c>
      <c r="H44" s="364">
        <f t="shared" si="24"/>
        <v>15448.608376229378</v>
      </c>
      <c r="I44" s="52">
        <f t="shared" si="9"/>
        <v>0</v>
      </c>
      <c r="J44" s="52"/>
      <c r="K44" s="129"/>
      <c r="L44" s="54">
        <f t="shared" si="1"/>
        <v>0</v>
      </c>
      <c r="M44" s="129"/>
      <c r="N44" s="54">
        <f t="shared" si="3"/>
        <v>0</v>
      </c>
      <c r="O44" s="54">
        <f t="shared" si="4"/>
        <v>0</v>
      </c>
      <c r="P44" s="1"/>
    </row>
    <row r="45" spans="2:16" ht="12.5">
      <c r="B45" s="7" t="str">
        <f t="shared" si="5"/>
        <v/>
      </c>
      <c r="C45" s="50">
        <f>IF(D11="","-",+C44+1)</f>
        <v>2040</v>
      </c>
      <c r="D45" s="55">
        <f>IF(F44+SUM(E$17:E44)=D$10,F44,D$10-SUM(E$17:E44))</f>
        <v>82750.007489202108</v>
      </c>
      <c r="E45" s="378">
        <f>IF(+I14&lt;F44,I14,D45)</f>
        <v>5244.318181818182</v>
      </c>
      <c r="F45" s="55">
        <f t="shared" si="22"/>
        <v>77505.689307383931</v>
      </c>
      <c r="G45" s="379">
        <f t="shared" si="23"/>
        <v>14821.770066475545</v>
      </c>
      <c r="H45" s="364">
        <f t="shared" si="24"/>
        <v>14821.770066475545</v>
      </c>
      <c r="I45" s="52">
        <f t="shared" si="9"/>
        <v>0</v>
      </c>
      <c r="J45" s="52"/>
      <c r="K45" s="129"/>
      <c r="L45" s="54">
        <f t="shared" si="1"/>
        <v>0</v>
      </c>
      <c r="M45" s="129"/>
      <c r="N45" s="54">
        <f t="shared" si="3"/>
        <v>0</v>
      </c>
      <c r="O45" s="54">
        <f t="shared" si="4"/>
        <v>0</v>
      </c>
      <c r="P45" s="1"/>
    </row>
    <row r="46" spans="2:16" ht="12.5">
      <c r="B46" s="7" t="str">
        <f t="shared" si="5"/>
        <v/>
      </c>
      <c r="C46" s="50">
        <f>IF(D11="","-",+C45+1)</f>
        <v>2041</v>
      </c>
      <c r="D46" s="55">
        <f>IF(F45+SUM(E$17:E45)=D$10,F45,D$10-SUM(E$17:E45))</f>
        <v>77505.689307383931</v>
      </c>
      <c r="E46" s="378">
        <f>IF(+I14&lt;F45,I14,D46)</f>
        <v>5244.318181818182</v>
      </c>
      <c r="F46" s="55">
        <f t="shared" si="22"/>
        <v>72261.371125565754</v>
      </c>
      <c r="G46" s="379">
        <f t="shared" si="23"/>
        <v>14194.931756721711</v>
      </c>
      <c r="H46" s="364">
        <f t="shared" si="24"/>
        <v>14194.931756721711</v>
      </c>
      <c r="I46" s="52">
        <f t="shared" si="9"/>
        <v>0</v>
      </c>
      <c r="J46" s="52"/>
      <c r="K46" s="129"/>
      <c r="L46" s="54">
        <f t="shared" si="1"/>
        <v>0</v>
      </c>
      <c r="M46" s="129"/>
      <c r="N46" s="54">
        <f t="shared" si="3"/>
        <v>0</v>
      </c>
      <c r="O46" s="54">
        <f t="shared" si="4"/>
        <v>0</v>
      </c>
      <c r="P46" s="1"/>
    </row>
    <row r="47" spans="2:16" ht="12.5">
      <c r="B47" s="7" t="str">
        <f t="shared" si="5"/>
        <v/>
      </c>
      <c r="C47" s="50">
        <f>IF(D11="","-",+C46+1)</f>
        <v>2042</v>
      </c>
      <c r="D47" s="55">
        <f>IF(F46+SUM(E$17:E46)=D$10,F46,D$10-SUM(E$17:E46))</f>
        <v>72261.371125565754</v>
      </c>
      <c r="E47" s="378">
        <f>IF(+I14&lt;F46,I14,D47)</f>
        <v>5244.318181818182</v>
      </c>
      <c r="F47" s="55">
        <f t="shared" si="22"/>
        <v>67017.052943747578</v>
      </c>
      <c r="G47" s="379">
        <f t="shared" si="23"/>
        <v>13568.09344696788</v>
      </c>
      <c r="H47" s="364">
        <f t="shared" si="24"/>
        <v>13568.09344696788</v>
      </c>
      <c r="I47" s="52">
        <f t="shared" si="9"/>
        <v>0</v>
      </c>
      <c r="J47" s="52"/>
      <c r="K47" s="129"/>
      <c r="L47" s="54">
        <f t="shared" si="1"/>
        <v>0</v>
      </c>
      <c r="M47" s="129"/>
      <c r="N47" s="54">
        <f t="shared" si="3"/>
        <v>0</v>
      </c>
      <c r="O47" s="54">
        <f t="shared" si="4"/>
        <v>0</v>
      </c>
      <c r="P47" s="1"/>
    </row>
    <row r="48" spans="2:16" ht="12.5">
      <c r="B48" s="7" t="str">
        <f t="shared" si="5"/>
        <v/>
      </c>
      <c r="C48" s="50">
        <f>IF(D11="","-",+C47+1)</f>
        <v>2043</v>
      </c>
      <c r="D48" s="55">
        <f>IF(F47+SUM(E$17:E47)=D$10,F47,D$10-SUM(E$17:E47))</f>
        <v>67017.052943747578</v>
      </c>
      <c r="E48" s="378">
        <f>IF(+I14&lt;F47,I14,D48)</f>
        <v>5244.318181818182</v>
      </c>
      <c r="F48" s="55">
        <f t="shared" si="22"/>
        <v>61772.734761929394</v>
      </c>
      <c r="G48" s="379">
        <f t="shared" si="23"/>
        <v>12941.255137214046</v>
      </c>
      <c r="H48" s="364">
        <f t="shared" si="24"/>
        <v>12941.255137214046</v>
      </c>
      <c r="I48" s="52">
        <f t="shared" si="9"/>
        <v>0</v>
      </c>
      <c r="J48" s="52"/>
      <c r="K48" s="129"/>
      <c r="L48" s="54">
        <f t="shared" si="1"/>
        <v>0</v>
      </c>
      <c r="M48" s="129"/>
      <c r="N48" s="54">
        <f t="shared" si="3"/>
        <v>0</v>
      </c>
      <c r="O48" s="54">
        <f t="shared" si="4"/>
        <v>0</v>
      </c>
      <c r="P48" s="1"/>
    </row>
    <row r="49" spans="2:17" ht="12.5">
      <c r="B49" s="7" t="str">
        <f t="shared" si="5"/>
        <v/>
      </c>
      <c r="C49" s="50">
        <f>IF(D11="","-",+C48+1)</f>
        <v>2044</v>
      </c>
      <c r="D49" s="55">
        <f>IF(F48+SUM(E$17:E48)=D$10,F48,D$10-SUM(E$17:E48))</f>
        <v>61772.734761929394</v>
      </c>
      <c r="E49" s="378">
        <f>IF(+I14&lt;F48,I14,D49)</f>
        <v>5244.318181818182</v>
      </c>
      <c r="F49" s="55">
        <f t="shared" ref="F49:F72" si="25">+D49-E49</f>
        <v>56528.41658011121</v>
      </c>
      <c r="G49" s="379">
        <f t="shared" si="23"/>
        <v>12314.416827460213</v>
      </c>
      <c r="H49" s="364">
        <f t="shared" si="24"/>
        <v>12314.416827460213</v>
      </c>
      <c r="I49" s="52">
        <f t="shared" ref="I49:I72" si="26">H49-G49</f>
        <v>0</v>
      </c>
      <c r="J49" s="52"/>
      <c r="K49" s="129"/>
      <c r="L49" s="54">
        <f t="shared" ref="L49:L72" si="27">IF(K49&lt;&gt;0,+G49-K49,0)</f>
        <v>0</v>
      </c>
      <c r="M49" s="129"/>
      <c r="N49" s="54">
        <f t="shared" ref="N49:N72" si="28">IF(M49&lt;&gt;0,+H49-M49,0)</f>
        <v>0</v>
      </c>
      <c r="O49" s="54">
        <f t="shared" ref="O49:O72" si="29">+N49-L49</f>
        <v>0</v>
      </c>
      <c r="P49" s="1"/>
    </row>
    <row r="50" spans="2:17" ht="12.5">
      <c r="B50" s="7" t="str">
        <f t="shared" ref="B50:B72" si="30">IF(D50=F49,"","IU")</f>
        <v/>
      </c>
      <c r="C50" s="50">
        <f>IF(D11="","-",+C49+1)</f>
        <v>2045</v>
      </c>
      <c r="D50" s="55">
        <f>IF(F49+SUM(E$17:E49)=D$10,F49,D$10-SUM(E$17:E49))</f>
        <v>56528.41658011121</v>
      </c>
      <c r="E50" s="378">
        <f>IF(+I14&lt;F49,I14,D50)</f>
        <v>5244.318181818182</v>
      </c>
      <c r="F50" s="55">
        <f t="shared" si="25"/>
        <v>51284.098398293027</v>
      </c>
      <c r="G50" s="379">
        <f t="shared" si="23"/>
        <v>11687.578517706377</v>
      </c>
      <c r="H50" s="364">
        <f t="shared" si="24"/>
        <v>11687.578517706377</v>
      </c>
      <c r="I50" s="52">
        <f t="shared" si="26"/>
        <v>0</v>
      </c>
      <c r="J50" s="52"/>
      <c r="K50" s="129"/>
      <c r="L50" s="54">
        <f t="shared" si="27"/>
        <v>0</v>
      </c>
      <c r="M50" s="129"/>
      <c r="N50" s="54">
        <f t="shared" si="28"/>
        <v>0</v>
      </c>
      <c r="O50" s="54">
        <f t="shared" si="29"/>
        <v>0</v>
      </c>
      <c r="P50" s="1"/>
    </row>
    <row r="51" spans="2:17" ht="12.5">
      <c r="B51" s="7" t="str">
        <f t="shared" si="30"/>
        <v/>
      </c>
      <c r="C51" s="50">
        <f>IF(D11="","-",+C50+1)</f>
        <v>2046</v>
      </c>
      <c r="D51" s="55">
        <f>IF(F50+SUM(E$17:E50)=D$10,F50,D$10-SUM(E$17:E50))</f>
        <v>51284.098398293027</v>
      </c>
      <c r="E51" s="378">
        <f>IF(+I14&lt;F50,I14,D51)</f>
        <v>5244.318181818182</v>
      </c>
      <c r="F51" s="55">
        <f t="shared" si="25"/>
        <v>46039.780216474843</v>
      </c>
      <c r="G51" s="379">
        <f t="shared" si="23"/>
        <v>11060.740207952544</v>
      </c>
      <c r="H51" s="364">
        <f t="shared" si="24"/>
        <v>11060.740207952544</v>
      </c>
      <c r="I51" s="52">
        <f t="shared" si="26"/>
        <v>0</v>
      </c>
      <c r="J51" s="52"/>
      <c r="K51" s="129"/>
      <c r="L51" s="54">
        <f t="shared" si="27"/>
        <v>0</v>
      </c>
      <c r="M51" s="129"/>
      <c r="N51" s="54">
        <f t="shared" si="28"/>
        <v>0</v>
      </c>
      <c r="O51" s="54">
        <f t="shared" si="29"/>
        <v>0</v>
      </c>
      <c r="P51" s="1"/>
    </row>
    <row r="52" spans="2:17" ht="12.5">
      <c r="B52" s="7" t="str">
        <f t="shared" si="30"/>
        <v/>
      </c>
      <c r="C52" s="50">
        <f>IF(D11="","-",+C51+1)</f>
        <v>2047</v>
      </c>
      <c r="D52" s="55">
        <f>IF(F51+SUM(E$17:E51)=D$10,F51,D$10-SUM(E$17:E51))</f>
        <v>46039.780216474843</v>
      </c>
      <c r="E52" s="378">
        <f>IF(+I14&lt;F51,I14,D52)</f>
        <v>5244.318181818182</v>
      </c>
      <c r="F52" s="55">
        <f t="shared" si="25"/>
        <v>40795.462034656659</v>
      </c>
      <c r="G52" s="379">
        <f t="shared" si="23"/>
        <v>10433.90189819871</v>
      </c>
      <c r="H52" s="364">
        <f t="shared" si="24"/>
        <v>10433.90189819871</v>
      </c>
      <c r="I52" s="52">
        <f t="shared" si="26"/>
        <v>0</v>
      </c>
      <c r="J52" s="52"/>
      <c r="K52" s="129"/>
      <c r="L52" s="54">
        <f t="shared" si="27"/>
        <v>0</v>
      </c>
      <c r="M52" s="129"/>
      <c r="N52" s="54">
        <f t="shared" si="28"/>
        <v>0</v>
      </c>
      <c r="O52" s="54">
        <f t="shared" si="29"/>
        <v>0</v>
      </c>
      <c r="P52" s="1"/>
    </row>
    <row r="53" spans="2:17" ht="12.5">
      <c r="B53" s="7" t="str">
        <f t="shared" si="30"/>
        <v/>
      </c>
      <c r="C53" s="50">
        <f>IF(D11="","-",+C52+1)</f>
        <v>2048</v>
      </c>
      <c r="D53" s="55">
        <f>IF(F52+SUM(E$17:E52)=D$10,F52,D$10-SUM(E$17:E52))</f>
        <v>40795.462034656659</v>
      </c>
      <c r="E53" s="378">
        <f>IF(+I14&lt;F52,I14,D53)</f>
        <v>5244.318181818182</v>
      </c>
      <c r="F53" s="55">
        <f t="shared" si="25"/>
        <v>35551.143852838475</v>
      </c>
      <c r="G53" s="379">
        <f t="shared" si="23"/>
        <v>9807.0635884448748</v>
      </c>
      <c r="H53" s="364">
        <f t="shared" si="24"/>
        <v>9807.0635884448748</v>
      </c>
      <c r="I53" s="52">
        <f t="shared" si="26"/>
        <v>0</v>
      </c>
      <c r="J53" s="52"/>
      <c r="K53" s="129"/>
      <c r="L53" s="54">
        <f t="shared" si="27"/>
        <v>0</v>
      </c>
      <c r="M53" s="129"/>
      <c r="N53" s="54">
        <f t="shared" si="28"/>
        <v>0</v>
      </c>
      <c r="O53" s="54">
        <f t="shared" si="29"/>
        <v>0</v>
      </c>
      <c r="P53" s="1"/>
    </row>
    <row r="54" spans="2:17" ht="12.5">
      <c r="B54" s="7" t="str">
        <f t="shared" si="30"/>
        <v/>
      </c>
      <c r="C54" s="50">
        <f>IF(D11="","-",+C53+1)</f>
        <v>2049</v>
      </c>
      <c r="D54" s="55">
        <f>IF(F53+SUM(E$17:E53)=D$10,F53,D$10-SUM(E$17:E53))</f>
        <v>35551.143852838475</v>
      </c>
      <c r="E54" s="378">
        <f>IF(+I14&lt;F53,I14,D54)</f>
        <v>5244.318181818182</v>
      </c>
      <c r="F54" s="55">
        <f t="shared" si="25"/>
        <v>30306.825671020291</v>
      </c>
      <c r="G54" s="379">
        <f t="shared" ref="G54:G72" si="31">+I$12*((D54+F54)/2)+E54</f>
        <v>9180.2252786910431</v>
      </c>
      <c r="H54" s="364">
        <f t="shared" ref="H54:H72" si="32">+I$13*((D54+F54)/2)+E54</f>
        <v>9180.2252786910431</v>
      </c>
      <c r="I54" s="52">
        <f t="shared" si="26"/>
        <v>0</v>
      </c>
      <c r="J54" s="52"/>
      <c r="K54" s="129"/>
      <c r="L54" s="54">
        <f t="shared" si="27"/>
        <v>0</v>
      </c>
      <c r="M54" s="129"/>
      <c r="N54" s="54">
        <f t="shared" si="28"/>
        <v>0</v>
      </c>
      <c r="O54" s="54">
        <f t="shared" si="29"/>
        <v>0</v>
      </c>
      <c r="P54" s="1"/>
    </row>
    <row r="55" spans="2:17" ht="12.5">
      <c r="B55" s="7" t="str">
        <f t="shared" si="30"/>
        <v/>
      </c>
      <c r="C55" s="50">
        <f>IF(D11="","-",+C54+1)</f>
        <v>2050</v>
      </c>
      <c r="D55" s="55">
        <f>IF(F54+SUM(E$17:E54)=D$10,F54,D$10-SUM(E$17:E54))</f>
        <v>30306.825671020291</v>
      </c>
      <c r="E55" s="378">
        <f>IF(+I14&lt;F54,I14,D55)</f>
        <v>5244.318181818182</v>
      </c>
      <c r="F55" s="55">
        <f t="shared" si="25"/>
        <v>25062.507489202108</v>
      </c>
      <c r="G55" s="379">
        <f t="shared" si="31"/>
        <v>8553.3869689372077</v>
      </c>
      <c r="H55" s="364">
        <f t="shared" si="32"/>
        <v>8553.3869689372077</v>
      </c>
      <c r="I55" s="52">
        <f t="shared" si="26"/>
        <v>0</v>
      </c>
      <c r="J55" s="52"/>
      <c r="K55" s="129"/>
      <c r="L55" s="54">
        <f t="shared" si="27"/>
        <v>0</v>
      </c>
      <c r="M55" s="129"/>
      <c r="N55" s="54">
        <f t="shared" si="28"/>
        <v>0</v>
      </c>
      <c r="O55" s="54">
        <f t="shared" si="29"/>
        <v>0</v>
      </c>
      <c r="P55" s="1"/>
    </row>
    <row r="56" spans="2:17" ht="12.5">
      <c r="B56" s="7" t="str">
        <f t="shared" si="30"/>
        <v/>
      </c>
      <c r="C56" s="50">
        <f>IF(D11="","-",+C55+1)</f>
        <v>2051</v>
      </c>
      <c r="D56" s="55">
        <f>IF(F55+SUM(E$17:E55)=D$10,F55,D$10-SUM(E$17:E55))</f>
        <v>25062.507489202108</v>
      </c>
      <c r="E56" s="378">
        <f>IF(+I14&lt;F55,I14,D56)</f>
        <v>5244.318181818182</v>
      </c>
      <c r="F56" s="55">
        <f t="shared" si="25"/>
        <v>19818.189307383924</v>
      </c>
      <c r="G56" s="379">
        <f t="shared" si="31"/>
        <v>7926.5486591833742</v>
      </c>
      <c r="H56" s="364">
        <f t="shared" si="32"/>
        <v>7926.5486591833742</v>
      </c>
      <c r="I56" s="52">
        <f t="shared" si="26"/>
        <v>0</v>
      </c>
      <c r="J56" s="52"/>
      <c r="K56" s="129"/>
      <c r="L56" s="54">
        <f t="shared" si="27"/>
        <v>0</v>
      </c>
      <c r="M56" s="129"/>
      <c r="N56" s="54">
        <f t="shared" si="28"/>
        <v>0</v>
      </c>
      <c r="O56" s="54">
        <f t="shared" si="29"/>
        <v>0</v>
      </c>
      <c r="P56" s="1"/>
    </row>
    <row r="57" spans="2:17" ht="12.5">
      <c r="B57" s="7" t="str">
        <f t="shared" si="30"/>
        <v/>
      </c>
      <c r="C57" s="50">
        <f>IF(D11="","-",+C56+1)</f>
        <v>2052</v>
      </c>
      <c r="D57" s="55">
        <f>IF(F56+SUM(E$17:E56)=D$10,F56,D$10-SUM(E$17:E56))</f>
        <v>19818.189307383924</v>
      </c>
      <c r="E57" s="378">
        <f>IF(+I14&lt;F56,I14,D57)</f>
        <v>5244.318181818182</v>
      </c>
      <c r="F57" s="55">
        <f t="shared" si="25"/>
        <v>14573.871125565742</v>
      </c>
      <c r="G57" s="379">
        <f t="shared" si="31"/>
        <v>7299.7103494295407</v>
      </c>
      <c r="H57" s="364">
        <f t="shared" si="32"/>
        <v>7299.7103494295407</v>
      </c>
      <c r="I57" s="52">
        <f t="shared" si="26"/>
        <v>0</v>
      </c>
      <c r="J57" s="52"/>
      <c r="K57" s="129"/>
      <c r="L57" s="54">
        <f t="shared" si="27"/>
        <v>0</v>
      </c>
      <c r="M57" s="129"/>
      <c r="N57" s="54">
        <f t="shared" si="28"/>
        <v>0</v>
      </c>
      <c r="O57" s="54">
        <f t="shared" si="29"/>
        <v>0</v>
      </c>
      <c r="P57" s="1"/>
    </row>
    <row r="58" spans="2:17" ht="12.5">
      <c r="B58" s="7" t="str">
        <f t="shared" si="30"/>
        <v/>
      </c>
      <c r="C58" s="50">
        <f>IF(D11="","-",+C57+1)</f>
        <v>2053</v>
      </c>
      <c r="D58" s="55">
        <f>IF(F57+SUM(E$17:E57)=D$10,F57,D$10-SUM(E$17:E57))</f>
        <v>14573.871125565742</v>
      </c>
      <c r="E58" s="378">
        <f>IF(+I14&lt;F57,I14,D58)</f>
        <v>5244.318181818182</v>
      </c>
      <c r="F58" s="55">
        <f t="shared" si="25"/>
        <v>9329.5529437475598</v>
      </c>
      <c r="G58" s="379">
        <f t="shared" si="31"/>
        <v>6672.8720396757071</v>
      </c>
      <c r="H58" s="364">
        <f t="shared" si="32"/>
        <v>6672.8720396757071</v>
      </c>
      <c r="I58" s="52">
        <f t="shared" si="26"/>
        <v>0</v>
      </c>
      <c r="J58" s="52"/>
      <c r="K58" s="129"/>
      <c r="L58" s="54">
        <f t="shared" si="27"/>
        <v>0</v>
      </c>
      <c r="M58" s="129"/>
      <c r="N58" s="54">
        <f t="shared" si="28"/>
        <v>0</v>
      </c>
      <c r="O58" s="54">
        <f t="shared" si="29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30"/>
        <v/>
      </c>
      <c r="C59" s="50">
        <f>IF(D11="","-",+C58+1)</f>
        <v>2054</v>
      </c>
      <c r="D59" s="55">
        <f>IF(F58+SUM(E$17:E58)=D$10,F58,D$10-SUM(E$17:E58))</f>
        <v>9329.5529437475598</v>
      </c>
      <c r="E59" s="378">
        <f>IF(+I14&lt;F58,I14,D59)</f>
        <v>5244.318181818182</v>
      </c>
      <c r="F59" s="55">
        <f t="shared" si="25"/>
        <v>4085.2347619293778</v>
      </c>
      <c r="G59" s="379">
        <f t="shared" si="31"/>
        <v>6046.0337299218736</v>
      </c>
      <c r="H59" s="364">
        <f t="shared" si="32"/>
        <v>6046.0337299218736</v>
      </c>
      <c r="I59" s="52">
        <f t="shared" si="26"/>
        <v>0</v>
      </c>
      <c r="J59" s="52"/>
      <c r="K59" s="129"/>
      <c r="L59" s="54">
        <f t="shared" si="27"/>
        <v>0</v>
      </c>
      <c r="M59" s="129"/>
      <c r="N59" s="54">
        <f t="shared" si="28"/>
        <v>0</v>
      </c>
      <c r="O59" s="54">
        <f t="shared" si="29"/>
        <v>0</v>
      </c>
      <c r="P59" s="1"/>
    </row>
    <row r="60" spans="2:17" ht="12.5">
      <c r="B60" s="7" t="str">
        <f t="shared" si="30"/>
        <v/>
      </c>
      <c r="C60" s="50">
        <f>IF(D11="","-",+C59+1)</f>
        <v>2055</v>
      </c>
      <c r="D60" s="55">
        <f>IF(F59+SUM(E$17:E59)=D$10,F59,D$10-SUM(E$17:E59))</f>
        <v>4085.2347619293778</v>
      </c>
      <c r="E60" s="378">
        <f>IF(+I14&lt;F59,I14,D60)</f>
        <v>4085.2347619293778</v>
      </c>
      <c r="F60" s="55">
        <f t="shared" si="25"/>
        <v>0</v>
      </c>
      <c r="G60" s="379">
        <f t="shared" si="31"/>
        <v>4329.3829585427657</v>
      </c>
      <c r="H60" s="364">
        <f t="shared" si="32"/>
        <v>4329.3829585427657</v>
      </c>
      <c r="I60" s="52">
        <f t="shared" si="26"/>
        <v>0</v>
      </c>
      <c r="J60" s="52"/>
      <c r="K60" s="129"/>
      <c r="L60" s="54">
        <f t="shared" si="27"/>
        <v>0</v>
      </c>
      <c r="M60" s="129"/>
      <c r="N60" s="54">
        <f t="shared" si="28"/>
        <v>0</v>
      </c>
      <c r="O60" s="54">
        <f t="shared" si="29"/>
        <v>0</v>
      </c>
      <c r="P60" s="1"/>
    </row>
    <row r="61" spans="2:17" ht="12.5">
      <c r="B61" s="7" t="str">
        <f t="shared" si="30"/>
        <v/>
      </c>
      <c r="C61" s="50">
        <f>IF(D11="","-",+C60+1)</f>
        <v>2056</v>
      </c>
      <c r="D61" s="55">
        <f>IF(F60+SUM(E$17:E60)=D$10,F60,D$10-SUM(E$17:E60))</f>
        <v>0</v>
      </c>
      <c r="E61" s="378">
        <f>IF(+I14&lt;F60,I14,D61)</f>
        <v>0</v>
      </c>
      <c r="F61" s="55">
        <f t="shared" si="25"/>
        <v>0</v>
      </c>
      <c r="G61" s="380">
        <f t="shared" si="31"/>
        <v>0</v>
      </c>
      <c r="H61" s="364">
        <f t="shared" si="32"/>
        <v>0</v>
      </c>
      <c r="I61" s="52">
        <f t="shared" si="26"/>
        <v>0</v>
      </c>
      <c r="J61" s="52"/>
      <c r="K61" s="129"/>
      <c r="L61" s="54">
        <f t="shared" si="27"/>
        <v>0</v>
      </c>
      <c r="M61" s="129"/>
      <c r="N61" s="54">
        <f t="shared" si="28"/>
        <v>0</v>
      </c>
      <c r="O61" s="54">
        <f t="shared" si="29"/>
        <v>0</v>
      </c>
      <c r="P61" s="1"/>
    </row>
    <row r="62" spans="2:17" ht="12.5">
      <c r="B62" s="7" t="str">
        <f t="shared" si="30"/>
        <v/>
      </c>
      <c r="C62" s="50">
        <f>IF(D11="","-",+C61+1)</f>
        <v>2057</v>
      </c>
      <c r="D62" s="55">
        <f>IF(F61+SUM(E$17:E61)=D$10,F61,D$10-SUM(E$17:E61))</f>
        <v>0</v>
      </c>
      <c r="E62" s="378">
        <f>IF(+I14&lt;F61,I14,D62)</f>
        <v>0</v>
      </c>
      <c r="F62" s="55">
        <f t="shared" si="25"/>
        <v>0</v>
      </c>
      <c r="G62" s="380">
        <f t="shared" si="31"/>
        <v>0</v>
      </c>
      <c r="H62" s="364">
        <f t="shared" si="32"/>
        <v>0</v>
      </c>
      <c r="I62" s="52">
        <f t="shared" si="26"/>
        <v>0</v>
      </c>
      <c r="J62" s="52"/>
      <c r="K62" s="129"/>
      <c r="L62" s="54">
        <f t="shared" si="27"/>
        <v>0</v>
      </c>
      <c r="M62" s="129"/>
      <c r="N62" s="54">
        <f t="shared" si="28"/>
        <v>0</v>
      </c>
      <c r="O62" s="54">
        <f t="shared" si="29"/>
        <v>0</v>
      </c>
      <c r="P62" s="1"/>
    </row>
    <row r="63" spans="2:17" ht="12.5">
      <c r="B63" s="7" t="str">
        <f t="shared" si="30"/>
        <v/>
      </c>
      <c r="C63" s="50">
        <f>IF(D11="","-",+C62+1)</f>
        <v>2058</v>
      </c>
      <c r="D63" s="55">
        <f>IF(F62+SUM(E$17:E62)=D$10,F62,D$10-SUM(E$17:E62))</f>
        <v>0</v>
      </c>
      <c r="E63" s="378">
        <f>IF(+I14&lt;F62,I14,D63)</f>
        <v>0</v>
      </c>
      <c r="F63" s="55">
        <f t="shared" si="25"/>
        <v>0</v>
      </c>
      <c r="G63" s="380">
        <f t="shared" si="31"/>
        <v>0</v>
      </c>
      <c r="H63" s="364">
        <f t="shared" si="32"/>
        <v>0</v>
      </c>
      <c r="I63" s="52">
        <f t="shared" si="26"/>
        <v>0</v>
      </c>
      <c r="J63" s="52"/>
      <c r="K63" s="129"/>
      <c r="L63" s="54">
        <f t="shared" si="27"/>
        <v>0</v>
      </c>
      <c r="M63" s="129"/>
      <c r="N63" s="54">
        <f t="shared" si="28"/>
        <v>0</v>
      </c>
      <c r="O63" s="54">
        <f t="shared" si="29"/>
        <v>0</v>
      </c>
      <c r="P63" s="1"/>
    </row>
    <row r="64" spans="2:17" ht="12.5">
      <c r="B64" s="7" t="str">
        <f t="shared" si="30"/>
        <v/>
      </c>
      <c r="C64" s="50">
        <f>IF(D11="","-",+C63+1)</f>
        <v>2059</v>
      </c>
      <c r="D64" s="55">
        <f>IF(F63+SUM(E$17:E63)=D$10,F63,D$10-SUM(E$17:E63))</f>
        <v>0</v>
      </c>
      <c r="E64" s="378">
        <f>IF(+I14&lt;F63,I14,D64)</f>
        <v>0</v>
      </c>
      <c r="F64" s="55">
        <f t="shared" si="25"/>
        <v>0</v>
      </c>
      <c r="G64" s="380">
        <f t="shared" si="31"/>
        <v>0</v>
      </c>
      <c r="H64" s="364">
        <f t="shared" si="32"/>
        <v>0</v>
      </c>
      <c r="I64" s="52">
        <f t="shared" si="26"/>
        <v>0</v>
      </c>
      <c r="J64" s="52"/>
      <c r="K64" s="129"/>
      <c r="L64" s="54">
        <f t="shared" si="27"/>
        <v>0</v>
      </c>
      <c r="M64" s="129"/>
      <c r="N64" s="54">
        <f t="shared" si="28"/>
        <v>0</v>
      </c>
      <c r="O64" s="54">
        <f t="shared" si="29"/>
        <v>0</v>
      </c>
      <c r="P64" s="1"/>
    </row>
    <row r="65" spans="1:16" ht="12.5">
      <c r="B65" s="7" t="str">
        <f t="shared" si="30"/>
        <v/>
      </c>
      <c r="C65" s="50">
        <f>IF(D11="","-",+C64+1)</f>
        <v>2060</v>
      </c>
      <c r="D65" s="55">
        <f>IF(F64+SUM(E$17:E64)=D$10,F64,D$10-SUM(E$17:E64))</f>
        <v>0</v>
      </c>
      <c r="E65" s="378">
        <f>IF(+I14&lt;F64,I14,D65)</f>
        <v>0</v>
      </c>
      <c r="F65" s="55">
        <f t="shared" si="25"/>
        <v>0</v>
      </c>
      <c r="G65" s="380">
        <f t="shared" si="31"/>
        <v>0</v>
      </c>
      <c r="H65" s="364">
        <f t="shared" si="32"/>
        <v>0</v>
      </c>
      <c r="I65" s="52">
        <f t="shared" si="26"/>
        <v>0</v>
      </c>
      <c r="J65" s="52"/>
      <c r="K65" s="129"/>
      <c r="L65" s="54">
        <f t="shared" si="27"/>
        <v>0</v>
      </c>
      <c r="M65" s="129"/>
      <c r="N65" s="54">
        <f t="shared" si="28"/>
        <v>0</v>
      </c>
      <c r="O65" s="54">
        <f t="shared" si="29"/>
        <v>0</v>
      </c>
      <c r="P65" s="1"/>
    </row>
    <row r="66" spans="1:16" ht="12.5">
      <c r="B66" s="7" t="str">
        <f t="shared" si="30"/>
        <v/>
      </c>
      <c r="C66" s="50">
        <f>IF(D11="","-",+C65+1)</f>
        <v>2061</v>
      </c>
      <c r="D66" s="55">
        <f>IF(F65+SUM(E$17:E65)=D$10,F65,D$10-SUM(E$17:E65))</f>
        <v>0</v>
      </c>
      <c r="E66" s="378">
        <f>IF(+I14&lt;F65,I14,D66)</f>
        <v>0</v>
      </c>
      <c r="F66" s="55">
        <f t="shared" si="25"/>
        <v>0</v>
      </c>
      <c r="G66" s="380">
        <f t="shared" si="31"/>
        <v>0</v>
      </c>
      <c r="H66" s="364">
        <f t="shared" si="32"/>
        <v>0</v>
      </c>
      <c r="I66" s="52">
        <f t="shared" si="26"/>
        <v>0</v>
      </c>
      <c r="J66" s="52"/>
      <c r="K66" s="129"/>
      <c r="L66" s="54">
        <f t="shared" si="27"/>
        <v>0</v>
      </c>
      <c r="M66" s="129"/>
      <c r="N66" s="54">
        <f t="shared" si="28"/>
        <v>0</v>
      </c>
      <c r="O66" s="54">
        <f t="shared" si="29"/>
        <v>0</v>
      </c>
      <c r="P66" s="1"/>
    </row>
    <row r="67" spans="1:16" ht="12.5">
      <c r="B67" s="7" t="str">
        <f t="shared" si="30"/>
        <v/>
      </c>
      <c r="C67" s="50">
        <f>IF(D11="","-",+C66+1)</f>
        <v>2062</v>
      </c>
      <c r="D67" s="55">
        <f>IF(F66+SUM(E$17:E66)=D$10,F66,D$10-SUM(E$17:E66))</f>
        <v>0</v>
      </c>
      <c r="E67" s="378">
        <f>IF(+I14&lt;F66,I14,D67)</f>
        <v>0</v>
      </c>
      <c r="F67" s="55">
        <f t="shared" si="25"/>
        <v>0</v>
      </c>
      <c r="G67" s="380">
        <f t="shared" si="31"/>
        <v>0</v>
      </c>
      <c r="H67" s="364">
        <f t="shared" si="32"/>
        <v>0</v>
      </c>
      <c r="I67" s="52">
        <f t="shared" si="26"/>
        <v>0</v>
      </c>
      <c r="J67" s="52"/>
      <c r="K67" s="129"/>
      <c r="L67" s="54">
        <f t="shared" si="27"/>
        <v>0</v>
      </c>
      <c r="M67" s="129"/>
      <c r="N67" s="54">
        <f t="shared" si="28"/>
        <v>0</v>
      </c>
      <c r="O67" s="54">
        <f t="shared" si="29"/>
        <v>0</v>
      </c>
      <c r="P67" s="1"/>
    </row>
    <row r="68" spans="1:16" ht="12.5">
      <c r="B68" s="7" t="str">
        <f t="shared" si="30"/>
        <v/>
      </c>
      <c r="C68" s="50">
        <f>IF(D11="","-",+C67+1)</f>
        <v>2063</v>
      </c>
      <c r="D68" s="55">
        <f>IF(F67+SUM(E$17:E67)=D$10,F67,D$10-SUM(E$17:E67))</f>
        <v>0</v>
      </c>
      <c r="E68" s="378">
        <f>IF(+I14&lt;F67,I14,D68)</f>
        <v>0</v>
      </c>
      <c r="F68" s="55">
        <f t="shared" si="25"/>
        <v>0</v>
      </c>
      <c r="G68" s="380">
        <f t="shared" si="31"/>
        <v>0</v>
      </c>
      <c r="H68" s="364">
        <f t="shared" si="32"/>
        <v>0</v>
      </c>
      <c r="I68" s="52">
        <f t="shared" si="26"/>
        <v>0</v>
      </c>
      <c r="J68" s="52"/>
      <c r="K68" s="129"/>
      <c r="L68" s="54">
        <f t="shared" si="27"/>
        <v>0</v>
      </c>
      <c r="M68" s="129"/>
      <c r="N68" s="54">
        <f t="shared" si="28"/>
        <v>0</v>
      </c>
      <c r="O68" s="54">
        <f t="shared" si="29"/>
        <v>0</v>
      </c>
      <c r="P68" s="1"/>
    </row>
    <row r="69" spans="1:16" ht="12.5">
      <c r="B69" s="7" t="str">
        <f t="shared" si="30"/>
        <v/>
      </c>
      <c r="C69" s="50">
        <f>IF(D11="","-",+C68+1)</f>
        <v>2064</v>
      </c>
      <c r="D69" s="55">
        <f>IF(F68+SUM(E$17:E68)=D$10,F68,D$10-SUM(E$17:E68))</f>
        <v>0</v>
      </c>
      <c r="E69" s="378">
        <f>IF(+I14&lt;F68,I14,D69)</f>
        <v>0</v>
      </c>
      <c r="F69" s="55">
        <f t="shared" si="25"/>
        <v>0</v>
      </c>
      <c r="G69" s="380">
        <f t="shared" si="31"/>
        <v>0</v>
      </c>
      <c r="H69" s="364">
        <f t="shared" si="32"/>
        <v>0</v>
      </c>
      <c r="I69" s="52">
        <f t="shared" si="26"/>
        <v>0</v>
      </c>
      <c r="J69" s="52"/>
      <c r="K69" s="129"/>
      <c r="L69" s="54">
        <f t="shared" si="27"/>
        <v>0</v>
      </c>
      <c r="M69" s="129"/>
      <c r="N69" s="54">
        <f t="shared" si="28"/>
        <v>0</v>
      </c>
      <c r="O69" s="54">
        <f t="shared" si="29"/>
        <v>0</v>
      </c>
      <c r="P69" s="1"/>
    </row>
    <row r="70" spans="1:16" ht="12.5">
      <c r="B70" s="7" t="str">
        <f t="shared" si="30"/>
        <v/>
      </c>
      <c r="C70" s="50">
        <f>IF(D11="","-",+C69+1)</f>
        <v>2065</v>
      </c>
      <c r="D70" s="55">
        <f>IF(F69+SUM(E$17:E69)=D$10,F69,D$10-SUM(E$17:E69))</f>
        <v>0</v>
      </c>
      <c r="E70" s="378">
        <f>IF(+I14&lt;F69,I14,D70)</f>
        <v>0</v>
      </c>
      <c r="F70" s="55">
        <f t="shared" si="25"/>
        <v>0</v>
      </c>
      <c r="G70" s="380">
        <f t="shared" si="31"/>
        <v>0</v>
      </c>
      <c r="H70" s="364">
        <f t="shared" si="32"/>
        <v>0</v>
      </c>
      <c r="I70" s="52">
        <f t="shared" si="26"/>
        <v>0</v>
      </c>
      <c r="J70" s="52"/>
      <c r="K70" s="129"/>
      <c r="L70" s="54">
        <f t="shared" si="27"/>
        <v>0</v>
      </c>
      <c r="M70" s="129"/>
      <c r="N70" s="54">
        <f t="shared" si="28"/>
        <v>0</v>
      </c>
      <c r="O70" s="54">
        <f t="shared" si="29"/>
        <v>0</v>
      </c>
      <c r="P70" s="1"/>
    </row>
    <row r="71" spans="1:16" ht="12.5">
      <c r="B71" s="7" t="str">
        <f t="shared" si="30"/>
        <v/>
      </c>
      <c r="C71" s="50">
        <f>IF(D11="","-",+C70+1)</f>
        <v>2066</v>
      </c>
      <c r="D71" s="55">
        <f>IF(F70+SUM(E$17:E70)=D$10,F70,D$10-SUM(E$17:E70))</f>
        <v>0</v>
      </c>
      <c r="E71" s="378">
        <f>IF(+I14&lt;F70,I14,D71)</f>
        <v>0</v>
      </c>
      <c r="F71" s="55">
        <f t="shared" si="25"/>
        <v>0</v>
      </c>
      <c r="G71" s="380">
        <f t="shared" si="31"/>
        <v>0</v>
      </c>
      <c r="H71" s="364">
        <f t="shared" si="32"/>
        <v>0</v>
      </c>
      <c r="I71" s="52">
        <f t="shared" si="26"/>
        <v>0</v>
      </c>
      <c r="J71" s="52"/>
      <c r="K71" s="129"/>
      <c r="L71" s="54">
        <f t="shared" si="27"/>
        <v>0</v>
      </c>
      <c r="M71" s="129"/>
      <c r="N71" s="54">
        <f t="shared" si="28"/>
        <v>0</v>
      </c>
      <c r="O71" s="54">
        <f t="shared" si="29"/>
        <v>0</v>
      </c>
      <c r="P71" s="1"/>
    </row>
    <row r="72" spans="1:16" ht="13" thickBot="1">
      <c r="B72" s="7" t="str">
        <f t="shared" si="30"/>
        <v/>
      </c>
      <c r="C72" s="59">
        <f>IF(D11="","-",+C71+1)</f>
        <v>2067</v>
      </c>
      <c r="D72" s="60">
        <f>IF(F71+SUM(E$17:E71)=D$10,F71,D$10-SUM(E$17:E71))</f>
        <v>0</v>
      </c>
      <c r="E72" s="381">
        <f>IF(+I14&lt;F71,I14,D72)</f>
        <v>0</v>
      </c>
      <c r="F72" s="60">
        <f t="shared" si="25"/>
        <v>0</v>
      </c>
      <c r="G72" s="382">
        <f t="shared" si="31"/>
        <v>0</v>
      </c>
      <c r="H72" s="362">
        <f t="shared" si="32"/>
        <v>0</v>
      </c>
      <c r="I72" s="63">
        <f t="shared" si="26"/>
        <v>0</v>
      </c>
      <c r="J72" s="52"/>
      <c r="K72" s="130"/>
      <c r="L72" s="64">
        <f t="shared" si="27"/>
        <v>0</v>
      </c>
      <c r="M72" s="130"/>
      <c r="N72" s="64">
        <f t="shared" si="28"/>
        <v>0</v>
      </c>
      <c r="O72" s="64">
        <f t="shared" si="29"/>
        <v>0</v>
      </c>
      <c r="P72" s="1"/>
    </row>
    <row r="73" spans="1:16" ht="12.5">
      <c r="C73" s="12" t="s">
        <v>78</v>
      </c>
      <c r="D73" s="293"/>
      <c r="E73" s="293">
        <f>SUM(E17:E72)</f>
        <v>230749.99999999991</v>
      </c>
      <c r="F73" s="293"/>
      <c r="G73" s="293">
        <f>SUM(G17:G72)</f>
        <v>857593.69565043773</v>
      </c>
      <c r="H73" s="293">
        <f>SUM(H17:H72)</f>
        <v>857593.69565043773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7.5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31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24851.183022536876</v>
      </c>
      <c r="N87" s="387">
        <f>IF(J92&lt;D11,0,VLOOKUP(J92,C17:O72,11))</f>
        <v>24851.183022536876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25830.708683829136</v>
      </c>
      <c r="N88" s="390">
        <f>IF(J92&lt;D11,0,VLOOKUP(J92,C99:P154,7))</f>
        <v>25830.708683829136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27" t="str">
        <f>D7</f>
        <v>Lone Star South - Pittsburg 138 kV - Replace Wavetraps, reset CT's and Relays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979.52566129226034</v>
      </c>
      <c r="N89" s="392">
        <f>+N88-N87</f>
        <v>979.52566129226034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TP2009100</v>
      </c>
      <c r="E91" s="76" t="str">
        <f>E9</f>
        <v xml:space="preserve">SPP Project ID = </v>
      </c>
      <c r="F91" s="463">
        <f>F9</f>
        <v>391</v>
      </c>
      <c r="G91" s="76"/>
      <c r="H91" s="76"/>
      <c r="I91" s="76"/>
      <c r="J91" s="95"/>
      <c r="Q91" s="1"/>
    </row>
    <row r="92" spans="1:17" ht="13">
      <c r="C92" s="34" t="s">
        <v>51</v>
      </c>
      <c r="D92" s="363">
        <f>IF(D11=I10,0,D10)</f>
        <v>230750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  <c r="Q92" s="1"/>
    </row>
    <row r="93" spans="1:17" ht="12.5">
      <c r="C93" s="34" t="s">
        <v>54</v>
      </c>
      <c r="D93" s="88">
        <f>IF(D11=I10,"",D11)</f>
        <v>2012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4">
        <f>IF(D11=I10,"",D12)</f>
        <v>6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5244.318181818182</v>
      </c>
      <c r="K96" s="293"/>
      <c r="L96" s="293"/>
      <c r="M96" s="293"/>
      <c r="N96" s="293"/>
      <c r="O96" s="293"/>
      <c r="P96" s="1"/>
      <c r="Q96" s="1"/>
    </row>
    <row r="97" spans="1:17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 ht="12.5">
      <c r="C99" s="50">
        <f>IF(D93= "","-",D93)</f>
        <v>2012</v>
      </c>
      <c r="D99" s="133">
        <v>0</v>
      </c>
      <c r="E99" s="376">
        <v>2747.0238095238096</v>
      </c>
      <c r="F99" s="137">
        <v>228002.97619047618</v>
      </c>
      <c r="G99" s="140">
        <v>114001.48809523809</v>
      </c>
      <c r="H99" s="397">
        <v>19522.791013350252</v>
      </c>
      <c r="I99" s="398">
        <v>19522.791013350252</v>
      </c>
      <c r="J99" s="54">
        <f t="shared" ref="J99:J130" si="33">+I99-H99</f>
        <v>0</v>
      </c>
      <c r="K99" s="54"/>
      <c r="L99" s="112">
        <f t="shared" ref="L99:L104" si="34">H99</f>
        <v>19522.791013350252</v>
      </c>
      <c r="M99" s="53">
        <f t="shared" ref="M99:M130" si="35">IF(L99&lt;&gt;0,+H99-L99,0)</f>
        <v>0</v>
      </c>
      <c r="N99" s="112">
        <f t="shared" ref="N99:N104" si="36">I99</f>
        <v>19522.791013350252</v>
      </c>
      <c r="O99" s="53">
        <f t="shared" ref="O99:O130" si="37">IF(N99&lt;&gt;0,+I99-N99,0)</f>
        <v>0</v>
      </c>
      <c r="P99" s="53">
        <f t="shared" ref="P99:P130" si="38">+O99-M99</f>
        <v>0</v>
      </c>
      <c r="Q99" s="1"/>
    </row>
    <row r="100" spans="1:17" ht="12.5">
      <c r="B100" s="7" t="str">
        <f t="shared" ref="B100:B131" si="39">IF(D100=F99,"","IU")</f>
        <v/>
      </c>
      <c r="C100" s="50">
        <f>IF(D93="","-",+C99+1)</f>
        <v>2013</v>
      </c>
      <c r="D100" s="133">
        <v>228002.97619047618</v>
      </c>
      <c r="E100" s="376">
        <v>5494.0476190476193</v>
      </c>
      <c r="F100" s="137">
        <v>222508.92857142855</v>
      </c>
      <c r="G100" s="137">
        <v>225255.95238095237</v>
      </c>
      <c r="H100" s="397">
        <v>35969.308872002533</v>
      </c>
      <c r="I100" s="398">
        <v>35969.308872002533</v>
      </c>
      <c r="J100" s="54">
        <v>0</v>
      </c>
      <c r="K100" s="54"/>
      <c r="L100" s="113">
        <f t="shared" si="34"/>
        <v>35969.308872002533</v>
      </c>
      <c r="M100" s="54">
        <f t="shared" ref="M100:M105" si="40">IF(L100&lt;&gt;0,+H100-L100,0)</f>
        <v>0</v>
      </c>
      <c r="N100" s="113">
        <f t="shared" si="36"/>
        <v>35969.308872002533</v>
      </c>
      <c r="O100" s="54">
        <f>IF(N100&lt;&gt;0,+I100-N100,0)</f>
        <v>0</v>
      </c>
      <c r="P100" s="54">
        <f>+O100-M100</f>
        <v>0</v>
      </c>
      <c r="Q100" s="1"/>
    </row>
    <row r="101" spans="1:17" ht="12.5">
      <c r="B101" s="7" t="str">
        <f t="shared" si="39"/>
        <v/>
      </c>
      <c r="C101" s="50">
        <f>IF(D93="","-",+C100+1)</f>
        <v>2014</v>
      </c>
      <c r="D101" s="133">
        <v>222508.92857142855</v>
      </c>
      <c r="E101" s="376">
        <v>5494.0476190476193</v>
      </c>
      <c r="F101" s="137">
        <v>217014.88095238092</v>
      </c>
      <c r="G101" s="137">
        <v>219761.90476190473</v>
      </c>
      <c r="H101" s="397">
        <v>35364.846038717165</v>
      </c>
      <c r="I101" s="398">
        <v>35364.846038717165</v>
      </c>
      <c r="J101" s="54">
        <v>0</v>
      </c>
      <c r="K101" s="54"/>
      <c r="L101" s="113">
        <f t="shared" si="34"/>
        <v>35364.846038717165</v>
      </c>
      <c r="M101" s="54">
        <f t="shared" si="40"/>
        <v>0</v>
      </c>
      <c r="N101" s="113">
        <f t="shared" si="36"/>
        <v>35364.846038717165</v>
      </c>
      <c r="O101" s="54">
        <f>IF(N101&lt;&gt;0,+I101-N101,0)</f>
        <v>0</v>
      </c>
      <c r="P101" s="54">
        <f>+O101-M101</f>
        <v>0</v>
      </c>
      <c r="Q101" s="1"/>
    </row>
    <row r="102" spans="1:17" ht="12.5">
      <c r="B102" s="7" t="str">
        <f t="shared" si="39"/>
        <v/>
      </c>
      <c r="C102" s="50">
        <f>IF(D93="","-",+C101+1)</f>
        <v>2015</v>
      </c>
      <c r="D102" s="133">
        <v>217014.88095238092</v>
      </c>
      <c r="E102" s="376">
        <v>5494.0476190476193</v>
      </c>
      <c r="F102" s="137">
        <v>211520.83333333328</v>
      </c>
      <c r="G102" s="137">
        <v>214267.8571428571</v>
      </c>
      <c r="H102" s="397">
        <v>33727.882719440844</v>
      </c>
      <c r="I102" s="398">
        <v>33727.882719440844</v>
      </c>
      <c r="J102" s="54">
        <f t="shared" si="33"/>
        <v>0</v>
      </c>
      <c r="K102" s="54"/>
      <c r="L102" s="113">
        <f t="shared" si="34"/>
        <v>33727.882719440844</v>
      </c>
      <c r="M102" s="54">
        <f t="shared" si="40"/>
        <v>0</v>
      </c>
      <c r="N102" s="113">
        <f t="shared" si="36"/>
        <v>33727.882719440844</v>
      </c>
      <c r="O102" s="54">
        <f>IF(N102&lt;&gt;0,+I102-N102,0)</f>
        <v>0</v>
      </c>
      <c r="P102" s="54">
        <f>+O102-M102</f>
        <v>0</v>
      </c>
      <c r="Q102" s="1"/>
    </row>
    <row r="103" spans="1:17" ht="12.5">
      <c r="B103" s="7" t="str">
        <f t="shared" si="39"/>
        <v/>
      </c>
      <c r="C103" s="50">
        <f>IF(D93="","-",+C102+1)</f>
        <v>2016</v>
      </c>
      <c r="D103" s="133">
        <v>211520.83333333328</v>
      </c>
      <c r="E103" s="376">
        <v>5366.2790697674418</v>
      </c>
      <c r="F103" s="137">
        <v>206154.55426356583</v>
      </c>
      <c r="G103" s="137">
        <v>208837.69379844956</v>
      </c>
      <c r="H103" s="397">
        <v>31878.22185164913</v>
      </c>
      <c r="I103" s="398">
        <v>31878.22185164913</v>
      </c>
      <c r="J103" s="54">
        <f t="shared" si="33"/>
        <v>0</v>
      </c>
      <c r="K103" s="54"/>
      <c r="L103" s="113">
        <f t="shared" si="34"/>
        <v>31878.22185164913</v>
      </c>
      <c r="M103" s="54">
        <f t="shared" si="40"/>
        <v>0</v>
      </c>
      <c r="N103" s="113">
        <f t="shared" si="36"/>
        <v>31878.22185164913</v>
      </c>
      <c r="O103" s="54">
        <f>IF(N103&lt;&gt;0,+I103-N103,0)</f>
        <v>0</v>
      </c>
      <c r="P103" s="54">
        <f>+O103-M103</f>
        <v>0</v>
      </c>
      <c r="Q103" s="1"/>
    </row>
    <row r="104" spans="1:17" ht="12.5">
      <c r="B104" s="7" t="str">
        <f t="shared" si="39"/>
        <v/>
      </c>
      <c r="C104" s="50">
        <f>IF(D93="","-",+C103+1)</f>
        <v>2017</v>
      </c>
      <c r="D104" s="133">
        <v>206154.55426356583</v>
      </c>
      <c r="E104" s="376">
        <v>5494.0476190476193</v>
      </c>
      <c r="F104" s="137">
        <v>200660.5066445182</v>
      </c>
      <c r="G104" s="137">
        <v>203407.53045404202</v>
      </c>
      <c r="H104" s="397">
        <v>30202.256847199074</v>
      </c>
      <c r="I104" s="398">
        <v>30202.256847199074</v>
      </c>
      <c r="J104" s="54">
        <f t="shared" si="33"/>
        <v>0</v>
      </c>
      <c r="K104" s="54"/>
      <c r="L104" s="113">
        <f t="shared" si="34"/>
        <v>30202.256847199074</v>
      </c>
      <c r="M104" s="54">
        <f t="shared" si="40"/>
        <v>0</v>
      </c>
      <c r="N104" s="113">
        <f t="shared" si="36"/>
        <v>30202.256847199074</v>
      </c>
      <c r="O104" s="54">
        <f>IF(N104&lt;&gt;0,+I104-N104,0)</f>
        <v>0</v>
      </c>
      <c r="P104" s="54">
        <f>+O104-M104</f>
        <v>0</v>
      </c>
      <c r="Q104" s="1"/>
    </row>
    <row r="105" spans="1:17" ht="12.5">
      <c r="B105" s="7" t="str">
        <f t="shared" si="39"/>
        <v/>
      </c>
      <c r="C105" s="50">
        <f>IF(D93="","-",+C104+1)</f>
        <v>2018</v>
      </c>
      <c r="D105" s="133">
        <v>200660.5066445182</v>
      </c>
      <c r="E105" s="376">
        <v>5494.0476190476193</v>
      </c>
      <c r="F105" s="137">
        <v>195166.45902547057</v>
      </c>
      <c r="G105" s="137">
        <v>197913.48283499439</v>
      </c>
      <c r="H105" s="397">
        <v>26394.619001989184</v>
      </c>
      <c r="I105" s="398">
        <v>26394.619001989184</v>
      </c>
      <c r="J105" s="54">
        <f t="shared" si="33"/>
        <v>0</v>
      </c>
      <c r="K105" s="54"/>
      <c r="L105" s="113">
        <f t="shared" ref="L105" si="41">H105</f>
        <v>26394.619001989184</v>
      </c>
      <c r="M105" s="54">
        <f t="shared" si="40"/>
        <v>0</v>
      </c>
      <c r="N105" s="113">
        <f t="shared" ref="N105" si="42">I105</f>
        <v>26394.619001989184</v>
      </c>
      <c r="O105" s="54">
        <f t="shared" si="37"/>
        <v>0</v>
      </c>
      <c r="P105" s="54">
        <f t="shared" si="38"/>
        <v>0</v>
      </c>
      <c r="Q105" s="1"/>
    </row>
    <row r="106" spans="1:17" ht="12.5">
      <c r="B106" s="7" t="str">
        <f t="shared" si="39"/>
        <v/>
      </c>
      <c r="C106" s="50">
        <f>IF(D93="","-",+C105+1)</f>
        <v>2019</v>
      </c>
      <c r="D106" s="133">
        <v>195166.45902547057</v>
      </c>
      <c r="E106" s="376">
        <v>5366.2790697674418</v>
      </c>
      <c r="F106" s="137">
        <v>189800.17995570312</v>
      </c>
      <c r="G106" s="137">
        <v>192483.31949058684</v>
      </c>
      <c r="H106" s="397">
        <v>25969.798788270131</v>
      </c>
      <c r="I106" s="398">
        <v>25969.798788270131</v>
      </c>
      <c r="J106" s="54">
        <f t="shared" si="33"/>
        <v>0</v>
      </c>
      <c r="K106" s="54"/>
      <c r="L106" s="113">
        <f t="shared" ref="L106" si="43">H106</f>
        <v>25969.798788270131</v>
      </c>
      <c r="M106" s="54">
        <f t="shared" ref="M106" si="44">IF(L106&lt;&gt;0,+H106-L106,0)</f>
        <v>0</v>
      </c>
      <c r="N106" s="113">
        <f t="shared" ref="N106" si="45">I106</f>
        <v>25969.798788270131</v>
      </c>
      <c r="O106" s="54">
        <f t="shared" si="37"/>
        <v>0</v>
      </c>
      <c r="P106" s="54">
        <f t="shared" si="38"/>
        <v>0</v>
      </c>
      <c r="Q106" s="1"/>
    </row>
    <row r="107" spans="1:17" ht="12.5">
      <c r="B107" s="7" t="str">
        <f t="shared" si="39"/>
        <v/>
      </c>
      <c r="C107" s="50">
        <f>IF(D93="","-",+C106+1)</f>
        <v>2020</v>
      </c>
      <c r="D107" s="133">
        <v>189800.17995570312</v>
      </c>
      <c r="E107" s="376">
        <v>5494.0476190476193</v>
      </c>
      <c r="F107" s="137">
        <v>184306.13233665549</v>
      </c>
      <c r="G107" s="137">
        <v>187053.1561461793</v>
      </c>
      <c r="H107" s="397">
        <v>25616.072507051016</v>
      </c>
      <c r="I107" s="398">
        <v>25616.072507051016</v>
      </c>
      <c r="J107" s="54">
        <f t="shared" si="33"/>
        <v>0</v>
      </c>
      <c r="K107" s="54"/>
      <c r="L107" s="113">
        <f t="shared" ref="L107" si="46">H107</f>
        <v>25616.072507051016</v>
      </c>
      <c r="M107" s="54">
        <f t="shared" ref="M107" si="47">IF(L107&lt;&gt;0,+H107-L107,0)</f>
        <v>0</v>
      </c>
      <c r="N107" s="113">
        <f t="shared" ref="N107" si="48">I107</f>
        <v>25616.072507051016</v>
      </c>
      <c r="O107" s="54">
        <f t="shared" si="37"/>
        <v>0</v>
      </c>
      <c r="P107" s="54">
        <f t="shared" si="38"/>
        <v>0</v>
      </c>
      <c r="Q107" s="1"/>
    </row>
    <row r="108" spans="1:17" ht="12.5">
      <c r="B108" s="7" t="str">
        <f t="shared" si="39"/>
        <v/>
      </c>
      <c r="C108" s="50">
        <f>IF(D93="","-",+C107+1)</f>
        <v>2021</v>
      </c>
      <c r="D108" s="133">
        <v>184306.13233665549</v>
      </c>
      <c r="E108" s="376">
        <v>5628.0487804878048</v>
      </c>
      <c r="F108" s="137">
        <v>178678.08355616769</v>
      </c>
      <c r="G108" s="137">
        <v>181492.10794641159</v>
      </c>
      <c r="H108" s="397">
        <v>26229.985006611758</v>
      </c>
      <c r="I108" s="398">
        <v>26229.985006611758</v>
      </c>
      <c r="J108" s="54">
        <f t="shared" si="33"/>
        <v>0</v>
      </c>
      <c r="K108" s="54"/>
      <c r="L108" s="113">
        <f t="shared" ref="L108" si="49">H108</f>
        <v>26229.985006611758</v>
      </c>
      <c r="M108" s="54">
        <f t="shared" ref="M108" si="50">IF(L108&lt;&gt;0,+H108-L108,0)</f>
        <v>0</v>
      </c>
      <c r="N108" s="113">
        <f t="shared" ref="N108" si="51">I108</f>
        <v>26229.985006611758</v>
      </c>
      <c r="O108" s="54">
        <f t="shared" si="37"/>
        <v>0</v>
      </c>
      <c r="P108" s="54">
        <f t="shared" si="38"/>
        <v>0</v>
      </c>
      <c r="Q108" s="1"/>
    </row>
    <row r="109" spans="1:17" ht="12.5">
      <c r="B109" s="7" t="str">
        <f t="shared" si="39"/>
        <v/>
      </c>
      <c r="C109" s="50">
        <f>IF(D93="","-",+C108+1)</f>
        <v>2022</v>
      </c>
      <c r="D109" s="133">
        <v>178678.08355616769</v>
      </c>
      <c r="E109" s="376">
        <v>5494.0476190476193</v>
      </c>
      <c r="F109" s="137">
        <v>173184.03593712006</v>
      </c>
      <c r="G109" s="137">
        <v>175931.05974664388</v>
      </c>
      <c r="H109" s="397">
        <v>26158.530421053958</v>
      </c>
      <c r="I109" s="398">
        <v>26158.530421053958</v>
      </c>
      <c r="J109" s="54">
        <f t="shared" si="33"/>
        <v>0</v>
      </c>
      <c r="K109" s="54"/>
      <c r="L109" s="113">
        <f t="shared" ref="L109" si="52">H109</f>
        <v>26158.530421053958</v>
      </c>
      <c r="M109" s="54">
        <f t="shared" ref="M109" si="53">IF(L109&lt;&gt;0,+H109-L109,0)</f>
        <v>0</v>
      </c>
      <c r="N109" s="113">
        <f t="shared" ref="N109" si="54">I109</f>
        <v>26158.530421053958</v>
      </c>
      <c r="O109" s="54">
        <f t="shared" ref="O109" si="55">IF(N109&lt;&gt;0,+I109-N109,0)</f>
        <v>0</v>
      </c>
      <c r="P109" s="54">
        <f t="shared" ref="P109" si="56">+O109-M109</f>
        <v>0</v>
      </c>
      <c r="Q109" s="1"/>
    </row>
    <row r="110" spans="1:17" ht="12.5">
      <c r="B110" s="7" t="str">
        <f t="shared" si="39"/>
        <v/>
      </c>
      <c r="C110" s="50">
        <f>IF(D93="","-",+C109+1)</f>
        <v>2023</v>
      </c>
      <c r="D110" s="133">
        <v>173184.03593712006</v>
      </c>
      <c r="E110" s="376">
        <v>5244.318181818182</v>
      </c>
      <c r="F110" s="137">
        <v>167939.71775530188</v>
      </c>
      <c r="G110" s="137">
        <v>170561.87684621097</v>
      </c>
      <c r="H110" s="397">
        <v>26285.693707101585</v>
      </c>
      <c r="I110" s="398">
        <v>26285.693707101585</v>
      </c>
      <c r="J110" s="54">
        <f t="shared" si="33"/>
        <v>0</v>
      </c>
      <c r="K110" s="54"/>
      <c r="L110" s="113">
        <f t="shared" ref="L110" si="57">H110</f>
        <v>26285.693707101585</v>
      </c>
      <c r="M110" s="54">
        <f t="shared" ref="M110" si="58">IF(L110&lt;&gt;0,+H110-L110,0)</f>
        <v>0</v>
      </c>
      <c r="N110" s="113">
        <f t="shared" ref="N110" si="59">I110</f>
        <v>26285.693707101585</v>
      </c>
      <c r="O110" s="54">
        <f t="shared" ref="O110" si="60">IF(N110&lt;&gt;0,+I110-N110,0)</f>
        <v>0</v>
      </c>
      <c r="P110" s="54">
        <f t="shared" ref="P110" si="61">+O110-M110</f>
        <v>0</v>
      </c>
      <c r="Q110" s="1"/>
    </row>
    <row r="111" spans="1:17" ht="12.5">
      <c r="B111" s="7" t="str">
        <f t="shared" si="39"/>
        <v/>
      </c>
      <c r="C111" s="50">
        <f>IF(D93="","-",+C110+1)</f>
        <v>2024</v>
      </c>
      <c r="D111" s="12">
        <f>IF(F110+SUM(E$99:E110)=D$92,F110,D$92-SUM(E$99:E110))</f>
        <v>167939.71775530188</v>
      </c>
      <c r="E111" s="378">
        <f>IF(+J96&lt;F110,J96,D111)</f>
        <v>5244.318181818182</v>
      </c>
      <c r="F111" s="55">
        <f t="shared" ref="F111:F131" si="62">+D111-E111</f>
        <v>162695.39957348371</v>
      </c>
      <c r="G111" s="55">
        <f t="shared" ref="G111:G130" si="63">+(F111+D111)/2</f>
        <v>165317.5586643928</v>
      </c>
      <c r="H111" s="380">
        <f t="shared" ref="H111:H130" si="64">+J$94*G111+E111</f>
        <v>25830.708683829136</v>
      </c>
      <c r="I111" s="399">
        <f t="shared" ref="I111:I130" si="65">+J$95*G111+E111</f>
        <v>25830.708683829136</v>
      </c>
      <c r="J111" s="54">
        <f t="shared" si="33"/>
        <v>0</v>
      </c>
      <c r="K111" s="54"/>
      <c r="L111" s="129"/>
      <c r="M111" s="54">
        <f t="shared" si="35"/>
        <v>0</v>
      </c>
      <c r="N111" s="129"/>
      <c r="O111" s="54">
        <f t="shared" si="37"/>
        <v>0</v>
      </c>
      <c r="P111" s="54">
        <f t="shared" si="38"/>
        <v>0</v>
      </c>
      <c r="Q111" s="1"/>
    </row>
    <row r="112" spans="1:17" ht="12.5">
      <c r="B112" s="7" t="str">
        <f t="shared" si="39"/>
        <v/>
      </c>
      <c r="C112" s="50">
        <f>IF(D93="","-",+C111+1)</f>
        <v>2025</v>
      </c>
      <c r="D112" s="12">
        <f>IF(F111+SUM(E$99:E111)=D$92,F111,D$92-SUM(E$99:E111))</f>
        <v>162695.39957348371</v>
      </c>
      <c r="E112" s="378">
        <f>IF(+J96&lt;F111,J96,D112)</f>
        <v>5244.318181818182</v>
      </c>
      <c r="F112" s="55">
        <f t="shared" si="62"/>
        <v>157451.08139166553</v>
      </c>
      <c r="G112" s="55">
        <f t="shared" si="63"/>
        <v>160073.24048257462</v>
      </c>
      <c r="H112" s="380">
        <f t="shared" si="64"/>
        <v>25177.652935365804</v>
      </c>
      <c r="I112" s="399">
        <f t="shared" si="65"/>
        <v>25177.652935365804</v>
      </c>
      <c r="J112" s="54">
        <f t="shared" si="33"/>
        <v>0</v>
      </c>
      <c r="K112" s="54"/>
      <c r="L112" s="129"/>
      <c r="M112" s="54">
        <f t="shared" si="35"/>
        <v>0</v>
      </c>
      <c r="N112" s="129"/>
      <c r="O112" s="54">
        <f t="shared" si="37"/>
        <v>0</v>
      </c>
      <c r="P112" s="54">
        <f t="shared" si="38"/>
        <v>0</v>
      </c>
      <c r="Q112" s="1"/>
    </row>
    <row r="113" spans="2:17" ht="12.5">
      <c r="B113" s="7" t="str">
        <f t="shared" si="39"/>
        <v/>
      </c>
      <c r="C113" s="50">
        <f>IF(D93="","-",+C112+1)</f>
        <v>2026</v>
      </c>
      <c r="D113" s="12">
        <f>IF(F112+SUM(E$99:E112)=D$92,F112,D$92-SUM(E$99:E112))</f>
        <v>157451.08139166553</v>
      </c>
      <c r="E113" s="378">
        <f>IF(+J96&lt;F112,J96,D113)</f>
        <v>5244.318181818182</v>
      </c>
      <c r="F113" s="55">
        <f t="shared" si="62"/>
        <v>152206.76320984736</v>
      </c>
      <c r="G113" s="55">
        <f t="shared" si="63"/>
        <v>154828.92230075644</v>
      </c>
      <c r="H113" s="380">
        <f t="shared" si="64"/>
        <v>24524.59718690248</v>
      </c>
      <c r="I113" s="399">
        <f t="shared" si="65"/>
        <v>24524.59718690248</v>
      </c>
      <c r="J113" s="54">
        <f t="shared" si="33"/>
        <v>0</v>
      </c>
      <c r="K113" s="54"/>
      <c r="L113" s="129"/>
      <c r="M113" s="54">
        <f t="shared" si="35"/>
        <v>0</v>
      </c>
      <c r="N113" s="129"/>
      <c r="O113" s="54">
        <f t="shared" si="37"/>
        <v>0</v>
      </c>
      <c r="P113" s="54">
        <f t="shared" si="38"/>
        <v>0</v>
      </c>
      <c r="Q113" s="1"/>
    </row>
    <row r="114" spans="2:17" ht="12.5">
      <c r="B114" s="7" t="str">
        <f t="shared" si="39"/>
        <v/>
      </c>
      <c r="C114" s="50">
        <f>IF(D93="","-",+C113+1)</f>
        <v>2027</v>
      </c>
      <c r="D114" s="12">
        <f>IF(F113+SUM(E$99:E113)=D$92,F113,D$92-SUM(E$99:E113))</f>
        <v>152206.76320984736</v>
      </c>
      <c r="E114" s="378">
        <f>IF(+J96&lt;F113,J96,D114)</f>
        <v>5244.318181818182</v>
      </c>
      <c r="F114" s="55">
        <f t="shared" si="62"/>
        <v>146962.44502802918</v>
      </c>
      <c r="G114" s="55">
        <f t="shared" si="63"/>
        <v>149584.60411893827</v>
      </c>
      <c r="H114" s="380">
        <f t="shared" si="64"/>
        <v>23871.541438439155</v>
      </c>
      <c r="I114" s="399">
        <f t="shared" si="65"/>
        <v>23871.541438439155</v>
      </c>
      <c r="J114" s="54">
        <f t="shared" si="33"/>
        <v>0</v>
      </c>
      <c r="K114" s="54"/>
      <c r="L114" s="129"/>
      <c r="M114" s="54">
        <f t="shared" si="35"/>
        <v>0</v>
      </c>
      <c r="N114" s="129"/>
      <c r="O114" s="54">
        <f t="shared" si="37"/>
        <v>0</v>
      </c>
      <c r="P114" s="54">
        <f t="shared" si="38"/>
        <v>0</v>
      </c>
      <c r="Q114" s="1"/>
    </row>
    <row r="115" spans="2:17" ht="12.5">
      <c r="B115" s="7" t="str">
        <f t="shared" si="39"/>
        <v/>
      </c>
      <c r="C115" s="50">
        <f>IF(D93="","-",+C114+1)</f>
        <v>2028</v>
      </c>
      <c r="D115" s="12">
        <f>IF(F114+SUM(E$99:E114)=D$92,F114,D$92-SUM(E$99:E114))</f>
        <v>146962.44502802918</v>
      </c>
      <c r="E115" s="378">
        <f>IF(+J96&lt;F114,J96,D115)</f>
        <v>5244.318181818182</v>
      </c>
      <c r="F115" s="55">
        <f t="shared" si="62"/>
        <v>141718.126846211</v>
      </c>
      <c r="G115" s="55">
        <f t="shared" si="63"/>
        <v>144340.28593712009</v>
      </c>
      <c r="H115" s="380">
        <f t="shared" si="64"/>
        <v>23218.485689975823</v>
      </c>
      <c r="I115" s="399">
        <f t="shared" si="65"/>
        <v>23218.485689975823</v>
      </c>
      <c r="J115" s="54">
        <f t="shared" si="33"/>
        <v>0</v>
      </c>
      <c r="K115" s="54"/>
      <c r="L115" s="129"/>
      <c r="M115" s="54">
        <f t="shared" si="35"/>
        <v>0</v>
      </c>
      <c r="N115" s="129"/>
      <c r="O115" s="54">
        <f t="shared" si="37"/>
        <v>0</v>
      </c>
      <c r="P115" s="54">
        <f t="shared" si="38"/>
        <v>0</v>
      </c>
      <c r="Q115" s="1"/>
    </row>
    <row r="116" spans="2:17" ht="12.5">
      <c r="B116" s="7" t="str">
        <f t="shared" si="39"/>
        <v/>
      </c>
      <c r="C116" s="50">
        <f>IF(D93="","-",+C115+1)</f>
        <v>2029</v>
      </c>
      <c r="D116" s="12">
        <f>IF(F115+SUM(E$99:E115)=D$92,F115,D$92-SUM(E$99:E115))</f>
        <v>141718.126846211</v>
      </c>
      <c r="E116" s="378">
        <f>IF(+J96&lt;F115,J96,D116)</f>
        <v>5244.318181818182</v>
      </c>
      <c r="F116" s="55">
        <f t="shared" si="62"/>
        <v>136473.80866439283</v>
      </c>
      <c r="G116" s="55">
        <f t="shared" si="63"/>
        <v>139095.96775530191</v>
      </c>
      <c r="H116" s="380">
        <f t="shared" si="64"/>
        <v>22565.429941512499</v>
      </c>
      <c r="I116" s="399">
        <f t="shared" si="65"/>
        <v>22565.429941512499</v>
      </c>
      <c r="J116" s="54">
        <f t="shared" si="33"/>
        <v>0</v>
      </c>
      <c r="K116" s="54"/>
      <c r="L116" s="129"/>
      <c r="M116" s="54">
        <f t="shared" si="35"/>
        <v>0</v>
      </c>
      <c r="N116" s="129"/>
      <c r="O116" s="54">
        <f t="shared" si="37"/>
        <v>0</v>
      </c>
      <c r="P116" s="54">
        <f t="shared" si="38"/>
        <v>0</v>
      </c>
      <c r="Q116" s="1"/>
    </row>
    <row r="117" spans="2:17" ht="12.5">
      <c r="B117" s="7" t="str">
        <f t="shared" si="39"/>
        <v/>
      </c>
      <c r="C117" s="50">
        <f>IF(D93="","-",+C116+1)</f>
        <v>2030</v>
      </c>
      <c r="D117" s="12">
        <f>IF(F116+SUM(E$99:E116)=D$92,F116,D$92-SUM(E$99:E116))</f>
        <v>136473.80866439283</v>
      </c>
      <c r="E117" s="378">
        <f>IF(+J96&lt;F116,J96,D117)</f>
        <v>5244.318181818182</v>
      </c>
      <c r="F117" s="55">
        <f t="shared" si="62"/>
        <v>131229.49048257465</v>
      </c>
      <c r="G117" s="55">
        <f t="shared" si="63"/>
        <v>133851.64957348374</v>
      </c>
      <c r="H117" s="380">
        <f t="shared" si="64"/>
        <v>21912.374193049174</v>
      </c>
      <c r="I117" s="399">
        <f t="shared" si="65"/>
        <v>21912.374193049174</v>
      </c>
      <c r="J117" s="54">
        <f t="shared" si="33"/>
        <v>0</v>
      </c>
      <c r="K117" s="54"/>
      <c r="L117" s="129"/>
      <c r="M117" s="54">
        <f t="shared" si="35"/>
        <v>0</v>
      </c>
      <c r="N117" s="129"/>
      <c r="O117" s="54">
        <f t="shared" si="37"/>
        <v>0</v>
      </c>
      <c r="P117" s="54">
        <f t="shared" si="38"/>
        <v>0</v>
      </c>
      <c r="Q117" s="1"/>
    </row>
    <row r="118" spans="2:17" ht="12.5">
      <c r="B118" s="7" t="str">
        <f t="shared" si="39"/>
        <v/>
      </c>
      <c r="C118" s="50">
        <f>IF(D93="","-",+C117+1)</f>
        <v>2031</v>
      </c>
      <c r="D118" s="12">
        <f>IF(F117+SUM(E$99:E117)=D$92,F117,D$92-SUM(E$99:E117))</f>
        <v>131229.49048257465</v>
      </c>
      <c r="E118" s="378">
        <f>IF(+J96&lt;F117,J96,D118)</f>
        <v>5244.318181818182</v>
      </c>
      <c r="F118" s="55">
        <f t="shared" si="62"/>
        <v>125985.17230075647</v>
      </c>
      <c r="G118" s="55">
        <f t="shared" si="63"/>
        <v>128607.33139166556</v>
      </c>
      <c r="H118" s="380">
        <f t="shared" si="64"/>
        <v>21259.318444585842</v>
      </c>
      <c r="I118" s="399">
        <f t="shared" si="65"/>
        <v>21259.318444585842</v>
      </c>
      <c r="J118" s="54">
        <f t="shared" si="33"/>
        <v>0</v>
      </c>
      <c r="K118" s="54"/>
      <c r="L118" s="129"/>
      <c r="M118" s="54">
        <f t="shared" si="35"/>
        <v>0</v>
      </c>
      <c r="N118" s="129"/>
      <c r="O118" s="54">
        <f t="shared" si="37"/>
        <v>0</v>
      </c>
      <c r="P118" s="54">
        <f t="shared" si="38"/>
        <v>0</v>
      </c>
      <c r="Q118" s="1"/>
    </row>
    <row r="119" spans="2:17" ht="12.5">
      <c r="B119" s="7" t="str">
        <f t="shared" si="39"/>
        <v/>
      </c>
      <c r="C119" s="50">
        <f>IF(D93="","-",+C118+1)</f>
        <v>2032</v>
      </c>
      <c r="D119" s="12">
        <f>IF(F118+SUM(E$99:E118)=D$92,F118,D$92-SUM(E$99:E118))</f>
        <v>125985.17230075647</v>
      </c>
      <c r="E119" s="378">
        <f>IF(+J96&lt;F118,J96,D119)</f>
        <v>5244.318181818182</v>
      </c>
      <c r="F119" s="55">
        <f t="shared" si="62"/>
        <v>120740.8541189383</v>
      </c>
      <c r="G119" s="55">
        <f t="shared" si="63"/>
        <v>123363.01320984738</v>
      </c>
      <c r="H119" s="380">
        <f t="shared" si="64"/>
        <v>20606.262696122518</v>
      </c>
      <c r="I119" s="399">
        <f t="shared" si="65"/>
        <v>20606.262696122518</v>
      </c>
      <c r="J119" s="54">
        <f t="shared" si="33"/>
        <v>0</v>
      </c>
      <c r="K119" s="54"/>
      <c r="L119" s="129"/>
      <c r="M119" s="54">
        <f t="shared" si="35"/>
        <v>0</v>
      </c>
      <c r="N119" s="129"/>
      <c r="O119" s="54">
        <f t="shared" si="37"/>
        <v>0</v>
      </c>
      <c r="P119" s="54">
        <f t="shared" si="38"/>
        <v>0</v>
      </c>
      <c r="Q119" s="1"/>
    </row>
    <row r="120" spans="2:17" ht="12.5">
      <c r="B120" s="7" t="str">
        <f t="shared" si="39"/>
        <v/>
      </c>
      <c r="C120" s="50">
        <f>IF(D93="","-",+C119+1)</f>
        <v>2033</v>
      </c>
      <c r="D120" s="12">
        <f>IF(F119+SUM(E$99:E119)=D$92,F119,D$92-SUM(E$99:E119))</f>
        <v>120740.8541189383</v>
      </c>
      <c r="E120" s="378">
        <f>IF(+J96&lt;F119,J96,D120)</f>
        <v>5244.318181818182</v>
      </c>
      <c r="F120" s="55">
        <f t="shared" si="62"/>
        <v>115496.53593712012</v>
      </c>
      <c r="G120" s="55">
        <f t="shared" si="63"/>
        <v>118118.69502802921</v>
      </c>
      <c r="H120" s="380">
        <f t="shared" si="64"/>
        <v>19953.20694765919</v>
      </c>
      <c r="I120" s="399">
        <f t="shared" si="65"/>
        <v>19953.20694765919</v>
      </c>
      <c r="J120" s="54">
        <f t="shared" si="33"/>
        <v>0</v>
      </c>
      <c r="K120" s="54"/>
      <c r="L120" s="129"/>
      <c r="M120" s="54">
        <f t="shared" si="35"/>
        <v>0</v>
      </c>
      <c r="N120" s="129"/>
      <c r="O120" s="54">
        <f t="shared" si="37"/>
        <v>0</v>
      </c>
      <c r="P120" s="54">
        <f t="shared" si="38"/>
        <v>0</v>
      </c>
      <c r="Q120" s="1"/>
    </row>
    <row r="121" spans="2:17" ht="12.5">
      <c r="B121" s="7" t="str">
        <f t="shared" si="39"/>
        <v/>
      </c>
      <c r="C121" s="50">
        <f>IF(D93="","-",+C120+1)</f>
        <v>2034</v>
      </c>
      <c r="D121" s="12">
        <f>IF(F120+SUM(E$99:E120)=D$92,F120,D$92-SUM(E$99:E120))</f>
        <v>115496.53593712012</v>
      </c>
      <c r="E121" s="378">
        <f>IF(+J96&lt;F120,J96,D121)</f>
        <v>5244.318181818182</v>
      </c>
      <c r="F121" s="55">
        <f t="shared" si="62"/>
        <v>110252.21775530194</v>
      </c>
      <c r="G121" s="55">
        <f t="shared" si="63"/>
        <v>112874.37684621103</v>
      </c>
      <c r="H121" s="380">
        <f t="shared" si="64"/>
        <v>19300.151199195861</v>
      </c>
      <c r="I121" s="399">
        <f t="shared" si="65"/>
        <v>19300.151199195861</v>
      </c>
      <c r="J121" s="54">
        <f t="shared" si="33"/>
        <v>0</v>
      </c>
      <c r="K121" s="54"/>
      <c r="L121" s="129"/>
      <c r="M121" s="54">
        <f t="shared" si="35"/>
        <v>0</v>
      </c>
      <c r="N121" s="129"/>
      <c r="O121" s="54">
        <f t="shared" si="37"/>
        <v>0</v>
      </c>
      <c r="P121" s="54">
        <f t="shared" si="38"/>
        <v>0</v>
      </c>
      <c r="Q121" s="1"/>
    </row>
    <row r="122" spans="2:17" ht="12.5">
      <c r="B122" s="7" t="str">
        <f t="shared" si="39"/>
        <v/>
      </c>
      <c r="C122" s="50">
        <f>IF(D93="","-",+C121+1)</f>
        <v>2035</v>
      </c>
      <c r="D122" s="12">
        <f>IF(F121+SUM(E$99:E121)=D$92,F121,D$92-SUM(E$99:E121))</f>
        <v>110252.21775530194</v>
      </c>
      <c r="E122" s="378">
        <f>IF(+J96&lt;F121,J96,D122)</f>
        <v>5244.318181818182</v>
      </c>
      <c r="F122" s="55">
        <f t="shared" si="62"/>
        <v>105007.89957348377</v>
      </c>
      <c r="G122" s="55">
        <f t="shared" si="63"/>
        <v>107630.05866439285</v>
      </c>
      <c r="H122" s="380">
        <f t="shared" si="64"/>
        <v>18647.095450732533</v>
      </c>
      <c r="I122" s="399">
        <f t="shared" si="65"/>
        <v>18647.095450732533</v>
      </c>
      <c r="J122" s="54">
        <f t="shared" si="33"/>
        <v>0</v>
      </c>
      <c r="K122" s="54"/>
      <c r="L122" s="129"/>
      <c r="M122" s="54">
        <f t="shared" si="35"/>
        <v>0</v>
      </c>
      <c r="N122" s="129"/>
      <c r="O122" s="54">
        <f t="shared" si="37"/>
        <v>0</v>
      </c>
      <c r="P122" s="54">
        <f t="shared" si="38"/>
        <v>0</v>
      </c>
      <c r="Q122" s="1"/>
    </row>
    <row r="123" spans="2:17" ht="12.5">
      <c r="B123" s="7" t="str">
        <f t="shared" si="39"/>
        <v/>
      </c>
      <c r="C123" s="50">
        <f>IF(D93="","-",+C122+1)</f>
        <v>2036</v>
      </c>
      <c r="D123" s="12">
        <f>IF(F122+SUM(E$99:E122)=D$92,F122,D$92-SUM(E$99:E122))</f>
        <v>105007.89957348377</v>
      </c>
      <c r="E123" s="378">
        <f>IF(+J96&lt;F122,J96,D123)</f>
        <v>5244.318181818182</v>
      </c>
      <c r="F123" s="55">
        <f t="shared" si="62"/>
        <v>99763.58139166559</v>
      </c>
      <c r="G123" s="55">
        <f t="shared" si="63"/>
        <v>102385.74048257468</v>
      </c>
      <c r="H123" s="380">
        <f t="shared" si="64"/>
        <v>17994.039702269205</v>
      </c>
      <c r="I123" s="399">
        <f t="shared" si="65"/>
        <v>17994.039702269205</v>
      </c>
      <c r="J123" s="54">
        <f t="shared" si="33"/>
        <v>0</v>
      </c>
      <c r="K123" s="54"/>
      <c r="L123" s="129"/>
      <c r="M123" s="54">
        <f t="shared" si="35"/>
        <v>0</v>
      </c>
      <c r="N123" s="129"/>
      <c r="O123" s="54">
        <f t="shared" si="37"/>
        <v>0</v>
      </c>
      <c r="P123" s="54">
        <f t="shared" si="38"/>
        <v>0</v>
      </c>
      <c r="Q123" s="1"/>
    </row>
    <row r="124" spans="2:17" ht="12.5">
      <c r="B124" s="7" t="str">
        <f t="shared" si="39"/>
        <v/>
      </c>
      <c r="C124" s="50">
        <f>IF(D93="","-",+C123+1)</f>
        <v>2037</v>
      </c>
      <c r="D124" s="12">
        <f>IF(F123+SUM(E$99:E123)=D$92,F123,D$92-SUM(E$99:E123))</f>
        <v>99763.58139166559</v>
      </c>
      <c r="E124" s="378">
        <f>IF(+J96&lt;F123,J96,D124)</f>
        <v>5244.318181818182</v>
      </c>
      <c r="F124" s="55">
        <f t="shared" si="62"/>
        <v>94519.263209847413</v>
      </c>
      <c r="G124" s="55">
        <f t="shared" si="63"/>
        <v>97141.422300756501</v>
      </c>
      <c r="H124" s="380">
        <f t="shared" si="64"/>
        <v>17340.98395380588</v>
      </c>
      <c r="I124" s="399">
        <f t="shared" si="65"/>
        <v>17340.98395380588</v>
      </c>
      <c r="J124" s="54">
        <f t="shared" si="33"/>
        <v>0</v>
      </c>
      <c r="K124" s="54"/>
      <c r="L124" s="129"/>
      <c r="M124" s="54">
        <f t="shared" si="35"/>
        <v>0</v>
      </c>
      <c r="N124" s="129"/>
      <c r="O124" s="54">
        <f t="shared" si="37"/>
        <v>0</v>
      </c>
      <c r="P124" s="54">
        <f t="shared" si="38"/>
        <v>0</v>
      </c>
      <c r="Q124" s="1"/>
    </row>
    <row r="125" spans="2:17" ht="12.5">
      <c r="B125" s="7" t="str">
        <f t="shared" si="39"/>
        <v/>
      </c>
      <c r="C125" s="50">
        <f>IF(D93="","-",+C124+1)</f>
        <v>2038</v>
      </c>
      <c r="D125" s="12">
        <f>IF(F124+SUM(E$99:E124)=D$92,F124,D$92-SUM(E$99:E124))</f>
        <v>94519.263209847413</v>
      </c>
      <c r="E125" s="378">
        <f>IF(+J96&lt;F124,J96,D125)</f>
        <v>5244.318181818182</v>
      </c>
      <c r="F125" s="55">
        <f t="shared" si="62"/>
        <v>89274.945028029237</v>
      </c>
      <c r="G125" s="55">
        <f t="shared" si="63"/>
        <v>91897.104118938325</v>
      </c>
      <c r="H125" s="380">
        <f t="shared" si="64"/>
        <v>16687.928205342552</v>
      </c>
      <c r="I125" s="399">
        <f t="shared" si="65"/>
        <v>16687.928205342552</v>
      </c>
      <c r="J125" s="54">
        <f t="shared" si="33"/>
        <v>0</v>
      </c>
      <c r="K125" s="54"/>
      <c r="L125" s="129"/>
      <c r="M125" s="54">
        <f t="shared" si="35"/>
        <v>0</v>
      </c>
      <c r="N125" s="129"/>
      <c r="O125" s="54">
        <f t="shared" si="37"/>
        <v>0</v>
      </c>
      <c r="P125" s="54">
        <f t="shared" si="38"/>
        <v>0</v>
      </c>
      <c r="Q125" s="1"/>
    </row>
    <row r="126" spans="2:17" ht="12.5">
      <c r="B126" s="7" t="str">
        <f t="shared" si="39"/>
        <v/>
      </c>
      <c r="C126" s="50">
        <f>IF(D93="","-",+C125+1)</f>
        <v>2039</v>
      </c>
      <c r="D126" s="12">
        <f>IF(F125+SUM(E$99:E125)=D$92,F125,D$92-SUM(E$99:E125))</f>
        <v>89274.945028029237</v>
      </c>
      <c r="E126" s="378">
        <f>IF(+J96&lt;F125,J96,D126)</f>
        <v>5244.318181818182</v>
      </c>
      <c r="F126" s="55">
        <f t="shared" si="62"/>
        <v>84030.62684621106</v>
      </c>
      <c r="G126" s="55">
        <f t="shared" si="63"/>
        <v>86652.785937120148</v>
      </c>
      <c r="H126" s="380">
        <f t="shared" si="64"/>
        <v>16034.872456879224</v>
      </c>
      <c r="I126" s="399">
        <f t="shared" si="65"/>
        <v>16034.872456879224</v>
      </c>
      <c r="J126" s="54">
        <f t="shared" si="33"/>
        <v>0</v>
      </c>
      <c r="K126" s="54"/>
      <c r="L126" s="129"/>
      <c r="M126" s="54">
        <f t="shared" si="35"/>
        <v>0</v>
      </c>
      <c r="N126" s="129"/>
      <c r="O126" s="54">
        <f t="shared" si="37"/>
        <v>0</v>
      </c>
      <c r="P126" s="54">
        <f t="shared" si="38"/>
        <v>0</v>
      </c>
      <c r="Q126" s="1"/>
    </row>
    <row r="127" spans="2:17" ht="12.5">
      <c r="B127" s="7" t="str">
        <f t="shared" si="39"/>
        <v/>
      </c>
      <c r="C127" s="50">
        <f>IF(D93="","-",+C126+1)</f>
        <v>2040</v>
      </c>
      <c r="D127" s="12">
        <f>IF(F126+SUM(E$99:E126)=D$92,F126,D$92-SUM(E$99:E126))</f>
        <v>84030.62684621106</v>
      </c>
      <c r="E127" s="378">
        <f>IF(+J96&lt;F126,J96,D127)</f>
        <v>5244.318181818182</v>
      </c>
      <c r="F127" s="55">
        <f t="shared" si="62"/>
        <v>78786.308664392884</v>
      </c>
      <c r="G127" s="55">
        <f t="shared" si="63"/>
        <v>81408.467755301972</v>
      </c>
      <c r="H127" s="380">
        <f t="shared" si="64"/>
        <v>15381.816708415898</v>
      </c>
      <c r="I127" s="399">
        <f t="shared" si="65"/>
        <v>15381.816708415898</v>
      </c>
      <c r="J127" s="54">
        <f t="shared" si="33"/>
        <v>0</v>
      </c>
      <c r="K127" s="54"/>
      <c r="L127" s="129"/>
      <c r="M127" s="54">
        <f t="shared" si="35"/>
        <v>0</v>
      </c>
      <c r="N127" s="129"/>
      <c r="O127" s="54">
        <f t="shared" si="37"/>
        <v>0</v>
      </c>
      <c r="P127" s="54">
        <f t="shared" si="38"/>
        <v>0</v>
      </c>
      <c r="Q127" s="1"/>
    </row>
    <row r="128" spans="2:17" ht="12.5">
      <c r="B128" s="7" t="str">
        <f t="shared" si="39"/>
        <v/>
      </c>
      <c r="C128" s="50">
        <f>IF(D93="","-",+C127+1)</f>
        <v>2041</v>
      </c>
      <c r="D128" s="12">
        <f>IF(F127+SUM(E$99:E127)=D$92,F127,D$92-SUM(E$99:E127))</f>
        <v>78786.308664392884</v>
      </c>
      <c r="E128" s="378">
        <f>IF(+J96&lt;F127,J96,D128)</f>
        <v>5244.318181818182</v>
      </c>
      <c r="F128" s="55">
        <f t="shared" si="62"/>
        <v>73541.990482574707</v>
      </c>
      <c r="G128" s="55">
        <f t="shared" si="63"/>
        <v>76164.149573483795</v>
      </c>
      <c r="H128" s="380">
        <f t="shared" si="64"/>
        <v>14728.760959952569</v>
      </c>
      <c r="I128" s="399">
        <f t="shared" si="65"/>
        <v>14728.760959952569</v>
      </c>
      <c r="J128" s="54">
        <f t="shared" si="33"/>
        <v>0</v>
      </c>
      <c r="K128" s="54"/>
      <c r="L128" s="129"/>
      <c r="M128" s="54">
        <f t="shared" si="35"/>
        <v>0</v>
      </c>
      <c r="N128" s="129"/>
      <c r="O128" s="54">
        <f t="shared" si="37"/>
        <v>0</v>
      </c>
      <c r="P128" s="54">
        <f t="shared" si="38"/>
        <v>0</v>
      </c>
      <c r="Q128" s="1"/>
    </row>
    <row r="129" spans="2:17" ht="12.5">
      <c r="B129" s="7" t="str">
        <f t="shared" si="39"/>
        <v/>
      </c>
      <c r="C129" s="50">
        <f>IF(D93="","-",+C128+1)</f>
        <v>2042</v>
      </c>
      <c r="D129" s="12">
        <f>IF(F128+SUM(E$99:E128)=D$92,F128,D$92-SUM(E$99:E128))</f>
        <v>73541.990482574707</v>
      </c>
      <c r="E129" s="378">
        <f>IF(+J96&lt;F128,J96,D129)</f>
        <v>5244.318181818182</v>
      </c>
      <c r="F129" s="55">
        <f t="shared" si="62"/>
        <v>68297.672300756531</v>
      </c>
      <c r="G129" s="55">
        <f t="shared" si="63"/>
        <v>70919.831391665619</v>
      </c>
      <c r="H129" s="380">
        <f t="shared" si="64"/>
        <v>14075.705211489243</v>
      </c>
      <c r="I129" s="399">
        <f t="shared" si="65"/>
        <v>14075.705211489243</v>
      </c>
      <c r="J129" s="54">
        <f t="shared" si="33"/>
        <v>0</v>
      </c>
      <c r="K129" s="54"/>
      <c r="L129" s="129"/>
      <c r="M129" s="54">
        <f t="shared" si="35"/>
        <v>0</v>
      </c>
      <c r="N129" s="129"/>
      <c r="O129" s="54">
        <f t="shared" si="37"/>
        <v>0</v>
      </c>
      <c r="P129" s="54">
        <f t="shared" si="38"/>
        <v>0</v>
      </c>
      <c r="Q129" s="1"/>
    </row>
    <row r="130" spans="2:17" ht="12.5">
      <c r="B130" s="7" t="str">
        <f t="shared" si="39"/>
        <v/>
      </c>
      <c r="C130" s="50">
        <f>IF(D93="","-",+C129+1)</f>
        <v>2043</v>
      </c>
      <c r="D130" s="12">
        <f>IF(F129+SUM(E$99:E129)=D$92,F129,D$92-SUM(E$99:E129))</f>
        <v>68297.672300756531</v>
      </c>
      <c r="E130" s="378">
        <f>IF(+J96&lt;F129,J96,D130)</f>
        <v>5244.318181818182</v>
      </c>
      <c r="F130" s="55">
        <f t="shared" si="62"/>
        <v>63053.354118938347</v>
      </c>
      <c r="G130" s="55">
        <f t="shared" si="63"/>
        <v>65675.513209847442</v>
      </c>
      <c r="H130" s="380">
        <f t="shared" si="64"/>
        <v>13422.649463025915</v>
      </c>
      <c r="I130" s="399">
        <f t="shared" si="65"/>
        <v>13422.649463025915</v>
      </c>
      <c r="J130" s="54">
        <f t="shared" si="33"/>
        <v>0</v>
      </c>
      <c r="K130" s="54"/>
      <c r="L130" s="129"/>
      <c r="M130" s="54">
        <f t="shared" si="35"/>
        <v>0</v>
      </c>
      <c r="N130" s="129"/>
      <c r="O130" s="54">
        <f t="shared" si="37"/>
        <v>0</v>
      </c>
      <c r="P130" s="54">
        <f t="shared" si="38"/>
        <v>0</v>
      </c>
      <c r="Q130" s="1"/>
    </row>
    <row r="131" spans="2:17" ht="12.5">
      <c r="B131" s="7" t="str">
        <f t="shared" si="39"/>
        <v/>
      </c>
      <c r="C131" s="50">
        <f>IF(D93="","-",+C130+1)</f>
        <v>2044</v>
      </c>
      <c r="D131" s="12">
        <f>IF(F130+SUM(E$99:E130)=D$92,F130,D$92-SUM(E$99:E130))</f>
        <v>63053.354118938347</v>
      </c>
      <c r="E131" s="378">
        <f>IF(+J96&lt;F130,J96,D131)</f>
        <v>5244.318181818182</v>
      </c>
      <c r="F131" s="55">
        <f t="shared" si="62"/>
        <v>57809.035937120163</v>
      </c>
      <c r="G131" s="55">
        <f t="shared" ref="G131:G154" si="66">+(F131+D131)/2</f>
        <v>60431.195028029251</v>
      </c>
      <c r="H131" s="380">
        <f t="shared" ref="H131:H154" si="67">+J$94*G131+E131</f>
        <v>12769.593714562587</v>
      </c>
      <c r="I131" s="399">
        <f t="shared" ref="I131:I154" si="68">+J$95*G131+E131</f>
        <v>12769.593714562587</v>
      </c>
      <c r="J131" s="54">
        <f t="shared" ref="J131:J154" si="69">+I131-H131</f>
        <v>0</v>
      </c>
      <c r="K131" s="54"/>
      <c r="L131" s="129"/>
      <c r="M131" s="54">
        <f t="shared" ref="M131:M154" si="70">IF(L131&lt;&gt;0,+H131-L131,0)</f>
        <v>0</v>
      </c>
      <c r="N131" s="129"/>
      <c r="O131" s="54">
        <f t="shared" ref="O131:O154" si="71">IF(N131&lt;&gt;0,+I131-N131,0)</f>
        <v>0</v>
      </c>
      <c r="P131" s="54">
        <f t="shared" ref="P131:P154" si="72">+O131-M131</f>
        <v>0</v>
      </c>
      <c r="Q131" s="1"/>
    </row>
    <row r="132" spans="2:17" ht="12.5">
      <c r="B132" s="7" t="str">
        <f t="shared" ref="B132:B154" si="73">IF(D132=F131,"","IU")</f>
        <v/>
      </c>
      <c r="C132" s="50">
        <f>IF(D93="","-",+C131+1)</f>
        <v>2045</v>
      </c>
      <c r="D132" s="12">
        <f>IF(F131+SUM(E$99:E131)=D$92,F131,D$92-SUM(E$99:E131))</f>
        <v>57809.035937120163</v>
      </c>
      <c r="E132" s="378">
        <f>IF(+J96&lt;F131,J96,D132)</f>
        <v>5244.318181818182</v>
      </c>
      <c r="F132" s="55">
        <f t="shared" ref="F132:F154" si="74">+D132-E132</f>
        <v>52564.717755301979</v>
      </c>
      <c r="G132" s="55">
        <f t="shared" si="66"/>
        <v>55186.876846211075</v>
      </c>
      <c r="H132" s="380">
        <f t="shared" si="67"/>
        <v>12116.537966099258</v>
      </c>
      <c r="I132" s="399">
        <f t="shared" si="68"/>
        <v>12116.537966099258</v>
      </c>
      <c r="J132" s="54">
        <f t="shared" si="69"/>
        <v>0</v>
      </c>
      <c r="K132" s="54"/>
      <c r="L132" s="129"/>
      <c r="M132" s="54">
        <f t="shared" si="70"/>
        <v>0</v>
      </c>
      <c r="N132" s="129"/>
      <c r="O132" s="54">
        <f t="shared" si="71"/>
        <v>0</v>
      </c>
      <c r="P132" s="54">
        <f t="shared" si="72"/>
        <v>0</v>
      </c>
      <c r="Q132" s="1"/>
    </row>
    <row r="133" spans="2:17" ht="12.5">
      <c r="B133" s="7" t="str">
        <f t="shared" si="73"/>
        <v/>
      </c>
      <c r="C133" s="50">
        <f>IF(D93="","-",+C132+1)</f>
        <v>2046</v>
      </c>
      <c r="D133" s="12">
        <f>IF(F132+SUM(E$99:E132)=D$92,F132,D$92-SUM(E$99:E132))</f>
        <v>52564.717755301979</v>
      </c>
      <c r="E133" s="378">
        <f>IF(+J96&lt;F132,J96,D133)</f>
        <v>5244.318181818182</v>
      </c>
      <c r="F133" s="55">
        <f t="shared" si="74"/>
        <v>47320.399573483795</v>
      </c>
      <c r="G133" s="55">
        <f t="shared" si="66"/>
        <v>49942.558664392884</v>
      </c>
      <c r="H133" s="380">
        <f t="shared" si="67"/>
        <v>11463.48221763593</v>
      </c>
      <c r="I133" s="399">
        <f t="shared" si="68"/>
        <v>11463.48221763593</v>
      </c>
      <c r="J133" s="54">
        <f t="shared" si="69"/>
        <v>0</v>
      </c>
      <c r="K133" s="54"/>
      <c r="L133" s="129"/>
      <c r="M133" s="54">
        <f t="shared" si="70"/>
        <v>0</v>
      </c>
      <c r="N133" s="129"/>
      <c r="O133" s="54">
        <f t="shared" si="71"/>
        <v>0</v>
      </c>
      <c r="P133" s="54">
        <f t="shared" si="72"/>
        <v>0</v>
      </c>
      <c r="Q133" s="1"/>
    </row>
    <row r="134" spans="2:17" ht="12.5">
      <c r="B134" s="7" t="str">
        <f t="shared" si="73"/>
        <v/>
      </c>
      <c r="C134" s="50">
        <f>IF(D93="","-",+C133+1)</f>
        <v>2047</v>
      </c>
      <c r="D134" s="12">
        <f>IF(F133+SUM(E$99:E133)=D$92,F133,D$92-SUM(E$99:E133))</f>
        <v>47320.399573483795</v>
      </c>
      <c r="E134" s="378">
        <f>IF(+J96&lt;F133,J96,D134)</f>
        <v>5244.318181818182</v>
      </c>
      <c r="F134" s="55">
        <f t="shared" si="74"/>
        <v>42076.081391665612</v>
      </c>
      <c r="G134" s="55">
        <f t="shared" si="66"/>
        <v>44698.240482574707</v>
      </c>
      <c r="H134" s="380">
        <f t="shared" si="67"/>
        <v>10810.426469172602</v>
      </c>
      <c r="I134" s="399">
        <f t="shared" si="68"/>
        <v>10810.426469172602</v>
      </c>
      <c r="J134" s="54">
        <f t="shared" si="69"/>
        <v>0</v>
      </c>
      <c r="K134" s="54"/>
      <c r="L134" s="129"/>
      <c r="M134" s="54">
        <f t="shared" si="70"/>
        <v>0</v>
      </c>
      <c r="N134" s="129"/>
      <c r="O134" s="54">
        <f t="shared" si="71"/>
        <v>0</v>
      </c>
      <c r="P134" s="54">
        <f t="shared" si="72"/>
        <v>0</v>
      </c>
      <c r="Q134" s="1"/>
    </row>
    <row r="135" spans="2:17" ht="12.5">
      <c r="B135" s="7" t="str">
        <f t="shared" si="73"/>
        <v/>
      </c>
      <c r="C135" s="50">
        <f>IF(D93="","-",+C134+1)</f>
        <v>2048</v>
      </c>
      <c r="D135" s="12">
        <f>IF(F134+SUM(E$99:E134)=D$92,F134,D$92-SUM(E$99:E134))</f>
        <v>42076.081391665612</v>
      </c>
      <c r="E135" s="378">
        <f>IF(+J96&lt;F134,J96,D135)</f>
        <v>5244.318181818182</v>
      </c>
      <c r="F135" s="55">
        <f t="shared" si="74"/>
        <v>36831.763209847428</v>
      </c>
      <c r="G135" s="55">
        <f t="shared" si="66"/>
        <v>39453.922300756516</v>
      </c>
      <c r="H135" s="380">
        <f t="shared" si="67"/>
        <v>10157.370720709274</v>
      </c>
      <c r="I135" s="399">
        <f t="shared" si="68"/>
        <v>10157.370720709274</v>
      </c>
      <c r="J135" s="54">
        <f t="shared" si="69"/>
        <v>0</v>
      </c>
      <c r="K135" s="54"/>
      <c r="L135" s="129"/>
      <c r="M135" s="54">
        <f t="shared" si="70"/>
        <v>0</v>
      </c>
      <c r="N135" s="129"/>
      <c r="O135" s="54">
        <f t="shared" si="71"/>
        <v>0</v>
      </c>
      <c r="P135" s="54">
        <f t="shared" si="72"/>
        <v>0</v>
      </c>
      <c r="Q135" s="1"/>
    </row>
    <row r="136" spans="2:17" ht="12.5">
      <c r="B136" s="7" t="str">
        <f t="shared" si="73"/>
        <v/>
      </c>
      <c r="C136" s="50">
        <f>IF(D93="","-",+C135+1)</f>
        <v>2049</v>
      </c>
      <c r="D136" s="12">
        <f>IF(F135+SUM(E$99:E135)=D$92,F135,D$92-SUM(E$99:E135))</f>
        <v>36831.763209847428</v>
      </c>
      <c r="E136" s="378">
        <f>IF(+J96&lt;F135,J96,D136)</f>
        <v>5244.318181818182</v>
      </c>
      <c r="F136" s="55">
        <f t="shared" si="74"/>
        <v>31587.445028029244</v>
      </c>
      <c r="G136" s="55">
        <f t="shared" si="66"/>
        <v>34209.60411893834</v>
      </c>
      <c r="H136" s="380">
        <f t="shared" si="67"/>
        <v>9504.3149722459457</v>
      </c>
      <c r="I136" s="399">
        <f t="shared" si="68"/>
        <v>9504.3149722459457</v>
      </c>
      <c r="J136" s="54">
        <f t="shared" si="69"/>
        <v>0</v>
      </c>
      <c r="K136" s="54"/>
      <c r="L136" s="129"/>
      <c r="M136" s="54">
        <f t="shared" si="70"/>
        <v>0</v>
      </c>
      <c r="N136" s="129"/>
      <c r="O136" s="54">
        <f t="shared" si="71"/>
        <v>0</v>
      </c>
      <c r="P136" s="54">
        <f t="shared" si="72"/>
        <v>0</v>
      </c>
      <c r="Q136" s="1"/>
    </row>
    <row r="137" spans="2:17" ht="12.5">
      <c r="B137" s="7" t="str">
        <f t="shared" si="73"/>
        <v/>
      </c>
      <c r="C137" s="50">
        <f>IF(D93="","-",+C136+1)</f>
        <v>2050</v>
      </c>
      <c r="D137" s="12">
        <f>IF(F136+SUM(E$99:E136)=D$92,F136,D$92-SUM(E$99:E136))</f>
        <v>31587.445028029244</v>
      </c>
      <c r="E137" s="378">
        <f>IF(+J96&lt;F136,J96,D137)</f>
        <v>5244.318181818182</v>
      </c>
      <c r="F137" s="55">
        <f t="shared" si="74"/>
        <v>26343.12684621106</v>
      </c>
      <c r="G137" s="55">
        <f t="shared" si="66"/>
        <v>28965.285937120152</v>
      </c>
      <c r="H137" s="380">
        <f t="shared" si="67"/>
        <v>8851.2592237826175</v>
      </c>
      <c r="I137" s="399">
        <f t="shared" si="68"/>
        <v>8851.2592237826175</v>
      </c>
      <c r="J137" s="54">
        <f t="shared" si="69"/>
        <v>0</v>
      </c>
      <c r="K137" s="54"/>
      <c r="L137" s="129"/>
      <c r="M137" s="54">
        <f t="shared" si="70"/>
        <v>0</v>
      </c>
      <c r="N137" s="129"/>
      <c r="O137" s="54">
        <f t="shared" si="71"/>
        <v>0</v>
      </c>
      <c r="P137" s="54">
        <f t="shared" si="72"/>
        <v>0</v>
      </c>
      <c r="Q137" s="1"/>
    </row>
    <row r="138" spans="2:17" ht="12.5">
      <c r="B138" s="7" t="str">
        <f t="shared" si="73"/>
        <v/>
      </c>
      <c r="C138" s="50">
        <f>IF(D93="","-",+C137+1)</f>
        <v>2051</v>
      </c>
      <c r="D138" s="12">
        <f>IF(F137+SUM(E$99:E137)=D$92,F137,D$92-SUM(E$99:E137))</f>
        <v>26343.12684621106</v>
      </c>
      <c r="E138" s="378">
        <f>IF(+J96&lt;F137,J96,D138)</f>
        <v>5244.318181818182</v>
      </c>
      <c r="F138" s="55">
        <f t="shared" si="74"/>
        <v>21098.808664392876</v>
      </c>
      <c r="G138" s="55">
        <f t="shared" si="66"/>
        <v>23720.967755301968</v>
      </c>
      <c r="H138" s="380">
        <f t="shared" si="67"/>
        <v>8198.2034753192893</v>
      </c>
      <c r="I138" s="399">
        <f t="shared" si="68"/>
        <v>8198.2034753192893</v>
      </c>
      <c r="J138" s="54">
        <f t="shared" si="69"/>
        <v>0</v>
      </c>
      <c r="K138" s="54"/>
      <c r="L138" s="129"/>
      <c r="M138" s="54">
        <f t="shared" si="70"/>
        <v>0</v>
      </c>
      <c r="N138" s="129"/>
      <c r="O138" s="54">
        <f t="shared" si="71"/>
        <v>0</v>
      </c>
      <c r="P138" s="54">
        <f t="shared" si="72"/>
        <v>0</v>
      </c>
      <c r="Q138" s="1"/>
    </row>
    <row r="139" spans="2:17" ht="12.5">
      <c r="B139" s="7" t="str">
        <f t="shared" si="73"/>
        <v/>
      </c>
      <c r="C139" s="50">
        <f>IF(D93="","-",+C138+1)</f>
        <v>2052</v>
      </c>
      <c r="D139" s="12">
        <f>IF(F138+SUM(E$99:E138)=D$92,F138,D$92-SUM(E$99:E138))</f>
        <v>21098.808664392876</v>
      </c>
      <c r="E139" s="378">
        <f>IF(+J96&lt;F138,J96,D139)</f>
        <v>5244.318181818182</v>
      </c>
      <c r="F139" s="55">
        <f t="shared" si="74"/>
        <v>15854.490482574694</v>
      </c>
      <c r="G139" s="55">
        <f t="shared" si="66"/>
        <v>18476.649573483784</v>
      </c>
      <c r="H139" s="380">
        <f t="shared" si="67"/>
        <v>7545.1477268559611</v>
      </c>
      <c r="I139" s="399">
        <f t="shared" si="68"/>
        <v>7545.1477268559611</v>
      </c>
      <c r="J139" s="54">
        <f t="shared" si="69"/>
        <v>0</v>
      </c>
      <c r="K139" s="54"/>
      <c r="L139" s="129"/>
      <c r="M139" s="54">
        <f t="shared" si="70"/>
        <v>0</v>
      </c>
      <c r="N139" s="129"/>
      <c r="O139" s="54">
        <f t="shared" si="71"/>
        <v>0</v>
      </c>
      <c r="P139" s="54">
        <f t="shared" si="72"/>
        <v>0</v>
      </c>
      <c r="Q139" s="1"/>
    </row>
    <row r="140" spans="2:17" ht="12.5">
      <c r="B140" s="7" t="str">
        <f t="shared" si="73"/>
        <v/>
      </c>
      <c r="C140" s="50">
        <f>IF(D93="","-",+C139+1)</f>
        <v>2053</v>
      </c>
      <c r="D140" s="12">
        <f>IF(F139+SUM(E$99:E139)=D$92,F139,D$92-SUM(E$99:E139))</f>
        <v>15854.490482574694</v>
      </c>
      <c r="E140" s="378">
        <f>IF(+J96&lt;F139,J96,D140)</f>
        <v>5244.318181818182</v>
      </c>
      <c r="F140" s="55">
        <f t="shared" si="74"/>
        <v>10610.172300756512</v>
      </c>
      <c r="G140" s="55">
        <f t="shared" si="66"/>
        <v>13232.331391665604</v>
      </c>
      <c r="H140" s="380">
        <f t="shared" si="67"/>
        <v>6892.0919783926338</v>
      </c>
      <c r="I140" s="399">
        <f t="shared" si="68"/>
        <v>6892.0919783926338</v>
      </c>
      <c r="J140" s="54">
        <f t="shared" si="69"/>
        <v>0</v>
      </c>
      <c r="K140" s="54"/>
      <c r="L140" s="129"/>
      <c r="M140" s="54">
        <f t="shared" si="70"/>
        <v>0</v>
      </c>
      <c r="N140" s="129"/>
      <c r="O140" s="54">
        <f t="shared" si="71"/>
        <v>0</v>
      </c>
      <c r="P140" s="54">
        <f t="shared" si="72"/>
        <v>0</v>
      </c>
      <c r="Q140" s="1"/>
    </row>
    <row r="141" spans="2:17" ht="12.5">
      <c r="B141" s="7" t="str">
        <f t="shared" si="73"/>
        <v/>
      </c>
      <c r="C141" s="50">
        <f>IF(D93="","-",+C140+1)</f>
        <v>2054</v>
      </c>
      <c r="D141" s="12">
        <f>IF(F140+SUM(E$99:E140)=D$92,F140,D$92-SUM(E$99:E140))</f>
        <v>10610.172300756512</v>
      </c>
      <c r="E141" s="378">
        <f>IF(+J96&lt;F140,J96,D141)</f>
        <v>5244.318181818182</v>
      </c>
      <c r="F141" s="55">
        <f t="shared" si="74"/>
        <v>5365.8541189383304</v>
      </c>
      <c r="G141" s="55">
        <f t="shared" si="66"/>
        <v>7988.0132098474214</v>
      </c>
      <c r="H141" s="380">
        <f t="shared" si="67"/>
        <v>6239.0362299293056</v>
      </c>
      <c r="I141" s="399">
        <f t="shared" si="68"/>
        <v>6239.0362299293056</v>
      </c>
      <c r="J141" s="54">
        <f t="shared" si="69"/>
        <v>0</v>
      </c>
      <c r="K141" s="54"/>
      <c r="L141" s="129"/>
      <c r="M141" s="54">
        <f t="shared" si="70"/>
        <v>0</v>
      </c>
      <c r="N141" s="129"/>
      <c r="O141" s="54">
        <f t="shared" si="71"/>
        <v>0</v>
      </c>
      <c r="P141" s="54">
        <f t="shared" si="72"/>
        <v>0</v>
      </c>
      <c r="Q141" s="1"/>
    </row>
    <row r="142" spans="2:17" ht="12.5">
      <c r="B142" s="7" t="str">
        <f t="shared" si="73"/>
        <v/>
      </c>
      <c r="C142" s="50">
        <f>IF(D93="","-",+C141+1)</f>
        <v>2055</v>
      </c>
      <c r="D142" s="12">
        <f>IF(F141+SUM(E$99:E141)=D$92,F141,D$92-SUM(E$99:E141))</f>
        <v>5365.8541189383304</v>
      </c>
      <c r="E142" s="378">
        <f>IF(+J96&lt;F141,J96,D142)</f>
        <v>5244.318181818182</v>
      </c>
      <c r="F142" s="55">
        <f t="shared" si="74"/>
        <v>121.53593712014845</v>
      </c>
      <c r="G142" s="55">
        <f t="shared" si="66"/>
        <v>2743.6950280292394</v>
      </c>
      <c r="H142" s="380">
        <f t="shared" si="67"/>
        <v>5585.9804814659774</v>
      </c>
      <c r="I142" s="399">
        <f t="shared" si="68"/>
        <v>5585.9804814659774</v>
      </c>
      <c r="J142" s="54">
        <f t="shared" si="69"/>
        <v>0</v>
      </c>
      <c r="K142" s="54"/>
      <c r="L142" s="129"/>
      <c r="M142" s="54">
        <f t="shared" si="70"/>
        <v>0</v>
      </c>
      <c r="N142" s="129"/>
      <c r="O142" s="54">
        <f t="shared" si="71"/>
        <v>0</v>
      </c>
      <c r="P142" s="54">
        <f t="shared" si="72"/>
        <v>0</v>
      </c>
      <c r="Q142" s="1"/>
    </row>
    <row r="143" spans="2:17" ht="12.5">
      <c r="B143" s="7" t="str">
        <f t="shared" si="73"/>
        <v/>
      </c>
      <c r="C143" s="50">
        <f>IF(D93="","-",+C142+1)</f>
        <v>2056</v>
      </c>
      <c r="D143" s="12">
        <f>IF(F142+SUM(E$99:E142)=D$92,F142,D$92-SUM(E$99:E142))</f>
        <v>121.53593712014845</v>
      </c>
      <c r="E143" s="378">
        <f>IF(+J96&lt;F142,J96,D143)</f>
        <v>121.53593712014845</v>
      </c>
      <c r="F143" s="55">
        <f t="shared" si="74"/>
        <v>0</v>
      </c>
      <c r="G143" s="55">
        <f t="shared" si="66"/>
        <v>60.767968560074223</v>
      </c>
      <c r="H143" s="380">
        <f t="shared" si="67"/>
        <v>129.10314982821427</v>
      </c>
      <c r="I143" s="399">
        <f t="shared" si="68"/>
        <v>129.10314982821427</v>
      </c>
      <c r="J143" s="54">
        <f t="shared" si="69"/>
        <v>0</v>
      </c>
      <c r="K143" s="54"/>
      <c r="L143" s="129"/>
      <c r="M143" s="54">
        <f t="shared" si="70"/>
        <v>0</v>
      </c>
      <c r="N143" s="129"/>
      <c r="O143" s="54">
        <f t="shared" si="71"/>
        <v>0</v>
      </c>
      <c r="P143" s="54">
        <f t="shared" si="72"/>
        <v>0</v>
      </c>
      <c r="Q143" s="1"/>
    </row>
    <row r="144" spans="2:17" ht="12.5">
      <c r="B144" s="7" t="str">
        <f t="shared" si="73"/>
        <v/>
      </c>
      <c r="C144" s="50">
        <f>IF(D93="","-",+C143+1)</f>
        <v>2057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74"/>
        <v>0</v>
      </c>
      <c r="G144" s="55">
        <f t="shared" si="66"/>
        <v>0</v>
      </c>
      <c r="H144" s="380">
        <f t="shared" si="67"/>
        <v>0</v>
      </c>
      <c r="I144" s="399">
        <f t="shared" si="68"/>
        <v>0</v>
      </c>
      <c r="J144" s="54">
        <f t="shared" si="69"/>
        <v>0</v>
      </c>
      <c r="K144" s="54"/>
      <c r="L144" s="129"/>
      <c r="M144" s="54">
        <f t="shared" si="70"/>
        <v>0</v>
      </c>
      <c r="N144" s="129"/>
      <c r="O144" s="54">
        <f t="shared" si="71"/>
        <v>0</v>
      </c>
      <c r="P144" s="54">
        <f t="shared" si="72"/>
        <v>0</v>
      </c>
      <c r="Q144" s="1"/>
    </row>
    <row r="145" spans="2:17" ht="12.5">
      <c r="B145" s="7" t="str">
        <f t="shared" si="73"/>
        <v/>
      </c>
      <c r="C145" s="50">
        <f>IF(D93="","-",+C144+1)</f>
        <v>2058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74"/>
        <v>0</v>
      </c>
      <c r="G145" s="55">
        <f t="shared" si="66"/>
        <v>0</v>
      </c>
      <c r="H145" s="380">
        <f t="shared" si="67"/>
        <v>0</v>
      </c>
      <c r="I145" s="399">
        <f t="shared" si="68"/>
        <v>0</v>
      </c>
      <c r="J145" s="54">
        <f t="shared" si="69"/>
        <v>0</v>
      </c>
      <c r="K145" s="54"/>
      <c r="L145" s="129"/>
      <c r="M145" s="54">
        <f t="shared" si="70"/>
        <v>0</v>
      </c>
      <c r="N145" s="129"/>
      <c r="O145" s="54">
        <f t="shared" si="71"/>
        <v>0</v>
      </c>
      <c r="P145" s="54">
        <f t="shared" si="72"/>
        <v>0</v>
      </c>
      <c r="Q145" s="1"/>
    </row>
    <row r="146" spans="2:17" ht="12.5">
      <c r="B146" s="7" t="str">
        <f t="shared" si="73"/>
        <v/>
      </c>
      <c r="C146" s="50">
        <f>IF(D93="","-",+C145+1)</f>
        <v>2059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74"/>
        <v>0</v>
      </c>
      <c r="G146" s="55">
        <f t="shared" si="66"/>
        <v>0</v>
      </c>
      <c r="H146" s="380">
        <f t="shared" si="67"/>
        <v>0</v>
      </c>
      <c r="I146" s="399">
        <f t="shared" si="68"/>
        <v>0</v>
      </c>
      <c r="J146" s="54">
        <f t="shared" si="69"/>
        <v>0</v>
      </c>
      <c r="K146" s="54"/>
      <c r="L146" s="129"/>
      <c r="M146" s="54">
        <f t="shared" si="70"/>
        <v>0</v>
      </c>
      <c r="N146" s="129"/>
      <c r="O146" s="54">
        <f t="shared" si="71"/>
        <v>0</v>
      </c>
      <c r="P146" s="54">
        <f t="shared" si="72"/>
        <v>0</v>
      </c>
      <c r="Q146" s="1"/>
    </row>
    <row r="147" spans="2:17" ht="12.5">
      <c r="B147" s="7" t="str">
        <f t="shared" si="73"/>
        <v/>
      </c>
      <c r="C147" s="50">
        <f>IF(D93="","-",+C146+1)</f>
        <v>2060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74"/>
        <v>0</v>
      </c>
      <c r="G147" s="55">
        <f t="shared" si="66"/>
        <v>0</v>
      </c>
      <c r="H147" s="380">
        <f t="shared" si="67"/>
        <v>0</v>
      </c>
      <c r="I147" s="399">
        <f t="shared" si="68"/>
        <v>0</v>
      </c>
      <c r="J147" s="54">
        <f t="shared" si="69"/>
        <v>0</v>
      </c>
      <c r="K147" s="54"/>
      <c r="L147" s="129"/>
      <c r="M147" s="54">
        <f t="shared" si="70"/>
        <v>0</v>
      </c>
      <c r="N147" s="129"/>
      <c r="O147" s="54">
        <f t="shared" si="71"/>
        <v>0</v>
      </c>
      <c r="P147" s="54">
        <f t="shared" si="72"/>
        <v>0</v>
      </c>
      <c r="Q147" s="1"/>
    </row>
    <row r="148" spans="2:17" ht="12.5">
      <c r="B148" s="7" t="str">
        <f t="shared" si="73"/>
        <v/>
      </c>
      <c r="C148" s="50">
        <f>IF(D93="","-",+C147+1)</f>
        <v>2061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74"/>
        <v>0</v>
      </c>
      <c r="G148" s="55">
        <f t="shared" si="66"/>
        <v>0</v>
      </c>
      <c r="H148" s="380">
        <f t="shared" si="67"/>
        <v>0</v>
      </c>
      <c r="I148" s="399">
        <f t="shared" si="68"/>
        <v>0</v>
      </c>
      <c r="J148" s="54">
        <f t="shared" si="69"/>
        <v>0</v>
      </c>
      <c r="K148" s="54"/>
      <c r="L148" s="129"/>
      <c r="M148" s="54">
        <f t="shared" si="70"/>
        <v>0</v>
      </c>
      <c r="N148" s="129"/>
      <c r="O148" s="54">
        <f t="shared" si="71"/>
        <v>0</v>
      </c>
      <c r="P148" s="54">
        <f t="shared" si="72"/>
        <v>0</v>
      </c>
      <c r="Q148" s="1"/>
    </row>
    <row r="149" spans="2:17" ht="12.5">
      <c r="B149" s="7" t="str">
        <f t="shared" si="73"/>
        <v/>
      </c>
      <c r="C149" s="50">
        <f>IF(D93="","-",+C148+1)</f>
        <v>2062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74"/>
        <v>0</v>
      </c>
      <c r="G149" s="55">
        <f t="shared" si="66"/>
        <v>0</v>
      </c>
      <c r="H149" s="380">
        <f t="shared" si="67"/>
        <v>0</v>
      </c>
      <c r="I149" s="399">
        <f t="shared" si="68"/>
        <v>0</v>
      </c>
      <c r="J149" s="54">
        <f t="shared" si="69"/>
        <v>0</v>
      </c>
      <c r="K149" s="54"/>
      <c r="L149" s="129"/>
      <c r="M149" s="54">
        <f t="shared" si="70"/>
        <v>0</v>
      </c>
      <c r="N149" s="129"/>
      <c r="O149" s="54">
        <f t="shared" si="71"/>
        <v>0</v>
      </c>
      <c r="P149" s="54">
        <f t="shared" si="72"/>
        <v>0</v>
      </c>
      <c r="Q149" s="1"/>
    </row>
    <row r="150" spans="2:17" ht="12.5">
      <c r="B150" s="7" t="str">
        <f t="shared" si="73"/>
        <v/>
      </c>
      <c r="C150" s="50">
        <f>IF(D93="","-",+C149+1)</f>
        <v>2063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74"/>
        <v>0</v>
      </c>
      <c r="G150" s="55">
        <f t="shared" si="66"/>
        <v>0</v>
      </c>
      <c r="H150" s="380">
        <f t="shared" si="67"/>
        <v>0</v>
      </c>
      <c r="I150" s="399">
        <f t="shared" si="68"/>
        <v>0</v>
      </c>
      <c r="J150" s="54">
        <f t="shared" si="69"/>
        <v>0</v>
      </c>
      <c r="K150" s="54"/>
      <c r="L150" s="129"/>
      <c r="M150" s="54">
        <f t="shared" si="70"/>
        <v>0</v>
      </c>
      <c r="N150" s="129"/>
      <c r="O150" s="54">
        <f t="shared" si="71"/>
        <v>0</v>
      </c>
      <c r="P150" s="54">
        <f t="shared" si="72"/>
        <v>0</v>
      </c>
      <c r="Q150" s="1"/>
    </row>
    <row r="151" spans="2:17" ht="12.5">
      <c r="B151" s="7" t="str">
        <f t="shared" si="73"/>
        <v/>
      </c>
      <c r="C151" s="50">
        <f>IF(D93="","-",+C150+1)</f>
        <v>2064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74"/>
        <v>0</v>
      </c>
      <c r="G151" s="55">
        <f t="shared" si="66"/>
        <v>0</v>
      </c>
      <c r="H151" s="380">
        <f t="shared" si="67"/>
        <v>0</v>
      </c>
      <c r="I151" s="399">
        <f t="shared" si="68"/>
        <v>0</v>
      </c>
      <c r="J151" s="54">
        <f t="shared" si="69"/>
        <v>0</v>
      </c>
      <c r="K151" s="54"/>
      <c r="L151" s="129"/>
      <c r="M151" s="54">
        <f t="shared" si="70"/>
        <v>0</v>
      </c>
      <c r="N151" s="129"/>
      <c r="O151" s="54">
        <f t="shared" si="71"/>
        <v>0</v>
      </c>
      <c r="P151" s="54">
        <f t="shared" si="72"/>
        <v>0</v>
      </c>
      <c r="Q151" s="1"/>
    </row>
    <row r="152" spans="2:17" ht="12.5">
      <c r="B152" s="7" t="str">
        <f t="shared" si="73"/>
        <v/>
      </c>
      <c r="C152" s="50">
        <f>IF(D93="","-",+C151+1)</f>
        <v>2065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74"/>
        <v>0</v>
      </c>
      <c r="G152" s="55">
        <f t="shared" si="66"/>
        <v>0</v>
      </c>
      <c r="H152" s="380">
        <f t="shared" si="67"/>
        <v>0</v>
      </c>
      <c r="I152" s="399">
        <f t="shared" si="68"/>
        <v>0</v>
      </c>
      <c r="J152" s="54">
        <f t="shared" si="69"/>
        <v>0</v>
      </c>
      <c r="K152" s="54"/>
      <c r="L152" s="129"/>
      <c r="M152" s="54">
        <f t="shared" si="70"/>
        <v>0</v>
      </c>
      <c r="N152" s="129"/>
      <c r="O152" s="54">
        <f t="shared" si="71"/>
        <v>0</v>
      </c>
      <c r="P152" s="54">
        <f t="shared" si="72"/>
        <v>0</v>
      </c>
      <c r="Q152" s="1"/>
    </row>
    <row r="153" spans="2:17" ht="12.5">
      <c r="B153" s="7" t="str">
        <f t="shared" si="73"/>
        <v/>
      </c>
      <c r="C153" s="50">
        <f>IF(D93="","-",+C152+1)</f>
        <v>2066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74"/>
        <v>0</v>
      </c>
      <c r="G153" s="55">
        <f t="shared" si="66"/>
        <v>0</v>
      </c>
      <c r="H153" s="380">
        <f t="shared" si="67"/>
        <v>0</v>
      </c>
      <c r="I153" s="399">
        <f t="shared" si="68"/>
        <v>0</v>
      </c>
      <c r="J153" s="54">
        <f t="shared" si="69"/>
        <v>0</v>
      </c>
      <c r="K153" s="54"/>
      <c r="L153" s="129"/>
      <c r="M153" s="54">
        <f t="shared" si="70"/>
        <v>0</v>
      </c>
      <c r="N153" s="129"/>
      <c r="O153" s="54">
        <f t="shared" si="71"/>
        <v>0</v>
      </c>
      <c r="P153" s="54">
        <f t="shared" si="72"/>
        <v>0</v>
      </c>
      <c r="Q153" s="1"/>
    </row>
    <row r="154" spans="2:17" ht="13" thickBot="1">
      <c r="B154" s="7" t="str">
        <f t="shared" si="73"/>
        <v/>
      </c>
      <c r="C154" s="59">
        <f>IF(D93="","-",+C153+1)</f>
        <v>2067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74"/>
        <v>0</v>
      </c>
      <c r="G154" s="60">
        <f t="shared" si="66"/>
        <v>0</v>
      </c>
      <c r="H154" s="382">
        <f t="shared" si="67"/>
        <v>0</v>
      </c>
      <c r="I154" s="400">
        <f t="shared" si="68"/>
        <v>0</v>
      </c>
      <c r="J154" s="64">
        <f t="shared" si="69"/>
        <v>0</v>
      </c>
      <c r="K154" s="54"/>
      <c r="L154" s="130"/>
      <c r="M154" s="64">
        <f t="shared" si="70"/>
        <v>0</v>
      </c>
      <c r="N154" s="130"/>
      <c r="O154" s="64">
        <f t="shared" si="71"/>
        <v>0</v>
      </c>
      <c r="P154" s="64">
        <f t="shared" si="72"/>
        <v>0</v>
      </c>
      <c r="Q154" s="1"/>
    </row>
    <row r="155" spans="2:17" ht="12.5">
      <c r="C155" s="12" t="s">
        <v>78</v>
      </c>
      <c r="D155" s="293"/>
      <c r="E155" s="293">
        <f>SUM(E99:E154)</f>
        <v>230749.99999999983</v>
      </c>
      <c r="F155" s="293"/>
      <c r="G155" s="293"/>
      <c r="H155" s="293">
        <f>SUM(H99:H154)</f>
        <v>846116.13656898669</v>
      </c>
      <c r="I155" s="293">
        <f>SUM(I99:I154)</f>
        <v>846116.13656898669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 ht="12.5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 ht="12.5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95" priority="1" stopIfTrue="1" operator="equal">
      <formula>$I$10</formula>
    </cfRule>
  </conditionalFormatting>
  <conditionalFormatting sqref="C99:C154">
    <cfRule type="cellIs" dxfId="9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83"/>
  <dimension ref="A1:Q162"/>
  <sheetViews>
    <sheetView topLeftCell="A74" zoomScaleNormal="100" zoomScaleSheetLayoutView="75" workbookViewId="0">
      <selection activeCell="D29" sqref="D29:H29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32 of 77</v>
      </c>
      <c r="Q1" s="13"/>
    </row>
    <row r="2" spans="1:17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451256.7914021461</v>
      </c>
      <c r="P5" s="1"/>
    </row>
    <row r="6" spans="1:17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451256.7914021461</v>
      </c>
      <c r="O6" s="1"/>
      <c r="P6" s="1"/>
    </row>
    <row r="7" spans="1:17" ht="13.5" thickBot="1">
      <c r="C7" s="25" t="s">
        <v>48</v>
      </c>
      <c r="D7" s="127" t="s">
        <v>287</v>
      </c>
      <c r="E7" s="1"/>
      <c r="F7" s="1"/>
      <c r="G7" s="29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104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424"/>
      <c r="E9" s="31" t="s">
        <v>496</v>
      </c>
      <c r="F9" s="462">
        <v>392</v>
      </c>
      <c r="G9" s="31"/>
      <c r="H9" s="31"/>
      <c r="I9" s="32"/>
      <c r="J9" s="33"/>
      <c r="P9" s="1"/>
    </row>
    <row r="10" spans="1:17" ht="13">
      <c r="C10" s="34" t="s">
        <v>51</v>
      </c>
      <c r="D10" s="363">
        <v>4175110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7" ht="12.5">
      <c r="C11" s="34" t="s">
        <v>54</v>
      </c>
      <c r="D11" s="37">
        <v>2012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3">
        <v>6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94888.863636363632</v>
      </c>
      <c r="J14" s="293"/>
      <c r="K14" s="293"/>
      <c r="L14" s="293"/>
      <c r="M14" s="293"/>
      <c r="N14" s="293"/>
      <c r="O14" s="1"/>
      <c r="P14" s="1"/>
    </row>
    <row r="15" spans="1:17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2012</v>
      </c>
      <c r="D17" s="133">
        <v>3985900</v>
      </c>
      <c r="E17" s="374">
        <v>47451.190476190473</v>
      </c>
      <c r="F17" s="133">
        <v>3938448.8095238097</v>
      </c>
      <c r="G17" s="374">
        <v>633177.84907678491</v>
      </c>
      <c r="H17" s="375">
        <v>633177.84907678491</v>
      </c>
      <c r="I17" s="423">
        <v>0</v>
      </c>
      <c r="J17" s="52"/>
      <c r="K17" s="112">
        <f t="shared" ref="K17:K22" si="0">G17</f>
        <v>633177.84907678491</v>
      </c>
      <c r="L17" s="53">
        <f t="shared" ref="L17:L48" si="1">IF(K17&lt;&gt;0,+G17-K17,0)</f>
        <v>0</v>
      </c>
      <c r="M17" s="112">
        <f t="shared" ref="M17:M22" si="2">H17</f>
        <v>633177.84907678491</v>
      </c>
      <c r="N17" s="53">
        <f t="shared" ref="N17:N48" si="3">IF(M17&lt;&gt;0,+H17-M17,0)</f>
        <v>0</v>
      </c>
      <c r="O17" s="54">
        <f t="shared" ref="O17:O48" si="4">+N17-L17</f>
        <v>0</v>
      </c>
      <c r="P17" s="1"/>
    </row>
    <row r="18" spans="2:16" ht="12.5">
      <c r="B18" s="7" t="str">
        <f t="shared" ref="B18:B49" si="5">IF(D18=F17,"","IU")</f>
        <v>IU</v>
      </c>
      <c r="C18" s="50">
        <f>IF(D11="","-",+C17+1)</f>
        <v>2013</v>
      </c>
      <c r="D18" s="133">
        <v>4157203.8095238097</v>
      </c>
      <c r="E18" s="376">
        <v>100110.83333333333</v>
      </c>
      <c r="F18" s="133">
        <v>4057092.9761904762</v>
      </c>
      <c r="G18" s="376">
        <v>668051.44078047015</v>
      </c>
      <c r="H18" s="375">
        <v>668051.44078047015</v>
      </c>
      <c r="I18" s="423">
        <v>0</v>
      </c>
      <c r="J18" s="52"/>
      <c r="K18" s="113">
        <f t="shared" si="0"/>
        <v>668051.44078047015</v>
      </c>
      <c r="L18" s="54">
        <f t="shared" ref="L18:L23" si="6">IF(K18&lt;&gt;0,+G18-K18,0)</f>
        <v>0</v>
      </c>
      <c r="M18" s="113">
        <f t="shared" si="2"/>
        <v>668051.44078047015</v>
      </c>
      <c r="N18" s="54">
        <f t="shared" ref="N18:N23" si="7">IF(M18&lt;&gt;0,+H18-M18,0)</f>
        <v>0</v>
      </c>
      <c r="O18" s="54">
        <f t="shared" ref="O18:O23" si="8">+N18-L18</f>
        <v>0</v>
      </c>
      <c r="P18" s="1"/>
    </row>
    <row r="19" spans="2:16" ht="12.5">
      <c r="B19" s="7" t="str">
        <f t="shared" si="5"/>
        <v>IU</v>
      </c>
      <c r="C19" s="50">
        <f>IF(D11="","-",+C18+1)</f>
        <v>2014</v>
      </c>
      <c r="D19" s="133">
        <v>4010174.9761904762</v>
      </c>
      <c r="E19" s="376">
        <v>98993.738095238092</v>
      </c>
      <c r="F19" s="133">
        <v>3911181.2380952383</v>
      </c>
      <c r="G19" s="376">
        <v>626653.18678450992</v>
      </c>
      <c r="H19" s="375">
        <v>626653.18678450992</v>
      </c>
      <c r="I19" s="423">
        <v>0</v>
      </c>
      <c r="J19" s="52"/>
      <c r="K19" s="113">
        <f t="shared" si="0"/>
        <v>626653.18678450992</v>
      </c>
      <c r="L19" s="54">
        <f t="shared" si="6"/>
        <v>0</v>
      </c>
      <c r="M19" s="113">
        <f t="shared" si="2"/>
        <v>626653.18678450992</v>
      </c>
      <c r="N19" s="54">
        <f t="shared" si="7"/>
        <v>0</v>
      </c>
      <c r="O19" s="54">
        <f t="shared" si="8"/>
        <v>0</v>
      </c>
      <c r="P19" s="1"/>
    </row>
    <row r="20" spans="2:16" ht="12.5">
      <c r="B20" s="7" t="str">
        <f t="shared" si="5"/>
        <v>IU</v>
      </c>
      <c r="C20" s="50">
        <f>IF(D11="","-",+C19+1)</f>
        <v>2015</v>
      </c>
      <c r="D20" s="133">
        <v>3928554.2380952379</v>
      </c>
      <c r="E20" s="376">
        <v>99407.380952380947</v>
      </c>
      <c r="F20" s="133">
        <v>3829146.8571428568</v>
      </c>
      <c r="G20" s="376">
        <v>603724.40567685384</v>
      </c>
      <c r="H20" s="375">
        <v>603724.40567685384</v>
      </c>
      <c r="I20" s="52">
        <v>0</v>
      </c>
      <c r="J20" s="52"/>
      <c r="K20" s="113">
        <f t="shared" si="0"/>
        <v>603724.40567685384</v>
      </c>
      <c r="L20" s="54">
        <f t="shared" si="6"/>
        <v>0</v>
      </c>
      <c r="M20" s="113">
        <f t="shared" si="2"/>
        <v>603724.40567685384</v>
      </c>
      <c r="N20" s="54">
        <f t="shared" si="7"/>
        <v>0</v>
      </c>
      <c r="O20" s="54">
        <f t="shared" si="8"/>
        <v>0</v>
      </c>
      <c r="P20" s="1"/>
    </row>
    <row r="21" spans="2:16" ht="12.5">
      <c r="B21" s="7" t="str">
        <f t="shared" si="5"/>
        <v/>
      </c>
      <c r="C21" s="50">
        <f>IF(D12="","-",+C20+1)</f>
        <v>2016</v>
      </c>
      <c r="D21" s="133">
        <v>3829146.8571428568</v>
      </c>
      <c r="E21" s="376">
        <v>99407.380952380947</v>
      </c>
      <c r="F21" s="133">
        <v>3729739.4761904757</v>
      </c>
      <c r="G21" s="376">
        <v>584571.79884231184</v>
      </c>
      <c r="H21" s="375">
        <v>584571.79884231184</v>
      </c>
      <c r="I21" s="52">
        <f t="shared" ref="I21:I48" si="9">H21-G21</f>
        <v>0</v>
      </c>
      <c r="J21" s="52"/>
      <c r="K21" s="113">
        <f t="shared" si="0"/>
        <v>584571.79884231184</v>
      </c>
      <c r="L21" s="54">
        <f t="shared" si="6"/>
        <v>0</v>
      </c>
      <c r="M21" s="113">
        <f t="shared" si="2"/>
        <v>584571.79884231184</v>
      </c>
      <c r="N21" s="54">
        <f t="shared" si="7"/>
        <v>0</v>
      </c>
      <c r="O21" s="54">
        <f t="shared" si="8"/>
        <v>0</v>
      </c>
      <c r="P21" s="1"/>
    </row>
    <row r="22" spans="2:16" ht="12.5">
      <c r="B22" s="7" t="str">
        <f t="shared" si="5"/>
        <v/>
      </c>
      <c r="C22" s="50">
        <f>IF(D11="","-",+C21+1)</f>
        <v>2017</v>
      </c>
      <c r="D22" s="133">
        <v>3729739.4761904757</v>
      </c>
      <c r="E22" s="376">
        <v>97095.58139534884</v>
      </c>
      <c r="F22" s="133">
        <v>3632643.8947951267</v>
      </c>
      <c r="G22" s="376">
        <v>553167.7460387327</v>
      </c>
      <c r="H22" s="375">
        <v>553167.7460387327</v>
      </c>
      <c r="I22" s="52">
        <f t="shared" si="9"/>
        <v>0</v>
      </c>
      <c r="J22" s="52"/>
      <c r="K22" s="113">
        <f t="shared" si="0"/>
        <v>553167.7460387327</v>
      </c>
      <c r="L22" s="54">
        <f t="shared" si="6"/>
        <v>0</v>
      </c>
      <c r="M22" s="113">
        <f t="shared" si="2"/>
        <v>553167.7460387327</v>
      </c>
      <c r="N22" s="54">
        <f t="shared" si="7"/>
        <v>0</v>
      </c>
      <c r="O22" s="54">
        <f t="shared" si="8"/>
        <v>0</v>
      </c>
      <c r="P22" s="1"/>
    </row>
    <row r="23" spans="2:16" ht="12.5">
      <c r="B23" s="7" t="str">
        <f t="shared" si="5"/>
        <v/>
      </c>
      <c r="C23" s="50">
        <f>IF(D11="","-",+C22+1)</f>
        <v>2018</v>
      </c>
      <c r="D23" s="133">
        <v>3632643.8947951267</v>
      </c>
      <c r="E23" s="376">
        <v>101831.95121951219</v>
      </c>
      <c r="F23" s="133">
        <v>3530811.9435756146</v>
      </c>
      <c r="G23" s="376">
        <v>557048.43371456629</v>
      </c>
      <c r="H23" s="375">
        <v>557048.43371456629</v>
      </c>
      <c r="I23" s="52">
        <f t="shared" si="9"/>
        <v>0</v>
      </c>
      <c r="J23" s="52"/>
      <c r="K23" s="113">
        <f t="shared" ref="K23:K28" si="10">G23</f>
        <v>557048.43371456629</v>
      </c>
      <c r="L23" s="54">
        <f t="shared" si="6"/>
        <v>0</v>
      </c>
      <c r="M23" s="113">
        <f t="shared" ref="M23:M28" si="11">H23</f>
        <v>557048.43371456629</v>
      </c>
      <c r="N23" s="54">
        <f t="shared" si="7"/>
        <v>0</v>
      </c>
      <c r="O23" s="54">
        <f t="shared" si="8"/>
        <v>0</v>
      </c>
      <c r="P23" s="1"/>
    </row>
    <row r="24" spans="2:16" ht="12.5">
      <c r="B24" s="7" t="str">
        <f t="shared" si="5"/>
        <v/>
      </c>
      <c r="C24" s="50">
        <f>IF(D11="","-",+C23+1)</f>
        <v>2019</v>
      </c>
      <c r="D24" s="133">
        <v>3530811.9435756146</v>
      </c>
      <c r="E24" s="376">
        <v>101831.95121951219</v>
      </c>
      <c r="F24" s="133">
        <v>3428979.9923561024</v>
      </c>
      <c r="G24" s="376">
        <v>544106.19363221596</v>
      </c>
      <c r="H24" s="375">
        <v>544106.19363221596</v>
      </c>
      <c r="I24" s="52">
        <f t="shared" si="9"/>
        <v>0</v>
      </c>
      <c r="J24" s="52"/>
      <c r="K24" s="113">
        <f t="shared" si="10"/>
        <v>544106.19363221596</v>
      </c>
      <c r="L24" s="54">
        <f t="shared" ref="L24" si="12">IF(K24&lt;&gt;0,+G24-K24,0)</f>
        <v>0</v>
      </c>
      <c r="M24" s="113">
        <f t="shared" si="11"/>
        <v>544106.19363221596</v>
      </c>
      <c r="N24" s="54">
        <f t="shared" si="3"/>
        <v>0</v>
      </c>
      <c r="O24" s="54">
        <f t="shared" si="4"/>
        <v>0</v>
      </c>
      <c r="P24" s="1"/>
    </row>
    <row r="25" spans="2:16" ht="12.5">
      <c r="B25" s="7" t="str">
        <f t="shared" si="5"/>
        <v/>
      </c>
      <c r="C25" s="50">
        <f>IF(D11="","-",+C24+1)</f>
        <v>2020</v>
      </c>
      <c r="D25" s="133">
        <v>3428979.9923561024</v>
      </c>
      <c r="E25" s="376">
        <v>101831.95121951219</v>
      </c>
      <c r="F25" s="133">
        <v>3327148.0411365903</v>
      </c>
      <c r="G25" s="376">
        <v>447527.67036121147</v>
      </c>
      <c r="H25" s="375">
        <v>447527.67036121147</v>
      </c>
      <c r="I25" s="52">
        <f t="shared" si="9"/>
        <v>0</v>
      </c>
      <c r="J25" s="52"/>
      <c r="K25" s="113">
        <f t="shared" si="10"/>
        <v>447527.67036121147</v>
      </c>
      <c r="L25" s="54">
        <f t="shared" ref="L25" si="13">IF(K25&lt;&gt;0,+G25-K25,0)</f>
        <v>0</v>
      </c>
      <c r="M25" s="113">
        <f t="shared" si="11"/>
        <v>447527.67036121147</v>
      </c>
      <c r="N25" s="54">
        <f t="shared" si="3"/>
        <v>0</v>
      </c>
      <c r="O25" s="54">
        <f t="shared" si="4"/>
        <v>0</v>
      </c>
      <c r="P25" s="1"/>
    </row>
    <row r="26" spans="2:16" ht="12.5">
      <c r="B26" s="7" t="str">
        <f t="shared" si="5"/>
        <v>IU</v>
      </c>
      <c r="C26" s="50">
        <f>IF(D11="","-",+C25+1)</f>
        <v>2021</v>
      </c>
      <c r="D26" s="133">
        <v>3331884.4109607544</v>
      </c>
      <c r="E26" s="376">
        <v>99407.380952380947</v>
      </c>
      <c r="F26" s="133">
        <v>3232477.0300083733</v>
      </c>
      <c r="G26" s="376">
        <v>447333.45497501275</v>
      </c>
      <c r="H26" s="375">
        <v>447333.45497501275</v>
      </c>
      <c r="I26" s="52">
        <f t="shared" si="9"/>
        <v>0</v>
      </c>
      <c r="J26" s="52"/>
      <c r="K26" s="113">
        <f t="shared" si="10"/>
        <v>447333.45497501275</v>
      </c>
      <c r="L26" s="54">
        <f t="shared" ref="L26" si="14">IF(K26&lt;&gt;0,+G26-K26,0)</f>
        <v>0</v>
      </c>
      <c r="M26" s="113">
        <f t="shared" si="11"/>
        <v>447333.45497501275</v>
      </c>
      <c r="N26" s="54">
        <f t="shared" si="3"/>
        <v>0</v>
      </c>
      <c r="O26" s="54">
        <f t="shared" si="4"/>
        <v>0</v>
      </c>
      <c r="P26" s="1"/>
    </row>
    <row r="27" spans="2:16" ht="12.5">
      <c r="B27" s="7" t="str">
        <f t="shared" si="5"/>
        <v>IU</v>
      </c>
      <c r="C27" s="50">
        <f>IF(D11="","-",+C26+1)</f>
        <v>2022</v>
      </c>
      <c r="D27" s="133">
        <v>3227740.6601842102</v>
      </c>
      <c r="E27" s="376">
        <v>99407.380952380947</v>
      </c>
      <c r="F27" s="133">
        <v>3128333.2792318291</v>
      </c>
      <c r="G27" s="376">
        <v>456758.87787220906</v>
      </c>
      <c r="H27" s="375">
        <v>456758.87787220906</v>
      </c>
      <c r="I27" s="52">
        <f t="shared" si="9"/>
        <v>0</v>
      </c>
      <c r="J27" s="52"/>
      <c r="K27" s="113">
        <f t="shared" si="10"/>
        <v>456758.87787220906</v>
      </c>
      <c r="L27" s="54">
        <f t="shared" ref="L27" si="15">IF(K27&lt;&gt;0,+G27-K27,0)</f>
        <v>0</v>
      </c>
      <c r="M27" s="113">
        <f t="shared" si="11"/>
        <v>456758.87787220906</v>
      </c>
      <c r="N27" s="54">
        <f t="shared" si="3"/>
        <v>0</v>
      </c>
      <c r="O27" s="54">
        <f t="shared" si="4"/>
        <v>0</v>
      </c>
      <c r="P27" s="1"/>
    </row>
    <row r="28" spans="2:16" ht="12.5">
      <c r="B28" s="7" t="str">
        <f t="shared" si="5"/>
        <v/>
      </c>
      <c r="C28" s="50">
        <f>IF(D11="","-",+C27+1)</f>
        <v>2023</v>
      </c>
      <c r="D28" s="133">
        <v>3128333.2792318291</v>
      </c>
      <c r="E28" s="376">
        <v>99407.380952380947</v>
      </c>
      <c r="F28" s="133">
        <v>3028925.898279448</v>
      </c>
      <c r="G28" s="376">
        <v>488320.76827892079</v>
      </c>
      <c r="H28" s="375">
        <v>488320.76827892079</v>
      </c>
      <c r="I28" s="52">
        <f t="shared" si="9"/>
        <v>0</v>
      </c>
      <c r="J28" s="52"/>
      <c r="K28" s="113">
        <f t="shared" si="10"/>
        <v>488320.76827892079</v>
      </c>
      <c r="L28" s="54">
        <f t="shared" ref="L28" si="16">IF(K28&lt;&gt;0,+G28-K28,0)</f>
        <v>0</v>
      </c>
      <c r="M28" s="113">
        <f t="shared" si="11"/>
        <v>488320.76827892079</v>
      </c>
      <c r="N28" s="54">
        <f t="shared" si="3"/>
        <v>0</v>
      </c>
      <c r="O28" s="54">
        <f t="shared" si="4"/>
        <v>0</v>
      </c>
      <c r="P28" s="1"/>
    </row>
    <row r="29" spans="2:16" ht="12.5">
      <c r="B29" s="7" t="str">
        <f t="shared" si="5"/>
        <v/>
      </c>
      <c r="C29" s="50">
        <f>IF(D11="","-",+C28+1)</f>
        <v>2024</v>
      </c>
      <c r="D29" s="133">
        <v>3028925.898279448</v>
      </c>
      <c r="E29" s="376">
        <v>94888.863636363632</v>
      </c>
      <c r="F29" s="133">
        <v>2934037.0346430843</v>
      </c>
      <c r="G29" s="376">
        <v>451256.7914021461</v>
      </c>
      <c r="H29" s="375">
        <v>451256.7914021461</v>
      </c>
      <c r="I29" s="52">
        <f t="shared" si="9"/>
        <v>0</v>
      </c>
      <c r="J29" s="52"/>
      <c r="K29" s="113">
        <f t="shared" ref="K29" si="17">G29</f>
        <v>451256.7914021461</v>
      </c>
      <c r="L29" s="54">
        <f t="shared" ref="L29" si="18">IF(K29&lt;&gt;0,+G29-K29,0)</f>
        <v>0</v>
      </c>
      <c r="M29" s="113">
        <f t="shared" ref="M29" si="19">H29</f>
        <v>451256.7914021461</v>
      </c>
      <c r="N29" s="54">
        <f t="shared" ref="N29" si="20">IF(M29&lt;&gt;0,+H29-M29,0)</f>
        <v>0</v>
      </c>
      <c r="O29" s="54">
        <f t="shared" ref="O29" si="21">+N29-L29</f>
        <v>0</v>
      </c>
      <c r="P29" s="1"/>
    </row>
    <row r="30" spans="2:16" ht="12.5">
      <c r="B30" s="7" t="str">
        <f t="shared" si="5"/>
        <v/>
      </c>
      <c r="C30" s="50">
        <f>IF(D11="","-",+C29+1)</f>
        <v>2025</v>
      </c>
      <c r="D30" s="55">
        <f>IF(F29+SUM(E$17:E29)=D$10,F29,D$10-SUM(E$17:E29))</f>
        <v>2934037.0346430843</v>
      </c>
      <c r="E30" s="378">
        <f>IF(+I14&lt;F29,I14,D30)</f>
        <v>94888.863636363632</v>
      </c>
      <c r="F30" s="55">
        <f t="shared" ref="F30:F48" si="22">+D30-E30</f>
        <v>2839148.1710067205</v>
      </c>
      <c r="G30" s="379">
        <f t="shared" ref="G30:G53" si="23">+I$12*((D30+F30)/2)+E30</f>
        <v>439914.99770578055</v>
      </c>
      <c r="H30" s="364">
        <f t="shared" ref="H30:H53" si="24">+I$13*((D30+F30)/2)+E30</f>
        <v>439914.99770578055</v>
      </c>
      <c r="I30" s="52">
        <f t="shared" si="9"/>
        <v>0</v>
      </c>
      <c r="J30" s="52"/>
      <c r="K30" s="129"/>
      <c r="L30" s="54">
        <f t="shared" si="1"/>
        <v>0</v>
      </c>
      <c r="M30" s="129"/>
      <c r="N30" s="54">
        <f t="shared" si="3"/>
        <v>0</v>
      </c>
      <c r="O30" s="54">
        <f t="shared" si="4"/>
        <v>0</v>
      </c>
      <c r="P30" s="1"/>
    </row>
    <row r="31" spans="2:16" ht="12.5">
      <c r="B31" s="7" t="str">
        <f t="shared" si="5"/>
        <v/>
      </c>
      <c r="C31" s="50">
        <f>IF(D11="","-",+C30+1)</f>
        <v>2026</v>
      </c>
      <c r="D31" s="55">
        <f>IF(F30+SUM(E$17:E30)=D$10,F30,D$10-SUM(E$17:E30))</f>
        <v>2839148.1710067205</v>
      </c>
      <c r="E31" s="378">
        <f>IF(+I14&lt;F30,I14,D31)</f>
        <v>94888.863636363632</v>
      </c>
      <c r="F31" s="55">
        <f t="shared" si="22"/>
        <v>2744259.3073703567</v>
      </c>
      <c r="G31" s="379">
        <f t="shared" si="23"/>
        <v>428573.20400941517</v>
      </c>
      <c r="H31" s="364">
        <f t="shared" si="24"/>
        <v>428573.20400941517</v>
      </c>
      <c r="I31" s="52">
        <f t="shared" si="9"/>
        <v>0</v>
      </c>
      <c r="J31" s="52"/>
      <c r="K31" s="129"/>
      <c r="L31" s="54">
        <f t="shared" si="1"/>
        <v>0</v>
      </c>
      <c r="M31" s="129"/>
      <c r="N31" s="54">
        <f t="shared" si="3"/>
        <v>0</v>
      </c>
      <c r="O31" s="54">
        <f t="shared" si="4"/>
        <v>0</v>
      </c>
      <c r="P31" s="1"/>
    </row>
    <row r="32" spans="2:16" ht="12.5">
      <c r="B32" s="7" t="str">
        <f t="shared" si="5"/>
        <v/>
      </c>
      <c r="C32" s="50">
        <f>IF(D11="","-",+C31+1)</f>
        <v>2027</v>
      </c>
      <c r="D32" s="55">
        <f>IF(F31+SUM(E$17:E31)=D$10,F31,D$10-SUM(E$17:E31))</f>
        <v>2744259.3073703567</v>
      </c>
      <c r="E32" s="378">
        <f>IF(+I14&lt;F31,I14,D32)</f>
        <v>94888.863636363632</v>
      </c>
      <c r="F32" s="55">
        <f t="shared" si="22"/>
        <v>2649370.443733993</v>
      </c>
      <c r="G32" s="379">
        <f t="shared" si="23"/>
        <v>417231.41031304962</v>
      </c>
      <c r="H32" s="364">
        <f t="shared" si="24"/>
        <v>417231.41031304962</v>
      </c>
      <c r="I32" s="52">
        <f t="shared" si="9"/>
        <v>0</v>
      </c>
      <c r="J32" s="52"/>
      <c r="K32" s="129"/>
      <c r="L32" s="54">
        <f t="shared" si="1"/>
        <v>0</v>
      </c>
      <c r="M32" s="129"/>
      <c r="N32" s="54">
        <f t="shared" si="3"/>
        <v>0</v>
      </c>
      <c r="O32" s="54">
        <f t="shared" si="4"/>
        <v>0</v>
      </c>
      <c r="P32" s="1"/>
    </row>
    <row r="33" spans="2:16" ht="12.5">
      <c r="B33" s="7" t="str">
        <f t="shared" si="5"/>
        <v/>
      </c>
      <c r="C33" s="50">
        <f>IF(D11="","-",+C32+1)</f>
        <v>2028</v>
      </c>
      <c r="D33" s="55">
        <f>IF(F32+SUM(E$17:E32)=D$10,F32,D$10-SUM(E$17:E32))</f>
        <v>2649370.443733993</v>
      </c>
      <c r="E33" s="378">
        <f>IF(+I14&lt;F32,I14,D33)</f>
        <v>94888.863636363632</v>
      </c>
      <c r="F33" s="55">
        <f t="shared" si="22"/>
        <v>2554481.5800976292</v>
      </c>
      <c r="G33" s="379">
        <f t="shared" si="23"/>
        <v>405889.61661668424</v>
      </c>
      <c r="H33" s="364">
        <f t="shared" si="24"/>
        <v>405889.61661668424</v>
      </c>
      <c r="I33" s="52">
        <f t="shared" si="9"/>
        <v>0</v>
      </c>
      <c r="J33" s="52"/>
      <c r="K33" s="129"/>
      <c r="L33" s="54">
        <f t="shared" si="1"/>
        <v>0</v>
      </c>
      <c r="M33" s="129"/>
      <c r="N33" s="54">
        <f t="shared" si="3"/>
        <v>0</v>
      </c>
      <c r="O33" s="54">
        <f t="shared" si="4"/>
        <v>0</v>
      </c>
      <c r="P33" s="1"/>
    </row>
    <row r="34" spans="2:16" ht="12.5">
      <c r="B34" s="7" t="str">
        <f t="shared" si="5"/>
        <v/>
      </c>
      <c r="C34" s="50">
        <f>IF(D11="","-",+C33+1)</f>
        <v>2029</v>
      </c>
      <c r="D34" s="55">
        <f>IF(F33+SUM(E$17:E33)=D$10,F33,D$10-SUM(E$17:E33))</f>
        <v>2554481.5800976292</v>
      </c>
      <c r="E34" s="378">
        <f>IF(+I14&lt;F33,I14,D34)</f>
        <v>94888.863636363632</v>
      </c>
      <c r="F34" s="55">
        <f t="shared" si="22"/>
        <v>2459592.7164612655</v>
      </c>
      <c r="G34" s="379">
        <f t="shared" si="23"/>
        <v>394547.82292031869</v>
      </c>
      <c r="H34" s="364">
        <f t="shared" si="24"/>
        <v>394547.82292031869</v>
      </c>
      <c r="I34" s="52">
        <f t="shared" si="9"/>
        <v>0</v>
      </c>
      <c r="J34" s="52"/>
      <c r="K34" s="129"/>
      <c r="L34" s="54">
        <f t="shared" si="1"/>
        <v>0</v>
      </c>
      <c r="M34" s="129"/>
      <c r="N34" s="54">
        <f t="shared" si="3"/>
        <v>0</v>
      </c>
      <c r="O34" s="54">
        <f t="shared" si="4"/>
        <v>0</v>
      </c>
      <c r="P34" s="1"/>
    </row>
    <row r="35" spans="2:16" ht="12.5">
      <c r="B35" s="7" t="str">
        <f t="shared" si="5"/>
        <v/>
      </c>
      <c r="C35" s="50">
        <f>IF(D11="","-",+C34+1)</f>
        <v>2030</v>
      </c>
      <c r="D35" s="55">
        <f>IF(F34+SUM(E$17:E34)=D$10,F34,D$10-SUM(E$17:E34))</f>
        <v>2459592.7164612655</v>
      </c>
      <c r="E35" s="378">
        <f>IF(+I14&lt;F34,I14,D35)</f>
        <v>94888.863636363632</v>
      </c>
      <c r="F35" s="55">
        <f t="shared" si="22"/>
        <v>2364703.8528249017</v>
      </c>
      <c r="G35" s="379">
        <f t="shared" si="23"/>
        <v>383206.02922395332</v>
      </c>
      <c r="H35" s="364">
        <f t="shared" si="24"/>
        <v>383206.02922395332</v>
      </c>
      <c r="I35" s="52">
        <f t="shared" si="9"/>
        <v>0</v>
      </c>
      <c r="J35" s="52"/>
      <c r="K35" s="129"/>
      <c r="L35" s="54">
        <f t="shared" si="1"/>
        <v>0</v>
      </c>
      <c r="M35" s="129"/>
      <c r="N35" s="54">
        <f t="shared" si="3"/>
        <v>0</v>
      </c>
      <c r="O35" s="54">
        <f t="shared" si="4"/>
        <v>0</v>
      </c>
      <c r="P35" s="1"/>
    </row>
    <row r="36" spans="2:16" ht="12.5">
      <c r="B36" s="7" t="str">
        <f t="shared" si="5"/>
        <v/>
      </c>
      <c r="C36" s="50">
        <f>IF(D11="","-",+C35+1)</f>
        <v>2031</v>
      </c>
      <c r="D36" s="55">
        <f>IF(F35+SUM(E$17:E35)=D$10,F35,D$10-SUM(E$17:E35))</f>
        <v>2364703.8528249017</v>
      </c>
      <c r="E36" s="378">
        <f>IF(+I14&lt;F35,I14,D36)</f>
        <v>94888.863636363632</v>
      </c>
      <c r="F36" s="55">
        <f t="shared" si="22"/>
        <v>2269814.9891885379</v>
      </c>
      <c r="G36" s="379">
        <f t="shared" si="23"/>
        <v>371864.23552758776</v>
      </c>
      <c r="H36" s="364">
        <f t="shared" si="24"/>
        <v>371864.23552758776</v>
      </c>
      <c r="I36" s="52">
        <f t="shared" si="9"/>
        <v>0</v>
      </c>
      <c r="J36" s="52"/>
      <c r="K36" s="129"/>
      <c r="L36" s="54">
        <f t="shared" si="1"/>
        <v>0</v>
      </c>
      <c r="M36" s="129"/>
      <c r="N36" s="54">
        <f t="shared" si="3"/>
        <v>0</v>
      </c>
      <c r="O36" s="54">
        <f t="shared" si="4"/>
        <v>0</v>
      </c>
      <c r="P36" s="1"/>
    </row>
    <row r="37" spans="2:16" ht="12.5">
      <c r="B37" s="7" t="str">
        <f t="shared" si="5"/>
        <v/>
      </c>
      <c r="C37" s="50">
        <f>IF(D11="","-",+C36+1)</f>
        <v>2032</v>
      </c>
      <c r="D37" s="55">
        <f>IF(F36+SUM(E$17:E36)=D$10,F36,D$10-SUM(E$17:E36))</f>
        <v>2269814.9891885379</v>
      </c>
      <c r="E37" s="378">
        <f>IF(+I14&lt;F36,I14,D37)</f>
        <v>94888.863636363632</v>
      </c>
      <c r="F37" s="55">
        <f t="shared" si="22"/>
        <v>2174926.1255521742</v>
      </c>
      <c r="G37" s="379">
        <f t="shared" si="23"/>
        <v>360522.44183122233</v>
      </c>
      <c r="H37" s="364">
        <f t="shared" si="24"/>
        <v>360522.44183122233</v>
      </c>
      <c r="I37" s="52">
        <f t="shared" si="9"/>
        <v>0</v>
      </c>
      <c r="J37" s="52"/>
      <c r="K37" s="129"/>
      <c r="L37" s="54">
        <f t="shared" si="1"/>
        <v>0</v>
      </c>
      <c r="M37" s="129"/>
      <c r="N37" s="54">
        <f t="shared" si="3"/>
        <v>0</v>
      </c>
      <c r="O37" s="54">
        <f t="shared" si="4"/>
        <v>0</v>
      </c>
      <c r="P37" s="1"/>
    </row>
    <row r="38" spans="2:16" ht="12.5">
      <c r="B38" s="7" t="str">
        <f t="shared" si="5"/>
        <v/>
      </c>
      <c r="C38" s="50">
        <f>IF(D11="","-",+C37+1)</f>
        <v>2033</v>
      </c>
      <c r="D38" s="55">
        <f>IF(F37+SUM(E$17:E37)=D$10,F37,D$10-SUM(E$17:E37))</f>
        <v>2174926.1255521742</v>
      </c>
      <c r="E38" s="378">
        <f>IF(+I14&lt;F37,I14,D38)</f>
        <v>94888.863636363632</v>
      </c>
      <c r="F38" s="55">
        <f t="shared" si="22"/>
        <v>2080037.2619158106</v>
      </c>
      <c r="G38" s="379">
        <f t="shared" si="23"/>
        <v>349180.64813485689</v>
      </c>
      <c r="H38" s="364">
        <f t="shared" si="24"/>
        <v>349180.64813485689</v>
      </c>
      <c r="I38" s="52">
        <f t="shared" si="9"/>
        <v>0</v>
      </c>
      <c r="J38" s="52"/>
      <c r="K38" s="129"/>
      <c r="L38" s="54">
        <f t="shared" si="1"/>
        <v>0</v>
      </c>
      <c r="M38" s="129"/>
      <c r="N38" s="54">
        <f t="shared" si="3"/>
        <v>0</v>
      </c>
      <c r="O38" s="54">
        <f t="shared" si="4"/>
        <v>0</v>
      </c>
      <c r="P38" s="1"/>
    </row>
    <row r="39" spans="2:16" ht="12.5">
      <c r="B39" s="7" t="str">
        <f t="shared" si="5"/>
        <v/>
      </c>
      <c r="C39" s="50">
        <f>IF(D11="","-",+C38+1)</f>
        <v>2034</v>
      </c>
      <c r="D39" s="55">
        <f>IF(F38+SUM(E$17:E38)=D$10,F38,D$10-SUM(E$17:E38))</f>
        <v>2080037.2619158106</v>
      </c>
      <c r="E39" s="378">
        <f>IF(+I14&lt;F38,I14,D39)</f>
        <v>94888.863636363632</v>
      </c>
      <c r="F39" s="55">
        <f t="shared" si="22"/>
        <v>1985148.3982794471</v>
      </c>
      <c r="G39" s="379">
        <f t="shared" si="23"/>
        <v>337838.8544384914</v>
      </c>
      <c r="H39" s="364">
        <f t="shared" si="24"/>
        <v>337838.8544384914</v>
      </c>
      <c r="I39" s="52">
        <f t="shared" si="9"/>
        <v>0</v>
      </c>
      <c r="J39" s="52"/>
      <c r="K39" s="129"/>
      <c r="L39" s="54">
        <f t="shared" si="1"/>
        <v>0</v>
      </c>
      <c r="M39" s="129"/>
      <c r="N39" s="54">
        <f t="shared" si="3"/>
        <v>0</v>
      </c>
      <c r="O39" s="54">
        <f t="shared" si="4"/>
        <v>0</v>
      </c>
      <c r="P39" s="1"/>
    </row>
    <row r="40" spans="2:16" ht="12.5">
      <c r="B40" s="7" t="str">
        <f t="shared" si="5"/>
        <v/>
      </c>
      <c r="C40" s="50">
        <f>IF(D11="","-",+C39+1)</f>
        <v>2035</v>
      </c>
      <c r="D40" s="55">
        <f>IF(F39+SUM(E$17:E39)=D$10,F39,D$10-SUM(E$17:E39))</f>
        <v>1985148.3982794471</v>
      </c>
      <c r="E40" s="378">
        <f>IF(+I14&lt;F39,I14,D40)</f>
        <v>94888.863636363632</v>
      </c>
      <c r="F40" s="55">
        <f t="shared" si="22"/>
        <v>1890259.5346430836</v>
      </c>
      <c r="G40" s="379">
        <f t="shared" si="23"/>
        <v>326497.06074212602</v>
      </c>
      <c r="H40" s="364">
        <f t="shared" si="24"/>
        <v>326497.06074212602</v>
      </c>
      <c r="I40" s="52">
        <f t="shared" si="9"/>
        <v>0</v>
      </c>
      <c r="J40" s="52"/>
      <c r="K40" s="129"/>
      <c r="L40" s="54">
        <f t="shared" si="1"/>
        <v>0</v>
      </c>
      <c r="M40" s="129"/>
      <c r="N40" s="54">
        <f t="shared" si="3"/>
        <v>0</v>
      </c>
      <c r="O40" s="54">
        <f t="shared" si="4"/>
        <v>0</v>
      </c>
      <c r="P40" s="1"/>
    </row>
    <row r="41" spans="2:16" ht="12.5">
      <c r="B41" s="7" t="str">
        <f t="shared" si="5"/>
        <v/>
      </c>
      <c r="C41" s="50">
        <f>IF(D11="","-",+C40+1)</f>
        <v>2036</v>
      </c>
      <c r="D41" s="55">
        <f>IF(F40+SUM(E$17:E40)=D$10,F40,D$10-SUM(E$17:E40))</f>
        <v>1890259.5346430836</v>
      </c>
      <c r="E41" s="378">
        <f>IF(+I14&lt;F40,I14,D41)</f>
        <v>94888.863636363632</v>
      </c>
      <c r="F41" s="55">
        <f t="shared" si="22"/>
        <v>1795370.67100672</v>
      </c>
      <c r="G41" s="379">
        <f t="shared" si="23"/>
        <v>315155.26704576053</v>
      </c>
      <c r="H41" s="364">
        <f t="shared" si="24"/>
        <v>315155.26704576053</v>
      </c>
      <c r="I41" s="52">
        <f t="shared" si="9"/>
        <v>0</v>
      </c>
      <c r="J41" s="52"/>
      <c r="K41" s="129"/>
      <c r="L41" s="54">
        <f t="shared" si="1"/>
        <v>0</v>
      </c>
      <c r="M41" s="129"/>
      <c r="N41" s="54">
        <f t="shared" si="3"/>
        <v>0</v>
      </c>
      <c r="O41" s="54">
        <f t="shared" si="4"/>
        <v>0</v>
      </c>
      <c r="P41" s="1"/>
    </row>
    <row r="42" spans="2:16" ht="12.5">
      <c r="B42" s="7" t="str">
        <f t="shared" si="5"/>
        <v/>
      </c>
      <c r="C42" s="50">
        <f>IF(D11="","-",+C41+1)</f>
        <v>2037</v>
      </c>
      <c r="D42" s="55">
        <f>IF(F41+SUM(E$17:E41)=D$10,F41,D$10-SUM(E$17:E41))</f>
        <v>1795370.67100672</v>
      </c>
      <c r="E42" s="378">
        <f>IF(+I14&lt;F41,I14,D42)</f>
        <v>94888.863636363632</v>
      </c>
      <c r="F42" s="55">
        <f t="shared" si="22"/>
        <v>1700481.8073703565</v>
      </c>
      <c r="G42" s="379">
        <f t="shared" si="23"/>
        <v>303813.47334939509</v>
      </c>
      <c r="H42" s="364">
        <f t="shared" si="24"/>
        <v>303813.47334939509</v>
      </c>
      <c r="I42" s="52">
        <f t="shared" si="9"/>
        <v>0</v>
      </c>
      <c r="J42" s="52"/>
      <c r="K42" s="129"/>
      <c r="L42" s="54">
        <f t="shared" si="1"/>
        <v>0</v>
      </c>
      <c r="M42" s="129"/>
      <c r="N42" s="54">
        <f t="shared" si="3"/>
        <v>0</v>
      </c>
      <c r="O42" s="54">
        <f t="shared" si="4"/>
        <v>0</v>
      </c>
      <c r="P42" s="1"/>
    </row>
    <row r="43" spans="2:16" ht="12.5">
      <c r="B43" s="7" t="str">
        <f t="shared" si="5"/>
        <v/>
      </c>
      <c r="C43" s="50">
        <f>IF(D11="","-",+C42+1)</f>
        <v>2038</v>
      </c>
      <c r="D43" s="55">
        <f>IF(F42+SUM(E$17:E42)=D$10,F42,D$10-SUM(E$17:E42))</f>
        <v>1700481.8073703565</v>
      </c>
      <c r="E43" s="378">
        <f>IF(+I14&lt;F42,I14,D43)</f>
        <v>94888.863636363632</v>
      </c>
      <c r="F43" s="55">
        <f t="shared" si="22"/>
        <v>1605592.943733993</v>
      </c>
      <c r="G43" s="379">
        <f t="shared" si="23"/>
        <v>292471.67965302966</v>
      </c>
      <c r="H43" s="364">
        <f t="shared" si="24"/>
        <v>292471.67965302966</v>
      </c>
      <c r="I43" s="52">
        <f t="shared" si="9"/>
        <v>0</v>
      </c>
      <c r="J43" s="52"/>
      <c r="K43" s="129"/>
      <c r="L43" s="54">
        <f t="shared" si="1"/>
        <v>0</v>
      </c>
      <c r="M43" s="129"/>
      <c r="N43" s="54">
        <f t="shared" si="3"/>
        <v>0</v>
      </c>
      <c r="O43" s="54">
        <f t="shared" si="4"/>
        <v>0</v>
      </c>
      <c r="P43" s="1"/>
    </row>
    <row r="44" spans="2:16" ht="12.5">
      <c r="B44" s="7" t="str">
        <f t="shared" si="5"/>
        <v/>
      </c>
      <c r="C44" s="50">
        <f>IF(D11="","-",+C43+1)</f>
        <v>2039</v>
      </c>
      <c r="D44" s="55">
        <f>IF(F43+SUM(E$17:E43)=D$10,F43,D$10-SUM(E$17:E43))</f>
        <v>1605592.943733993</v>
      </c>
      <c r="E44" s="378">
        <f>IF(+I14&lt;F43,I14,D44)</f>
        <v>94888.863636363632</v>
      </c>
      <c r="F44" s="55">
        <f t="shared" si="22"/>
        <v>1510704.0800976295</v>
      </c>
      <c r="G44" s="379">
        <f t="shared" si="23"/>
        <v>281129.88595666422</v>
      </c>
      <c r="H44" s="364">
        <f t="shared" si="24"/>
        <v>281129.88595666422</v>
      </c>
      <c r="I44" s="52">
        <f t="shared" si="9"/>
        <v>0</v>
      </c>
      <c r="J44" s="52"/>
      <c r="K44" s="129"/>
      <c r="L44" s="54">
        <f t="shared" si="1"/>
        <v>0</v>
      </c>
      <c r="M44" s="129"/>
      <c r="N44" s="54">
        <f t="shared" si="3"/>
        <v>0</v>
      </c>
      <c r="O44" s="54">
        <f t="shared" si="4"/>
        <v>0</v>
      </c>
      <c r="P44" s="1"/>
    </row>
    <row r="45" spans="2:16" ht="12.5">
      <c r="B45" s="7" t="str">
        <f t="shared" si="5"/>
        <v/>
      </c>
      <c r="C45" s="50">
        <f>IF(D11="","-",+C44+1)</f>
        <v>2040</v>
      </c>
      <c r="D45" s="55">
        <f>IF(F44+SUM(E$17:E44)=D$10,F44,D$10-SUM(E$17:E44))</f>
        <v>1510704.0800976295</v>
      </c>
      <c r="E45" s="378">
        <f>IF(+I14&lt;F44,I14,D45)</f>
        <v>94888.863636363632</v>
      </c>
      <c r="F45" s="55">
        <f t="shared" si="22"/>
        <v>1415815.2164612659</v>
      </c>
      <c r="G45" s="379">
        <f t="shared" si="23"/>
        <v>269788.09226029878</v>
      </c>
      <c r="H45" s="364">
        <f t="shared" si="24"/>
        <v>269788.09226029878</v>
      </c>
      <c r="I45" s="52">
        <f t="shared" si="9"/>
        <v>0</v>
      </c>
      <c r="J45" s="52"/>
      <c r="K45" s="129"/>
      <c r="L45" s="54">
        <f t="shared" si="1"/>
        <v>0</v>
      </c>
      <c r="M45" s="129"/>
      <c r="N45" s="54">
        <f t="shared" si="3"/>
        <v>0</v>
      </c>
      <c r="O45" s="54">
        <f t="shared" si="4"/>
        <v>0</v>
      </c>
      <c r="P45" s="1"/>
    </row>
    <row r="46" spans="2:16" ht="12.5">
      <c r="B46" s="7" t="str">
        <f t="shared" si="5"/>
        <v/>
      </c>
      <c r="C46" s="50">
        <f>IF(D11="","-",+C45+1)</f>
        <v>2041</v>
      </c>
      <c r="D46" s="55">
        <f>IF(F45+SUM(E$17:E45)=D$10,F45,D$10-SUM(E$17:E45))</f>
        <v>1415815.2164612659</v>
      </c>
      <c r="E46" s="378">
        <f>IF(+I14&lt;F45,I14,D46)</f>
        <v>94888.863636363632</v>
      </c>
      <c r="F46" s="55">
        <f t="shared" si="22"/>
        <v>1320926.3528249024</v>
      </c>
      <c r="G46" s="379">
        <f t="shared" si="23"/>
        <v>258446.29856393335</v>
      </c>
      <c r="H46" s="364">
        <f t="shared" si="24"/>
        <v>258446.29856393335</v>
      </c>
      <c r="I46" s="52">
        <f t="shared" si="9"/>
        <v>0</v>
      </c>
      <c r="J46" s="52"/>
      <c r="K46" s="129"/>
      <c r="L46" s="54">
        <f t="shared" si="1"/>
        <v>0</v>
      </c>
      <c r="M46" s="129"/>
      <c r="N46" s="54">
        <f t="shared" si="3"/>
        <v>0</v>
      </c>
      <c r="O46" s="54">
        <f t="shared" si="4"/>
        <v>0</v>
      </c>
      <c r="P46" s="1"/>
    </row>
    <row r="47" spans="2:16" ht="12.5">
      <c r="B47" s="7" t="str">
        <f t="shared" si="5"/>
        <v/>
      </c>
      <c r="C47" s="50">
        <f>IF(D11="","-",+C46+1)</f>
        <v>2042</v>
      </c>
      <c r="D47" s="55">
        <f>IF(F46+SUM(E$17:E46)=D$10,F46,D$10-SUM(E$17:E46))</f>
        <v>1320926.3528249024</v>
      </c>
      <c r="E47" s="378">
        <f>IF(+I14&lt;F46,I14,D47)</f>
        <v>94888.863636363632</v>
      </c>
      <c r="F47" s="55">
        <f t="shared" si="22"/>
        <v>1226037.4891885389</v>
      </c>
      <c r="G47" s="379">
        <f t="shared" si="23"/>
        <v>247104.50486756786</v>
      </c>
      <c r="H47" s="364">
        <f t="shared" si="24"/>
        <v>247104.50486756786</v>
      </c>
      <c r="I47" s="52">
        <f t="shared" si="9"/>
        <v>0</v>
      </c>
      <c r="J47" s="52"/>
      <c r="K47" s="129"/>
      <c r="L47" s="54">
        <f t="shared" si="1"/>
        <v>0</v>
      </c>
      <c r="M47" s="129"/>
      <c r="N47" s="54">
        <f t="shared" si="3"/>
        <v>0</v>
      </c>
      <c r="O47" s="54">
        <f t="shared" si="4"/>
        <v>0</v>
      </c>
      <c r="P47" s="1"/>
    </row>
    <row r="48" spans="2:16" ht="12.5">
      <c r="B48" s="7" t="str">
        <f t="shared" si="5"/>
        <v/>
      </c>
      <c r="C48" s="50">
        <f>IF(D11="","-",+C47+1)</f>
        <v>2043</v>
      </c>
      <c r="D48" s="55">
        <f>IF(F47+SUM(E$17:E47)=D$10,F47,D$10-SUM(E$17:E47))</f>
        <v>1226037.4891885389</v>
      </c>
      <c r="E48" s="378">
        <f>IF(+I14&lt;F47,I14,D48)</f>
        <v>94888.863636363632</v>
      </c>
      <c r="F48" s="55">
        <f t="shared" si="22"/>
        <v>1131148.6255521753</v>
      </c>
      <c r="G48" s="379">
        <f t="shared" si="23"/>
        <v>235762.71117120248</v>
      </c>
      <c r="H48" s="364">
        <f t="shared" si="24"/>
        <v>235762.71117120248</v>
      </c>
      <c r="I48" s="52">
        <f t="shared" si="9"/>
        <v>0</v>
      </c>
      <c r="J48" s="52"/>
      <c r="K48" s="129"/>
      <c r="L48" s="54">
        <f t="shared" si="1"/>
        <v>0</v>
      </c>
      <c r="M48" s="129"/>
      <c r="N48" s="54">
        <f t="shared" si="3"/>
        <v>0</v>
      </c>
      <c r="O48" s="54">
        <f t="shared" si="4"/>
        <v>0</v>
      </c>
      <c r="P48" s="1"/>
    </row>
    <row r="49" spans="2:17" ht="12.5">
      <c r="B49" s="7" t="str">
        <f t="shared" si="5"/>
        <v/>
      </c>
      <c r="C49" s="50">
        <f>IF(D11="","-",+C48+1)</f>
        <v>2044</v>
      </c>
      <c r="D49" s="55">
        <f>IF(F48+SUM(E$17:E48)=D$10,F48,D$10-SUM(E$17:E48))</f>
        <v>1131148.6255521753</v>
      </c>
      <c r="E49" s="378">
        <f>IF(+I14&lt;F48,I14,D49)</f>
        <v>94888.863636363632</v>
      </c>
      <c r="F49" s="55">
        <f t="shared" ref="F49:F72" si="25">+D49-E49</f>
        <v>1036259.7619158117</v>
      </c>
      <c r="G49" s="379">
        <f t="shared" si="23"/>
        <v>224420.91747483698</v>
      </c>
      <c r="H49" s="364">
        <f t="shared" si="24"/>
        <v>224420.91747483698</v>
      </c>
      <c r="I49" s="52">
        <f t="shared" ref="I49:I72" si="26">H49-G49</f>
        <v>0</v>
      </c>
      <c r="J49" s="52"/>
      <c r="K49" s="129"/>
      <c r="L49" s="54">
        <f t="shared" ref="L49:L72" si="27">IF(K49&lt;&gt;0,+G49-K49,0)</f>
        <v>0</v>
      </c>
      <c r="M49" s="129"/>
      <c r="N49" s="54">
        <f t="shared" ref="N49:N72" si="28">IF(M49&lt;&gt;0,+H49-M49,0)</f>
        <v>0</v>
      </c>
      <c r="O49" s="54">
        <f t="shared" ref="O49:O72" si="29">+N49-L49</f>
        <v>0</v>
      </c>
      <c r="P49" s="1"/>
    </row>
    <row r="50" spans="2:17" ht="12.5">
      <c r="B50" s="7" t="str">
        <f t="shared" ref="B50:B72" si="30">IF(D50=F49,"","IU")</f>
        <v/>
      </c>
      <c r="C50" s="50">
        <f>IF(D11="","-",+C49+1)</f>
        <v>2045</v>
      </c>
      <c r="D50" s="55">
        <f>IF(F49+SUM(E$17:E49)=D$10,F49,D$10-SUM(E$17:E49))</f>
        <v>1036259.7619158117</v>
      </c>
      <c r="E50" s="378">
        <f>IF(+I14&lt;F49,I14,D50)</f>
        <v>94888.863636363632</v>
      </c>
      <c r="F50" s="55">
        <f t="shared" si="25"/>
        <v>941370.89827944804</v>
      </c>
      <c r="G50" s="379">
        <f t="shared" si="23"/>
        <v>213079.12377847155</v>
      </c>
      <c r="H50" s="364">
        <f t="shared" si="24"/>
        <v>213079.12377847155</v>
      </c>
      <c r="I50" s="52">
        <f t="shared" si="26"/>
        <v>0</v>
      </c>
      <c r="J50" s="52"/>
      <c r="K50" s="129"/>
      <c r="L50" s="54">
        <f t="shared" si="27"/>
        <v>0</v>
      </c>
      <c r="M50" s="129"/>
      <c r="N50" s="54">
        <f t="shared" si="28"/>
        <v>0</v>
      </c>
      <c r="O50" s="54">
        <f t="shared" si="29"/>
        <v>0</v>
      </c>
      <c r="P50" s="1"/>
    </row>
    <row r="51" spans="2:17" ht="12.5">
      <c r="B51" s="7" t="str">
        <f t="shared" si="30"/>
        <v/>
      </c>
      <c r="C51" s="50">
        <f>IF(D11="","-",+C50+1)</f>
        <v>2046</v>
      </c>
      <c r="D51" s="55">
        <f>IF(F50+SUM(E$17:E50)=D$10,F50,D$10-SUM(E$17:E50))</f>
        <v>941370.89827944804</v>
      </c>
      <c r="E51" s="378">
        <f>IF(+I14&lt;F50,I14,D51)</f>
        <v>94888.863636363632</v>
      </c>
      <c r="F51" s="55">
        <f t="shared" si="25"/>
        <v>846482.03464308439</v>
      </c>
      <c r="G51" s="379">
        <f t="shared" si="23"/>
        <v>201737.33008210611</v>
      </c>
      <c r="H51" s="364">
        <f t="shared" si="24"/>
        <v>201737.33008210611</v>
      </c>
      <c r="I51" s="52">
        <f t="shared" si="26"/>
        <v>0</v>
      </c>
      <c r="J51" s="52"/>
      <c r="K51" s="129"/>
      <c r="L51" s="54">
        <f t="shared" si="27"/>
        <v>0</v>
      </c>
      <c r="M51" s="129"/>
      <c r="N51" s="54">
        <f t="shared" si="28"/>
        <v>0</v>
      </c>
      <c r="O51" s="54">
        <f t="shared" si="29"/>
        <v>0</v>
      </c>
      <c r="P51" s="1"/>
    </row>
    <row r="52" spans="2:17" ht="12.5">
      <c r="B52" s="7" t="str">
        <f t="shared" si="30"/>
        <v/>
      </c>
      <c r="C52" s="50">
        <f>IF(D11="","-",+C51+1)</f>
        <v>2047</v>
      </c>
      <c r="D52" s="55">
        <f>IF(F51+SUM(E$17:E51)=D$10,F51,D$10-SUM(E$17:E51))</f>
        <v>846482.03464308439</v>
      </c>
      <c r="E52" s="378">
        <f>IF(+I14&lt;F51,I14,D52)</f>
        <v>94888.863636363632</v>
      </c>
      <c r="F52" s="55">
        <f t="shared" si="25"/>
        <v>751593.17100672075</v>
      </c>
      <c r="G52" s="379">
        <f t="shared" si="23"/>
        <v>190395.53638574065</v>
      </c>
      <c r="H52" s="364">
        <f t="shared" si="24"/>
        <v>190395.53638574065</v>
      </c>
      <c r="I52" s="52">
        <f t="shared" si="26"/>
        <v>0</v>
      </c>
      <c r="J52" s="52"/>
      <c r="K52" s="129"/>
      <c r="L52" s="54">
        <f t="shared" si="27"/>
        <v>0</v>
      </c>
      <c r="M52" s="129"/>
      <c r="N52" s="54">
        <f t="shared" si="28"/>
        <v>0</v>
      </c>
      <c r="O52" s="54">
        <f t="shared" si="29"/>
        <v>0</v>
      </c>
      <c r="P52" s="1"/>
    </row>
    <row r="53" spans="2:17" ht="12.5">
      <c r="B53" s="7" t="str">
        <f t="shared" si="30"/>
        <v/>
      </c>
      <c r="C53" s="50">
        <f>IF(D11="","-",+C52+1)</f>
        <v>2048</v>
      </c>
      <c r="D53" s="55">
        <f>IF(F52+SUM(E$17:E52)=D$10,F52,D$10-SUM(E$17:E52))</f>
        <v>751593.17100672075</v>
      </c>
      <c r="E53" s="378">
        <f>IF(+I14&lt;F52,I14,D53)</f>
        <v>94888.863636363632</v>
      </c>
      <c r="F53" s="55">
        <f t="shared" si="25"/>
        <v>656704.3073703571</v>
      </c>
      <c r="G53" s="379">
        <f t="shared" si="23"/>
        <v>179053.74268937518</v>
      </c>
      <c r="H53" s="364">
        <f t="shared" si="24"/>
        <v>179053.74268937518</v>
      </c>
      <c r="I53" s="52">
        <f t="shared" si="26"/>
        <v>0</v>
      </c>
      <c r="J53" s="52"/>
      <c r="K53" s="129"/>
      <c r="L53" s="54">
        <f t="shared" si="27"/>
        <v>0</v>
      </c>
      <c r="M53" s="129"/>
      <c r="N53" s="54">
        <f t="shared" si="28"/>
        <v>0</v>
      </c>
      <c r="O53" s="54">
        <f t="shared" si="29"/>
        <v>0</v>
      </c>
      <c r="P53" s="1"/>
    </row>
    <row r="54" spans="2:17" ht="12.5">
      <c r="B54" s="7" t="str">
        <f t="shared" si="30"/>
        <v/>
      </c>
      <c r="C54" s="50">
        <f>IF(D11="","-",+C53+1)</f>
        <v>2049</v>
      </c>
      <c r="D54" s="55">
        <f>IF(F53+SUM(E$17:E53)=D$10,F53,D$10-SUM(E$17:E53))</f>
        <v>656704.3073703571</v>
      </c>
      <c r="E54" s="378">
        <f>IF(+I14&lt;F53,I14,D54)</f>
        <v>94888.863636363632</v>
      </c>
      <c r="F54" s="55">
        <f t="shared" si="25"/>
        <v>561815.44373399345</v>
      </c>
      <c r="G54" s="379">
        <f t="shared" ref="G54:G72" si="31">+I$12*((D54+F54)/2)+E54</f>
        <v>167711.94899300975</v>
      </c>
      <c r="H54" s="364">
        <f t="shared" ref="H54:H72" si="32">+I$13*((D54+F54)/2)+E54</f>
        <v>167711.94899300975</v>
      </c>
      <c r="I54" s="52">
        <f t="shared" si="26"/>
        <v>0</v>
      </c>
      <c r="J54" s="52"/>
      <c r="K54" s="129"/>
      <c r="L54" s="54">
        <f t="shared" si="27"/>
        <v>0</v>
      </c>
      <c r="M54" s="129"/>
      <c r="N54" s="54">
        <f t="shared" si="28"/>
        <v>0</v>
      </c>
      <c r="O54" s="54">
        <f t="shared" si="29"/>
        <v>0</v>
      </c>
      <c r="P54" s="1"/>
    </row>
    <row r="55" spans="2:17" ht="12.5">
      <c r="B55" s="7" t="str">
        <f t="shared" si="30"/>
        <v/>
      </c>
      <c r="C55" s="50">
        <f>IF(D11="","-",+C54+1)</f>
        <v>2050</v>
      </c>
      <c r="D55" s="55">
        <f>IF(F54+SUM(E$17:E54)=D$10,F54,D$10-SUM(E$17:E54))</f>
        <v>561815.44373399345</v>
      </c>
      <c r="E55" s="378">
        <f>IF(+I14&lt;F54,I14,D55)</f>
        <v>94888.863636363632</v>
      </c>
      <c r="F55" s="55">
        <f t="shared" si="25"/>
        <v>466926.58009762981</v>
      </c>
      <c r="G55" s="379">
        <f t="shared" si="31"/>
        <v>156370.15529664428</v>
      </c>
      <c r="H55" s="364">
        <f t="shared" si="32"/>
        <v>156370.15529664428</v>
      </c>
      <c r="I55" s="52">
        <f t="shared" si="26"/>
        <v>0</v>
      </c>
      <c r="J55" s="52"/>
      <c r="K55" s="129"/>
      <c r="L55" s="54">
        <f t="shared" si="27"/>
        <v>0</v>
      </c>
      <c r="M55" s="129"/>
      <c r="N55" s="54">
        <f t="shared" si="28"/>
        <v>0</v>
      </c>
      <c r="O55" s="54">
        <f t="shared" si="29"/>
        <v>0</v>
      </c>
      <c r="P55" s="1"/>
    </row>
    <row r="56" spans="2:17" ht="12.5">
      <c r="B56" s="7" t="str">
        <f t="shared" si="30"/>
        <v/>
      </c>
      <c r="C56" s="50">
        <f>IF(D11="","-",+C55+1)</f>
        <v>2051</v>
      </c>
      <c r="D56" s="55">
        <f>IF(F55+SUM(E$17:E55)=D$10,F55,D$10-SUM(E$17:E55))</f>
        <v>466926.58009762981</v>
      </c>
      <c r="E56" s="378">
        <f>IF(+I14&lt;F55,I14,D56)</f>
        <v>94888.863636363632</v>
      </c>
      <c r="F56" s="55">
        <f t="shared" si="25"/>
        <v>372037.71646126616</v>
      </c>
      <c r="G56" s="379">
        <f t="shared" si="31"/>
        <v>145028.36160027882</v>
      </c>
      <c r="H56" s="364">
        <f t="shared" si="32"/>
        <v>145028.36160027882</v>
      </c>
      <c r="I56" s="52">
        <f t="shared" si="26"/>
        <v>0</v>
      </c>
      <c r="J56" s="52"/>
      <c r="K56" s="129"/>
      <c r="L56" s="54">
        <f t="shared" si="27"/>
        <v>0</v>
      </c>
      <c r="M56" s="129"/>
      <c r="N56" s="54">
        <f t="shared" si="28"/>
        <v>0</v>
      </c>
      <c r="O56" s="54">
        <f t="shared" si="29"/>
        <v>0</v>
      </c>
      <c r="P56" s="1"/>
    </row>
    <row r="57" spans="2:17" ht="12.5">
      <c r="B57" s="7" t="str">
        <f t="shared" si="30"/>
        <v/>
      </c>
      <c r="C57" s="50">
        <f>IF(D11="","-",+C56+1)</f>
        <v>2052</v>
      </c>
      <c r="D57" s="55">
        <f>IF(F56+SUM(E$17:E56)=D$10,F56,D$10-SUM(E$17:E56))</f>
        <v>372037.71646126616</v>
      </c>
      <c r="E57" s="378">
        <f>IF(+I14&lt;F56,I14,D57)</f>
        <v>94888.863636363632</v>
      </c>
      <c r="F57" s="55">
        <f t="shared" si="25"/>
        <v>277148.85282490251</v>
      </c>
      <c r="G57" s="379">
        <f t="shared" si="31"/>
        <v>133686.56790391338</v>
      </c>
      <c r="H57" s="364">
        <f t="shared" si="32"/>
        <v>133686.56790391338</v>
      </c>
      <c r="I57" s="52">
        <f t="shared" si="26"/>
        <v>0</v>
      </c>
      <c r="J57" s="52"/>
      <c r="K57" s="129"/>
      <c r="L57" s="54">
        <f t="shared" si="27"/>
        <v>0</v>
      </c>
      <c r="M57" s="129"/>
      <c r="N57" s="54">
        <f t="shared" si="28"/>
        <v>0</v>
      </c>
      <c r="O57" s="54">
        <f t="shared" si="29"/>
        <v>0</v>
      </c>
      <c r="P57" s="1"/>
    </row>
    <row r="58" spans="2:17" ht="12.5">
      <c r="B58" s="7" t="str">
        <f t="shared" si="30"/>
        <v/>
      </c>
      <c r="C58" s="50">
        <f>IF(D11="","-",+C57+1)</f>
        <v>2053</v>
      </c>
      <c r="D58" s="55">
        <f>IF(F57+SUM(E$17:E57)=D$10,F57,D$10-SUM(E$17:E57))</f>
        <v>277148.85282490251</v>
      </c>
      <c r="E58" s="378">
        <f>IF(+I14&lt;F57,I14,D58)</f>
        <v>94888.863636363632</v>
      </c>
      <c r="F58" s="55">
        <f t="shared" si="25"/>
        <v>182259.98918853886</v>
      </c>
      <c r="G58" s="379">
        <f t="shared" si="31"/>
        <v>122344.77420754792</v>
      </c>
      <c r="H58" s="364">
        <f t="shared" si="32"/>
        <v>122344.77420754792</v>
      </c>
      <c r="I58" s="52">
        <f t="shared" si="26"/>
        <v>0</v>
      </c>
      <c r="J58" s="52"/>
      <c r="K58" s="129"/>
      <c r="L58" s="54">
        <f t="shared" si="27"/>
        <v>0</v>
      </c>
      <c r="M58" s="129"/>
      <c r="N58" s="54">
        <f t="shared" si="28"/>
        <v>0</v>
      </c>
      <c r="O58" s="54">
        <f t="shared" si="29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30"/>
        <v/>
      </c>
      <c r="C59" s="50">
        <f>IF(D11="","-",+C58+1)</f>
        <v>2054</v>
      </c>
      <c r="D59" s="55">
        <f>IF(F58+SUM(E$17:E58)=D$10,F58,D$10-SUM(E$17:E58))</f>
        <v>182259.98918853886</v>
      </c>
      <c r="E59" s="378">
        <f>IF(+I14&lt;F58,I14,D59)</f>
        <v>94888.863636363632</v>
      </c>
      <c r="F59" s="55">
        <f t="shared" si="25"/>
        <v>87371.125552175232</v>
      </c>
      <c r="G59" s="379">
        <f t="shared" si="31"/>
        <v>111002.98051118247</v>
      </c>
      <c r="H59" s="364">
        <f t="shared" si="32"/>
        <v>111002.98051118247</v>
      </c>
      <c r="I59" s="52">
        <f t="shared" si="26"/>
        <v>0</v>
      </c>
      <c r="J59" s="52"/>
      <c r="K59" s="129"/>
      <c r="L59" s="54">
        <f t="shared" si="27"/>
        <v>0</v>
      </c>
      <c r="M59" s="129"/>
      <c r="N59" s="54">
        <f t="shared" si="28"/>
        <v>0</v>
      </c>
      <c r="O59" s="54">
        <f t="shared" si="29"/>
        <v>0</v>
      </c>
      <c r="P59" s="1"/>
    </row>
    <row r="60" spans="2:17" ht="12.5">
      <c r="B60" s="7" t="str">
        <f t="shared" si="30"/>
        <v/>
      </c>
      <c r="C60" s="50">
        <f>IF(D11="","-",+C59+1)</f>
        <v>2055</v>
      </c>
      <c r="D60" s="55">
        <f>IF(F59+SUM(E$17:E59)=D$10,F59,D$10-SUM(E$17:E59))</f>
        <v>87371.125552175232</v>
      </c>
      <c r="E60" s="378">
        <f>IF(+I14&lt;F59,I14,D60)</f>
        <v>87371.125552175232</v>
      </c>
      <c r="F60" s="55">
        <f t="shared" si="25"/>
        <v>0</v>
      </c>
      <c r="G60" s="379">
        <f t="shared" si="31"/>
        <v>92592.735565493291</v>
      </c>
      <c r="H60" s="364">
        <f t="shared" si="32"/>
        <v>92592.735565493291</v>
      </c>
      <c r="I60" s="52">
        <f t="shared" si="26"/>
        <v>0</v>
      </c>
      <c r="J60" s="52"/>
      <c r="K60" s="129"/>
      <c r="L60" s="54">
        <f t="shared" si="27"/>
        <v>0</v>
      </c>
      <c r="M60" s="129"/>
      <c r="N60" s="54">
        <f t="shared" si="28"/>
        <v>0</v>
      </c>
      <c r="O60" s="54">
        <f t="shared" si="29"/>
        <v>0</v>
      </c>
      <c r="P60" s="1"/>
    </row>
    <row r="61" spans="2:17" ht="12.5">
      <c r="B61" s="7" t="str">
        <f t="shared" si="30"/>
        <v/>
      </c>
      <c r="C61" s="50">
        <f>IF(D11="","-",+C60+1)</f>
        <v>2056</v>
      </c>
      <c r="D61" s="55">
        <f>IF(F60+SUM(E$17:E60)=D$10,F60,D$10-SUM(E$17:E60))</f>
        <v>0</v>
      </c>
      <c r="E61" s="378">
        <f>IF(+I14&lt;F60,I14,D61)</f>
        <v>0</v>
      </c>
      <c r="F61" s="55">
        <f t="shared" si="25"/>
        <v>0</v>
      </c>
      <c r="G61" s="380">
        <f t="shared" si="31"/>
        <v>0</v>
      </c>
      <c r="H61" s="364">
        <f t="shared" si="32"/>
        <v>0</v>
      </c>
      <c r="I61" s="52">
        <f t="shared" si="26"/>
        <v>0</v>
      </c>
      <c r="J61" s="52"/>
      <c r="K61" s="129"/>
      <c r="L61" s="54">
        <f t="shared" si="27"/>
        <v>0</v>
      </c>
      <c r="M61" s="129"/>
      <c r="N61" s="54">
        <f t="shared" si="28"/>
        <v>0</v>
      </c>
      <c r="O61" s="54">
        <f t="shared" si="29"/>
        <v>0</v>
      </c>
      <c r="P61" s="1"/>
    </row>
    <row r="62" spans="2:17" ht="12.5">
      <c r="B62" s="7" t="str">
        <f t="shared" si="30"/>
        <v/>
      </c>
      <c r="C62" s="50">
        <f>IF(D11="","-",+C61+1)</f>
        <v>2057</v>
      </c>
      <c r="D62" s="55">
        <f>IF(F61+SUM(E$17:E61)=D$10,F61,D$10-SUM(E$17:E61))</f>
        <v>0</v>
      </c>
      <c r="E62" s="378">
        <f>IF(+I14&lt;F61,I14,D62)</f>
        <v>0</v>
      </c>
      <c r="F62" s="55">
        <f t="shared" si="25"/>
        <v>0</v>
      </c>
      <c r="G62" s="380">
        <f t="shared" si="31"/>
        <v>0</v>
      </c>
      <c r="H62" s="364">
        <f t="shared" si="32"/>
        <v>0</v>
      </c>
      <c r="I62" s="52">
        <f t="shared" si="26"/>
        <v>0</v>
      </c>
      <c r="J62" s="52"/>
      <c r="K62" s="129"/>
      <c r="L62" s="54">
        <f t="shared" si="27"/>
        <v>0</v>
      </c>
      <c r="M62" s="129"/>
      <c r="N62" s="54">
        <f t="shared" si="28"/>
        <v>0</v>
      </c>
      <c r="O62" s="54">
        <f t="shared" si="29"/>
        <v>0</v>
      </c>
      <c r="P62" s="1"/>
    </row>
    <row r="63" spans="2:17" ht="12.5">
      <c r="B63" s="7" t="str">
        <f t="shared" si="30"/>
        <v/>
      </c>
      <c r="C63" s="50">
        <f>IF(D11="","-",+C62+1)</f>
        <v>2058</v>
      </c>
      <c r="D63" s="55">
        <f>IF(F62+SUM(E$17:E62)=D$10,F62,D$10-SUM(E$17:E62))</f>
        <v>0</v>
      </c>
      <c r="E63" s="378">
        <f>IF(+I14&lt;F62,I14,D63)</f>
        <v>0</v>
      </c>
      <c r="F63" s="55">
        <f t="shared" si="25"/>
        <v>0</v>
      </c>
      <c r="G63" s="380">
        <f t="shared" si="31"/>
        <v>0</v>
      </c>
      <c r="H63" s="364">
        <f t="shared" si="32"/>
        <v>0</v>
      </c>
      <c r="I63" s="52">
        <f t="shared" si="26"/>
        <v>0</v>
      </c>
      <c r="J63" s="52"/>
      <c r="K63" s="129"/>
      <c r="L63" s="54">
        <f t="shared" si="27"/>
        <v>0</v>
      </c>
      <c r="M63" s="129"/>
      <c r="N63" s="54">
        <f t="shared" si="28"/>
        <v>0</v>
      </c>
      <c r="O63" s="54">
        <f t="shared" si="29"/>
        <v>0</v>
      </c>
      <c r="P63" s="1"/>
    </row>
    <row r="64" spans="2:17" ht="12.5">
      <c r="B64" s="7" t="str">
        <f t="shared" si="30"/>
        <v/>
      </c>
      <c r="C64" s="50">
        <f>IF(D11="","-",+C63+1)</f>
        <v>2059</v>
      </c>
      <c r="D64" s="55">
        <f>IF(F63+SUM(E$17:E63)=D$10,F63,D$10-SUM(E$17:E63))</f>
        <v>0</v>
      </c>
      <c r="E64" s="378">
        <f>IF(+I14&lt;F63,I14,D64)</f>
        <v>0</v>
      </c>
      <c r="F64" s="55">
        <f t="shared" si="25"/>
        <v>0</v>
      </c>
      <c r="G64" s="380">
        <f t="shared" si="31"/>
        <v>0</v>
      </c>
      <c r="H64" s="364">
        <f t="shared" si="32"/>
        <v>0</v>
      </c>
      <c r="I64" s="52">
        <f t="shared" si="26"/>
        <v>0</v>
      </c>
      <c r="J64" s="52"/>
      <c r="K64" s="129"/>
      <c r="L64" s="54">
        <f t="shared" si="27"/>
        <v>0</v>
      </c>
      <c r="M64" s="129"/>
      <c r="N64" s="54">
        <f t="shared" si="28"/>
        <v>0</v>
      </c>
      <c r="O64" s="54">
        <f t="shared" si="29"/>
        <v>0</v>
      </c>
      <c r="P64" s="1"/>
    </row>
    <row r="65" spans="1:16" ht="12.5">
      <c r="B65" s="7" t="str">
        <f t="shared" si="30"/>
        <v/>
      </c>
      <c r="C65" s="50">
        <f>IF(D11="","-",+C64+1)</f>
        <v>2060</v>
      </c>
      <c r="D65" s="55">
        <f>IF(F64+SUM(E$17:E64)=D$10,F64,D$10-SUM(E$17:E64))</f>
        <v>0</v>
      </c>
      <c r="E65" s="378">
        <f>IF(+I14&lt;F64,I14,D65)</f>
        <v>0</v>
      </c>
      <c r="F65" s="55">
        <f t="shared" si="25"/>
        <v>0</v>
      </c>
      <c r="G65" s="380">
        <f t="shared" si="31"/>
        <v>0</v>
      </c>
      <c r="H65" s="364">
        <f t="shared" si="32"/>
        <v>0</v>
      </c>
      <c r="I65" s="52">
        <f t="shared" si="26"/>
        <v>0</v>
      </c>
      <c r="J65" s="52"/>
      <c r="K65" s="129"/>
      <c r="L65" s="54">
        <f t="shared" si="27"/>
        <v>0</v>
      </c>
      <c r="M65" s="129"/>
      <c r="N65" s="54">
        <f t="shared" si="28"/>
        <v>0</v>
      </c>
      <c r="O65" s="54">
        <f t="shared" si="29"/>
        <v>0</v>
      </c>
      <c r="P65" s="1"/>
    </row>
    <row r="66" spans="1:16" ht="12.5">
      <c r="B66" s="7" t="str">
        <f t="shared" si="30"/>
        <v/>
      </c>
      <c r="C66" s="50">
        <f>IF(D11="","-",+C65+1)</f>
        <v>2061</v>
      </c>
      <c r="D66" s="55">
        <f>IF(F65+SUM(E$17:E65)=D$10,F65,D$10-SUM(E$17:E65))</f>
        <v>0</v>
      </c>
      <c r="E66" s="378">
        <f>IF(+I14&lt;F65,I14,D66)</f>
        <v>0</v>
      </c>
      <c r="F66" s="55">
        <f t="shared" si="25"/>
        <v>0</v>
      </c>
      <c r="G66" s="380">
        <f t="shared" si="31"/>
        <v>0</v>
      </c>
      <c r="H66" s="364">
        <f t="shared" si="32"/>
        <v>0</v>
      </c>
      <c r="I66" s="52">
        <f t="shared" si="26"/>
        <v>0</v>
      </c>
      <c r="J66" s="52"/>
      <c r="K66" s="129"/>
      <c r="L66" s="54">
        <f t="shared" si="27"/>
        <v>0</v>
      </c>
      <c r="M66" s="129"/>
      <c r="N66" s="54">
        <f t="shared" si="28"/>
        <v>0</v>
      </c>
      <c r="O66" s="54">
        <f t="shared" si="29"/>
        <v>0</v>
      </c>
      <c r="P66" s="1"/>
    </row>
    <row r="67" spans="1:16" ht="12.5">
      <c r="B67" s="7" t="str">
        <f t="shared" si="30"/>
        <v/>
      </c>
      <c r="C67" s="50">
        <f>IF(D11="","-",+C66+1)</f>
        <v>2062</v>
      </c>
      <c r="D67" s="55">
        <f>IF(F66+SUM(E$17:E66)=D$10,F66,D$10-SUM(E$17:E66))</f>
        <v>0</v>
      </c>
      <c r="E67" s="378">
        <f>IF(+I14&lt;F66,I14,D67)</f>
        <v>0</v>
      </c>
      <c r="F67" s="55">
        <f t="shared" si="25"/>
        <v>0</v>
      </c>
      <c r="G67" s="380">
        <f t="shared" si="31"/>
        <v>0</v>
      </c>
      <c r="H67" s="364">
        <f t="shared" si="32"/>
        <v>0</v>
      </c>
      <c r="I67" s="52">
        <f t="shared" si="26"/>
        <v>0</v>
      </c>
      <c r="J67" s="52"/>
      <c r="K67" s="129"/>
      <c r="L67" s="54">
        <f t="shared" si="27"/>
        <v>0</v>
      </c>
      <c r="M67" s="129"/>
      <c r="N67" s="54">
        <f t="shared" si="28"/>
        <v>0</v>
      </c>
      <c r="O67" s="54">
        <f t="shared" si="29"/>
        <v>0</v>
      </c>
      <c r="P67" s="1"/>
    </row>
    <row r="68" spans="1:16" ht="12.5">
      <c r="B68" s="7" t="str">
        <f t="shared" si="30"/>
        <v/>
      </c>
      <c r="C68" s="50">
        <f>IF(D11="","-",+C67+1)</f>
        <v>2063</v>
      </c>
      <c r="D68" s="55">
        <f>IF(F67+SUM(E$17:E67)=D$10,F67,D$10-SUM(E$17:E67))</f>
        <v>0</v>
      </c>
      <c r="E68" s="378">
        <f>IF(+I14&lt;F67,I14,D68)</f>
        <v>0</v>
      </c>
      <c r="F68" s="55">
        <f t="shared" si="25"/>
        <v>0</v>
      </c>
      <c r="G68" s="380">
        <f t="shared" si="31"/>
        <v>0</v>
      </c>
      <c r="H68" s="364">
        <f t="shared" si="32"/>
        <v>0</v>
      </c>
      <c r="I68" s="52">
        <f t="shared" si="26"/>
        <v>0</v>
      </c>
      <c r="J68" s="52"/>
      <c r="K68" s="129"/>
      <c r="L68" s="54">
        <f t="shared" si="27"/>
        <v>0</v>
      </c>
      <c r="M68" s="129"/>
      <c r="N68" s="54">
        <f t="shared" si="28"/>
        <v>0</v>
      </c>
      <c r="O68" s="54">
        <f t="shared" si="29"/>
        <v>0</v>
      </c>
      <c r="P68" s="1"/>
    </row>
    <row r="69" spans="1:16" ht="12.5">
      <c r="B69" s="7" t="str">
        <f t="shared" si="30"/>
        <v/>
      </c>
      <c r="C69" s="50">
        <f>IF(D11="","-",+C68+1)</f>
        <v>2064</v>
      </c>
      <c r="D69" s="55">
        <f>IF(F68+SUM(E$17:E68)=D$10,F68,D$10-SUM(E$17:E68))</f>
        <v>0</v>
      </c>
      <c r="E69" s="378">
        <f>IF(+I14&lt;F68,I14,D69)</f>
        <v>0</v>
      </c>
      <c r="F69" s="55">
        <f t="shared" si="25"/>
        <v>0</v>
      </c>
      <c r="G69" s="380">
        <f t="shared" si="31"/>
        <v>0</v>
      </c>
      <c r="H69" s="364">
        <f t="shared" si="32"/>
        <v>0</v>
      </c>
      <c r="I69" s="52">
        <f t="shared" si="26"/>
        <v>0</v>
      </c>
      <c r="J69" s="52"/>
      <c r="K69" s="129"/>
      <c r="L69" s="54">
        <f t="shared" si="27"/>
        <v>0</v>
      </c>
      <c r="M69" s="129"/>
      <c r="N69" s="54">
        <f t="shared" si="28"/>
        <v>0</v>
      </c>
      <c r="O69" s="54">
        <f t="shared" si="29"/>
        <v>0</v>
      </c>
      <c r="P69" s="1"/>
    </row>
    <row r="70" spans="1:16" ht="12.5">
      <c r="B70" s="7" t="str">
        <f t="shared" si="30"/>
        <v/>
      </c>
      <c r="C70" s="50">
        <f>IF(D11="","-",+C69+1)</f>
        <v>2065</v>
      </c>
      <c r="D70" s="55">
        <f>IF(F69+SUM(E$17:E69)=D$10,F69,D$10-SUM(E$17:E69))</f>
        <v>0</v>
      </c>
      <c r="E70" s="378">
        <f>IF(+I14&lt;F69,I14,D70)</f>
        <v>0</v>
      </c>
      <c r="F70" s="55">
        <f t="shared" si="25"/>
        <v>0</v>
      </c>
      <c r="G70" s="380">
        <f t="shared" si="31"/>
        <v>0</v>
      </c>
      <c r="H70" s="364">
        <f t="shared" si="32"/>
        <v>0</v>
      </c>
      <c r="I70" s="52">
        <f t="shared" si="26"/>
        <v>0</v>
      </c>
      <c r="J70" s="52"/>
      <c r="K70" s="129"/>
      <c r="L70" s="54">
        <f t="shared" si="27"/>
        <v>0</v>
      </c>
      <c r="M70" s="129"/>
      <c r="N70" s="54">
        <f t="shared" si="28"/>
        <v>0</v>
      </c>
      <c r="O70" s="54">
        <f t="shared" si="29"/>
        <v>0</v>
      </c>
      <c r="P70" s="1"/>
    </row>
    <row r="71" spans="1:16" ht="12.5">
      <c r="B71" s="7" t="str">
        <f t="shared" si="30"/>
        <v/>
      </c>
      <c r="C71" s="50">
        <f>IF(D11="","-",+C70+1)</f>
        <v>2066</v>
      </c>
      <c r="D71" s="55">
        <f>IF(F70+SUM(E$17:E70)=D$10,F70,D$10-SUM(E$17:E70))</f>
        <v>0</v>
      </c>
      <c r="E71" s="378">
        <f>IF(+I14&lt;F70,I14,D71)</f>
        <v>0</v>
      </c>
      <c r="F71" s="55">
        <f t="shared" si="25"/>
        <v>0</v>
      </c>
      <c r="G71" s="380">
        <f t="shared" si="31"/>
        <v>0</v>
      </c>
      <c r="H71" s="364">
        <f t="shared" si="32"/>
        <v>0</v>
      </c>
      <c r="I71" s="52">
        <f t="shared" si="26"/>
        <v>0</v>
      </c>
      <c r="J71" s="52"/>
      <c r="K71" s="129"/>
      <c r="L71" s="54">
        <f t="shared" si="27"/>
        <v>0</v>
      </c>
      <c r="M71" s="129"/>
      <c r="N71" s="54">
        <f t="shared" si="28"/>
        <v>0</v>
      </c>
      <c r="O71" s="54">
        <f t="shared" si="29"/>
        <v>0</v>
      </c>
      <c r="P71" s="1"/>
    </row>
    <row r="72" spans="1:16" ht="13" thickBot="1">
      <c r="B72" s="7" t="str">
        <f t="shared" si="30"/>
        <v/>
      </c>
      <c r="C72" s="59">
        <f>IF(D11="","-",+C71+1)</f>
        <v>2067</v>
      </c>
      <c r="D72" s="60">
        <f>IF(F71+SUM(E$17:E71)=D$10,F71,D$10-SUM(E$17:E71))</f>
        <v>0</v>
      </c>
      <c r="E72" s="381">
        <f>IF(+I14&lt;F71,I14,D72)</f>
        <v>0</v>
      </c>
      <c r="F72" s="60">
        <f t="shared" si="25"/>
        <v>0</v>
      </c>
      <c r="G72" s="382">
        <f t="shared" si="31"/>
        <v>0</v>
      </c>
      <c r="H72" s="362">
        <f t="shared" si="32"/>
        <v>0</v>
      </c>
      <c r="I72" s="63">
        <f t="shared" si="26"/>
        <v>0</v>
      </c>
      <c r="J72" s="52"/>
      <c r="K72" s="130"/>
      <c r="L72" s="64">
        <f t="shared" si="27"/>
        <v>0</v>
      </c>
      <c r="M72" s="130"/>
      <c r="N72" s="64">
        <f t="shared" si="28"/>
        <v>0</v>
      </c>
      <c r="O72" s="64">
        <f t="shared" si="29"/>
        <v>0</v>
      </c>
      <c r="P72" s="1"/>
    </row>
    <row r="73" spans="1:16" ht="12.5">
      <c r="C73" s="12" t="s">
        <v>78</v>
      </c>
      <c r="D73" s="293"/>
      <c r="E73" s="293">
        <f>SUM(E17:E72)</f>
        <v>4175110.0000000014</v>
      </c>
      <c r="F73" s="293"/>
      <c r="G73" s="293">
        <f>SUM(G17:G72)</f>
        <v>15418061.026255883</v>
      </c>
      <c r="H73" s="293">
        <f>SUM(H17:H72)</f>
        <v>15418061.026255883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7.5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32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451256.7914021461</v>
      </c>
      <c r="N87" s="387">
        <f>IF(J92&lt;D11,0,VLOOKUP(J92,C17:O72,11))</f>
        <v>451256.7914021461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467379.54181792389</v>
      </c>
      <c r="N88" s="390">
        <f>IF(J92&lt;D11,0,VLOOKUP(J92,C99:P154,7))</f>
        <v>467379.54181792389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27" t="str">
        <f>D7</f>
        <v>Howell-Kilgore 69 kV rebuild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16122.750415777788</v>
      </c>
      <c r="N89" s="392">
        <f>+N88-N87</f>
        <v>16122.750415777788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>
        <f>+D9</f>
        <v>0</v>
      </c>
      <c r="E91" s="76" t="str">
        <f>E9</f>
        <v>SPP Project ID =</v>
      </c>
      <c r="F91" s="463">
        <f>F9</f>
        <v>392</v>
      </c>
      <c r="G91" s="76"/>
      <c r="H91" s="76"/>
      <c r="I91" s="76"/>
      <c r="J91" s="95"/>
      <c r="Q91" s="1"/>
    </row>
    <row r="92" spans="1:17" ht="13">
      <c r="C92" s="34" t="s">
        <v>51</v>
      </c>
      <c r="D92" s="363">
        <f>D10</f>
        <v>4175110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  <c r="Q92" s="1"/>
    </row>
    <row r="93" spans="1:17" ht="12.5">
      <c r="C93" s="34" t="s">
        <v>54</v>
      </c>
      <c r="D93" s="88">
        <f>IF(D11=I10,"",D11)</f>
        <v>2012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4">
        <f>IF(D11=I10,"",D12)</f>
        <v>6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94888.863636363632</v>
      </c>
      <c r="K96" s="293"/>
      <c r="L96" s="293"/>
      <c r="M96" s="293"/>
      <c r="N96" s="293"/>
      <c r="O96" s="293"/>
      <c r="P96" s="1"/>
      <c r="Q96" s="1"/>
    </row>
    <row r="97" spans="1:17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 ht="12.5">
      <c r="C99" s="50">
        <f>IF(D93= "","-",D93)</f>
        <v>2012</v>
      </c>
      <c r="D99" s="133">
        <v>0</v>
      </c>
      <c r="E99" s="376">
        <v>50055.416666666657</v>
      </c>
      <c r="F99" s="137">
        <v>4154599.5833333335</v>
      </c>
      <c r="G99" s="140">
        <v>2077299.7916666667</v>
      </c>
      <c r="H99" s="397">
        <v>355738.24852974305</v>
      </c>
      <c r="I99" s="398">
        <v>355738.24852974305</v>
      </c>
      <c r="J99" s="54">
        <f t="shared" ref="J99:J130" si="33">+I99-H99</f>
        <v>0</v>
      </c>
      <c r="K99" s="54"/>
      <c r="L99" s="112">
        <f t="shared" ref="L99:L104" si="34">H99</f>
        <v>355738.24852974305</v>
      </c>
      <c r="M99" s="53">
        <f t="shared" ref="M99:M130" si="35">IF(L99&lt;&gt;0,+H99-L99,0)</f>
        <v>0</v>
      </c>
      <c r="N99" s="112">
        <f t="shared" ref="N99:N104" si="36">I99</f>
        <v>355738.24852974305</v>
      </c>
      <c r="O99" s="53">
        <f t="shared" ref="O99:O130" si="37">IF(N99&lt;&gt;0,+I99-N99,0)</f>
        <v>0</v>
      </c>
      <c r="P99" s="53">
        <f t="shared" ref="P99:P130" si="38">+O99-M99</f>
        <v>0</v>
      </c>
      <c r="Q99" s="1"/>
    </row>
    <row r="100" spans="1:17" ht="12.5">
      <c r="B100" s="7" t="str">
        <f t="shared" ref="B100:B131" si="39">IF(D100=F99,"","IU")</f>
        <v>IU</v>
      </c>
      <c r="C100" s="50">
        <f>IF(D93="","-",+C99+1)</f>
        <v>2013</v>
      </c>
      <c r="D100" s="133">
        <v>4107681.5833333335</v>
      </c>
      <c r="E100" s="376">
        <v>98993.738095238092</v>
      </c>
      <c r="F100" s="137">
        <v>4008687.8452380956</v>
      </c>
      <c r="G100" s="137">
        <v>4058184.7142857146</v>
      </c>
      <c r="H100" s="397">
        <v>648032.45637713163</v>
      </c>
      <c r="I100" s="398">
        <v>648032.45637713163</v>
      </c>
      <c r="J100" s="54">
        <v>0</v>
      </c>
      <c r="K100" s="54"/>
      <c r="L100" s="113">
        <f t="shared" si="34"/>
        <v>648032.45637713163</v>
      </c>
      <c r="M100" s="54">
        <f t="shared" ref="M100:M105" si="40">IF(L100&lt;&gt;0,+H100-L100,0)</f>
        <v>0</v>
      </c>
      <c r="N100" s="113">
        <f t="shared" si="36"/>
        <v>648032.45637713163</v>
      </c>
      <c r="O100" s="54">
        <f>IF(N100&lt;&gt;0,+I100-N100,0)</f>
        <v>0</v>
      </c>
      <c r="P100" s="54">
        <f>+O100-M100</f>
        <v>0</v>
      </c>
      <c r="Q100" s="1"/>
    </row>
    <row r="101" spans="1:17" ht="12.5">
      <c r="B101" s="7" t="str">
        <f t="shared" si="39"/>
        <v>IU</v>
      </c>
      <c r="C101" s="50">
        <f>IF(D93="","-",+C100+1)</f>
        <v>2014</v>
      </c>
      <c r="D101" s="133">
        <v>4026060.8452380951</v>
      </c>
      <c r="E101" s="376">
        <v>99407.380952380947</v>
      </c>
      <c r="F101" s="137">
        <v>3926653.4642857141</v>
      </c>
      <c r="G101" s="137">
        <v>3976357.1547619049</v>
      </c>
      <c r="H101" s="397">
        <v>639887.60268685024</v>
      </c>
      <c r="I101" s="398">
        <v>639887.60268685024</v>
      </c>
      <c r="J101" s="54">
        <v>0</v>
      </c>
      <c r="K101" s="54"/>
      <c r="L101" s="113">
        <f t="shared" si="34"/>
        <v>639887.60268685024</v>
      </c>
      <c r="M101" s="54">
        <f t="shared" si="40"/>
        <v>0</v>
      </c>
      <c r="N101" s="113">
        <f t="shared" si="36"/>
        <v>639887.60268685024</v>
      </c>
      <c r="O101" s="54">
        <f>IF(N101&lt;&gt;0,+I101-N101,0)</f>
        <v>0</v>
      </c>
      <c r="P101" s="54">
        <f>+O101-M101</f>
        <v>0</v>
      </c>
      <c r="Q101" s="1"/>
    </row>
    <row r="102" spans="1:17" ht="12.5">
      <c r="B102" s="7" t="str">
        <f t="shared" si="39"/>
        <v/>
      </c>
      <c r="C102" s="50">
        <f>IF(D93="","-",+C101+1)</f>
        <v>2015</v>
      </c>
      <c r="D102" s="133">
        <v>3926653.4642857141</v>
      </c>
      <c r="E102" s="376">
        <v>99407.380952380947</v>
      </c>
      <c r="F102" s="137">
        <v>3827246.083333333</v>
      </c>
      <c r="G102" s="137">
        <v>3876949.7738095233</v>
      </c>
      <c r="H102" s="397">
        <v>610268.70222496334</v>
      </c>
      <c r="I102" s="398">
        <v>610268.70222496334</v>
      </c>
      <c r="J102" s="54">
        <f t="shared" si="33"/>
        <v>0</v>
      </c>
      <c r="K102" s="54"/>
      <c r="L102" s="113">
        <f t="shared" si="34"/>
        <v>610268.70222496334</v>
      </c>
      <c r="M102" s="54">
        <f t="shared" si="40"/>
        <v>0</v>
      </c>
      <c r="N102" s="113">
        <f t="shared" si="36"/>
        <v>610268.70222496334</v>
      </c>
      <c r="O102" s="54">
        <f>IF(N102&lt;&gt;0,+I102-N102,0)</f>
        <v>0</v>
      </c>
      <c r="P102" s="54">
        <f>+O102-M102</f>
        <v>0</v>
      </c>
      <c r="Q102" s="1"/>
    </row>
    <row r="103" spans="1:17" ht="12.5">
      <c r="B103" s="7" t="str">
        <f t="shared" si="39"/>
        <v/>
      </c>
      <c r="C103" s="50">
        <f>IF(D93="","-",+C102+1)</f>
        <v>2016</v>
      </c>
      <c r="D103" s="133">
        <v>3827246.083333333</v>
      </c>
      <c r="E103" s="376">
        <v>97095.58139534884</v>
      </c>
      <c r="F103" s="137">
        <v>3730150.501937984</v>
      </c>
      <c r="G103" s="137">
        <v>3778698.2926356588</v>
      </c>
      <c r="H103" s="397">
        <v>576801.28539069893</v>
      </c>
      <c r="I103" s="398">
        <v>576801.28539069893</v>
      </c>
      <c r="J103" s="54">
        <f t="shared" si="33"/>
        <v>0</v>
      </c>
      <c r="K103" s="54"/>
      <c r="L103" s="113">
        <f t="shared" si="34"/>
        <v>576801.28539069893</v>
      </c>
      <c r="M103" s="54">
        <f t="shared" si="40"/>
        <v>0</v>
      </c>
      <c r="N103" s="113">
        <f t="shared" si="36"/>
        <v>576801.28539069893</v>
      </c>
      <c r="O103" s="54">
        <f>IF(N103&lt;&gt;0,+I103-N103,0)</f>
        <v>0</v>
      </c>
      <c r="P103" s="54">
        <f>+O103-M103</f>
        <v>0</v>
      </c>
      <c r="Q103" s="1"/>
    </row>
    <row r="104" spans="1:17" ht="12.5">
      <c r="B104" s="7" t="str">
        <f t="shared" si="39"/>
        <v/>
      </c>
      <c r="C104" s="50">
        <f>IF(D93="","-",+C103+1)</f>
        <v>2017</v>
      </c>
      <c r="D104" s="133">
        <v>3730150.501937984</v>
      </c>
      <c r="E104" s="376">
        <v>99407.380952380947</v>
      </c>
      <c r="F104" s="137">
        <v>3630743.120985603</v>
      </c>
      <c r="G104" s="137">
        <v>3680446.8114617933</v>
      </c>
      <c r="H104" s="397">
        <v>546476.62006900879</v>
      </c>
      <c r="I104" s="398">
        <v>546476.62006900879</v>
      </c>
      <c r="J104" s="54">
        <f t="shared" si="33"/>
        <v>0</v>
      </c>
      <c r="K104" s="54"/>
      <c r="L104" s="113">
        <f t="shared" si="34"/>
        <v>546476.62006900879</v>
      </c>
      <c r="M104" s="54">
        <f t="shared" si="40"/>
        <v>0</v>
      </c>
      <c r="N104" s="113">
        <f t="shared" si="36"/>
        <v>546476.62006900879</v>
      </c>
      <c r="O104" s="54">
        <f>IF(N104&lt;&gt;0,+I104-N104,0)</f>
        <v>0</v>
      </c>
      <c r="P104" s="54">
        <f>+O104-M104</f>
        <v>0</v>
      </c>
      <c r="Q104" s="1"/>
    </row>
    <row r="105" spans="1:17" ht="12.5">
      <c r="B105" s="7" t="str">
        <f t="shared" si="39"/>
        <v/>
      </c>
      <c r="C105" s="50">
        <f>IF(D93="","-",+C104+1)</f>
        <v>2018</v>
      </c>
      <c r="D105" s="133">
        <v>3630743.120985603</v>
      </c>
      <c r="E105" s="376">
        <v>99407.380952380947</v>
      </c>
      <c r="F105" s="137">
        <v>3531335.7400332219</v>
      </c>
      <c r="G105" s="137">
        <v>3581039.4305094127</v>
      </c>
      <c r="H105" s="397">
        <v>477581.56681566167</v>
      </c>
      <c r="I105" s="398">
        <v>477581.56681566167</v>
      </c>
      <c r="J105" s="54">
        <f t="shared" si="33"/>
        <v>0</v>
      </c>
      <c r="K105" s="54"/>
      <c r="L105" s="113">
        <f t="shared" ref="L105" si="41">H105</f>
        <v>477581.56681566167</v>
      </c>
      <c r="M105" s="54">
        <f t="shared" si="40"/>
        <v>0</v>
      </c>
      <c r="N105" s="113">
        <f t="shared" ref="N105" si="42">I105</f>
        <v>477581.56681566167</v>
      </c>
      <c r="O105" s="54">
        <f t="shared" si="37"/>
        <v>0</v>
      </c>
      <c r="P105" s="54">
        <f t="shared" si="38"/>
        <v>0</v>
      </c>
      <c r="Q105" s="1"/>
    </row>
    <row r="106" spans="1:17" ht="12.5">
      <c r="B106" s="7" t="str">
        <f t="shared" si="39"/>
        <v/>
      </c>
      <c r="C106" s="50">
        <f>IF(D93="","-",+C105+1)</f>
        <v>2019</v>
      </c>
      <c r="D106" s="133">
        <v>3531335.7400332219</v>
      </c>
      <c r="E106" s="376">
        <v>97095.58139534884</v>
      </c>
      <c r="F106" s="137">
        <v>3434240.1586378729</v>
      </c>
      <c r="G106" s="137">
        <v>3482787.9493355472</v>
      </c>
      <c r="H106" s="397">
        <v>469895.10698233201</v>
      </c>
      <c r="I106" s="398">
        <v>469895.10698233201</v>
      </c>
      <c r="J106" s="54">
        <f t="shared" si="33"/>
        <v>0</v>
      </c>
      <c r="K106" s="54"/>
      <c r="L106" s="113">
        <f t="shared" ref="L106" si="43">H106</f>
        <v>469895.10698233201</v>
      </c>
      <c r="M106" s="54">
        <f t="shared" ref="M106" si="44">IF(L106&lt;&gt;0,+H106-L106,0)</f>
        <v>0</v>
      </c>
      <c r="N106" s="113">
        <f t="shared" ref="N106" si="45">I106</f>
        <v>469895.10698233201</v>
      </c>
      <c r="O106" s="54">
        <f t="shared" si="37"/>
        <v>0</v>
      </c>
      <c r="P106" s="54">
        <f t="shared" si="38"/>
        <v>0</v>
      </c>
      <c r="Q106" s="1"/>
    </row>
    <row r="107" spans="1:17" ht="12.5">
      <c r="B107" s="7" t="str">
        <f t="shared" si="39"/>
        <v/>
      </c>
      <c r="C107" s="50">
        <f>IF(D93="","-",+C106+1)</f>
        <v>2020</v>
      </c>
      <c r="D107" s="133">
        <v>3434240.1586378729</v>
      </c>
      <c r="E107" s="376">
        <v>99407.380952380947</v>
      </c>
      <c r="F107" s="137">
        <v>3334832.7776854918</v>
      </c>
      <c r="G107" s="137">
        <v>3384536.4681616826</v>
      </c>
      <c r="H107" s="397">
        <v>463494.94007104362</v>
      </c>
      <c r="I107" s="398">
        <v>463494.94007104362</v>
      </c>
      <c r="J107" s="54">
        <f t="shared" si="33"/>
        <v>0</v>
      </c>
      <c r="K107" s="54"/>
      <c r="L107" s="113">
        <f t="shared" ref="L107" si="46">H107</f>
        <v>463494.94007104362</v>
      </c>
      <c r="M107" s="54">
        <f t="shared" ref="M107" si="47">IF(L107&lt;&gt;0,+H107-L107,0)</f>
        <v>0</v>
      </c>
      <c r="N107" s="113">
        <f t="shared" ref="N107" si="48">I107</f>
        <v>463494.94007104362</v>
      </c>
      <c r="O107" s="54">
        <f t="shared" si="37"/>
        <v>0</v>
      </c>
      <c r="P107" s="54">
        <f t="shared" si="38"/>
        <v>0</v>
      </c>
      <c r="Q107" s="1"/>
    </row>
    <row r="108" spans="1:17" ht="12.5">
      <c r="B108" s="7" t="str">
        <f t="shared" si="39"/>
        <v/>
      </c>
      <c r="C108" s="50">
        <f>IF(D93="","-",+C107+1)</f>
        <v>2021</v>
      </c>
      <c r="D108" s="133">
        <v>3334832.7776854918</v>
      </c>
      <c r="E108" s="376">
        <v>101831.95121951219</v>
      </c>
      <c r="F108" s="137">
        <v>3233000.8264659797</v>
      </c>
      <c r="G108" s="137">
        <v>3283916.8020757358</v>
      </c>
      <c r="H108" s="397">
        <v>474603.22647649172</v>
      </c>
      <c r="I108" s="398">
        <v>474603.22647649172</v>
      </c>
      <c r="J108" s="54">
        <f t="shared" si="33"/>
        <v>0</v>
      </c>
      <c r="K108" s="54"/>
      <c r="L108" s="113">
        <f t="shared" ref="L108" si="49">H108</f>
        <v>474603.22647649172</v>
      </c>
      <c r="M108" s="54">
        <f t="shared" ref="M108" si="50">IF(L108&lt;&gt;0,+H108-L108,0)</f>
        <v>0</v>
      </c>
      <c r="N108" s="113">
        <f t="shared" ref="N108" si="51">I108</f>
        <v>474603.22647649172</v>
      </c>
      <c r="O108" s="54">
        <f t="shared" si="37"/>
        <v>0</v>
      </c>
      <c r="P108" s="54">
        <f t="shared" si="38"/>
        <v>0</v>
      </c>
      <c r="Q108" s="1"/>
    </row>
    <row r="109" spans="1:17" ht="12.5">
      <c r="B109" s="7" t="str">
        <f t="shared" si="39"/>
        <v/>
      </c>
      <c r="C109" s="50">
        <f>IF(D93="","-",+C108+1)</f>
        <v>2022</v>
      </c>
      <c r="D109" s="133">
        <v>3233000.8264659797</v>
      </c>
      <c r="E109" s="376">
        <v>99407.380952380947</v>
      </c>
      <c r="F109" s="137">
        <v>3133593.4455135986</v>
      </c>
      <c r="G109" s="137">
        <v>3183297.1359897889</v>
      </c>
      <c r="H109" s="397">
        <v>473310.59630882624</v>
      </c>
      <c r="I109" s="398">
        <v>473310.59630882624</v>
      </c>
      <c r="J109" s="54">
        <f t="shared" si="33"/>
        <v>0</v>
      </c>
      <c r="K109" s="54"/>
      <c r="L109" s="113">
        <f t="shared" ref="L109" si="52">H109</f>
        <v>473310.59630882624</v>
      </c>
      <c r="M109" s="54">
        <f t="shared" ref="M109" si="53">IF(L109&lt;&gt;0,+H109-L109,0)</f>
        <v>0</v>
      </c>
      <c r="N109" s="113">
        <f t="shared" ref="N109" si="54">I109</f>
        <v>473310.59630882624</v>
      </c>
      <c r="O109" s="54">
        <f t="shared" ref="O109" si="55">IF(N109&lt;&gt;0,+I109-N109,0)</f>
        <v>0</v>
      </c>
      <c r="P109" s="54">
        <f t="shared" ref="P109" si="56">+O109-M109</f>
        <v>0</v>
      </c>
      <c r="Q109" s="1"/>
    </row>
    <row r="110" spans="1:17" ht="12.5">
      <c r="B110" s="7" t="str">
        <f t="shared" si="39"/>
        <v/>
      </c>
      <c r="C110" s="50">
        <f>IF(D93="","-",+C109+1)</f>
        <v>2023</v>
      </c>
      <c r="D110" s="133">
        <v>3133593.4455135986</v>
      </c>
      <c r="E110" s="376">
        <v>94888.863636363632</v>
      </c>
      <c r="F110" s="137">
        <v>3038704.5818772349</v>
      </c>
      <c r="G110" s="137">
        <v>3086149.013695417</v>
      </c>
      <c r="H110" s="397">
        <v>475611.81019903114</v>
      </c>
      <c r="I110" s="398">
        <v>475611.81019903114</v>
      </c>
      <c r="J110" s="54">
        <f t="shared" si="33"/>
        <v>0</v>
      </c>
      <c r="K110" s="54"/>
      <c r="L110" s="113">
        <f t="shared" ref="L110" si="57">H110</f>
        <v>475611.81019903114</v>
      </c>
      <c r="M110" s="54">
        <f t="shared" ref="M110" si="58">IF(L110&lt;&gt;0,+H110-L110,0)</f>
        <v>0</v>
      </c>
      <c r="N110" s="113">
        <f t="shared" ref="N110" si="59">I110</f>
        <v>475611.81019903114</v>
      </c>
      <c r="O110" s="54">
        <f t="shared" ref="O110" si="60">IF(N110&lt;&gt;0,+I110-N110,0)</f>
        <v>0</v>
      </c>
      <c r="P110" s="54">
        <f t="shared" ref="P110" si="61">+O110-M110</f>
        <v>0</v>
      </c>
      <c r="Q110" s="1"/>
    </row>
    <row r="111" spans="1:17" ht="12.5">
      <c r="B111" s="7" t="str">
        <f t="shared" si="39"/>
        <v/>
      </c>
      <c r="C111" s="50">
        <f>IF(D93="","-",+C110+1)</f>
        <v>2024</v>
      </c>
      <c r="D111" s="12">
        <f>IF(F110+SUM(E$99:E110)=D$92,F110,D$92-SUM(E$99:E110))</f>
        <v>3038704.5818772349</v>
      </c>
      <c r="E111" s="378">
        <f>IF(+J96&lt;F110,J96,D111)</f>
        <v>94888.863636363632</v>
      </c>
      <c r="F111" s="55">
        <f t="shared" ref="F111:F131" si="62">+D111-E111</f>
        <v>2943815.7182408711</v>
      </c>
      <c r="G111" s="55">
        <f t="shared" ref="G111:G130" si="63">+(F111+D111)/2</f>
        <v>2991260.1500590527</v>
      </c>
      <c r="H111" s="380">
        <f t="shared" ref="H111:H130" si="64">+J$94*G111+E111</f>
        <v>467379.54181792389</v>
      </c>
      <c r="I111" s="399">
        <f t="shared" ref="I111:I130" si="65">+J$95*G111+E111</f>
        <v>467379.54181792389</v>
      </c>
      <c r="J111" s="54">
        <f t="shared" si="33"/>
        <v>0</v>
      </c>
      <c r="K111" s="54"/>
      <c r="L111" s="129"/>
      <c r="M111" s="54">
        <f t="shared" si="35"/>
        <v>0</v>
      </c>
      <c r="N111" s="129"/>
      <c r="O111" s="54">
        <f t="shared" si="37"/>
        <v>0</v>
      </c>
      <c r="P111" s="54">
        <f t="shared" si="38"/>
        <v>0</v>
      </c>
      <c r="Q111" s="1"/>
    </row>
    <row r="112" spans="1:17" ht="12.5">
      <c r="B112" s="7" t="str">
        <f t="shared" si="39"/>
        <v/>
      </c>
      <c r="C112" s="50">
        <f>IF(D93="","-",+C111+1)</f>
        <v>2025</v>
      </c>
      <c r="D112" s="12">
        <f>IF(F111+SUM(E$99:E111)=D$92,F111,D$92-SUM(E$99:E111))</f>
        <v>2943815.7182408711</v>
      </c>
      <c r="E112" s="378">
        <f>IF(+J96&lt;F111,J96,D112)</f>
        <v>94888.863636363632</v>
      </c>
      <c r="F112" s="55">
        <f t="shared" si="62"/>
        <v>2848926.8546045073</v>
      </c>
      <c r="G112" s="55">
        <f t="shared" si="63"/>
        <v>2896371.2864226894</v>
      </c>
      <c r="H112" s="380">
        <f t="shared" si="64"/>
        <v>455563.37893182761</v>
      </c>
      <c r="I112" s="399">
        <f t="shared" si="65"/>
        <v>455563.37893182761</v>
      </c>
      <c r="J112" s="54">
        <f t="shared" si="33"/>
        <v>0</v>
      </c>
      <c r="K112" s="54"/>
      <c r="L112" s="129"/>
      <c r="M112" s="54">
        <f t="shared" si="35"/>
        <v>0</v>
      </c>
      <c r="N112" s="129"/>
      <c r="O112" s="54">
        <f t="shared" si="37"/>
        <v>0</v>
      </c>
      <c r="P112" s="54">
        <f t="shared" si="38"/>
        <v>0</v>
      </c>
      <c r="Q112" s="1"/>
    </row>
    <row r="113" spans="2:17" ht="12.5">
      <c r="B113" s="7" t="str">
        <f t="shared" si="39"/>
        <v/>
      </c>
      <c r="C113" s="50">
        <f>IF(D93="","-",+C112+1)</f>
        <v>2026</v>
      </c>
      <c r="D113" s="12">
        <f>IF(F112+SUM(E$99:E112)=D$92,F112,D$92-SUM(E$99:E112))</f>
        <v>2848926.8546045073</v>
      </c>
      <c r="E113" s="378">
        <f>IF(+J96&lt;F112,J96,D113)</f>
        <v>94888.863636363632</v>
      </c>
      <c r="F113" s="55">
        <f t="shared" si="62"/>
        <v>2754037.9909681436</v>
      </c>
      <c r="G113" s="55">
        <f t="shared" si="63"/>
        <v>2801482.4227863252</v>
      </c>
      <c r="H113" s="380">
        <f t="shared" si="64"/>
        <v>443747.21604573121</v>
      </c>
      <c r="I113" s="399">
        <f t="shared" si="65"/>
        <v>443747.21604573121</v>
      </c>
      <c r="J113" s="54">
        <f t="shared" si="33"/>
        <v>0</v>
      </c>
      <c r="K113" s="54"/>
      <c r="L113" s="129"/>
      <c r="M113" s="54">
        <f t="shared" si="35"/>
        <v>0</v>
      </c>
      <c r="N113" s="129"/>
      <c r="O113" s="54">
        <f t="shared" si="37"/>
        <v>0</v>
      </c>
      <c r="P113" s="54">
        <f t="shared" si="38"/>
        <v>0</v>
      </c>
      <c r="Q113" s="1"/>
    </row>
    <row r="114" spans="2:17" ht="12.5">
      <c r="B114" s="7" t="str">
        <f t="shared" si="39"/>
        <v/>
      </c>
      <c r="C114" s="50">
        <f>IF(D93="","-",+C113+1)</f>
        <v>2027</v>
      </c>
      <c r="D114" s="12">
        <f>IF(F113+SUM(E$99:E113)=D$92,F113,D$92-SUM(E$99:E113))</f>
        <v>2754037.9909681436</v>
      </c>
      <c r="E114" s="378">
        <f>IF(+J96&lt;F113,J96,D114)</f>
        <v>94888.863636363632</v>
      </c>
      <c r="F114" s="55">
        <f t="shared" si="62"/>
        <v>2659149.1273317798</v>
      </c>
      <c r="G114" s="55">
        <f t="shared" si="63"/>
        <v>2706593.5591499619</v>
      </c>
      <c r="H114" s="380">
        <f t="shared" si="64"/>
        <v>431931.05315963493</v>
      </c>
      <c r="I114" s="399">
        <f t="shared" si="65"/>
        <v>431931.05315963493</v>
      </c>
      <c r="J114" s="54">
        <f t="shared" si="33"/>
        <v>0</v>
      </c>
      <c r="K114" s="54"/>
      <c r="L114" s="129"/>
      <c r="M114" s="54">
        <f t="shared" si="35"/>
        <v>0</v>
      </c>
      <c r="N114" s="129"/>
      <c r="O114" s="54">
        <f t="shared" si="37"/>
        <v>0</v>
      </c>
      <c r="P114" s="54">
        <f t="shared" si="38"/>
        <v>0</v>
      </c>
      <c r="Q114" s="1"/>
    </row>
    <row r="115" spans="2:17" ht="12.5">
      <c r="B115" s="7" t="str">
        <f t="shared" si="39"/>
        <v/>
      </c>
      <c r="C115" s="50">
        <f>IF(D93="","-",+C114+1)</f>
        <v>2028</v>
      </c>
      <c r="D115" s="12">
        <f>IF(F114+SUM(E$99:E114)=D$92,F114,D$92-SUM(E$99:E114))</f>
        <v>2659149.1273317798</v>
      </c>
      <c r="E115" s="378">
        <f>IF(+J96&lt;F114,J96,D115)</f>
        <v>94888.863636363632</v>
      </c>
      <c r="F115" s="55">
        <f t="shared" si="62"/>
        <v>2564260.263695416</v>
      </c>
      <c r="G115" s="55">
        <f t="shared" si="63"/>
        <v>2611704.6955135977</v>
      </c>
      <c r="H115" s="380">
        <f t="shared" si="64"/>
        <v>420114.89027353853</v>
      </c>
      <c r="I115" s="399">
        <f t="shared" si="65"/>
        <v>420114.89027353853</v>
      </c>
      <c r="J115" s="54">
        <f t="shared" si="33"/>
        <v>0</v>
      </c>
      <c r="K115" s="54"/>
      <c r="L115" s="129"/>
      <c r="M115" s="54">
        <f t="shared" si="35"/>
        <v>0</v>
      </c>
      <c r="N115" s="129"/>
      <c r="O115" s="54">
        <f t="shared" si="37"/>
        <v>0</v>
      </c>
      <c r="P115" s="54">
        <f t="shared" si="38"/>
        <v>0</v>
      </c>
      <c r="Q115" s="1"/>
    </row>
    <row r="116" spans="2:17" ht="12.5">
      <c r="B116" s="7" t="str">
        <f t="shared" si="39"/>
        <v/>
      </c>
      <c r="C116" s="50">
        <f>IF(D93="","-",+C115+1)</f>
        <v>2029</v>
      </c>
      <c r="D116" s="12">
        <f>IF(F115+SUM(E$99:E115)=D$92,F115,D$92-SUM(E$99:E115))</f>
        <v>2564260.263695416</v>
      </c>
      <c r="E116" s="378">
        <f>IF(+J96&lt;F115,J96,D116)</f>
        <v>94888.863636363632</v>
      </c>
      <c r="F116" s="55">
        <f t="shared" si="62"/>
        <v>2469371.4000590523</v>
      </c>
      <c r="G116" s="55">
        <f t="shared" si="63"/>
        <v>2516815.8318772344</v>
      </c>
      <c r="H116" s="380">
        <f t="shared" si="64"/>
        <v>408298.72738744225</v>
      </c>
      <c r="I116" s="399">
        <f t="shared" si="65"/>
        <v>408298.72738744225</v>
      </c>
      <c r="J116" s="54">
        <f t="shared" si="33"/>
        <v>0</v>
      </c>
      <c r="K116" s="54"/>
      <c r="L116" s="129"/>
      <c r="M116" s="54">
        <f t="shared" si="35"/>
        <v>0</v>
      </c>
      <c r="N116" s="129"/>
      <c r="O116" s="54">
        <f t="shared" si="37"/>
        <v>0</v>
      </c>
      <c r="P116" s="54">
        <f t="shared" si="38"/>
        <v>0</v>
      </c>
      <c r="Q116" s="1"/>
    </row>
    <row r="117" spans="2:17" ht="12.5">
      <c r="B117" s="7" t="str">
        <f t="shared" si="39"/>
        <v/>
      </c>
      <c r="C117" s="50">
        <f>IF(D93="","-",+C116+1)</f>
        <v>2030</v>
      </c>
      <c r="D117" s="12">
        <f>IF(F116+SUM(E$99:E116)=D$92,F116,D$92-SUM(E$99:E116))</f>
        <v>2469371.4000590523</v>
      </c>
      <c r="E117" s="378">
        <f>IF(+J96&lt;F116,J96,D117)</f>
        <v>94888.863636363632</v>
      </c>
      <c r="F117" s="55">
        <f t="shared" si="62"/>
        <v>2374482.5364226885</v>
      </c>
      <c r="G117" s="55">
        <f t="shared" si="63"/>
        <v>2421926.9682408702</v>
      </c>
      <c r="H117" s="380">
        <f t="shared" si="64"/>
        <v>396482.56450134586</v>
      </c>
      <c r="I117" s="399">
        <f t="shared" si="65"/>
        <v>396482.56450134586</v>
      </c>
      <c r="J117" s="54">
        <f t="shared" si="33"/>
        <v>0</v>
      </c>
      <c r="K117" s="54"/>
      <c r="L117" s="129"/>
      <c r="M117" s="54">
        <f t="shared" si="35"/>
        <v>0</v>
      </c>
      <c r="N117" s="129"/>
      <c r="O117" s="54">
        <f t="shared" si="37"/>
        <v>0</v>
      </c>
      <c r="P117" s="54">
        <f t="shared" si="38"/>
        <v>0</v>
      </c>
      <c r="Q117" s="1"/>
    </row>
    <row r="118" spans="2:17" ht="12.5">
      <c r="B118" s="7" t="str">
        <f t="shared" si="39"/>
        <v/>
      </c>
      <c r="C118" s="50">
        <f>IF(D93="","-",+C117+1)</f>
        <v>2031</v>
      </c>
      <c r="D118" s="12">
        <f>IF(F117+SUM(E$99:E117)=D$92,F117,D$92-SUM(E$99:E117))</f>
        <v>2374482.5364226885</v>
      </c>
      <c r="E118" s="378">
        <f>IF(+J96&lt;F117,J96,D118)</f>
        <v>94888.863636363632</v>
      </c>
      <c r="F118" s="55">
        <f t="shared" si="62"/>
        <v>2279593.6727863248</v>
      </c>
      <c r="G118" s="55">
        <f t="shared" si="63"/>
        <v>2327038.1046045069</v>
      </c>
      <c r="H118" s="380">
        <f t="shared" si="64"/>
        <v>384666.40161524958</v>
      </c>
      <c r="I118" s="399">
        <f t="shared" si="65"/>
        <v>384666.40161524958</v>
      </c>
      <c r="J118" s="54">
        <f t="shared" si="33"/>
        <v>0</v>
      </c>
      <c r="K118" s="54"/>
      <c r="L118" s="129"/>
      <c r="M118" s="54">
        <f t="shared" si="35"/>
        <v>0</v>
      </c>
      <c r="N118" s="129"/>
      <c r="O118" s="54">
        <f t="shared" si="37"/>
        <v>0</v>
      </c>
      <c r="P118" s="54">
        <f t="shared" si="38"/>
        <v>0</v>
      </c>
      <c r="Q118" s="1"/>
    </row>
    <row r="119" spans="2:17" ht="12.5">
      <c r="B119" s="7" t="str">
        <f t="shared" si="39"/>
        <v/>
      </c>
      <c r="C119" s="50">
        <f>IF(D93="","-",+C118+1)</f>
        <v>2032</v>
      </c>
      <c r="D119" s="12">
        <f>IF(F118+SUM(E$99:E118)=D$92,F118,D$92-SUM(E$99:E118))</f>
        <v>2279593.6727863248</v>
      </c>
      <c r="E119" s="378">
        <f>IF(+J96&lt;F118,J96,D119)</f>
        <v>94888.863636363632</v>
      </c>
      <c r="F119" s="55">
        <f t="shared" si="62"/>
        <v>2184704.809149961</v>
      </c>
      <c r="G119" s="55">
        <f t="shared" si="63"/>
        <v>2232149.2409681426</v>
      </c>
      <c r="H119" s="380">
        <f t="shared" si="64"/>
        <v>372850.23872915318</v>
      </c>
      <c r="I119" s="399">
        <f t="shared" si="65"/>
        <v>372850.23872915318</v>
      </c>
      <c r="J119" s="54">
        <f t="shared" si="33"/>
        <v>0</v>
      </c>
      <c r="K119" s="54"/>
      <c r="L119" s="129"/>
      <c r="M119" s="54">
        <f t="shared" si="35"/>
        <v>0</v>
      </c>
      <c r="N119" s="129"/>
      <c r="O119" s="54">
        <f t="shared" si="37"/>
        <v>0</v>
      </c>
      <c r="P119" s="54">
        <f t="shared" si="38"/>
        <v>0</v>
      </c>
      <c r="Q119" s="1"/>
    </row>
    <row r="120" spans="2:17" ht="12.5">
      <c r="B120" s="7" t="str">
        <f t="shared" si="39"/>
        <v/>
      </c>
      <c r="C120" s="50">
        <f>IF(D93="","-",+C119+1)</f>
        <v>2033</v>
      </c>
      <c r="D120" s="12">
        <f>IF(F119+SUM(E$99:E119)=D$92,F119,D$92-SUM(E$99:E119))</f>
        <v>2184704.809149961</v>
      </c>
      <c r="E120" s="378">
        <f>IF(+J96&lt;F119,J96,D120)</f>
        <v>94888.863636363632</v>
      </c>
      <c r="F120" s="55">
        <f t="shared" si="62"/>
        <v>2089815.9455135975</v>
      </c>
      <c r="G120" s="55">
        <f t="shared" si="63"/>
        <v>2137260.3773317793</v>
      </c>
      <c r="H120" s="380">
        <f t="shared" si="64"/>
        <v>361034.07584305695</v>
      </c>
      <c r="I120" s="399">
        <f t="shared" si="65"/>
        <v>361034.07584305695</v>
      </c>
      <c r="J120" s="54">
        <f t="shared" si="33"/>
        <v>0</v>
      </c>
      <c r="K120" s="54"/>
      <c r="L120" s="129"/>
      <c r="M120" s="54">
        <f t="shared" si="35"/>
        <v>0</v>
      </c>
      <c r="N120" s="129"/>
      <c r="O120" s="54">
        <f t="shared" si="37"/>
        <v>0</v>
      </c>
      <c r="P120" s="54">
        <f t="shared" si="38"/>
        <v>0</v>
      </c>
      <c r="Q120" s="1"/>
    </row>
    <row r="121" spans="2:17" ht="12.5">
      <c r="B121" s="7" t="str">
        <f t="shared" si="39"/>
        <v/>
      </c>
      <c r="C121" s="50">
        <f>IF(D93="","-",+C120+1)</f>
        <v>2034</v>
      </c>
      <c r="D121" s="12">
        <f>IF(F120+SUM(E$99:E120)=D$92,F120,D$92-SUM(E$99:E120))</f>
        <v>2089815.9455135975</v>
      </c>
      <c r="E121" s="378">
        <f>IF(+J96&lt;F120,J96,D121)</f>
        <v>94888.863636363632</v>
      </c>
      <c r="F121" s="55">
        <f t="shared" si="62"/>
        <v>1994927.0818772339</v>
      </c>
      <c r="G121" s="55">
        <f t="shared" si="63"/>
        <v>2042371.5136954156</v>
      </c>
      <c r="H121" s="380">
        <f t="shared" si="64"/>
        <v>349217.91295696056</v>
      </c>
      <c r="I121" s="399">
        <f t="shared" si="65"/>
        <v>349217.91295696056</v>
      </c>
      <c r="J121" s="54">
        <f t="shared" si="33"/>
        <v>0</v>
      </c>
      <c r="K121" s="54"/>
      <c r="L121" s="129"/>
      <c r="M121" s="54">
        <f t="shared" si="35"/>
        <v>0</v>
      </c>
      <c r="N121" s="129"/>
      <c r="O121" s="54">
        <f t="shared" si="37"/>
        <v>0</v>
      </c>
      <c r="P121" s="54">
        <f t="shared" si="38"/>
        <v>0</v>
      </c>
      <c r="Q121" s="1"/>
    </row>
    <row r="122" spans="2:17" ht="12.5">
      <c r="B122" s="7" t="str">
        <f t="shared" si="39"/>
        <v/>
      </c>
      <c r="C122" s="50">
        <f>IF(D93="","-",+C121+1)</f>
        <v>2035</v>
      </c>
      <c r="D122" s="12">
        <f>IF(F121+SUM(E$99:E121)=D$92,F121,D$92-SUM(E$99:E121))</f>
        <v>1994927.0818772339</v>
      </c>
      <c r="E122" s="378">
        <f>IF(+J96&lt;F121,J96,D122)</f>
        <v>94888.863636363632</v>
      </c>
      <c r="F122" s="55">
        <f t="shared" si="62"/>
        <v>1900038.2182408704</v>
      </c>
      <c r="G122" s="55">
        <f t="shared" si="63"/>
        <v>1947482.6500590523</v>
      </c>
      <c r="H122" s="380">
        <f t="shared" si="64"/>
        <v>337401.75007086433</v>
      </c>
      <c r="I122" s="399">
        <f t="shared" si="65"/>
        <v>337401.75007086433</v>
      </c>
      <c r="J122" s="54">
        <f t="shared" si="33"/>
        <v>0</v>
      </c>
      <c r="K122" s="54"/>
      <c r="L122" s="129"/>
      <c r="M122" s="54">
        <f t="shared" si="35"/>
        <v>0</v>
      </c>
      <c r="N122" s="129"/>
      <c r="O122" s="54">
        <f t="shared" si="37"/>
        <v>0</v>
      </c>
      <c r="P122" s="54">
        <f t="shared" si="38"/>
        <v>0</v>
      </c>
      <c r="Q122" s="1"/>
    </row>
    <row r="123" spans="2:17" ht="12.5">
      <c r="B123" s="7" t="str">
        <f t="shared" si="39"/>
        <v/>
      </c>
      <c r="C123" s="50">
        <f>IF(D93="","-",+C122+1)</f>
        <v>2036</v>
      </c>
      <c r="D123" s="12">
        <f>IF(F122+SUM(E$99:E122)=D$92,F122,D$92-SUM(E$99:E122))</f>
        <v>1900038.2182408704</v>
      </c>
      <c r="E123" s="378">
        <f>IF(+J96&lt;F122,J96,D123)</f>
        <v>94888.863636363632</v>
      </c>
      <c r="F123" s="55">
        <f t="shared" si="62"/>
        <v>1805149.3546045069</v>
      </c>
      <c r="G123" s="55">
        <f t="shared" si="63"/>
        <v>1852593.7864226885</v>
      </c>
      <c r="H123" s="380">
        <f t="shared" si="64"/>
        <v>325585.587184768</v>
      </c>
      <c r="I123" s="399">
        <f t="shared" si="65"/>
        <v>325585.587184768</v>
      </c>
      <c r="J123" s="54">
        <f t="shared" si="33"/>
        <v>0</v>
      </c>
      <c r="K123" s="54"/>
      <c r="L123" s="129"/>
      <c r="M123" s="54">
        <f t="shared" si="35"/>
        <v>0</v>
      </c>
      <c r="N123" s="129"/>
      <c r="O123" s="54">
        <f t="shared" si="37"/>
        <v>0</v>
      </c>
      <c r="P123" s="54">
        <f t="shared" si="38"/>
        <v>0</v>
      </c>
      <c r="Q123" s="1"/>
    </row>
    <row r="124" spans="2:17" ht="12.5">
      <c r="B124" s="7" t="str">
        <f t="shared" si="39"/>
        <v/>
      </c>
      <c r="C124" s="50">
        <f>IF(D93="","-",+C123+1)</f>
        <v>2037</v>
      </c>
      <c r="D124" s="12">
        <f>IF(F123+SUM(E$99:E123)=D$92,F123,D$92-SUM(E$99:E123))</f>
        <v>1805149.3546045069</v>
      </c>
      <c r="E124" s="378">
        <f>IF(+J96&lt;F123,J96,D124)</f>
        <v>94888.863636363632</v>
      </c>
      <c r="F124" s="55">
        <f t="shared" si="62"/>
        <v>1710260.4909681433</v>
      </c>
      <c r="G124" s="55">
        <f t="shared" si="63"/>
        <v>1757704.9227863252</v>
      </c>
      <c r="H124" s="380">
        <f t="shared" si="64"/>
        <v>313769.42429867171</v>
      </c>
      <c r="I124" s="399">
        <f t="shared" si="65"/>
        <v>313769.42429867171</v>
      </c>
      <c r="J124" s="54">
        <f t="shared" si="33"/>
        <v>0</v>
      </c>
      <c r="K124" s="54"/>
      <c r="L124" s="129"/>
      <c r="M124" s="54">
        <f t="shared" si="35"/>
        <v>0</v>
      </c>
      <c r="N124" s="129"/>
      <c r="O124" s="54">
        <f t="shared" si="37"/>
        <v>0</v>
      </c>
      <c r="P124" s="54">
        <f t="shared" si="38"/>
        <v>0</v>
      </c>
      <c r="Q124" s="1"/>
    </row>
    <row r="125" spans="2:17" ht="12.5">
      <c r="B125" s="7" t="str">
        <f t="shared" si="39"/>
        <v/>
      </c>
      <c r="C125" s="50">
        <f>IF(D93="","-",+C124+1)</f>
        <v>2038</v>
      </c>
      <c r="D125" s="12">
        <f>IF(F124+SUM(E$99:E124)=D$92,F124,D$92-SUM(E$99:E124))</f>
        <v>1710260.4909681433</v>
      </c>
      <c r="E125" s="378">
        <f>IF(+J96&lt;F124,J96,D125)</f>
        <v>94888.863636363632</v>
      </c>
      <c r="F125" s="55">
        <f t="shared" si="62"/>
        <v>1615371.6273317798</v>
      </c>
      <c r="G125" s="55">
        <f t="shared" si="63"/>
        <v>1662816.0591499615</v>
      </c>
      <c r="H125" s="380">
        <f t="shared" si="64"/>
        <v>301953.26141257538</v>
      </c>
      <c r="I125" s="399">
        <f t="shared" si="65"/>
        <v>301953.26141257538</v>
      </c>
      <c r="J125" s="54">
        <f t="shared" si="33"/>
        <v>0</v>
      </c>
      <c r="K125" s="54"/>
      <c r="L125" s="129"/>
      <c r="M125" s="54">
        <f t="shared" si="35"/>
        <v>0</v>
      </c>
      <c r="N125" s="129"/>
      <c r="O125" s="54">
        <f t="shared" si="37"/>
        <v>0</v>
      </c>
      <c r="P125" s="54">
        <f t="shared" si="38"/>
        <v>0</v>
      </c>
      <c r="Q125" s="1"/>
    </row>
    <row r="126" spans="2:17" ht="12.5">
      <c r="B126" s="7" t="str">
        <f t="shared" si="39"/>
        <v/>
      </c>
      <c r="C126" s="50">
        <f>IF(D93="","-",+C125+1)</f>
        <v>2039</v>
      </c>
      <c r="D126" s="12">
        <f>IF(F125+SUM(E$99:E125)=D$92,F125,D$92-SUM(E$99:E125))</f>
        <v>1615371.6273317798</v>
      </c>
      <c r="E126" s="378">
        <f>IF(+J96&lt;F125,J96,D126)</f>
        <v>94888.863636363632</v>
      </c>
      <c r="F126" s="55">
        <f t="shared" si="62"/>
        <v>1520482.7636954163</v>
      </c>
      <c r="G126" s="55">
        <f t="shared" si="63"/>
        <v>1567927.1955135982</v>
      </c>
      <c r="H126" s="380">
        <f t="shared" si="64"/>
        <v>290137.09852647909</v>
      </c>
      <c r="I126" s="399">
        <f t="shared" si="65"/>
        <v>290137.09852647909</v>
      </c>
      <c r="J126" s="54">
        <f t="shared" si="33"/>
        <v>0</v>
      </c>
      <c r="K126" s="54"/>
      <c r="L126" s="129"/>
      <c r="M126" s="54">
        <f t="shared" si="35"/>
        <v>0</v>
      </c>
      <c r="N126" s="129"/>
      <c r="O126" s="54">
        <f t="shared" si="37"/>
        <v>0</v>
      </c>
      <c r="P126" s="54">
        <f t="shared" si="38"/>
        <v>0</v>
      </c>
      <c r="Q126" s="1"/>
    </row>
    <row r="127" spans="2:17" ht="12.5">
      <c r="B127" s="7" t="str">
        <f t="shared" si="39"/>
        <v/>
      </c>
      <c r="C127" s="50">
        <f>IF(D93="","-",+C126+1)</f>
        <v>2040</v>
      </c>
      <c r="D127" s="12">
        <f>IF(F126+SUM(E$99:E126)=D$92,F126,D$92-SUM(E$99:E126))</f>
        <v>1520482.7636954163</v>
      </c>
      <c r="E127" s="378">
        <f>IF(+J96&lt;F126,J96,D127)</f>
        <v>94888.863636363632</v>
      </c>
      <c r="F127" s="55">
        <f t="shared" si="62"/>
        <v>1425593.9000590527</v>
      </c>
      <c r="G127" s="55">
        <f t="shared" si="63"/>
        <v>1473038.3318772344</v>
      </c>
      <c r="H127" s="380">
        <f t="shared" si="64"/>
        <v>278320.93564038276</v>
      </c>
      <c r="I127" s="399">
        <f t="shared" si="65"/>
        <v>278320.93564038276</v>
      </c>
      <c r="J127" s="54">
        <f t="shared" si="33"/>
        <v>0</v>
      </c>
      <c r="K127" s="54"/>
      <c r="L127" s="129"/>
      <c r="M127" s="54">
        <f t="shared" si="35"/>
        <v>0</v>
      </c>
      <c r="N127" s="129"/>
      <c r="O127" s="54">
        <f t="shared" si="37"/>
        <v>0</v>
      </c>
      <c r="P127" s="54">
        <f t="shared" si="38"/>
        <v>0</v>
      </c>
      <c r="Q127" s="1"/>
    </row>
    <row r="128" spans="2:17" ht="12.5">
      <c r="B128" s="7" t="str">
        <f t="shared" si="39"/>
        <v/>
      </c>
      <c r="C128" s="50">
        <f>IF(D93="","-",+C127+1)</f>
        <v>2041</v>
      </c>
      <c r="D128" s="12">
        <f>IF(F127+SUM(E$99:E127)=D$92,F127,D$92-SUM(E$99:E127))</f>
        <v>1425593.9000590527</v>
      </c>
      <c r="E128" s="378">
        <f>IF(+J96&lt;F127,J96,D128)</f>
        <v>94888.863636363632</v>
      </c>
      <c r="F128" s="55">
        <f t="shared" si="62"/>
        <v>1330705.0364226892</v>
      </c>
      <c r="G128" s="55">
        <f t="shared" si="63"/>
        <v>1378149.4682408711</v>
      </c>
      <c r="H128" s="380">
        <f t="shared" si="64"/>
        <v>266504.77275428647</v>
      </c>
      <c r="I128" s="399">
        <f t="shared" si="65"/>
        <v>266504.77275428647</v>
      </c>
      <c r="J128" s="54">
        <f t="shared" si="33"/>
        <v>0</v>
      </c>
      <c r="K128" s="54"/>
      <c r="L128" s="129"/>
      <c r="M128" s="54">
        <f t="shared" si="35"/>
        <v>0</v>
      </c>
      <c r="N128" s="129"/>
      <c r="O128" s="54">
        <f t="shared" si="37"/>
        <v>0</v>
      </c>
      <c r="P128" s="54">
        <f t="shared" si="38"/>
        <v>0</v>
      </c>
      <c r="Q128" s="1"/>
    </row>
    <row r="129" spans="2:17" ht="12.5">
      <c r="B129" s="7" t="str">
        <f t="shared" si="39"/>
        <v/>
      </c>
      <c r="C129" s="50">
        <f>IF(D93="","-",+C128+1)</f>
        <v>2042</v>
      </c>
      <c r="D129" s="12">
        <f>IF(F128+SUM(E$99:E128)=D$92,F128,D$92-SUM(E$99:E128))</f>
        <v>1330705.0364226892</v>
      </c>
      <c r="E129" s="378">
        <f>IF(+J96&lt;F128,J96,D129)</f>
        <v>94888.863636363632</v>
      </c>
      <c r="F129" s="55">
        <f t="shared" si="62"/>
        <v>1235816.1727863257</v>
      </c>
      <c r="G129" s="55">
        <f t="shared" si="63"/>
        <v>1283260.6046045073</v>
      </c>
      <c r="H129" s="380">
        <f t="shared" si="64"/>
        <v>254688.60986819013</v>
      </c>
      <c r="I129" s="399">
        <f t="shared" si="65"/>
        <v>254688.60986819013</v>
      </c>
      <c r="J129" s="54">
        <f t="shared" si="33"/>
        <v>0</v>
      </c>
      <c r="K129" s="54"/>
      <c r="L129" s="129"/>
      <c r="M129" s="54">
        <f t="shared" si="35"/>
        <v>0</v>
      </c>
      <c r="N129" s="129"/>
      <c r="O129" s="54">
        <f t="shared" si="37"/>
        <v>0</v>
      </c>
      <c r="P129" s="54">
        <f t="shared" si="38"/>
        <v>0</v>
      </c>
      <c r="Q129" s="1"/>
    </row>
    <row r="130" spans="2:17" ht="12.5">
      <c r="B130" s="7" t="str">
        <f t="shared" si="39"/>
        <v/>
      </c>
      <c r="C130" s="50">
        <f>IF(D93="","-",+C129+1)</f>
        <v>2043</v>
      </c>
      <c r="D130" s="12">
        <f>IF(F129+SUM(E$99:E129)=D$92,F129,D$92-SUM(E$99:E129))</f>
        <v>1235816.1727863257</v>
      </c>
      <c r="E130" s="378">
        <f>IF(+J96&lt;F129,J96,D130)</f>
        <v>94888.863636363632</v>
      </c>
      <c r="F130" s="55">
        <f t="shared" si="62"/>
        <v>1140927.3091499622</v>
      </c>
      <c r="G130" s="55">
        <f t="shared" si="63"/>
        <v>1188371.740968144</v>
      </c>
      <c r="H130" s="380">
        <f t="shared" si="64"/>
        <v>242872.44698209385</v>
      </c>
      <c r="I130" s="399">
        <f t="shared" si="65"/>
        <v>242872.44698209385</v>
      </c>
      <c r="J130" s="54">
        <f t="shared" si="33"/>
        <v>0</v>
      </c>
      <c r="K130" s="54"/>
      <c r="L130" s="129"/>
      <c r="M130" s="54">
        <f t="shared" si="35"/>
        <v>0</v>
      </c>
      <c r="N130" s="129"/>
      <c r="O130" s="54">
        <f t="shared" si="37"/>
        <v>0</v>
      </c>
      <c r="P130" s="54">
        <f t="shared" si="38"/>
        <v>0</v>
      </c>
      <c r="Q130" s="1"/>
    </row>
    <row r="131" spans="2:17" ht="12.5">
      <c r="B131" s="7" t="str">
        <f t="shared" si="39"/>
        <v/>
      </c>
      <c r="C131" s="50">
        <f>IF(D93="","-",+C130+1)</f>
        <v>2044</v>
      </c>
      <c r="D131" s="12">
        <f>IF(F130+SUM(E$99:E130)=D$92,F130,D$92-SUM(E$99:E130))</f>
        <v>1140927.3091499622</v>
      </c>
      <c r="E131" s="378">
        <f>IF(+J96&lt;F130,J96,D131)</f>
        <v>94888.863636363632</v>
      </c>
      <c r="F131" s="55">
        <f t="shared" si="62"/>
        <v>1046038.4455135985</v>
      </c>
      <c r="G131" s="55">
        <f t="shared" ref="G131:G154" si="66">+(F131+D131)/2</f>
        <v>1093482.8773317803</v>
      </c>
      <c r="H131" s="380">
        <f t="shared" ref="H131:H154" si="67">+J$94*G131+E131</f>
        <v>231056.28409599751</v>
      </c>
      <c r="I131" s="399">
        <f t="shared" ref="I131:I154" si="68">+J$95*G131+E131</f>
        <v>231056.28409599751</v>
      </c>
      <c r="J131" s="54">
        <f t="shared" ref="J131:J154" si="69">+I131-H131</f>
        <v>0</v>
      </c>
      <c r="K131" s="54"/>
      <c r="L131" s="129"/>
      <c r="M131" s="54">
        <f t="shared" ref="M131:M154" si="70">IF(L131&lt;&gt;0,+H131-L131,0)</f>
        <v>0</v>
      </c>
      <c r="N131" s="129"/>
      <c r="O131" s="54">
        <f t="shared" ref="O131:O154" si="71">IF(N131&lt;&gt;0,+I131-N131,0)</f>
        <v>0</v>
      </c>
      <c r="P131" s="54">
        <f t="shared" ref="P131:P154" si="72">+O131-M131</f>
        <v>0</v>
      </c>
      <c r="Q131" s="1"/>
    </row>
    <row r="132" spans="2:17" ht="12.5">
      <c r="B132" s="7" t="str">
        <f t="shared" ref="B132:B154" si="73">IF(D132=F131,"","IU")</f>
        <v/>
      </c>
      <c r="C132" s="50">
        <f>IF(D93="","-",+C131+1)</f>
        <v>2045</v>
      </c>
      <c r="D132" s="12">
        <f>IF(F131+SUM(E$99:E131)=D$92,F131,D$92-SUM(E$99:E131))</f>
        <v>1046038.4455135985</v>
      </c>
      <c r="E132" s="378">
        <f>IF(+J96&lt;F131,J96,D132)</f>
        <v>94888.863636363632</v>
      </c>
      <c r="F132" s="55">
        <f t="shared" ref="F132:F154" si="74">+D132-E132</f>
        <v>951149.58187723486</v>
      </c>
      <c r="G132" s="55">
        <f t="shared" si="66"/>
        <v>998594.01369541674</v>
      </c>
      <c r="H132" s="380">
        <f t="shared" si="67"/>
        <v>219240.12120990123</v>
      </c>
      <c r="I132" s="399">
        <f t="shared" si="68"/>
        <v>219240.12120990123</v>
      </c>
      <c r="J132" s="54">
        <f t="shared" si="69"/>
        <v>0</v>
      </c>
      <c r="K132" s="54"/>
      <c r="L132" s="129"/>
      <c r="M132" s="54">
        <f t="shared" si="70"/>
        <v>0</v>
      </c>
      <c r="N132" s="129"/>
      <c r="O132" s="54">
        <f t="shared" si="71"/>
        <v>0</v>
      </c>
      <c r="P132" s="54">
        <f t="shared" si="72"/>
        <v>0</v>
      </c>
      <c r="Q132" s="1"/>
    </row>
    <row r="133" spans="2:17" ht="12.5">
      <c r="B133" s="7" t="str">
        <f t="shared" si="73"/>
        <v/>
      </c>
      <c r="C133" s="50">
        <f>IF(D93="","-",+C132+1)</f>
        <v>2046</v>
      </c>
      <c r="D133" s="12">
        <f>IF(F132+SUM(E$99:E132)=D$92,F132,D$92-SUM(E$99:E132))</f>
        <v>951149.58187723486</v>
      </c>
      <c r="E133" s="378">
        <f>IF(+J96&lt;F132,J96,D133)</f>
        <v>94888.863636363632</v>
      </c>
      <c r="F133" s="55">
        <f t="shared" si="74"/>
        <v>856260.71824087121</v>
      </c>
      <c r="G133" s="55">
        <f t="shared" si="66"/>
        <v>903705.15005905298</v>
      </c>
      <c r="H133" s="380">
        <f t="shared" si="67"/>
        <v>207423.95832380489</v>
      </c>
      <c r="I133" s="399">
        <f t="shared" si="68"/>
        <v>207423.95832380489</v>
      </c>
      <c r="J133" s="54">
        <f t="shared" si="69"/>
        <v>0</v>
      </c>
      <c r="K133" s="54"/>
      <c r="L133" s="129"/>
      <c r="M133" s="54">
        <f t="shared" si="70"/>
        <v>0</v>
      </c>
      <c r="N133" s="129"/>
      <c r="O133" s="54">
        <f t="shared" si="71"/>
        <v>0</v>
      </c>
      <c r="P133" s="54">
        <f t="shared" si="72"/>
        <v>0</v>
      </c>
      <c r="Q133" s="1"/>
    </row>
    <row r="134" spans="2:17" ht="12.5">
      <c r="B134" s="7" t="str">
        <f t="shared" si="73"/>
        <v/>
      </c>
      <c r="C134" s="50">
        <f>IF(D93="","-",+C133+1)</f>
        <v>2047</v>
      </c>
      <c r="D134" s="12">
        <f>IF(F133+SUM(E$99:E133)=D$92,F133,D$92-SUM(E$99:E133))</f>
        <v>856260.71824087121</v>
      </c>
      <c r="E134" s="378">
        <f>IF(+J96&lt;F133,J96,D134)</f>
        <v>94888.863636363632</v>
      </c>
      <c r="F134" s="55">
        <f t="shared" si="74"/>
        <v>761371.85460450756</v>
      </c>
      <c r="G134" s="55">
        <f t="shared" si="66"/>
        <v>808816.28642268945</v>
      </c>
      <c r="H134" s="380">
        <f t="shared" si="67"/>
        <v>195607.79543770861</v>
      </c>
      <c r="I134" s="399">
        <f t="shared" si="68"/>
        <v>195607.79543770861</v>
      </c>
      <c r="J134" s="54">
        <f t="shared" si="69"/>
        <v>0</v>
      </c>
      <c r="K134" s="54"/>
      <c r="L134" s="129"/>
      <c r="M134" s="54">
        <f t="shared" si="70"/>
        <v>0</v>
      </c>
      <c r="N134" s="129"/>
      <c r="O134" s="54">
        <f t="shared" si="71"/>
        <v>0</v>
      </c>
      <c r="P134" s="54">
        <f t="shared" si="72"/>
        <v>0</v>
      </c>
      <c r="Q134" s="1"/>
    </row>
    <row r="135" spans="2:17" ht="12.5">
      <c r="B135" s="7" t="str">
        <f t="shared" si="73"/>
        <v/>
      </c>
      <c r="C135" s="50">
        <f>IF(D93="","-",+C134+1)</f>
        <v>2048</v>
      </c>
      <c r="D135" s="12">
        <f>IF(F134+SUM(E$99:E134)=D$92,F134,D$92-SUM(E$99:E134))</f>
        <v>761371.85460450756</v>
      </c>
      <c r="E135" s="378">
        <f>IF(+J96&lt;F134,J96,D135)</f>
        <v>94888.863636363632</v>
      </c>
      <c r="F135" s="55">
        <f t="shared" si="74"/>
        <v>666482.99096814392</v>
      </c>
      <c r="G135" s="55">
        <f t="shared" si="66"/>
        <v>713927.42278632568</v>
      </c>
      <c r="H135" s="380">
        <f t="shared" si="67"/>
        <v>183791.63255161227</v>
      </c>
      <c r="I135" s="399">
        <f t="shared" si="68"/>
        <v>183791.63255161227</v>
      </c>
      <c r="J135" s="54">
        <f t="shared" si="69"/>
        <v>0</v>
      </c>
      <c r="K135" s="54"/>
      <c r="L135" s="129"/>
      <c r="M135" s="54">
        <f t="shared" si="70"/>
        <v>0</v>
      </c>
      <c r="N135" s="129"/>
      <c r="O135" s="54">
        <f t="shared" si="71"/>
        <v>0</v>
      </c>
      <c r="P135" s="54">
        <f t="shared" si="72"/>
        <v>0</v>
      </c>
      <c r="Q135" s="1"/>
    </row>
    <row r="136" spans="2:17" ht="12.5">
      <c r="B136" s="7" t="str">
        <f t="shared" si="73"/>
        <v/>
      </c>
      <c r="C136" s="50">
        <f>IF(D93="","-",+C135+1)</f>
        <v>2049</v>
      </c>
      <c r="D136" s="12">
        <f>IF(F135+SUM(E$99:E135)=D$92,F135,D$92-SUM(E$99:E135))</f>
        <v>666482.99096814392</v>
      </c>
      <c r="E136" s="378">
        <f>IF(+J96&lt;F135,J96,D136)</f>
        <v>94888.863636363632</v>
      </c>
      <c r="F136" s="55">
        <f t="shared" si="74"/>
        <v>571594.12733178027</v>
      </c>
      <c r="G136" s="55">
        <f t="shared" si="66"/>
        <v>619038.55914996215</v>
      </c>
      <c r="H136" s="380">
        <f t="shared" si="67"/>
        <v>171975.46966551596</v>
      </c>
      <c r="I136" s="399">
        <f t="shared" si="68"/>
        <v>171975.46966551596</v>
      </c>
      <c r="J136" s="54">
        <f t="shared" si="69"/>
        <v>0</v>
      </c>
      <c r="K136" s="54"/>
      <c r="L136" s="129"/>
      <c r="M136" s="54">
        <f t="shared" si="70"/>
        <v>0</v>
      </c>
      <c r="N136" s="129"/>
      <c r="O136" s="54">
        <f t="shared" si="71"/>
        <v>0</v>
      </c>
      <c r="P136" s="54">
        <f t="shared" si="72"/>
        <v>0</v>
      </c>
      <c r="Q136" s="1"/>
    </row>
    <row r="137" spans="2:17" ht="12.5">
      <c r="B137" s="7" t="str">
        <f t="shared" si="73"/>
        <v/>
      </c>
      <c r="C137" s="50">
        <f>IF(D93="","-",+C136+1)</f>
        <v>2050</v>
      </c>
      <c r="D137" s="12">
        <f>IF(F136+SUM(E$99:E136)=D$92,F136,D$92-SUM(E$99:E136))</f>
        <v>571594.12733178027</v>
      </c>
      <c r="E137" s="378">
        <f>IF(+J96&lt;F136,J96,D137)</f>
        <v>94888.863636363632</v>
      </c>
      <c r="F137" s="55">
        <f t="shared" si="74"/>
        <v>476705.26369541662</v>
      </c>
      <c r="G137" s="55">
        <f t="shared" si="66"/>
        <v>524149.69551359845</v>
      </c>
      <c r="H137" s="380">
        <f t="shared" si="67"/>
        <v>160159.30677941965</v>
      </c>
      <c r="I137" s="399">
        <f t="shared" si="68"/>
        <v>160159.30677941965</v>
      </c>
      <c r="J137" s="54">
        <f t="shared" si="69"/>
        <v>0</v>
      </c>
      <c r="K137" s="54"/>
      <c r="L137" s="129"/>
      <c r="M137" s="54">
        <f t="shared" si="70"/>
        <v>0</v>
      </c>
      <c r="N137" s="129"/>
      <c r="O137" s="54">
        <f t="shared" si="71"/>
        <v>0</v>
      </c>
      <c r="P137" s="54">
        <f t="shared" si="72"/>
        <v>0</v>
      </c>
      <c r="Q137" s="1"/>
    </row>
    <row r="138" spans="2:17" ht="12.5">
      <c r="B138" s="7" t="str">
        <f t="shared" si="73"/>
        <v/>
      </c>
      <c r="C138" s="50">
        <f>IF(D93="","-",+C137+1)</f>
        <v>2051</v>
      </c>
      <c r="D138" s="12">
        <f>IF(F137+SUM(E$99:E137)=D$92,F137,D$92-SUM(E$99:E137))</f>
        <v>476705.26369541662</v>
      </c>
      <c r="E138" s="378">
        <f>IF(+J96&lt;F137,J96,D138)</f>
        <v>94888.863636363632</v>
      </c>
      <c r="F138" s="55">
        <f t="shared" si="74"/>
        <v>381816.40005905298</v>
      </c>
      <c r="G138" s="55">
        <f t="shared" si="66"/>
        <v>429260.8318772348</v>
      </c>
      <c r="H138" s="380">
        <f t="shared" si="67"/>
        <v>148343.14389332331</v>
      </c>
      <c r="I138" s="399">
        <f t="shared" si="68"/>
        <v>148343.14389332331</v>
      </c>
      <c r="J138" s="54">
        <f t="shared" si="69"/>
        <v>0</v>
      </c>
      <c r="K138" s="54"/>
      <c r="L138" s="129"/>
      <c r="M138" s="54">
        <f t="shared" si="70"/>
        <v>0</v>
      </c>
      <c r="N138" s="129"/>
      <c r="O138" s="54">
        <f t="shared" si="71"/>
        <v>0</v>
      </c>
      <c r="P138" s="54">
        <f t="shared" si="72"/>
        <v>0</v>
      </c>
      <c r="Q138" s="1"/>
    </row>
    <row r="139" spans="2:17" ht="12.5">
      <c r="B139" s="7" t="str">
        <f t="shared" si="73"/>
        <v/>
      </c>
      <c r="C139" s="50">
        <f>IF(D93="","-",+C138+1)</f>
        <v>2052</v>
      </c>
      <c r="D139" s="12">
        <f>IF(F138+SUM(E$99:E138)=D$92,F138,D$92-SUM(E$99:E138))</f>
        <v>381816.40005905298</v>
      </c>
      <c r="E139" s="378">
        <f>IF(+J96&lt;F138,J96,D139)</f>
        <v>94888.863636363632</v>
      </c>
      <c r="F139" s="55">
        <f t="shared" si="74"/>
        <v>286927.53642268933</v>
      </c>
      <c r="G139" s="55">
        <f t="shared" si="66"/>
        <v>334371.96824087115</v>
      </c>
      <c r="H139" s="380">
        <f t="shared" si="67"/>
        <v>136526.981007227</v>
      </c>
      <c r="I139" s="399">
        <f t="shared" si="68"/>
        <v>136526.981007227</v>
      </c>
      <c r="J139" s="54">
        <f t="shared" si="69"/>
        <v>0</v>
      </c>
      <c r="K139" s="54"/>
      <c r="L139" s="129"/>
      <c r="M139" s="54">
        <f t="shared" si="70"/>
        <v>0</v>
      </c>
      <c r="N139" s="129"/>
      <c r="O139" s="54">
        <f t="shared" si="71"/>
        <v>0</v>
      </c>
      <c r="P139" s="54">
        <f t="shared" si="72"/>
        <v>0</v>
      </c>
      <c r="Q139" s="1"/>
    </row>
    <row r="140" spans="2:17" ht="12.5">
      <c r="B140" s="7" t="str">
        <f t="shared" si="73"/>
        <v/>
      </c>
      <c r="C140" s="50">
        <f>IF(D93="","-",+C139+1)</f>
        <v>2053</v>
      </c>
      <c r="D140" s="12">
        <f>IF(F139+SUM(E$99:E139)=D$92,F139,D$92-SUM(E$99:E139))</f>
        <v>286927.53642268933</v>
      </c>
      <c r="E140" s="378">
        <f>IF(+J96&lt;F139,J96,D140)</f>
        <v>94888.863636363632</v>
      </c>
      <c r="F140" s="55">
        <f t="shared" si="74"/>
        <v>192038.67278632568</v>
      </c>
      <c r="G140" s="55">
        <f t="shared" si="66"/>
        <v>239483.10460450751</v>
      </c>
      <c r="H140" s="380">
        <f t="shared" si="67"/>
        <v>124710.81812113068</v>
      </c>
      <c r="I140" s="399">
        <f t="shared" si="68"/>
        <v>124710.81812113068</v>
      </c>
      <c r="J140" s="54">
        <f t="shared" si="69"/>
        <v>0</v>
      </c>
      <c r="K140" s="54"/>
      <c r="L140" s="129"/>
      <c r="M140" s="54">
        <f t="shared" si="70"/>
        <v>0</v>
      </c>
      <c r="N140" s="129"/>
      <c r="O140" s="54">
        <f t="shared" si="71"/>
        <v>0</v>
      </c>
      <c r="P140" s="54">
        <f t="shared" si="72"/>
        <v>0</v>
      </c>
      <c r="Q140" s="1"/>
    </row>
    <row r="141" spans="2:17" ht="12.5">
      <c r="B141" s="7" t="str">
        <f t="shared" si="73"/>
        <v/>
      </c>
      <c r="C141" s="50">
        <f>IF(D93="","-",+C140+1)</f>
        <v>2054</v>
      </c>
      <c r="D141" s="12">
        <f>IF(F140+SUM(E$99:E140)=D$92,F140,D$92-SUM(E$99:E140))</f>
        <v>192038.67278632568</v>
      </c>
      <c r="E141" s="378">
        <f>IF(+J96&lt;F140,J96,D141)</f>
        <v>94888.863636363632</v>
      </c>
      <c r="F141" s="55">
        <f t="shared" si="74"/>
        <v>97149.80914996205</v>
      </c>
      <c r="G141" s="55">
        <f t="shared" si="66"/>
        <v>144594.24096814386</v>
      </c>
      <c r="H141" s="380">
        <f t="shared" si="67"/>
        <v>112894.65523503436</v>
      </c>
      <c r="I141" s="399">
        <f t="shared" si="68"/>
        <v>112894.65523503436</v>
      </c>
      <c r="J141" s="54">
        <f t="shared" si="69"/>
        <v>0</v>
      </c>
      <c r="K141" s="54"/>
      <c r="L141" s="129"/>
      <c r="M141" s="54">
        <f t="shared" si="70"/>
        <v>0</v>
      </c>
      <c r="N141" s="129"/>
      <c r="O141" s="54">
        <f t="shared" si="71"/>
        <v>0</v>
      </c>
      <c r="P141" s="54">
        <f t="shared" si="72"/>
        <v>0</v>
      </c>
      <c r="Q141" s="1"/>
    </row>
    <row r="142" spans="2:17" ht="12.5">
      <c r="B142" s="7" t="str">
        <f t="shared" si="73"/>
        <v/>
      </c>
      <c r="C142" s="50">
        <f>IF(D93="","-",+C141+1)</f>
        <v>2055</v>
      </c>
      <c r="D142" s="12">
        <f>IF(F141+SUM(E$99:E141)=D$92,F141,D$92-SUM(E$99:E141))</f>
        <v>97149.80914996205</v>
      </c>
      <c r="E142" s="378">
        <f>IF(+J96&lt;F141,J96,D142)</f>
        <v>94888.863636363632</v>
      </c>
      <c r="F142" s="55">
        <f t="shared" si="74"/>
        <v>2260.9455135984172</v>
      </c>
      <c r="G142" s="55">
        <f t="shared" si="66"/>
        <v>49705.377331780233</v>
      </c>
      <c r="H142" s="380">
        <f t="shared" si="67"/>
        <v>101078.49234893805</v>
      </c>
      <c r="I142" s="399">
        <f t="shared" si="68"/>
        <v>101078.49234893805</v>
      </c>
      <c r="J142" s="54">
        <f t="shared" si="69"/>
        <v>0</v>
      </c>
      <c r="K142" s="54"/>
      <c r="L142" s="129"/>
      <c r="M142" s="54">
        <f t="shared" si="70"/>
        <v>0</v>
      </c>
      <c r="N142" s="129"/>
      <c r="O142" s="54">
        <f t="shared" si="71"/>
        <v>0</v>
      </c>
      <c r="P142" s="54">
        <f t="shared" si="72"/>
        <v>0</v>
      </c>
      <c r="Q142" s="1"/>
    </row>
    <row r="143" spans="2:17" ht="12.5">
      <c r="B143" s="7" t="str">
        <f t="shared" si="73"/>
        <v/>
      </c>
      <c r="C143" s="50">
        <f>IF(D93="","-",+C142+1)</f>
        <v>2056</v>
      </c>
      <c r="D143" s="12">
        <f>IF(F142+SUM(E$99:E142)=D$92,F142,D$92-SUM(E$99:E142))</f>
        <v>2260.9455135984172</v>
      </c>
      <c r="E143" s="378">
        <f>IF(+J96&lt;F142,J96,D143)</f>
        <v>2260.9455135984172</v>
      </c>
      <c r="F143" s="55">
        <f t="shared" si="74"/>
        <v>0</v>
      </c>
      <c r="G143" s="55">
        <f t="shared" si="66"/>
        <v>1130.4727567992086</v>
      </c>
      <c r="H143" s="380">
        <f t="shared" si="67"/>
        <v>2401.7191483615461</v>
      </c>
      <c r="I143" s="399">
        <f t="shared" si="68"/>
        <v>2401.7191483615461</v>
      </c>
      <c r="J143" s="54">
        <f t="shared" si="69"/>
        <v>0</v>
      </c>
      <c r="K143" s="54"/>
      <c r="L143" s="129"/>
      <c r="M143" s="54">
        <f t="shared" si="70"/>
        <v>0</v>
      </c>
      <c r="N143" s="129"/>
      <c r="O143" s="54">
        <f t="shared" si="71"/>
        <v>0</v>
      </c>
      <c r="P143" s="54">
        <f t="shared" si="72"/>
        <v>0</v>
      </c>
      <c r="Q143" s="1"/>
    </row>
    <row r="144" spans="2:17" ht="12.5">
      <c r="B144" s="7" t="str">
        <f t="shared" si="73"/>
        <v/>
      </c>
      <c r="C144" s="50">
        <f>IF(D93="","-",+C143+1)</f>
        <v>2057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74"/>
        <v>0</v>
      </c>
      <c r="G144" s="55">
        <f t="shared" si="66"/>
        <v>0</v>
      </c>
      <c r="H144" s="380">
        <f t="shared" si="67"/>
        <v>0</v>
      </c>
      <c r="I144" s="399">
        <f t="shared" si="68"/>
        <v>0</v>
      </c>
      <c r="J144" s="54">
        <f t="shared" si="69"/>
        <v>0</v>
      </c>
      <c r="K144" s="54"/>
      <c r="L144" s="129"/>
      <c r="M144" s="54">
        <f t="shared" si="70"/>
        <v>0</v>
      </c>
      <c r="N144" s="129"/>
      <c r="O144" s="54">
        <f t="shared" si="71"/>
        <v>0</v>
      </c>
      <c r="P144" s="54">
        <f t="shared" si="72"/>
        <v>0</v>
      </c>
      <c r="Q144" s="1"/>
    </row>
    <row r="145" spans="2:17" ht="12.5">
      <c r="B145" s="7" t="str">
        <f t="shared" si="73"/>
        <v/>
      </c>
      <c r="C145" s="50">
        <f>IF(D93="","-",+C144+1)</f>
        <v>2058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74"/>
        <v>0</v>
      </c>
      <c r="G145" s="55">
        <f t="shared" si="66"/>
        <v>0</v>
      </c>
      <c r="H145" s="380">
        <f t="shared" si="67"/>
        <v>0</v>
      </c>
      <c r="I145" s="399">
        <f t="shared" si="68"/>
        <v>0</v>
      </c>
      <c r="J145" s="54">
        <f t="shared" si="69"/>
        <v>0</v>
      </c>
      <c r="K145" s="54"/>
      <c r="L145" s="129"/>
      <c r="M145" s="54">
        <f t="shared" si="70"/>
        <v>0</v>
      </c>
      <c r="N145" s="129"/>
      <c r="O145" s="54">
        <f t="shared" si="71"/>
        <v>0</v>
      </c>
      <c r="P145" s="54">
        <f t="shared" si="72"/>
        <v>0</v>
      </c>
      <c r="Q145" s="1"/>
    </row>
    <row r="146" spans="2:17" ht="12.5">
      <c r="B146" s="7" t="str">
        <f t="shared" si="73"/>
        <v/>
      </c>
      <c r="C146" s="50">
        <f>IF(D93="","-",+C145+1)</f>
        <v>2059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74"/>
        <v>0</v>
      </c>
      <c r="G146" s="55">
        <f t="shared" si="66"/>
        <v>0</v>
      </c>
      <c r="H146" s="380">
        <f t="shared" si="67"/>
        <v>0</v>
      </c>
      <c r="I146" s="399">
        <f t="shared" si="68"/>
        <v>0</v>
      </c>
      <c r="J146" s="54">
        <f t="shared" si="69"/>
        <v>0</v>
      </c>
      <c r="K146" s="54"/>
      <c r="L146" s="129"/>
      <c r="M146" s="54">
        <f t="shared" si="70"/>
        <v>0</v>
      </c>
      <c r="N146" s="129"/>
      <c r="O146" s="54">
        <f t="shared" si="71"/>
        <v>0</v>
      </c>
      <c r="P146" s="54">
        <f t="shared" si="72"/>
        <v>0</v>
      </c>
      <c r="Q146" s="1"/>
    </row>
    <row r="147" spans="2:17" ht="12.5">
      <c r="B147" s="7" t="str">
        <f t="shared" si="73"/>
        <v/>
      </c>
      <c r="C147" s="50">
        <f>IF(D93="","-",+C146+1)</f>
        <v>2060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74"/>
        <v>0</v>
      </c>
      <c r="G147" s="55">
        <f t="shared" si="66"/>
        <v>0</v>
      </c>
      <c r="H147" s="380">
        <f t="shared" si="67"/>
        <v>0</v>
      </c>
      <c r="I147" s="399">
        <f t="shared" si="68"/>
        <v>0</v>
      </c>
      <c r="J147" s="54">
        <f t="shared" si="69"/>
        <v>0</v>
      </c>
      <c r="K147" s="54"/>
      <c r="L147" s="129"/>
      <c r="M147" s="54">
        <f t="shared" si="70"/>
        <v>0</v>
      </c>
      <c r="N147" s="129"/>
      <c r="O147" s="54">
        <f t="shared" si="71"/>
        <v>0</v>
      </c>
      <c r="P147" s="54">
        <f t="shared" si="72"/>
        <v>0</v>
      </c>
      <c r="Q147" s="1"/>
    </row>
    <row r="148" spans="2:17" ht="12.5">
      <c r="B148" s="7" t="str">
        <f t="shared" si="73"/>
        <v/>
      </c>
      <c r="C148" s="50">
        <f>IF(D93="","-",+C147+1)</f>
        <v>2061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74"/>
        <v>0</v>
      </c>
      <c r="G148" s="55">
        <f t="shared" si="66"/>
        <v>0</v>
      </c>
      <c r="H148" s="380">
        <f t="shared" si="67"/>
        <v>0</v>
      </c>
      <c r="I148" s="399">
        <f t="shared" si="68"/>
        <v>0</v>
      </c>
      <c r="J148" s="54">
        <f t="shared" si="69"/>
        <v>0</v>
      </c>
      <c r="K148" s="54"/>
      <c r="L148" s="129"/>
      <c r="M148" s="54">
        <f t="shared" si="70"/>
        <v>0</v>
      </c>
      <c r="N148" s="129"/>
      <c r="O148" s="54">
        <f t="shared" si="71"/>
        <v>0</v>
      </c>
      <c r="P148" s="54">
        <f t="shared" si="72"/>
        <v>0</v>
      </c>
      <c r="Q148" s="1"/>
    </row>
    <row r="149" spans="2:17" ht="12.5">
      <c r="B149" s="7" t="str">
        <f t="shared" si="73"/>
        <v/>
      </c>
      <c r="C149" s="50">
        <f>IF(D93="","-",+C148+1)</f>
        <v>2062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74"/>
        <v>0</v>
      </c>
      <c r="G149" s="55">
        <f t="shared" si="66"/>
        <v>0</v>
      </c>
      <c r="H149" s="380">
        <f t="shared" si="67"/>
        <v>0</v>
      </c>
      <c r="I149" s="399">
        <f t="shared" si="68"/>
        <v>0</v>
      </c>
      <c r="J149" s="54">
        <f t="shared" si="69"/>
        <v>0</v>
      </c>
      <c r="K149" s="54"/>
      <c r="L149" s="129"/>
      <c r="M149" s="54">
        <f t="shared" si="70"/>
        <v>0</v>
      </c>
      <c r="N149" s="129"/>
      <c r="O149" s="54">
        <f t="shared" si="71"/>
        <v>0</v>
      </c>
      <c r="P149" s="54">
        <f t="shared" si="72"/>
        <v>0</v>
      </c>
      <c r="Q149" s="1"/>
    </row>
    <row r="150" spans="2:17" ht="12.5">
      <c r="B150" s="7" t="str">
        <f t="shared" si="73"/>
        <v/>
      </c>
      <c r="C150" s="50">
        <f>IF(D93="","-",+C149+1)</f>
        <v>2063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74"/>
        <v>0</v>
      </c>
      <c r="G150" s="55">
        <f t="shared" si="66"/>
        <v>0</v>
      </c>
      <c r="H150" s="380">
        <f t="shared" si="67"/>
        <v>0</v>
      </c>
      <c r="I150" s="399">
        <f t="shared" si="68"/>
        <v>0</v>
      </c>
      <c r="J150" s="54">
        <f t="shared" si="69"/>
        <v>0</v>
      </c>
      <c r="K150" s="54"/>
      <c r="L150" s="129"/>
      <c r="M150" s="54">
        <f t="shared" si="70"/>
        <v>0</v>
      </c>
      <c r="N150" s="129"/>
      <c r="O150" s="54">
        <f t="shared" si="71"/>
        <v>0</v>
      </c>
      <c r="P150" s="54">
        <f t="shared" si="72"/>
        <v>0</v>
      </c>
      <c r="Q150" s="1"/>
    </row>
    <row r="151" spans="2:17" ht="12.5">
      <c r="B151" s="7" t="str">
        <f t="shared" si="73"/>
        <v/>
      </c>
      <c r="C151" s="50">
        <f>IF(D93="","-",+C150+1)</f>
        <v>2064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74"/>
        <v>0</v>
      </c>
      <c r="G151" s="55">
        <f t="shared" si="66"/>
        <v>0</v>
      </c>
      <c r="H151" s="380">
        <f t="shared" si="67"/>
        <v>0</v>
      </c>
      <c r="I151" s="399">
        <f t="shared" si="68"/>
        <v>0</v>
      </c>
      <c r="J151" s="54">
        <f t="shared" si="69"/>
        <v>0</v>
      </c>
      <c r="K151" s="54"/>
      <c r="L151" s="129"/>
      <c r="M151" s="54">
        <f t="shared" si="70"/>
        <v>0</v>
      </c>
      <c r="N151" s="129"/>
      <c r="O151" s="54">
        <f t="shared" si="71"/>
        <v>0</v>
      </c>
      <c r="P151" s="54">
        <f t="shared" si="72"/>
        <v>0</v>
      </c>
      <c r="Q151" s="1"/>
    </row>
    <row r="152" spans="2:17" ht="12.5">
      <c r="B152" s="7" t="str">
        <f t="shared" si="73"/>
        <v/>
      </c>
      <c r="C152" s="50">
        <f>IF(D93="","-",+C151+1)</f>
        <v>2065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74"/>
        <v>0</v>
      </c>
      <c r="G152" s="55">
        <f t="shared" si="66"/>
        <v>0</v>
      </c>
      <c r="H152" s="380">
        <f t="shared" si="67"/>
        <v>0</v>
      </c>
      <c r="I152" s="399">
        <f t="shared" si="68"/>
        <v>0</v>
      </c>
      <c r="J152" s="54">
        <f t="shared" si="69"/>
        <v>0</v>
      </c>
      <c r="K152" s="54"/>
      <c r="L152" s="129"/>
      <c r="M152" s="54">
        <f t="shared" si="70"/>
        <v>0</v>
      </c>
      <c r="N152" s="129"/>
      <c r="O152" s="54">
        <f t="shared" si="71"/>
        <v>0</v>
      </c>
      <c r="P152" s="54">
        <f t="shared" si="72"/>
        <v>0</v>
      </c>
      <c r="Q152" s="1"/>
    </row>
    <row r="153" spans="2:17" ht="12.5">
      <c r="B153" s="7" t="str">
        <f t="shared" si="73"/>
        <v/>
      </c>
      <c r="C153" s="50">
        <f>IF(D93="","-",+C152+1)</f>
        <v>2066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74"/>
        <v>0</v>
      </c>
      <c r="G153" s="55">
        <f t="shared" si="66"/>
        <v>0</v>
      </c>
      <c r="H153" s="380">
        <f t="shared" si="67"/>
        <v>0</v>
      </c>
      <c r="I153" s="399">
        <f t="shared" si="68"/>
        <v>0</v>
      </c>
      <c r="J153" s="54">
        <f t="shared" si="69"/>
        <v>0</v>
      </c>
      <c r="K153" s="54"/>
      <c r="L153" s="129"/>
      <c r="M153" s="54">
        <f t="shared" si="70"/>
        <v>0</v>
      </c>
      <c r="N153" s="129"/>
      <c r="O153" s="54">
        <f t="shared" si="71"/>
        <v>0</v>
      </c>
      <c r="P153" s="54">
        <f t="shared" si="72"/>
        <v>0</v>
      </c>
      <c r="Q153" s="1"/>
    </row>
    <row r="154" spans="2:17" ht="13" thickBot="1">
      <c r="B154" s="7" t="str">
        <f t="shared" si="73"/>
        <v/>
      </c>
      <c r="C154" s="59">
        <f>IF(D93="","-",+C153+1)</f>
        <v>2067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74"/>
        <v>0</v>
      </c>
      <c r="G154" s="60">
        <f t="shared" si="66"/>
        <v>0</v>
      </c>
      <c r="H154" s="382">
        <f t="shared" si="67"/>
        <v>0</v>
      </c>
      <c r="I154" s="400">
        <f t="shared" si="68"/>
        <v>0</v>
      </c>
      <c r="J154" s="64">
        <f t="shared" si="69"/>
        <v>0</v>
      </c>
      <c r="K154" s="54"/>
      <c r="L154" s="130"/>
      <c r="M154" s="64">
        <f t="shared" si="70"/>
        <v>0</v>
      </c>
      <c r="N154" s="130"/>
      <c r="O154" s="64">
        <f t="shared" si="71"/>
        <v>0</v>
      </c>
      <c r="P154" s="64">
        <f t="shared" si="72"/>
        <v>0</v>
      </c>
      <c r="Q154" s="1"/>
    </row>
    <row r="155" spans="2:17" ht="12.5">
      <c r="C155" s="12" t="s">
        <v>78</v>
      </c>
      <c r="D155" s="293"/>
      <c r="E155" s="293">
        <f>SUM(E99:E154)</f>
        <v>4175110.0000000005</v>
      </c>
      <c r="F155" s="293"/>
      <c r="G155" s="293"/>
      <c r="H155" s="293">
        <f>SUM(H99:H154)</f>
        <v>15309432.427949935</v>
      </c>
      <c r="I155" s="293">
        <f>SUM(I99:I154)</f>
        <v>15309432.427949935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 ht="12.5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 ht="12.5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93" priority="1" stopIfTrue="1" operator="equal">
      <formula>$I$10</formula>
    </cfRule>
  </conditionalFormatting>
  <conditionalFormatting sqref="C99:C154">
    <cfRule type="cellIs" dxfId="9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84"/>
  <dimension ref="A1:Q162"/>
  <sheetViews>
    <sheetView topLeftCell="A87" zoomScaleNormal="100" zoomScaleSheetLayoutView="75" workbookViewId="0">
      <selection activeCell="E98" sqref="E98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33 of 77</v>
      </c>
      <c r="Q1" s="13"/>
    </row>
    <row r="2" spans="1:17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6636700.468595529</v>
      </c>
      <c r="P5" s="1"/>
    </row>
    <row r="6" spans="1:17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6636700.468595529</v>
      </c>
      <c r="O6" s="1"/>
      <c r="P6" s="1"/>
    </row>
    <row r="7" spans="1:17" ht="13.5" thickBot="1">
      <c r="C7" s="25" t="s">
        <v>48</v>
      </c>
      <c r="D7" s="127" t="s">
        <v>289</v>
      </c>
      <c r="E7" s="1"/>
      <c r="F7" s="1"/>
      <c r="G7" s="29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104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424" t="s">
        <v>288</v>
      </c>
      <c r="E9" s="31" t="s">
        <v>494</v>
      </c>
      <c r="F9" s="462">
        <v>450</v>
      </c>
      <c r="G9" s="31"/>
      <c r="H9" s="31"/>
      <c r="I9" s="32"/>
      <c r="J9" s="33"/>
      <c r="P9" s="1"/>
    </row>
    <row r="10" spans="1:17" ht="13">
      <c r="C10" s="34" t="s">
        <v>51</v>
      </c>
      <c r="D10" s="363">
        <v>59305788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7" ht="12.5">
      <c r="C11" s="34" t="s">
        <v>54</v>
      </c>
      <c r="D11" s="37">
        <v>2012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3">
        <v>4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1347858.8181818181</v>
      </c>
      <c r="J14" s="293"/>
      <c r="K14" s="293"/>
      <c r="L14" s="293"/>
      <c r="M14" s="293"/>
      <c r="N14" s="293"/>
      <c r="O14" s="1"/>
      <c r="P14" s="1"/>
    </row>
    <row r="15" spans="1:17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2012</v>
      </c>
      <c r="D17" s="133">
        <v>1609000</v>
      </c>
      <c r="E17" s="374">
        <v>19154.761904761905</v>
      </c>
      <c r="F17" s="133">
        <v>1589845.2380952381</v>
      </c>
      <c r="G17" s="374">
        <v>255596.76839974581</v>
      </c>
      <c r="H17" s="375">
        <v>255596.76839974581</v>
      </c>
      <c r="I17" s="423">
        <v>0</v>
      </c>
      <c r="J17" s="52"/>
      <c r="K17" s="112">
        <f t="shared" ref="K17:K22" si="0">G17</f>
        <v>255596.76839974581</v>
      </c>
      <c r="L17" s="53">
        <f t="shared" ref="L17:L48" si="1">IF(K17&lt;&gt;0,+G17-K17,0)</f>
        <v>0</v>
      </c>
      <c r="M17" s="112">
        <f t="shared" ref="M17:M22" si="2">H17</f>
        <v>255596.76839974581</v>
      </c>
      <c r="N17" s="53">
        <f t="shared" ref="N17:N48" si="3">IF(M17&lt;&gt;0,+H17-M17,0)</f>
        <v>0</v>
      </c>
      <c r="O17" s="54">
        <f t="shared" ref="O17:O48" si="4">+N17-L17</f>
        <v>0</v>
      </c>
      <c r="P17" s="1"/>
    </row>
    <row r="18" spans="2:16" ht="12.5">
      <c r="B18" s="7" t="str">
        <f t="shared" ref="B18:B49" si="5">IF(D18=F17,"","IU")</f>
        <v>IU</v>
      </c>
      <c r="C18" s="50">
        <f>IF(D11="","-",+C17+1)</f>
        <v>2013</v>
      </c>
      <c r="D18" s="133">
        <v>12452702.238095239</v>
      </c>
      <c r="E18" s="376">
        <v>296948.97619047621</v>
      </c>
      <c r="F18" s="133">
        <v>12155753.261904763</v>
      </c>
      <c r="G18" s="376">
        <v>1998597.4057579383</v>
      </c>
      <c r="H18" s="375">
        <v>1998597.4057579383</v>
      </c>
      <c r="I18" s="423">
        <v>0</v>
      </c>
      <c r="J18" s="52"/>
      <c r="K18" s="113">
        <f t="shared" si="0"/>
        <v>1998597.4057579383</v>
      </c>
      <c r="L18" s="54">
        <f t="shared" ref="L18:L23" si="6">IF(K18&lt;&gt;0,+G18-K18,0)</f>
        <v>0</v>
      </c>
      <c r="M18" s="113">
        <f t="shared" si="2"/>
        <v>1998597.4057579383</v>
      </c>
      <c r="N18" s="54">
        <f t="shared" ref="N18:N23" si="7">IF(M18&lt;&gt;0,+H18-M18,0)</f>
        <v>0</v>
      </c>
      <c r="O18" s="54">
        <f t="shared" ref="O18:O23" si="8">+N18-L18</f>
        <v>0</v>
      </c>
      <c r="P18" s="1"/>
    </row>
    <row r="19" spans="2:16" ht="12.5">
      <c r="B19" s="7" t="str">
        <f t="shared" si="5"/>
        <v>IU</v>
      </c>
      <c r="C19" s="50">
        <f>IF(D11="","-",+C18+1)</f>
        <v>2014</v>
      </c>
      <c r="D19" s="133">
        <v>55180030.261904761</v>
      </c>
      <c r="E19" s="376">
        <v>1321336.5238095238</v>
      </c>
      <c r="F19" s="133">
        <v>53858693.738095239</v>
      </c>
      <c r="G19" s="376">
        <v>8587440.2696967553</v>
      </c>
      <c r="H19" s="375">
        <v>8587440.2696967553</v>
      </c>
      <c r="I19" s="423">
        <v>0</v>
      </c>
      <c r="J19" s="52"/>
      <c r="K19" s="113">
        <f t="shared" si="0"/>
        <v>8587440.2696967553</v>
      </c>
      <c r="L19" s="54">
        <f t="shared" si="6"/>
        <v>0</v>
      </c>
      <c r="M19" s="113">
        <f t="shared" si="2"/>
        <v>8587440.2696967553</v>
      </c>
      <c r="N19" s="54">
        <f t="shared" si="7"/>
        <v>0</v>
      </c>
      <c r="O19" s="54">
        <f t="shared" si="8"/>
        <v>0</v>
      </c>
      <c r="P19" s="1"/>
    </row>
    <row r="20" spans="2:16" ht="12.5">
      <c r="B20" s="7" t="str">
        <f t="shared" si="5"/>
        <v>IU</v>
      </c>
      <c r="C20" s="50">
        <f>IF(D11="","-",+C19+1)</f>
        <v>2015</v>
      </c>
      <c r="D20" s="133">
        <v>56313962.738095239</v>
      </c>
      <c r="E20" s="376">
        <v>1379795.3095238095</v>
      </c>
      <c r="F20" s="133">
        <v>54934167.428571433</v>
      </c>
      <c r="G20" s="376">
        <v>8614888.8974372521</v>
      </c>
      <c r="H20" s="375">
        <v>8614888.8974372521</v>
      </c>
      <c r="I20" s="52">
        <v>0</v>
      </c>
      <c r="J20" s="52"/>
      <c r="K20" s="113">
        <f t="shared" si="0"/>
        <v>8614888.8974372521</v>
      </c>
      <c r="L20" s="54">
        <f t="shared" si="6"/>
        <v>0</v>
      </c>
      <c r="M20" s="113">
        <f t="shared" si="2"/>
        <v>8614888.8974372521</v>
      </c>
      <c r="N20" s="54">
        <f t="shared" si="7"/>
        <v>0</v>
      </c>
      <c r="O20" s="54">
        <f t="shared" si="8"/>
        <v>0</v>
      </c>
      <c r="P20" s="1"/>
    </row>
    <row r="21" spans="2:16" ht="12.5">
      <c r="B21" s="7" t="str">
        <f t="shared" si="5"/>
        <v>IU</v>
      </c>
      <c r="C21" s="50">
        <f>IF(D12="","-",+C20+1)</f>
        <v>2016</v>
      </c>
      <c r="D21" s="133">
        <v>56278364.618571423</v>
      </c>
      <c r="E21" s="376">
        <v>1411800.0045238095</v>
      </c>
      <c r="F21" s="133">
        <v>54866564.614047617</v>
      </c>
      <c r="G21" s="376">
        <v>8548841.3588929959</v>
      </c>
      <c r="H21" s="375">
        <v>8548841.3588929959</v>
      </c>
      <c r="I21" s="52">
        <f t="shared" ref="I21:I48" si="9">H21-G21</f>
        <v>0</v>
      </c>
      <c r="J21" s="52"/>
      <c r="K21" s="113">
        <f t="shared" si="0"/>
        <v>8548841.3588929959</v>
      </c>
      <c r="L21" s="54">
        <f t="shared" si="6"/>
        <v>0</v>
      </c>
      <c r="M21" s="113">
        <f t="shared" si="2"/>
        <v>8548841.3588929959</v>
      </c>
      <c r="N21" s="54">
        <f t="shared" si="7"/>
        <v>0</v>
      </c>
      <c r="O21" s="54">
        <f t="shared" si="8"/>
        <v>0</v>
      </c>
      <c r="P21" s="1"/>
    </row>
    <row r="22" spans="2:16" ht="12.5">
      <c r="B22" s="7" t="str">
        <f t="shared" si="5"/>
        <v>IU</v>
      </c>
      <c r="C22" s="50">
        <f>IF(D11="","-",+C21+1)</f>
        <v>2017</v>
      </c>
      <c r="D22" s="133">
        <v>54876752.424047619</v>
      </c>
      <c r="E22" s="376">
        <v>1379204.3720930233</v>
      </c>
      <c r="F22" s="133">
        <v>53497548.051954597</v>
      </c>
      <c r="G22" s="376">
        <v>8092587.7045322992</v>
      </c>
      <c r="H22" s="375">
        <v>8092587.7045322992</v>
      </c>
      <c r="I22" s="52">
        <f t="shared" si="9"/>
        <v>0</v>
      </c>
      <c r="J22" s="52"/>
      <c r="K22" s="113">
        <f t="shared" si="0"/>
        <v>8092587.7045322992</v>
      </c>
      <c r="L22" s="54">
        <f t="shared" si="6"/>
        <v>0</v>
      </c>
      <c r="M22" s="113">
        <f t="shared" si="2"/>
        <v>8092587.7045322992</v>
      </c>
      <c r="N22" s="54">
        <f t="shared" si="7"/>
        <v>0</v>
      </c>
      <c r="O22" s="54">
        <f t="shared" si="8"/>
        <v>0</v>
      </c>
      <c r="P22" s="1"/>
    </row>
    <row r="23" spans="2:16" ht="12.5">
      <c r="B23" s="7" t="str">
        <f t="shared" si="5"/>
        <v/>
      </c>
      <c r="C23" s="50">
        <f>IF(D11="","-",+C22+1)</f>
        <v>2018</v>
      </c>
      <c r="D23" s="133">
        <v>53497548.051954597</v>
      </c>
      <c r="E23" s="376">
        <v>1446482.6341463414</v>
      </c>
      <c r="F23" s="133">
        <v>52051065.417808257</v>
      </c>
      <c r="G23" s="376">
        <v>8153785.5951796668</v>
      </c>
      <c r="H23" s="375">
        <v>8153785.5951796668</v>
      </c>
      <c r="I23" s="52">
        <f t="shared" si="9"/>
        <v>0</v>
      </c>
      <c r="J23" s="52"/>
      <c r="K23" s="113">
        <f t="shared" ref="K23:K28" si="10">G23</f>
        <v>8153785.5951796668</v>
      </c>
      <c r="L23" s="54">
        <f t="shared" si="6"/>
        <v>0</v>
      </c>
      <c r="M23" s="113">
        <f t="shared" ref="M23:M28" si="11">H23</f>
        <v>8153785.5951796668</v>
      </c>
      <c r="N23" s="54">
        <f t="shared" si="7"/>
        <v>0</v>
      </c>
      <c r="O23" s="54">
        <f t="shared" si="8"/>
        <v>0</v>
      </c>
      <c r="P23" s="1"/>
    </row>
    <row r="24" spans="2:16" ht="12.5">
      <c r="B24" s="7" t="str">
        <f t="shared" si="5"/>
        <v/>
      </c>
      <c r="C24" s="50">
        <f>IF(D11="","-",+C23+1)</f>
        <v>2019</v>
      </c>
      <c r="D24" s="133">
        <v>52051065.417808257</v>
      </c>
      <c r="E24" s="376">
        <v>1446482.6341463414</v>
      </c>
      <c r="F24" s="133">
        <v>50604582.783661917</v>
      </c>
      <c r="G24" s="376">
        <v>7969946.1881774617</v>
      </c>
      <c r="H24" s="375">
        <v>7969946.1881774617</v>
      </c>
      <c r="I24" s="52">
        <f t="shared" si="9"/>
        <v>0</v>
      </c>
      <c r="J24" s="52"/>
      <c r="K24" s="113">
        <f t="shared" si="10"/>
        <v>7969946.1881774617</v>
      </c>
      <c r="L24" s="54">
        <f t="shared" ref="L24" si="12">IF(K24&lt;&gt;0,+G24-K24,0)</f>
        <v>0</v>
      </c>
      <c r="M24" s="113">
        <f t="shared" si="11"/>
        <v>7969946.1881774617</v>
      </c>
      <c r="N24" s="54">
        <f t="shared" si="3"/>
        <v>0</v>
      </c>
      <c r="O24" s="54">
        <f t="shared" si="4"/>
        <v>0</v>
      </c>
      <c r="P24" s="1"/>
    </row>
    <row r="25" spans="2:16" ht="12.5">
      <c r="B25" s="7" t="str">
        <f t="shared" si="5"/>
        <v/>
      </c>
      <c r="C25" s="50">
        <f>IF(D11="","-",+C24+1)</f>
        <v>2020</v>
      </c>
      <c r="D25" s="133">
        <v>50604582.783661917</v>
      </c>
      <c r="E25" s="376">
        <v>1446482.6341463414</v>
      </c>
      <c r="F25" s="133">
        <v>49158100.149515577</v>
      </c>
      <c r="G25" s="376">
        <v>6551112.4234461179</v>
      </c>
      <c r="H25" s="375">
        <v>6551112.4234461179</v>
      </c>
      <c r="I25" s="52">
        <f t="shared" si="9"/>
        <v>0</v>
      </c>
      <c r="J25" s="52"/>
      <c r="K25" s="113">
        <f t="shared" si="10"/>
        <v>6551112.4234461179</v>
      </c>
      <c r="L25" s="54">
        <f t="shared" ref="L25" si="13">IF(K25&lt;&gt;0,+G25-K25,0)</f>
        <v>0</v>
      </c>
      <c r="M25" s="113">
        <f t="shared" si="11"/>
        <v>6551112.4234461179</v>
      </c>
      <c r="N25" s="54">
        <f t="shared" si="3"/>
        <v>0</v>
      </c>
      <c r="O25" s="54">
        <f t="shared" si="4"/>
        <v>0</v>
      </c>
      <c r="P25" s="1"/>
    </row>
    <row r="26" spans="2:16" ht="12.5">
      <c r="B26" s="7" t="str">
        <f t="shared" si="5"/>
        <v>IU</v>
      </c>
      <c r="C26" s="50">
        <f>IF(D11="","-",+C25+1)</f>
        <v>2021</v>
      </c>
      <c r="D26" s="133">
        <v>49225378.411568888</v>
      </c>
      <c r="E26" s="376">
        <v>1412042.5714285714</v>
      </c>
      <c r="F26" s="133">
        <v>47813335.840140313</v>
      </c>
      <c r="G26" s="376">
        <v>6555314.9493152928</v>
      </c>
      <c r="H26" s="375">
        <v>6555314.9493152928</v>
      </c>
      <c r="I26" s="52">
        <f t="shared" si="9"/>
        <v>0</v>
      </c>
      <c r="J26" s="52"/>
      <c r="K26" s="113">
        <f t="shared" si="10"/>
        <v>6555314.9493152928</v>
      </c>
      <c r="L26" s="54">
        <f t="shared" ref="L26" si="14">IF(K26&lt;&gt;0,+G26-K26,0)</f>
        <v>0</v>
      </c>
      <c r="M26" s="113">
        <f t="shared" si="11"/>
        <v>6555314.9493152928</v>
      </c>
      <c r="N26" s="54">
        <f t="shared" si="3"/>
        <v>0</v>
      </c>
      <c r="O26" s="54">
        <f t="shared" si="4"/>
        <v>0</v>
      </c>
      <c r="P26" s="1"/>
    </row>
    <row r="27" spans="2:16" ht="12.5">
      <c r="B27" s="7" t="str">
        <f t="shared" si="5"/>
        <v>IU</v>
      </c>
      <c r="C27" s="50">
        <f>IF(D11="","-",+C26+1)</f>
        <v>2022</v>
      </c>
      <c r="D27" s="133">
        <v>47746057.578087002</v>
      </c>
      <c r="E27" s="376">
        <v>1412042.5714285714</v>
      </c>
      <c r="F27" s="133">
        <v>46334015.006658427</v>
      </c>
      <c r="G27" s="376">
        <v>6701416.9696712773</v>
      </c>
      <c r="H27" s="375">
        <v>6701416.9696712773</v>
      </c>
      <c r="I27" s="52">
        <f t="shared" si="9"/>
        <v>0</v>
      </c>
      <c r="J27" s="52"/>
      <c r="K27" s="113">
        <f t="shared" si="10"/>
        <v>6701416.9696712773</v>
      </c>
      <c r="L27" s="54">
        <f t="shared" ref="L27" si="15">IF(K27&lt;&gt;0,+G27-K27,0)</f>
        <v>0</v>
      </c>
      <c r="M27" s="113">
        <f t="shared" si="11"/>
        <v>6701416.9696712773</v>
      </c>
      <c r="N27" s="54">
        <f t="shared" si="3"/>
        <v>0</v>
      </c>
      <c r="O27" s="54">
        <f t="shared" si="4"/>
        <v>0</v>
      </c>
      <c r="P27" s="1"/>
    </row>
    <row r="28" spans="2:16" ht="12.5">
      <c r="B28" s="7" t="str">
        <f t="shared" si="5"/>
        <v>IU</v>
      </c>
      <c r="C28" s="50">
        <f>IF(D11="","-",+C27+1)</f>
        <v>2023</v>
      </c>
      <c r="D28" s="133">
        <v>46334014.906658441</v>
      </c>
      <c r="E28" s="376">
        <v>1412042.5690476194</v>
      </c>
      <c r="F28" s="133">
        <v>44921972.337610818</v>
      </c>
      <c r="G28" s="376">
        <v>7176080.4452867946</v>
      </c>
      <c r="H28" s="375">
        <v>7176080.4452867946</v>
      </c>
      <c r="I28" s="52">
        <f t="shared" si="9"/>
        <v>0</v>
      </c>
      <c r="J28" s="52"/>
      <c r="K28" s="113">
        <f t="shared" si="10"/>
        <v>7176080.4452867946</v>
      </c>
      <c r="L28" s="54">
        <f t="shared" ref="L28" si="16">IF(K28&lt;&gt;0,+G28-K28,0)</f>
        <v>0</v>
      </c>
      <c r="M28" s="113">
        <f t="shared" si="11"/>
        <v>7176080.4452867946</v>
      </c>
      <c r="N28" s="54">
        <f t="shared" si="3"/>
        <v>0</v>
      </c>
      <c r="O28" s="54">
        <f t="shared" si="4"/>
        <v>0</v>
      </c>
      <c r="P28" s="1"/>
    </row>
    <row r="29" spans="2:16" ht="12.5">
      <c r="B29" s="7" t="str">
        <f t="shared" si="5"/>
        <v/>
      </c>
      <c r="C29" s="50">
        <f>IF(D11="","-",+C28+1)</f>
        <v>2024</v>
      </c>
      <c r="D29" s="133">
        <v>44921972.337610818</v>
      </c>
      <c r="E29" s="376">
        <v>1347858.8159090912</v>
      </c>
      <c r="F29" s="133">
        <v>43574113.521701731</v>
      </c>
      <c r="G29" s="376">
        <v>6636700.468595529</v>
      </c>
      <c r="H29" s="375">
        <v>6636700.468595529</v>
      </c>
      <c r="I29" s="52">
        <f t="shared" si="9"/>
        <v>0</v>
      </c>
      <c r="J29" s="52"/>
      <c r="K29" s="113">
        <f t="shared" ref="K29" si="17">G29</f>
        <v>6636700.468595529</v>
      </c>
      <c r="L29" s="54">
        <f t="shared" ref="L29" si="18">IF(K29&lt;&gt;0,+G29-K29,0)</f>
        <v>0</v>
      </c>
      <c r="M29" s="113">
        <f t="shared" ref="M29" si="19">H29</f>
        <v>6636700.468595529</v>
      </c>
      <c r="N29" s="54">
        <f t="shared" ref="N29" si="20">IF(M29&lt;&gt;0,+H29-M29,0)</f>
        <v>0</v>
      </c>
      <c r="O29" s="54">
        <f t="shared" ref="O29" si="21">+N29-L29</f>
        <v>0</v>
      </c>
      <c r="P29" s="1"/>
    </row>
    <row r="30" spans="2:16" ht="12.5">
      <c r="B30" s="7" t="str">
        <f t="shared" si="5"/>
        <v>IU</v>
      </c>
      <c r="C30" s="50">
        <f>IF(D11="","-",+C29+1)</f>
        <v>2025</v>
      </c>
      <c r="D30" s="55">
        <f>IF(F29+SUM(E$17:E29)=D$10,F29,D$10-SUM(E$17:E29))</f>
        <v>43574113.621701717</v>
      </c>
      <c r="E30" s="378">
        <f>IF(+I14&lt;F29,I14,D30)</f>
        <v>1347858.8181818181</v>
      </c>
      <c r="F30" s="55">
        <f t="shared" ref="F30:F48" si="22">+D30-E30</f>
        <v>42226254.803519897</v>
      </c>
      <c r="G30" s="379">
        <f t="shared" ref="G30:G53" si="23">+I$12*((D30+F30)/2)+E30</f>
        <v>6475594.7845449233</v>
      </c>
      <c r="H30" s="364">
        <f t="shared" ref="H30:H53" si="24">+I$13*((D30+F30)/2)+E30</f>
        <v>6475594.7845449233</v>
      </c>
      <c r="I30" s="52">
        <f t="shared" si="9"/>
        <v>0</v>
      </c>
      <c r="J30" s="52"/>
      <c r="K30" s="129"/>
      <c r="L30" s="54">
        <f t="shared" si="1"/>
        <v>0</v>
      </c>
      <c r="M30" s="129"/>
      <c r="N30" s="54">
        <f t="shared" si="3"/>
        <v>0</v>
      </c>
      <c r="O30" s="54">
        <f t="shared" si="4"/>
        <v>0</v>
      </c>
      <c r="P30" s="1"/>
    </row>
    <row r="31" spans="2:16" ht="12.5">
      <c r="B31" s="7" t="str">
        <f t="shared" si="5"/>
        <v/>
      </c>
      <c r="C31" s="50">
        <f>IF(D11="","-",+C30+1)</f>
        <v>2026</v>
      </c>
      <c r="D31" s="55">
        <f>IF(F30+SUM(E$17:E30)=D$10,F30,D$10-SUM(E$17:E30))</f>
        <v>42226254.803519897</v>
      </c>
      <c r="E31" s="378">
        <f>IF(+I14&lt;F30,I14,D31)</f>
        <v>1347858.8181818181</v>
      </c>
      <c r="F31" s="55">
        <f t="shared" si="22"/>
        <v>40878395.985338077</v>
      </c>
      <c r="G31" s="379">
        <f t="shared" si="23"/>
        <v>6314489.0861330517</v>
      </c>
      <c r="H31" s="364">
        <f t="shared" si="24"/>
        <v>6314489.0861330517</v>
      </c>
      <c r="I31" s="52">
        <f t="shared" si="9"/>
        <v>0</v>
      </c>
      <c r="J31" s="52"/>
      <c r="K31" s="129"/>
      <c r="L31" s="54">
        <f t="shared" si="1"/>
        <v>0</v>
      </c>
      <c r="M31" s="129"/>
      <c r="N31" s="54">
        <f t="shared" si="3"/>
        <v>0</v>
      </c>
      <c r="O31" s="54">
        <f t="shared" si="4"/>
        <v>0</v>
      </c>
      <c r="P31" s="1"/>
    </row>
    <row r="32" spans="2:16" ht="12.5">
      <c r="B32" s="7" t="str">
        <f t="shared" si="5"/>
        <v/>
      </c>
      <c r="C32" s="50">
        <f>IF(D11="","-",+C31+1)</f>
        <v>2027</v>
      </c>
      <c r="D32" s="55">
        <f>IF(F31+SUM(E$17:E31)=D$10,F31,D$10-SUM(E$17:E31))</f>
        <v>40878395.985338077</v>
      </c>
      <c r="E32" s="378">
        <f>IF(+I14&lt;F31,I14,D32)</f>
        <v>1347858.8181818181</v>
      </c>
      <c r="F32" s="55">
        <f t="shared" si="22"/>
        <v>39530537.167156257</v>
      </c>
      <c r="G32" s="379">
        <f t="shared" si="23"/>
        <v>6153383.3877211818</v>
      </c>
      <c r="H32" s="364">
        <f t="shared" si="24"/>
        <v>6153383.3877211818</v>
      </c>
      <c r="I32" s="52">
        <f t="shared" si="9"/>
        <v>0</v>
      </c>
      <c r="J32" s="52"/>
      <c r="K32" s="129"/>
      <c r="L32" s="54">
        <f t="shared" si="1"/>
        <v>0</v>
      </c>
      <c r="M32" s="129"/>
      <c r="N32" s="54">
        <f t="shared" si="3"/>
        <v>0</v>
      </c>
      <c r="O32" s="54">
        <f t="shared" si="4"/>
        <v>0</v>
      </c>
      <c r="P32" s="1"/>
    </row>
    <row r="33" spans="2:16" ht="12.5">
      <c r="B33" s="7" t="str">
        <f t="shared" si="5"/>
        <v/>
      </c>
      <c r="C33" s="50">
        <f>IF(D11="","-",+C32+1)</f>
        <v>2028</v>
      </c>
      <c r="D33" s="55">
        <f>IF(F32+SUM(E$17:E32)=D$10,F32,D$10-SUM(E$17:E32))</f>
        <v>39530537.167156257</v>
      </c>
      <c r="E33" s="378">
        <f>IF(+I14&lt;F32,I14,D33)</f>
        <v>1347858.8181818181</v>
      </c>
      <c r="F33" s="55">
        <f t="shared" si="22"/>
        <v>38182678.348974437</v>
      </c>
      <c r="G33" s="379">
        <f t="shared" si="23"/>
        <v>5992277.6893093092</v>
      </c>
      <c r="H33" s="364">
        <f t="shared" si="24"/>
        <v>5992277.6893093092</v>
      </c>
      <c r="I33" s="52">
        <f t="shared" si="9"/>
        <v>0</v>
      </c>
      <c r="J33" s="52"/>
      <c r="K33" s="129"/>
      <c r="L33" s="54">
        <f t="shared" si="1"/>
        <v>0</v>
      </c>
      <c r="M33" s="129"/>
      <c r="N33" s="54">
        <f t="shared" si="3"/>
        <v>0</v>
      </c>
      <c r="O33" s="54">
        <f t="shared" si="4"/>
        <v>0</v>
      </c>
      <c r="P33" s="1"/>
    </row>
    <row r="34" spans="2:16" ht="12.5">
      <c r="B34" s="7" t="str">
        <f t="shared" si="5"/>
        <v/>
      </c>
      <c r="C34" s="50">
        <f>IF(D11="","-",+C33+1)</f>
        <v>2029</v>
      </c>
      <c r="D34" s="55">
        <f>IF(F33+SUM(E$17:E33)=D$10,F33,D$10-SUM(E$17:E33))</f>
        <v>38182678.348974437</v>
      </c>
      <c r="E34" s="378">
        <f>IF(+I14&lt;F33,I14,D34)</f>
        <v>1347858.8181818181</v>
      </c>
      <c r="F34" s="55">
        <f t="shared" si="22"/>
        <v>36834819.530792616</v>
      </c>
      <c r="G34" s="379">
        <f t="shared" si="23"/>
        <v>5831171.9908974394</v>
      </c>
      <c r="H34" s="364">
        <f t="shared" si="24"/>
        <v>5831171.9908974394</v>
      </c>
      <c r="I34" s="52">
        <f t="shared" si="9"/>
        <v>0</v>
      </c>
      <c r="J34" s="52"/>
      <c r="K34" s="129"/>
      <c r="L34" s="54">
        <f t="shared" si="1"/>
        <v>0</v>
      </c>
      <c r="M34" s="129"/>
      <c r="N34" s="54">
        <f t="shared" si="3"/>
        <v>0</v>
      </c>
      <c r="O34" s="54">
        <f t="shared" si="4"/>
        <v>0</v>
      </c>
      <c r="P34" s="1"/>
    </row>
    <row r="35" spans="2:16" ht="12.5">
      <c r="B35" s="7" t="str">
        <f t="shared" si="5"/>
        <v/>
      </c>
      <c r="C35" s="50">
        <f>IF(D11="","-",+C34+1)</f>
        <v>2030</v>
      </c>
      <c r="D35" s="55">
        <f>IF(F34+SUM(E$17:E34)=D$10,F34,D$10-SUM(E$17:E34))</f>
        <v>36834819.530792616</v>
      </c>
      <c r="E35" s="378">
        <f>IF(+I14&lt;F34,I14,D35)</f>
        <v>1347858.8181818181</v>
      </c>
      <c r="F35" s="55">
        <f t="shared" si="22"/>
        <v>35486960.712610796</v>
      </c>
      <c r="G35" s="379">
        <f t="shared" si="23"/>
        <v>5670066.2924855677</v>
      </c>
      <c r="H35" s="364">
        <f t="shared" si="24"/>
        <v>5670066.2924855677</v>
      </c>
      <c r="I35" s="52">
        <f t="shared" si="9"/>
        <v>0</v>
      </c>
      <c r="J35" s="52"/>
      <c r="K35" s="129"/>
      <c r="L35" s="54">
        <f t="shared" si="1"/>
        <v>0</v>
      </c>
      <c r="M35" s="129"/>
      <c r="N35" s="54">
        <f t="shared" si="3"/>
        <v>0</v>
      </c>
      <c r="O35" s="54">
        <f t="shared" si="4"/>
        <v>0</v>
      </c>
      <c r="P35" s="1"/>
    </row>
    <row r="36" spans="2:16" ht="12.5">
      <c r="B36" s="7" t="str">
        <f t="shared" si="5"/>
        <v/>
      </c>
      <c r="C36" s="50">
        <f>IF(D11="","-",+C35+1)</f>
        <v>2031</v>
      </c>
      <c r="D36" s="55">
        <f>IF(F35+SUM(E$17:E35)=D$10,F35,D$10-SUM(E$17:E35))</f>
        <v>35486960.712610796</v>
      </c>
      <c r="E36" s="378">
        <f>IF(+I14&lt;F35,I14,D36)</f>
        <v>1347858.8181818181</v>
      </c>
      <c r="F36" s="55">
        <f t="shared" si="22"/>
        <v>34139101.894428976</v>
      </c>
      <c r="G36" s="379">
        <f t="shared" si="23"/>
        <v>5508960.594073697</v>
      </c>
      <c r="H36" s="364">
        <f t="shared" si="24"/>
        <v>5508960.594073697</v>
      </c>
      <c r="I36" s="52">
        <f t="shared" si="9"/>
        <v>0</v>
      </c>
      <c r="J36" s="52"/>
      <c r="K36" s="129"/>
      <c r="L36" s="54">
        <f t="shared" si="1"/>
        <v>0</v>
      </c>
      <c r="M36" s="129"/>
      <c r="N36" s="54">
        <f t="shared" si="3"/>
        <v>0</v>
      </c>
      <c r="O36" s="54">
        <f t="shared" si="4"/>
        <v>0</v>
      </c>
      <c r="P36" s="1"/>
    </row>
    <row r="37" spans="2:16" ht="12.5">
      <c r="B37" s="7" t="str">
        <f t="shared" si="5"/>
        <v/>
      </c>
      <c r="C37" s="50">
        <f>IF(D11="","-",+C36+1)</f>
        <v>2032</v>
      </c>
      <c r="D37" s="55">
        <f>IF(F36+SUM(E$17:E36)=D$10,F36,D$10-SUM(E$17:E36))</f>
        <v>34139101.894428976</v>
      </c>
      <c r="E37" s="378">
        <f>IF(+I14&lt;F36,I14,D37)</f>
        <v>1347858.8181818181</v>
      </c>
      <c r="F37" s="55">
        <f t="shared" si="22"/>
        <v>32791243.076247159</v>
      </c>
      <c r="G37" s="379">
        <f t="shared" si="23"/>
        <v>5347854.8956618262</v>
      </c>
      <c r="H37" s="364">
        <f t="shared" si="24"/>
        <v>5347854.8956618262</v>
      </c>
      <c r="I37" s="52">
        <f t="shared" si="9"/>
        <v>0</v>
      </c>
      <c r="J37" s="52"/>
      <c r="K37" s="129"/>
      <c r="L37" s="54">
        <f t="shared" si="1"/>
        <v>0</v>
      </c>
      <c r="M37" s="129"/>
      <c r="N37" s="54">
        <f t="shared" si="3"/>
        <v>0</v>
      </c>
      <c r="O37" s="54">
        <f t="shared" si="4"/>
        <v>0</v>
      </c>
      <c r="P37" s="1"/>
    </row>
    <row r="38" spans="2:16" ht="12.5">
      <c r="B38" s="7" t="str">
        <f t="shared" si="5"/>
        <v/>
      </c>
      <c r="C38" s="50">
        <f>IF(D11="","-",+C37+1)</f>
        <v>2033</v>
      </c>
      <c r="D38" s="55">
        <f>IF(F37+SUM(E$17:E37)=D$10,F37,D$10-SUM(E$17:E37))</f>
        <v>32791243.076247159</v>
      </c>
      <c r="E38" s="378">
        <f>IF(+I14&lt;F37,I14,D38)</f>
        <v>1347858.8181818181</v>
      </c>
      <c r="F38" s="55">
        <f t="shared" si="22"/>
        <v>31443384.258065343</v>
      </c>
      <c r="G38" s="379">
        <f t="shared" si="23"/>
        <v>5186749.1972499555</v>
      </c>
      <c r="H38" s="364">
        <f t="shared" si="24"/>
        <v>5186749.1972499555</v>
      </c>
      <c r="I38" s="52">
        <f t="shared" si="9"/>
        <v>0</v>
      </c>
      <c r="J38" s="52"/>
      <c r="K38" s="129"/>
      <c r="L38" s="54">
        <f t="shared" si="1"/>
        <v>0</v>
      </c>
      <c r="M38" s="129"/>
      <c r="N38" s="54">
        <f t="shared" si="3"/>
        <v>0</v>
      </c>
      <c r="O38" s="54">
        <f t="shared" si="4"/>
        <v>0</v>
      </c>
      <c r="P38" s="1"/>
    </row>
    <row r="39" spans="2:16" ht="12.5">
      <c r="B39" s="7" t="str">
        <f t="shared" si="5"/>
        <v/>
      </c>
      <c r="C39" s="50">
        <f>IF(D11="","-",+C38+1)</f>
        <v>2034</v>
      </c>
      <c r="D39" s="55">
        <f>IF(F38+SUM(E$17:E38)=D$10,F38,D$10-SUM(E$17:E38))</f>
        <v>31443384.258065343</v>
      </c>
      <c r="E39" s="378">
        <f>IF(+I14&lt;F38,I14,D39)</f>
        <v>1347858.8181818181</v>
      </c>
      <c r="F39" s="55">
        <f t="shared" si="22"/>
        <v>30095525.439883526</v>
      </c>
      <c r="G39" s="379">
        <f t="shared" si="23"/>
        <v>5025643.4988380847</v>
      </c>
      <c r="H39" s="364">
        <f t="shared" si="24"/>
        <v>5025643.4988380847</v>
      </c>
      <c r="I39" s="52">
        <f t="shared" si="9"/>
        <v>0</v>
      </c>
      <c r="J39" s="52"/>
      <c r="K39" s="129"/>
      <c r="L39" s="54">
        <f t="shared" si="1"/>
        <v>0</v>
      </c>
      <c r="M39" s="129"/>
      <c r="N39" s="54">
        <f t="shared" si="3"/>
        <v>0</v>
      </c>
      <c r="O39" s="54">
        <f t="shared" si="4"/>
        <v>0</v>
      </c>
      <c r="P39" s="1"/>
    </row>
    <row r="40" spans="2:16" ht="12.5">
      <c r="B40" s="7" t="str">
        <f t="shared" si="5"/>
        <v/>
      </c>
      <c r="C40" s="50">
        <f>IF(D11="","-",+C39+1)</f>
        <v>2035</v>
      </c>
      <c r="D40" s="55">
        <f>IF(F39+SUM(E$17:E39)=D$10,F39,D$10-SUM(E$17:E39))</f>
        <v>30095525.439883526</v>
      </c>
      <c r="E40" s="378">
        <f>IF(+I14&lt;F39,I14,D40)</f>
        <v>1347858.8181818181</v>
      </c>
      <c r="F40" s="55">
        <f t="shared" si="22"/>
        <v>28747666.62170171</v>
      </c>
      <c r="G40" s="379">
        <f t="shared" si="23"/>
        <v>4864537.800426214</v>
      </c>
      <c r="H40" s="364">
        <f t="shared" si="24"/>
        <v>4864537.800426214</v>
      </c>
      <c r="I40" s="52">
        <f t="shared" si="9"/>
        <v>0</v>
      </c>
      <c r="J40" s="52"/>
      <c r="K40" s="129"/>
      <c r="L40" s="54">
        <f t="shared" si="1"/>
        <v>0</v>
      </c>
      <c r="M40" s="129"/>
      <c r="N40" s="54">
        <f t="shared" si="3"/>
        <v>0</v>
      </c>
      <c r="O40" s="54">
        <f t="shared" si="4"/>
        <v>0</v>
      </c>
      <c r="P40" s="1"/>
    </row>
    <row r="41" spans="2:16" ht="12.5">
      <c r="B41" s="7" t="str">
        <f t="shared" si="5"/>
        <v/>
      </c>
      <c r="C41" s="50">
        <f>IF(D11="","-",+C40+1)</f>
        <v>2036</v>
      </c>
      <c r="D41" s="55">
        <f>IF(F40+SUM(E$17:E40)=D$10,F40,D$10-SUM(E$17:E40))</f>
        <v>28747666.62170171</v>
      </c>
      <c r="E41" s="378">
        <f>IF(+I14&lt;F40,I14,D41)</f>
        <v>1347858.8181818181</v>
      </c>
      <c r="F41" s="55">
        <f t="shared" si="22"/>
        <v>27399807.803519893</v>
      </c>
      <c r="G41" s="379">
        <f t="shared" si="23"/>
        <v>4703432.1020143433</v>
      </c>
      <c r="H41" s="364">
        <f t="shared" si="24"/>
        <v>4703432.1020143433</v>
      </c>
      <c r="I41" s="52">
        <f t="shared" si="9"/>
        <v>0</v>
      </c>
      <c r="J41" s="52"/>
      <c r="K41" s="129"/>
      <c r="L41" s="54">
        <f t="shared" si="1"/>
        <v>0</v>
      </c>
      <c r="M41" s="129"/>
      <c r="N41" s="54">
        <f t="shared" si="3"/>
        <v>0</v>
      </c>
      <c r="O41" s="54">
        <f t="shared" si="4"/>
        <v>0</v>
      </c>
      <c r="P41" s="1"/>
    </row>
    <row r="42" spans="2:16" ht="12.5">
      <c r="B42" s="7" t="str">
        <f t="shared" si="5"/>
        <v/>
      </c>
      <c r="C42" s="50">
        <f>IF(D11="","-",+C41+1)</f>
        <v>2037</v>
      </c>
      <c r="D42" s="55">
        <f>IF(F41+SUM(E$17:E41)=D$10,F41,D$10-SUM(E$17:E41))</f>
        <v>27399807.803519893</v>
      </c>
      <c r="E42" s="378">
        <f>IF(+I14&lt;F41,I14,D42)</f>
        <v>1347858.8181818181</v>
      </c>
      <c r="F42" s="55">
        <f t="shared" si="22"/>
        <v>26051948.985338077</v>
      </c>
      <c r="G42" s="379">
        <f t="shared" si="23"/>
        <v>4542326.4036024725</v>
      </c>
      <c r="H42" s="364">
        <f t="shared" si="24"/>
        <v>4542326.4036024725</v>
      </c>
      <c r="I42" s="52">
        <f t="shared" si="9"/>
        <v>0</v>
      </c>
      <c r="J42" s="52"/>
      <c r="K42" s="129"/>
      <c r="L42" s="54">
        <f t="shared" si="1"/>
        <v>0</v>
      </c>
      <c r="M42" s="129"/>
      <c r="N42" s="54">
        <f t="shared" si="3"/>
        <v>0</v>
      </c>
      <c r="O42" s="54">
        <f t="shared" si="4"/>
        <v>0</v>
      </c>
      <c r="P42" s="1"/>
    </row>
    <row r="43" spans="2:16" ht="12.5">
      <c r="B43" s="7" t="str">
        <f t="shared" si="5"/>
        <v/>
      </c>
      <c r="C43" s="50">
        <f>IF(D11="","-",+C42+1)</f>
        <v>2038</v>
      </c>
      <c r="D43" s="55">
        <f>IF(F42+SUM(E$17:E42)=D$10,F42,D$10-SUM(E$17:E42))</f>
        <v>26051948.985338077</v>
      </c>
      <c r="E43" s="378">
        <f>IF(+I14&lt;F42,I14,D43)</f>
        <v>1347858.8181818181</v>
      </c>
      <c r="F43" s="55">
        <f t="shared" si="22"/>
        <v>24704090.16715626</v>
      </c>
      <c r="G43" s="379">
        <f t="shared" si="23"/>
        <v>4381220.7051906027</v>
      </c>
      <c r="H43" s="364">
        <f t="shared" si="24"/>
        <v>4381220.7051906027</v>
      </c>
      <c r="I43" s="52">
        <f t="shared" si="9"/>
        <v>0</v>
      </c>
      <c r="J43" s="52"/>
      <c r="K43" s="129"/>
      <c r="L43" s="54">
        <f t="shared" si="1"/>
        <v>0</v>
      </c>
      <c r="M43" s="129"/>
      <c r="N43" s="54">
        <f t="shared" si="3"/>
        <v>0</v>
      </c>
      <c r="O43" s="54">
        <f t="shared" si="4"/>
        <v>0</v>
      </c>
      <c r="P43" s="1"/>
    </row>
    <row r="44" spans="2:16" ht="12.5">
      <c r="B44" s="7" t="str">
        <f t="shared" si="5"/>
        <v/>
      </c>
      <c r="C44" s="50">
        <f>IF(D11="","-",+C43+1)</f>
        <v>2039</v>
      </c>
      <c r="D44" s="55">
        <f>IF(F43+SUM(E$17:E43)=D$10,F43,D$10-SUM(E$17:E43))</f>
        <v>24704090.16715626</v>
      </c>
      <c r="E44" s="378">
        <f>IF(+I14&lt;F43,I14,D44)</f>
        <v>1347858.8181818181</v>
      </c>
      <c r="F44" s="55">
        <f t="shared" si="22"/>
        <v>23356231.348974444</v>
      </c>
      <c r="G44" s="379">
        <f t="shared" si="23"/>
        <v>4220115.006778731</v>
      </c>
      <c r="H44" s="364">
        <f t="shared" si="24"/>
        <v>4220115.006778731</v>
      </c>
      <c r="I44" s="52">
        <f t="shared" si="9"/>
        <v>0</v>
      </c>
      <c r="J44" s="52"/>
      <c r="K44" s="129"/>
      <c r="L44" s="54">
        <f t="shared" si="1"/>
        <v>0</v>
      </c>
      <c r="M44" s="129"/>
      <c r="N44" s="54">
        <f t="shared" si="3"/>
        <v>0</v>
      </c>
      <c r="O44" s="54">
        <f t="shared" si="4"/>
        <v>0</v>
      </c>
      <c r="P44" s="1"/>
    </row>
    <row r="45" spans="2:16" ht="12.5">
      <c r="B45" s="7" t="str">
        <f t="shared" si="5"/>
        <v/>
      </c>
      <c r="C45" s="50">
        <f>IF(D11="","-",+C44+1)</f>
        <v>2040</v>
      </c>
      <c r="D45" s="55">
        <f>IF(F44+SUM(E$17:E44)=D$10,F44,D$10-SUM(E$17:E44))</f>
        <v>23356231.348974444</v>
      </c>
      <c r="E45" s="378">
        <f>IF(+I14&lt;F44,I14,D45)</f>
        <v>1347858.8181818181</v>
      </c>
      <c r="F45" s="55">
        <f t="shared" si="22"/>
        <v>22008372.530792627</v>
      </c>
      <c r="G45" s="379">
        <f t="shared" si="23"/>
        <v>4059009.3083668612</v>
      </c>
      <c r="H45" s="364">
        <f t="shared" si="24"/>
        <v>4059009.3083668612</v>
      </c>
      <c r="I45" s="52">
        <f t="shared" si="9"/>
        <v>0</v>
      </c>
      <c r="J45" s="52"/>
      <c r="K45" s="129"/>
      <c r="L45" s="54">
        <f t="shared" si="1"/>
        <v>0</v>
      </c>
      <c r="M45" s="129"/>
      <c r="N45" s="54">
        <f t="shared" si="3"/>
        <v>0</v>
      </c>
      <c r="O45" s="54">
        <f t="shared" si="4"/>
        <v>0</v>
      </c>
      <c r="P45" s="1"/>
    </row>
    <row r="46" spans="2:16" ht="12.5">
      <c r="B46" s="7" t="str">
        <f t="shared" si="5"/>
        <v/>
      </c>
      <c r="C46" s="50">
        <f>IF(D11="","-",+C45+1)</f>
        <v>2041</v>
      </c>
      <c r="D46" s="55">
        <f>IF(F45+SUM(E$17:E45)=D$10,F45,D$10-SUM(E$17:E45))</f>
        <v>22008372.530792627</v>
      </c>
      <c r="E46" s="378">
        <f>IF(+I14&lt;F45,I14,D46)</f>
        <v>1347858.8181818181</v>
      </c>
      <c r="F46" s="55">
        <f t="shared" si="22"/>
        <v>20660513.712610811</v>
      </c>
      <c r="G46" s="379">
        <f t="shared" si="23"/>
        <v>3897903.6099549904</v>
      </c>
      <c r="H46" s="364">
        <f t="shared" si="24"/>
        <v>3897903.6099549904</v>
      </c>
      <c r="I46" s="52">
        <f t="shared" si="9"/>
        <v>0</v>
      </c>
      <c r="J46" s="52"/>
      <c r="K46" s="129"/>
      <c r="L46" s="54">
        <f t="shared" si="1"/>
        <v>0</v>
      </c>
      <c r="M46" s="129"/>
      <c r="N46" s="54">
        <f t="shared" si="3"/>
        <v>0</v>
      </c>
      <c r="O46" s="54">
        <f t="shared" si="4"/>
        <v>0</v>
      </c>
      <c r="P46" s="1"/>
    </row>
    <row r="47" spans="2:16" ht="12.5">
      <c r="B47" s="7" t="str">
        <f t="shared" si="5"/>
        <v/>
      </c>
      <c r="C47" s="50">
        <f>IF(D11="","-",+C46+1)</f>
        <v>2042</v>
      </c>
      <c r="D47" s="55">
        <f>IF(F46+SUM(E$17:E46)=D$10,F46,D$10-SUM(E$17:E46))</f>
        <v>20660513.712610811</v>
      </c>
      <c r="E47" s="378">
        <f>IF(+I14&lt;F46,I14,D47)</f>
        <v>1347858.8181818181</v>
      </c>
      <c r="F47" s="55">
        <f t="shared" si="22"/>
        <v>19312654.894428995</v>
      </c>
      <c r="G47" s="379">
        <f t="shared" si="23"/>
        <v>3736797.9115431197</v>
      </c>
      <c r="H47" s="364">
        <f t="shared" si="24"/>
        <v>3736797.9115431197</v>
      </c>
      <c r="I47" s="52">
        <f t="shared" si="9"/>
        <v>0</v>
      </c>
      <c r="J47" s="52"/>
      <c r="K47" s="129"/>
      <c r="L47" s="54">
        <f t="shared" si="1"/>
        <v>0</v>
      </c>
      <c r="M47" s="129"/>
      <c r="N47" s="54">
        <f t="shared" si="3"/>
        <v>0</v>
      </c>
      <c r="O47" s="54">
        <f t="shared" si="4"/>
        <v>0</v>
      </c>
      <c r="P47" s="1"/>
    </row>
    <row r="48" spans="2:16" ht="12.5">
      <c r="B48" s="7" t="str">
        <f t="shared" si="5"/>
        <v/>
      </c>
      <c r="C48" s="50">
        <f>IF(D11="","-",+C47+1)</f>
        <v>2043</v>
      </c>
      <c r="D48" s="55">
        <f>IF(F47+SUM(E$17:E47)=D$10,F47,D$10-SUM(E$17:E47))</f>
        <v>19312654.894428995</v>
      </c>
      <c r="E48" s="378">
        <f>IF(+I14&lt;F47,I14,D48)</f>
        <v>1347858.8181818181</v>
      </c>
      <c r="F48" s="55">
        <f t="shared" si="22"/>
        <v>17964796.076247178</v>
      </c>
      <c r="G48" s="379">
        <f t="shared" si="23"/>
        <v>3575692.213131249</v>
      </c>
      <c r="H48" s="364">
        <f t="shared" si="24"/>
        <v>3575692.213131249</v>
      </c>
      <c r="I48" s="52">
        <f t="shared" si="9"/>
        <v>0</v>
      </c>
      <c r="J48" s="52"/>
      <c r="K48" s="129"/>
      <c r="L48" s="54">
        <f t="shared" si="1"/>
        <v>0</v>
      </c>
      <c r="M48" s="129"/>
      <c r="N48" s="54">
        <f t="shared" si="3"/>
        <v>0</v>
      </c>
      <c r="O48" s="54">
        <f t="shared" si="4"/>
        <v>0</v>
      </c>
      <c r="P48" s="1"/>
    </row>
    <row r="49" spans="2:17" ht="12.5">
      <c r="B49" s="7" t="str">
        <f t="shared" si="5"/>
        <v/>
      </c>
      <c r="C49" s="50">
        <f>IF(D11="","-",+C48+1)</f>
        <v>2044</v>
      </c>
      <c r="D49" s="55">
        <f>IF(F48+SUM(E$17:E48)=D$10,F48,D$10-SUM(E$17:E48))</f>
        <v>17964796.076247178</v>
      </c>
      <c r="E49" s="378">
        <f>IF(+I14&lt;F48,I14,D49)</f>
        <v>1347858.8181818181</v>
      </c>
      <c r="F49" s="55">
        <f t="shared" ref="F49:F72" si="25">+D49-E49</f>
        <v>16616937.25806536</v>
      </c>
      <c r="G49" s="379">
        <f t="shared" si="23"/>
        <v>3414586.5147193782</v>
      </c>
      <c r="H49" s="364">
        <f t="shared" si="24"/>
        <v>3414586.5147193782</v>
      </c>
      <c r="I49" s="52">
        <f t="shared" ref="I49:I72" si="26">H49-G49</f>
        <v>0</v>
      </c>
      <c r="J49" s="52"/>
      <c r="K49" s="129"/>
      <c r="L49" s="54">
        <f t="shared" ref="L49:L72" si="27">IF(K49&lt;&gt;0,+G49-K49,0)</f>
        <v>0</v>
      </c>
      <c r="M49" s="129"/>
      <c r="N49" s="54">
        <f t="shared" ref="N49:N72" si="28">IF(M49&lt;&gt;0,+H49-M49,0)</f>
        <v>0</v>
      </c>
      <c r="O49" s="54">
        <f t="shared" ref="O49:O72" si="29">+N49-L49</f>
        <v>0</v>
      </c>
      <c r="P49" s="1"/>
    </row>
    <row r="50" spans="2:17" ht="12.5">
      <c r="B50" s="7" t="str">
        <f t="shared" ref="B50:B72" si="30">IF(D50=F49,"","IU")</f>
        <v/>
      </c>
      <c r="C50" s="50">
        <f>IF(D11="","-",+C49+1)</f>
        <v>2045</v>
      </c>
      <c r="D50" s="55">
        <f>IF(F49+SUM(E$17:E49)=D$10,F49,D$10-SUM(E$17:E49))</f>
        <v>16616937.25806536</v>
      </c>
      <c r="E50" s="378">
        <f>IF(+I14&lt;F49,I14,D50)</f>
        <v>1347858.8181818181</v>
      </c>
      <c r="F50" s="55">
        <f t="shared" si="25"/>
        <v>15269078.439883541</v>
      </c>
      <c r="G50" s="379">
        <f t="shared" si="23"/>
        <v>3253480.8163075079</v>
      </c>
      <c r="H50" s="364">
        <f t="shared" si="24"/>
        <v>3253480.8163075079</v>
      </c>
      <c r="I50" s="52">
        <f t="shared" si="26"/>
        <v>0</v>
      </c>
      <c r="J50" s="52"/>
      <c r="K50" s="129"/>
      <c r="L50" s="54">
        <f t="shared" si="27"/>
        <v>0</v>
      </c>
      <c r="M50" s="129"/>
      <c r="N50" s="54">
        <f t="shared" si="28"/>
        <v>0</v>
      </c>
      <c r="O50" s="54">
        <f t="shared" si="29"/>
        <v>0</v>
      </c>
      <c r="P50" s="1"/>
    </row>
    <row r="51" spans="2:17" ht="12.5">
      <c r="B51" s="7" t="str">
        <f t="shared" si="30"/>
        <v/>
      </c>
      <c r="C51" s="50">
        <f>IF(D11="","-",+C50+1)</f>
        <v>2046</v>
      </c>
      <c r="D51" s="55">
        <f>IF(F50+SUM(E$17:E50)=D$10,F50,D$10-SUM(E$17:E50))</f>
        <v>15269078.439883541</v>
      </c>
      <c r="E51" s="378">
        <f>IF(+I14&lt;F50,I14,D51)</f>
        <v>1347858.8181818181</v>
      </c>
      <c r="F51" s="55">
        <f t="shared" si="25"/>
        <v>13921219.621701723</v>
      </c>
      <c r="G51" s="379">
        <f t="shared" si="23"/>
        <v>3092375.1178956367</v>
      </c>
      <c r="H51" s="364">
        <f t="shared" si="24"/>
        <v>3092375.1178956367</v>
      </c>
      <c r="I51" s="52">
        <f t="shared" si="26"/>
        <v>0</v>
      </c>
      <c r="J51" s="52"/>
      <c r="K51" s="129"/>
      <c r="L51" s="54">
        <f t="shared" si="27"/>
        <v>0</v>
      </c>
      <c r="M51" s="129"/>
      <c r="N51" s="54">
        <f t="shared" si="28"/>
        <v>0</v>
      </c>
      <c r="O51" s="54">
        <f t="shared" si="29"/>
        <v>0</v>
      </c>
      <c r="P51" s="1"/>
    </row>
    <row r="52" spans="2:17" ht="12.5">
      <c r="B52" s="7" t="str">
        <f t="shared" si="30"/>
        <v/>
      </c>
      <c r="C52" s="50">
        <f>IF(D11="","-",+C51+1)</f>
        <v>2047</v>
      </c>
      <c r="D52" s="55">
        <f>IF(F51+SUM(E$17:E51)=D$10,F51,D$10-SUM(E$17:E51))</f>
        <v>13921219.621701723</v>
      </c>
      <c r="E52" s="378">
        <f>IF(+I14&lt;F51,I14,D52)</f>
        <v>1347858.8181818181</v>
      </c>
      <c r="F52" s="55">
        <f t="shared" si="25"/>
        <v>12573360.803519905</v>
      </c>
      <c r="G52" s="379">
        <f t="shared" si="23"/>
        <v>2931269.419483766</v>
      </c>
      <c r="H52" s="364">
        <f t="shared" si="24"/>
        <v>2931269.419483766</v>
      </c>
      <c r="I52" s="52">
        <f t="shared" si="26"/>
        <v>0</v>
      </c>
      <c r="J52" s="52"/>
      <c r="K52" s="129"/>
      <c r="L52" s="54">
        <f t="shared" si="27"/>
        <v>0</v>
      </c>
      <c r="M52" s="129"/>
      <c r="N52" s="54">
        <f t="shared" si="28"/>
        <v>0</v>
      </c>
      <c r="O52" s="54">
        <f t="shared" si="29"/>
        <v>0</v>
      </c>
      <c r="P52" s="1"/>
    </row>
    <row r="53" spans="2:17" ht="12.5">
      <c r="B53" s="7" t="str">
        <f t="shared" si="30"/>
        <v/>
      </c>
      <c r="C53" s="50">
        <f>IF(D11="","-",+C52+1)</f>
        <v>2048</v>
      </c>
      <c r="D53" s="55">
        <f>IF(F52+SUM(E$17:E52)=D$10,F52,D$10-SUM(E$17:E52))</f>
        <v>12573360.803519905</v>
      </c>
      <c r="E53" s="378">
        <f>IF(+I14&lt;F52,I14,D53)</f>
        <v>1347858.8181818181</v>
      </c>
      <c r="F53" s="55">
        <f t="shared" si="25"/>
        <v>11225501.985338086</v>
      </c>
      <c r="G53" s="379">
        <f t="shared" si="23"/>
        <v>2770163.7210718952</v>
      </c>
      <c r="H53" s="364">
        <f t="shared" si="24"/>
        <v>2770163.7210718952</v>
      </c>
      <c r="I53" s="52">
        <f t="shared" si="26"/>
        <v>0</v>
      </c>
      <c r="J53" s="52"/>
      <c r="K53" s="129"/>
      <c r="L53" s="54">
        <f t="shared" si="27"/>
        <v>0</v>
      </c>
      <c r="M53" s="129"/>
      <c r="N53" s="54">
        <f t="shared" si="28"/>
        <v>0</v>
      </c>
      <c r="O53" s="54">
        <f t="shared" si="29"/>
        <v>0</v>
      </c>
      <c r="P53" s="1"/>
    </row>
    <row r="54" spans="2:17" ht="12.5">
      <c r="B54" s="7" t="str">
        <f t="shared" si="30"/>
        <v/>
      </c>
      <c r="C54" s="50">
        <f>IF(D11="","-",+C53+1)</f>
        <v>2049</v>
      </c>
      <c r="D54" s="55">
        <f>IF(F53+SUM(E$17:E53)=D$10,F53,D$10-SUM(E$17:E53))</f>
        <v>11225501.985338086</v>
      </c>
      <c r="E54" s="378">
        <f>IF(+I14&lt;F53,I14,D54)</f>
        <v>1347858.8181818181</v>
      </c>
      <c r="F54" s="55">
        <f t="shared" si="25"/>
        <v>9877643.1671562679</v>
      </c>
      <c r="G54" s="379">
        <f t="shared" ref="G54:G72" si="31">+I$12*((D54+F54)/2)+E54</f>
        <v>2609058.0226600245</v>
      </c>
      <c r="H54" s="364">
        <f t="shared" ref="H54:H72" si="32">+I$13*((D54+F54)/2)+E54</f>
        <v>2609058.0226600245</v>
      </c>
      <c r="I54" s="52">
        <f t="shared" si="26"/>
        <v>0</v>
      </c>
      <c r="J54" s="52"/>
      <c r="K54" s="129"/>
      <c r="L54" s="54">
        <f t="shared" si="27"/>
        <v>0</v>
      </c>
      <c r="M54" s="129"/>
      <c r="N54" s="54">
        <f t="shared" si="28"/>
        <v>0</v>
      </c>
      <c r="O54" s="54">
        <f t="shared" si="29"/>
        <v>0</v>
      </c>
      <c r="P54" s="1"/>
    </row>
    <row r="55" spans="2:17" ht="12.5">
      <c r="B55" s="7" t="str">
        <f t="shared" si="30"/>
        <v/>
      </c>
      <c r="C55" s="50">
        <f>IF(D11="","-",+C54+1)</f>
        <v>2050</v>
      </c>
      <c r="D55" s="55">
        <f>IF(F54+SUM(E$17:E54)=D$10,F54,D$10-SUM(E$17:E54))</f>
        <v>9877643.1671562679</v>
      </c>
      <c r="E55" s="378">
        <f>IF(+I14&lt;F54,I14,D55)</f>
        <v>1347858.8181818181</v>
      </c>
      <c r="F55" s="55">
        <f t="shared" si="25"/>
        <v>8529784.3489744496</v>
      </c>
      <c r="G55" s="379">
        <f t="shared" si="31"/>
        <v>2447952.3242481537</v>
      </c>
      <c r="H55" s="364">
        <f t="shared" si="32"/>
        <v>2447952.3242481537</v>
      </c>
      <c r="I55" s="52">
        <f t="shared" si="26"/>
        <v>0</v>
      </c>
      <c r="J55" s="52"/>
      <c r="K55" s="129"/>
      <c r="L55" s="54">
        <f t="shared" si="27"/>
        <v>0</v>
      </c>
      <c r="M55" s="129"/>
      <c r="N55" s="54">
        <f t="shared" si="28"/>
        <v>0</v>
      </c>
      <c r="O55" s="54">
        <f t="shared" si="29"/>
        <v>0</v>
      </c>
      <c r="P55" s="1"/>
    </row>
    <row r="56" spans="2:17" ht="12.5">
      <c r="B56" s="7" t="str">
        <f t="shared" si="30"/>
        <v/>
      </c>
      <c r="C56" s="50">
        <f>IF(D11="","-",+C55+1)</f>
        <v>2051</v>
      </c>
      <c r="D56" s="55">
        <f>IF(F55+SUM(E$17:E55)=D$10,F55,D$10-SUM(E$17:E55))</f>
        <v>8529784.3489744496</v>
      </c>
      <c r="E56" s="378">
        <f>IF(+I14&lt;F55,I14,D56)</f>
        <v>1347858.8181818181</v>
      </c>
      <c r="F56" s="55">
        <f t="shared" si="25"/>
        <v>7181925.5307926312</v>
      </c>
      <c r="G56" s="379">
        <f t="shared" si="31"/>
        <v>2286846.625836283</v>
      </c>
      <c r="H56" s="364">
        <f t="shared" si="32"/>
        <v>2286846.625836283</v>
      </c>
      <c r="I56" s="52">
        <f t="shared" si="26"/>
        <v>0</v>
      </c>
      <c r="J56" s="52"/>
      <c r="K56" s="129"/>
      <c r="L56" s="54">
        <f t="shared" si="27"/>
        <v>0</v>
      </c>
      <c r="M56" s="129"/>
      <c r="N56" s="54">
        <f t="shared" si="28"/>
        <v>0</v>
      </c>
      <c r="O56" s="54">
        <f t="shared" si="29"/>
        <v>0</v>
      </c>
      <c r="P56" s="1"/>
    </row>
    <row r="57" spans="2:17" ht="12.5">
      <c r="B57" s="7" t="str">
        <f t="shared" si="30"/>
        <v/>
      </c>
      <c r="C57" s="50">
        <f>IF(D11="","-",+C56+1)</f>
        <v>2052</v>
      </c>
      <c r="D57" s="55">
        <f>IF(F56+SUM(E$17:E56)=D$10,F56,D$10-SUM(E$17:E56))</f>
        <v>7181925.5307926312</v>
      </c>
      <c r="E57" s="378">
        <f>IF(+I14&lt;F56,I14,D57)</f>
        <v>1347858.8181818181</v>
      </c>
      <c r="F57" s="55">
        <f t="shared" si="25"/>
        <v>5834066.7126108129</v>
      </c>
      <c r="G57" s="379">
        <f t="shared" si="31"/>
        <v>2125740.9274244122</v>
      </c>
      <c r="H57" s="364">
        <f t="shared" si="32"/>
        <v>2125740.9274244122</v>
      </c>
      <c r="I57" s="52">
        <f t="shared" si="26"/>
        <v>0</v>
      </c>
      <c r="J57" s="52"/>
      <c r="K57" s="129"/>
      <c r="L57" s="54">
        <f t="shared" si="27"/>
        <v>0</v>
      </c>
      <c r="M57" s="129"/>
      <c r="N57" s="54">
        <f t="shared" si="28"/>
        <v>0</v>
      </c>
      <c r="O57" s="54">
        <f t="shared" si="29"/>
        <v>0</v>
      </c>
      <c r="P57" s="1"/>
    </row>
    <row r="58" spans="2:17" ht="12.5">
      <c r="B58" s="7" t="str">
        <f t="shared" si="30"/>
        <v/>
      </c>
      <c r="C58" s="50">
        <f>IF(D11="","-",+C57+1)</f>
        <v>2053</v>
      </c>
      <c r="D58" s="55">
        <f>IF(F57+SUM(E$17:E57)=D$10,F57,D$10-SUM(E$17:E57))</f>
        <v>5834066.7126108129</v>
      </c>
      <c r="E58" s="378">
        <f>IF(+I14&lt;F57,I14,D58)</f>
        <v>1347858.8181818181</v>
      </c>
      <c r="F58" s="55">
        <f t="shared" si="25"/>
        <v>4486207.8944289945</v>
      </c>
      <c r="G58" s="379">
        <f t="shared" si="31"/>
        <v>1964635.229012541</v>
      </c>
      <c r="H58" s="364">
        <f t="shared" si="32"/>
        <v>1964635.229012541</v>
      </c>
      <c r="I58" s="52">
        <f t="shared" si="26"/>
        <v>0</v>
      </c>
      <c r="J58" s="52"/>
      <c r="K58" s="129"/>
      <c r="L58" s="54">
        <f t="shared" si="27"/>
        <v>0</v>
      </c>
      <c r="M58" s="129"/>
      <c r="N58" s="54">
        <f t="shared" si="28"/>
        <v>0</v>
      </c>
      <c r="O58" s="54">
        <f t="shared" si="29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30"/>
        <v/>
      </c>
      <c r="C59" s="50">
        <f>IF(D11="","-",+C58+1)</f>
        <v>2054</v>
      </c>
      <c r="D59" s="55">
        <f>IF(F58+SUM(E$17:E58)=D$10,F58,D$10-SUM(E$17:E58))</f>
        <v>4486207.8944289945</v>
      </c>
      <c r="E59" s="378">
        <f>IF(+I14&lt;F58,I14,D59)</f>
        <v>1347858.8181818181</v>
      </c>
      <c r="F59" s="55">
        <f t="shared" si="25"/>
        <v>3138349.0762471762</v>
      </c>
      <c r="G59" s="379">
        <f t="shared" si="31"/>
        <v>1803529.5306006703</v>
      </c>
      <c r="H59" s="364">
        <f t="shared" si="32"/>
        <v>1803529.5306006703</v>
      </c>
      <c r="I59" s="52">
        <f t="shared" si="26"/>
        <v>0</v>
      </c>
      <c r="J59" s="52"/>
      <c r="K59" s="129"/>
      <c r="L59" s="54">
        <f t="shared" si="27"/>
        <v>0</v>
      </c>
      <c r="M59" s="129"/>
      <c r="N59" s="54">
        <f t="shared" si="28"/>
        <v>0</v>
      </c>
      <c r="O59" s="54">
        <f t="shared" si="29"/>
        <v>0</v>
      </c>
      <c r="P59" s="1"/>
    </row>
    <row r="60" spans="2:17" ht="12.5">
      <c r="B60" s="7" t="str">
        <f t="shared" si="30"/>
        <v/>
      </c>
      <c r="C60" s="50">
        <f>IF(D11="","-",+C59+1)</f>
        <v>2055</v>
      </c>
      <c r="D60" s="55">
        <f>IF(F59+SUM(E$17:E59)=D$10,F59,D$10-SUM(E$17:E59))</f>
        <v>3138349.0762471762</v>
      </c>
      <c r="E60" s="378">
        <f>IF(+I14&lt;F59,I14,D60)</f>
        <v>1347858.8181818181</v>
      </c>
      <c r="F60" s="55">
        <f t="shared" si="25"/>
        <v>1790490.258065358</v>
      </c>
      <c r="G60" s="379">
        <f t="shared" si="31"/>
        <v>1642423.8321887995</v>
      </c>
      <c r="H60" s="364">
        <f t="shared" si="32"/>
        <v>1642423.8321887995</v>
      </c>
      <c r="I60" s="52">
        <f t="shared" si="26"/>
        <v>0</v>
      </c>
      <c r="J60" s="52"/>
      <c r="K60" s="129"/>
      <c r="L60" s="54">
        <f t="shared" si="27"/>
        <v>0</v>
      </c>
      <c r="M60" s="129"/>
      <c r="N60" s="54">
        <f t="shared" si="28"/>
        <v>0</v>
      </c>
      <c r="O60" s="54">
        <f t="shared" si="29"/>
        <v>0</v>
      </c>
      <c r="P60" s="1"/>
    </row>
    <row r="61" spans="2:17" ht="12.5">
      <c r="B61" s="7" t="str">
        <f t="shared" si="30"/>
        <v/>
      </c>
      <c r="C61" s="50">
        <f>IF(D11="","-",+C60+1)</f>
        <v>2056</v>
      </c>
      <c r="D61" s="55">
        <f>IF(F60+SUM(E$17:E60)=D$10,F60,D$10-SUM(E$17:E60))</f>
        <v>1790490.258065358</v>
      </c>
      <c r="E61" s="378">
        <f>IF(+I14&lt;F60,I14,D61)</f>
        <v>1347858.8181818181</v>
      </c>
      <c r="F61" s="55">
        <f t="shared" si="25"/>
        <v>442631.43988353992</v>
      </c>
      <c r="G61" s="380">
        <f t="shared" si="31"/>
        <v>1481318.1337769288</v>
      </c>
      <c r="H61" s="364">
        <f t="shared" si="32"/>
        <v>1481318.1337769288</v>
      </c>
      <c r="I61" s="52">
        <f t="shared" si="26"/>
        <v>0</v>
      </c>
      <c r="J61" s="52"/>
      <c r="K61" s="129"/>
      <c r="L61" s="54">
        <f t="shared" si="27"/>
        <v>0</v>
      </c>
      <c r="M61" s="129"/>
      <c r="N61" s="54">
        <f t="shared" si="28"/>
        <v>0</v>
      </c>
      <c r="O61" s="54">
        <f t="shared" si="29"/>
        <v>0</v>
      </c>
      <c r="P61" s="1"/>
    </row>
    <row r="62" spans="2:17" ht="12.5">
      <c r="B62" s="7" t="str">
        <f t="shared" si="30"/>
        <v/>
      </c>
      <c r="C62" s="50">
        <f>IF(D11="","-",+C61+1)</f>
        <v>2057</v>
      </c>
      <c r="D62" s="55">
        <f>IF(F61+SUM(E$17:E61)=D$10,F61,D$10-SUM(E$17:E61))</f>
        <v>442631.43988353992</v>
      </c>
      <c r="E62" s="378">
        <f>IF(+I14&lt;F61,I14,D62)</f>
        <v>442631.43988353992</v>
      </c>
      <c r="F62" s="55">
        <f t="shared" si="25"/>
        <v>0</v>
      </c>
      <c r="G62" s="380">
        <f t="shared" si="31"/>
        <v>469084.6730781275</v>
      </c>
      <c r="H62" s="364">
        <f t="shared" si="32"/>
        <v>469084.6730781275</v>
      </c>
      <c r="I62" s="52">
        <f t="shared" si="26"/>
        <v>0</v>
      </c>
      <c r="J62" s="52"/>
      <c r="K62" s="129"/>
      <c r="L62" s="54">
        <f t="shared" si="27"/>
        <v>0</v>
      </c>
      <c r="M62" s="129"/>
      <c r="N62" s="54">
        <f t="shared" si="28"/>
        <v>0</v>
      </c>
      <c r="O62" s="54">
        <f t="shared" si="29"/>
        <v>0</v>
      </c>
      <c r="P62" s="1"/>
    </row>
    <row r="63" spans="2:17" ht="12.5">
      <c r="B63" s="7" t="str">
        <f t="shared" si="30"/>
        <v/>
      </c>
      <c r="C63" s="50">
        <f>IF(D11="","-",+C62+1)</f>
        <v>2058</v>
      </c>
      <c r="D63" s="55">
        <f>IF(F62+SUM(E$17:E62)=D$10,F62,D$10-SUM(E$17:E62))</f>
        <v>0</v>
      </c>
      <c r="E63" s="378">
        <f>IF(+I14&lt;F62,I14,D63)</f>
        <v>0</v>
      </c>
      <c r="F63" s="55">
        <f t="shared" si="25"/>
        <v>0</v>
      </c>
      <c r="G63" s="380">
        <f t="shared" si="31"/>
        <v>0</v>
      </c>
      <c r="H63" s="364">
        <f t="shared" si="32"/>
        <v>0</v>
      </c>
      <c r="I63" s="52">
        <f t="shared" si="26"/>
        <v>0</v>
      </c>
      <c r="J63" s="52"/>
      <c r="K63" s="129"/>
      <c r="L63" s="54">
        <f t="shared" si="27"/>
        <v>0</v>
      </c>
      <c r="M63" s="129"/>
      <c r="N63" s="54">
        <f t="shared" si="28"/>
        <v>0</v>
      </c>
      <c r="O63" s="54">
        <f t="shared" si="29"/>
        <v>0</v>
      </c>
      <c r="P63" s="1"/>
    </row>
    <row r="64" spans="2:17" ht="12.5">
      <c r="B64" s="7" t="str">
        <f t="shared" si="30"/>
        <v/>
      </c>
      <c r="C64" s="50">
        <f>IF(D11="","-",+C63+1)</f>
        <v>2059</v>
      </c>
      <c r="D64" s="55">
        <f>IF(F63+SUM(E$17:E63)=D$10,F63,D$10-SUM(E$17:E63))</f>
        <v>0</v>
      </c>
      <c r="E64" s="378">
        <f>IF(+I14&lt;F63,I14,D64)</f>
        <v>0</v>
      </c>
      <c r="F64" s="55">
        <f t="shared" si="25"/>
        <v>0</v>
      </c>
      <c r="G64" s="380">
        <f t="shared" si="31"/>
        <v>0</v>
      </c>
      <c r="H64" s="364">
        <f t="shared" si="32"/>
        <v>0</v>
      </c>
      <c r="I64" s="52">
        <f t="shared" si="26"/>
        <v>0</v>
      </c>
      <c r="J64" s="52"/>
      <c r="K64" s="129"/>
      <c r="L64" s="54">
        <f t="shared" si="27"/>
        <v>0</v>
      </c>
      <c r="M64" s="129"/>
      <c r="N64" s="54">
        <f t="shared" si="28"/>
        <v>0</v>
      </c>
      <c r="O64" s="54">
        <f t="shared" si="29"/>
        <v>0</v>
      </c>
      <c r="P64" s="1"/>
    </row>
    <row r="65" spans="1:16" ht="12.5">
      <c r="B65" s="7" t="str">
        <f t="shared" si="30"/>
        <v/>
      </c>
      <c r="C65" s="50">
        <f>IF(D11="","-",+C64+1)</f>
        <v>2060</v>
      </c>
      <c r="D65" s="55">
        <f>IF(F64+SUM(E$17:E64)=D$10,F64,D$10-SUM(E$17:E64))</f>
        <v>0</v>
      </c>
      <c r="E65" s="378">
        <f>IF(+I14&lt;F64,I14,D65)</f>
        <v>0</v>
      </c>
      <c r="F65" s="55">
        <f t="shared" si="25"/>
        <v>0</v>
      </c>
      <c r="G65" s="380">
        <f t="shared" si="31"/>
        <v>0</v>
      </c>
      <c r="H65" s="364">
        <f t="shared" si="32"/>
        <v>0</v>
      </c>
      <c r="I65" s="52">
        <f t="shared" si="26"/>
        <v>0</v>
      </c>
      <c r="J65" s="52"/>
      <c r="K65" s="129"/>
      <c r="L65" s="54">
        <f t="shared" si="27"/>
        <v>0</v>
      </c>
      <c r="M65" s="129"/>
      <c r="N65" s="54">
        <f t="shared" si="28"/>
        <v>0</v>
      </c>
      <c r="O65" s="54">
        <f t="shared" si="29"/>
        <v>0</v>
      </c>
      <c r="P65" s="1"/>
    </row>
    <row r="66" spans="1:16" ht="12.5">
      <c r="B66" s="7" t="str">
        <f t="shared" si="30"/>
        <v/>
      </c>
      <c r="C66" s="50">
        <f>IF(D11="","-",+C65+1)</f>
        <v>2061</v>
      </c>
      <c r="D66" s="55">
        <f>IF(F65+SUM(E$17:E65)=D$10,F65,D$10-SUM(E$17:E65))</f>
        <v>0</v>
      </c>
      <c r="E66" s="378">
        <f>IF(+I14&lt;F65,I14,D66)</f>
        <v>0</v>
      </c>
      <c r="F66" s="55">
        <f t="shared" si="25"/>
        <v>0</v>
      </c>
      <c r="G66" s="380">
        <f t="shared" si="31"/>
        <v>0</v>
      </c>
      <c r="H66" s="364">
        <f t="shared" si="32"/>
        <v>0</v>
      </c>
      <c r="I66" s="52">
        <f t="shared" si="26"/>
        <v>0</v>
      </c>
      <c r="J66" s="52"/>
      <c r="K66" s="129"/>
      <c r="L66" s="54">
        <f t="shared" si="27"/>
        <v>0</v>
      </c>
      <c r="M66" s="129"/>
      <c r="N66" s="54">
        <f t="shared" si="28"/>
        <v>0</v>
      </c>
      <c r="O66" s="54">
        <f t="shared" si="29"/>
        <v>0</v>
      </c>
      <c r="P66" s="1"/>
    </row>
    <row r="67" spans="1:16" ht="12.5">
      <c r="B67" s="7" t="str">
        <f t="shared" si="30"/>
        <v/>
      </c>
      <c r="C67" s="50">
        <f>IF(D11="","-",+C66+1)</f>
        <v>2062</v>
      </c>
      <c r="D67" s="55">
        <f>IF(F66+SUM(E$17:E66)=D$10,F66,D$10-SUM(E$17:E66))</f>
        <v>0</v>
      </c>
      <c r="E67" s="378">
        <f>IF(+I14&lt;F66,I14,D67)</f>
        <v>0</v>
      </c>
      <c r="F67" s="55">
        <f t="shared" si="25"/>
        <v>0</v>
      </c>
      <c r="G67" s="380">
        <f t="shared" si="31"/>
        <v>0</v>
      </c>
      <c r="H67" s="364">
        <f t="shared" si="32"/>
        <v>0</v>
      </c>
      <c r="I67" s="52">
        <f t="shared" si="26"/>
        <v>0</v>
      </c>
      <c r="J67" s="52"/>
      <c r="K67" s="129"/>
      <c r="L67" s="54">
        <f t="shared" si="27"/>
        <v>0</v>
      </c>
      <c r="M67" s="129"/>
      <c r="N67" s="54">
        <f t="shared" si="28"/>
        <v>0</v>
      </c>
      <c r="O67" s="54">
        <f t="shared" si="29"/>
        <v>0</v>
      </c>
      <c r="P67" s="1"/>
    </row>
    <row r="68" spans="1:16" ht="12.5">
      <c r="B68" s="7" t="str">
        <f t="shared" si="30"/>
        <v/>
      </c>
      <c r="C68" s="50">
        <f>IF(D11="","-",+C67+1)</f>
        <v>2063</v>
      </c>
      <c r="D68" s="55">
        <f>IF(F67+SUM(E$17:E67)=D$10,F67,D$10-SUM(E$17:E67))</f>
        <v>0</v>
      </c>
      <c r="E68" s="378">
        <f>IF(+I14&lt;F67,I14,D68)</f>
        <v>0</v>
      </c>
      <c r="F68" s="55">
        <f t="shared" si="25"/>
        <v>0</v>
      </c>
      <c r="G68" s="380">
        <f t="shared" si="31"/>
        <v>0</v>
      </c>
      <c r="H68" s="364">
        <f t="shared" si="32"/>
        <v>0</v>
      </c>
      <c r="I68" s="52">
        <f t="shared" si="26"/>
        <v>0</v>
      </c>
      <c r="J68" s="52"/>
      <c r="K68" s="129"/>
      <c r="L68" s="54">
        <f t="shared" si="27"/>
        <v>0</v>
      </c>
      <c r="M68" s="129"/>
      <c r="N68" s="54">
        <f t="shared" si="28"/>
        <v>0</v>
      </c>
      <c r="O68" s="54">
        <f t="shared" si="29"/>
        <v>0</v>
      </c>
      <c r="P68" s="1"/>
    </row>
    <row r="69" spans="1:16" ht="12.5">
      <c r="B69" s="7" t="str">
        <f t="shared" si="30"/>
        <v/>
      </c>
      <c r="C69" s="50">
        <f>IF(D11="","-",+C68+1)</f>
        <v>2064</v>
      </c>
      <c r="D69" s="55">
        <f>IF(F68+SUM(E$17:E68)=D$10,F68,D$10-SUM(E$17:E68))</f>
        <v>0</v>
      </c>
      <c r="E69" s="378">
        <f>IF(+I14&lt;F68,I14,D69)</f>
        <v>0</v>
      </c>
      <c r="F69" s="55">
        <f t="shared" si="25"/>
        <v>0</v>
      </c>
      <c r="G69" s="380">
        <f t="shared" si="31"/>
        <v>0</v>
      </c>
      <c r="H69" s="364">
        <f t="shared" si="32"/>
        <v>0</v>
      </c>
      <c r="I69" s="52">
        <f t="shared" si="26"/>
        <v>0</v>
      </c>
      <c r="J69" s="52"/>
      <c r="K69" s="129"/>
      <c r="L69" s="54">
        <f t="shared" si="27"/>
        <v>0</v>
      </c>
      <c r="M69" s="129"/>
      <c r="N69" s="54">
        <f t="shared" si="28"/>
        <v>0</v>
      </c>
      <c r="O69" s="54">
        <f t="shared" si="29"/>
        <v>0</v>
      </c>
      <c r="P69" s="1"/>
    </row>
    <row r="70" spans="1:16" ht="12.5">
      <c r="B70" s="7" t="str">
        <f t="shared" si="30"/>
        <v/>
      </c>
      <c r="C70" s="50">
        <f>IF(D11="","-",+C69+1)</f>
        <v>2065</v>
      </c>
      <c r="D70" s="55">
        <f>IF(F69+SUM(E$17:E69)=D$10,F69,D$10-SUM(E$17:E69))</f>
        <v>0</v>
      </c>
      <c r="E70" s="378">
        <f>IF(+I14&lt;F69,I14,D70)</f>
        <v>0</v>
      </c>
      <c r="F70" s="55">
        <f t="shared" si="25"/>
        <v>0</v>
      </c>
      <c r="G70" s="380">
        <f t="shared" si="31"/>
        <v>0</v>
      </c>
      <c r="H70" s="364">
        <f t="shared" si="32"/>
        <v>0</v>
      </c>
      <c r="I70" s="52">
        <f t="shared" si="26"/>
        <v>0</v>
      </c>
      <c r="J70" s="52"/>
      <c r="K70" s="129"/>
      <c r="L70" s="54">
        <f t="shared" si="27"/>
        <v>0</v>
      </c>
      <c r="M70" s="129"/>
      <c r="N70" s="54">
        <f t="shared" si="28"/>
        <v>0</v>
      </c>
      <c r="O70" s="54">
        <f t="shared" si="29"/>
        <v>0</v>
      </c>
      <c r="P70" s="1"/>
    </row>
    <row r="71" spans="1:16" ht="12.5">
      <c r="B71" s="7" t="str">
        <f t="shared" si="30"/>
        <v/>
      </c>
      <c r="C71" s="50">
        <f>IF(D11="","-",+C70+1)</f>
        <v>2066</v>
      </c>
      <c r="D71" s="55">
        <f>IF(F70+SUM(E$17:E70)=D$10,F70,D$10-SUM(E$17:E70))</f>
        <v>0</v>
      </c>
      <c r="E71" s="378">
        <f>IF(+I14&lt;F70,I14,D71)</f>
        <v>0</v>
      </c>
      <c r="F71" s="55">
        <f t="shared" si="25"/>
        <v>0</v>
      </c>
      <c r="G71" s="380">
        <f t="shared" si="31"/>
        <v>0</v>
      </c>
      <c r="H71" s="364">
        <f t="shared" si="32"/>
        <v>0</v>
      </c>
      <c r="I71" s="52">
        <f t="shared" si="26"/>
        <v>0</v>
      </c>
      <c r="J71" s="52"/>
      <c r="K71" s="129"/>
      <c r="L71" s="54">
        <f t="shared" si="27"/>
        <v>0</v>
      </c>
      <c r="M71" s="129"/>
      <c r="N71" s="54">
        <f t="shared" si="28"/>
        <v>0</v>
      </c>
      <c r="O71" s="54">
        <f t="shared" si="29"/>
        <v>0</v>
      </c>
      <c r="P71" s="1"/>
    </row>
    <row r="72" spans="1:16" ht="13" thickBot="1">
      <c r="B72" s="7" t="str">
        <f t="shared" si="30"/>
        <v/>
      </c>
      <c r="C72" s="59">
        <f>IF(D11="","-",+C71+1)</f>
        <v>2067</v>
      </c>
      <c r="D72" s="60">
        <f>IF(F71+SUM(E$17:E71)=D$10,F71,D$10-SUM(E$17:E71))</f>
        <v>0</v>
      </c>
      <c r="E72" s="381">
        <f>IF(+I14&lt;F71,I14,D72)</f>
        <v>0</v>
      </c>
      <c r="F72" s="60">
        <f t="shared" si="25"/>
        <v>0</v>
      </c>
      <c r="G72" s="382">
        <f t="shared" si="31"/>
        <v>0</v>
      </c>
      <c r="H72" s="362">
        <f t="shared" si="32"/>
        <v>0</v>
      </c>
      <c r="I72" s="63">
        <f t="shared" si="26"/>
        <v>0</v>
      </c>
      <c r="J72" s="52"/>
      <c r="K72" s="130"/>
      <c r="L72" s="64">
        <f t="shared" si="27"/>
        <v>0</v>
      </c>
      <c r="M72" s="130"/>
      <c r="N72" s="64">
        <f t="shared" si="28"/>
        <v>0</v>
      </c>
      <c r="O72" s="64">
        <f t="shared" si="29"/>
        <v>0</v>
      </c>
      <c r="P72" s="1"/>
    </row>
    <row r="73" spans="1:16" ht="12.5">
      <c r="C73" s="12" t="s">
        <v>78</v>
      </c>
      <c r="D73" s="293"/>
      <c r="E73" s="293">
        <f>SUM(E17:E72)</f>
        <v>59305788.000000015</v>
      </c>
      <c r="F73" s="293"/>
      <c r="G73" s="293">
        <f>SUM(G17:G72)</f>
        <v>213622000.81061685</v>
      </c>
      <c r="H73" s="293">
        <f>SUM(H17:H72)</f>
        <v>213622000.81061685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7.5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33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6636700.468595529</v>
      </c>
      <c r="N87" s="387">
        <f>IF(J92&lt;D11,0,VLOOKUP(J92,C17:O72,11))</f>
        <v>6636700.468595529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6875570.2796145948</v>
      </c>
      <c r="N88" s="390">
        <f>IF(J92&lt;D11,0,VLOOKUP(J92,C99:P154,7))</f>
        <v>6875570.2796145948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27" t="str">
        <f>D7</f>
        <v xml:space="preserve"> Flint Creek-Shipe Road 345 kV Line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238869.81101906579</v>
      </c>
      <c r="N89" s="392">
        <f>+N88-N87</f>
        <v>238869.81101906579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TP208126</v>
      </c>
      <c r="E91" s="76" t="str">
        <f>E9</f>
        <v xml:space="preserve">SPP Project ID = </v>
      </c>
      <c r="F91" s="463">
        <f>F9</f>
        <v>450</v>
      </c>
      <c r="G91" s="76"/>
      <c r="H91" s="76"/>
      <c r="I91" s="76"/>
      <c r="J91" s="95"/>
      <c r="Q91" s="1"/>
    </row>
    <row r="92" spans="1:17" ht="13">
      <c r="C92" s="34" t="s">
        <v>51</v>
      </c>
      <c r="D92" s="363">
        <v>59295600.189999998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  <c r="Q92" s="1"/>
    </row>
    <row r="93" spans="1:17" ht="12.5">
      <c r="C93" s="34" t="s">
        <v>54</v>
      </c>
      <c r="D93" s="458">
        <v>2012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459">
        <v>4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1347627.2770454546</v>
      </c>
      <c r="K96" s="293"/>
      <c r="L96" s="293"/>
      <c r="M96" s="293"/>
      <c r="N96" s="293"/>
      <c r="O96" s="293"/>
      <c r="P96" s="1"/>
      <c r="Q96" s="1"/>
    </row>
    <row r="97" spans="1:17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 ht="12.5">
      <c r="C99" s="50">
        <f>IF(D93= "","-",D93)</f>
        <v>2012</v>
      </c>
      <c r="D99" s="133">
        <v>0</v>
      </c>
      <c r="E99" s="376">
        <v>48831.630952380954</v>
      </c>
      <c r="F99" s="137">
        <v>4053025.3690476189</v>
      </c>
      <c r="G99" s="140">
        <v>2026512.6845238095</v>
      </c>
      <c r="H99" s="397">
        <v>347040.94031483348</v>
      </c>
      <c r="I99" s="398">
        <v>347040.94031483348</v>
      </c>
      <c r="J99" s="154">
        <f t="shared" ref="J99:J130" si="33">+I99-H99</f>
        <v>0</v>
      </c>
      <c r="K99" s="54"/>
      <c r="L99" s="112">
        <f t="shared" ref="L99:L104" si="34">H99</f>
        <v>347040.94031483348</v>
      </c>
      <c r="M99" s="53">
        <f t="shared" ref="M99:M130" si="35">IF(L99&lt;&gt;0,+H99-L99,0)</f>
        <v>0</v>
      </c>
      <c r="N99" s="112">
        <f t="shared" ref="N99:N104" si="36">I99</f>
        <v>347040.94031483348</v>
      </c>
      <c r="O99" s="53">
        <f t="shared" ref="O99:O130" si="37">IF(N99&lt;&gt;0,+I99-N99,0)</f>
        <v>0</v>
      </c>
      <c r="P99" s="53">
        <f t="shared" ref="P99:P130" si="38">+O99-M99</f>
        <v>0</v>
      </c>
      <c r="Q99" s="1"/>
    </row>
    <row r="100" spans="1:17" ht="12.5">
      <c r="B100" s="7" t="str">
        <f t="shared" ref="B100:B131" si="39">IF(D100=F99,"","IU")</f>
        <v>IU</v>
      </c>
      <c r="C100" s="50">
        <f>IF(D93="","-",+C99+1)</f>
        <v>2013</v>
      </c>
      <c r="D100" s="133">
        <v>8932602.3690476194</v>
      </c>
      <c r="E100" s="376">
        <v>213843.66666666666</v>
      </c>
      <c r="F100" s="137">
        <v>8718758.7023809534</v>
      </c>
      <c r="G100" s="137">
        <v>8825680.5357142873</v>
      </c>
      <c r="H100" s="397">
        <v>1407885.0103828101</v>
      </c>
      <c r="I100" s="398">
        <v>1407885.0103828101</v>
      </c>
      <c r="J100" s="154">
        <v>0</v>
      </c>
      <c r="K100" s="54"/>
      <c r="L100" s="113">
        <f t="shared" si="34"/>
        <v>1407885.0103828101</v>
      </c>
      <c r="M100" s="54">
        <f t="shared" ref="M100:M105" si="40">IF(L100&lt;&gt;0,+H100-L100,0)</f>
        <v>0</v>
      </c>
      <c r="N100" s="113">
        <f t="shared" si="36"/>
        <v>1407885.0103828101</v>
      </c>
      <c r="O100" s="54">
        <f>IF(N100&lt;&gt;0,+I100-N100,0)</f>
        <v>0</v>
      </c>
      <c r="P100" s="54">
        <f>+O100-M100</f>
        <v>0</v>
      </c>
      <c r="Q100" s="1"/>
    </row>
    <row r="101" spans="1:17" ht="12.5">
      <c r="B101" s="7" t="str">
        <f t="shared" si="39"/>
        <v>IU</v>
      </c>
      <c r="C101" s="50">
        <f>IF(D93="","-",+C100+1)</f>
        <v>2014</v>
      </c>
      <c r="D101" s="133">
        <v>57803227.702380955</v>
      </c>
      <c r="E101" s="376">
        <v>1382521.5</v>
      </c>
      <c r="F101" s="137">
        <v>56420706.202380955</v>
      </c>
      <c r="G101" s="137">
        <v>57111966.952380955</v>
      </c>
      <c r="H101" s="397">
        <v>9145377.6421220824</v>
      </c>
      <c r="I101" s="398">
        <v>9145377.6421220824</v>
      </c>
      <c r="J101" s="54">
        <v>0</v>
      </c>
      <c r="K101" s="54"/>
      <c r="L101" s="113">
        <f t="shared" si="34"/>
        <v>9145377.6421220824</v>
      </c>
      <c r="M101" s="54">
        <f t="shared" si="40"/>
        <v>0</v>
      </c>
      <c r="N101" s="113">
        <f t="shared" si="36"/>
        <v>9145377.6421220824</v>
      </c>
      <c r="O101" s="54">
        <f>IF(N101&lt;&gt;0,+I101-N101,0)</f>
        <v>0</v>
      </c>
      <c r="P101" s="54">
        <f>+O101-M101</f>
        <v>0</v>
      </c>
      <c r="Q101" s="1"/>
    </row>
    <row r="102" spans="1:17" ht="12.5">
      <c r="B102" s="7" t="str">
        <f t="shared" si="39"/>
        <v>IU</v>
      </c>
      <c r="C102" s="50">
        <f>IF(D93="","-",+C101+1)</f>
        <v>2015</v>
      </c>
      <c r="D102" s="133">
        <v>56479124.932380959</v>
      </c>
      <c r="E102" s="376">
        <v>1383912.4221428572</v>
      </c>
      <c r="F102" s="137">
        <v>55095212.510238104</v>
      </c>
      <c r="G102" s="137">
        <v>55787168.721309528</v>
      </c>
      <c r="H102" s="397">
        <v>8734925.0443726294</v>
      </c>
      <c r="I102" s="398">
        <v>8734925.0443726294</v>
      </c>
      <c r="J102" s="54">
        <f t="shared" si="33"/>
        <v>0</v>
      </c>
      <c r="K102" s="54"/>
      <c r="L102" s="113">
        <f t="shared" si="34"/>
        <v>8734925.0443726294</v>
      </c>
      <c r="M102" s="54">
        <f t="shared" si="40"/>
        <v>0</v>
      </c>
      <c r="N102" s="113">
        <f t="shared" si="36"/>
        <v>8734925.0443726294</v>
      </c>
      <c r="O102" s="54">
        <f>IF(N102&lt;&gt;0,+I102-N102,0)</f>
        <v>0</v>
      </c>
      <c r="P102" s="54">
        <f>+O102-M102</f>
        <v>0</v>
      </c>
      <c r="Q102" s="1"/>
    </row>
    <row r="103" spans="1:17" ht="12.5">
      <c r="B103" s="7" t="str">
        <f t="shared" si="39"/>
        <v>IU</v>
      </c>
      <c r="C103" s="50">
        <f>IF(D93="","-",+C102+1)</f>
        <v>2016</v>
      </c>
      <c r="D103" s="133">
        <v>56276678.780238092</v>
      </c>
      <c r="E103" s="376">
        <v>1379204.3720930233</v>
      </c>
      <c r="F103" s="137">
        <v>54897474.40814507</v>
      </c>
      <c r="G103" s="137">
        <v>55587076.594191581</v>
      </c>
      <c r="H103" s="397">
        <v>8435983.0947099216</v>
      </c>
      <c r="I103" s="398">
        <v>8435983.0947099216</v>
      </c>
      <c r="J103" s="54">
        <f t="shared" si="33"/>
        <v>0</v>
      </c>
      <c r="K103" s="54"/>
      <c r="L103" s="113">
        <f t="shared" si="34"/>
        <v>8435983.0947099216</v>
      </c>
      <c r="M103" s="54">
        <f t="shared" si="40"/>
        <v>0</v>
      </c>
      <c r="N103" s="113">
        <f t="shared" si="36"/>
        <v>8435983.0947099216</v>
      </c>
      <c r="O103" s="54">
        <f>IF(N103&lt;&gt;0,+I103-N103,0)</f>
        <v>0</v>
      </c>
      <c r="P103" s="54">
        <f>+O103-M103</f>
        <v>0</v>
      </c>
      <c r="Q103" s="1"/>
    </row>
    <row r="104" spans="1:17" ht="12.5">
      <c r="B104" s="7" t="str">
        <f t="shared" si="39"/>
        <v/>
      </c>
      <c r="C104" s="50">
        <f>IF(D93="","-",+C103+1)</f>
        <v>2017</v>
      </c>
      <c r="D104" s="133">
        <v>54897474.40814507</v>
      </c>
      <c r="E104" s="376">
        <v>1412042.5714285714</v>
      </c>
      <c r="F104" s="137">
        <v>53485431.836716495</v>
      </c>
      <c r="G104" s="137">
        <v>54191453.122430786</v>
      </c>
      <c r="H104" s="397">
        <v>7994757.3762234207</v>
      </c>
      <c r="I104" s="398">
        <v>7994757.3762234207</v>
      </c>
      <c r="J104" s="54">
        <f t="shared" si="33"/>
        <v>0</v>
      </c>
      <c r="K104" s="54"/>
      <c r="L104" s="113">
        <f t="shared" si="34"/>
        <v>7994757.3762234207</v>
      </c>
      <c r="M104" s="54">
        <f t="shared" si="40"/>
        <v>0</v>
      </c>
      <c r="N104" s="113">
        <f t="shared" si="36"/>
        <v>7994757.3762234207</v>
      </c>
      <c r="O104" s="54">
        <f>IF(N104&lt;&gt;0,+I104-N104,0)</f>
        <v>0</v>
      </c>
      <c r="P104" s="54">
        <f>+O104-M104</f>
        <v>0</v>
      </c>
      <c r="Q104" s="1"/>
    </row>
    <row r="105" spans="1:17" ht="12.5">
      <c r="B105" s="7" t="str">
        <f t="shared" si="39"/>
        <v/>
      </c>
      <c r="C105" s="50">
        <f>IF(D93="","-",+C104+1)</f>
        <v>2018</v>
      </c>
      <c r="D105" s="133">
        <v>53485431.836716495</v>
      </c>
      <c r="E105" s="376">
        <v>1412042.5714285714</v>
      </c>
      <c r="F105" s="137">
        <v>52073389.265287921</v>
      </c>
      <c r="G105" s="137">
        <v>52779410.551002204</v>
      </c>
      <c r="H105" s="397">
        <v>6985790.362479778</v>
      </c>
      <c r="I105" s="398">
        <v>6985790.362479778</v>
      </c>
      <c r="J105" s="54">
        <f t="shared" si="33"/>
        <v>0</v>
      </c>
      <c r="K105" s="54"/>
      <c r="L105" s="113">
        <f t="shared" ref="L105" si="41">H105</f>
        <v>6985790.362479778</v>
      </c>
      <c r="M105" s="54">
        <f t="shared" si="40"/>
        <v>0</v>
      </c>
      <c r="N105" s="113">
        <f t="shared" ref="N105" si="42">I105</f>
        <v>6985790.362479778</v>
      </c>
      <c r="O105" s="54">
        <f t="shared" si="37"/>
        <v>0</v>
      </c>
      <c r="P105" s="54">
        <f t="shared" si="38"/>
        <v>0</v>
      </c>
      <c r="Q105" s="1"/>
    </row>
    <row r="106" spans="1:17" ht="12.5">
      <c r="B106" s="7" t="str">
        <f t="shared" si="39"/>
        <v/>
      </c>
      <c r="C106" s="50">
        <f>IF(D93="","-",+C105+1)</f>
        <v>2019</v>
      </c>
      <c r="D106" s="133">
        <v>52073389.265287921</v>
      </c>
      <c r="E106" s="376">
        <v>1379204.3720930233</v>
      </c>
      <c r="F106" s="137">
        <v>50694184.893194899</v>
      </c>
      <c r="G106" s="137">
        <v>51383787.07924141</v>
      </c>
      <c r="H106" s="397">
        <v>6879353.0244559515</v>
      </c>
      <c r="I106" s="398">
        <v>6879353.0244559515</v>
      </c>
      <c r="J106" s="54">
        <f t="shared" si="33"/>
        <v>0</v>
      </c>
      <c r="K106" s="54"/>
      <c r="L106" s="113">
        <f t="shared" ref="L106" si="43">H106</f>
        <v>6879353.0244559515</v>
      </c>
      <c r="M106" s="54">
        <f t="shared" ref="M106" si="44">IF(L106&lt;&gt;0,+H106-L106,0)</f>
        <v>0</v>
      </c>
      <c r="N106" s="113">
        <f t="shared" ref="N106" si="45">I106</f>
        <v>6879353.0244559515</v>
      </c>
      <c r="O106" s="54">
        <f t="shared" si="37"/>
        <v>0</v>
      </c>
      <c r="P106" s="54">
        <f t="shared" si="38"/>
        <v>0</v>
      </c>
      <c r="Q106" s="1"/>
    </row>
    <row r="107" spans="1:17" ht="12.5">
      <c r="B107" s="7" t="str">
        <f t="shared" si="39"/>
        <v/>
      </c>
      <c r="C107" s="50">
        <f>IF(D93="","-",+C106+1)</f>
        <v>2020</v>
      </c>
      <c r="D107" s="133">
        <v>50694184.893194899</v>
      </c>
      <c r="E107" s="376">
        <v>1412042.5714285714</v>
      </c>
      <c r="F107" s="137">
        <v>49282142.321766324</v>
      </c>
      <c r="G107" s="137">
        <v>49988163.607480615</v>
      </c>
      <c r="H107" s="397">
        <v>6789460.9103591554</v>
      </c>
      <c r="I107" s="398">
        <v>6789460.9103591554</v>
      </c>
      <c r="J107" s="54">
        <f t="shared" si="33"/>
        <v>0</v>
      </c>
      <c r="K107" s="54"/>
      <c r="L107" s="113">
        <f t="shared" ref="L107" si="46">H107</f>
        <v>6789460.9103591554</v>
      </c>
      <c r="M107" s="54">
        <f t="shared" ref="M107" si="47">IF(L107&lt;&gt;0,+H107-L107,0)</f>
        <v>0</v>
      </c>
      <c r="N107" s="113">
        <f t="shared" ref="N107" si="48">I107</f>
        <v>6789460.9103591554</v>
      </c>
      <c r="O107" s="54">
        <f t="shared" si="37"/>
        <v>0</v>
      </c>
      <c r="P107" s="54">
        <f t="shared" si="38"/>
        <v>0</v>
      </c>
      <c r="Q107" s="1"/>
    </row>
    <row r="108" spans="1:17" ht="12.5">
      <c r="B108" s="7" t="str">
        <f t="shared" si="39"/>
        <v/>
      </c>
      <c r="C108" s="50">
        <f>IF(D93="","-",+C107+1)</f>
        <v>2021</v>
      </c>
      <c r="D108" s="133">
        <v>49282142.321766324</v>
      </c>
      <c r="E108" s="376">
        <v>1446482.6341463414</v>
      </c>
      <c r="F108" s="137">
        <v>47835659.687619984</v>
      </c>
      <c r="G108" s="137">
        <v>48558901.004693151</v>
      </c>
      <c r="H108" s="397">
        <v>6958608.7151588602</v>
      </c>
      <c r="I108" s="398">
        <v>6958608.7151588602</v>
      </c>
      <c r="J108" s="54">
        <f t="shared" si="33"/>
        <v>0</v>
      </c>
      <c r="K108" s="54"/>
      <c r="L108" s="113">
        <f t="shared" ref="L108" si="49">H108</f>
        <v>6958608.7151588602</v>
      </c>
      <c r="M108" s="54">
        <f t="shared" ref="M108" si="50">IF(L108&lt;&gt;0,+H108-L108,0)</f>
        <v>0</v>
      </c>
      <c r="N108" s="113">
        <f t="shared" ref="N108" si="51">I108</f>
        <v>6958608.7151588602</v>
      </c>
      <c r="O108" s="54">
        <f t="shared" si="37"/>
        <v>0</v>
      </c>
      <c r="P108" s="54">
        <f t="shared" si="38"/>
        <v>0</v>
      </c>
      <c r="Q108" s="1"/>
    </row>
    <row r="109" spans="1:17" ht="12.5">
      <c r="B109" s="7" t="str">
        <f t="shared" si="39"/>
        <v/>
      </c>
      <c r="C109" s="50">
        <f>IF(D93="","-",+C108+1)</f>
        <v>2022</v>
      </c>
      <c r="D109" s="133">
        <v>47835659.687619984</v>
      </c>
      <c r="E109" s="376">
        <v>1412042.5714285714</v>
      </c>
      <c r="F109" s="137">
        <v>46423617.11619141</v>
      </c>
      <c r="G109" s="137">
        <v>47129638.401905701</v>
      </c>
      <c r="H109" s="397">
        <v>6947788.241485199</v>
      </c>
      <c r="I109" s="398">
        <v>6947788.241485199</v>
      </c>
      <c r="J109" s="54">
        <f t="shared" si="33"/>
        <v>0</v>
      </c>
      <c r="K109" s="54"/>
      <c r="L109" s="113">
        <f t="shared" ref="L109" si="52">H109</f>
        <v>6947788.241485199</v>
      </c>
      <c r="M109" s="54">
        <f t="shared" ref="M109" si="53">IF(L109&lt;&gt;0,+H109-L109,0)</f>
        <v>0</v>
      </c>
      <c r="N109" s="113">
        <f t="shared" ref="N109" si="54">I109</f>
        <v>6947788.241485199</v>
      </c>
      <c r="O109" s="54">
        <f t="shared" ref="O109" si="55">IF(N109&lt;&gt;0,+I109-N109,0)</f>
        <v>0</v>
      </c>
      <c r="P109" s="54">
        <f t="shared" ref="P109" si="56">+O109-M109</f>
        <v>0</v>
      </c>
      <c r="Q109" s="1"/>
    </row>
    <row r="110" spans="1:17" ht="12.5">
      <c r="B110" s="7" t="str">
        <f t="shared" si="39"/>
        <v>IU</v>
      </c>
      <c r="C110" s="50">
        <f>IF(D93="","-",+C109+1)</f>
        <v>2023</v>
      </c>
      <c r="D110" s="133">
        <v>46423617.016191438</v>
      </c>
      <c r="E110" s="376">
        <v>1347858.8159090912</v>
      </c>
      <c r="F110" s="137">
        <v>45075758.20028235</v>
      </c>
      <c r="G110" s="137">
        <v>45749687.608236894</v>
      </c>
      <c r="H110" s="397">
        <v>6991771.5995218614</v>
      </c>
      <c r="I110" s="398">
        <v>6991771.5995218614</v>
      </c>
      <c r="J110" s="54">
        <f t="shared" si="33"/>
        <v>0</v>
      </c>
      <c r="K110" s="54"/>
      <c r="L110" s="113">
        <f t="shared" ref="L110" si="57">H110</f>
        <v>6991771.5995218614</v>
      </c>
      <c r="M110" s="54">
        <f t="shared" ref="M110" si="58">IF(L110&lt;&gt;0,+H110-L110,0)</f>
        <v>0</v>
      </c>
      <c r="N110" s="113">
        <f t="shared" ref="N110" si="59">I110</f>
        <v>6991771.5995218614</v>
      </c>
      <c r="O110" s="54">
        <f t="shared" ref="O110" si="60">IF(N110&lt;&gt;0,+I110-N110,0)</f>
        <v>0</v>
      </c>
      <c r="P110" s="54">
        <f t="shared" ref="P110" si="61">+O110-M110</f>
        <v>0</v>
      </c>
      <c r="Q110" s="1"/>
    </row>
    <row r="111" spans="1:17" ht="12.5">
      <c r="B111" s="7" t="str">
        <f t="shared" si="39"/>
        <v>IU</v>
      </c>
      <c r="C111" s="50">
        <f>IF(D93="","-",+C110+1)</f>
        <v>2024</v>
      </c>
      <c r="D111" s="12">
        <f>IF(F110+SUM(E$99:E110)=D$92,F110,D$92-SUM(E$99:E110))</f>
        <v>45065570.490282327</v>
      </c>
      <c r="E111" s="378">
        <f>IF(+J96&lt;F110,J96,D111)</f>
        <v>1347627.2770454546</v>
      </c>
      <c r="F111" s="55">
        <f t="shared" ref="F111:F131" si="62">+D111-E111</f>
        <v>43717943.213236876</v>
      </c>
      <c r="G111" s="55">
        <f t="shared" ref="G111:G130" si="63">+(F111+D111)/2</f>
        <v>44391756.851759598</v>
      </c>
      <c r="H111" s="380">
        <f t="shared" ref="H111:H130" si="64">+J$94*G111+E111</f>
        <v>6875570.2796145948</v>
      </c>
      <c r="I111" s="399">
        <f t="shared" ref="I111:I130" si="65">+J$95*G111+E111</f>
        <v>6875570.2796145948</v>
      </c>
      <c r="J111" s="54">
        <f t="shared" si="33"/>
        <v>0</v>
      </c>
      <c r="K111" s="54"/>
      <c r="L111" s="129"/>
      <c r="M111" s="54">
        <f t="shared" si="35"/>
        <v>0</v>
      </c>
      <c r="N111" s="129"/>
      <c r="O111" s="54">
        <f t="shared" si="37"/>
        <v>0</v>
      </c>
      <c r="P111" s="54">
        <f t="shared" si="38"/>
        <v>0</v>
      </c>
      <c r="Q111" s="1"/>
    </row>
    <row r="112" spans="1:17" ht="12.5">
      <c r="B112" s="7" t="str">
        <f t="shared" si="39"/>
        <v/>
      </c>
      <c r="C112" s="50">
        <f>IF(D93="","-",+C111+1)</f>
        <v>2025</v>
      </c>
      <c r="D112" s="12">
        <f>IF(F111+SUM(E$99:E111)=D$92,F111,D$92-SUM(E$99:E111))</f>
        <v>43717943.213236876</v>
      </c>
      <c r="E112" s="378">
        <f>IF(+J96&lt;F111,J96,D112)</f>
        <v>1347627.2770454546</v>
      </c>
      <c r="F112" s="55">
        <f t="shared" si="62"/>
        <v>42370315.936191425</v>
      </c>
      <c r="G112" s="55">
        <f t="shared" si="63"/>
        <v>43044129.574714154</v>
      </c>
      <c r="H112" s="380">
        <f t="shared" si="64"/>
        <v>6707755.187252027</v>
      </c>
      <c r="I112" s="399">
        <f t="shared" si="65"/>
        <v>6707755.187252027</v>
      </c>
      <c r="J112" s="54">
        <f t="shared" si="33"/>
        <v>0</v>
      </c>
      <c r="K112" s="54"/>
      <c r="L112" s="129"/>
      <c r="M112" s="54">
        <f t="shared" si="35"/>
        <v>0</v>
      </c>
      <c r="N112" s="129"/>
      <c r="O112" s="54">
        <f t="shared" si="37"/>
        <v>0</v>
      </c>
      <c r="P112" s="54">
        <f t="shared" si="38"/>
        <v>0</v>
      </c>
      <c r="Q112" s="1"/>
    </row>
    <row r="113" spans="2:17" ht="12.5">
      <c r="B113" s="7" t="str">
        <f t="shared" si="39"/>
        <v/>
      </c>
      <c r="C113" s="50">
        <f>IF(D93="","-",+C112+1)</f>
        <v>2026</v>
      </c>
      <c r="D113" s="12">
        <f>IF(F112+SUM(E$99:E112)=D$92,F112,D$92-SUM(E$99:E112))</f>
        <v>42370315.936191425</v>
      </c>
      <c r="E113" s="378">
        <f>IF(+J96&lt;F112,J96,D113)</f>
        <v>1347627.2770454546</v>
      </c>
      <c r="F113" s="55">
        <f t="shared" si="62"/>
        <v>41022688.659145974</v>
      </c>
      <c r="G113" s="55">
        <f t="shared" si="63"/>
        <v>41696502.297668695</v>
      </c>
      <c r="H113" s="380">
        <f t="shared" si="64"/>
        <v>6539940.0948894583</v>
      </c>
      <c r="I113" s="399">
        <f t="shared" si="65"/>
        <v>6539940.0948894583</v>
      </c>
      <c r="J113" s="54">
        <f t="shared" si="33"/>
        <v>0</v>
      </c>
      <c r="K113" s="54"/>
      <c r="L113" s="129"/>
      <c r="M113" s="54">
        <f t="shared" si="35"/>
        <v>0</v>
      </c>
      <c r="N113" s="129"/>
      <c r="O113" s="54">
        <f t="shared" si="37"/>
        <v>0</v>
      </c>
      <c r="P113" s="54">
        <f t="shared" si="38"/>
        <v>0</v>
      </c>
      <c r="Q113" s="1"/>
    </row>
    <row r="114" spans="2:17" ht="12.5">
      <c r="B114" s="7" t="str">
        <f t="shared" si="39"/>
        <v/>
      </c>
      <c r="C114" s="50">
        <f>IF(D93="","-",+C113+1)</f>
        <v>2027</v>
      </c>
      <c r="D114" s="12">
        <f>IF(F113+SUM(E$99:E113)=D$92,F113,D$92-SUM(E$99:E113))</f>
        <v>41022688.659145974</v>
      </c>
      <c r="E114" s="378">
        <f>IF(+J96&lt;F113,J96,D114)</f>
        <v>1347627.2770454546</v>
      </c>
      <c r="F114" s="55">
        <f t="shared" si="62"/>
        <v>39675061.382100523</v>
      </c>
      <c r="G114" s="55">
        <f t="shared" si="63"/>
        <v>40348875.020623252</v>
      </c>
      <c r="H114" s="380">
        <f t="shared" si="64"/>
        <v>6372125.0025268905</v>
      </c>
      <c r="I114" s="399">
        <f t="shared" si="65"/>
        <v>6372125.0025268905</v>
      </c>
      <c r="J114" s="54">
        <f t="shared" si="33"/>
        <v>0</v>
      </c>
      <c r="K114" s="54"/>
      <c r="L114" s="129"/>
      <c r="M114" s="54">
        <f t="shared" si="35"/>
        <v>0</v>
      </c>
      <c r="N114" s="129"/>
      <c r="O114" s="54">
        <f t="shared" si="37"/>
        <v>0</v>
      </c>
      <c r="P114" s="54">
        <f t="shared" si="38"/>
        <v>0</v>
      </c>
      <c r="Q114" s="1"/>
    </row>
    <row r="115" spans="2:17" ht="12.5">
      <c r="B115" s="7" t="str">
        <f t="shared" si="39"/>
        <v/>
      </c>
      <c r="C115" s="50">
        <f>IF(D93="","-",+C114+1)</f>
        <v>2028</v>
      </c>
      <c r="D115" s="12">
        <f>IF(F114+SUM(E$99:E114)=D$92,F114,D$92-SUM(E$99:E114))</f>
        <v>39675061.382100523</v>
      </c>
      <c r="E115" s="378">
        <f>IF(+J96&lt;F114,J96,D115)</f>
        <v>1347627.2770454546</v>
      </c>
      <c r="F115" s="55">
        <f t="shared" si="62"/>
        <v>38327434.105055071</v>
      </c>
      <c r="G115" s="55">
        <f t="shared" si="63"/>
        <v>39001247.743577793</v>
      </c>
      <c r="H115" s="380">
        <f t="shared" si="64"/>
        <v>6204309.9101643218</v>
      </c>
      <c r="I115" s="399">
        <f t="shared" si="65"/>
        <v>6204309.9101643218</v>
      </c>
      <c r="J115" s="54">
        <f t="shared" si="33"/>
        <v>0</v>
      </c>
      <c r="K115" s="54"/>
      <c r="L115" s="129"/>
      <c r="M115" s="54">
        <f t="shared" si="35"/>
        <v>0</v>
      </c>
      <c r="N115" s="129"/>
      <c r="O115" s="54">
        <f t="shared" si="37"/>
        <v>0</v>
      </c>
      <c r="P115" s="54">
        <f t="shared" si="38"/>
        <v>0</v>
      </c>
      <c r="Q115" s="1"/>
    </row>
    <row r="116" spans="2:17" ht="12.5">
      <c r="B116" s="7" t="str">
        <f t="shared" si="39"/>
        <v/>
      </c>
      <c r="C116" s="50">
        <f>IF(D93="","-",+C115+1)</f>
        <v>2029</v>
      </c>
      <c r="D116" s="12">
        <f>IF(F115+SUM(E$99:E115)=D$92,F115,D$92-SUM(E$99:E115))</f>
        <v>38327434.105055071</v>
      </c>
      <c r="E116" s="378">
        <f>IF(+J96&lt;F115,J96,D116)</f>
        <v>1347627.2770454546</v>
      </c>
      <c r="F116" s="55">
        <f t="shared" si="62"/>
        <v>36979806.82800962</v>
      </c>
      <c r="G116" s="55">
        <f t="shared" si="63"/>
        <v>37653620.46653235</v>
      </c>
      <c r="H116" s="380">
        <f t="shared" si="64"/>
        <v>6036494.8178017549</v>
      </c>
      <c r="I116" s="399">
        <f t="shared" si="65"/>
        <v>6036494.8178017549</v>
      </c>
      <c r="J116" s="54">
        <f t="shared" si="33"/>
        <v>0</v>
      </c>
      <c r="K116" s="54"/>
      <c r="L116" s="129"/>
      <c r="M116" s="54">
        <f t="shared" si="35"/>
        <v>0</v>
      </c>
      <c r="N116" s="129"/>
      <c r="O116" s="54">
        <f t="shared" si="37"/>
        <v>0</v>
      </c>
      <c r="P116" s="54">
        <f t="shared" si="38"/>
        <v>0</v>
      </c>
      <c r="Q116" s="1"/>
    </row>
    <row r="117" spans="2:17" ht="12.5">
      <c r="B117" s="7" t="str">
        <f t="shared" si="39"/>
        <v/>
      </c>
      <c r="C117" s="50">
        <f>IF(D93="","-",+C116+1)</f>
        <v>2030</v>
      </c>
      <c r="D117" s="12">
        <f>IF(F116+SUM(E$99:E116)=D$92,F116,D$92-SUM(E$99:E116))</f>
        <v>36979806.82800962</v>
      </c>
      <c r="E117" s="378">
        <f>IF(+J96&lt;F116,J96,D117)</f>
        <v>1347627.2770454546</v>
      </c>
      <c r="F117" s="55">
        <f t="shared" si="62"/>
        <v>35632179.550964169</v>
      </c>
      <c r="G117" s="55">
        <f t="shared" si="63"/>
        <v>36305993.189486891</v>
      </c>
      <c r="H117" s="380">
        <f t="shared" si="64"/>
        <v>5868679.7254391853</v>
      </c>
      <c r="I117" s="399">
        <f t="shared" si="65"/>
        <v>5868679.7254391853</v>
      </c>
      <c r="J117" s="54">
        <f t="shared" si="33"/>
        <v>0</v>
      </c>
      <c r="K117" s="54"/>
      <c r="L117" s="129"/>
      <c r="M117" s="54">
        <f t="shared" si="35"/>
        <v>0</v>
      </c>
      <c r="N117" s="129"/>
      <c r="O117" s="54">
        <f t="shared" si="37"/>
        <v>0</v>
      </c>
      <c r="P117" s="54">
        <f t="shared" si="38"/>
        <v>0</v>
      </c>
      <c r="Q117" s="1"/>
    </row>
    <row r="118" spans="2:17" ht="12.5">
      <c r="B118" s="7" t="str">
        <f t="shared" si="39"/>
        <v/>
      </c>
      <c r="C118" s="50">
        <f>IF(D93="","-",+C117+1)</f>
        <v>2031</v>
      </c>
      <c r="D118" s="12">
        <f>IF(F117+SUM(E$99:E117)=D$92,F117,D$92-SUM(E$99:E117))</f>
        <v>35632179.550964169</v>
      </c>
      <c r="E118" s="378">
        <f>IF(+J96&lt;F117,J96,D118)</f>
        <v>1347627.2770454546</v>
      </c>
      <c r="F118" s="55">
        <f t="shared" si="62"/>
        <v>34284552.273918718</v>
      </c>
      <c r="G118" s="55">
        <f t="shared" si="63"/>
        <v>34958365.912441447</v>
      </c>
      <c r="H118" s="380">
        <f t="shared" si="64"/>
        <v>5700864.6330766184</v>
      </c>
      <c r="I118" s="399">
        <f t="shared" si="65"/>
        <v>5700864.6330766184</v>
      </c>
      <c r="J118" s="54">
        <f t="shared" si="33"/>
        <v>0</v>
      </c>
      <c r="K118" s="54"/>
      <c r="L118" s="129"/>
      <c r="M118" s="54">
        <f t="shared" si="35"/>
        <v>0</v>
      </c>
      <c r="N118" s="129"/>
      <c r="O118" s="54">
        <f t="shared" si="37"/>
        <v>0</v>
      </c>
      <c r="P118" s="54">
        <f t="shared" si="38"/>
        <v>0</v>
      </c>
      <c r="Q118" s="1"/>
    </row>
    <row r="119" spans="2:17" ht="12.5">
      <c r="B119" s="7" t="str">
        <f t="shared" si="39"/>
        <v/>
      </c>
      <c r="C119" s="50">
        <f>IF(D93="","-",+C118+1)</f>
        <v>2032</v>
      </c>
      <c r="D119" s="12">
        <f>IF(F118+SUM(E$99:E118)=D$92,F118,D$92-SUM(E$99:E118))</f>
        <v>34284552.273918718</v>
      </c>
      <c r="E119" s="378">
        <f>IF(+J96&lt;F118,J96,D119)</f>
        <v>1347627.2770454546</v>
      </c>
      <c r="F119" s="55">
        <f t="shared" si="62"/>
        <v>32936924.996873263</v>
      </c>
      <c r="G119" s="55">
        <f t="shared" si="63"/>
        <v>33610738.635395989</v>
      </c>
      <c r="H119" s="380">
        <f t="shared" si="64"/>
        <v>5533049.5407140488</v>
      </c>
      <c r="I119" s="399">
        <f t="shared" si="65"/>
        <v>5533049.5407140488</v>
      </c>
      <c r="J119" s="54">
        <f t="shared" si="33"/>
        <v>0</v>
      </c>
      <c r="K119" s="54"/>
      <c r="L119" s="129"/>
      <c r="M119" s="54">
        <f t="shared" si="35"/>
        <v>0</v>
      </c>
      <c r="N119" s="129"/>
      <c r="O119" s="54">
        <f t="shared" si="37"/>
        <v>0</v>
      </c>
      <c r="P119" s="54">
        <f t="shared" si="38"/>
        <v>0</v>
      </c>
      <c r="Q119" s="1"/>
    </row>
    <row r="120" spans="2:17" ht="12.5">
      <c r="B120" s="7" t="str">
        <f t="shared" si="39"/>
        <v/>
      </c>
      <c r="C120" s="50">
        <f>IF(D93="","-",+C119+1)</f>
        <v>2033</v>
      </c>
      <c r="D120" s="12">
        <f>IF(F119+SUM(E$99:E119)=D$92,F119,D$92-SUM(E$99:E119))</f>
        <v>32936924.996873263</v>
      </c>
      <c r="E120" s="378">
        <f>IF(+J96&lt;F119,J96,D120)</f>
        <v>1347627.2770454546</v>
      </c>
      <c r="F120" s="55">
        <f t="shared" si="62"/>
        <v>31589297.719827808</v>
      </c>
      <c r="G120" s="55">
        <f t="shared" si="63"/>
        <v>32263111.358350538</v>
      </c>
      <c r="H120" s="380">
        <f t="shared" si="64"/>
        <v>5365234.448351481</v>
      </c>
      <c r="I120" s="399">
        <f t="shared" si="65"/>
        <v>5365234.448351481</v>
      </c>
      <c r="J120" s="54">
        <f t="shared" si="33"/>
        <v>0</v>
      </c>
      <c r="K120" s="54"/>
      <c r="L120" s="129"/>
      <c r="M120" s="54">
        <f t="shared" si="35"/>
        <v>0</v>
      </c>
      <c r="N120" s="129"/>
      <c r="O120" s="54">
        <f t="shared" si="37"/>
        <v>0</v>
      </c>
      <c r="P120" s="54">
        <f t="shared" si="38"/>
        <v>0</v>
      </c>
      <c r="Q120" s="1"/>
    </row>
    <row r="121" spans="2:17" ht="12.5">
      <c r="B121" s="7" t="str">
        <f t="shared" si="39"/>
        <v/>
      </c>
      <c r="C121" s="50">
        <f>IF(D93="","-",+C120+1)</f>
        <v>2034</v>
      </c>
      <c r="D121" s="12">
        <f>IF(F120+SUM(E$99:E120)=D$92,F120,D$92-SUM(E$99:E120))</f>
        <v>31589297.719827808</v>
      </c>
      <c r="E121" s="378">
        <f>IF(+J96&lt;F120,J96,D121)</f>
        <v>1347627.2770454546</v>
      </c>
      <c r="F121" s="55">
        <f t="shared" si="62"/>
        <v>30241670.442782354</v>
      </c>
      <c r="G121" s="55">
        <f t="shared" si="63"/>
        <v>30915484.081305079</v>
      </c>
      <c r="H121" s="380">
        <f t="shared" si="64"/>
        <v>5197419.3559889114</v>
      </c>
      <c r="I121" s="399">
        <f t="shared" si="65"/>
        <v>5197419.3559889114</v>
      </c>
      <c r="J121" s="54">
        <f t="shared" si="33"/>
        <v>0</v>
      </c>
      <c r="K121" s="54"/>
      <c r="L121" s="129"/>
      <c r="M121" s="54">
        <f t="shared" si="35"/>
        <v>0</v>
      </c>
      <c r="N121" s="129"/>
      <c r="O121" s="54">
        <f t="shared" si="37"/>
        <v>0</v>
      </c>
      <c r="P121" s="54">
        <f t="shared" si="38"/>
        <v>0</v>
      </c>
      <c r="Q121" s="1"/>
    </row>
    <row r="122" spans="2:17" ht="12.5">
      <c r="B122" s="7" t="str">
        <f t="shared" si="39"/>
        <v/>
      </c>
      <c r="C122" s="50">
        <f>IF(D93="","-",+C121+1)</f>
        <v>2035</v>
      </c>
      <c r="D122" s="12">
        <f>IF(F121+SUM(E$99:E121)=D$92,F121,D$92-SUM(E$99:E121))</f>
        <v>30241670.442782354</v>
      </c>
      <c r="E122" s="378">
        <f>IF(+J96&lt;F121,J96,D122)</f>
        <v>1347627.2770454546</v>
      </c>
      <c r="F122" s="55">
        <f t="shared" si="62"/>
        <v>28894043.165736899</v>
      </c>
      <c r="G122" s="55">
        <f t="shared" si="63"/>
        <v>29567856.804259628</v>
      </c>
      <c r="H122" s="380">
        <f t="shared" si="64"/>
        <v>5029604.2636263436</v>
      </c>
      <c r="I122" s="399">
        <f t="shared" si="65"/>
        <v>5029604.2636263436</v>
      </c>
      <c r="J122" s="54">
        <f t="shared" si="33"/>
        <v>0</v>
      </c>
      <c r="K122" s="54"/>
      <c r="L122" s="129"/>
      <c r="M122" s="54">
        <f t="shared" si="35"/>
        <v>0</v>
      </c>
      <c r="N122" s="129"/>
      <c r="O122" s="54">
        <f t="shared" si="37"/>
        <v>0</v>
      </c>
      <c r="P122" s="54">
        <f t="shared" si="38"/>
        <v>0</v>
      </c>
      <c r="Q122" s="1"/>
    </row>
    <row r="123" spans="2:17" ht="12.5">
      <c r="B123" s="7" t="str">
        <f t="shared" si="39"/>
        <v/>
      </c>
      <c r="C123" s="50">
        <f>IF(D93="","-",+C122+1)</f>
        <v>2036</v>
      </c>
      <c r="D123" s="12">
        <f>IF(F122+SUM(E$99:E122)=D$92,F122,D$92-SUM(E$99:E122))</f>
        <v>28894043.165736899</v>
      </c>
      <c r="E123" s="378">
        <f>IF(+J96&lt;F122,J96,D123)</f>
        <v>1347627.2770454546</v>
      </c>
      <c r="F123" s="55">
        <f t="shared" si="62"/>
        <v>27546415.888691444</v>
      </c>
      <c r="G123" s="55">
        <f t="shared" si="63"/>
        <v>28220229.52721417</v>
      </c>
      <c r="H123" s="380">
        <f t="shared" si="64"/>
        <v>4861789.1712637749</v>
      </c>
      <c r="I123" s="399">
        <f t="shared" si="65"/>
        <v>4861789.1712637749</v>
      </c>
      <c r="J123" s="54">
        <f t="shared" si="33"/>
        <v>0</v>
      </c>
      <c r="K123" s="54"/>
      <c r="L123" s="129"/>
      <c r="M123" s="54">
        <f t="shared" si="35"/>
        <v>0</v>
      </c>
      <c r="N123" s="129"/>
      <c r="O123" s="54">
        <f t="shared" si="37"/>
        <v>0</v>
      </c>
      <c r="P123" s="54">
        <f t="shared" si="38"/>
        <v>0</v>
      </c>
      <c r="Q123" s="1"/>
    </row>
    <row r="124" spans="2:17" ht="12.5">
      <c r="B124" s="7" t="str">
        <f t="shared" si="39"/>
        <v/>
      </c>
      <c r="C124" s="50">
        <f>IF(D93="","-",+C123+1)</f>
        <v>2037</v>
      </c>
      <c r="D124" s="12">
        <f>IF(F123+SUM(E$99:E123)=D$92,F123,D$92-SUM(E$99:E123))</f>
        <v>27546415.888691444</v>
      </c>
      <c r="E124" s="378">
        <f>IF(+J96&lt;F123,J96,D124)</f>
        <v>1347627.2770454546</v>
      </c>
      <c r="F124" s="55">
        <f t="shared" si="62"/>
        <v>26198788.611645989</v>
      </c>
      <c r="G124" s="55">
        <f t="shared" si="63"/>
        <v>26872602.250168718</v>
      </c>
      <c r="H124" s="380">
        <f t="shared" si="64"/>
        <v>4693974.0789012061</v>
      </c>
      <c r="I124" s="399">
        <f t="shared" si="65"/>
        <v>4693974.0789012061</v>
      </c>
      <c r="J124" s="54">
        <f t="shared" si="33"/>
        <v>0</v>
      </c>
      <c r="K124" s="54"/>
      <c r="L124" s="129"/>
      <c r="M124" s="54">
        <f t="shared" si="35"/>
        <v>0</v>
      </c>
      <c r="N124" s="129"/>
      <c r="O124" s="54">
        <f t="shared" si="37"/>
        <v>0</v>
      </c>
      <c r="P124" s="54">
        <f t="shared" si="38"/>
        <v>0</v>
      </c>
      <c r="Q124" s="1"/>
    </row>
    <row r="125" spans="2:17" ht="12.5">
      <c r="B125" s="7" t="str">
        <f t="shared" si="39"/>
        <v/>
      </c>
      <c r="C125" s="50">
        <f>IF(D93="","-",+C124+1)</f>
        <v>2038</v>
      </c>
      <c r="D125" s="12">
        <f>IF(F124+SUM(E$99:E124)=D$92,F124,D$92-SUM(E$99:E124))</f>
        <v>26198788.611645989</v>
      </c>
      <c r="E125" s="378">
        <f>IF(+J96&lt;F124,J96,D125)</f>
        <v>1347627.2770454546</v>
      </c>
      <c r="F125" s="55">
        <f t="shared" si="62"/>
        <v>24851161.334600534</v>
      </c>
      <c r="G125" s="55">
        <f t="shared" si="63"/>
        <v>25524974.97312326</v>
      </c>
      <c r="H125" s="380">
        <f t="shared" si="64"/>
        <v>4526158.9865386374</v>
      </c>
      <c r="I125" s="399">
        <f t="shared" si="65"/>
        <v>4526158.9865386374</v>
      </c>
      <c r="J125" s="54">
        <f t="shared" si="33"/>
        <v>0</v>
      </c>
      <c r="K125" s="54"/>
      <c r="L125" s="129"/>
      <c r="M125" s="54">
        <f t="shared" si="35"/>
        <v>0</v>
      </c>
      <c r="N125" s="129"/>
      <c r="O125" s="54">
        <f t="shared" si="37"/>
        <v>0</v>
      </c>
      <c r="P125" s="54">
        <f t="shared" si="38"/>
        <v>0</v>
      </c>
      <c r="Q125" s="1"/>
    </row>
    <row r="126" spans="2:17" ht="12.5">
      <c r="B126" s="7" t="str">
        <f t="shared" si="39"/>
        <v/>
      </c>
      <c r="C126" s="50">
        <f>IF(D93="","-",+C125+1)</f>
        <v>2039</v>
      </c>
      <c r="D126" s="12">
        <f>IF(F125+SUM(E$99:E125)=D$92,F125,D$92-SUM(E$99:E125))</f>
        <v>24851161.334600534</v>
      </c>
      <c r="E126" s="378">
        <f>IF(+J96&lt;F125,J96,D126)</f>
        <v>1347627.2770454546</v>
      </c>
      <c r="F126" s="55">
        <f t="shared" si="62"/>
        <v>23503534.057555079</v>
      </c>
      <c r="G126" s="55">
        <f t="shared" si="63"/>
        <v>24177347.696077809</v>
      </c>
      <c r="H126" s="380">
        <f t="shared" si="64"/>
        <v>4358343.8941760687</v>
      </c>
      <c r="I126" s="399">
        <f t="shared" si="65"/>
        <v>4358343.8941760687</v>
      </c>
      <c r="J126" s="54">
        <f t="shared" si="33"/>
        <v>0</v>
      </c>
      <c r="K126" s="54"/>
      <c r="L126" s="129"/>
      <c r="M126" s="54">
        <f t="shared" si="35"/>
        <v>0</v>
      </c>
      <c r="N126" s="129"/>
      <c r="O126" s="54">
        <f t="shared" si="37"/>
        <v>0</v>
      </c>
      <c r="P126" s="54">
        <f t="shared" si="38"/>
        <v>0</v>
      </c>
      <c r="Q126" s="1"/>
    </row>
    <row r="127" spans="2:17" ht="12.5">
      <c r="B127" s="7" t="str">
        <f t="shared" si="39"/>
        <v/>
      </c>
      <c r="C127" s="50">
        <f>IF(D93="","-",+C126+1)</f>
        <v>2040</v>
      </c>
      <c r="D127" s="12">
        <f>IF(F126+SUM(E$99:E126)=D$92,F126,D$92-SUM(E$99:E126))</f>
        <v>23503534.057555079</v>
      </c>
      <c r="E127" s="378">
        <f>IF(+J96&lt;F126,J96,D127)</f>
        <v>1347627.2770454546</v>
      </c>
      <c r="F127" s="55">
        <f t="shared" si="62"/>
        <v>22155906.780509625</v>
      </c>
      <c r="G127" s="55">
        <f t="shared" si="63"/>
        <v>22829720.41903235</v>
      </c>
      <c r="H127" s="380">
        <f t="shared" si="64"/>
        <v>4190528.8018135</v>
      </c>
      <c r="I127" s="399">
        <f t="shared" si="65"/>
        <v>4190528.8018135</v>
      </c>
      <c r="J127" s="54">
        <f t="shared" si="33"/>
        <v>0</v>
      </c>
      <c r="K127" s="54"/>
      <c r="L127" s="129"/>
      <c r="M127" s="54">
        <f t="shared" si="35"/>
        <v>0</v>
      </c>
      <c r="N127" s="129"/>
      <c r="O127" s="54">
        <f t="shared" si="37"/>
        <v>0</v>
      </c>
      <c r="P127" s="54">
        <f t="shared" si="38"/>
        <v>0</v>
      </c>
      <c r="Q127" s="1"/>
    </row>
    <row r="128" spans="2:17" ht="12.5">
      <c r="B128" s="7" t="str">
        <f t="shared" si="39"/>
        <v/>
      </c>
      <c r="C128" s="50">
        <f>IF(D93="","-",+C127+1)</f>
        <v>2041</v>
      </c>
      <c r="D128" s="12">
        <f>IF(F127+SUM(E$99:E127)=D$92,F127,D$92-SUM(E$99:E127))</f>
        <v>22155906.780509625</v>
      </c>
      <c r="E128" s="378">
        <f>IF(+J96&lt;F127,J96,D128)</f>
        <v>1347627.2770454546</v>
      </c>
      <c r="F128" s="55">
        <f t="shared" si="62"/>
        <v>20808279.50346417</v>
      </c>
      <c r="G128" s="55">
        <f t="shared" si="63"/>
        <v>21482093.141986899</v>
      </c>
      <c r="H128" s="380">
        <f t="shared" si="64"/>
        <v>4022713.7094509322</v>
      </c>
      <c r="I128" s="399">
        <f t="shared" si="65"/>
        <v>4022713.7094509322</v>
      </c>
      <c r="J128" s="54">
        <f t="shared" si="33"/>
        <v>0</v>
      </c>
      <c r="K128" s="54"/>
      <c r="L128" s="129"/>
      <c r="M128" s="54">
        <f t="shared" si="35"/>
        <v>0</v>
      </c>
      <c r="N128" s="129"/>
      <c r="O128" s="54">
        <f t="shared" si="37"/>
        <v>0</v>
      </c>
      <c r="P128" s="54">
        <f t="shared" si="38"/>
        <v>0</v>
      </c>
      <c r="Q128" s="1"/>
    </row>
    <row r="129" spans="2:17" ht="12.5">
      <c r="B129" s="7" t="str">
        <f t="shared" si="39"/>
        <v/>
      </c>
      <c r="C129" s="50">
        <f>IF(D93="","-",+C128+1)</f>
        <v>2042</v>
      </c>
      <c r="D129" s="12">
        <f>IF(F128+SUM(E$99:E128)=D$92,F128,D$92-SUM(E$99:E128))</f>
        <v>20808279.50346417</v>
      </c>
      <c r="E129" s="378">
        <f>IF(+J96&lt;F128,J96,D129)</f>
        <v>1347627.2770454546</v>
      </c>
      <c r="F129" s="55">
        <f t="shared" si="62"/>
        <v>19460652.226418715</v>
      </c>
      <c r="G129" s="55">
        <f t="shared" si="63"/>
        <v>20134465.864941441</v>
      </c>
      <c r="H129" s="380">
        <f t="shared" si="64"/>
        <v>3854898.6170883626</v>
      </c>
      <c r="I129" s="399">
        <f t="shared" si="65"/>
        <v>3854898.6170883626</v>
      </c>
      <c r="J129" s="54">
        <f t="shared" si="33"/>
        <v>0</v>
      </c>
      <c r="K129" s="54"/>
      <c r="L129" s="129"/>
      <c r="M129" s="54">
        <f t="shared" si="35"/>
        <v>0</v>
      </c>
      <c r="N129" s="129"/>
      <c r="O129" s="54">
        <f t="shared" si="37"/>
        <v>0</v>
      </c>
      <c r="P129" s="54">
        <f t="shared" si="38"/>
        <v>0</v>
      </c>
      <c r="Q129" s="1"/>
    </row>
    <row r="130" spans="2:17" ht="12.5">
      <c r="B130" s="7" t="str">
        <f t="shared" si="39"/>
        <v/>
      </c>
      <c r="C130" s="50">
        <f>IF(D93="","-",+C129+1)</f>
        <v>2043</v>
      </c>
      <c r="D130" s="12">
        <f>IF(F129+SUM(E$99:E129)=D$92,F129,D$92-SUM(E$99:E129))</f>
        <v>19460652.226418715</v>
      </c>
      <c r="E130" s="378">
        <f>IF(+J96&lt;F129,J96,D130)</f>
        <v>1347627.2770454546</v>
      </c>
      <c r="F130" s="55">
        <f t="shared" si="62"/>
        <v>18113024.94937326</v>
      </c>
      <c r="G130" s="55">
        <f t="shared" si="63"/>
        <v>18786838.587895989</v>
      </c>
      <c r="H130" s="380">
        <f t="shared" si="64"/>
        <v>3687083.5247257948</v>
      </c>
      <c r="I130" s="399">
        <f t="shared" si="65"/>
        <v>3687083.5247257948</v>
      </c>
      <c r="J130" s="54">
        <f t="shared" si="33"/>
        <v>0</v>
      </c>
      <c r="K130" s="54"/>
      <c r="L130" s="129"/>
      <c r="M130" s="54">
        <f t="shared" si="35"/>
        <v>0</v>
      </c>
      <c r="N130" s="129"/>
      <c r="O130" s="54">
        <f t="shared" si="37"/>
        <v>0</v>
      </c>
      <c r="P130" s="54">
        <f t="shared" si="38"/>
        <v>0</v>
      </c>
      <c r="Q130" s="1"/>
    </row>
    <row r="131" spans="2:17" ht="12.5">
      <c r="B131" s="7" t="str">
        <f t="shared" si="39"/>
        <v/>
      </c>
      <c r="C131" s="50">
        <f>IF(D93="","-",+C130+1)</f>
        <v>2044</v>
      </c>
      <c r="D131" s="12">
        <f>IF(F130+SUM(E$99:E130)=D$92,F130,D$92-SUM(E$99:E130))</f>
        <v>18113024.94937326</v>
      </c>
      <c r="E131" s="378">
        <f>IF(+J96&lt;F130,J96,D131)</f>
        <v>1347627.2770454546</v>
      </c>
      <c r="F131" s="55">
        <f t="shared" si="62"/>
        <v>16765397.672327805</v>
      </c>
      <c r="G131" s="55">
        <f t="shared" ref="G131:G154" si="66">+(F131+D131)/2</f>
        <v>17439211.310850531</v>
      </c>
      <c r="H131" s="380">
        <f t="shared" ref="H131:H154" si="67">+J$94*G131+E131</f>
        <v>3519268.4323632251</v>
      </c>
      <c r="I131" s="399">
        <f t="shared" ref="I131:I154" si="68">+J$95*G131+E131</f>
        <v>3519268.4323632251</v>
      </c>
      <c r="J131" s="54">
        <f t="shared" ref="J131:J154" si="69">+I131-H131</f>
        <v>0</v>
      </c>
      <c r="K131" s="54"/>
      <c r="L131" s="129"/>
      <c r="M131" s="54">
        <f t="shared" ref="M131:M154" si="70">IF(L131&lt;&gt;0,+H131-L131,0)</f>
        <v>0</v>
      </c>
      <c r="N131" s="129"/>
      <c r="O131" s="54">
        <f t="shared" ref="O131:O154" si="71">IF(N131&lt;&gt;0,+I131-N131,0)</f>
        <v>0</v>
      </c>
      <c r="P131" s="54">
        <f t="shared" ref="P131:P154" si="72">+O131-M131</f>
        <v>0</v>
      </c>
      <c r="Q131" s="1"/>
    </row>
    <row r="132" spans="2:17" ht="12.5">
      <c r="B132" s="7" t="str">
        <f t="shared" ref="B132:B154" si="73">IF(D132=F131,"","IU")</f>
        <v/>
      </c>
      <c r="C132" s="50">
        <f>IF(D93="","-",+C131+1)</f>
        <v>2045</v>
      </c>
      <c r="D132" s="12">
        <f>IF(F131+SUM(E$99:E131)=D$92,F131,D$92-SUM(E$99:E131))</f>
        <v>16765397.672327805</v>
      </c>
      <c r="E132" s="378">
        <f>IF(+J96&lt;F131,J96,D132)</f>
        <v>1347627.2770454546</v>
      </c>
      <c r="F132" s="55">
        <f t="shared" ref="F132:F154" si="74">+D132-E132</f>
        <v>15417770.39528235</v>
      </c>
      <c r="G132" s="55">
        <f t="shared" si="66"/>
        <v>16091584.033805078</v>
      </c>
      <c r="H132" s="380">
        <f t="shared" si="67"/>
        <v>3351453.3400006574</v>
      </c>
      <c r="I132" s="399">
        <f t="shared" si="68"/>
        <v>3351453.3400006574</v>
      </c>
      <c r="J132" s="54">
        <f t="shared" si="69"/>
        <v>0</v>
      </c>
      <c r="K132" s="54"/>
      <c r="L132" s="129"/>
      <c r="M132" s="54">
        <f t="shared" si="70"/>
        <v>0</v>
      </c>
      <c r="N132" s="129"/>
      <c r="O132" s="54">
        <f t="shared" si="71"/>
        <v>0</v>
      </c>
      <c r="P132" s="54">
        <f t="shared" si="72"/>
        <v>0</v>
      </c>
      <c r="Q132" s="1"/>
    </row>
    <row r="133" spans="2:17" ht="12.5">
      <c r="B133" s="7" t="str">
        <f t="shared" si="73"/>
        <v/>
      </c>
      <c r="C133" s="50">
        <f>IF(D93="","-",+C132+1)</f>
        <v>2046</v>
      </c>
      <c r="D133" s="12">
        <f>IF(F132+SUM(E$99:E132)=D$92,F132,D$92-SUM(E$99:E132))</f>
        <v>15417770.39528235</v>
      </c>
      <c r="E133" s="378">
        <f>IF(+J96&lt;F132,J96,D133)</f>
        <v>1347627.2770454546</v>
      </c>
      <c r="F133" s="55">
        <f t="shared" si="74"/>
        <v>14070143.118236896</v>
      </c>
      <c r="G133" s="55">
        <f t="shared" si="66"/>
        <v>14743956.756759623</v>
      </c>
      <c r="H133" s="380">
        <f t="shared" si="67"/>
        <v>3183638.2476380887</v>
      </c>
      <c r="I133" s="399">
        <f t="shared" si="68"/>
        <v>3183638.2476380887</v>
      </c>
      <c r="J133" s="54">
        <f t="shared" si="69"/>
        <v>0</v>
      </c>
      <c r="K133" s="54"/>
      <c r="L133" s="129"/>
      <c r="M133" s="54">
        <f t="shared" si="70"/>
        <v>0</v>
      </c>
      <c r="N133" s="129"/>
      <c r="O133" s="54">
        <f t="shared" si="71"/>
        <v>0</v>
      </c>
      <c r="P133" s="54">
        <f t="shared" si="72"/>
        <v>0</v>
      </c>
      <c r="Q133" s="1"/>
    </row>
    <row r="134" spans="2:17" ht="12.5">
      <c r="B134" s="7" t="str">
        <f t="shared" si="73"/>
        <v/>
      </c>
      <c r="C134" s="50">
        <f>IF(D93="","-",+C133+1)</f>
        <v>2047</v>
      </c>
      <c r="D134" s="12">
        <f>IF(F133+SUM(E$99:E133)=D$92,F133,D$92-SUM(E$99:E133))</f>
        <v>14070143.118236896</v>
      </c>
      <c r="E134" s="378">
        <f>IF(+J96&lt;F133,J96,D134)</f>
        <v>1347627.2770454546</v>
      </c>
      <c r="F134" s="55">
        <f t="shared" si="74"/>
        <v>12722515.841191441</v>
      </c>
      <c r="G134" s="55">
        <f t="shared" si="66"/>
        <v>13396329.479714168</v>
      </c>
      <c r="H134" s="380">
        <f t="shared" si="67"/>
        <v>3015823.1552755199</v>
      </c>
      <c r="I134" s="399">
        <f t="shared" si="68"/>
        <v>3015823.1552755199</v>
      </c>
      <c r="J134" s="54">
        <f t="shared" si="69"/>
        <v>0</v>
      </c>
      <c r="K134" s="54"/>
      <c r="L134" s="129"/>
      <c r="M134" s="54">
        <f t="shared" si="70"/>
        <v>0</v>
      </c>
      <c r="N134" s="129"/>
      <c r="O134" s="54">
        <f t="shared" si="71"/>
        <v>0</v>
      </c>
      <c r="P134" s="54">
        <f t="shared" si="72"/>
        <v>0</v>
      </c>
      <c r="Q134" s="1"/>
    </row>
    <row r="135" spans="2:17" ht="12.5">
      <c r="B135" s="7" t="str">
        <f t="shared" si="73"/>
        <v/>
      </c>
      <c r="C135" s="50">
        <f>IF(D93="","-",+C134+1)</f>
        <v>2048</v>
      </c>
      <c r="D135" s="12">
        <f>IF(F134+SUM(E$99:E134)=D$92,F134,D$92-SUM(E$99:E134))</f>
        <v>12722515.841191441</v>
      </c>
      <c r="E135" s="378">
        <f>IF(+J96&lt;F134,J96,D135)</f>
        <v>1347627.2770454546</v>
      </c>
      <c r="F135" s="55">
        <f t="shared" si="74"/>
        <v>11374888.564145986</v>
      </c>
      <c r="G135" s="55">
        <f t="shared" si="66"/>
        <v>12048702.202668713</v>
      </c>
      <c r="H135" s="380">
        <f t="shared" si="67"/>
        <v>2848008.0629129512</v>
      </c>
      <c r="I135" s="399">
        <f t="shared" si="68"/>
        <v>2848008.0629129512</v>
      </c>
      <c r="J135" s="54">
        <f t="shared" si="69"/>
        <v>0</v>
      </c>
      <c r="K135" s="54"/>
      <c r="L135" s="129"/>
      <c r="M135" s="54">
        <f t="shared" si="70"/>
        <v>0</v>
      </c>
      <c r="N135" s="129"/>
      <c r="O135" s="54">
        <f t="shared" si="71"/>
        <v>0</v>
      </c>
      <c r="P135" s="54">
        <f t="shared" si="72"/>
        <v>0</v>
      </c>
      <c r="Q135" s="1"/>
    </row>
    <row r="136" spans="2:17" ht="12.5">
      <c r="B136" s="7" t="str">
        <f t="shared" si="73"/>
        <v/>
      </c>
      <c r="C136" s="50">
        <f>IF(D93="","-",+C135+1)</f>
        <v>2049</v>
      </c>
      <c r="D136" s="12">
        <f>IF(F135+SUM(E$99:E135)=D$92,F135,D$92-SUM(E$99:E135))</f>
        <v>11374888.564145986</v>
      </c>
      <c r="E136" s="378">
        <f>IF(+J96&lt;F135,J96,D136)</f>
        <v>1347627.2770454546</v>
      </c>
      <c r="F136" s="55">
        <f t="shared" si="74"/>
        <v>10027261.287100531</v>
      </c>
      <c r="G136" s="55">
        <f t="shared" si="66"/>
        <v>10701074.925623259</v>
      </c>
      <c r="H136" s="380">
        <f t="shared" si="67"/>
        <v>2680192.9705503825</v>
      </c>
      <c r="I136" s="399">
        <f t="shared" si="68"/>
        <v>2680192.9705503825</v>
      </c>
      <c r="J136" s="54">
        <f t="shared" si="69"/>
        <v>0</v>
      </c>
      <c r="K136" s="54"/>
      <c r="L136" s="129"/>
      <c r="M136" s="54">
        <f t="shared" si="70"/>
        <v>0</v>
      </c>
      <c r="N136" s="129"/>
      <c r="O136" s="54">
        <f t="shared" si="71"/>
        <v>0</v>
      </c>
      <c r="P136" s="54">
        <f t="shared" si="72"/>
        <v>0</v>
      </c>
      <c r="Q136" s="1"/>
    </row>
    <row r="137" spans="2:17" ht="12.5">
      <c r="B137" s="7" t="str">
        <f t="shared" si="73"/>
        <v/>
      </c>
      <c r="C137" s="50">
        <f>IF(D93="","-",+C136+1)</f>
        <v>2050</v>
      </c>
      <c r="D137" s="12">
        <f>IF(F136+SUM(E$99:E136)=D$92,F136,D$92-SUM(E$99:E136))</f>
        <v>10027261.287100531</v>
      </c>
      <c r="E137" s="378">
        <f>IF(+J96&lt;F136,J96,D137)</f>
        <v>1347627.2770454546</v>
      </c>
      <c r="F137" s="55">
        <f t="shared" si="74"/>
        <v>8679634.0100550763</v>
      </c>
      <c r="G137" s="55">
        <f t="shared" si="66"/>
        <v>9353447.6485778037</v>
      </c>
      <c r="H137" s="380">
        <f t="shared" si="67"/>
        <v>2512377.8781878138</v>
      </c>
      <c r="I137" s="399">
        <f t="shared" si="68"/>
        <v>2512377.8781878138</v>
      </c>
      <c r="J137" s="54">
        <f t="shared" si="69"/>
        <v>0</v>
      </c>
      <c r="K137" s="54"/>
      <c r="L137" s="129"/>
      <c r="M137" s="54">
        <f t="shared" si="70"/>
        <v>0</v>
      </c>
      <c r="N137" s="129"/>
      <c r="O137" s="54">
        <f t="shared" si="71"/>
        <v>0</v>
      </c>
      <c r="P137" s="54">
        <f t="shared" si="72"/>
        <v>0</v>
      </c>
      <c r="Q137" s="1"/>
    </row>
    <row r="138" spans="2:17" ht="12.5">
      <c r="B138" s="7" t="str">
        <f t="shared" si="73"/>
        <v/>
      </c>
      <c r="C138" s="50">
        <f>IF(D93="","-",+C137+1)</f>
        <v>2051</v>
      </c>
      <c r="D138" s="12">
        <f>IF(F137+SUM(E$99:E137)=D$92,F137,D$92-SUM(E$99:E137))</f>
        <v>8679634.0100550763</v>
      </c>
      <c r="E138" s="378">
        <f>IF(+J96&lt;F137,J96,D138)</f>
        <v>1347627.2770454546</v>
      </c>
      <c r="F138" s="55">
        <f t="shared" si="74"/>
        <v>7332006.7330096215</v>
      </c>
      <c r="G138" s="55">
        <f t="shared" si="66"/>
        <v>8005820.3715323489</v>
      </c>
      <c r="H138" s="380">
        <f t="shared" si="67"/>
        <v>2344562.7858252455</v>
      </c>
      <c r="I138" s="399">
        <f t="shared" si="68"/>
        <v>2344562.7858252455</v>
      </c>
      <c r="J138" s="54">
        <f t="shared" si="69"/>
        <v>0</v>
      </c>
      <c r="K138" s="54"/>
      <c r="L138" s="129"/>
      <c r="M138" s="54">
        <f t="shared" si="70"/>
        <v>0</v>
      </c>
      <c r="N138" s="129"/>
      <c r="O138" s="54">
        <f t="shared" si="71"/>
        <v>0</v>
      </c>
      <c r="P138" s="54">
        <f t="shared" si="72"/>
        <v>0</v>
      </c>
      <c r="Q138" s="1"/>
    </row>
    <row r="139" spans="2:17" ht="12.5">
      <c r="B139" s="7" t="str">
        <f t="shared" si="73"/>
        <v/>
      </c>
      <c r="C139" s="50">
        <f>IF(D93="","-",+C138+1)</f>
        <v>2052</v>
      </c>
      <c r="D139" s="12">
        <f>IF(F138+SUM(E$99:E138)=D$92,F138,D$92-SUM(E$99:E138))</f>
        <v>7332006.7330096215</v>
      </c>
      <c r="E139" s="378">
        <f>IF(+J96&lt;F138,J96,D139)</f>
        <v>1347627.2770454546</v>
      </c>
      <c r="F139" s="55">
        <f t="shared" si="74"/>
        <v>5984379.4559641667</v>
      </c>
      <c r="G139" s="55">
        <f t="shared" si="66"/>
        <v>6658193.0944868941</v>
      </c>
      <c r="H139" s="380">
        <f t="shared" si="67"/>
        <v>2176747.6934626768</v>
      </c>
      <c r="I139" s="399">
        <f t="shared" si="68"/>
        <v>2176747.6934626768</v>
      </c>
      <c r="J139" s="54">
        <f t="shared" si="69"/>
        <v>0</v>
      </c>
      <c r="K139" s="54"/>
      <c r="L139" s="129"/>
      <c r="M139" s="54">
        <f t="shared" si="70"/>
        <v>0</v>
      </c>
      <c r="N139" s="129"/>
      <c r="O139" s="54">
        <f t="shared" si="71"/>
        <v>0</v>
      </c>
      <c r="P139" s="54">
        <f t="shared" si="72"/>
        <v>0</v>
      </c>
      <c r="Q139" s="1"/>
    </row>
    <row r="140" spans="2:17" ht="12.5">
      <c r="B140" s="7" t="str">
        <f t="shared" si="73"/>
        <v/>
      </c>
      <c r="C140" s="50">
        <f>IF(D93="","-",+C139+1)</f>
        <v>2053</v>
      </c>
      <c r="D140" s="12">
        <f>IF(F139+SUM(E$99:E139)=D$92,F139,D$92-SUM(E$99:E139))</f>
        <v>5984379.4559641667</v>
      </c>
      <c r="E140" s="378">
        <f>IF(+J96&lt;F139,J96,D140)</f>
        <v>1347627.2770454546</v>
      </c>
      <c r="F140" s="55">
        <f t="shared" si="74"/>
        <v>4636752.1789187118</v>
      </c>
      <c r="G140" s="55">
        <f t="shared" si="66"/>
        <v>5310565.8174414393</v>
      </c>
      <c r="H140" s="380">
        <f t="shared" si="67"/>
        <v>2008932.6011001081</v>
      </c>
      <c r="I140" s="399">
        <f t="shared" si="68"/>
        <v>2008932.6011001081</v>
      </c>
      <c r="J140" s="54">
        <f t="shared" si="69"/>
        <v>0</v>
      </c>
      <c r="K140" s="54"/>
      <c r="L140" s="129"/>
      <c r="M140" s="54">
        <f t="shared" si="70"/>
        <v>0</v>
      </c>
      <c r="N140" s="129"/>
      <c r="O140" s="54">
        <f t="shared" si="71"/>
        <v>0</v>
      </c>
      <c r="P140" s="54">
        <f t="shared" si="72"/>
        <v>0</v>
      </c>
      <c r="Q140" s="1"/>
    </row>
    <row r="141" spans="2:17" ht="12.5">
      <c r="B141" s="7" t="str">
        <f t="shared" si="73"/>
        <v/>
      </c>
      <c r="C141" s="50">
        <f>IF(D93="","-",+C140+1)</f>
        <v>2054</v>
      </c>
      <c r="D141" s="12">
        <f>IF(F140+SUM(E$99:E140)=D$92,F140,D$92-SUM(E$99:E140))</f>
        <v>4636752.1789187118</v>
      </c>
      <c r="E141" s="378">
        <f>IF(+J96&lt;F140,J96,D141)</f>
        <v>1347627.2770454546</v>
      </c>
      <c r="F141" s="55">
        <f t="shared" si="74"/>
        <v>3289124.901873257</v>
      </c>
      <c r="G141" s="55">
        <f t="shared" si="66"/>
        <v>3962938.5403959844</v>
      </c>
      <c r="H141" s="380">
        <f t="shared" si="67"/>
        <v>1841117.5087375394</v>
      </c>
      <c r="I141" s="399">
        <f t="shared" si="68"/>
        <v>1841117.5087375394</v>
      </c>
      <c r="J141" s="54">
        <f t="shared" si="69"/>
        <v>0</v>
      </c>
      <c r="K141" s="54"/>
      <c r="L141" s="129"/>
      <c r="M141" s="54">
        <f t="shared" si="70"/>
        <v>0</v>
      </c>
      <c r="N141" s="129"/>
      <c r="O141" s="54">
        <f t="shared" si="71"/>
        <v>0</v>
      </c>
      <c r="P141" s="54">
        <f t="shared" si="72"/>
        <v>0</v>
      </c>
      <c r="Q141" s="1"/>
    </row>
    <row r="142" spans="2:17" ht="12.5">
      <c r="B142" s="7" t="str">
        <f t="shared" si="73"/>
        <v/>
      </c>
      <c r="C142" s="50">
        <f>IF(D93="","-",+C141+1)</f>
        <v>2055</v>
      </c>
      <c r="D142" s="12">
        <f>IF(F141+SUM(E$99:E141)=D$92,F141,D$92-SUM(E$99:E141))</f>
        <v>3289124.901873257</v>
      </c>
      <c r="E142" s="378">
        <f>IF(+J96&lt;F141,J96,D142)</f>
        <v>1347627.2770454546</v>
      </c>
      <c r="F142" s="55">
        <f t="shared" si="74"/>
        <v>1941497.6248278024</v>
      </c>
      <c r="G142" s="55">
        <f t="shared" si="66"/>
        <v>2615311.2633505296</v>
      </c>
      <c r="H142" s="380">
        <f t="shared" si="67"/>
        <v>1673302.4163749709</v>
      </c>
      <c r="I142" s="399">
        <f t="shared" si="68"/>
        <v>1673302.4163749709</v>
      </c>
      <c r="J142" s="54">
        <f t="shared" si="69"/>
        <v>0</v>
      </c>
      <c r="K142" s="54"/>
      <c r="L142" s="129"/>
      <c r="M142" s="54">
        <f t="shared" si="70"/>
        <v>0</v>
      </c>
      <c r="N142" s="129"/>
      <c r="O142" s="54">
        <f t="shared" si="71"/>
        <v>0</v>
      </c>
      <c r="P142" s="54">
        <f t="shared" si="72"/>
        <v>0</v>
      </c>
      <c r="Q142" s="1"/>
    </row>
    <row r="143" spans="2:17" ht="12.5">
      <c r="B143" s="7" t="str">
        <f t="shared" si="73"/>
        <v/>
      </c>
      <c r="C143" s="50">
        <f>IF(D93="","-",+C142+1)</f>
        <v>2056</v>
      </c>
      <c r="D143" s="12">
        <f>IF(F142+SUM(E$99:E142)=D$92,F142,D$92-SUM(E$99:E142))</f>
        <v>1941497.6248278024</v>
      </c>
      <c r="E143" s="378">
        <f>IF(+J96&lt;F142,J96,D143)</f>
        <v>1347627.2770454546</v>
      </c>
      <c r="F143" s="55">
        <f t="shared" si="74"/>
        <v>593870.34778234782</v>
      </c>
      <c r="G143" s="55">
        <f t="shared" si="66"/>
        <v>1267683.9863050752</v>
      </c>
      <c r="H143" s="380">
        <f t="shared" si="67"/>
        <v>1505487.3240124024</v>
      </c>
      <c r="I143" s="399">
        <f t="shared" si="68"/>
        <v>1505487.3240124024</v>
      </c>
      <c r="J143" s="54">
        <f t="shared" si="69"/>
        <v>0</v>
      </c>
      <c r="K143" s="54"/>
      <c r="L143" s="129"/>
      <c r="M143" s="54">
        <f t="shared" si="70"/>
        <v>0</v>
      </c>
      <c r="N143" s="129"/>
      <c r="O143" s="54">
        <f t="shared" si="71"/>
        <v>0</v>
      </c>
      <c r="P143" s="54">
        <f t="shared" si="72"/>
        <v>0</v>
      </c>
      <c r="Q143" s="1"/>
    </row>
    <row r="144" spans="2:17" ht="12.5">
      <c r="B144" s="7" t="str">
        <f t="shared" si="73"/>
        <v/>
      </c>
      <c r="C144" s="50">
        <f>IF(D93="","-",+C143+1)</f>
        <v>2057</v>
      </c>
      <c r="D144" s="12">
        <f>IF(F143+SUM(E$99:E143)=D$92,F143,D$92-SUM(E$99:E143))</f>
        <v>593870.34778234782</v>
      </c>
      <c r="E144" s="378">
        <f>IF(+J96&lt;F143,J96,D144)</f>
        <v>593870.34778234782</v>
      </c>
      <c r="F144" s="55">
        <f t="shared" si="74"/>
        <v>0</v>
      </c>
      <c r="G144" s="55">
        <f t="shared" si="66"/>
        <v>296935.17389117391</v>
      </c>
      <c r="H144" s="380">
        <f t="shared" si="67"/>
        <v>630846.59817517956</v>
      </c>
      <c r="I144" s="399">
        <f t="shared" si="68"/>
        <v>630846.59817517956</v>
      </c>
      <c r="J144" s="54">
        <f t="shared" si="69"/>
        <v>0</v>
      </c>
      <c r="K144" s="54"/>
      <c r="L144" s="129"/>
      <c r="M144" s="54">
        <f t="shared" si="70"/>
        <v>0</v>
      </c>
      <c r="N144" s="129"/>
      <c r="O144" s="54">
        <f t="shared" si="71"/>
        <v>0</v>
      </c>
      <c r="P144" s="54">
        <f t="shared" si="72"/>
        <v>0</v>
      </c>
      <c r="Q144" s="1"/>
    </row>
    <row r="145" spans="2:17" ht="12.5">
      <c r="B145" s="7" t="str">
        <f t="shared" si="73"/>
        <v/>
      </c>
      <c r="C145" s="50">
        <f>IF(D93="","-",+C144+1)</f>
        <v>2058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74"/>
        <v>0</v>
      </c>
      <c r="G145" s="55">
        <f t="shared" si="66"/>
        <v>0</v>
      </c>
      <c r="H145" s="380">
        <f t="shared" si="67"/>
        <v>0</v>
      </c>
      <c r="I145" s="399">
        <f t="shared" si="68"/>
        <v>0</v>
      </c>
      <c r="J145" s="54">
        <f t="shared" si="69"/>
        <v>0</v>
      </c>
      <c r="K145" s="54"/>
      <c r="L145" s="129"/>
      <c r="M145" s="54">
        <f t="shared" si="70"/>
        <v>0</v>
      </c>
      <c r="N145" s="129"/>
      <c r="O145" s="54">
        <f t="shared" si="71"/>
        <v>0</v>
      </c>
      <c r="P145" s="54">
        <f t="shared" si="72"/>
        <v>0</v>
      </c>
      <c r="Q145" s="1"/>
    </row>
    <row r="146" spans="2:17" ht="12.5">
      <c r="B146" s="7" t="str">
        <f t="shared" si="73"/>
        <v/>
      </c>
      <c r="C146" s="50">
        <f>IF(D93="","-",+C145+1)</f>
        <v>2059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74"/>
        <v>0</v>
      </c>
      <c r="G146" s="55">
        <f t="shared" si="66"/>
        <v>0</v>
      </c>
      <c r="H146" s="380">
        <f t="shared" si="67"/>
        <v>0</v>
      </c>
      <c r="I146" s="399">
        <f t="shared" si="68"/>
        <v>0</v>
      </c>
      <c r="J146" s="54">
        <f t="shared" si="69"/>
        <v>0</v>
      </c>
      <c r="K146" s="54"/>
      <c r="L146" s="129"/>
      <c r="M146" s="54">
        <f t="shared" si="70"/>
        <v>0</v>
      </c>
      <c r="N146" s="129"/>
      <c r="O146" s="54">
        <f t="shared" si="71"/>
        <v>0</v>
      </c>
      <c r="P146" s="54">
        <f t="shared" si="72"/>
        <v>0</v>
      </c>
      <c r="Q146" s="1"/>
    </row>
    <row r="147" spans="2:17" ht="12.5">
      <c r="B147" s="7" t="str">
        <f t="shared" si="73"/>
        <v/>
      </c>
      <c r="C147" s="50">
        <f>IF(D93="","-",+C146+1)</f>
        <v>2060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74"/>
        <v>0</v>
      </c>
      <c r="G147" s="55">
        <f t="shared" si="66"/>
        <v>0</v>
      </c>
      <c r="H147" s="380">
        <f t="shared" si="67"/>
        <v>0</v>
      </c>
      <c r="I147" s="399">
        <f t="shared" si="68"/>
        <v>0</v>
      </c>
      <c r="J147" s="54">
        <f t="shared" si="69"/>
        <v>0</v>
      </c>
      <c r="K147" s="54"/>
      <c r="L147" s="129"/>
      <c r="M147" s="54">
        <f t="shared" si="70"/>
        <v>0</v>
      </c>
      <c r="N147" s="129"/>
      <c r="O147" s="54">
        <f t="shared" si="71"/>
        <v>0</v>
      </c>
      <c r="P147" s="54">
        <f t="shared" si="72"/>
        <v>0</v>
      </c>
      <c r="Q147" s="1"/>
    </row>
    <row r="148" spans="2:17" ht="12.5">
      <c r="B148" s="7" t="str">
        <f t="shared" si="73"/>
        <v/>
      </c>
      <c r="C148" s="50">
        <f>IF(D93="","-",+C147+1)</f>
        <v>2061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74"/>
        <v>0</v>
      </c>
      <c r="G148" s="55">
        <f t="shared" si="66"/>
        <v>0</v>
      </c>
      <c r="H148" s="380">
        <f t="shared" si="67"/>
        <v>0</v>
      </c>
      <c r="I148" s="399">
        <f t="shared" si="68"/>
        <v>0</v>
      </c>
      <c r="J148" s="54">
        <f t="shared" si="69"/>
        <v>0</v>
      </c>
      <c r="K148" s="54"/>
      <c r="L148" s="129"/>
      <c r="M148" s="54">
        <f t="shared" si="70"/>
        <v>0</v>
      </c>
      <c r="N148" s="129"/>
      <c r="O148" s="54">
        <f t="shared" si="71"/>
        <v>0</v>
      </c>
      <c r="P148" s="54">
        <f t="shared" si="72"/>
        <v>0</v>
      </c>
      <c r="Q148" s="1"/>
    </row>
    <row r="149" spans="2:17" ht="12.5">
      <c r="B149" s="7" t="str">
        <f t="shared" si="73"/>
        <v/>
      </c>
      <c r="C149" s="50">
        <f>IF(D93="","-",+C148+1)</f>
        <v>2062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74"/>
        <v>0</v>
      </c>
      <c r="G149" s="55">
        <f t="shared" si="66"/>
        <v>0</v>
      </c>
      <c r="H149" s="380">
        <f t="shared" si="67"/>
        <v>0</v>
      </c>
      <c r="I149" s="399">
        <f t="shared" si="68"/>
        <v>0</v>
      </c>
      <c r="J149" s="54">
        <f t="shared" si="69"/>
        <v>0</v>
      </c>
      <c r="K149" s="54"/>
      <c r="L149" s="129"/>
      <c r="M149" s="54">
        <f t="shared" si="70"/>
        <v>0</v>
      </c>
      <c r="N149" s="129"/>
      <c r="O149" s="54">
        <f t="shared" si="71"/>
        <v>0</v>
      </c>
      <c r="P149" s="54">
        <f t="shared" si="72"/>
        <v>0</v>
      </c>
      <c r="Q149" s="1"/>
    </row>
    <row r="150" spans="2:17" ht="12.5">
      <c r="B150" s="7" t="str">
        <f t="shared" si="73"/>
        <v/>
      </c>
      <c r="C150" s="50">
        <f>IF(D93="","-",+C149+1)</f>
        <v>2063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74"/>
        <v>0</v>
      </c>
      <c r="G150" s="55">
        <f t="shared" si="66"/>
        <v>0</v>
      </c>
      <c r="H150" s="380">
        <f t="shared" si="67"/>
        <v>0</v>
      </c>
      <c r="I150" s="399">
        <f t="shared" si="68"/>
        <v>0</v>
      </c>
      <c r="J150" s="54">
        <f t="shared" si="69"/>
        <v>0</v>
      </c>
      <c r="K150" s="54"/>
      <c r="L150" s="129"/>
      <c r="M150" s="54">
        <f t="shared" si="70"/>
        <v>0</v>
      </c>
      <c r="N150" s="129"/>
      <c r="O150" s="54">
        <f t="shared" si="71"/>
        <v>0</v>
      </c>
      <c r="P150" s="54">
        <f t="shared" si="72"/>
        <v>0</v>
      </c>
      <c r="Q150" s="1"/>
    </row>
    <row r="151" spans="2:17" ht="12.5">
      <c r="B151" s="7" t="str">
        <f t="shared" si="73"/>
        <v/>
      </c>
      <c r="C151" s="50">
        <f>IF(D93="","-",+C150+1)</f>
        <v>2064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74"/>
        <v>0</v>
      </c>
      <c r="G151" s="55">
        <f t="shared" si="66"/>
        <v>0</v>
      </c>
      <c r="H151" s="380">
        <f t="shared" si="67"/>
        <v>0</v>
      </c>
      <c r="I151" s="399">
        <f t="shared" si="68"/>
        <v>0</v>
      </c>
      <c r="J151" s="54">
        <f t="shared" si="69"/>
        <v>0</v>
      </c>
      <c r="K151" s="54"/>
      <c r="L151" s="129"/>
      <c r="M151" s="54">
        <f t="shared" si="70"/>
        <v>0</v>
      </c>
      <c r="N151" s="129"/>
      <c r="O151" s="54">
        <f t="shared" si="71"/>
        <v>0</v>
      </c>
      <c r="P151" s="54">
        <f t="shared" si="72"/>
        <v>0</v>
      </c>
      <c r="Q151" s="1"/>
    </row>
    <row r="152" spans="2:17" ht="12.5">
      <c r="B152" s="7" t="str">
        <f t="shared" si="73"/>
        <v/>
      </c>
      <c r="C152" s="50">
        <f>IF(D93="","-",+C151+1)</f>
        <v>2065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74"/>
        <v>0</v>
      </c>
      <c r="G152" s="55">
        <f t="shared" si="66"/>
        <v>0</v>
      </c>
      <c r="H152" s="380">
        <f t="shared" si="67"/>
        <v>0</v>
      </c>
      <c r="I152" s="399">
        <f t="shared" si="68"/>
        <v>0</v>
      </c>
      <c r="J152" s="54">
        <f t="shared" si="69"/>
        <v>0</v>
      </c>
      <c r="K152" s="54"/>
      <c r="L152" s="129"/>
      <c r="M152" s="54">
        <f t="shared" si="70"/>
        <v>0</v>
      </c>
      <c r="N152" s="129"/>
      <c r="O152" s="54">
        <f t="shared" si="71"/>
        <v>0</v>
      </c>
      <c r="P152" s="54">
        <f t="shared" si="72"/>
        <v>0</v>
      </c>
      <c r="Q152" s="1"/>
    </row>
    <row r="153" spans="2:17" ht="12.5">
      <c r="B153" s="7" t="str">
        <f t="shared" si="73"/>
        <v/>
      </c>
      <c r="C153" s="50">
        <f>IF(D93="","-",+C152+1)</f>
        <v>2066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74"/>
        <v>0</v>
      </c>
      <c r="G153" s="55">
        <f t="shared" si="66"/>
        <v>0</v>
      </c>
      <c r="H153" s="380">
        <f t="shared" si="67"/>
        <v>0</v>
      </c>
      <c r="I153" s="399">
        <f t="shared" si="68"/>
        <v>0</v>
      </c>
      <c r="J153" s="54">
        <f t="shared" si="69"/>
        <v>0</v>
      </c>
      <c r="K153" s="54"/>
      <c r="L153" s="129"/>
      <c r="M153" s="54">
        <f t="shared" si="70"/>
        <v>0</v>
      </c>
      <c r="N153" s="129"/>
      <c r="O153" s="54">
        <f t="shared" si="71"/>
        <v>0</v>
      </c>
      <c r="P153" s="54">
        <f t="shared" si="72"/>
        <v>0</v>
      </c>
      <c r="Q153" s="1"/>
    </row>
    <row r="154" spans="2:17" ht="13" thickBot="1">
      <c r="B154" s="7" t="str">
        <f t="shared" si="73"/>
        <v/>
      </c>
      <c r="C154" s="59">
        <f>IF(D93="","-",+C153+1)</f>
        <v>2067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74"/>
        <v>0</v>
      </c>
      <c r="G154" s="60">
        <f t="shared" si="66"/>
        <v>0</v>
      </c>
      <c r="H154" s="382">
        <f t="shared" si="67"/>
        <v>0</v>
      </c>
      <c r="I154" s="400">
        <f t="shared" si="68"/>
        <v>0</v>
      </c>
      <c r="J154" s="64">
        <f t="shared" si="69"/>
        <v>0</v>
      </c>
      <c r="K154" s="54"/>
      <c r="L154" s="130"/>
      <c r="M154" s="64">
        <f t="shared" si="70"/>
        <v>0</v>
      </c>
      <c r="N154" s="130"/>
      <c r="O154" s="64">
        <f t="shared" si="71"/>
        <v>0</v>
      </c>
      <c r="P154" s="64">
        <f t="shared" si="72"/>
        <v>0</v>
      </c>
      <c r="Q154" s="1"/>
    </row>
    <row r="155" spans="2:17" ht="12.5">
      <c r="C155" s="12" t="s">
        <v>78</v>
      </c>
      <c r="D155" s="293"/>
      <c r="E155" s="293">
        <f>SUM(E99:E154)</f>
        <v>59295600.18999996</v>
      </c>
      <c r="F155" s="293"/>
      <c r="G155" s="293"/>
      <c r="H155" s="293">
        <f>SUM(H99:H154)</f>
        <v>216537039.01960719</v>
      </c>
      <c r="I155" s="293">
        <f>SUM(I99:I154)</f>
        <v>216537039.01960719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 ht="12.5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 ht="12.5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91" priority="1" stopIfTrue="1" operator="equal">
      <formula>$I$10</formula>
    </cfRule>
  </conditionalFormatting>
  <conditionalFormatting sqref="C99:C154">
    <cfRule type="cellIs" dxfId="9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70"/>
  <dimension ref="A1:Q162"/>
  <sheetViews>
    <sheetView topLeftCell="D85" zoomScaleNormal="100" zoomScaleSheetLayoutView="75" workbookViewId="0">
      <selection activeCell="D28" sqref="D28:H28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8.453125" customWidth="1"/>
    <col min="13" max="13" width="17.7265625" customWidth="1"/>
    <col min="14" max="14" width="19.1796875" customWidth="1"/>
    <col min="15" max="15" width="20.179687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34 of 77</v>
      </c>
      <c r="Q1" s="13"/>
    </row>
    <row r="2" spans="1:17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7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953985.28720160865</v>
      </c>
      <c r="P5" s="1"/>
    </row>
    <row r="6" spans="1:17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953985.28720160865</v>
      </c>
      <c r="O6" s="1"/>
      <c r="P6" s="1"/>
    </row>
    <row r="7" spans="1:17" ht="13.5" thickBot="1">
      <c r="C7" s="25" t="s">
        <v>48</v>
      </c>
      <c r="D7" s="90" t="s">
        <v>299</v>
      </c>
      <c r="E7" s="406"/>
      <c r="F7" s="406"/>
      <c r="G7" s="406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297</v>
      </c>
      <c r="E9" s="31" t="s">
        <v>494</v>
      </c>
      <c r="F9" s="462">
        <v>1081</v>
      </c>
      <c r="G9" s="31"/>
      <c r="H9" s="31"/>
      <c r="I9" s="32"/>
      <c r="J9" s="33"/>
      <c r="P9" s="1"/>
    </row>
    <row r="10" spans="1:17" ht="13">
      <c r="C10" s="34" t="s">
        <v>51</v>
      </c>
      <c r="D10" s="363">
        <v>8598828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7" ht="12.5">
      <c r="C11" s="34" t="s">
        <v>54</v>
      </c>
      <c r="D11" s="37">
        <v>2013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3">
        <v>11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195427.90909090909</v>
      </c>
      <c r="J14" s="293"/>
      <c r="K14" s="293"/>
      <c r="L14" s="293"/>
      <c r="M14" s="293"/>
      <c r="N14" s="293"/>
      <c r="O14" s="1"/>
      <c r="P14" s="1"/>
    </row>
    <row r="15" spans="1:17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2013</v>
      </c>
      <c r="D17" s="426">
        <v>8177700</v>
      </c>
      <c r="E17" s="427">
        <v>97353.571428571435</v>
      </c>
      <c r="F17" s="426">
        <v>8080346.4285714282</v>
      </c>
      <c r="G17" s="427">
        <v>1228497.690125915</v>
      </c>
      <c r="H17" s="421">
        <v>1228497.690125915</v>
      </c>
      <c r="I17" s="423">
        <v>0</v>
      </c>
      <c r="J17" s="52"/>
      <c r="K17" s="112">
        <f t="shared" ref="K17:K22" si="0">G17</f>
        <v>1228497.690125915</v>
      </c>
      <c r="L17" s="53">
        <f t="shared" ref="L17:L22" si="1">IF(K17&lt;&gt;0,+G17-K17,0)</f>
        <v>0</v>
      </c>
      <c r="M17" s="112">
        <f t="shared" ref="M17:M22" si="2">H17</f>
        <v>1228497.690125915</v>
      </c>
      <c r="N17" s="53">
        <f t="shared" ref="N17:N22" si="3">IF(M17&lt;&gt;0,+H17-M17,0)</f>
        <v>0</v>
      </c>
      <c r="O17" s="54">
        <f t="shared" ref="O17:O22" si="4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2014</v>
      </c>
      <c r="D18" s="426">
        <v>8080346.4285714282</v>
      </c>
      <c r="E18" s="420">
        <v>204615.59523809524</v>
      </c>
      <c r="F18" s="426">
        <v>7875730.833333333</v>
      </c>
      <c r="G18" s="420">
        <v>1267134.4448032489</v>
      </c>
      <c r="H18" s="421">
        <v>1267134.4448032489</v>
      </c>
      <c r="I18" s="423">
        <v>0</v>
      </c>
      <c r="J18" s="52"/>
      <c r="K18" s="113">
        <f t="shared" si="0"/>
        <v>1267134.4448032489</v>
      </c>
      <c r="L18" s="54">
        <f t="shared" si="1"/>
        <v>0</v>
      </c>
      <c r="M18" s="113">
        <f t="shared" si="2"/>
        <v>1267134.4448032489</v>
      </c>
      <c r="N18" s="54">
        <f t="shared" si="3"/>
        <v>0</v>
      </c>
      <c r="O18" s="54">
        <f t="shared" si="4"/>
        <v>0</v>
      </c>
      <c r="P18" s="1"/>
    </row>
    <row r="19" spans="2:16" ht="12.5">
      <c r="B19" s="7" t="str">
        <f>IF(D19=F18,"","IU")</f>
        <v/>
      </c>
      <c r="C19" s="50">
        <f>IF(D11="","-",+C18+1)</f>
        <v>2015</v>
      </c>
      <c r="D19" s="426">
        <v>7875730.833333333</v>
      </c>
      <c r="E19" s="420">
        <v>204734</v>
      </c>
      <c r="F19" s="426">
        <v>7670996.833333333</v>
      </c>
      <c r="G19" s="420">
        <v>1215041.1112148757</v>
      </c>
      <c r="H19" s="421">
        <v>1215041.1112148757</v>
      </c>
      <c r="I19" s="52">
        <v>0</v>
      </c>
      <c r="J19" s="52"/>
      <c r="K19" s="113">
        <f t="shared" si="0"/>
        <v>1215041.1112148757</v>
      </c>
      <c r="L19" s="54">
        <f t="shared" si="1"/>
        <v>0</v>
      </c>
      <c r="M19" s="113">
        <f t="shared" si="2"/>
        <v>1215041.1112148757</v>
      </c>
      <c r="N19" s="54">
        <f t="shared" si="3"/>
        <v>0</v>
      </c>
      <c r="O19" s="54">
        <f t="shared" si="4"/>
        <v>0</v>
      </c>
      <c r="P19" s="1"/>
    </row>
    <row r="20" spans="2:16" ht="12.5">
      <c r="B20" s="7" t="str">
        <f t="shared" ref="B20:B72" si="5">IF(D20=F19,"","IU")</f>
        <v>IU</v>
      </c>
      <c r="C20" s="50">
        <f>IF(D11="","-",+C19+1)</f>
        <v>2016</v>
      </c>
      <c r="D20" s="426">
        <v>8092124.833333333</v>
      </c>
      <c r="E20" s="420">
        <v>204734</v>
      </c>
      <c r="F20" s="426">
        <v>7887390.833333333</v>
      </c>
      <c r="G20" s="420">
        <v>1230725.6025644462</v>
      </c>
      <c r="H20" s="421">
        <v>1230725.6025644462</v>
      </c>
      <c r="I20" s="52">
        <f>H20-G20</f>
        <v>0</v>
      </c>
      <c r="J20" s="52"/>
      <c r="K20" s="113">
        <f t="shared" si="0"/>
        <v>1230725.6025644462</v>
      </c>
      <c r="L20" s="54">
        <f t="shared" si="1"/>
        <v>0</v>
      </c>
      <c r="M20" s="113">
        <f t="shared" si="2"/>
        <v>1230725.6025644462</v>
      </c>
      <c r="N20" s="54">
        <f t="shared" si="3"/>
        <v>0</v>
      </c>
      <c r="O20" s="54">
        <f t="shared" si="4"/>
        <v>0</v>
      </c>
      <c r="P20" s="1"/>
    </row>
    <row r="21" spans="2:16" ht="12.5">
      <c r="B21" s="7" t="str">
        <f t="shared" si="5"/>
        <v/>
      </c>
      <c r="C21" s="50">
        <f>IF(D11="","-",+C20+1)</f>
        <v>2017</v>
      </c>
      <c r="D21" s="426">
        <v>7887390.833333333</v>
      </c>
      <c r="E21" s="420">
        <v>199972.7441860465</v>
      </c>
      <c r="F21" s="426">
        <v>7687418.0891472865</v>
      </c>
      <c r="G21" s="420">
        <v>1164774.0131848808</v>
      </c>
      <c r="H21" s="421">
        <v>1164774.0131848808</v>
      </c>
      <c r="I21" s="52">
        <f t="shared" ref="I21:I72" si="6">H21-G21</f>
        <v>0</v>
      </c>
      <c r="J21" s="52"/>
      <c r="K21" s="113">
        <f t="shared" si="0"/>
        <v>1164774.0131848808</v>
      </c>
      <c r="L21" s="54">
        <f t="shared" si="1"/>
        <v>0</v>
      </c>
      <c r="M21" s="113">
        <f t="shared" si="2"/>
        <v>1164774.0131848808</v>
      </c>
      <c r="N21" s="54">
        <f t="shared" si="3"/>
        <v>0</v>
      </c>
      <c r="O21" s="54">
        <f t="shared" si="4"/>
        <v>0</v>
      </c>
      <c r="P21" s="1"/>
    </row>
    <row r="22" spans="2:16" ht="12.5">
      <c r="B22" s="7" t="str">
        <f t="shared" si="5"/>
        <v/>
      </c>
      <c r="C22" s="50">
        <f>IF(D11="","-",+C21+1)</f>
        <v>2018</v>
      </c>
      <c r="D22" s="426">
        <v>7687418.0891472865</v>
      </c>
      <c r="E22" s="420">
        <v>209727.51219512196</v>
      </c>
      <c r="F22" s="426">
        <v>7477690.576952165</v>
      </c>
      <c r="G22" s="420">
        <v>1173425.4227286456</v>
      </c>
      <c r="H22" s="421">
        <v>1173425.4227286456</v>
      </c>
      <c r="I22" s="52">
        <f t="shared" si="6"/>
        <v>0</v>
      </c>
      <c r="J22" s="52"/>
      <c r="K22" s="113">
        <f t="shared" si="0"/>
        <v>1173425.4227286456</v>
      </c>
      <c r="L22" s="54">
        <f t="shared" si="1"/>
        <v>0</v>
      </c>
      <c r="M22" s="113">
        <f t="shared" si="2"/>
        <v>1173425.4227286456</v>
      </c>
      <c r="N22" s="54">
        <f t="shared" si="3"/>
        <v>0</v>
      </c>
      <c r="O22" s="54">
        <f t="shared" si="4"/>
        <v>0</v>
      </c>
      <c r="P22" s="1"/>
    </row>
    <row r="23" spans="2:16" ht="12.5">
      <c r="B23" s="7" t="str">
        <f t="shared" si="5"/>
        <v/>
      </c>
      <c r="C23" s="50">
        <f>IF(D11="","-",+C22+1)</f>
        <v>2019</v>
      </c>
      <c r="D23" s="426">
        <v>7477690.576952165</v>
      </c>
      <c r="E23" s="420">
        <v>209727.51219512196</v>
      </c>
      <c r="F23" s="426">
        <v>7267963.0647570435</v>
      </c>
      <c r="G23" s="420">
        <v>1146770.2935457411</v>
      </c>
      <c r="H23" s="421">
        <v>1146770.2935457411</v>
      </c>
      <c r="I23" s="52">
        <f t="shared" si="6"/>
        <v>0</v>
      </c>
      <c r="J23" s="52"/>
      <c r="K23" s="113">
        <f t="shared" ref="K23" si="7">G23</f>
        <v>1146770.2935457411</v>
      </c>
      <c r="L23" s="54">
        <f t="shared" ref="L23" si="8">IF(K23&lt;&gt;0,+G23-K23,0)</f>
        <v>0</v>
      </c>
      <c r="M23" s="113">
        <f t="shared" ref="M23" si="9">H23</f>
        <v>1146770.2935457411</v>
      </c>
      <c r="N23" s="54">
        <f t="shared" ref="N23:N72" si="10">IF(M23&lt;&gt;0,+H23-M23,0)</f>
        <v>0</v>
      </c>
      <c r="O23" s="54">
        <f t="shared" ref="O23:O72" si="11">+N23-L23</f>
        <v>0</v>
      </c>
      <c r="P23" s="1"/>
    </row>
    <row r="24" spans="2:16" ht="12.5">
      <c r="B24" s="7" t="str">
        <f t="shared" si="5"/>
        <v/>
      </c>
      <c r="C24" s="50">
        <f>IF(D11="","-",+C23+1)</f>
        <v>2020</v>
      </c>
      <c r="D24" s="426">
        <v>7267963.0647570435</v>
      </c>
      <c r="E24" s="420">
        <v>209727.51219512196</v>
      </c>
      <c r="F24" s="426">
        <v>7058235.552561922</v>
      </c>
      <c r="G24" s="420">
        <v>942766.54121136409</v>
      </c>
      <c r="H24" s="421">
        <v>942766.54121136409</v>
      </c>
      <c r="I24" s="52">
        <f t="shared" si="6"/>
        <v>0</v>
      </c>
      <c r="J24" s="52"/>
      <c r="K24" s="113">
        <f t="shared" ref="K24" si="12">G24</f>
        <v>942766.54121136409</v>
      </c>
      <c r="L24" s="54">
        <f t="shared" ref="L24" si="13">IF(K24&lt;&gt;0,+G24-K24,0)</f>
        <v>0</v>
      </c>
      <c r="M24" s="113">
        <f t="shared" ref="M24" si="14">H24</f>
        <v>942766.54121136409</v>
      </c>
      <c r="N24" s="54">
        <f t="shared" si="10"/>
        <v>0</v>
      </c>
      <c r="O24" s="54">
        <f t="shared" si="11"/>
        <v>0</v>
      </c>
      <c r="P24" s="1"/>
    </row>
    <row r="25" spans="2:16" ht="12.5">
      <c r="B25" s="7" t="str">
        <f t="shared" si="5"/>
        <v>IU</v>
      </c>
      <c r="C25" s="50">
        <f>IF(D11="","-",+C24+1)</f>
        <v>2021</v>
      </c>
      <c r="D25" s="426">
        <v>7067990.320570996</v>
      </c>
      <c r="E25" s="420">
        <v>204734</v>
      </c>
      <c r="F25" s="426">
        <v>6863256.320570996</v>
      </c>
      <c r="G25" s="420">
        <v>943121.73103540705</v>
      </c>
      <c r="H25" s="421">
        <v>943121.73103540705</v>
      </c>
      <c r="I25" s="52">
        <f t="shared" si="6"/>
        <v>0</v>
      </c>
      <c r="J25" s="52"/>
      <c r="K25" s="113">
        <f t="shared" ref="K25" si="15">G25</f>
        <v>943121.73103540705</v>
      </c>
      <c r="L25" s="54">
        <f t="shared" ref="L25" si="16">IF(K25&lt;&gt;0,+G25-K25,0)</f>
        <v>0</v>
      </c>
      <c r="M25" s="113">
        <f t="shared" ref="M25" si="17">H25</f>
        <v>943121.73103540705</v>
      </c>
      <c r="N25" s="54">
        <f t="shared" si="10"/>
        <v>0</v>
      </c>
      <c r="O25" s="54">
        <f t="shared" si="11"/>
        <v>0</v>
      </c>
      <c r="P25" s="1"/>
    </row>
    <row r="26" spans="2:16" ht="12.5">
      <c r="B26" s="7" t="str">
        <f t="shared" si="5"/>
        <v>IU</v>
      </c>
      <c r="C26" s="50">
        <f>IF(D11="","-",+C25+1)</f>
        <v>2022</v>
      </c>
      <c r="D26" s="426">
        <v>6853501.5525619211</v>
      </c>
      <c r="E26" s="420">
        <v>204734</v>
      </c>
      <c r="F26" s="426">
        <v>6648767.5525619211</v>
      </c>
      <c r="G26" s="420">
        <v>963859.22769891692</v>
      </c>
      <c r="H26" s="421">
        <v>963859.22769891692</v>
      </c>
      <c r="I26" s="52">
        <f t="shared" si="6"/>
        <v>0</v>
      </c>
      <c r="J26" s="52"/>
      <c r="K26" s="113">
        <f t="shared" ref="K26" si="18">G26</f>
        <v>963859.22769891692</v>
      </c>
      <c r="L26" s="54">
        <f t="shared" ref="L26" si="19">IF(K26&lt;&gt;0,+G26-K26,0)</f>
        <v>0</v>
      </c>
      <c r="M26" s="113">
        <f t="shared" ref="M26" si="20">H26</f>
        <v>963859.22769891692</v>
      </c>
      <c r="N26" s="54">
        <f t="shared" si="10"/>
        <v>0</v>
      </c>
      <c r="O26" s="54">
        <f t="shared" si="11"/>
        <v>0</v>
      </c>
      <c r="P26" s="1"/>
    </row>
    <row r="27" spans="2:16" ht="12.5">
      <c r="B27" s="7" t="str">
        <f t="shared" si="5"/>
        <v/>
      </c>
      <c r="C27" s="50">
        <f>IF(D11="","-",+C26+1)</f>
        <v>2023</v>
      </c>
      <c r="D27" s="426">
        <v>6648767.5525619211</v>
      </c>
      <c r="E27" s="420">
        <v>204734</v>
      </c>
      <c r="F27" s="426">
        <v>6444033.5525619211</v>
      </c>
      <c r="G27" s="420">
        <v>1031719.7546332029</v>
      </c>
      <c r="H27" s="421">
        <v>1031719.7546332029</v>
      </c>
      <c r="I27" s="52">
        <f t="shared" si="6"/>
        <v>0</v>
      </c>
      <c r="J27" s="52"/>
      <c r="K27" s="113">
        <f t="shared" ref="K27" si="21">G27</f>
        <v>1031719.7546332029</v>
      </c>
      <c r="L27" s="54">
        <f t="shared" ref="L27" si="22">IF(K27&lt;&gt;0,+G27-K27,0)</f>
        <v>0</v>
      </c>
      <c r="M27" s="113">
        <f t="shared" ref="M27" si="23">H27</f>
        <v>1031719.7546332029</v>
      </c>
      <c r="N27" s="54">
        <f t="shared" si="10"/>
        <v>0</v>
      </c>
      <c r="O27" s="54">
        <f t="shared" si="11"/>
        <v>0</v>
      </c>
      <c r="P27" s="1"/>
    </row>
    <row r="28" spans="2:16" ht="12.5">
      <c r="B28" s="7" t="str">
        <f t="shared" si="5"/>
        <v/>
      </c>
      <c r="C28" s="50">
        <f>IF(D11="","-",+C27+1)</f>
        <v>2024</v>
      </c>
      <c r="D28" s="426">
        <v>6444033.5525619211</v>
      </c>
      <c r="E28" s="420">
        <v>195427.90909090909</v>
      </c>
      <c r="F28" s="426">
        <v>6248605.6434710119</v>
      </c>
      <c r="G28" s="420">
        <v>953985.28720160865</v>
      </c>
      <c r="H28" s="421">
        <v>953985.28720160865</v>
      </c>
      <c r="I28" s="52">
        <f t="shared" si="6"/>
        <v>0</v>
      </c>
      <c r="J28" s="52"/>
      <c r="K28" s="113">
        <f t="shared" ref="K28" si="24">G28</f>
        <v>953985.28720160865</v>
      </c>
      <c r="L28" s="54">
        <f t="shared" ref="L28" si="25">IF(K28&lt;&gt;0,+G28-K28,0)</f>
        <v>0</v>
      </c>
      <c r="M28" s="113">
        <f t="shared" ref="M28" si="26">H28</f>
        <v>953985.28720160865</v>
      </c>
      <c r="N28" s="54">
        <f t="shared" ref="N28" si="27">IF(M28&lt;&gt;0,+H28-M28,0)</f>
        <v>0</v>
      </c>
      <c r="O28" s="54">
        <f t="shared" ref="O28" si="28">+N28-L28</f>
        <v>0</v>
      </c>
      <c r="P28" s="1"/>
    </row>
    <row r="29" spans="2:16" ht="12.5">
      <c r="B29" s="7" t="str">
        <f t="shared" si="5"/>
        <v/>
      </c>
      <c r="C29" s="50">
        <f>IF(D11="","-",+C28+1)</f>
        <v>2025</v>
      </c>
      <c r="D29" s="55">
        <f>IF(F28+SUM(E$17:E28)=D$10,F28,D$10-SUM(E$17:E28))</f>
        <v>6248605.6434710119</v>
      </c>
      <c r="E29" s="378">
        <f t="shared" ref="E29:E72" si="29">IF(+$I$14&lt;F28,$I$14,D29)</f>
        <v>195427.90909090909</v>
      </c>
      <c r="F29" s="55">
        <f t="shared" ref="F29:F72" si="30">+D29-E29</f>
        <v>6053177.7343801027</v>
      </c>
      <c r="G29" s="379">
        <f t="shared" ref="G29:G52" si="31">+I$12*((D29+F29)/2)+E29</f>
        <v>930626.3497828265</v>
      </c>
      <c r="H29" s="364">
        <f t="shared" ref="H29:H52" si="32">+I$13*((D29+F29)/2)+E29</f>
        <v>930626.3497828265</v>
      </c>
      <c r="I29" s="52">
        <f t="shared" si="6"/>
        <v>0</v>
      </c>
      <c r="J29" s="52"/>
      <c r="K29" s="129"/>
      <c r="L29" s="54">
        <f t="shared" ref="L29:L72" si="33">IF(K29&lt;&gt;0,+G29-K29,0)</f>
        <v>0</v>
      </c>
      <c r="M29" s="129"/>
      <c r="N29" s="54">
        <f t="shared" si="10"/>
        <v>0</v>
      </c>
      <c r="O29" s="54">
        <f t="shared" si="11"/>
        <v>0</v>
      </c>
      <c r="P29" s="1"/>
    </row>
    <row r="30" spans="2:16" ht="12.5">
      <c r="B30" s="7" t="str">
        <f t="shared" si="5"/>
        <v/>
      </c>
      <c r="C30" s="50">
        <f>IF(D11="","-",+C29+1)</f>
        <v>2026</v>
      </c>
      <c r="D30" s="55">
        <f>IF(F29+SUM(E$17:E29)=D$10,F29,D$10-SUM(E$17:E29))</f>
        <v>6053177.7343801027</v>
      </c>
      <c r="E30" s="378">
        <f t="shared" si="29"/>
        <v>195427.90909090909</v>
      </c>
      <c r="F30" s="55">
        <f t="shared" si="30"/>
        <v>5857749.8252891935</v>
      </c>
      <c r="G30" s="379">
        <f t="shared" si="31"/>
        <v>907267.41236404469</v>
      </c>
      <c r="H30" s="364">
        <f t="shared" si="32"/>
        <v>907267.41236404469</v>
      </c>
      <c r="I30" s="52">
        <f t="shared" si="6"/>
        <v>0</v>
      </c>
      <c r="J30" s="52"/>
      <c r="K30" s="129"/>
      <c r="L30" s="54">
        <f t="shared" si="33"/>
        <v>0</v>
      </c>
      <c r="M30" s="129"/>
      <c r="N30" s="54">
        <f t="shared" si="10"/>
        <v>0</v>
      </c>
      <c r="O30" s="54">
        <f t="shared" si="11"/>
        <v>0</v>
      </c>
      <c r="P30" s="1"/>
    </row>
    <row r="31" spans="2:16" ht="12.5">
      <c r="B31" s="7" t="str">
        <f t="shared" si="5"/>
        <v/>
      </c>
      <c r="C31" s="50">
        <f>IF(D11="","-",+C30+1)</f>
        <v>2027</v>
      </c>
      <c r="D31" s="55">
        <f>IF(F30+SUM(E$17:E30)=D$10,F30,D$10-SUM(E$17:E30))</f>
        <v>5857749.8252891935</v>
      </c>
      <c r="E31" s="378">
        <f t="shared" si="29"/>
        <v>195427.90909090909</v>
      </c>
      <c r="F31" s="55">
        <f t="shared" si="30"/>
        <v>5662321.9161982844</v>
      </c>
      <c r="G31" s="379">
        <f t="shared" si="31"/>
        <v>883908.47494526254</v>
      </c>
      <c r="H31" s="364">
        <f t="shared" si="32"/>
        <v>883908.47494526254</v>
      </c>
      <c r="I31" s="52">
        <f t="shared" si="6"/>
        <v>0</v>
      </c>
      <c r="J31" s="52"/>
      <c r="K31" s="129"/>
      <c r="L31" s="54">
        <f t="shared" si="33"/>
        <v>0</v>
      </c>
      <c r="M31" s="129"/>
      <c r="N31" s="54">
        <f t="shared" si="10"/>
        <v>0</v>
      </c>
      <c r="O31" s="54">
        <f t="shared" si="11"/>
        <v>0</v>
      </c>
      <c r="P31" s="1"/>
    </row>
    <row r="32" spans="2:16" ht="12.5">
      <c r="B32" s="7" t="str">
        <f t="shared" si="5"/>
        <v/>
      </c>
      <c r="C32" s="50">
        <f>IF(D11="","-",+C31+1)</f>
        <v>2028</v>
      </c>
      <c r="D32" s="55">
        <f>IF(F31+SUM(E$17:E31)=D$10,F31,D$10-SUM(E$17:E31))</f>
        <v>5662321.9161982844</v>
      </c>
      <c r="E32" s="378">
        <f t="shared" si="29"/>
        <v>195427.90909090909</v>
      </c>
      <c r="F32" s="55">
        <f t="shared" si="30"/>
        <v>5466894.0071073752</v>
      </c>
      <c r="G32" s="379">
        <f t="shared" si="31"/>
        <v>860549.53752648074</v>
      </c>
      <c r="H32" s="364">
        <f t="shared" si="32"/>
        <v>860549.53752648074</v>
      </c>
      <c r="I32" s="52">
        <f t="shared" si="6"/>
        <v>0</v>
      </c>
      <c r="J32" s="52"/>
      <c r="K32" s="129"/>
      <c r="L32" s="54">
        <f t="shared" si="33"/>
        <v>0</v>
      </c>
      <c r="M32" s="129"/>
      <c r="N32" s="54">
        <f t="shared" si="10"/>
        <v>0</v>
      </c>
      <c r="O32" s="54">
        <f t="shared" si="11"/>
        <v>0</v>
      </c>
      <c r="P32" s="1"/>
    </row>
    <row r="33" spans="2:16" ht="12.5">
      <c r="B33" s="7" t="str">
        <f t="shared" si="5"/>
        <v/>
      </c>
      <c r="C33" s="50">
        <f>IF(D11="","-",+C32+1)</f>
        <v>2029</v>
      </c>
      <c r="D33" s="55">
        <f>IF(F32+SUM(E$17:E32)=D$10,F32,D$10-SUM(E$17:E32))</f>
        <v>5466894.0071073752</v>
      </c>
      <c r="E33" s="378">
        <f t="shared" si="29"/>
        <v>195427.90909090909</v>
      </c>
      <c r="F33" s="55">
        <f t="shared" si="30"/>
        <v>5271466.098016466</v>
      </c>
      <c r="G33" s="379">
        <f t="shared" si="31"/>
        <v>837190.60010769858</v>
      </c>
      <c r="H33" s="364">
        <f t="shared" si="32"/>
        <v>837190.60010769858</v>
      </c>
      <c r="I33" s="52">
        <f t="shared" si="6"/>
        <v>0</v>
      </c>
      <c r="J33" s="52"/>
      <c r="K33" s="129"/>
      <c r="L33" s="54">
        <f t="shared" si="33"/>
        <v>0</v>
      </c>
      <c r="M33" s="129"/>
      <c r="N33" s="54">
        <f t="shared" si="10"/>
        <v>0</v>
      </c>
      <c r="O33" s="54">
        <f t="shared" si="11"/>
        <v>0</v>
      </c>
      <c r="P33" s="1"/>
    </row>
    <row r="34" spans="2:16" ht="12.5">
      <c r="B34" s="7" t="str">
        <f t="shared" si="5"/>
        <v/>
      </c>
      <c r="C34" s="50">
        <f>IF(D11="","-",+C33+1)</f>
        <v>2030</v>
      </c>
      <c r="D34" s="55">
        <f>IF(F33+SUM(E$17:E33)=D$10,F33,D$10-SUM(E$17:E33))</f>
        <v>5271466.098016466</v>
      </c>
      <c r="E34" s="378">
        <f t="shared" si="29"/>
        <v>195427.90909090909</v>
      </c>
      <c r="F34" s="55">
        <f t="shared" si="30"/>
        <v>5076038.1889255568</v>
      </c>
      <c r="G34" s="379">
        <f t="shared" si="31"/>
        <v>813831.66268891678</v>
      </c>
      <c r="H34" s="364">
        <f t="shared" si="32"/>
        <v>813831.66268891678</v>
      </c>
      <c r="I34" s="52">
        <f t="shared" si="6"/>
        <v>0</v>
      </c>
      <c r="J34" s="52"/>
      <c r="K34" s="129"/>
      <c r="L34" s="54">
        <f t="shared" si="33"/>
        <v>0</v>
      </c>
      <c r="M34" s="129"/>
      <c r="N34" s="54">
        <f t="shared" si="10"/>
        <v>0</v>
      </c>
      <c r="O34" s="54">
        <f t="shared" si="11"/>
        <v>0</v>
      </c>
      <c r="P34" s="1"/>
    </row>
    <row r="35" spans="2:16" ht="12.5">
      <c r="B35" s="7" t="str">
        <f t="shared" si="5"/>
        <v/>
      </c>
      <c r="C35" s="50">
        <f>IF(D11="","-",+C34+1)</f>
        <v>2031</v>
      </c>
      <c r="D35" s="55">
        <f>IF(F34+SUM(E$17:E34)=D$10,F34,D$10-SUM(E$17:E34))</f>
        <v>5076038.1889255568</v>
      </c>
      <c r="E35" s="378">
        <f t="shared" si="29"/>
        <v>195427.90909090909</v>
      </c>
      <c r="F35" s="55">
        <f t="shared" si="30"/>
        <v>4880610.2798346477</v>
      </c>
      <c r="G35" s="379">
        <f t="shared" si="31"/>
        <v>790472.72527013475</v>
      </c>
      <c r="H35" s="364">
        <f t="shared" si="32"/>
        <v>790472.72527013475</v>
      </c>
      <c r="I35" s="52">
        <f t="shared" si="6"/>
        <v>0</v>
      </c>
      <c r="J35" s="52"/>
      <c r="K35" s="129"/>
      <c r="L35" s="54">
        <f t="shared" si="33"/>
        <v>0</v>
      </c>
      <c r="M35" s="129"/>
      <c r="N35" s="54">
        <f t="shared" si="10"/>
        <v>0</v>
      </c>
      <c r="O35" s="54">
        <f t="shared" si="11"/>
        <v>0</v>
      </c>
      <c r="P35" s="1"/>
    </row>
    <row r="36" spans="2:16" ht="12.5">
      <c r="B36" s="7" t="str">
        <f t="shared" si="5"/>
        <v/>
      </c>
      <c r="C36" s="50">
        <f>IF(D11="","-",+C35+1)</f>
        <v>2032</v>
      </c>
      <c r="D36" s="55">
        <f>IF(F35+SUM(E$17:E35)=D$10,F35,D$10-SUM(E$17:E35))</f>
        <v>4880610.2798346477</v>
      </c>
      <c r="E36" s="378">
        <f t="shared" si="29"/>
        <v>195427.90909090909</v>
      </c>
      <c r="F36" s="55">
        <f t="shared" si="30"/>
        <v>4685182.3707437385</v>
      </c>
      <c r="G36" s="379">
        <f t="shared" si="31"/>
        <v>767113.78785135283</v>
      </c>
      <c r="H36" s="364">
        <f t="shared" si="32"/>
        <v>767113.78785135283</v>
      </c>
      <c r="I36" s="52">
        <f t="shared" si="6"/>
        <v>0</v>
      </c>
      <c r="J36" s="52"/>
      <c r="K36" s="129"/>
      <c r="L36" s="54">
        <f t="shared" si="33"/>
        <v>0</v>
      </c>
      <c r="M36" s="129"/>
      <c r="N36" s="54">
        <f t="shared" si="10"/>
        <v>0</v>
      </c>
      <c r="O36" s="54">
        <f t="shared" si="11"/>
        <v>0</v>
      </c>
      <c r="P36" s="1"/>
    </row>
    <row r="37" spans="2:16" ht="12.5">
      <c r="B37" s="7" t="str">
        <f t="shared" si="5"/>
        <v/>
      </c>
      <c r="C37" s="50">
        <f>IF(D11="","-",+C36+1)</f>
        <v>2033</v>
      </c>
      <c r="D37" s="55">
        <f>IF(F36+SUM(E$17:E36)=D$10,F36,D$10-SUM(E$17:E36))</f>
        <v>4685182.3707437385</v>
      </c>
      <c r="E37" s="378">
        <f t="shared" si="29"/>
        <v>195427.90909090909</v>
      </c>
      <c r="F37" s="55">
        <f t="shared" si="30"/>
        <v>4489754.4616528293</v>
      </c>
      <c r="G37" s="379">
        <f t="shared" si="31"/>
        <v>743754.85043257079</v>
      </c>
      <c r="H37" s="364">
        <f t="shared" si="32"/>
        <v>743754.85043257079</v>
      </c>
      <c r="I37" s="52">
        <f t="shared" si="6"/>
        <v>0</v>
      </c>
      <c r="J37" s="52"/>
      <c r="K37" s="129"/>
      <c r="L37" s="54">
        <f t="shared" si="33"/>
        <v>0</v>
      </c>
      <c r="M37" s="129"/>
      <c r="N37" s="54">
        <f t="shared" si="10"/>
        <v>0</v>
      </c>
      <c r="O37" s="54">
        <f t="shared" si="11"/>
        <v>0</v>
      </c>
      <c r="P37" s="1"/>
    </row>
    <row r="38" spans="2:16" ht="12.5">
      <c r="B38" s="7" t="str">
        <f t="shared" si="5"/>
        <v/>
      </c>
      <c r="C38" s="50">
        <f>IF(D11="","-",+C37+1)</f>
        <v>2034</v>
      </c>
      <c r="D38" s="55">
        <f>IF(F37+SUM(E$17:E37)=D$10,F37,D$10-SUM(E$17:E37))</f>
        <v>4489754.4616528293</v>
      </c>
      <c r="E38" s="378">
        <f t="shared" si="29"/>
        <v>195427.90909090909</v>
      </c>
      <c r="F38" s="55">
        <f t="shared" si="30"/>
        <v>4294326.5525619201</v>
      </c>
      <c r="G38" s="379">
        <f t="shared" si="31"/>
        <v>720395.91301378887</v>
      </c>
      <c r="H38" s="364">
        <f t="shared" si="32"/>
        <v>720395.91301378887</v>
      </c>
      <c r="I38" s="52">
        <f t="shared" si="6"/>
        <v>0</v>
      </c>
      <c r="J38" s="52"/>
      <c r="K38" s="129"/>
      <c r="L38" s="54">
        <f t="shared" si="33"/>
        <v>0</v>
      </c>
      <c r="M38" s="129"/>
      <c r="N38" s="54">
        <f t="shared" si="10"/>
        <v>0</v>
      </c>
      <c r="O38" s="54">
        <f t="shared" si="11"/>
        <v>0</v>
      </c>
      <c r="P38" s="1"/>
    </row>
    <row r="39" spans="2:16" ht="12.5">
      <c r="B39" s="7" t="str">
        <f t="shared" si="5"/>
        <v/>
      </c>
      <c r="C39" s="50">
        <f>IF(D11="","-",+C38+1)</f>
        <v>2035</v>
      </c>
      <c r="D39" s="55">
        <f>IF(F38+SUM(E$17:E38)=D$10,F38,D$10-SUM(E$17:E38))</f>
        <v>4294326.5525619201</v>
      </c>
      <c r="E39" s="378">
        <f t="shared" si="29"/>
        <v>195427.90909090909</v>
      </c>
      <c r="F39" s="55">
        <f t="shared" si="30"/>
        <v>4098898.643471011</v>
      </c>
      <c r="G39" s="379">
        <f t="shared" si="31"/>
        <v>697036.97559500684</v>
      </c>
      <c r="H39" s="364">
        <f t="shared" si="32"/>
        <v>697036.97559500684</v>
      </c>
      <c r="I39" s="52">
        <f t="shared" si="6"/>
        <v>0</v>
      </c>
      <c r="J39" s="52"/>
      <c r="K39" s="129"/>
      <c r="L39" s="54">
        <f t="shared" si="33"/>
        <v>0</v>
      </c>
      <c r="M39" s="129"/>
      <c r="N39" s="54">
        <f t="shared" si="10"/>
        <v>0</v>
      </c>
      <c r="O39" s="54">
        <f t="shared" si="11"/>
        <v>0</v>
      </c>
      <c r="P39" s="1"/>
    </row>
    <row r="40" spans="2:16" ht="12.5">
      <c r="B40" s="7" t="str">
        <f t="shared" si="5"/>
        <v/>
      </c>
      <c r="C40" s="50">
        <f>IF(D11="","-",+C39+1)</f>
        <v>2036</v>
      </c>
      <c r="D40" s="55">
        <f>IF(F39+SUM(E$17:E39)=D$10,F39,D$10-SUM(E$17:E39))</f>
        <v>4098898.643471011</v>
      </c>
      <c r="E40" s="378">
        <f t="shared" si="29"/>
        <v>195427.90909090909</v>
      </c>
      <c r="F40" s="55">
        <f t="shared" si="30"/>
        <v>3903470.7343801018</v>
      </c>
      <c r="G40" s="379">
        <f t="shared" si="31"/>
        <v>673678.03817622492</v>
      </c>
      <c r="H40" s="364">
        <f t="shared" si="32"/>
        <v>673678.03817622492</v>
      </c>
      <c r="I40" s="52">
        <f t="shared" si="6"/>
        <v>0</v>
      </c>
      <c r="J40" s="52"/>
      <c r="K40" s="129"/>
      <c r="L40" s="54">
        <f t="shared" si="33"/>
        <v>0</v>
      </c>
      <c r="M40" s="129"/>
      <c r="N40" s="54">
        <f t="shared" si="10"/>
        <v>0</v>
      </c>
      <c r="O40" s="54">
        <f t="shared" si="11"/>
        <v>0</v>
      </c>
      <c r="P40" s="1"/>
    </row>
    <row r="41" spans="2:16" ht="12.5">
      <c r="B41" s="7" t="str">
        <f t="shared" si="5"/>
        <v/>
      </c>
      <c r="C41" s="50">
        <f>IF(D11="","-",+C40+1)</f>
        <v>2037</v>
      </c>
      <c r="D41" s="55">
        <f>IF(F40+SUM(E$17:E40)=D$10,F40,D$10-SUM(E$17:E40))</f>
        <v>3903470.7343801018</v>
      </c>
      <c r="E41" s="378">
        <f t="shared" si="29"/>
        <v>195427.90909090909</v>
      </c>
      <c r="F41" s="55">
        <f t="shared" si="30"/>
        <v>3708042.8252891926</v>
      </c>
      <c r="G41" s="379">
        <f t="shared" si="31"/>
        <v>650319.100757443</v>
      </c>
      <c r="H41" s="364">
        <f t="shared" si="32"/>
        <v>650319.100757443</v>
      </c>
      <c r="I41" s="52">
        <f t="shared" si="6"/>
        <v>0</v>
      </c>
      <c r="J41" s="52"/>
      <c r="K41" s="129"/>
      <c r="L41" s="54">
        <f t="shared" si="33"/>
        <v>0</v>
      </c>
      <c r="M41" s="129"/>
      <c r="N41" s="54">
        <f t="shared" si="10"/>
        <v>0</v>
      </c>
      <c r="O41" s="54">
        <f t="shared" si="11"/>
        <v>0</v>
      </c>
      <c r="P41" s="1"/>
    </row>
    <row r="42" spans="2:16" ht="12.5">
      <c r="B42" s="7" t="str">
        <f t="shared" si="5"/>
        <v/>
      </c>
      <c r="C42" s="50">
        <f>IF(D11="","-",+C41+1)</f>
        <v>2038</v>
      </c>
      <c r="D42" s="55">
        <f>IF(F41+SUM(E$17:E41)=D$10,F41,D$10-SUM(E$17:E41))</f>
        <v>3708042.8252891926</v>
      </c>
      <c r="E42" s="378">
        <f t="shared" si="29"/>
        <v>195427.90909090909</v>
      </c>
      <c r="F42" s="55">
        <f t="shared" si="30"/>
        <v>3512614.9161982834</v>
      </c>
      <c r="G42" s="379">
        <f t="shared" si="31"/>
        <v>626960.16333866096</v>
      </c>
      <c r="H42" s="364">
        <f t="shared" si="32"/>
        <v>626960.16333866096</v>
      </c>
      <c r="I42" s="52">
        <f t="shared" si="6"/>
        <v>0</v>
      </c>
      <c r="J42" s="52"/>
      <c r="K42" s="129"/>
      <c r="L42" s="54">
        <f t="shared" si="33"/>
        <v>0</v>
      </c>
      <c r="M42" s="129"/>
      <c r="N42" s="54">
        <f t="shared" si="10"/>
        <v>0</v>
      </c>
      <c r="O42" s="54">
        <f t="shared" si="11"/>
        <v>0</v>
      </c>
      <c r="P42" s="1"/>
    </row>
    <row r="43" spans="2:16" ht="12.5">
      <c r="B43" s="7" t="str">
        <f t="shared" si="5"/>
        <v/>
      </c>
      <c r="C43" s="50">
        <f>IF(D11="","-",+C42+1)</f>
        <v>2039</v>
      </c>
      <c r="D43" s="55">
        <f>IF(F42+SUM(E$17:E42)=D$10,F42,D$10-SUM(E$17:E42))</f>
        <v>3512614.9161982834</v>
      </c>
      <c r="E43" s="378">
        <f t="shared" si="29"/>
        <v>195427.90909090909</v>
      </c>
      <c r="F43" s="55">
        <f t="shared" si="30"/>
        <v>3317187.0071073743</v>
      </c>
      <c r="G43" s="379">
        <f t="shared" si="31"/>
        <v>603601.22591987904</v>
      </c>
      <c r="H43" s="364">
        <f t="shared" si="32"/>
        <v>603601.22591987904</v>
      </c>
      <c r="I43" s="52">
        <f t="shared" si="6"/>
        <v>0</v>
      </c>
      <c r="J43" s="52"/>
      <c r="K43" s="129"/>
      <c r="L43" s="54">
        <f t="shared" si="33"/>
        <v>0</v>
      </c>
      <c r="M43" s="129"/>
      <c r="N43" s="54">
        <f t="shared" si="10"/>
        <v>0</v>
      </c>
      <c r="O43" s="54">
        <f t="shared" si="11"/>
        <v>0</v>
      </c>
      <c r="P43" s="1"/>
    </row>
    <row r="44" spans="2:16" ht="12.5">
      <c r="B44" s="7" t="str">
        <f t="shared" si="5"/>
        <v/>
      </c>
      <c r="C44" s="50">
        <f>IF(D11="","-",+C43+1)</f>
        <v>2040</v>
      </c>
      <c r="D44" s="55">
        <f>IF(F43+SUM(E$17:E43)=D$10,F43,D$10-SUM(E$17:E43))</f>
        <v>3317187.0071073743</v>
      </c>
      <c r="E44" s="378">
        <f t="shared" si="29"/>
        <v>195427.90909090909</v>
      </c>
      <c r="F44" s="55">
        <f t="shared" si="30"/>
        <v>3121759.0980164651</v>
      </c>
      <c r="G44" s="379">
        <f t="shared" si="31"/>
        <v>580242.28850109701</v>
      </c>
      <c r="H44" s="364">
        <f t="shared" si="32"/>
        <v>580242.28850109701</v>
      </c>
      <c r="I44" s="52">
        <f t="shared" si="6"/>
        <v>0</v>
      </c>
      <c r="J44" s="52"/>
      <c r="K44" s="129"/>
      <c r="L44" s="54">
        <f t="shared" si="33"/>
        <v>0</v>
      </c>
      <c r="M44" s="129"/>
      <c r="N44" s="54">
        <f t="shared" si="10"/>
        <v>0</v>
      </c>
      <c r="O44" s="54">
        <f t="shared" si="11"/>
        <v>0</v>
      </c>
      <c r="P44" s="1"/>
    </row>
    <row r="45" spans="2:16" ht="12.5">
      <c r="B45" s="7" t="str">
        <f t="shared" si="5"/>
        <v/>
      </c>
      <c r="C45" s="50">
        <f>IF(D11="","-",+C44+1)</f>
        <v>2041</v>
      </c>
      <c r="D45" s="55">
        <f>IF(F44+SUM(E$17:E44)=D$10,F44,D$10-SUM(E$17:E44))</f>
        <v>3121759.0980164651</v>
      </c>
      <c r="E45" s="378">
        <f t="shared" si="29"/>
        <v>195427.90909090909</v>
      </c>
      <c r="F45" s="55">
        <f t="shared" si="30"/>
        <v>2926331.1889255559</v>
      </c>
      <c r="G45" s="379">
        <f t="shared" si="31"/>
        <v>556883.35108231509</v>
      </c>
      <c r="H45" s="364">
        <f t="shared" si="32"/>
        <v>556883.35108231509</v>
      </c>
      <c r="I45" s="52">
        <f t="shared" si="6"/>
        <v>0</v>
      </c>
      <c r="J45" s="52"/>
      <c r="K45" s="129"/>
      <c r="L45" s="54">
        <f t="shared" si="33"/>
        <v>0</v>
      </c>
      <c r="M45" s="129"/>
      <c r="N45" s="54">
        <f t="shared" si="10"/>
        <v>0</v>
      </c>
      <c r="O45" s="54">
        <f t="shared" si="11"/>
        <v>0</v>
      </c>
      <c r="P45" s="1"/>
    </row>
    <row r="46" spans="2:16" ht="12.5">
      <c r="B46" s="7" t="str">
        <f t="shared" si="5"/>
        <v/>
      </c>
      <c r="C46" s="50">
        <f>IF(D11="","-",+C45+1)</f>
        <v>2042</v>
      </c>
      <c r="D46" s="55">
        <f>IF(F45+SUM(E$17:E45)=D$10,F45,D$10-SUM(E$17:E45))</f>
        <v>2926331.1889255559</v>
      </c>
      <c r="E46" s="378">
        <f t="shared" si="29"/>
        <v>195427.90909090909</v>
      </c>
      <c r="F46" s="55">
        <f t="shared" si="30"/>
        <v>2730903.2798346467</v>
      </c>
      <c r="G46" s="379">
        <f t="shared" si="31"/>
        <v>533524.41366353305</v>
      </c>
      <c r="H46" s="364">
        <f t="shared" si="32"/>
        <v>533524.41366353305</v>
      </c>
      <c r="I46" s="52">
        <f t="shared" si="6"/>
        <v>0</v>
      </c>
      <c r="J46" s="52"/>
      <c r="K46" s="129"/>
      <c r="L46" s="54">
        <f t="shared" si="33"/>
        <v>0</v>
      </c>
      <c r="M46" s="129"/>
      <c r="N46" s="54">
        <f t="shared" si="10"/>
        <v>0</v>
      </c>
      <c r="O46" s="54">
        <f t="shared" si="11"/>
        <v>0</v>
      </c>
      <c r="P46" s="1"/>
    </row>
    <row r="47" spans="2:16" ht="12.5">
      <c r="B47" s="7" t="str">
        <f t="shared" si="5"/>
        <v/>
      </c>
      <c r="C47" s="50">
        <f>IF(D11="","-",+C46+1)</f>
        <v>2043</v>
      </c>
      <c r="D47" s="55">
        <f>IF(F46+SUM(E$17:E46)=D$10,F46,D$10-SUM(E$17:E46))</f>
        <v>2730903.2798346467</v>
      </c>
      <c r="E47" s="378">
        <f t="shared" si="29"/>
        <v>195427.90909090909</v>
      </c>
      <c r="F47" s="55">
        <f t="shared" si="30"/>
        <v>2535475.3707437376</v>
      </c>
      <c r="G47" s="379">
        <f t="shared" si="31"/>
        <v>510165.47624475113</v>
      </c>
      <c r="H47" s="364">
        <f t="shared" si="32"/>
        <v>510165.47624475113</v>
      </c>
      <c r="I47" s="52">
        <f t="shared" si="6"/>
        <v>0</v>
      </c>
      <c r="J47" s="52"/>
      <c r="K47" s="129"/>
      <c r="L47" s="54">
        <f t="shared" si="33"/>
        <v>0</v>
      </c>
      <c r="M47" s="129"/>
      <c r="N47" s="54">
        <f t="shared" si="10"/>
        <v>0</v>
      </c>
      <c r="O47" s="54">
        <f t="shared" si="11"/>
        <v>0</v>
      </c>
      <c r="P47" s="1"/>
    </row>
    <row r="48" spans="2:16" ht="12.5">
      <c r="B48" s="7" t="str">
        <f t="shared" si="5"/>
        <v/>
      </c>
      <c r="C48" s="50">
        <f>IF(D11="","-",+C47+1)</f>
        <v>2044</v>
      </c>
      <c r="D48" s="55">
        <f>IF(F47+SUM(E$17:E47)=D$10,F47,D$10-SUM(E$17:E47))</f>
        <v>2535475.3707437376</v>
      </c>
      <c r="E48" s="378">
        <f t="shared" si="29"/>
        <v>195427.90909090909</v>
      </c>
      <c r="F48" s="55">
        <f t="shared" si="30"/>
        <v>2340047.4616528284</v>
      </c>
      <c r="G48" s="379">
        <f t="shared" si="31"/>
        <v>486806.5388259691</v>
      </c>
      <c r="H48" s="364">
        <f t="shared" si="32"/>
        <v>486806.5388259691</v>
      </c>
      <c r="I48" s="52">
        <f t="shared" si="6"/>
        <v>0</v>
      </c>
      <c r="J48" s="52"/>
      <c r="K48" s="129"/>
      <c r="L48" s="54">
        <f t="shared" si="33"/>
        <v>0</v>
      </c>
      <c r="M48" s="129"/>
      <c r="N48" s="54">
        <f t="shared" si="10"/>
        <v>0</v>
      </c>
      <c r="O48" s="54">
        <f t="shared" si="11"/>
        <v>0</v>
      </c>
      <c r="P48" s="1"/>
    </row>
    <row r="49" spans="2:17" ht="12.5">
      <c r="B49" s="7" t="str">
        <f t="shared" si="5"/>
        <v/>
      </c>
      <c r="C49" s="50">
        <f>IF(D11="","-",+C48+1)</f>
        <v>2045</v>
      </c>
      <c r="D49" s="55">
        <f>IF(F48+SUM(E$17:E48)=D$10,F48,D$10-SUM(E$17:E48))</f>
        <v>2340047.4616528284</v>
      </c>
      <c r="E49" s="378">
        <f t="shared" si="29"/>
        <v>195427.90909090909</v>
      </c>
      <c r="F49" s="55">
        <f t="shared" si="30"/>
        <v>2144619.5525619192</v>
      </c>
      <c r="G49" s="379">
        <f t="shared" si="31"/>
        <v>463447.60140718718</v>
      </c>
      <c r="H49" s="364">
        <f t="shared" si="32"/>
        <v>463447.60140718718</v>
      </c>
      <c r="I49" s="52">
        <f t="shared" si="6"/>
        <v>0</v>
      </c>
      <c r="J49" s="52"/>
      <c r="K49" s="129"/>
      <c r="L49" s="54">
        <f t="shared" si="33"/>
        <v>0</v>
      </c>
      <c r="M49" s="129"/>
      <c r="N49" s="54">
        <f t="shared" si="10"/>
        <v>0</v>
      </c>
      <c r="O49" s="54">
        <f t="shared" si="11"/>
        <v>0</v>
      </c>
      <c r="P49" s="1"/>
    </row>
    <row r="50" spans="2:17" ht="12.5">
      <c r="B50" s="7" t="str">
        <f t="shared" si="5"/>
        <v/>
      </c>
      <c r="C50" s="50">
        <f>IF(D11="","-",+C49+1)</f>
        <v>2046</v>
      </c>
      <c r="D50" s="55">
        <f>IF(F49+SUM(E$17:E49)=D$10,F49,D$10-SUM(E$17:E49))</f>
        <v>2144619.5525619192</v>
      </c>
      <c r="E50" s="378">
        <f t="shared" si="29"/>
        <v>195427.90909090909</v>
      </c>
      <c r="F50" s="55">
        <f t="shared" si="30"/>
        <v>1949191.64347101</v>
      </c>
      <c r="G50" s="379">
        <f t="shared" si="31"/>
        <v>440088.6639884052</v>
      </c>
      <c r="H50" s="364">
        <f t="shared" si="32"/>
        <v>440088.6639884052</v>
      </c>
      <c r="I50" s="52">
        <f t="shared" si="6"/>
        <v>0</v>
      </c>
      <c r="J50" s="52"/>
      <c r="K50" s="129"/>
      <c r="L50" s="54">
        <f t="shared" si="33"/>
        <v>0</v>
      </c>
      <c r="M50" s="129"/>
      <c r="N50" s="54">
        <f t="shared" si="10"/>
        <v>0</v>
      </c>
      <c r="O50" s="54">
        <f t="shared" si="11"/>
        <v>0</v>
      </c>
      <c r="P50" s="1"/>
    </row>
    <row r="51" spans="2:17" ht="12.5">
      <c r="B51" s="7" t="str">
        <f t="shared" si="5"/>
        <v/>
      </c>
      <c r="C51" s="50">
        <f>IF(D11="","-",+C50+1)</f>
        <v>2047</v>
      </c>
      <c r="D51" s="55">
        <f>IF(F50+SUM(E$17:E50)=D$10,F50,D$10-SUM(E$17:E50))</f>
        <v>1949191.64347101</v>
      </c>
      <c r="E51" s="378">
        <f t="shared" si="29"/>
        <v>195427.90909090909</v>
      </c>
      <c r="F51" s="55">
        <f t="shared" si="30"/>
        <v>1753763.7343801009</v>
      </c>
      <c r="G51" s="379">
        <f t="shared" si="31"/>
        <v>416729.72656962322</v>
      </c>
      <c r="H51" s="364">
        <f t="shared" si="32"/>
        <v>416729.72656962322</v>
      </c>
      <c r="I51" s="52">
        <f t="shared" si="6"/>
        <v>0</v>
      </c>
      <c r="J51" s="52"/>
      <c r="K51" s="129"/>
      <c r="L51" s="54">
        <f t="shared" si="33"/>
        <v>0</v>
      </c>
      <c r="M51" s="129"/>
      <c r="N51" s="54">
        <f t="shared" si="10"/>
        <v>0</v>
      </c>
      <c r="O51" s="54">
        <f t="shared" si="11"/>
        <v>0</v>
      </c>
      <c r="P51" s="1"/>
    </row>
    <row r="52" spans="2:17" ht="12.5">
      <c r="B52" s="7" t="str">
        <f t="shared" si="5"/>
        <v/>
      </c>
      <c r="C52" s="50">
        <f>IF(D11="","-",+C51+1)</f>
        <v>2048</v>
      </c>
      <c r="D52" s="55">
        <f>IF(F51+SUM(E$17:E51)=D$10,F51,D$10-SUM(E$17:E51))</f>
        <v>1753763.7343801009</v>
      </c>
      <c r="E52" s="378">
        <f t="shared" si="29"/>
        <v>195427.90909090909</v>
      </c>
      <c r="F52" s="55">
        <f t="shared" si="30"/>
        <v>1558335.8252891917</v>
      </c>
      <c r="G52" s="379">
        <f t="shared" si="31"/>
        <v>393370.7891508413</v>
      </c>
      <c r="H52" s="364">
        <f t="shared" si="32"/>
        <v>393370.7891508413</v>
      </c>
      <c r="I52" s="52">
        <f t="shared" si="6"/>
        <v>0</v>
      </c>
      <c r="J52" s="52"/>
      <c r="K52" s="129"/>
      <c r="L52" s="54">
        <f t="shared" si="33"/>
        <v>0</v>
      </c>
      <c r="M52" s="129"/>
      <c r="N52" s="54">
        <f t="shared" si="10"/>
        <v>0</v>
      </c>
      <c r="O52" s="54">
        <f t="shared" si="11"/>
        <v>0</v>
      </c>
      <c r="P52" s="1"/>
    </row>
    <row r="53" spans="2:17" ht="12.5">
      <c r="B53" s="7" t="str">
        <f t="shared" si="5"/>
        <v/>
      </c>
      <c r="C53" s="50">
        <f>IF(D11="","-",+C52+1)</f>
        <v>2049</v>
      </c>
      <c r="D53" s="55">
        <f>IF(F52+SUM(E$17:E52)=D$10,F52,D$10-SUM(E$17:E52))</f>
        <v>1558335.8252891917</v>
      </c>
      <c r="E53" s="378">
        <f t="shared" si="29"/>
        <v>195427.90909090909</v>
      </c>
      <c r="F53" s="55">
        <f t="shared" si="30"/>
        <v>1362907.9161982825</v>
      </c>
      <c r="G53" s="379">
        <f t="shared" ref="G53:G72" si="34">+I$12*((D53+F53)/2)+E53</f>
        <v>370011.85173205927</v>
      </c>
      <c r="H53" s="364">
        <f t="shared" ref="H53:H72" si="35">+I$13*((D53+F53)/2)+E53</f>
        <v>370011.85173205927</v>
      </c>
      <c r="I53" s="52">
        <f t="shared" si="6"/>
        <v>0</v>
      </c>
      <c r="J53" s="52"/>
      <c r="K53" s="129"/>
      <c r="L53" s="54">
        <f t="shared" si="33"/>
        <v>0</v>
      </c>
      <c r="M53" s="129"/>
      <c r="N53" s="54">
        <f t="shared" si="10"/>
        <v>0</v>
      </c>
      <c r="O53" s="54">
        <f t="shared" si="11"/>
        <v>0</v>
      </c>
      <c r="P53" s="1"/>
    </row>
    <row r="54" spans="2:17" ht="12.5">
      <c r="B54" s="7" t="str">
        <f t="shared" si="5"/>
        <v/>
      </c>
      <c r="C54" s="50">
        <f>IF(D11="","-",+C53+1)</f>
        <v>2050</v>
      </c>
      <c r="D54" s="55">
        <f>IF(F53+SUM(E$17:E53)=D$10,F53,D$10-SUM(E$17:E53))</f>
        <v>1362907.9161982825</v>
      </c>
      <c r="E54" s="378">
        <f t="shared" si="29"/>
        <v>195427.90909090909</v>
      </c>
      <c r="F54" s="55">
        <f t="shared" si="30"/>
        <v>1167480.0071073733</v>
      </c>
      <c r="G54" s="379">
        <f t="shared" si="34"/>
        <v>346652.91431327735</v>
      </c>
      <c r="H54" s="364">
        <f t="shared" si="35"/>
        <v>346652.91431327735</v>
      </c>
      <c r="I54" s="52">
        <f t="shared" si="6"/>
        <v>0</v>
      </c>
      <c r="J54" s="52"/>
      <c r="K54" s="129"/>
      <c r="L54" s="54">
        <f t="shared" si="33"/>
        <v>0</v>
      </c>
      <c r="M54" s="129"/>
      <c r="N54" s="54">
        <f t="shared" si="10"/>
        <v>0</v>
      </c>
      <c r="O54" s="54">
        <f t="shared" si="11"/>
        <v>0</v>
      </c>
      <c r="P54" s="1"/>
    </row>
    <row r="55" spans="2:17" ht="12.5">
      <c r="B55" s="7" t="str">
        <f t="shared" si="5"/>
        <v/>
      </c>
      <c r="C55" s="50">
        <f>IF(D11="","-",+C54+1)</f>
        <v>2051</v>
      </c>
      <c r="D55" s="55">
        <f>IF(F54+SUM(E$17:E54)=D$10,F54,D$10-SUM(E$17:E54))</f>
        <v>1167480.0071073733</v>
      </c>
      <c r="E55" s="378">
        <f t="shared" si="29"/>
        <v>195427.90909090909</v>
      </c>
      <c r="F55" s="55">
        <f t="shared" si="30"/>
        <v>972052.09801646427</v>
      </c>
      <c r="G55" s="379">
        <f t="shared" si="34"/>
        <v>323293.97689449537</v>
      </c>
      <c r="H55" s="364">
        <f t="shared" si="35"/>
        <v>323293.97689449537</v>
      </c>
      <c r="I55" s="52">
        <f t="shared" si="6"/>
        <v>0</v>
      </c>
      <c r="J55" s="52"/>
      <c r="K55" s="129"/>
      <c r="L55" s="54">
        <f t="shared" si="33"/>
        <v>0</v>
      </c>
      <c r="M55" s="129"/>
      <c r="N55" s="54">
        <f t="shared" si="10"/>
        <v>0</v>
      </c>
      <c r="O55" s="54">
        <f t="shared" si="11"/>
        <v>0</v>
      </c>
      <c r="P55" s="1"/>
    </row>
    <row r="56" spans="2:17" ht="12.5">
      <c r="B56" s="7" t="str">
        <f t="shared" si="5"/>
        <v/>
      </c>
      <c r="C56" s="50">
        <f>IF(D11="","-",+C55+1)</f>
        <v>2052</v>
      </c>
      <c r="D56" s="55">
        <f>IF(F55+SUM(E$17:E55)=D$10,F55,D$10-SUM(E$17:E55))</f>
        <v>972052.09801646427</v>
      </c>
      <c r="E56" s="378">
        <f t="shared" si="29"/>
        <v>195427.90909090909</v>
      </c>
      <c r="F56" s="55">
        <f t="shared" si="30"/>
        <v>776624.18892555521</v>
      </c>
      <c r="G56" s="379">
        <f t="shared" si="34"/>
        <v>299935.03947571339</v>
      </c>
      <c r="H56" s="364">
        <f t="shared" si="35"/>
        <v>299935.03947571339</v>
      </c>
      <c r="I56" s="52">
        <f t="shared" si="6"/>
        <v>0</v>
      </c>
      <c r="J56" s="52"/>
      <c r="K56" s="129"/>
      <c r="L56" s="54">
        <f t="shared" si="33"/>
        <v>0</v>
      </c>
      <c r="M56" s="129"/>
      <c r="N56" s="54">
        <f t="shared" si="10"/>
        <v>0</v>
      </c>
      <c r="O56" s="54">
        <f t="shared" si="11"/>
        <v>0</v>
      </c>
      <c r="P56" s="1"/>
    </row>
    <row r="57" spans="2:17" ht="12.5">
      <c r="B57" s="7" t="str">
        <f t="shared" si="5"/>
        <v/>
      </c>
      <c r="C57" s="50">
        <f>IF(D11="","-",+C56+1)</f>
        <v>2053</v>
      </c>
      <c r="D57" s="55">
        <f>IF(F56+SUM(E$17:E56)=D$10,F56,D$10-SUM(E$17:E56))</f>
        <v>776624.18892555521</v>
      </c>
      <c r="E57" s="378">
        <f t="shared" si="29"/>
        <v>195427.90909090909</v>
      </c>
      <c r="F57" s="55">
        <f t="shared" si="30"/>
        <v>581196.27983464615</v>
      </c>
      <c r="G57" s="379">
        <f t="shared" si="34"/>
        <v>276576.10205693147</v>
      </c>
      <c r="H57" s="364">
        <f t="shared" si="35"/>
        <v>276576.10205693147</v>
      </c>
      <c r="I57" s="52">
        <f t="shared" si="6"/>
        <v>0</v>
      </c>
      <c r="J57" s="52"/>
      <c r="K57" s="129"/>
      <c r="L57" s="54">
        <f t="shared" si="33"/>
        <v>0</v>
      </c>
      <c r="M57" s="129"/>
      <c r="N57" s="54">
        <f t="shared" si="10"/>
        <v>0</v>
      </c>
      <c r="O57" s="54">
        <f t="shared" si="11"/>
        <v>0</v>
      </c>
      <c r="P57" s="1"/>
    </row>
    <row r="58" spans="2:17" ht="12.5">
      <c r="B58" s="7" t="str">
        <f t="shared" si="5"/>
        <v/>
      </c>
      <c r="C58" s="50">
        <f>IF(D11="","-",+C57+1)</f>
        <v>2054</v>
      </c>
      <c r="D58" s="55">
        <f>IF(F57+SUM(E$17:E57)=D$10,F57,D$10-SUM(E$17:E57))</f>
        <v>581196.27983464615</v>
      </c>
      <c r="E58" s="378">
        <f t="shared" si="29"/>
        <v>195427.90909090909</v>
      </c>
      <c r="F58" s="55">
        <f t="shared" si="30"/>
        <v>385768.37074373709</v>
      </c>
      <c r="G58" s="379">
        <f t="shared" si="34"/>
        <v>253217.16463814949</v>
      </c>
      <c r="H58" s="364">
        <f t="shared" si="35"/>
        <v>253217.16463814949</v>
      </c>
      <c r="I58" s="52">
        <f t="shared" si="6"/>
        <v>0</v>
      </c>
      <c r="J58" s="52"/>
      <c r="K58" s="129"/>
      <c r="L58" s="54">
        <f t="shared" si="33"/>
        <v>0</v>
      </c>
      <c r="M58" s="129"/>
      <c r="N58" s="54">
        <f t="shared" si="10"/>
        <v>0</v>
      </c>
      <c r="O58" s="54">
        <f t="shared" si="11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5"/>
        <v/>
      </c>
      <c r="C59" s="50">
        <f>IF(D11="","-",+C58+1)</f>
        <v>2055</v>
      </c>
      <c r="D59" s="55">
        <f>IF(F58+SUM(E$17:E58)=D$10,F58,D$10-SUM(E$17:E58))</f>
        <v>385768.37074373709</v>
      </c>
      <c r="E59" s="378">
        <f t="shared" si="29"/>
        <v>195427.90909090909</v>
      </c>
      <c r="F59" s="55">
        <f t="shared" si="30"/>
        <v>190340.461652828</v>
      </c>
      <c r="G59" s="379">
        <f t="shared" si="34"/>
        <v>229858.22721936752</v>
      </c>
      <c r="H59" s="364">
        <f t="shared" si="35"/>
        <v>229858.22721936752</v>
      </c>
      <c r="I59" s="52">
        <f t="shared" si="6"/>
        <v>0</v>
      </c>
      <c r="J59" s="52"/>
      <c r="K59" s="129"/>
      <c r="L59" s="54">
        <f t="shared" si="33"/>
        <v>0</v>
      </c>
      <c r="M59" s="129"/>
      <c r="N59" s="54">
        <f t="shared" si="10"/>
        <v>0</v>
      </c>
      <c r="O59" s="54">
        <f t="shared" si="11"/>
        <v>0</v>
      </c>
      <c r="P59" s="1"/>
    </row>
    <row r="60" spans="2:17" ht="12.5">
      <c r="B60" s="7" t="str">
        <f t="shared" si="5"/>
        <v/>
      </c>
      <c r="C60" s="50">
        <f>IF(D11="","-",+C59+1)</f>
        <v>2056</v>
      </c>
      <c r="D60" s="55">
        <f>IF(F59+SUM(E$17:E59)=D$10,F59,D$10-SUM(E$17:E59))</f>
        <v>190340.461652828</v>
      </c>
      <c r="E60" s="378">
        <f t="shared" si="29"/>
        <v>190340.461652828</v>
      </c>
      <c r="F60" s="55">
        <f t="shared" si="30"/>
        <v>0</v>
      </c>
      <c r="G60" s="379">
        <f t="shared" si="34"/>
        <v>201715.88636236172</v>
      </c>
      <c r="H60" s="364">
        <f t="shared" si="35"/>
        <v>201715.88636236172</v>
      </c>
      <c r="I60" s="52">
        <f t="shared" si="6"/>
        <v>0</v>
      </c>
      <c r="J60" s="52"/>
      <c r="K60" s="129"/>
      <c r="L60" s="54">
        <f t="shared" si="33"/>
        <v>0</v>
      </c>
      <c r="M60" s="129"/>
      <c r="N60" s="54">
        <f t="shared" si="10"/>
        <v>0</v>
      </c>
      <c r="O60" s="54">
        <f t="shared" si="11"/>
        <v>0</v>
      </c>
      <c r="P60" s="1"/>
    </row>
    <row r="61" spans="2:17" ht="12.5">
      <c r="B61" s="7" t="str">
        <f t="shared" si="5"/>
        <v/>
      </c>
      <c r="C61" s="50">
        <f>IF(D11="","-",+C60+1)</f>
        <v>2057</v>
      </c>
      <c r="D61" s="55">
        <f>IF(F60+SUM(E$17:E60)=D$10,F60,D$10-SUM(E$17:E60))</f>
        <v>0</v>
      </c>
      <c r="E61" s="378">
        <f t="shared" si="29"/>
        <v>0</v>
      </c>
      <c r="F61" s="55">
        <f t="shared" si="30"/>
        <v>0</v>
      </c>
      <c r="G61" s="379">
        <f t="shared" si="34"/>
        <v>0</v>
      </c>
      <c r="H61" s="364">
        <f t="shared" si="35"/>
        <v>0</v>
      </c>
      <c r="I61" s="52">
        <f t="shared" si="6"/>
        <v>0</v>
      </c>
      <c r="J61" s="52"/>
      <c r="K61" s="129"/>
      <c r="L61" s="54">
        <f t="shared" si="33"/>
        <v>0</v>
      </c>
      <c r="M61" s="129"/>
      <c r="N61" s="54">
        <f t="shared" si="10"/>
        <v>0</v>
      </c>
      <c r="O61" s="54">
        <f t="shared" si="11"/>
        <v>0</v>
      </c>
      <c r="P61" s="1"/>
    </row>
    <row r="62" spans="2:17" ht="12.5">
      <c r="B62" s="7" t="str">
        <f t="shared" si="5"/>
        <v/>
      </c>
      <c r="C62" s="50">
        <f>IF(D11="","-",+C61+1)</f>
        <v>2058</v>
      </c>
      <c r="D62" s="55">
        <f>IF(F61+SUM(E$17:E61)=D$10,F61,D$10-SUM(E$17:E61))</f>
        <v>0</v>
      </c>
      <c r="E62" s="378">
        <f t="shared" si="29"/>
        <v>0</v>
      </c>
      <c r="F62" s="55">
        <f t="shared" si="30"/>
        <v>0</v>
      </c>
      <c r="G62" s="379">
        <f t="shared" si="34"/>
        <v>0</v>
      </c>
      <c r="H62" s="364">
        <f t="shared" si="35"/>
        <v>0</v>
      </c>
      <c r="I62" s="52">
        <f t="shared" si="6"/>
        <v>0</v>
      </c>
      <c r="J62" s="52"/>
      <c r="K62" s="129"/>
      <c r="L62" s="54">
        <f t="shared" si="33"/>
        <v>0</v>
      </c>
      <c r="M62" s="129"/>
      <c r="N62" s="54">
        <f t="shared" si="10"/>
        <v>0</v>
      </c>
      <c r="O62" s="54">
        <f t="shared" si="11"/>
        <v>0</v>
      </c>
      <c r="P62" s="1"/>
    </row>
    <row r="63" spans="2:17" ht="12.5">
      <c r="B63" s="7" t="str">
        <f t="shared" si="5"/>
        <v/>
      </c>
      <c r="C63" s="50">
        <f>IF(D11="","-",+C62+1)</f>
        <v>2059</v>
      </c>
      <c r="D63" s="55">
        <f>IF(F62+SUM(E$17:E62)=D$10,F62,D$10-SUM(E$17:E62))</f>
        <v>0</v>
      </c>
      <c r="E63" s="378">
        <f t="shared" si="29"/>
        <v>0</v>
      </c>
      <c r="F63" s="55">
        <f t="shared" si="30"/>
        <v>0</v>
      </c>
      <c r="G63" s="379">
        <f t="shared" si="34"/>
        <v>0</v>
      </c>
      <c r="H63" s="364">
        <f t="shared" si="35"/>
        <v>0</v>
      </c>
      <c r="I63" s="52">
        <f t="shared" si="6"/>
        <v>0</v>
      </c>
      <c r="J63" s="52"/>
      <c r="K63" s="129"/>
      <c r="L63" s="54">
        <f t="shared" si="33"/>
        <v>0</v>
      </c>
      <c r="M63" s="129"/>
      <c r="N63" s="54">
        <f t="shared" si="10"/>
        <v>0</v>
      </c>
      <c r="O63" s="54">
        <f t="shared" si="11"/>
        <v>0</v>
      </c>
      <c r="P63" s="1"/>
    </row>
    <row r="64" spans="2:17" ht="12.5">
      <c r="B64" s="7" t="str">
        <f t="shared" si="5"/>
        <v/>
      </c>
      <c r="C64" s="50">
        <f>IF(D11="","-",+C63+1)</f>
        <v>2060</v>
      </c>
      <c r="D64" s="55">
        <f>IF(F63+SUM(E$17:E63)=D$10,F63,D$10-SUM(E$17:E63))</f>
        <v>0</v>
      </c>
      <c r="E64" s="378">
        <f t="shared" si="29"/>
        <v>0</v>
      </c>
      <c r="F64" s="55">
        <f t="shared" si="30"/>
        <v>0</v>
      </c>
      <c r="G64" s="379">
        <f t="shared" si="34"/>
        <v>0</v>
      </c>
      <c r="H64" s="364">
        <f t="shared" si="35"/>
        <v>0</v>
      </c>
      <c r="I64" s="52">
        <f t="shared" si="6"/>
        <v>0</v>
      </c>
      <c r="J64" s="52"/>
      <c r="K64" s="129"/>
      <c r="L64" s="54">
        <f t="shared" si="33"/>
        <v>0</v>
      </c>
      <c r="M64" s="129"/>
      <c r="N64" s="54">
        <f t="shared" si="10"/>
        <v>0</v>
      </c>
      <c r="O64" s="54">
        <f t="shared" si="11"/>
        <v>0</v>
      </c>
      <c r="P64" s="1"/>
    </row>
    <row r="65" spans="2:16" ht="12.5">
      <c r="B65" s="7" t="str">
        <f t="shared" si="5"/>
        <v/>
      </c>
      <c r="C65" s="50">
        <f>IF(D11="","-",+C64+1)</f>
        <v>2061</v>
      </c>
      <c r="D65" s="55">
        <f>IF(F64+SUM(E$17:E64)=D$10,F64,D$10-SUM(E$17:E64))</f>
        <v>0</v>
      </c>
      <c r="E65" s="378">
        <f t="shared" si="29"/>
        <v>0</v>
      </c>
      <c r="F65" s="55">
        <f t="shared" si="30"/>
        <v>0</v>
      </c>
      <c r="G65" s="379">
        <f t="shared" si="34"/>
        <v>0</v>
      </c>
      <c r="H65" s="364">
        <f t="shared" si="35"/>
        <v>0</v>
      </c>
      <c r="I65" s="52">
        <f t="shared" si="6"/>
        <v>0</v>
      </c>
      <c r="J65" s="52"/>
      <c r="K65" s="129"/>
      <c r="L65" s="54">
        <f t="shared" si="33"/>
        <v>0</v>
      </c>
      <c r="M65" s="129"/>
      <c r="N65" s="54">
        <f t="shared" si="10"/>
        <v>0</v>
      </c>
      <c r="O65" s="54">
        <f t="shared" si="11"/>
        <v>0</v>
      </c>
      <c r="P65" s="1"/>
    </row>
    <row r="66" spans="2:16" ht="12.5">
      <c r="B66" s="7" t="str">
        <f t="shared" si="5"/>
        <v/>
      </c>
      <c r="C66" s="50">
        <f>IF(D11="","-",+C65+1)</f>
        <v>2062</v>
      </c>
      <c r="D66" s="55">
        <f>IF(F65+SUM(E$17:E65)=D$10,F65,D$10-SUM(E$17:E65))</f>
        <v>0</v>
      </c>
      <c r="E66" s="378">
        <f t="shared" si="29"/>
        <v>0</v>
      </c>
      <c r="F66" s="55">
        <f t="shared" si="30"/>
        <v>0</v>
      </c>
      <c r="G66" s="379">
        <f t="shared" si="34"/>
        <v>0</v>
      </c>
      <c r="H66" s="364">
        <f t="shared" si="35"/>
        <v>0</v>
      </c>
      <c r="I66" s="52">
        <f t="shared" si="6"/>
        <v>0</v>
      </c>
      <c r="J66" s="52"/>
      <c r="K66" s="129"/>
      <c r="L66" s="54">
        <f t="shared" si="33"/>
        <v>0</v>
      </c>
      <c r="M66" s="129"/>
      <c r="N66" s="54">
        <f t="shared" si="10"/>
        <v>0</v>
      </c>
      <c r="O66" s="54">
        <f t="shared" si="11"/>
        <v>0</v>
      </c>
      <c r="P66" s="1"/>
    </row>
    <row r="67" spans="2:16" ht="12.5">
      <c r="B67" s="7" t="str">
        <f t="shared" si="5"/>
        <v/>
      </c>
      <c r="C67" s="50">
        <f>IF(D11="","-",+C66+1)</f>
        <v>2063</v>
      </c>
      <c r="D67" s="55">
        <f>IF(F66+SUM(E$17:E66)=D$10,F66,D$10-SUM(E$17:E66))</f>
        <v>0</v>
      </c>
      <c r="E67" s="378">
        <f t="shared" si="29"/>
        <v>0</v>
      </c>
      <c r="F67" s="55">
        <f t="shared" si="30"/>
        <v>0</v>
      </c>
      <c r="G67" s="379">
        <f t="shared" si="34"/>
        <v>0</v>
      </c>
      <c r="H67" s="364">
        <f t="shared" si="35"/>
        <v>0</v>
      </c>
      <c r="I67" s="52">
        <f t="shared" si="6"/>
        <v>0</v>
      </c>
      <c r="J67" s="52"/>
      <c r="K67" s="129"/>
      <c r="L67" s="54">
        <f t="shared" si="33"/>
        <v>0</v>
      </c>
      <c r="M67" s="129"/>
      <c r="N67" s="54">
        <f t="shared" si="10"/>
        <v>0</v>
      </c>
      <c r="O67" s="54">
        <f t="shared" si="11"/>
        <v>0</v>
      </c>
      <c r="P67" s="1"/>
    </row>
    <row r="68" spans="2:16" ht="12.5">
      <c r="B68" s="7" t="str">
        <f t="shared" si="5"/>
        <v/>
      </c>
      <c r="C68" s="50">
        <f>IF(D11="","-",+C67+1)</f>
        <v>2064</v>
      </c>
      <c r="D68" s="55">
        <f>IF(F67+SUM(E$17:E67)=D$10,F67,D$10-SUM(E$17:E67))</f>
        <v>0</v>
      </c>
      <c r="E68" s="378">
        <f t="shared" si="29"/>
        <v>0</v>
      </c>
      <c r="F68" s="55">
        <f t="shared" si="30"/>
        <v>0</v>
      </c>
      <c r="G68" s="379">
        <f t="shared" si="34"/>
        <v>0</v>
      </c>
      <c r="H68" s="364">
        <f t="shared" si="35"/>
        <v>0</v>
      </c>
      <c r="I68" s="52">
        <f t="shared" si="6"/>
        <v>0</v>
      </c>
      <c r="J68" s="52"/>
      <c r="K68" s="129"/>
      <c r="L68" s="54">
        <f t="shared" si="33"/>
        <v>0</v>
      </c>
      <c r="M68" s="129"/>
      <c r="N68" s="54">
        <f t="shared" si="10"/>
        <v>0</v>
      </c>
      <c r="O68" s="54">
        <f t="shared" si="11"/>
        <v>0</v>
      </c>
      <c r="P68" s="1"/>
    </row>
    <row r="69" spans="2:16" ht="12.5">
      <c r="B69" s="7" t="str">
        <f t="shared" si="5"/>
        <v/>
      </c>
      <c r="C69" s="50">
        <f>IF(D11="","-",+C68+1)</f>
        <v>2065</v>
      </c>
      <c r="D69" s="55">
        <f>IF(F68+SUM(E$17:E68)=D$10,F68,D$10-SUM(E$17:E68))</f>
        <v>0</v>
      </c>
      <c r="E69" s="378">
        <f t="shared" si="29"/>
        <v>0</v>
      </c>
      <c r="F69" s="55">
        <f t="shared" si="30"/>
        <v>0</v>
      </c>
      <c r="G69" s="379">
        <f t="shared" si="34"/>
        <v>0</v>
      </c>
      <c r="H69" s="364">
        <f t="shared" si="35"/>
        <v>0</v>
      </c>
      <c r="I69" s="52">
        <f t="shared" si="6"/>
        <v>0</v>
      </c>
      <c r="J69" s="52"/>
      <c r="K69" s="129"/>
      <c r="L69" s="54">
        <f t="shared" si="33"/>
        <v>0</v>
      </c>
      <c r="M69" s="129"/>
      <c r="N69" s="54">
        <f t="shared" si="10"/>
        <v>0</v>
      </c>
      <c r="O69" s="54">
        <f t="shared" si="11"/>
        <v>0</v>
      </c>
      <c r="P69" s="1"/>
    </row>
    <row r="70" spans="2:16" ht="12.5">
      <c r="B70" s="7" t="str">
        <f t="shared" si="5"/>
        <v/>
      </c>
      <c r="C70" s="50">
        <f>IF(D11="","-",+C69+1)</f>
        <v>2066</v>
      </c>
      <c r="D70" s="55">
        <f>IF(F69+SUM(E$17:E69)=D$10,F69,D$10-SUM(E$17:E69))</f>
        <v>0</v>
      </c>
      <c r="E70" s="378">
        <f t="shared" si="29"/>
        <v>0</v>
      </c>
      <c r="F70" s="55">
        <f t="shared" si="30"/>
        <v>0</v>
      </c>
      <c r="G70" s="379">
        <f t="shared" si="34"/>
        <v>0</v>
      </c>
      <c r="H70" s="364">
        <f t="shared" si="35"/>
        <v>0</v>
      </c>
      <c r="I70" s="52">
        <f t="shared" si="6"/>
        <v>0</v>
      </c>
      <c r="J70" s="52"/>
      <c r="K70" s="129"/>
      <c r="L70" s="54">
        <f t="shared" si="33"/>
        <v>0</v>
      </c>
      <c r="M70" s="129"/>
      <c r="N70" s="54">
        <f t="shared" si="10"/>
        <v>0</v>
      </c>
      <c r="O70" s="54">
        <f t="shared" si="11"/>
        <v>0</v>
      </c>
      <c r="P70" s="1"/>
    </row>
    <row r="71" spans="2:16" ht="12.5">
      <c r="B71" s="7" t="str">
        <f t="shared" si="5"/>
        <v/>
      </c>
      <c r="C71" s="50">
        <f>IF(D11="","-",+C70+1)</f>
        <v>2067</v>
      </c>
      <c r="D71" s="55">
        <f>IF(F70+SUM(E$17:E70)=D$10,F70,D$10-SUM(E$17:E70))</f>
        <v>0</v>
      </c>
      <c r="E71" s="378">
        <f t="shared" si="29"/>
        <v>0</v>
      </c>
      <c r="F71" s="55">
        <f t="shared" si="30"/>
        <v>0</v>
      </c>
      <c r="G71" s="379">
        <f t="shared" si="34"/>
        <v>0</v>
      </c>
      <c r="H71" s="364">
        <f t="shared" si="35"/>
        <v>0</v>
      </c>
      <c r="I71" s="52">
        <f t="shared" si="6"/>
        <v>0</v>
      </c>
      <c r="J71" s="52"/>
      <c r="K71" s="129"/>
      <c r="L71" s="54">
        <f t="shared" si="33"/>
        <v>0</v>
      </c>
      <c r="M71" s="129"/>
      <c r="N71" s="54">
        <f t="shared" si="10"/>
        <v>0</v>
      </c>
      <c r="O71" s="54">
        <f t="shared" si="11"/>
        <v>0</v>
      </c>
      <c r="P71" s="1"/>
    </row>
    <row r="72" spans="2:16" ht="13" thickBot="1">
      <c r="B72" s="7" t="str">
        <f t="shared" si="5"/>
        <v/>
      </c>
      <c r="C72" s="59">
        <f>IF(D11="","-",+C71+1)</f>
        <v>2068</v>
      </c>
      <c r="D72" s="60">
        <f>IF(F71+SUM(E$17:E71)=D$10,F71,D$10-SUM(E$17:E71))</f>
        <v>0</v>
      </c>
      <c r="E72" s="381">
        <f t="shared" si="29"/>
        <v>0</v>
      </c>
      <c r="F72" s="60">
        <f t="shared" si="30"/>
        <v>0</v>
      </c>
      <c r="G72" s="382">
        <f t="shared" si="34"/>
        <v>0</v>
      </c>
      <c r="H72" s="362">
        <f t="shared" si="35"/>
        <v>0</v>
      </c>
      <c r="I72" s="63">
        <f t="shared" si="6"/>
        <v>0</v>
      </c>
      <c r="J72" s="52"/>
      <c r="K72" s="130"/>
      <c r="L72" s="64">
        <f t="shared" si="33"/>
        <v>0</v>
      </c>
      <c r="M72" s="130"/>
      <c r="N72" s="64">
        <f t="shared" si="10"/>
        <v>0</v>
      </c>
      <c r="O72" s="64">
        <f t="shared" si="11"/>
        <v>0</v>
      </c>
      <c r="P72" s="1"/>
    </row>
    <row r="73" spans="2:16" ht="12.5">
      <c r="C73" s="12" t="s">
        <v>78</v>
      </c>
      <c r="D73" s="293"/>
      <c r="E73" s="293">
        <f>SUM(E17:E72)</f>
        <v>8598828</v>
      </c>
      <c r="F73" s="293"/>
      <c r="G73" s="293">
        <f>SUM(G17:G72)</f>
        <v>31451047.949844632</v>
      </c>
      <c r="H73" s="293">
        <f>SUM(H17:H72)</f>
        <v>31451047.949844632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 ht="13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34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953985.28720160865</v>
      </c>
      <c r="N87" s="387">
        <f>IF(J92&lt;D11,0,VLOOKUP(J92,C17:O72,11))</f>
        <v>953985.28720160865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988075.58710743824</v>
      </c>
      <c r="N88" s="390">
        <f>IF(J92&lt;D11,0,VLOOKUP(J92,C99:P154,7))</f>
        <v>988075.58710743824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Bann - LS Ordnance - Hooks 69 kV - Rebuild 7.1 mi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34090.299905829597</v>
      </c>
      <c r="N89" s="392">
        <f>+N88-N87</f>
        <v>34090.299905829597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TP2011024</v>
      </c>
      <c r="E91" s="76" t="s">
        <v>494</v>
      </c>
      <c r="F91" s="463">
        <f>F9</f>
        <v>1081</v>
      </c>
      <c r="G91" s="76"/>
      <c r="H91" s="76"/>
      <c r="I91" s="76"/>
      <c r="J91" s="76"/>
      <c r="Q91" s="1"/>
    </row>
    <row r="92" spans="1:17" ht="13">
      <c r="C92" s="34" t="s">
        <v>51</v>
      </c>
      <c r="D92" s="428">
        <f>D10</f>
        <v>8598828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  <c r="Q92" s="1"/>
    </row>
    <row r="93" spans="1:17" ht="12.5">
      <c r="C93" s="34" t="s">
        <v>54</v>
      </c>
      <c r="D93" s="455">
        <f>D11</f>
        <v>2013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4">
        <f>D12</f>
        <v>11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195427.90909090909</v>
      </c>
      <c r="K96" s="293"/>
      <c r="L96" s="293"/>
      <c r="M96" s="293"/>
      <c r="N96" s="293"/>
      <c r="O96" s="293"/>
      <c r="P96" s="1"/>
      <c r="Q96" s="1"/>
    </row>
    <row r="97" spans="1:17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 ht="12.5">
      <c r="C99" s="50">
        <f>IF(D93= "","-",D93)</f>
        <v>2013</v>
      </c>
      <c r="D99" s="429">
        <v>0</v>
      </c>
      <c r="E99" s="430">
        <v>102307.79761904763</v>
      </c>
      <c r="F99" s="431">
        <v>8491547.2023809515</v>
      </c>
      <c r="G99" s="432">
        <v>4245773.6011904757</v>
      </c>
      <c r="H99" s="433">
        <v>676725.73574462067</v>
      </c>
      <c r="I99" s="434">
        <v>676725.73574462067</v>
      </c>
      <c r="J99" s="154">
        <v>0</v>
      </c>
      <c r="K99" s="54"/>
      <c r="L99" s="113">
        <f t="shared" ref="L99:L104" si="36">H99</f>
        <v>676725.73574462067</v>
      </c>
      <c r="M99" s="54">
        <f t="shared" ref="M99:M104" si="37">IF(L99&lt;&gt;0,+H99-L99,0)</f>
        <v>0</v>
      </c>
      <c r="N99" s="113">
        <f t="shared" ref="N99:N104" si="38">I99</f>
        <v>676725.73574462067</v>
      </c>
      <c r="O99" s="54">
        <f>IF(N99&lt;&gt;0,+I99-N99,0)</f>
        <v>0</v>
      </c>
      <c r="P99" s="54">
        <f>+O99-M99</f>
        <v>0</v>
      </c>
      <c r="Q99" s="1"/>
    </row>
    <row r="100" spans="1:17" ht="12.5">
      <c r="B100" s="7" t="str">
        <f>IF(D100=F99,"","IU")</f>
        <v/>
      </c>
      <c r="C100" s="50">
        <f>IF(D93="","-",+C99+1)</f>
        <v>2014</v>
      </c>
      <c r="D100" s="429">
        <v>8491547.2023809515</v>
      </c>
      <c r="E100" s="430">
        <v>204734</v>
      </c>
      <c r="F100" s="431">
        <v>8286813.2023809515</v>
      </c>
      <c r="G100" s="431">
        <v>8389180.2023809515</v>
      </c>
      <c r="H100" s="433">
        <v>1345020.3976952727</v>
      </c>
      <c r="I100" s="434">
        <v>1345020.3976952727</v>
      </c>
      <c r="J100" s="54">
        <v>0</v>
      </c>
      <c r="K100" s="54"/>
      <c r="L100" s="113">
        <f t="shared" si="36"/>
        <v>1345020.3976952727</v>
      </c>
      <c r="M100" s="54">
        <f t="shared" si="37"/>
        <v>0</v>
      </c>
      <c r="N100" s="113">
        <f t="shared" si="38"/>
        <v>1345020.3976952727</v>
      </c>
      <c r="O100" s="54">
        <f>IF(N100&lt;&gt;0,+I100-N100,0)</f>
        <v>0</v>
      </c>
      <c r="P100" s="54">
        <f>+O100-M100</f>
        <v>0</v>
      </c>
      <c r="Q100" s="1"/>
    </row>
    <row r="101" spans="1:17" ht="12.5">
      <c r="B101" s="7" t="str">
        <f t="shared" ref="B101:B154" si="39">IF(D101=F100,"","IU")</f>
        <v>IU</v>
      </c>
      <c r="C101" s="50">
        <f>IF(D93="","-",+C100+1)</f>
        <v>2015</v>
      </c>
      <c r="D101" s="429">
        <v>8291786.2023809524</v>
      </c>
      <c r="E101" s="430">
        <v>204734</v>
      </c>
      <c r="F101" s="431">
        <v>8087052.2023809524</v>
      </c>
      <c r="G101" s="431">
        <v>8189419.2023809524</v>
      </c>
      <c r="H101" s="433">
        <v>1283844.5787456448</v>
      </c>
      <c r="I101" s="434">
        <v>1283844.5787456448</v>
      </c>
      <c r="J101" s="54">
        <f>+I101-H101</f>
        <v>0</v>
      </c>
      <c r="K101" s="54"/>
      <c r="L101" s="113">
        <f t="shared" si="36"/>
        <v>1283844.5787456448</v>
      </c>
      <c r="M101" s="54">
        <f t="shared" si="37"/>
        <v>0</v>
      </c>
      <c r="N101" s="113">
        <f t="shared" si="38"/>
        <v>1283844.5787456448</v>
      </c>
      <c r="O101" s="54">
        <f>IF(N101&lt;&gt;0,+I101-N101,0)</f>
        <v>0</v>
      </c>
      <c r="P101" s="54">
        <f>+O101-M101</f>
        <v>0</v>
      </c>
      <c r="Q101" s="1"/>
    </row>
    <row r="102" spans="1:17" ht="12.5">
      <c r="B102" s="7" t="str">
        <f t="shared" si="39"/>
        <v/>
      </c>
      <c r="C102" s="50">
        <f>IF(D93="","-",+C101+1)</f>
        <v>2016</v>
      </c>
      <c r="D102" s="429">
        <v>8087052.2023809524</v>
      </c>
      <c r="E102" s="430">
        <v>199972.7441860465</v>
      </c>
      <c r="F102" s="431">
        <v>7887079.4581949059</v>
      </c>
      <c r="G102" s="431">
        <v>7987065.8302879296</v>
      </c>
      <c r="H102" s="433">
        <v>1213930.6577994749</v>
      </c>
      <c r="I102" s="434">
        <v>1213930.6577994749</v>
      </c>
      <c r="J102" s="54">
        <f t="shared" ref="J102:J154" si="40">+I102-H102</f>
        <v>0</v>
      </c>
      <c r="K102" s="54"/>
      <c r="L102" s="113">
        <f t="shared" si="36"/>
        <v>1213930.6577994749</v>
      </c>
      <c r="M102" s="54">
        <f t="shared" si="37"/>
        <v>0</v>
      </c>
      <c r="N102" s="113">
        <f t="shared" si="38"/>
        <v>1213930.6577994749</v>
      </c>
      <c r="O102" s="54">
        <f>IF(N102&lt;&gt;0,+I102-N102,0)</f>
        <v>0</v>
      </c>
      <c r="P102" s="54">
        <f>+O102-M102</f>
        <v>0</v>
      </c>
      <c r="Q102" s="1"/>
    </row>
    <row r="103" spans="1:17" ht="12.5">
      <c r="B103" s="7" t="str">
        <f t="shared" si="39"/>
        <v/>
      </c>
      <c r="C103" s="50">
        <f>IF(D93="","-",+C102+1)</f>
        <v>2017</v>
      </c>
      <c r="D103" s="429">
        <v>7887079.4581949059</v>
      </c>
      <c r="E103" s="430">
        <v>204734</v>
      </c>
      <c r="F103" s="431">
        <v>7682345.4581949059</v>
      </c>
      <c r="G103" s="431">
        <v>7784712.4581949059</v>
      </c>
      <c r="H103" s="433">
        <v>1150354.3699475904</v>
      </c>
      <c r="I103" s="434">
        <v>1150354.3699475904</v>
      </c>
      <c r="J103" s="54">
        <f t="shared" si="40"/>
        <v>0</v>
      </c>
      <c r="K103" s="54"/>
      <c r="L103" s="113">
        <f t="shared" si="36"/>
        <v>1150354.3699475904</v>
      </c>
      <c r="M103" s="54">
        <f t="shared" si="37"/>
        <v>0</v>
      </c>
      <c r="N103" s="113">
        <f t="shared" si="38"/>
        <v>1150354.3699475904</v>
      </c>
      <c r="O103" s="54">
        <f>IF(N103&lt;&gt;0,+I103-N103,0)</f>
        <v>0</v>
      </c>
      <c r="P103" s="54">
        <f>+O103-M103</f>
        <v>0</v>
      </c>
      <c r="Q103" s="1"/>
    </row>
    <row r="104" spans="1:17" ht="12.5">
      <c r="B104" s="7" t="str">
        <f t="shared" si="39"/>
        <v/>
      </c>
      <c r="C104" s="50">
        <f>IF(D93="","-",+C103+1)</f>
        <v>2018</v>
      </c>
      <c r="D104" s="429">
        <v>7682345.4581949059</v>
      </c>
      <c r="E104" s="430">
        <v>204734</v>
      </c>
      <c r="F104" s="431">
        <v>7477611.4581949059</v>
      </c>
      <c r="G104" s="431">
        <v>7579978.4581949059</v>
      </c>
      <c r="H104" s="433">
        <v>1005214.4856005983</v>
      </c>
      <c r="I104" s="434">
        <v>1005214.4856005983</v>
      </c>
      <c r="J104" s="54">
        <f t="shared" si="40"/>
        <v>0</v>
      </c>
      <c r="K104" s="54"/>
      <c r="L104" s="113">
        <f t="shared" si="36"/>
        <v>1005214.4856005983</v>
      </c>
      <c r="M104" s="54">
        <f t="shared" si="37"/>
        <v>0</v>
      </c>
      <c r="N104" s="113">
        <f t="shared" si="38"/>
        <v>1005214.4856005983</v>
      </c>
      <c r="O104" s="54">
        <f t="shared" ref="O104:O130" si="41">IF(N104&lt;&gt;0,+I104-N104,0)</f>
        <v>0</v>
      </c>
      <c r="P104" s="54">
        <f t="shared" ref="P104:P130" si="42">+O104-M104</f>
        <v>0</v>
      </c>
      <c r="Q104" s="1"/>
    </row>
    <row r="105" spans="1:17" ht="12.5">
      <c r="B105" s="7" t="str">
        <f t="shared" si="39"/>
        <v/>
      </c>
      <c r="C105" s="50">
        <f>IF(D93="","-",+C104+1)</f>
        <v>2019</v>
      </c>
      <c r="D105" s="429">
        <v>7477611.4581949059</v>
      </c>
      <c r="E105" s="430">
        <v>199972.7441860465</v>
      </c>
      <c r="F105" s="431">
        <v>7277638.7140088594</v>
      </c>
      <c r="G105" s="431">
        <v>7377625.0861018822</v>
      </c>
      <c r="H105" s="433">
        <v>989677.76558481681</v>
      </c>
      <c r="I105" s="434">
        <v>989677.76558481681</v>
      </c>
      <c r="J105" s="54">
        <f t="shared" si="40"/>
        <v>0</v>
      </c>
      <c r="K105" s="54"/>
      <c r="L105" s="113">
        <f t="shared" ref="L105" si="43">H105</f>
        <v>989677.76558481681</v>
      </c>
      <c r="M105" s="54">
        <f t="shared" ref="M105" si="44">IF(L105&lt;&gt;0,+H105-L105,0)</f>
        <v>0</v>
      </c>
      <c r="N105" s="113">
        <f t="shared" ref="N105" si="45">I105</f>
        <v>989677.76558481681</v>
      </c>
      <c r="O105" s="54">
        <f t="shared" si="41"/>
        <v>0</v>
      </c>
      <c r="P105" s="54">
        <f t="shared" si="42"/>
        <v>0</v>
      </c>
      <c r="Q105" s="1"/>
    </row>
    <row r="106" spans="1:17" ht="12.5">
      <c r="B106" s="7" t="str">
        <f t="shared" si="39"/>
        <v/>
      </c>
      <c r="C106" s="50">
        <f>IF(D93="","-",+C105+1)</f>
        <v>2020</v>
      </c>
      <c r="D106" s="429">
        <v>7277638.7140088594</v>
      </c>
      <c r="E106" s="430">
        <v>204734</v>
      </c>
      <c r="F106" s="431">
        <v>7072904.7140088594</v>
      </c>
      <c r="G106" s="431">
        <v>7175271.7140088594</v>
      </c>
      <c r="H106" s="433">
        <v>976605.47751006903</v>
      </c>
      <c r="I106" s="434">
        <v>976605.47751006903</v>
      </c>
      <c r="J106" s="54">
        <f t="shared" si="40"/>
        <v>0</v>
      </c>
      <c r="K106" s="54"/>
      <c r="L106" s="113">
        <f t="shared" ref="L106" si="46">H106</f>
        <v>976605.47751006903</v>
      </c>
      <c r="M106" s="54">
        <f t="shared" ref="M106" si="47">IF(L106&lt;&gt;0,+H106-L106,0)</f>
        <v>0</v>
      </c>
      <c r="N106" s="113">
        <f t="shared" ref="N106" si="48">I106</f>
        <v>976605.47751006903</v>
      </c>
      <c r="O106" s="54">
        <f t="shared" si="41"/>
        <v>0</v>
      </c>
      <c r="P106" s="54">
        <f t="shared" si="42"/>
        <v>0</v>
      </c>
      <c r="Q106" s="1"/>
    </row>
    <row r="107" spans="1:17" ht="12.5">
      <c r="B107" s="7" t="str">
        <f t="shared" si="39"/>
        <v/>
      </c>
      <c r="C107" s="50">
        <f>IF(D93="","-",+C106+1)</f>
        <v>2021</v>
      </c>
      <c r="D107" s="429">
        <v>7072904.7140088594</v>
      </c>
      <c r="E107" s="430">
        <v>209727.51219512196</v>
      </c>
      <c r="F107" s="431">
        <v>6863177.2018137369</v>
      </c>
      <c r="G107" s="431">
        <v>6968040.9579112977</v>
      </c>
      <c r="H107" s="433">
        <v>1000699.2908594325</v>
      </c>
      <c r="I107" s="434">
        <v>1000699.2908594325</v>
      </c>
      <c r="J107" s="54">
        <f t="shared" si="40"/>
        <v>0</v>
      </c>
      <c r="K107" s="54"/>
      <c r="L107" s="113">
        <f t="shared" ref="L107" si="49">H107</f>
        <v>1000699.2908594325</v>
      </c>
      <c r="M107" s="54">
        <f t="shared" ref="M107" si="50">IF(L107&lt;&gt;0,+H107-L107,0)</f>
        <v>0</v>
      </c>
      <c r="N107" s="113">
        <f t="shared" ref="N107" si="51">I107</f>
        <v>1000699.2908594325</v>
      </c>
      <c r="O107" s="54">
        <f t="shared" si="41"/>
        <v>0</v>
      </c>
      <c r="P107" s="54">
        <f t="shared" si="42"/>
        <v>0</v>
      </c>
      <c r="Q107" s="1"/>
    </row>
    <row r="108" spans="1:17" ht="12.5">
      <c r="B108" s="7" t="str">
        <f t="shared" si="39"/>
        <v/>
      </c>
      <c r="C108" s="50">
        <f>IF(D93="","-",+C107+1)</f>
        <v>2022</v>
      </c>
      <c r="D108" s="429">
        <v>6863177.2018137369</v>
      </c>
      <c r="E108" s="430">
        <v>204734</v>
      </c>
      <c r="F108" s="431">
        <v>6658443.2018137369</v>
      </c>
      <c r="G108" s="431">
        <v>6760810.2018137369</v>
      </c>
      <c r="H108" s="433">
        <v>998844.18352416926</v>
      </c>
      <c r="I108" s="434">
        <v>998844.18352416926</v>
      </c>
      <c r="J108" s="54">
        <f t="shared" si="40"/>
        <v>0</v>
      </c>
      <c r="K108" s="54"/>
      <c r="L108" s="113">
        <f t="shared" ref="L108" si="52">H108</f>
        <v>998844.18352416926</v>
      </c>
      <c r="M108" s="54">
        <f t="shared" ref="M108" si="53">IF(L108&lt;&gt;0,+H108-L108,0)</f>
        <v>0</v>
      </c>
      <c r="N108" s="113">
        <f t="shared" ref="N108" si="54">I108</f>
        <v>998844.18352416926</v>
      </c>
      <c r="O108" s="54">
        <f t="shared" ref="O108" si="55">IF(N108&lt;&gt;0,+I108-N108,0)</f>
        <v>0</v>
      </c>
      <c r="P108" s="54">
        <f t="shared" ref="P108" si="56">+O108-M108</f>
        <v>0</v>
      </c>
      <c r="Q108" s="1"/>
    </row>
    <row r="109" spans="1:17" ht="12.5">
      <c r="B109" s="7" t="str">
        <f t="shared" si="39"/>
        <v/>
      </c>
      <c r="C109" s="50">
        <f>IF(D93="","-",+C108+1)</f>
        <v>2023</v>
      </c>
      <c r="D109" s="429">
        <v>6658443.2018137369</v>
      </c>
      <c r="E109" s="430">
        <v>195427.90909090909</v>
      </c>
      <c r="F109" s="431">
        <v>6463015.2927228278</v>
      </c>
      <c r="G109" s="431">
        <v>6560729.2472682819</v>
      </c>
      <c r="H109" s="433">
        <v>1004792.6414921199</v>
      </c>
      <c r="I109" s="434">
        <v>1004792.6414921199</v>
      </c>
      <c r="J109" s="54">
        <f t="shared" si="40"/>
        <v>0</v>
      </c>
      <c r="K109" s="54"/>
      <c r="L109" s="113">
        <f t="shared" ref="L109" si="57">H109</f>
        <v>1004792.6414921199</v>
      </c>
      <c r="M109" s="54">
        <f t="shared" ref="M109" si="58">IF(L109&lt;&gt;0,+H109-L109,0)</f>
        <v>0</v>
      </c>
      <c r="N109" s="113">
        <f t="shared" ref="N109" si="59">I109</f>
        <v>1004792.6414921199</v>
      </c>
      <c r="O109" s="54">
        <f t="shared" ref="O109" si="60">IF(N109&lt;&gt;0,+I109-N109,0)</f>
        <v>0</v>
      </c>
      <c r="P109" s="54">
        <f t="shared" ref="P109" si="61">+O109-M109</f>
        <v>0</v>
      </c>
      <c r="Q109" s="1"/>
    </row>
    <row r="110" spans="1:17" ht="12.5">
      <c r="B110" s="7" t="str">
        <f t="shared" si="39"/>
        <v/>
      </c>
      <c r="C110" s="50">
        <f>IF(D93="","-",+C109+1)</f>
        <v>2024</v>
      </c>
      <c r="D110" s="12">
        <f>IF(F109+SUM(E$99:E109)=D$92,F109,D$92-SUM(E$99:E109))</f>
        <v>6463015.2927228278</v>
      </c>
      <c r="E110" s="378">
        <f t="shared" ref="E110:E154" si="62">IF(+$J$96&lt;F109,$J$96,D110)</f>
        <v>195427.90909090909</v>
      </c>
      <c r="F110" s="55">
        <f t="shared" ref="F110:F154" si="63">+D110-E110</f>
        <v>6267587.3836319186</v>
      </c>
      <c r="G110" s="55">
        <f t="shared" ref="G110:G154" si="64">+(F110+D110)/2</f>
        <v>6365301.3381773736</v>
      </c>
      <c r="H110" s="380">
        <f t="shared" ref="H110:H154" si="65">+J$94*G110+E110</f>
        <v>988075.58710743824</v>
      </c>
      <c r="I110" s="399">
        <f t="shared" ref="I110:I154" si="66">+J$95*G110+E110</f>
        <v>988075.58710743824</v>
      </c>
      <c r="J110" s="54">
        <f t="shared" si="40"/>
        <v>0</v>
      </c>
      <c r="K110" s="54"/>
      <c r="L110" s="129"/>
      <c r="M110" s="54">
        <f t="shared" ref="M110:M130" si="67">IF(L110&lt;&gt;0,+H110-L110,0)</f>
        <v>0</v>
      </c>
      <c r="N110" s="129"/>
      <c r="O110" s="54">
        <f t="shared" si="41"/>
        <v>0</v>
      </c>
      <c r="P110" s="54">
        <f t="shared" si="42"/>
        <v>0</v>
      </c>
      <c r="Q110" s="1"/>
    </row>
    <row r="111" spans="1:17" ht="12.5">
      <c r="B111" s="7" t="str">
        <f t="shared" si="39"/>
        <v/>
      </c>
      <c r="C111" s="50">
        <f>IF(D93="","-",+C110+1)</f>
        <v>2025</v>
      </c>
      <c r="D111" s="12">
        <f>IF(F110+SUM(E$99:E110)=D$92,F110,D$92-SUM(E$99:E110))</f>
        <v>6267587.3836319186</v>
      </c>
      <c r="E111" s="378">
        <f t="shared" si="62"/>
        <v>195427.90909090909</v>
      </c>
      <c r="F111" s="55">
        <f t="shared" si="63"/>
        <v>6072159.4745410094</v>
      </c>
      <c r="G111" s="55">
        <f t="shared" si="64"/>
        <v>6169873.4290864635</v>
      </c>
      <c r="H111" s="380">
        <f t="shared" si="65"/>
        <v>963739.66487364646</v>
      </c>
      <c r="I111" s="399">
        <f t="shared" si="66"/>
        <v>963739.66487364646</v>
      </c>
      <c r="J111" s="54">
        <f t="shared" si="40"/>
        <v>0</v>
      </c>
      <c r="K111" s="54"/>
      <c r="L111" s="129"/>
      <c r="M111" s="54">
        <f t="shared" si="67"/>
        <v>0</v>
      </c>
      <c r="N111" s="129"/>
      <c r="O111" s="54">
        <f t="shared" si="41"/>
        <v>0</v>
      </c>
      <c r="P111" s="54">
        <f t="shared" si="42"/>
        <v>0</v>
      </c>
      <c r="Q111" s="1"/>
    </row>
    <row r="112" spans="1:17" ht="12.5">
      <c r="B112" s="7" t="str">
        <f t="shared" si="39"/>
        <v/>
      </c>
      <c r="C112" s="50">
        <f>IF(D93="","-",+C111+1)</f>
        <v>2026</v>
      </c>
      <c r="D112" s="12">
        <f>IF(F111+SUM(E$99:E111)=D$92,F111,D$92-SUM(E$99:E111))</f>
        <v>6072159.4745410094</v>
      </c>
      <c r="E112" s="378">
        <f t="shared" si="62"/>
        <v>195427.90909090909</v>
      </c>
      <c r="F112" s="55">
        <f t="shared" si="63"/>
        <v>5876731.5654501002</v>
      </c>
      <c r="G112" s="55">
        <f t="shared" si="64"/>
        <v>5974445.5199955553</v>
      </c>
      <c r="H112" s="380">
        <f t="shared" si="65"/>
        <v>939403.7426398549</v>
      </c>
      <c r="I112" s="399">
        <f t="shared" si="66"/>
        <v>939403.7426398549</v>
      </c>
      <c r="J112" s="54">
        <f t="shared" si="40"/>
        <v>0</v>
      </c>
      <c r="K112" s="54"/>
      <c r="L112" s="129"/>
      <c r="M112" s="54">
        <f t="shared" si="67"/>
        <v>0</v>
      </c>
      <c r="N112" s="129"/>
      <c r="O112" s="54">
        <f t="shared" si="41"/>
        <v>0</v>
      </c>
      <c r="P112" s="54">
        <f t="shared" si="42"/>
        <v>0</v>
      </c>
      <c r="Q112" s="1"/>
    </row>
    <row r="113" spans="2:17" ht="12.5">
      <c r="B113" s="7" t="str">
        <f t="shared" si="39"/>
        <v/>
      </c>
      <c r="C113" s="50">
        <f>IF(D93="","-",+C112+1)</f>
        <v>2027</v>
      </c>
      <c r="D113" s="12">
        <f>IF(F112+SUM(E$99:E112)=D$92,F112,D$92-SUM(E$99:E112))</f>
        <v>5876731.5654501002</v>
      </c>
      <c r="E113" s="378">
        <f t="shared" si="62"/>
        <v>195427.90909090909</v>
      </c>
      <c r="F113" s="55">
        <f t="shared" si="63"/>
        <v>5681303.6563591911</v>
      </c>
      <c r="G113" s="55">
        <f t="shared" si="64"/>
        <v>5779017.6109046452</v>
      </c>
      <c r="H113" s="380">
        <f t="shared" si="65"/>
        <v>915067.82040606311</v>
      </c>
      <c r="I113" s="399">
        <f t="shared" si="66"/>
        <v>915067.82040606311</v>
      </c>
      <c r="J113" s="54">
        <f t="shared" si="40"/>
        <v>0</v>
      </c>
      <c r="K113" s="54"/>
      <c r="L113" s="129"/>
      <c r="M113" s="54">
        <f t="shared" si="67"/>
        <v>0</v>
      </c>
      <c r="N113" s="129"/>
      <c r="O113" s="54">
        <f t="shared" si="41"/>
        <v>0</v>
      </c>
      <c r="P113" s="54">
        <f t="shared" si="42"/>
        <v>0</v>
      </c>
      <c r="Q113" s="1"/>
    </row>
    <row r="114" spans="2:17" ht="12.5">
      <c r="B114" s="7" t="str">
        <f t="shared" si="39"/>
        <v/>
      </c>
      <c r="C114" s="50">
        <f>IF(D93="","-",+C113+1)</f>
        <v>2028</v>
      </c>
      <c r="D114" s="12">
        <f>IF(F113+SUM(E$99:E113)=D$92,F113,D$92-SUM(E$99:E113))</f>
        <v>5681303.6563591911</v>
      </c>
      <c r="E114" s="378">
        <f t="shared" si="62"/>
        <v>195427.90909090909</v>
      </c>
      <c r="F114" s="55">
        <f t="shared" si="63"/>
        <v>5485875.7472682819</v>
      </c>
      <c r="G114" s="55">
        <f t="shared" si="64"/>
        <v>5583589.7018137369</v>
      </c>
      <c r="H114" s="380">
        <f t="shared" si="65"/>
        <v>890731.89817227155</v>
      </c>
      <c r="I114" s="399">
        <f t="shared" si="66"/>
        <v>890731.89817227155</v>
      </c>
      <c r="J114" s="54">
        <f t="shared" si="40"/>
        <v>0</v>
      </c>
      <c r="K114" s="54"/>
      <c r="L114" s="129"/>
      <c r="M114" s="54">
        <f t="shared" si="67"/>
        <v>0</v>
      </c>
      <c r="N114" s="129"/>
      <c r="O114" s="54">
        <f t="shared" si="41"/>
        <v>0</v>
      </c>
      <c r="P114" s="54">
        <f t="shared" si="42"/>
        <v>0</v>
      </c>
      <c r="Q114" s="1"/>
    </row>
    <row r="115" spans="2:17" ht="12.5">
      <c r="B115" s="7" t="str">
        <f t="shared" si="39"/>
        <v/>
      </c>
      <c r="C115" s="50">
        <f>IF(D93="","-",+C114+1)</f>
        <v>2029</v>
      </c>
      <c r="D115" s="12">
        <f>IF(F114+SUM(E$99:E114)=D$92,F114,D$92-SUM(E$99:E114))</f>
        <v>5485875.7472682819</v>
      </c>
      <c r="E115" s="378">
        <f t="shared" si="62"/>
        <v>195427.90909090909</v>
      </c>
      <c r="F115" s="55">
        <f t="shared" si="63"/>
        <v>5290447.8381773727</v>
      </c>
      <c r="G115" s="55">
        <f t="shared" si="64"/>
        <v>5388161.7927228268</v>
      </c>
      <c r="H115" s="380">
        <f t="shared" si="65"/>
        <v>866395.97593847988</v>
      </c>
      <c r="I115" s="399">
        <f t="shared" si="66"/>
        <v>866395.97593847988</v>
      </c>
      <c r="J115" s="54">
        <f t="shared" si="40"/>
        <v>0</v>
      </c>
      <c r="K115" s="54"/>
      <c r="L115" s="129"/>
      <c r="M115" s="54">
        <f t="shared" si="67"/>
        <v>0</v>
      </c>
      <c r="N115" s="129"/>
      <c r="O115" s="54">
        <f t="shared" si="41"/>
        <v>0</v>
      </c>
      <c r="P115" s="54">
        <f t="shared" si="42"/>
        <v>0</v>
      </c>
      <c r="Q115" s="1"/>
    </row>
    <row r="116" spans="2:17" ht="12.5">
      <c r="B116" s="7" t="str">
        <f t="shared" si="39"/>
        <v/>
      </c>
      <c r="C116" s="50">
        <f>IF(D93="","-",+C115+1)</f>
        <v>2030</v>
      </c>
      <c r="D116" s="12">
        <f>IF(F115+SUM(E$99:E115)=D$92,F115,D$92-SUM(E$99:E115))</f>
        <v>5290447.8381773727</v>
      </c>
      <c r="E116" s="378">
        <f t="shared" si="62"/>
        <v>195427.90909090909</v>
      </c>
      <c r="F116" s="55">
        <f t="shared" si="63"/>
        <v>5095019.9290864635</v>
      </c>
      <c r="G116" s="55">
        <f t="shared" si="64"/>
        <v>5192733.8836319186</v>
      </c>
      <c r="H116" s="380">
        <f t="shared" si="65"/>
        <v>842060.05370468833</v>
      </c>
      <c r="I116" s="399">
        <f t="shared" si="66"/>
        <v>842060.05370468833</v>
      </c>
      <c r="J116" s="54">
        <f t="shared" si="40"/>
        <v>0</v>
      </c>
      <c r="K116" s="54"/>
      <c r="L116" s="129"/>
      <c r="M116" s="54">
        <f t="shared" si="67"/>
        <v>0</v>
      </c>
      <c r="N116" s="129"/>
      <c r="O116" s="54">
        <f t="shared" si="41"/>
        <v>0</v>
      </c>
      <c r="P116" s="54">
        <f t="shared" si="42"/>
        <v>0</v>
      </c>
      <c r="Q116" s="1"/>
    </row>
    <row r="117" spans="2:17" ht="12.5">
      <c r="B117" s="7" t="str">
        <f t="shared" si="39"/>
        <v/>
      </c>
      <c r="C117" s="50">
        <f>IF(D93="","-",+C116+1)</f>
        <v>2031</v>
      </c>
      <c r="D117" s="12">
        <f>IF(F116+SUM(E$99:E116)=D$92,F116,D$92-SUM(E$99:E116))</f>
        <v>5095019.9290864635</v>
      </c>
      <c r="E117" s="378">
        <f t="shared" si="62"/>
        <v>195427.90909090909</v>
      </c>
      <c r="F117" s="55">
        <f t="shared" si="63"/>
        <v>4899592.0199955544</v>
      </c>
      <c r="G117" s="55">
        <f t="shared" si="64"/>
        <v>4997305.9745410085</v>
      </c>
      <c r="H117" s="380">
        <f t="shared" si="65"/>
        <v>817724.13147089654</v>
      </c>
      <c r="I117" s="399">
        <f t="shared" si="66"/>
        <v>817724.13147089654</v>
      </c>
      <c r="J117" s="54">
        <f t="shared" si="40"/>
        <v>0</v>
      </c>
      <c r="K117" s="54"/>
      <c r="L117" s="129"/>
      <c r="M117" s="54">
        <f t="shared" si="67"/>
        <v>0</v>
      </c>
      <c r="N117" s="129"/>
      <c r="O117" s="54">
        <f t="shared" si="41"/>
        <v>0</v>
      </c>
      <c r="P117" s="54">
        <f t="shared" si="42"/>
        <v>0</v>
      </c>
      <c r="Q117" s="1"/>
    </row>
    <row r="118" spans="2:17" ht="12.5">
      <c r="B118" s="7" t="str">
        <f t="shared" si="39"/>
        <v/>
      </c>
      <c r="C118" s="50">
        <f>IF(D93="","-",+C117+1)</f>
        <v>2032</v>
      </c>
      <c r="D118" s="12">
        <f>IF(F117+SUM(E$99:E117)=D$92,F117,D$92-SUM(E$99:E117))</f>
        <v>4899592.0199955544</v>
      </c>
      <c r="E118" s="378">
        <f t="shared" si="62"/>
        <v>195427.90909090909</v>
      </c>
      <c r="F118" s="55">
        <f t="shared" si="63"/>
        <v>4704164.1109046452</v>
      </c>
      <c r="G118" s="55">
        <f t="shared" si="64"/>
        <v>4801878.0654501002</v>
      </c>
      <c r="H118" s="380">
        <f t="shared" si="65"/>
        <v>793388.20923710498</v>
      </c>
      <c r="I118" s="399">
        <f t="shared" si="66"/>
        <v>793388.20923710498</v>
      </c>
      <c r="J118" s="54">
        <f t="shared" si="40"/>
        <v>0</v>
      </c>
      <c r="K118" s="54"/>
      <c r="L118" s="129"/>
      <c r="M118" s="54">
        <f t="shared" si="67"/>
        <v>0</v>
      </c>
      <c r="N118" s="129"/>
      <c r="O118" s="54">
        <f t="shared" si="41"/>
        <v>0</v>
      </c>
      <c r="P118" s="54">
        <f t="shared" si="42"/>
        <v>0</v>
      </c>
      <c r="Q118" s="1"/>
    </row>
    <row r="119" spans="2:17" ht="12.5">
      <c r="B119" s="7" t="str">
        <f t="shared" si="39"/>
        <v/>
      </c>
      <c r="C119" s="50">
        <f>IF(D93="","-",+C118+1)</f>
        <v>2033</v>
      </c>
      <c r="D119" s="12">
        <f>IF(F118+SUM(E$99:E118)=D$92,F118,D$92-SUM(E$99:E118))</f>
        <v>4704164.1109046452</v>
      </c>
      <c r="E119" s="378">
        <f t="shared" si="62"/>
        <v>195427.90909090909</v>
      </c>
      <c r="F119" s="55">
        <f t="shared" si="63"/>
        <v>4508736.201813736</v>
      </c>
      <c r="G119" s="55">
        <f t="shared" si="64"/>
        <v>4606450.1563591901</v>
      </c>
      <c r="H119" s="380">
        <f t="shared" si="65"/>
        <v>769052.28700331319</v>
      </c>
      <c r="I119" s="399">
        <f t="shared" si="66"/>
        <v>769052.28700331319</v>
      </c>
      <c r="J119" s="54">
        <f t="shared" si="40"/>
        <v>0</v>
      </c>
      <c r="K119" s="54"/>
      <c r="L119" s="129"/>
      <c r="M119" s="54">
        <f t="shared" si="67"/>
        <v>0</v>
      </c>
      <c r="N119" s="129"/>
      <c r="O119" s="54">
        <f t="shared" si="41"/>
        <v>0</v>
      </c>
      <c r="P119" s="54">
        <f t="shared" si="42"/>
        <v>0</v>
      </c>
      <c r="Q119" s="1"/>
    </row>
    <row r="120" spans="2:17" ht="12.5">
      <c r="B120" s="7" t="str">
        <f t="shared" si="39"/>
        <v/>
      </c>
      <c r="C120" s="50">
        <f>IF(D93="","-",+C119+1)</f>
        <v>2034</v>
      </c>
      <c r="D120" s="12">
        <f>IF(F119+SUM(E$99:E119)=D$92,F119,D$92-SUM(E$99:E119))</f>
        <v>4508736.201813736</v>
      </c>
      <c r="E120" s="378">
        <f t="shared" si="62"/>
        <v>195427.90909090909</v>
      </c>
      <c r="F120" s="55">
        <f t="shared" si="63"/>
        <v>4313308.2927228268</v>
      </c>
      <c r="G120" s="55">
        <f t="shared" si="64"/>
        <v>4411022.2472682819</v>
      </c>
      <c r="H120" s="380">
        <f t="shared" si="65"/>
        <v>744716.36476952164</v>
      </c>
      <c r="I120" s="399">
        <f t="shared" si="66"/>
        <v>744716.36476952164</v>
      </c>
      <c r="J120" s="54">
        <f t="shared" si="40"/>
        <v>0</v>
      </c>
      <c r="K120" s="54"/>
      <c r="L120" s="129"/>
      <c r="M120" s="54">
        <f t="shared" si="67"/>
        <v>0</v>
      </c>
      <c r="N120" s="129"/>
      <c r="O120" s="54">
        <f t="shared" si="41"/>
        <v>0</v>
      </c>
      <c r="P120" s="54">
        <f t="shared" si="42"/>
        <v>0</v>
      </c>
      <c r="Q120" s="1"/>
    </row>
    <row r="121" spans="2:17" ht="12.5">
      <c r="B121" s="7" t="str">
        <f t="shared" si="39"/>
        <v/>
      </c>
      <c r="C121" s="50">
        <f>IF(D93="","-",+C120+1)</f>
        <v>2035</v>
      </c>
      <c r="D121" s="12">
        <f>IF(F120+SUM(E$99:E120)=D$92,F120,D$92-SUM(E$99:E120))</f>
        <v>4313308.2927228268</v>
      </c>
      <c r="E121" s="378">
        <f t="shared" si="62"/>
        <v>195427.90909090909</v>
      </c>
      <c r="F121" s="55">
        <f t="shared" si="63"/>
        <v>4117880.3836319176</v>
      </c>
      <c r="G121" s="55">
        <f t="shared" si="64"/>
        <v>4215594.3381773718</v>
      </c>
      <c r="H121" s="380">
        <f t="shared" si="65"/>
        <v>720380.44253572996</v>
      </c>
      <c r="I121" s="399">
        <f t="shared" si="66"/>
        <v>720380.44253572996</v>
      </c>
      <c r="J121" s="54">
        <f t="shared" si="40"/>
        <v>0</v>
      </c>
      <c r="K121" s="54"/>
      <c r="L121" s="129"/>
      <c r="M121" s="54">
        <f t="shared" si="67"/>
        <v>0</v>
      </c>
      <c r="N121" s="129"/>
      <c r="O121" s="54">
        <f t="shared" si="41"/>
        <v>0</v>
      </c>
      <c r="P121" s="54">
        <f t="shared" si="42"/>
        <v>0</v>
      </c>
      <c r="Q121" s="1"/>
    </row>
    <row r="122" spans="2:17" ht="12.5">
      <c r="B122" s="7" t="str">
        <f t="shared" si="39"/>
        <v/>
      </c>
      <c r="C122" s="50">
        <f>IF(D93="","-",+C121+1)</f>
        <v>2036</v>
      </c>
      <c r="D122" s="12">
        <f>IF(F121+SUM(E$99:E121)=D$92,F121,D$92-SUM(E$99:E121))</f>
        <v>4117880.3836319176</v>
      </c>
      <c r="E122" s="378">
        <f t="shared" si="62"/>
        <v>195427.90909090909</v>
      </c>
      <c r="F122" s="55">
        <f t="shared" si="63"/>
        <v>3922452.4745410085</v>
      </c>
      <c r="G122" s="55">
        <f t="shared" si="64"/>
        <v>4020166.4290864631</v>
      </c>
      <c r="H122" s="380">
        <f t="shared" si="65"/>
        <v>696044.52030193841</v>
      </c>
      <c r="I122" s="399">
        <f t="shared" si="66"/>
        <v>696044.52030193841</v>
      </c>
      <c r="J122" s="54">
        <f t="shared" si="40"/>
        <v>0</v>
      </c>
      <c r="K122" s="54"/>
      <c r="L122" s="129"/>
      <c r="M122" s="54">
        <f t="shared" si="67"/>
        <v>0</v>
      </c>
      <c r="N122" s="129"/>
      <c r="O122" s="54">
        <f t="shared" si="41"/>
        <v>0</v>
      </c>
      <c r="P122" s="54">
        <f t="shared" si="42"/>
        <v>0</v>
      </c>
      <c r="Q122" s="1"/>
    </row>
    <row r="123" spans="2:17" ht="12.5">
      <c r="B123" s="7" t="str">
        <f t="shared" si="39"/>
        <v/>
      </c>
      <c r="C123" s="50">
        <f>IF(D93="","-",+C122+1)</f>
        <v>2037</v>
      </c>
      <c r="D123" s="12">
        <f>IF(F122+SUM(E$99:E122)=D$92,F122,D$92-SUM(E$99:E122))</f>
        <v>3922452.4745410085</v>
      </c>
      <c r="E123" s="378">
        <f t="shared" si="62"/>
        <v>195427.90909090909</v>
      </c>
      <c r="F123" s="55">
        <f t="shared" si="63"/>
        <v>3727024.5654500993</v>
      </c>
      <c r="G123" s="55">
        <f t="shared" si="64"/>
        <v>3824738.5199955539</v>
      </c>
      <c r="H123" s="380">
        <f t="shared" si="65"/>
        <v>671708.59806814673</v>
      </c>
      <c r="I123" s="399">
        <f t="shared" si="66"/>
        <v>671708.59806814673</v>
      </c>
      <c r="J123" s="54">
        <f t="shared" si="40"/>
        <v>0</v>
      </c>
      <c r="K123" s="54"/>
      <c r="L123" s="129"/>
      <c r="M123" s="54">
        <f t="shared" si="67"/>
        <v>0</v>
      </c>
      <c r="N123" s="129"/>
      <c r="O123" s="54">
        <f t="shared" si="41"/>
        <v>0</v>
      </c>
      <c r="P123" s="54">
        <f t="shared" si="42"/>
        <v>0</v>
      </c>
      <c r="Q123" s="1"/>
    </row>
    <row r="124" spans="2:17" ht="12.5">
      <c r="B124" s="7" t="str">
        <f t="shared" si="39"/>
        <v/>
      </c>
      <c r="C124" s="50">
        <f>IF(D93="","-",+C123+1)</f>
        <v>2038</v>
      </c>
      <c r="D124" s="12">
        <f>IF(F123+SUM(E$99:E123)=D$92,F123,D$92-SUM(E$99:E123))</f>
        <v>3727024.5654500993</v>
      </c>
      <c r="E124" s="378">
        <f t="shared" si="62"/>
        <v>195427.90909090909</v>
      </c>
      <c r="F124" s="55">
        <f t="shared" si="63"/>
        <v>3531596.6563591901</v>
      </c>
      <c r="G124" s="55">
        <f t="shared" si="64"/>
        <v>3629310.6109046447</v>
      </c>
      <c r="H124" s="380">
        <f t="shared" si="65"/>
        <v>647372.67583435506</v>
      </c>
      <c r="I124" s="399">
        <f t="shared" si="66"/>
        <v>647372.67583435506</v>
      </c>
      <c r="J124" s="54">
        <f t="shared" si="40"/>
        <v>0</v>
      </c>
      <c r="K124" s="54"/>
      <c r="L124" s="129"/>
      <c r="M124" s="54">
        <f t="shared" si="67"/>
        <v>0</v>
      </c>
      <c r="N124" s="129"/>
      <c r="O124" s="54">
        <f t="shared" si="41"/>
        <v>0</v>
      </c>
      <c r="P124" s="54">
        <f t="shared" si="42"/>
        <v>0</v>
      </c>
      <c r="Q124" s="1"/>
    </row>
    <row r="125" spans="2:17" ht="12.5">
      <c r="B125" s="7" t="str">
        <f t="shared" si="39"/>
        <v/>
      </c>
      <c r="C125" s="50">
        <f>IF(D93="","-",+C124+1)</f>
        <v>2039</v>
      </c>
      <c r="D125" s="12">
        <f>IF(F124+SUM(E$99:E124)=D$92,F124,D$92-SUM(E$99:E124))</f>
        <v>3531596.6563591901</v>
      </c>
      <c r="E125" s="378">
        <f t="shared" si="62"/>
        <v>195427.90909090909</v>
      </c>
      <c r="F125" s="55">
        <f t="shared" si="63"/>
        <v>3336168.7472682809</v>
      </c>
      <c r="G125" s="55">
        <f t="shared" si="64"/>
        <v>3433882.7018137355</v>
      </c>
      <c r="H125" s="380">
        <f t="shared" si="65"/>
        <v>623036.75360056339</v>
      </c>
      <c r="I125" s="399">
        <f t="shared" si="66"/>
        <v>623036.75360056339</v>
      </c>
      <c r="J125" s="54">
        <f t="shared" si="40"/>
        <v>0</v>
      </c>
      <c r="K125" s="54"/>
      <c r="L125" s="129"/>
      <c r="M125" s="54">
        <f t="shared" si="67"/>
        <v>0</v>
      </c>
      <c r="N125" s="129"/>
      <c r="O125" s="54">
        <f t="shared" si="41"/>
        <v>0</v>
      </c>
      <c r="P125" s="54">
        <f t="shared" si="42"/>
        <v>0</v>
      </c>
      <c r="Q125" s="1"/>
    </row>
    <row r="126" spans="2:17" ht="12.5">
      <c r="B126" s="7" t="str">
        <f t="shared" si="39"/>
        <v/>
      </c>
      <c r="C126" s="50">
        <f>IF(D93="","-",+C125+1)</f>
        <v>2040</v>
      </c>
      <c r="D126" s="12">
        <f>IF(F125+SUM(E$99:E125)=D$92,F125,D$92-SUM(E$99:E125))</f>
        <v>3336168.7472682809</v>
      </c>
      <c r="E126" s="378">
        <f t="shared" si="62"/>
        <v>195427.90909090909</v>
      </c>
      <c r="F126" s="55">
        <f t="shared" si="63"/>
        <v>3140740.8381773718</v>
      </c>
      <c r="G126" s="55">
        <f t="shared" si="64"/>
        <v>3238454.7927228264</v>
      </c>
      <c r="H126" s="380">
        <f t="shared" si="65"/>
        <v>598700.83136677172</v>
      </c>
      <c r="I126" s="399">
        <f t="shared" si="66"/>
        <v>598700.83136677172</v>
      </c>
      <c r="J126" s="54">
        <f t="shared" si="40"/>
        <v>0</v>
      </c>
      <c r="K126" s="54"/>
      <c r="L126" s="129"/>
      <c r="M126" s="54">
        <f t="shared" si="67"/>
        <v>0</v>
      </c>
      <c r="N126" s="129"/>
      <c r="O126" s="54">
        <f t="shared" si="41"/>
        <v>0</v>
      </c>
      <c r="P126" s="54">
        <f t="shared" si="42"/>
        <v>0</v>
      </c>
      <c r="Q126" s="1"/>
    </row>
    <row r="127" spans="2:17" ht="12.5">
      <c r="B127" s="7" t="str">
        <f t="shared" si="39"/>
        <v/>
      </c>
      <c r="C127" s="50">
        <f>IF(D93="","-",+C126+1)</f>
        <v>2041</v>
      </c>
      <c r="D127" s="12">
        <f>IF(F126+SUM(E$99:E126)=D$92,F126,D$92-SUM(E$99:E126))</f>
        <v>3140740.8381773718</v>
      </c>
      <c r="E127" s="378">
        <f t="shared" si="62"/>
        <v>195427.90909090909</v>
      </c>
      <c r="F127" s="55">
        <f t="shared" si="63"/>
        <v>2945312.9290864626</v>
      </c>
      <c r="G127" s="55">
        <f t="shared" si="64"/>
        <v>3043026.8836319172</v>
      </c>
      <c r="H127" s="380">
        <f t="shared" si="65"/>
        <v>574364.90913298004</v>
      </c>
      <c r="I127" s="399">
        <f t="shared" si="66"/>
        <v>574364.90913298004</v>
      </c>
      <c r="J127" s="54">
        <f t="shared" si="40"/>
        <v>0</v>
      </c>
      <c r="K127" s="54"/>
      <c r="L127" s="129"/>
      <c r="M127" s="54">
        <f t="shared" si="67"/>
        <v>0</v>
      </c>
      <c r="N127" s="129"/>
      <c r="O127" s="54">
        <f t="shared" si="41"/>
        <v>0</v>
      </c>
      <c r="P127" s="54">
        <f t="shared" si="42"/>
        <v>0</v>
      </c>
      <c r="Q127" s="1"/>
    </row>
    <row r="128" spans="2:17" ht="12.5">
      <c r="B128" s="7" t="str">
        <f t="shared" si="39"/>
        <v/>
      </c>
      <c r="C128" s="50">
        <f>IF(D93="","-",+C127+1)</f>
        <v>2042</v>
      </c>
      <c r="D128" s="12">
        <f>IF(F127+SUM(E$99:E127)=D$92,F127,D$92-SUM(E$99:E127))</f>
        <v>2945312.9290864626</v>
      </c>
      <c r="E128" s="378">
        <f t="shared" si="62"/>
        <v>195427.90909090909</v>
      </c>
      <c r="F128" s="55">
        <f t="shared" si="63"/>
        <v>2749885.0199955534</v>
      </c>
      <c r="G128" s="55">
        <f t="shared" si="64"/>
        <v>2847598.974541008</v>
      </c>
      <c r="H128" s="380">
        <f t="shared" si="65"/>
        <v>550028.98689918849</v>
      </c>
      <c r="I128" s="399">
        <f t="shared" si="66"/>
        <v>550028.98689918849</v>
      </c>
      <c r="J128" s="54">
        <f t="shared" si="40"/>
        <v>0</v>
      </c>
      <c r="K128" s="54"/>
      <c r="L128" s="129"/>
      <c r="M128" s="54">
        <f t="shared" si="67"/>
        <v>0</v>
      </c>
      <c r="N128" s="129"/>
      <c r="O128" s="54">
        <f t="shared" si="41"/>
        <v>0</v>
      </c>
      <c r="P128" s="54">
        <f t="shared" si="42"/>
        <v>0</v>
      </c>
      <c r="Q128" s="1"/>
    </row>
    <row r="129" spans="2:17" ht="12.5">
      <c r="B129" s="7" t="str">
        <f t="shared" si="39"/>
        <v/>
      </c>
      <c r="C129" s="50">
        <f>IF(D93="","-",+C128+1)</f>
        <v>2043</v>
      </c>
      <c r="D129" s="12">
        <f>IF(F128+SUM(E$99:E128)=D$92,F128,D$92-SUM(E$99:E128))</f>
        <v>2749885.0199955534</v>
      </c>
      <c r="E129" s="378">
        <f t="shared" si="62"/>
        <v>195427.90909090909</v>
      </c>
      <c r="F129" s="55">
        <f t="shared" si="63"/>
        <v>2554457.1109046442</v>
      </c>
      <c r="G129" s="55">
        <f t="shared" si="64"/>
        <v>2652171.0654500988</v>
      </c>
      <c r="H129" s="380">
        <f t="shared" si="65"/>
        <v>525693.06466539681</v>
      </c>
      <c r="I129" s="399">
        <f t="shared" si="66"/>
        <v>525693.06466539681</v>
      </c>
      <c r="J129" s="54">
        <f t="shared" si="40"/>
        <v>0</v>
      </c>
      <c r="K129" s="54"/>
      <c r="L129" s="129"/>
      <c r="M129" s="54">
        <f t="shared" si="67"/>
        <v>0</v>
      </c>
      <c r="N129" s="129"/>
      <c r="O129" s="54">
        <f t="shared" si="41"/>
        <v>0</v>
      </c>
      <c r="P129" s="54">
        <f t="shared" si="42"/>
        <v>0</v>
      </c>
      <c r="Q129" s="1"/>
    </row>
    <row r="130" spans="2:17" ht="12.5">
      <c r="B130" s="7" t="str">
        <f t="shared" si="39"/>
        <v/>
      </c>
      <c r="C130" s="50">
        <f>IF(D93="","-",+C129+1)</f>
        <v>2044</v>
      </c>
      <c r="D130" s="12">
        <f>IF(F129+SUM(E$99:E129)=D$92,F129,D$92-SUM(E$99:E129))</f>
        <v>2554457.1109046442</v>
      </c>
      <c r="E130" s="378">
        <f t="shared" si="62"/>
        <v>195427.90909090909</v>
      </c>
      <c r="F130" s="55">
        <f t="shared" si="63"/>
        <v>2359029.2018137351</v>
      </c>
      <c r="G130" s="55">
        <f t="shared" si="64"/>
        <v>2456743.1563591897</v>
      </c>
      <c r="H130" s="380">
        <f t="shared" si="65"/>
        <v>501357.14243160514</v>
      </c>
      <c r="I130" s="399">
        <f t="shared" si="66"/>
        <v>501357.14243160514</v>
      </c>
      <c r="J130" s="54">
        <f t="shared" si="40"/>
        <v>0</v>
      </c>
      <c r="K130" s="54"/>
      <c r="L130" s="129"/>
      <c r="M130" s="54">
        <f t="shared" si="67"/>
        <v>0</v>
      </c>
      <c r="N130" s="129"/>
      <c r="O130" s="54">
        <f t="shared" si="41"/>
        <v>0</v>
      </c>
      <c r="P130" s="54">
        <f t="shared" si="42"/>
        <v>0</v>
      </c>
      <c r="Q130" s="1"/>
    </row>
    <row r="131" spans="2:17" ht="12.5">
      <c r="B131" s="7" t="str">
        <f t="shared" si="39"/>
        <v/>
      </c>
      <c r="C131" s="50">
        <f>IF(D93="","-",+C130+1)</f>
        <v>2045</v>
      </c>
      <c r="D131" s="12">
        <f>IF(F130+SUM(E$99:E130)=D$92,F130,D$92-SUM(E$99:E130))</f>
        <v>2359029.2018137351</v>
      </c>
      <c r="E131" s="378">
        <f t="shared" si="62"/>
        <v>195427.90909090909</v>
      </c>
      <c r="F131" s="55">
        <f t="shared" si="63"/>
        <v>2163601.2927228259</v>
      </c>
      <c r="G131" s="55">
        <f t="shared" si="64"/>
        <v>2261315.2472682805</v>
      </c>
      <c r="H131" s="380">
        <f t="shared" si="65"/>
        <v>477021.22019781347</v>
      </c>
      <c r="I131" s="399">
        <f t="shared" si="66"/>
        <v>477021.22019781347</v>
      </c>
      <c r="J131" s="54">
        <f t="shared" si="40"/>
        <v>0</v>
      </c>
      <c r="K131" s="54"/>
      <c r="L131" s="129"/>
      <c r="M131" s="54">
        <f t="shared" ref="M131:M154" si="68">IF(L541&lt;&gt;0,+H541-L541,0)</f>
        <v>0</v>
      </c>
      <c r="N131" s="129"/>
      <c r="O131" s="54">
        <f t="shared" ref="O131:O154" si="69">IF(N541&lt;&gt;0,+I541-N541,0)</f>
        <v>0</v>
      </c>
      <c r="P131" s="54">
        <f t="shared" ref="P131:P154" si="70">+O541-M541</f>
        <v>0</v>
      </c>
      <c r="Q131" s="1"/>
    </row>
    <row r="132" spans="2:17" ht="12.5">
      <c r="B132" s="7" t="str">
        <f t="shared" si="39"/>
        <v/>
      </c>
      <c r="C132" s="50">
        <f>IF(D93="","-",+C131+1)</f>
        <v>2046</v>
      </c>
      <c r="D132" s="12">
        <f>IF(F131+SUM(E$99:E131)=D$92,F131,D$92-SUM(E$99:E131))</f>
        <v>2163601.2927228259</v>
      </c>
      <c r="E132" s="378">
        <f t="shared" si="62"/>
        <v>195427.90909090909</v>
      </c>
      <c r="F132" s="55">
        <f t="shared" si="63"/>
        <v>1968173.3836319167</v>
      </c>
      <c r="G132" s="55">
        <f t="shared" si="64"/>
        <v>2065887.3381773713</v>
      </c>
      <c r="H132" s="380">
        <f t="shared" si="65"/>
        <v>452685.2979640218</v>
      </c>
      <c r="I132" s="399">
        <f t="shared" si="66"/>
        <v>452685.2979640218</v>
      </c>
      <c r="J132" s="54">
        <f t="shared" si="40"/>
        <v>0</v>
      </c>
      <c r="K132" s="54"/>
      <c r="L132" s="129"/>
      <c r="M132" s="54">
        <f t="shared" si="68"/>
        <v>0</v>
      </c>
      <c r="N132" s="129"/>
      <c r="O132" s="54">
        <f t="shared" si="69"/>
        <v>0</v>
      </c>
      <c r="P132" s="54">
        <f t="shared" si="70"/>
        <v>0</v>
      </c>
      <c r="Q132" s="1"/>
    </row>
    <row r="133" spans="2:17" ht="12.5">
      <c r="B133" s="7" t="str">
        <f t="shared" si="39"/>
        <v/>
      </c>
      <c r="C133" s="50">
        <f>IF(D93="","-",+C132+1)</f>
        <v>2047</v>
      </c>
      <c r="D133" s="12">
        <f>IF(F132+SUM(E$99:E132)=D$92,F132,D$92-SUM(E$99:E132))</f>
        <v>1968173.3836319167</v>
      </c>
      <c r="E133" s="378">
        <f t="shared" si="62"/>
        <v>195427.90909090909</v>
      </c>
      <c r="F133" s="55">
        <f t="shared" si="63"/>
        <v>1772745.4745410075</v>
      </c>
      <c r="G133" s="55">
        <f t="shared" si="64"/>
        <v>1870459.4290864621</v>
      </c>
      <c r="H133" s="380">
        <f t="shared" si="65"/>
        <v>428349.37573023018</v>
      </c>
      <c r="I133" s="399">
        <f t="shared" si="66"/>
        <v>428349.37573023018</v>
      </c>
      <c r="J133" s="54">
        <f t="shared" si="40"/>
        <v>0</v>
      </c>
      <c r="K133" s="54"/>
      <c r="L133" s="129"/>
      <c r="M133" s="54">
        <f t="shared" si="68"/>
        <v>0</v>
      </c>
      <c r="N133" s="129"/>
      <c r="O133" s="54">
        <f t="shared" si="69"/>
        <v>0</v>
      </c>
      <c r="P133" s="54">
        <f t="shared" si="70"/>
        <v>0</v>
      </c>
      <c r="Q133" s="1"/>
    </row>
    <row r="134" spans="2:17" ht="12.5">
      <c r="B134" s="7" t="str">
        <f t="shared" si="39"/>
        <v/>
      </c>
      <c r="C134" s="50">
        <f>IF(D93="","-",+C133+1)</f>
        <v>2048</v>
      </c>
      <c r="D134" s="12">
        <f>IF(F133+SUM(E$99:E133)=D$92,F133,D$92-SUM(E$99:E133))</f>
        <v>1772745.4745410075</v>
      </c>
      <c r="E134" s="378">
        <f t="shared" si="62"/>
        <v>195427.90909090909</v>
      </c>
      <c r="F134" s="55">
        <f t="shared" si="63"/>
        <v>1577317.5654500984</v>
      </c>
      <c r="G134" s="55">
        <f t="shared" si="64"/>
        <v>1675031.519995553</v>
      </c>
      <c r="H134" s="380">
        <f t="shared" si="65"/>
        <v>404013.45349643851</v>
      </c>
      <c r="I134" s="399">
        <f t="shared" si="66"/>
        <v>404013.45349643851</v>
      </c>
      <c r="J134" s="54">
        <f t="shared" si="40"/>
        <v>0</v>
      </c>
      <c r="K134" s="54"/>
      <c r="L134" s="129"/>
      <c r="M134" s="54">
        <f t="shared" si="68"/>
        <v>0</v>
      </c>
      <c r="N134" s="129"/>
      <c r="O134" s="54">
        <f t="shared" si="69"/>
        <v>0</v>
      </c>
      <c r="P134" s="54">
        <f t="shared" si="70"/>
        <v>0</v>
      </c>
      <c r="Q134" s="1"/>
    </row>
    <row r="135" spans="2:17" ht="12.5">
      <c r="B135" s="7" t="str">
        <f t="shared" si="39"/>
        <v/>
      </c>
      <c r="C135" s="50">
        <f>IF(D93="","-",+C134+1)</f>
        <v>2049</v>
      </c>
      <c r="D135" s="12">
        <f>IF(F134+SUM(E$99:E134)=D$92,F134,D$92-SUM(E$99:E134))</f>
        <v>1577317.5654500984</v>
      </c>
      <c r="E135" s="378">
        <f t="shared" si="62"/>
        <v>195427.90909090909</v>
      </c>
      <c r="F135" s="55">
        <f t="shared" si="63"/>
        <v>1381889.6563591892</v>
      </c>
      <c r="G135" s="55">
        <f t="shared" si="64"/>
        <v>1479603.6109046438</v>
      </c>
      <c r="H135" s="380">
        <f t="shared" si="65"/>
        <v>379677.53126264689</v>
      </c>
      <c r="I135" s="399">
        <f t="shared" si="66"/>
        <v>379677.53126264689</v>
      </c>
      <c r="J135" s="54">
        <f t="shared" si="40"/>
        <v>0</v>
      </c>
      <c r="K135" s="54"/>
      <c r="L135" s="129"/>
      <c r="M135" s="54">
        <f t="shared" si="68"/>
        <v>0</v>
      </c>
      <c r="N135" s="129"/>
      <c r="O135" s="54">
        <f t="shared" si="69"/>
        <v>0</v>
      </c>
      <c r="P135" s="54">
        <f t="shared" si="70"/>
        <v>0</v>
      </c>
      <c r="Q135" s="1"/>
    </row>
    <row r="136" spans="2:17" ht="12.5">
      <c r="B136" s="7" t="str">
        <f t="shared" si="39"/>
        <v/>
      </c>
      <c r="C136" s="50">
        <f>IF(D93="","-",+C135+1)</f>
        <v>2050</v>
      </c>
      <c r="D136" s="12">
        <f>IF(F135+SUM(E$99:E135)=D$92,F135,D$92-SUM(E$99:E135))</f>
        <v>1381889.6563591892</v>
      </c>
      <c r="E136" s="378">
        <f t="shared" si="62"/>
        <v>195427.90909090909</v>
      </c>
      <c r="F136" s="55">
        <f t="shared" si="63"/>
        <v>1186461.74726828</v>
      </c>
      <c r="G136" s="55">
        <f t="shared" si="64"/>
        <v>1284175.7018137346</v>
      </c>
      <c r="H136" s="380">
        <f t="shared" si="65"/>
        <v>355341.60902885522</v>
      </c>
      <c r="I136" s="399">
        <f t="shared" si="66"/>
        <v>355341.60902885522</v>
      </c>
      <c r="J136" s="54">
        <f t="shared" si="40"/>
        <v>0</v>
      </c>
      <c r="K136" s="54"/>
      <c r="L136" s="129"/>
      <c r="M136" s="54">
        <f t="shared" si="68"/>
        <v>0</v>
      </c>
      <c r="N136" s="129"/>
      <c r="O136" s="54">
        <f t="shared" si="69"/>
        <v>0</v>
      </c>
      <c r="P136" s="54">
        <f t="shared" si="70"/>
        <v>0</v>
      </c>
      <c r="Q136" s="1"/>
    </row>
    <row r="137" spans="2:17" ht="12.5">
      <c r="B137" s="7" t="str">
        <f t="shared" si="39"/>
        <v/>
      </c>
      <c r="C137" s="50">
        <f>IF(D93="","-",+C136+1)</f>
        <v>2051</v>
      </c>
      <c r="D137" s="12">
        <f>IF(F136+SUM(E$99:E136)=D$92,F136,D$92-SUM(E$99:E136))</f>
        <v>1186461.74726828</v>
      </c>
      <c r="E137" s="378">
        <f t="shared" si="62"/>
        <v>195427.90909090909</v>
      </c>
      <c r="F137" s="55">
        <f t="shared" si="63"/>
        <v>991033.83817737096</v>
      </c>
      <c r="G137" s="55">
        <f t="shared" si="64"/>
        <v>1088747.7927228254</v>
      </c>
      <c r="H137" s="380">
        <f t="shared" si="65"/>
        <v>331005.68679506355</v>
      </c>
      <c r="I137" s="399">
        <f t="shared" si="66"/>
        <v>331005.68679506355</v>
      </c>
      <c r="J137" s="54">
        <f t="shared" si="40"/>
        <v>0</v>
      </c>
      <c r="K137" s="54"/>
      <c r="L137" s="129"/>
      <c r="M137" s="54">
        <f t="shared" si="68"/>
        <v>0</v>
      </c>
      <c r="N137" s="129"/>
      <c r="O137" s="54">
        <f t="shared" si="69"/>
        <v>0</v>
      </c>
      <c r="P137" s="54">
        <f t="shared" si="70"/>
        <v>0</v>
      </c>
      <c r="Q137" s="1"/>
    </row>
    <row r="138" spans="2:17" ht="12.5">
      <c r="B138" s="7" t="str">
        <f t="shared" si="39"/>
        <v/>
      </c>
      <c r="C138" s="50">
        <f>IF(D93="","-",+C137+1)</f>
        <v>2052</v>
      </c>
      <c r="D138" s="12">
        <f>IF(F137+SUM(E$99:E137)=D$92,F137,D$92-SUM(E$99:E137))</f>
        <v>991033.83817737096</v>
      </c>
      <c r="E138" s="378">
        <f t="shared" si="62"/>
        <v>195427.90909090909</v>
      </c>
      <c r="F138" s="55">
        <f t="shared" si="63"/>
        <v>795605.9290864619</v>
      </c>
      <c r="G138" s="55">
        <f t="shared" si="64"/>
        <v>893319.88363191648</v>
      </c>
      <c r="H138" s="380">
        <f t="shared" si="65"/>
        <v>306669.76456127194</v>
      </c>
      <c r="I138" s="399">
        <f t="shared" si="66"/>
        <v>306669.76456127194</v>
      </c>
      <c r="J138" s="54">
        <f t="shared" si="40"/>
        <v>0</v>
      </c>
      <c r="K138" s="54"/>
      <c r="L138" s="129"/>
      <c r="M138" s="54">
        <f t="shared" si="68"/>
        <v>0</v>
      </c>
      <c r="N138" s="129"/>
      <c r="O138" s="54">
        <f t="shared" si="69"/>
        <v>0</v>
      </c>
      <c r="P138" s="54">
        <f t="shared" si="70"/>
        <v>0</v>
      </c>
      <c r="Q138" s="1"/>
    </row>
    <row r="139" spans="2:17" ht="12.5">
      <c r="B139" s="7" t="str">
        <f t="shared" si="39"/>
        <v/>
      </c>
      <c r="C139" s="50">
        <f>IF(D93="","-",+C138+1)</f>
        <v>2053</v>
      </c>
      <c r="D139" s="12">
        <f>IF(F138+SUM(E$99:E138)=D$92,F138,D$92-SUM(E$99:E138))</f>
        <v>795605.9290864619</v>
      </c>
      <c r="E139" s="378">
        <f t="shared" si="62"/>
        <v>195427.90909090909</v>
      </c>
      <c r="F139" s="55">
        <f t="shared" si="63"/>
        <v>600178.01999555284</v>
      </c>
      <c r="G139" s="55">
        <f t="shared" si="64"/>
        <v>697891.97454100731</v>
      </c>
      <c r="H139" s="380">
        <f t="shared" si="65"/>
        <v>282333.84232748026</v>
      </c>
      <c r="I139" s="399">
        <f t="shared" si="66"/>
        <v>282333.84232748026</v>
      </c>
      <c r="J139" s="54">
        <f t="shared" si="40"/>
        <v>0</v>
      </c>
      <c r="K139" s="54"/>
      <c r="L139" s="129"/>
      <c r="M139" s="54">
        <f t="shared" si="68"/>
        <v>0</v>
      </c>
      <c r="N139" s="129"/>
      <c r="O139" s="54">
        <f t="shared" si="69"/>
        <v>0</v>
      </c>
      <c r="P139" s="54">
        <f t="shared" si="70"/>
        <v>0</v>
      </c>
      <c r="Q139" s="1"/>
    </row>
    <row r="140" spans="2:17" ht="12.5">
      <c r="B140" s="7" t="str">
        <f t="shared" si="39"/>
        <v/>
      </c>
      <c r="C140" s="50">
        <f>IF(D93="","-",+C139+1)</f>
        <v>2054</v>
      </c>
      <c r="D140" s="12">
        <f>IF(F139+SUM(E$99:E139)=D$92,F139,D$92-SUM(E$99:E139))</f>
        <v>600178.01999555284</v>
      </c>
      <c r="E140" s="378">
        <f t="shared" si="62"/>
        <v>195427.90909090909</v>
      </c>
      <c r="F140" s="55">
        <f t="shared" si="63"/>
        <v>404750.11090464378</v>
      </c>
      <c r="G140" s="55">
        <f t="shared" si="64"/>
        <v>502464.06545009831</v>
      </c>
      <c r="H140" s="380">
        <f t="shared" si="65"/>
        <v>257997.92009368865</v>
      </c>
      <c r="I140" s="399">
        <f t="shared" si="66"/>
        <v>257997.92009368865</v>
      </c>
      <c r="J140" s="54">
        <f t="shared" si="40"/>
        <v>0</v>
      </c>
      <c r="K140" s="54"/>
      <c r="L140" s="129"/>
      <c r="M140" s="54">
        <f t="shared" si="68"/>
        <v>0</v>
      </c>
      <c r="N140" s="129"/>
      <c r="O140" s="54">
        <f t="shared" si="69"/>
        <v>0</v>
      </c>
      <c r="P140" s="54">
        <f t="shared" si="70"/>
        <v>0</v>
      </c>
      <c r="Q140" s="1"/>
    </row>
    <row r="141" spans="2:17" ht="12.5">
      <c r="B141" s="7" t="str">
        <f t="shared" si="39"/>
        <v/>
      </c>
      <c r="C141" s="50">
        <f>IF(D93="","-",+C140+1)</f>
        <v>2055</v>
      </c>
      <c r="D141" s="12">
        <f>IF(F140+SUM(E$99:E140)=D$92,F140,D$92-SUM(E$99:E140))</f>
        <v>404750.11090464378</v>
      </c>
      <c r="E141" s="378">
        <f t="shared" si="62"/>
        <v>195427.90909090909</v>
      </c>
      <c r="F141" s="55">
        <f t="shared" si="63"/>
        <v>209322.20181373469</v>
      </c>
      <c r="G141" s="55">
        <f t="shared" si="64"/>
        <v>307036.15635918925</v>
      </c>
      <c r="H141" s="380">
        <f t="shared" si="65"/>
        <v>233661.997859897</v>
      </c>
      <c r="I141" s="399">
        <f t="shared" si="66"/>
        <v>233661.997859897</v>
      </c>
      <c r="J141" s="54">
        <f t="shared" si="40"/>
        <v>0</v>
      </c>
      <c r="K141" s="54"/>
      <c r="L141" s="129"/>
      <c r="M141" s="54">
        <f t="shared" si="68"/>
        <v>0</v>
      </c>
      <c r="N141" s="129"/>
      <c r="O141" s="54">
        <f t="shared" si="69"/>
        <v>0</v>
      </c>
      <c r="P141" s="54">
        <f t="shared" si="70"/>
        <v>0</v>
      </c>
      <c r="Q141" s="1"/>
    </row>
    <row r="142" spans="2:17" ht="12.5">
      <c r="B142" s="7" t="str">
        <f t="shared" si="39"/>
        <v/>
      </c>
      <c r="C142" s="50">
        <f>IF(D93="","-",+C141+1)</f>
        <v>2056</v>
      </c>
      <c r="D142" s="12">
        <f>IF(F141+SUM(E$99:E141)=D$92,F141,D$92-SUM(E$99:E141))</f>
        <v>209322.20181373469</v>
      </c>
      <c r="E142" s="378">
        <f t="shared" si="62"/>
        <v>195427.90909090909</v>
      </c>
      <c r="F142" s="55">
        <f t="shared" si="63"/>
        <v>13894.292722825601</v>
      </c>
      <c r="G142" s="55">
        <f t="shared" si="64"/>
        <v>111608.24726828015</v>
      </c>
      <c r="H142" s="380">
        <f t="shared" si="65"/>
        <v>209326.07562610536</v>
      </c>
      <c r="I142" s="399">
        <f t="shared" si="66"/>
        <v>209326.07562610536</v>
      </c>
      <c r="J142" s="54">
        <f t="shared" si="40"/>
        <v>0</v>
      </c>
      <c r="K142" s="54"/>
      <c r="L142" s="129"/>
      <c r="M142" s="54">
        <f t="shared" si="68"/>
        <v>0</v>
      </c>
      <c r="N142" s="129"/>
      <c r="O142" s="54">
        <f t="shared" si="69"/>
        <v>0</v>
      </c>
      <c r="P142" s="54">
        <f t="shared" si="70"/>
        <v>0</v>
      </c>
      <c r="Q142" s="1"/>
    </row>
    <row r="143" spans="2:17" ht="12.5">
      <c r="B143" s="7" t="str">
        <f t="shared" si="39"/>
        <v/>
      </c>
      <c r="C143" s="50">
        <f>IF(D93="","-",+C142+1)</f>
        <v>2057</v>
      </c>
      <c r="D143" s="12">
        <f>IF(F142+SUM(E$99:E142)=D$92,F142,D$92-SUM(E$99:E142))</f>
        <v>13894.292722825601</v>
      </c>
      <c r="E143" s="378">
        <f t="shared" si="62"/>
        <v>13894.292722825601</v>
      </c>
      <c r="F143" s="55">
        <f t="shared" si="63"/>
        <v>0</v>
      </c>
      <c r="G143" s="55">
        <f t="shared" si="64"/>
        <v>6947.1463614128006</v>
      </c>
      <c r="H143" s="380">
        <f t="shared" si="65"/>
        <v>14759.395431975832</v>
      </c>
      <c r="I143" s="399">
        <f t="shared" si="66"/>
        <v>14759.395431975832</v>
      </c>
      <c r="J143" s="54">
        <f t="shared" si="40"/>
        <v>0</v>
      </c>
      <c r="K143" s="54"/>
      <c r="L143" s="129"/>
      <c r="M143" s="54">
        <f t="shared" si="68"/>
        <v>0</v>
      </c>
      <c r="N143" s="129"/>
      <c r="O143" s="54">
        <f t="shared" si="69"/>
        <v>0</v>
      </c>
      <c r="P143" s="54">
        <f t="shared" si="70"/>
        <v>0</v>
      </c>
      <c r="Q143" s="1"/>
    </row>
    <row r="144" spans="2:17" ht="12.5">
      <c r="B144" s="7" t="str">
        <f t="shared" si="39"/>
        <v/>
      </c>
      <c r="C144" s="50">
        <f>IF(D93="","-",+C143+1)</f>
        <v>2058</v>
      </c>
      <c r="D144" s="12">
        <f>IF(F143+SUM(E$99:E143)=D$92,F143,D$92-SUM(E$99:E143))</f>
        <v>0</v>
      </c>
      <c r="E144" s="378">
        <f t="shared" si="62"/>
        <v>0</v>
      </c>
      <c r="F144" s="55">
        <f t="shared" si="63"/>
        <v>0</v>
      </c>
      <c r="G144" s="55">
        <f t="shared" si="64"/>
        <v>0</v>
      </c>
      <c r="H144" s="380">
        <f t="shared" si="65"/>
        <v>0</v>
      </c>
      <c r="I144" s="399">
        <f t="shared" si="66"/>
        <v>0</v>
      </c>
      <c r="J144" s="54">
        <f t="shared" si="40"/>
        <v>0</v>
      </c>
      <c r="K144" s="54"/>
      <c r="L144" s="129"/>
      <c r="M144" s="54">
        <f t="shared" si="68"/>
        <v>0</v>
      </c>
      <c r="N144" s="129"/>
      <c r="O144" s="54">
        <f t="shared" si="69"/>
        <v>0</v>
      </c>
      <c r="P144" s="54">
        <f t="shared" si="70"/>
        <v>0</v>
      </c>
      <c r="Q144" s="1"/>
    </row>
    <row r="145" spans="2:17" ht="12.5">
      <c r="B145" s="7" t="str">
        <f t="shared" si="39"/>
        <v/>
      </c>
      <c r="C145" s="50">
        <f>IF(D93="","-",+C144+1)</f>
        <v>2059</v>
      </c>
      <c r="D145" s="12">
        <f>IF(F144+SUM(E$99:E144)=D$92,F144,D$92-SUM(E$99:E144))</f>
        <v>0</v>
      </c>
      <c r="E145" s="378">
        <f t="shared" si="62"/>
        <v>0</v>
      </c>
      <c r="F145" s="55">
        <f t="shared" si="63"/>
        <v>0</v>
      </c>
      <c r="G145" s="55">
        <f t="shared" si="64"/>
        <v>0</v>
      </c>
      <c r="H145" s="380">
        <f t="shared" si="65"/>
        <v>0</v>
      </c>
      <c r="I145" s="399">
        <f t="shared" si="66"/>
        <v>0</v>
      </c>
      <c r="J145" s="54">
        <f t="shared" si="40"/>
        <v>0</v>
      </c>
      <c r="K145" s="54"/>
      <c r="L145" s="129"/>
      <c r="M145" s="54">
        <f t="shared" si="68"/>
        <v>0</v>
      </c>
      <c r="N145" s="129"/>
      <c r="O145" s="54">
        <f t="shared" si="69"/>
        <v>0</v>
      </c>
      <c r="P145" s="54">
        <f t="shared" si="70"/>
        <v>0</v>
      </c>
      <c r="Q145" s="1"/>
    </row>
    <row r="146" spans="2:17" ht="12.5">
      <c r="B146" s="7" t="str">
        <f t="shared" si="39"/>
        <v/>
      </c>
      <c r="C146" s="50">
        <f>IF(D93="","-",+C145+1)</f>
        <v>2060</v>
      </c>
      <c r="D146" s="12">
        <f>IF(F145+SUM(E$99:E145)=D$92,F145,D$92-SUM(E$99:E145))</f>
        <v>0</v>
      </c>
      <c r="E146" s="378">
        <f t="shared" si="62"/>
        <v>0</v>
      </c>
      <c r="F146" s="55">
        <f t="shared" si="63"/>
        <v>0</v>
      </c>
      <c r="G146" s="55">
        <f t="shared" si="64"/>
        <v>0</v>
      </c>
      <c r="H146" s="380">
        <f t="shared" si="65"/>
        <v>0</v>
      </c>
      <c r="I146" s="399">
        <f t="shared" si="66"/>
        <v>0</v>
      </c>
      <c r="J146" s="54">
        <f t="shared" si="40"/>
        <v>0</v>
      </c>
      <c r="K146" s="54"/>
      <c r="L146" s="129"/>
      <c r="M146" s="54">
        <f t="shared" si="68"/>
        <v>0</v>
      </c>
      <c r="N146" s="129"/>
      <c r="O146" s="54">
        <f t="shared" si="69"/>
        <v>0</v>
      </c>
      <c r="P146" s="54">
        <f t="shared" si="70"/>
        <v>0</v>
      </c>
      <c r="Q146" s="1"/>
    </row>
    <row r="147" spans="2:17" ht="12.5">
      <c r="B147" s="7" t="str">
        <f t="shared" si="39"/>
        <v/>
      </c>
      <c r="C147" s="50">
        <f>IF(D93="","-",+C146+1)</f>
        <v>2061</v>
      </c>
      <c r="D147" s="12">
        <f>IF(F146+SUM(E$99:E146)=D$92,F146,D$92-SUM(E$99:E146))</f>
        <v>0</v>
      </c>
      <c r="E147" s="378">
        <f t="shared" si="62"/>
        <v>0</v>
      </c>
      <c r="F147" s="55">
        <f t="shared" si="63"/>
        <v>0</v>
      </c>
      <c r="G147" s="55">
        <f t="shared" si="64"/>
        <v>0</v>
      </c>
      <c r="H147" s="380">
        <f t="shared" si="65"/>
        <v>0</v>
      </c>
      <c r="I147" s="399">
        <f t="shared" si="66"/>
        <v>0</v>
      </c>
      <c r="J147" s="54">
        <f t="shared" si="40"/>
        <v>0</v>
      </c>
      <c r="K147" s="54"/>
      <c r="L147" s="129"/>
      <c r="M147" s="54">
        <f t="shared" si="68"/>
        <v>0</v>
      </c>
      <c r="N147" s="129"/>
      <c r="O147" s="54">
        <f t="shared" si="69"/>
        <v>0</v>
      </c>
      <c r="P147" s="54">
        <f t="shared" si="70"/>
        <v>0</v>
      </c>
      <c r="Q147" s="1"/>
    </row>
    <row r="148" spans="2:17" ht="12.5">
      <c r="B148" s="7" t="str">
        <f t="shared" si="39"/>
        <v/>
      </c>
      <c r="C148" s="50">
        <f>IF(D93="","-",+C147+1)</f>
        <v>2062</v>
      </c>
      <c r="D148" s="12">
        <f>IF(F147+SUM(E$99:E147)=D$92,F147,D$92-SUM(E$99:E147))</f>
        <v>0</v>
      </c>
      <c r="E148" s="378">
        <f t="shared" si="62"/>
        <v>0</v>
      </c>
      <c r="F148" s="55">
        <f t="shared" si="63"/>
        <v>0</v>
      </c>
      <c r="G148" s="55">
        <f t="shared" si="64"/>
        <v>0</v>
      </c>
      <c r="H148" s="380">
        <f t="shared" si="65"/>
        <v>0</v>
      </c>
      <c r="I148" s="399">
        <f t="shared" si="66"/>
        <v>0</v>
      </c>
      <c r="J148" s="54">
        <f t="shared" si="40"/>
        <v>0</v>
      </c>
      <c r="K148" s="54"/>
      <c r="L148" s="129"/>
      <c r="M148" s="54">
        <f t="shared" si="68"/>
        <v>0</v>
      </c>
      <c r="N148" s="129"/>
      <c r="O148" s="54">
        <f t="shared" si="69"/>
        <v>0</v>
      </c>
      <c r="P148" s="54">
        <f t="shared" si="70"/>
        <v>0</v>
      </c>
      <c r="Q148" s="1"/>
    </row>
    <row r="149" spans="2:17" ht="12.5">
      <c r="B149" s="7" t="str">
        <f t="shared" si="39"/>
        <v/>
      </c>
      <c r="C149" s="50">
        <f>IF(D93="","-",+C148+1)</f>
        <v>2063</v>
      </c>
      <c r="D149" s="12">
        <f>IF(F148+SUM(E$99:E148)=D$92,F148,D$92-SUM(E$99:E148))</f>
        <v>0</v>
      </c>
      <c r="E149" s="378">
        <f t="shared" si="62"/>
        <v>0</v>
      </c>
      <c r="F149" s="55">
        <f t="shared" si="63"/>
        <v>0</v>
      </c>
      <c r="G149" s="55">
        <f t="shared" si="64"/>
        <v>0</v>
      </c>
      <c r="H149" s="380">
        <f t="shared" si="65"/>
        <v>0</v>
      </c>
      <c r="I149" s="399">
        <f t="shared" si="66"/>
        <v>0</v>
      </c>
      <c r="J149" s="54">
        <f t="shared" si="40"/>
        <v>0</v>
      </c>
      <c r="K149" s="54"/>
      <c r="L149" s="129"/>
      <c r="M149" s="54">
        <f t="shared" si="68"/>
        <v>0</v>
      </c>
      <c r="N149" s="129"/>
      <c r="O149" s="54">
        <f t="shared" si="69"/>
        <v>0</v>
      </c>
      <c r="P149" s="54">
        <f t="shared" si="70"/>
        <v>0</v>
      </c>
      <c r="Q149" s="1"/>
    </row>
    <row r="150" spans="2:17" ht="12.5">
      <c r="B150" s="7" t="str">
        <f t="shared" si="39"/>
        <v/>
      </c>
      <c r="C150" s="50">
        <f>IF(D93="","-",+C149+1)</f>
        <v>2064</v>
      </c>
      <c r="D150" s="12">
        <f>IF(F149+SUM(E$99:E149)=D$92,F149,D$92-SUM(E$99:E149))</f>
        <v>0</v>
      </c>
      <c r="E150" s="378">
        <f t="shared" si="62"/>
        <v>0</v>
      </c>
      <c r="F150" s="55">
        <f t="shared" si="63"/>
        <v>0</v>
      </c>
      <c r="G150" s="55">
        <f t="shared" si="64"/>
        <v>0</v>
      </c>
      <c r="H150" s="380">
        <f t="shared" si="65"/>
        <v>0</v>
      </c>
      <c r="I150" s="399">
        <f t="shared" si="66"/>
        <v>0</v>
      </c>
      <c r="J150" s="54">
        <f t="shared" si="40"/>
        <v>0</v>
      </c>
      <c r="K150" s="54"/>
      <c r="L150" s="129"/>
      <c r="M150" s="54">
        <f t="shared" si="68"/>
        <v>0</v>
      </c>
      <c r="N150" s="129"/>
      <c r="O150" s="54">
        <f t="shared" si="69"/>
        <v>0</v>
      </c>
      <c r="P150" s="54">
        <f t="shared" si="70"/>
        <v>0</v>
      </c>
      <c r="Q150" s="1"/>
    </row>
    <row r="151" spans="2:17" ht="12.5">
      <c r="B151" s="7" t="str">
        <f t="shared" si="39"/>
        <v/>
      </c>
      <c r="C151" s="50">
        <f>IF(D93="","-",+C150+1)</f>
        <v>2065</v>
      </c>
      <c r="D151" s="12">
        <f>IF(F150+SUM(E$99:E150)=D$92,F150,D$92-SUM(E$99:E150))</f>
        <v>0</v>
      </c>
      <c r="E151" s="378">
        <f t="shared" si="62"/>
        <v>0</v>
      </c>
      <c r="F151" s="55">
        <f t="shared" si="63"/>
        <v>0</v>
      </c>
      <c r="G151" s="55">
        <f t="shared" si="64"/>
        <v>0</v>
      </c>
      <c r="H151" s="380">
        <f t="shared" si="65"/>
        <v>0</v>
      </c>
      <c r="I151" s="399">
        <f t="shared" si="66"/>
        <v>0</v>
      </c>
      <c r="J151" s="54">
        <f t="shared" si="40"/>
        <v>0</v>
      </c>
      <c r="K151" s="54"/>
      <c r="L151" s="129"/>
      <c r="M151" s="54">
        <f t="shared" si="68"/>
        <v>0</v>
      </c>
      <c r="N151" s="129"/>
      <c r="O151" s="54">
        <f t="shared" si="69"/>
        <v>0</v>
      </c>
      <c r="P151" s="54">
        <f t="shared" si="70"/>
        <v>0</v>
      </c>
      <c r="Q151" s="1"/>
    </row>
    <row r="152" spans="2:17" ht="12.5">
      <c r="B152" s="7" t="str">
        <f t="shared" si="39"/>
        <v/>
      </c>
      <c r="C152" s="50">
        <f>IF(D93="","-",+C151+1)</f>
        <v>2066</v>
      </c>
      <c r="D152" s="12">
        <f>IF(F151+SUM(E$99:E151)=D$92,F151,D$92-SUM(E$99:E151))</f>
        <v>0</v>
      </c>
      <c r="E152" s="378">
        <f t="shared" si="62"/>
        <v>0</v>
      </c>
      <c r="F152" s="55">
        <f t="shared" si="63"/>
        <v>0</v>
      </c>
      <c r="G152" s="55">
        <f t="shared" si="64"/>
        <v>0</v>
      </c>
      <c r="H152" s="380">
        <f t="shared" si="65"/>
        <v>0</v>
      </c>
      <c r="I152" s="399">
        <f t="shared" si="66"/>
        <v>0</v>
      </c>
      <c r="J152" s="54">
        <f t="shared" si="40"/>
        <v>0</v>
      </c>
      <c r="K152" s="54"/>
      <c r="L152" s="129"/>
      <c r="M152" s="54">
        <f t="shared" si="68"/>
        <v>0</v>
      </c>
      <c r="N152" s="129"/>
      <c r="O152" s="54">
        <f t="shared" si="69"/>
        <v>0</v>
      </c>
      <c r="P152" s="54">
        <f t="shared" si="70"/>
        <v>0</v>
      </c>
      <c r="Q152" s="1"/>
    </row>
    <row r="153" spans="2:17" ht="12.5">
      <c r="B153" s="7" t="str">
        <f t="shared" si="39"/>
        <v/>
      </c>
      <c r="C153" s="50">
        <f>IF(D93="","-",+C152+1)</f>
        <v>2067</v>
      </c>
      <c r="D153" s="12">
        <f>IF(F152+SUM(E$99:E152)=D$92,F152,D$92-SUM(E$99:E152))</f>
        <v>0</v>
      </c>
      <c r="E153" s="378">
        <f t="shared" si="62"/>
        <v>0</v>
      </c>
      <c r="F153" s="55">
        <f t="shared" si="63"/>
        <v>0</v>
      </c>
      <c r="G153" s="55">
        <f t="shared" si="64"/>
        <v>0</v>
      </c>
      <c r="H153" s="380">
        <f t="shared" si="65"/>
        <v>0</v>
      </c>
      <c r="I153" s="399">
        <f t="shared" si="66"/>
        <v>0</v>
      </c>
      <c r="J153" s="54">
        <f t="shared" si="40"/>
        <v>0</v>
      </c>
      <c r="K153" s="54"/>
      <c r="L153" s="129"/>
      <c r="M153" s="54">
        <f t="shared" si="68"/>
        <v>0</v>
      </c>
      <c r="N153" s="129"/>
      <c r="O153" s="54">
        <f t="shared" si="69"/>
        <v>0</v>
      </c>
      <c r="P153" s="54">
        <f t="shared" si="70"/>
        <v>0</v>
      </c>
      <c r="Q153" s="1"/>
    </row>
    <row r="154" spans="2:17" ht="13" thickBot="1">
      <c r="B154" s="7" t="str">
        <f t="shared" si="39"/>
        <v/>
      </c>
      <c r="C154" s="59">
        <f>IF(D93="","-",+C153+1)</f>
        <v>2068</v>
      </c>
      <c r="D154" s="12">
        <f>IF(F153+SUM(E$99:E153)=D$92,F153,D$92-SUM(E$99:E153))</f>
        <v>0</v>
      </c>
      <c r="E154" s="378">
        <f t="shared" si="62"/>
        <v>0</v>
      </c>
      <c r="F154" s="55">
        <f t="shared" si="63"/>
        <v>0</v>
      </c>
      <c r="G154" s="55">
        <f t="shared" si="64"/>
        <v>0</v>
      </c>
      <c r="H154" s="380">
        <f t="shared" si="65"/>
        <v>0</v>
      </c>
      <c r="I154" s="399">
        <f t="shared" si="66"/>
        <v>0</v>
      </c>
      <c r="J154" s="54">
        <f t="shared" si="40"/>
        <v>0</v>
      </c>
      <c r="K154" s="54"/>
      <c r="L154" s="130"/>
      <c r="M154" s="64">
        <f t="shared" si="68"/>
        <v>0</v>
      </c>
      <c r="N154" s="130"/>
      <c r="O154" s="64">
        <f t="shared" si="69"/>
        <v>0</v>
      </c>
      <c r="P154" s="64">
        <f t="shared" si="70"/>
        <v>0</v>
      </c>
      <c r="Q154" s="1"/>
    </row>
    <row r="155" spans="2:17" ht="12.5">
      <c r="C155" s="12" t="s">
        <v>78</v>
      </c>
      <c r="D155" s="293"/>
      <c r="E155" s="293">
        <f>SUM(E99:E154)</f>
        <v>8598827.9999999981</v>
      </c>
      <c r="F155" s="293"/>
      <c r="G155" s="293"/>
      <c r="H155" s="293">
        <f>SUM(H99:H154)</f>
        <v>31417596.415039245</v>
      </c>
      <c r="I155" s="293">
        <f>SUM(I99:I154)</f>
        <v>31417596.415039245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 ht="12.5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 ht="12.5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 ht="13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 ht="13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  <c r="Q162" s="1"/>
    </row>
  </sheetData>
  <conditionalFormatting sqref="C17:C72">
    <cfRule type="cellIs" dxfId="89" priority="1" stopIfTrue="1" operator="equal">
      <formula>$I$10</formula>
    </cfRule>
  </conditionalFormatting>
  <conditionalFormatting sqref="C99:C154">
    <cfRule type="cellIs" dxfId="88" priority="3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85"/>
  <dimension ref="A1:Q162"/>
  <sheetViews>
    <sheetView topLeftCell="A83" zoomScaleNormal="100" zoomScaleSheetLayoutView="75" workbookViewId="0">
      <selection activeCell="D28" sqref="D28:H28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8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35 of 77</v>
      </c>
      <c r="Q1" s="13"/>
    </row>
    <row r="2" spans="1:17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7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482505.9542817038</v>
      </c>
      <c r="P5" s="1"/>
    </row>
    <row r="6" spans="1:17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482505.9542817038</v>
      </c>
      <c r="O6" s="1"/>
      <c r="P6" s="1"/>
    </row>
    <row r="7" spans="1:17" ht="13.5" thickBot="1">
      <c r="C7" s="25" t="s">
        <v>48</v>
      </c>
      <c r="D7" s="90" t="s">
        <v>298</v>
      </c>
      <c r="E7" s="406"/>
      <c r="F7" s="406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300</v>
      </c>
      <c r="E9" s="31" t="s">
        <v>494</v>
      </c>
      <c r="F9" s="462">
        <v>30316</v>
      </c>
      <c r="G9" s="31"/>
      <c r="H9" s="31"/>
      <c r="I9" s="32"/>
      <c r="J9" s="33"/>
      <c r="P9" s="1"/>
    </row>
    <row r="10" spans="1:17" ht="13">
      <c r="C10" s="34" t="s">
        <v>51</v>
      </c>
      <c r="D10" s="363">
        <v>4344850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7" ht="12.5">
      <c r="C11" s="34" t="s">
        <v>54</v>
      </c>
      <c r="D11" s="37">
        <v>2013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3">
        <v>6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98746.590909090912</v>
      </c>
      <c r="J14" s="293"/>
      <c r="K14" s="293"/>
      <c r="L14" s="293"/>
      <c r="M14" s="293"/>
      <c r="N14" s="293"/>
      <c r="O14" s="1"/>
      <c r="P14" s="1"/>
    </row>
    <row r="15" spans="1:17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2013</v>
      </c>
      <c r="D17" s="426">
        <v>3795000</v>
      </c>
      <c r="E17" s="427">
        <v>45178.571428571428</v>
      </c>
      <c r="F17" s="426">
        <v>3749821.4285714286</v>
      </c>
      <c r="G17" s="427">
        <v>570105.1315196018</v>
      </c>
      <c r="H17" s="421">
        <v>570105.1315196018</v>
      </c>
      <c r="I17" s="423">
        <v>0</v>
      </c>
      <c r="J17" s="52"/>
      <c r="K17" s="112">
        <f t="shared" ref="K17:K22" si="0">G17</f>
        <v>570105.1315196018</v>
      </c>
      <c r="L17" s="53">
        <f t="shared" ref="L17:L22" si="1">IF(K17&lt;&gt;0,+G17-K17,0)</f>
        <v>0</v>
      </c>
      <c r="M17" s="112">
        <f t="shared" ref="M17:M22" si="2">H17</f>
        <v>570105.1315196018</v>
      </c>
      <c r="N17" s="53">
        <f t="shared" ref="N17:N22" si="3">IF(M17&lt;&gt;0,+H17-M17,0)</f>
        <v>0</v>
      </c>
      <c r="O17" s="54">
        <f t="shared" ref="O17:O22" si="4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2014</v>
      </c>
      <c r="D18" s="426">
        <v>3749821.4285714286</v>
      </c>
      <c r="E18" s="420">
        <v>103448.73809523809</v>
      </c>
      <c r="F18" s="426">
        <v>3646372.6904761908</v>
      </c>
      <c r="G18" s="420">
        <v>595382.73103628133</v>
      </c>
      <c r="H18" s="421">
        <v>595382.73103628133</v>
      </c>
      <c r="I18" s="423">
        <v>0</v>
      </c>
      <c r="J18" s="52"/>
      <c r="K18" s="113">
        <f t="shared" si="0"/>
        <v>595382.73103628133</v>
      </c>
      <c r="L18" s="54">
        <f t="shared" si="1"/>
        <v>0</v>
      </c>
      <c r="M18" s="113">
        <f t="shared" si="2"/>
        <v>595382.73103628133</v>
      </c>
      <c r="N18" s="54">
        <f t="shared" si="3"/>
        <v>0</v>
      </c>
      <c r="O18" s="54">
        <f t="shared" si="4"/>
        <v>0</v>
      </c>
      <c r="P18" s="1"/>
    </row>
    <row r="19" spans="2:16" ht="12.5">
      <c r="B19" s="7" t="str">
        <f>IF(D19=F18,"","IU")</f>
        <v/>
      </c>
      <c r="C19" s="50">
        <f>IF(D11="","-",+C18+1)</f>
        <v>2015</v>
      </c>
      <c r="D19" s="426">
        <v>3646372.6904761908</v>
      </c>
      <c r="E19" s="420">
        <v>103448.80952380953</v>
      </c>
      <c r="F19" s="426">
        <v>3542923.8809523811</v>
      </c>
      <c r="G19" s="420">
        <v>570068.89413461182</v>
      </c>
      <c r="H19" s="421">
        <v>570068.89413461182</v>
      </c>
      <c r="I19" s="52">
        <v>0</v>
      </c>
      <c r="J19" s="52"/>
      <c r="K19" s="113">
        <f t="shared" si="0"/>
        <v>570068.89413461182</v>
      </c>
      <c r="L19" s="54">
        <f t="shared" si="1"/>
        <v>0</v>
      </c>
      <c r="M19" s="113">
        <f t="shared" si="2"/>
        <v>570068.89413461182</v>
      </c>
      <c r="N19" s="54">
        <f t="shared" si="3"/>
        <v>0</v>
      </c>
      <c r="O19" s="54">
        <f t="shared" si="4"/>
        <v>0</v>
      </c>
      <c r="P19" s="1"/>
    </row>
    <row r="20" spans="2:16" ht="12.5">
      <c r="B20" s="7" t="str">
        <f t="shared" ref="B20:B72" si="5">IF(D20=F19,"","IU")</f>
        <v>IU</v>
      </c>
      <c r="C20" s="50">
        <f>IF(D11="","-",+C19+1)</f>
        <v>2016</v>
      </c>
      <c r="D20" s="426">
        <v>4092773.8809523811</v>
      </c>
      <c r="E20" s="420">
        <v>103448.80952380953</v>
      </c>
      <c r="F20" s="426">
        <v>3989325.0714285714</v>
      </c>
      <c r="G20" s="420">
        <v>628862.07408133126</v>
      </c>
      <c r="H20" s="421">
        <v>628862.07408133126</v>
      </c>
      <c r="I20" s="52">
        <v>0</v>
      </c>
      <c r="J20" s="52"/>
      <c r="K20" s="113">
        <f t="shared" si="0"/>
        <v>628862.07408133126</v>
      </c>
      <c r="L20" s="54">
        <f t="shared" si="1"/>
        <v>0</v>
      </c>
      <c r="M20" s="113">
        <f t="shared" si="2"/>
        <v>628862.07408133126</v>
      </c>
      <c r="N20" s="54">
        <f t="shared" si="3"/>
        <v>0</v>
      </c>
      <c r="O20" s="54">
        <f t="shared" si="4"/>
        <v>0</v>
      </c>
      <c r="P20" s="1"/>
    </row>
    <row r="21" spans="2:16" ht="12.5">
      <c r="B21" s="7" t="str">
        <f t="shared" si="5"/>
        <v/>
      </c>
      <c r="C21" s="50">
        <f>IF(D11="","-",+C20+1)</f>
        <v>2017</v>
      </c>
      <c r="D21" s="426">
        <v>3989325.0714285714</v>
      </c>
      <c r="E21" s="420">
        <v>101043.02325581395</v>
      </c>
      <c r="F21" s="426">
        <v>3888282.0481727575</v>
      </c>
      <c r="G21" s="420">
        <v>589031.37569687236</v>
      </c>
      <c r="H21" s="421">
        <v>589031.37569687236</v>
      </c>
      <c r="I21" s="52">
        <f t="shared" ref="I21:I72" si="6">H21-G21</f>
        <v>0</v>
      </c>
      <c r="J21" s="52"/>
      <c r="K21" s="113">
        <f t="shared" si="0"/>
        <v>589031.37569687236</v>
      </c>
      <c r="L21" s="54">
        <f t="shared" si="1"/>
        <v>0</v>
      </c>
      <c r="M21" s="113">
        <f t="shared" si="2"/>
        <v>589031.37569687236</v>
      </c>
      <c r="N21" s="54">
        <f t="shared" si="3"/>
        <v>0</v>
      </c>
      <c r="O21" s="54">
        <f t="shared" si="4"/>
        <v>0</v>
      </c>
      <c r="P21" s="1"/>
    </row>
    <row r="22" spans="2:16" ht="12.5">
      <c r="B22" s="7" t="str">
        <f t="shared" si="5"/>
        <v/>
      </c>
      <c r="C22" s="50">
        <f>IF(D11="","-",+C21+1)</f>
        <v>2018</v>
      </c>
      <c r="D22" s="426">
        <v>3888282.0481727575</v>
      </c>
      <c r="E22" s="420">
        <v>105971.95121951219</v>
      </c>
      <c r="F22" s="426">
        <v>3782310.0969532453</v>
      </c>
      <c r="G22" s="420">
        <v>593415.44968499895</v>
      </c>
      <c r="H22" s="421">
        <v>593415.44968499895</v>
      </c>
      <c r="I22" s="52">
        <f t="shared" si="6"/>
        <v>0</v>
      </c>
      <c r="J22" s="52"/>
      <c r="K22" s="113">
        <f t="shared" si="0"/>
        <v>593415.44968499895</v>
      </c>
      <c r="L22" s="54">
        <f t="shared" si="1"/>
        <v>0</v>
      </c>
      <c r="M22" s="113">
        <f t="shared" si="2"/>
        <v>593415.44968499895</v>
      </c>
      <c r="N22" s="54">
        <f t="shared" si="3"/>
        <v>0</v>
      </c>
      <c r="O22" s="54">
        <f t="shared" si="4"/>
        <v>0</v>
      </c>
      <c r="P22" s="1"/>
    </row>
    <row r="23" spans="2:16" ht="12.5">
      <c r="B23" s="7" t="str">
        <f t="shared" si="5"/>
        <v/>
      </c>
      <c r="C23" s="50">
        <f>IF(D11="","-",+C22+1)</f>
        <v>2019</v>
      </c>
      <c r="D23" s="426">
        <v>3782310.0969532453</v>
      </c>
      <c r="E23" s="420">
        <v>105971.95121951219</v>
      </c>
      <c r="F23" s="426">
        <v>3676338.1457337332</v>
      </c>
      <c r="G23" s="420">
        <v>579947.04003308562</v>
      </c>
      <c r="H23" s="421">
        <v>579947.04003308562</v>
      </c>
      <c r="I23" s="52">
        <f t="shared" si="6"/>
        <v>0</v>
      </c>
      <c r="J23" s="52"/>
      <c r="K23" s="113">
        <f t="shared" ref="K23" si="7">G23</f>
        <v>579947.04003308562</v>
      </c>
      <c r="L23" s="54">
        <f t="shared" ref="L23" si="8">IF(K23&lt;&gt;0,+G23-K23,0)</f>
        <v>0</v>
      </c>
      <c r="M23" s="113">
        <f t="shared" ref="M23" si="9">H23</f>
        <v>579947.04003308562</v>
      </c>
      <c r="N23" s="54">
        <f t="shared" ref="N23:N72" si="10">IF(M23&lt;&gt;0,+H23-M23,0)</f>
        <v>0</v>
      </c>
      <c r="O23" s="54">
        <f t="shared" ref="O23:O72" si="11">+N23-L23</f>
        <v>0</v>
      </c>
      <c r="P23" s="1"/>
    </row>
    <row r="24" spans="2:16" ht="12.5">
      <c r="B24" s="7" t="str">
        <f t="shared" si="5"/>
        <v/>
      </c>
      <c r="C24" s="50">
        <f>IF(D11="","-",+C23+1)</f>
        <v>2020</v>
      </c>
      <c r="D24" s="426">
        <v>3676338.1457337332</v>
      </c>
      <c r="E24" s="420">
        <v>105971.95121951219</v>
      </c>
      <c r="F24" s="426">
        <v>3570366.194514221</v>
      </c>
      <c r="G24" s="420">
        <v>476769.34521357011</v>
      </c>
      <c r="H24" s="421">
        <v>476769.34521357011</v>
      </c>
      <c r="I24" s="52">
        <f t="shared" si="6"/>
        <v>0</v>
      </c>
      <c r="J24" s="52"/>
      <c r="K24" s="113">
        <f t="shared" ref="K24" si="12">G24</f>
        <v>476769.34521357011</v>
      </c>
      <c r="L24" s="54">
        <f t="shared" ref="L24" si="13">IF(K24&lt;&gt;0,+G24-K24,0)</f>
        <v>0</v>
      </c>
      <c r="M24" s="113">
        <f t="shared" ref="M24" si="14">H24</f>
        <v>476769.34521357011</v>
      </c>
      <c r="N24" s="54">
        <f t="shared" si="10"/>
        <v>0</v>
      </c>
      <c r="O24" s="54">
        <f t="shared" si="11"/>
        <v>0</v>
      </c>
      <c r="P24" s="1"/>
    </row>
    <row r="25" spans="2:16" ht="12.5">
      <c r="B25" s="7" t="str">
        <f t="shared" si="5"/>
        <v>IU</v>
      </c>
      <c r="C25" s="50">
        <f>IF(D11="","-",+C24+1)</f>
        <v>2021</v>
      </c>
      <c r="D25" s="426">
        <v>3575295.1224779193</v>
      </c>
      <c r="E25" s="420">
        <v>103448.80952380953</v>
      </c>
      <c r="F25" s="426">
        <v>3471846.3129541096</v>
      </c>
      <c r="G25" s="420">
        <v>476963.32038080104</v>
      </c>
      <c r="H25" s="421">
        <v>476963.32038080104</v>
      </c>
      <c r="I25" s="52">
        <f t="shared" si="6"/>
        <v>0</v>
      </c>
      <c r="J25" s="52"/>
      <c r="K25" s="113">
        <f t="shared" ref="K25" si="15">G25</f>
        <v>476963.32038080104</v>
      </c>
      <c r="L25" s="54">
        <f t="shared" ref="L25" si="16">IF(K25&lt;&gt;0,+G25-K25,0)</f>
        <v>0</v>
      </c>
      <c r="M25" s="113">
        <f t="shared" ref="M25" si="17">H25</f>
        <v>476963.32038080104</v>
      </c>
      <c r="N25" s="54">
        <f t="shared" si="10"/>
        <v>0</v>
      </c>
      <c r="O25" s="54">
        <f t="shared" si="11"/>
        <v>0</v>
      </c>
      <c r="P25" s="1"/>
    </row>
    <row r="26" spans="2:16" ht="12.5">
      <c r="B26" s="7" t="str">
        <f t="shared" si="5"/>
        <v>IU</v>
      </c>
      <c r="C26" s="50">
        <f>IF(D11="","-",+C25+1)</f>
        <v>2022</v>
      </c>
      <c r="D26" s="426">
        <v>3466917.3849904118</v>
      </c>
      <c r="E26" s="420">
        <v>103448.80952380953</v>
      </c>
      <c r="F26" s="426">
        <v>3363468.5754666021</v>
      </c>
      <c r="G26" s="420">
        <v>487467.09986700577</v>
      </c>
      <c r="H26" s="421">
        <v>487467.09986700577</v>
      </c>
      <c r="I26" s="52">
        <f t="shared" si="6"/>
        <v>0</v>
      </c>
      <c r="J26" s="52"/>
      <c r="K26" s="113">
        <f t="shared" ref="K26" si="18">G26</f>
        <v>487467.09986700577</v>
      </c>
      <c r="L26" s="54">
        <f t="shared" ref="L26" si="19">IF(K26&lt;&gt;0,+G26-K26,0)</f>
        <v>0</v>
      </c>
      <c r="M26" s="113">
        <f t="shared" ref="M26" si="20">H26</f>
        <v>487467.09986700577</v>
      </c>
      <c r="N26" s="54">
        <f t="shared" si="10"/>
        <v>0</v>
      </c>
      <c r="O26" s="54">
        <f t="shared" si="11"/>
        <v>0</v>
      </c>
      <c r="P26" s="1"/>
    </row>
    <row r="27" spans="2:16" ht="12.5">
      <c r="B27" s="7" t="str">
        <f t="shared" si="5"/>
        <v/>
      </c>
      <c r="C27" s="50">
        <f>IF(D11="","-",+C26+1)</f>
        <v>2023</v>
      </c>
      <c r="D27" s="426">
        <v>3363468.5754666021</v>
      </c>
      <c r="E27" s="420">
        <v>103448.80952380953</v>
      </c>
      <c r="F27" s="426">
        <v>3260019.7659427924</v>
      </c>
      <c r="G27" s="420">
        <v>521810.81321918749</v>
      </c>
      <c r="H27" s="421">
        <v>521810.81321918749</v>
      </c>
      <c r="I27" s="52">
        <f t="shared" si="6"/>
        <v>0</v>
      </c>
      <c r="J27" s="52"/>
      <c r="K27" s="113">
        <f t="shared" ref="K27" si="21">G27</f>
        <v>521810.81321918749</v>
      </c>
      <c r="L27" s="54">
        <f t="shared" ref="L27" si="22">IF(K27&lt;&gt;0,+G27-K27,0)</f>
        <v>0</v>
      </c>
      <c r="M27" s="113">
        <f t="shared" ref="M27" si="23">H27</f>
        <v>521810.81321918749</v>
      </c>
      <c r="N27" s="54">
        <f t="shared" si="10"/>
        <v>0</v>
      </c>
      <c r="O27" s="54">
        <f t="shared" si="11"/>
        <v>0</v>
      </c>
      <c r="P27" s="1"/>
    </row>
    <row r="28" spans="2:16" ht="12.5">
      <c r="B28" s="7" t="str">
        <f t="shared" si="5"/>
        <v/>
      </c>
      <c r="C28" s="50">
        <f>IF(D11="","-",+C27+1)</f>
        <v>2024</v>
      </c>
      <c r="D28" s="426">
        <v>3260019.7659427924</v>
      </c>
      <c r="E28" s="420">
        <v>98746.590909090912</v>
      </c>
      <c r="F28" s="426">
        <v>3161273.1750337016</v>
      </c>
      <c r="G28" s="420">
        <v>482505.9542817038</v>
      </c>
      <c r="H28" s="421">
        <v>482505.9542817038</v>
      </c>
      <c r="I28" s="52">
        <f t="shared" si="6"/>
        <v>0</v>
      </c>
      <c r="J28" s="52"/>
      <c r="K28" s="113">
        <f t="shared" ref="K28" si="24">G28</f>
        <v>482505.9542817038</v>
      </c>
      <c r="L28" s="54">
        <f t="shared" ref="L28" si="25">IF(K28&lt;&gt;0,+G28-K28,0)</f>
        <v>0</v>
      </c>
      <c r="M28" s="113">
        <f t="shared" ref="M28" si="26">H28</f>
        <v>482505.9542817038</v>
      </c>
      <c r="N28" s="54">
        <f t="shared" ref="N28" si="27">IF(M28&lt;&gt;0,+H28-M28,0)</f>
        <v>0</v>
      </c>
      <c r="O28" s="54">
        <f t="shared" ref="O28" si="28">+N28-L28</f>
        <v>0</v>
      </c>
      <c r="P28" s="1"/>
    </row>
    <row r="29" spans="2:16" ht="12.5">
      <c r="B29" s="7" t="str">
        <f t="shared" si="5"/>
        <v/>
      </c>
      <c r="C29" s="50">
        <f>IF(D11="","-",+C28+1)</f>
        <v>2025</v>
      </c>
      <c r="D29" s="55">
        <f>IF(F28+SUM(E$17:E28)=D$10,F28,D$10-SUM(E$17:E28))</f>
        <v>3161273.1750337016</v>
      </c>
      <c r="E29" s="378">
        <f t="shared" ref="E29:E72" si="29">IF(+$I$14&lt;F28,$I$14,D29)</f>
        <v>98746.590909090912</v>
      </c>
      <c r="F29" s="55">
        <f t="shared" ref="F29:F72" si="30">+D29-E29</f>
        <v>3062526.5841246108</v>
      </c>
      <c r="G29" s="379">
        <f t="shared" ref="G29:G52" si="31">+I$12*((D29+F29)/2)+E29</f>
        <v>470703.0575097258</v>
      </c>
      <c r="H29" s="364">
        <f t="shared" ref="H29:H52" si="32">+I$13*((D29+F29)/2)+E29</f>
        <v>470703.0575097258</v>
      </c>
      <c r="I29" s="52">
        <f t="shared" si="6"/>
        <v>0</v>
      </c>
      <c r="J29" s="52"/>
      <c r="K29" s="129"/>
      <c r="L29" s="54">
        <f t="shared" ref="L29:L72" si="33">IF(K29&lt;&gt;0,+G29-K29,0)</f>
        <v>0</v>
      </c>
      <c r="M29" s="129"/>
      <c r="N29" s="54">
        <f t="shared" si="10"/>
        <v>0</v>
      </c>
      <c r="O29" s="54">
        <f t="shared" si="11"/>
        <v>0</v>
      </c>
      <c r="P29" s="1"/>
    </row>
    <row r="30" spans="2:16" ht="12.5">
      <c r="B30" s="7" t="str">
        <f t="shared" si="5"/>
        <v/>
      </c>
      <c r="C30" s="50">
        <f>IF(D11="","-",+C29+1)</f>
        <v>2026</v>
      </c>
      <c r="D30" s="55">
        <f>IF(F29+SUM(E$17:E29)=D$10,F29,D$10-SUM(E$17:E29))</f>
        <v>3062526.5841246108</v>
      </c>
      <c r="E30" s="378">
        <f t="shared" si="29"/>
        <v>98746.590909090912</v>
      </c>
      <c r="F30" s="55">
        <f t="shared" si="30"/>
        <v>2963779.9932155199</v>
      </c>
      <c r="G30" s="379">
        <f t="shared" si="31"/>
        <v>458900.16073774768</v>
      </c>
      <c r="H30" s="364">
        <f t="shared" si="32"/>
        <v>458900.16073774768</v>
      </c>
      <c r="I30" s="52">
        <f t="shared" si="6"/>
        <v>0</v>
      </c>
      <c r="J30" s="52"/>
      <c r="K30" s="129"/>
      <c r="L30" s="54">
        <f t="shared" si="33"/>
        <v>0</v>
      </c>
      <c r="M30" s="129"/>
      <c r="N30" s="54">
        <f t="shared" si="10"/>
        <v>0</v>
      </c>
      <c r="O30" s="54">
        <f t="shared" si="11"/>
        <v>0</v>
      </c>
      <c r="P30" s="1"/>
    </row>
    <row r="31" spans="2:16" ht="12.5">
      <c r="B31" s="7" t="str">
        <f t="shared" si="5"/>
        <v/>
      </c>
      <c r="C31" s="50">
        <f>IF(D11="","-",+C30+1)</f>
        <v>2027</v>
      </c>
      <c r="D31" s="55">
        <f>IF(F30+SUM(E$17:E30)=D$10,F30,D$10-SUM(E$17:E30))</f>
        <v>2963779.9932155199</v>
      </c>
      <c r="E31" s="378">
        <f t="shared" si="29"/>
        <v>98746.590909090912</v>
      </c>
      <c r="F31" s="55">
        <f t="shared" si="30"/>
        <v>2865033.4023064291</v>
      </c>
      <c r="G31" s="379">
        <f t="shared" si="31"/>
        <v>447097.26396576955</v>
      </c>
      <c r="H31" s="364">
        <f t="shared" si="32"/>
        <v>447097.26396576955</v>
      </c>
      <c r="I31" s="52">
        <f t="shared" si="6"/>
        <v>0</v>
      </c>
      <c r="J31" s="52"/>
      <c r="K31" s="129"/>
      <c r="L31" s="54">
        <f t="shared" si="33"/>
        <v>0</v>
      </c>
      <c r="M31" s="129"/>
      <c r="N31" s="54">
        <f t="shared" si="10"/>
        <v>0</v>
      </c>
      <c r="O31" s="54">
        <f t="shared" si="11"/>
        <v>0</v>
      </c>
      <c r="P31" s="1"/>
    </row>
    <row r="32" spans="2:16" ht="12.5">
      <c r="B32" s="7" t="str">
        <f t="shared" si="5"/>
        <v/>
      </c>
      <c r="C32" s="50">
        <f>IF(D11="","-",+C31+1)</f>
        <v>2028</v>
      </c>
      <c r="D32" s="55">
        <f>IF(F31+SUM(E$17:E31)=D$10,F31,D$10-SUM(E$17:E31))</f>
        <v>2865033.4023064291</v>
      </c>
      <c r="E32" s="378">
        <f t="shared" si="29"/>
        <v>98746.590909090912</v>
      </c>
      <c r="F32" s="55">
        <f t="shared" si="30"/>
        <v>2766286.8113973383</v>
      </c>
      <c r="G32" s="379">
        <f t="shared" si="31"/>
        <v>435294.36719379155</v>
      </c>
      <c r="H32" s="364">
        <f t="shared" si="32"/>
        <v>435294.36719379155</v>
      </c>
      <c r="I32" s="52">
        <f t="shared" si="6"/>
        <v>0</v>
      </c>
      <c r="J32" s="52"/>
      <c r="K32" s="129"/>
      <c r="L32" s="54">
        <f t="shared" si="33"/>
        <v>0</v>
      </c>
      <c r="M32" s="129"/>
      <c r="N32" s="54">
        <f t="shared" si="10"/>
        <v>0</v>
      </c>
      <c r="O32" s="54">
        <f t="shared" si="11"/>
        <v>0</v>
      </c>
      <c r="P32" s="1"/>
    </row>
    <row r="33" spans="2:16" ht="12.5">
      <c r="B33" s="7" t="str">
        <f t="shared" si="5"/>
        <v/>
      </c>
      <c r="C33" s="50">
        <f>IF(D11="","-",+C32+1)</f>
        <v>2029</v>
      </c>
      <c r="D33" s="55">
        <f>IF(F32+SUM(E$17:E32)=D$10,F32,D$10-SUM(E$17:E32))</f>
        <v>2766286.8113973383</v>
      </c>
      <c r="E33" s="378">
        <f t="shared" si="29"/>
        <v>98746.590909090912</v>
      </c>
      <c r="F33" s="55">
        <f t="shared" si="30"/>
        <v>2667540.2204882475</v>
      </c>
      <c r="G33" s="379">
        <f t="shared" si="31"/>
        <v>423491.47042181343</v>
      </c>
      <c r="H33" s="364">
        <f t="shared" si="32"/>
        <v>423491.47042181343</v>
      </c>
      <c r="I33" s="52">
        <f t="shared" si="6"/>
        <v>0</v>
      </c>
      <c r="J33" s="52"/>
      <c r="K33" s="129"/>
      <c r="L33" s="54">
        <f t="shared" si="33"/>
        <v>0</v>
      </c>
      <c r="M33" s="129"/>
      <c r="N33" s="54">
        <f t="shared" si="10"/>
        <v>0</v>
      </c>
      <c r="O33" s="54">
        <f t="shared" si="11"/>
        <v>0</v>
      </c>
      <c r="P33" s="1"/>
    </row>
    <row r="34" spans="2:16" ht="12.5">
      <c r="B34" s="7" t="str">
        <f t="shared" si="5"/>
        <v/>
      </c>
      <c r="C34" s="50">
        <f>IF(D11="","-",+C33+1)</f>
        <v>2030</v>
      </c>
      <c r="D34" s="55">
        <f>IF(F33+SUM(E$17:E33)=D$10,F33,D$10-SUM(E$17:E33))</f>
        <v>2667540.2204882475</v>
      </c>
      <c r="E34" s="378">
        <f t="shared" si="29"/>
        <v>98746.590909090912</v>
      </c>
      <c r="F34" s="55">
        <f t="shared" si="30"/>
        <v>2568793.6295791566</v>
      </c>
      <c r="G34" s="379">
        <f t="shared" si="31"/>
        <v>411688.57364983542</v>
      </c>
      <c r="H34" s="364">
        <f t="shared" si="32"/>
        <v>411688.57364983542</v>
      </c>
      <c r="I34" s="52">
        <f t="shared" si="6"/>
        <v>0</v>
      </c>
      <c r="J34" s="52"/>
      <c r="K34" s="129"/>
      <c r="L34" s="54">
        <f t="shared" si="33"/>
        <v>0</v>
      </c>
      <c r="M34" s="129"/>
      <c r="N34" s="54">
        <f t="shared" si="10"/>
        <v>0</v>
      </c>
      <c r="O34" s="54">
        <f t="shared" si="11"/>
        <v>0</v>
      </c>
      <c r="P34" s="1"/>
    </row>
    <row r="35" spans="2:16" ht="12.5">
      <c r="B35" s="7" t="str">
        <f t="shared" si="5"/>
        <v/>
      </c>
      <c r="C35" s="50">
        <f>IF(D11="","-",+C34+1)</f>
        <v>2031</v>
      </c>
      <c r="D35" s="55">
        <f>IF(F34+SUM(E$17:E34)=D$10,F34,D$10-SUM(E$17:E34))</f>
        <v>2568793.6295791566</v>
      </c>
      <c r="E35" s="378">
        <f t="shared" si="29"/>
        <v>98746.590909090912</v>
      </c>
      <c r="F35" s="55">
        <f t="shared" si="30"/>
        <v>2470047.0386700658</v>
      </c>
      <c r="G35" s="379">
        <f t="shared" si="31"/>
        <v>399885.6768778573</v>
      </c>
      <c r="H35" s="364">
        <f t="shared" si="32"/>
        <v>399885.6768778573</v>
      </c>
      <c r="I35" s="52">
        <f t="shared" si="6"/>
        <v>0</v>
      </c>
      <c r="J35" s="52"/>
      <c r="K35" s="129"/>
      <c r="L35" s="54">
        <f t="shared" si="33"/>
        <v>0</v>
      </c>
      <c r="M35" s="129"/>
      <c r="N35" s="54">
        <f t="shared" si="10"/>
        <v>0</v>
      </c>
      <c r="O35" s="54">
        <f t="shared" si="11"/>
        <v>0</v>
      </c>
      <c r="P35" s="1"/>
    </row>
    <row r="36" spans="2:16" ht="12.5">
      <c r="B36" s="7" t="str">
        <f t="shared" si="5"/>
        <v/>
      </c>
      <c r="C36" s="50">
        <f>IF(D11="","-",+C35+1)</f>
        <v>2032</v>
      </c>
      <c r="D36" s="55">
        <f>IF(F35+SUM(E$17:E35)=D$10,F35,D$10-SUM(E$17:E35))</f>
        <v>2470047.0386700658</v>
      </c>
      <c r="E36" s="378">
        <f t="shared" si="29"/>
        <v>98746.590909090912</v>
      </c>
      <c r="F36" s="55">
        <f t="shared" si="30"/>
        <v>2371300.447760975</v>
      </c>
      <c r="G36" s="379">
        <f t="shared" si="31"/>
        <v>388082.78010587918</v>
      </c>
      <c r="H36" s="364">
        <f t="shared" si="32"/>
        <v>388082.78010587918</v>
      </c>
      <c r="I36" s="52">
        <f t="shared" si="6"/>
        <v>0</v>
      </c>
      <c r="J36" s="52"/>
      <c r="K36" s="129"/>
      <c r="L36" s="54">
        <f t="shared" si="33"/>
        <v>0</v>
      </c>
      <c r="M36" s="129"/>
      <c r="N36" s="54">
        <f t="shared" si="10"/>
        <v>0</v>
      </c>
      <c r="O36" s="54">
        <f t="shared" si="11"/>
        <v>0</v>
      </c>
      <c r="P36" s="1"/>
    </row>
    <row r="37" spans="2:16" ht="12.5">
      <c r="B37" s="7" t="str">
        <f t="shared" si="5"/>
        <v/>
      </c>
      <c r="C37" s="50">
        <f>IF(D11="","-",+C36+1)</f>
        <v>2033</v>
      </c>
      <c r="D37" s="55">
        <f>IF(F36+SUM(E$17:E36)=D$10,F36,D$10-SUM(E$17:E36))</f>
        <v>2371300.447760975</v>
      </c>
      <c r="E37" s="378">
        <f t="shared" si="29"/>
        <v>98746.590909090912</v>
      </c>
      <c r="F37" s="55">
        <f t="shared" si="30"/>
        <v>2272553.8568518842</v>
      </c>
      <c r="G37" s="379">
        <f t="shared" si="31"/>
        <v>376279.88333390118</v>
      </c>
      <c r="H37" s="364">
        <f t="shared" si="32"/>
        <v>376279.88333390118</v>
      </c>
      <c r="I37" s="52">
        <f t="shared" si="6"/>
        <v>0</v>
      </c>
      <c r="J37" s="52"/>
      <c r="K37" s="129"/>
      <c r="L37" s="54">
        <f t="shared" si="33"/>
        <v>0</v>
      </c>
      <c r="M37" s="129"/>
      <c r="N37" s="54">
        <f t="shared" si="10"/>
        <v>0</v>
      </c>
      <c r="O37" s="54">
        <f t="shared" si="11"/>
        <v>0</v>
      </c>
      <c r="P37" s="1"/>
    </row>
    <row r="38" spans="2:16" ht="12.5">
      <c r="B38" s="7" t="str">
        <f t="shared" si="5"/>
        <v/>
      </c>
      <c r="C38" s="50">
        <f>IF(D11="","-",+C37+1)</f>
        <v>2034</v>
      </c>
      <c r="D38" s="55">
        <f>IF(F37+SUM(E$17:E37)=D$10,F37,D$10-SUM(E$17:E37))</f>
        <v>2272553.8568518842</v>
      </c>
      <c r="E38" s="378">
        <f t="shared" si="29"/>
        <v>98746.590909090912</v>
      </c>
      <c r="F38" s="55">
        <f t="shared" si="30"/>
        <v>2173807.2659427933</v>
      </c>
      <c r="G38" s="379">
        <f t="shared" si="31"/>
        <v>364476.98656192305</v>
      </c>
      <c r="H38" s="364">
        <f t="shared" si="32"/>
        <v>364476.98656192305</v>
      </c>
      <c r="I38" s="52">
        <f t="shared" si="6"/>
        <v>0</v>
      </c>
      <c r="J38" s="52"/>
      <c r="K38" s="129"/>
      <c r="L38" s="54">
        <f t="shared" si="33"/>
        <v>0</v>
      </c>
      <c r="M38" s="129"/>
      <c r="N38" s="54">
        <f t="shared" si="10"/>
        <v>0</v>
      </c>
      <c r="O38" s="54">
        <f t="shared" si="11"/>
        <v>0</v>
      </c>
      <c r="P38" s="1"/>
    </row>
    <row r="39" spans="2:16" ht="12.5">
      <c r="B39" s="7" t="str">
        <f t="shared" si="5"/>
        <v/>
      </c>
      <c r="C39" s="50">
        <f>IF(D11="","-",+C38+1)</f>
        <v>2035</v>
      </c>
      <c r="D39" s="55">
        <f>IF(F38+SUM(E$17:E38)=D$10,F38,D$10-SUM(E$17:E38))</f>
        <v>2173807.2659427933</v>
      </c>
      <c r="E39" s="378">
        <f t="shared" si="29"/>
        <v>98746.590909090912</v>
      </c>
      <c r="F39" s="55">
        <f t="shared" si="30"/>
        <v>2075060.6750337025</v>
      </c>
      <c r="G39" s="379">
        <f t="shared" si="31"/>
        <v>352674.08978994493</v>
      </c>
      <c r="H39" s="364">
        <f t="shared" si="32"/>
        <v>352674.08978994493</v>
      </c>
      <c r="I39" s="52">
        <f t="shared" si="6"/>
        <v>0</v>
      </c>
      <c r="J39" s="52"/>
      <c r="K39" s="129"/>
      <c r="L39" s="54">
        <f t="shared" si="33"/>
        <v>0</v>
      </c>
      <c r="M39" s="129"/>
      <c r="N39" s="54">
        <f t="shared" si="10"/>
        <v>0</v>
      </c>
      <c r="O39" s="54">
        <f t="shared" si="11"/>
        <v>0</v>
      </c>
      <c r="P39" s="1"/>
    </row>
    <row r="40" spans="2:16" ht="12.5">
      <c r="B40" s="7" t="str">
        <f t="shared" si="5"/>
        <v/>
      </c>
      <c r="C40" s="50">
        <f>IF(D11="","-",+C39+1)</f>
        <v>2036</v>
      </c>
      <c r="D40" s="55">
        <f>IF(F39+SUM(E$17:E39)=D$10,F39,D$10-SUM(E$17:E39))</f>
        <v>2075060.6750337025</v>
      </c>
      <c r="E40" s="378">
        <f t="shared" si="29"/>
        <v>98746.590909090912</v>
      </c>
      <c r="F40" s="55">
        <f t="shared" si="30"/>
        <v>1976314.0841246117</v>
      </c>
      <c r="G40" s="379">
        <f t="shared" si="31"/>
        <v>340871.19301796693</v>
      </c>
      <c r="H40" s="364">
        <f t="shared" si="32"/>
        <v>340871.19301796693</v>
      </c>
      <c r="I40" s="52">
        <f t="shared" si="6"/>
        <v>0</v>
      </c>
      <c r="J40" s="52"/>
      <c r="K40" s="129"/>
      <c r="L40" s="54">
        <f t="shared" si="33"/>
        <v>0</v>
      </c>
      <c r="M40" s="129"/>
      <c r="N40" s="54">
        <f t="shared" si="10"/>
        <v>0</v>
      </c>
      <c r="O40" s="54">
        <f t="shared" si="11"/>
        <v>0</v>
      </c>
      <c r="P40" s="1"/>
    </row>
    <row r="41" spans="2:16" ht="12.5">
      <c r="B41" s="7" t="str">
        <f t="shared" si="5"/>
        <v/>
      </c>
      <c r="C41" s="50">
        <f>IF(D11="","-",+C40+1)</f>
        <v>2037</v>
      </c>
      <c r="D41" s="55">
        <f>IF(F40+SUM(E$17:E40)=D$10,F40,D$10-SUM(E$17:E40))</f>
        <v>1976314.0841246117</v>
      </c>
      <c r="E41" s="378">
        <f t="shared" si="29"/>
        <v>98746.590909090912</v>
      </c>
      <c r="F41" s="55">
        <f t="shared" si="30"/>
        <v>1877567.4932155209</v>
      </c>
      <c r="G41" s="379">
        <f t="shared" si="31"/>
        <v>329068.29624598881</v>
      </c>
      <c r="H41" s="364">
        <f t="shared" si="32"/>
        <v>329068.29624598881</v>
      </c>
      <c r="I41" s="52">
        <f t="shared" si="6"/>
        <v>0</v>
      </c>
      <c r="J41" s="52"/>
      <c r="K41" s="129"/>
      <c r="L41" s="54">
        <f t="shared" si="33"/>
        <v>0</v>
      </c>
      <c r="M41" s="129"/>
      <c r="N41" s="54">
        <f t="shared" si="10"/>
        <v>0</v>
      </c>
      <c r="O41" s="54">
        <f t="shared" si="11"/>
        <v>0</v>
      </c>
      <c r="P41" s="1"/>
    </row>
    <row r="42" spans="2:16" ht="12.5">
      <c r="B42" s="7" t="str">
        <f t="shared" si="5"/>
        <v/>
      </c>
      <c r="C42" s="50">
        <f>IF(D11="","-",+C41+1)</f>
        <v>2038</v>
      </c>
      <c r="D42" s="55">
        <f>IF(F41+SUM(E$17:E41)=D$10,F41,D$10-SUM(E$17:E41))</f>
        <v>1877567.4932155209</v>
      </c>
      <c r="E42" s="378">
        <f t="shared" si="29"/>
        <v>98746.590909090912</v>
      </c>
      <c r="F42" s="55">
        <f t="shared" si="30"/>
        <v>1778820.90230643</v>
      </c>
      <c r="G42" s="379">
        <f t="shared" si="31"/>
        <v>317265.39947401074</v>
      </c>
      <c r="H42" s="364">
        <f t="shared" si="32"/>
        <v>317265.39947401074</v>
      </c>
      <c r="I42" s="52">
        <f t="shared" si="6"/>
        <v>0</v>
      </c>
      <c r="J42" s="52"/>
      <c r="K42" s="129"/>
      <c r="L42" s="54">
        <f t="shared" si="33"/>
        <v>0</v>
      </c>
      <c r="M42" s="129"/>
      <c r="N42" s="54">
        <f t="shared" si="10"/>
        <v>0</v>
      </c>
      <c r="O42" s="54">
        <f t="shared" si="11"/>
        <v>0</v>
      </c>
      <c r="P42" s="1"/>
    </row>
    <row r="43" spans="2:16" ht="12.5">
      <c r="B43" s="7" t="str">
        <f t="shared" si="5"/>
        <v/>
      </c>
      <c r="C43" s="50">
        <f>IF(D11="","-",+C42+1)</f>
        <v>2039</v>
      </c>
      <c r="D43" s="55">
        <f>IF(F42+SUM(E$17:E42)=D$10,F42,D$10-SUM(E$17:E42))</f>
        <v>1778820.90230643</v>
      </c>
      <c r="E43" s="378">
        <f t="shared" si="29"/>
        <v>98746.590909090912</v>
      </c>
      <c r="F43" s="55">
        <f t="shared" si="30"/>
        <v>1680074.3113973392</v>
      </c>
      <c r="G43" s="379">
        <f t="shared" si="31"/>
        <v>305462.50270203268</v>
      </c>
      <c r="H43" s="364">
        <f t="shared" si="32"/>
        <v>305462.50270203268</v>
      </c>
      <c r="I43" s="52">
        <f t="shared" si="6"/>
        <v>0</v>
      </c>
      <c r="J43" s="52"/>
      <c r="K43" s="129"/>
      <c r="L43" s="54">
        <f t="shared" si="33"/>
        <v>0</v>
      </c>
      <c r="M43" s="129"/>
      <c r="N43" s="54">
        <f t="shared" si="10"/>
        <v>0</v>
      </c>
      <c r="O43" s="54">
        <f t="shared" si="11"/>
        <v>0</v>
      </c>
      <c r="P43" s="1"/>
    </row>
    <row r="44" spans="2:16" ht="12.5">
      <c r="B44" s="7" t="str">
        <f t="shared" si="5"/>
        <v/>
      </c>
      <c r="C44" s="50">
        <f>IF(D11="","-",+C43+1)</f>
        <v>2040</v>
      </c>
      <c r="D44" s="55">
        <f>IF(F43+SUM(E$17:E43)=D$10,F43,D$10-SUM(E$17:E43))</f>
        <v>1680074.3113973392</v>
      </c>
      <c r="E44" s="378">
        <f t="shared" si="29"/>
        <v>98746.590909090912</v>
      </c>
      <c r="F44" s="55">
        <f t="shared" si="30"/>
        <v>1581327.7204882484</v>
      </c>
      <c r="G44" s="379">
        <f t="shared" si="31"/>
        <v>293659.60593005456</v>
      </c>
      <c r="H44" s="364">
        <f t="shared" si="32"/>
        <v>293659.60593005456</v>
      </c>
      <c r="I44" s="52">
        <f t="shared" si="6"/>
        <v>0</v>
      </c>
      <c r="J44" s="52"/>
      <c r="K44" s="129"/>
      <c r="L44" s="54">
        <f t="shared" si="33"/>
        <v>0</v>
      </c>
      <c r="M44" s="129"/>
      <c r="N44" s="54">
        <f t="shared" si="10"/>
        <v>0</v>
      </c>
      <c r="O44" s="54">
        <f t="shared" si="11"/>
        <v>0</v>
      </c>
      <c r="P44" s="1"/>
    </row>
    <row r="45" spans="2:16" ht="12.5">
      <c r="B45" s="7" t="str">
        <f t="shared" si="5"/>
        <v/>
      </c>
      <c r="C45" s="50">
        <f>IF(D11="","-",+C44+1)</f>
        <v>2041</v>
      </c>
      <c r="D45" s="55">
        <f>IF(F44+SUM(E$17:E44)=D$10,F44,D$10-SUM(E$17:E44))</f>
        <v>1581327.7204882484</v>
      </c>
      <c r="E45" s="378">
        <f t="shared" si="29"/>
        <v>98746.590909090912</v>
      </c>
      <c r="F45" s="55">
        <f t="shared" si="30"/>
        <v>1482581.1295791576</v>
      </c>
      <c r="G45" s="379">
        <f t="shared" si="31"/>
        <v>281856.7091580765</v>
      </c>
      <c r="H45" s="364">
        <f t="shared" si="32"/>
        <v>281856.7091580765</v>
      </c>
      <c r="I45" s="52">
        <f t="shared" si="6"/>
        <v>0</v>
      </c>
      <c r="J45" s="52"/>
      <c r="K45" s="129"/>
      <c r="L45" s="54">
        <f t="shared" si="33"/>
        <v>0</v>
      </c>
      <c r="M45" s="129"/>
      <c r="N45" s="54">
        <f t="shared" si="10"/>
        <v>0</v>
      </c>
      <c r="O45" s="54">
        <f t="shared" si="11"/>
        <v>0</v>
      </c>
      <c r="P45" s="1"/>
    </row>
    <row r="46" spans="2:16" ht="12.5">
      <c r="B46" s="7" t="str">
        <f t="shared" si="5"/>
        <v/>
      </c>
      <c r="C46" s="50">
        <f>IF(D11="","-",+C45+1)</f>
        <v>2042</v>
      </c>
      <c r="D46" s="55">
        <f>IF(F45+SUM(E$17:E45)=D$10,F45,D$10-SUM(E$17:E45))</f>
        <v>1482581.1295791576</v>
      </c>
      <c r="E46" s="378">
        <f t="shared" si="29"/>
        <v>98746.590909090912</v>
      </c>
      <c r="F46" s="55">
        <f t="shared" si="30"/>
        <v>1383834.5386700667</v>
      </c>
      <c r="G46" s="379">
        <f t="shared" si="31"/>
        <v>270053.81238609843</v>
      </c>
      <c r="H46" s="364">
        <f t="shared" si="32"/>
        <v>270053.81238609843</v>
      </c>
      <c r="I46" s="52">
        <f t="shared" si="6"/>
        <v>0</v>
      </c>
      <c r="J46" s="52"/>
      <c r="K46" s="129"/>
      <c r="L46" s="54">
        <f t="shared" si="33"/>
        <v>0</v>
      </c>
      <c r="M46" s="129"/>
      <c r="N46" s="54">
        <f t="shared" si="10"/>
        <v>0</v>
      </c>
      <c r="O46" s="54">
        <f t="shared" si="11"/>
        <v>0</v>
      </c>
      <c r="P46" s="1"/>
    </row>
    <row r="47" spans="2:16" ht="12.5">
      <c r="B47" s="7" t="str">
        <f t="shared" si="5"/>
        <v/>
      </c>
      <c r="C47" s="50">
        <f>IF(D11="","-",+C46+1)</f>
        <v>2043</v>
      </c>
      <c r="D47" s="55">
        <f>IF(F46+SUM(E$17:E46)=D$10,F46,D$10-SUM(E$17:E46))</f>
        <v>1383834.5386700667</v>
      </c>
      <c r="E47" s="378">
        <f t="shared" si="29"/>
        <v>98746.590909090912</v>
      </c>
      <c r="F47" s="55">
        <f t="shared" si="30"/>
        <v>1285087.9477609759</v>
      </c>
      <c r="G47" s="379">
        <f t="shared" si="31"/>
        <v>258250.91561412034</v>
      </c>
      <c r="H47" s="364">
        <f t="shared" si="32"/>
        <v>258250.91561412034</v>
      </c>
      <c r="I47" s="52">
        <f t="shared" si="6"/>
        <v>0</v>
      </c>
      <c r="J47" s="52"/>
      <c r="K47" s="129"/>
      <c r="L47" s="54">
        <f t="shared" si="33"/>
        <v>0</v>
      </c>
      <c r="M47" s="129"/>
      <c r="N47" s="54">
        <f t="shared" si="10"/>
        <v>0</v>
      </c>
      <c r="O47" s="54">
        <f t="shared" si="11"/>
        <v>0</v>
      </c>
      <c r="P47" s="1"/>
    </row>
    <row r="48" spans="2:16" ht="12.5">
      <c r="B48" s="7" t="str">
        <f t="shared" si="5"/>
        <v/>
      </c>
      <c r="C48" s="50">
        <f>IF(D11="","-",+C47+1)</f>
        <v>2044</v>
      </c>
      <c r="D48" s="55">
        <f>IF(F47+SUM(E$17:E47)=D$10,F47,D$10-SUM(E$17:E47))</f>
        <v>1285087.9477609759</v>
      </c>
      <c r="E48" s="378">
        <f t="shared" si="29"/>
        <v>98746.590909090912</v>
      </c>
      <c r="F48" s="55">
        <f t="shared" si="30"/>
        <v>1186341.3568518851</v>
      </c>
      <c r="G48" s="379">
        <f t="shared" si="31"/>
        <v>246448.01884214228</v>
      </c>
      <c r="H48" s="364">
        <f t="shared" si="32"/>
        <v>246448.01884214228</v>
      </c>
      <c r="I48" s="52">
        <f t="shared" si="6"/>
        <v>0</v>
      </c>
      <c r="J48" s="52"/>
      <c r="K48" s="129"/>
      <c r="L48" s="54">
        <f t="shared" si="33"/>
        <v>0</v>
      </c>
      <c r="M48" s="129"/>
      <c r="N48" s="54">
        <f t="shared" si="10"/>
        <v>0</v>
      </c>
      <c r="O48" s="54">
        <f t="shared" si="11"/>
        <v>0</v>
      </c>
      <c r="P48" s="1"/>
    </row>
    <row r="49" spans="2:17" ht="12.5">
      <c r="B49" s="7" t="str">
        <f t="shared" si="5"/>
        <v/>
      </c>
      <c r="C49" s="50">
        <f>IF(D11="","-",+C48+1)</f>
        <v>2045</v>
      </c>
      <c r="D49" s="55">
        <f>IF(F48+SUM(E$17:E48)=D$10,F48,D$10-SUM(E$17:E48))</f>
        <v>1186341.3568518851</v>
      </c>
      <c r="E49" s="378">
        <f t="shared" si="29"/>
        <v>98746.590909090912</v>
      </c>
      <c r="F49" s="55">
        <f t="shared" si="30"/>
        <v>1087594.7659427943</v>
      </c>
      <c r="G49" s="379">
        <f t="shared" si="31"/>
        <v>234645.12207016419</v>
      </c>
      <c r="H49" s="364">
        <f t="shared" si="32"/>
        <v>234645.12207016419</v>
      </c>
      <c r="I49" s="52">
        <f t="shared" si="6"/>
        <v>0</v>
      </c>
      <c r="J49" s="52"/>
      <c r="K49" s="129"/>
      <c r="L49" s="54">
        <f t="shared" si="33"/>
        <v>0</v>
      </c>
      <c r="M49" s="129"/>
      <c r="N49" s="54">
        <f t="shared" si="10"/>
        <v>0</v>
      </c>
      <c r="O49" s="54">
        <f t="shared" si="11"/>
        <v>0</v>
      </c>
      <c r="P49" s="1"/>
    </row>
    <row r="50" spans="2:17" ht="12.5">
      <c r="B50" s="7" t="str">
        <f t="shared" si="5"/>
        <v/>
      </c>
      <c r="C50" s="50">
        <f>IF(D11="","-",+C49+1)</f>
        <v>2046</v>
      </c>
      <c r="D50" s="55">
        <f>IF(F49+SUM(E$17:E49)=D$10,F49,D$10-SUM(E$17:E49))</f>
        <v>1087594.7659427943</v>
      </c>
      <c r="E50" s="378">
        <f t="shared" si="29"/>
        <v>98746.590909090912</v>
      </c>
      <c r="F50" s="55">
        <f t="shared" si="30"/>
        <v>988848.17503370333</v>
      </c>
      <c r="G50" s="379">
        <f t="shared" si="31"/>
        <v>222842.22529818612</v>
      </c>
      <c r="H50" s="364">
        <f t="shared" si="32"/>
        <v>222842.22529818612</v>
      </c>
      <c r="I50" s="52">
        <f t="shared" si="6"/>
        <v>0</v>
      </c>
      <c r="J50" s="52"/>
      <c r="K50" s="129"/>
      <c r="L50" s="54">
        <f t="shared" si="33"/>
        <v>0</v>
      </c>
      <c r="M50" s="129"/>
      <c r="N50" s="54">
        <f t="shared" si="10"/>
        <v>0</v>
      </c>
      <c r="O50" s="54">
        <f t="shared" si="11"/>
        <v>0</v>
      </c>
      <c r="P50" s="1"/>
    </row>
    <row r="51" spans="2:17" ht="12.5">
      <c r="B51" s="7" t="str">
        <f t="shared" si="5"/>
        <v/>
      </c>
      <c r="C51" s="50">
        <f>IF(D11="","-",+C50+1)</f>
        <v>2047</v>
      </c>
      <c r="D51" s="55">
        <f>IF(F50+SUM(E$17:E50)=D$10,F50,D$10-SUM(E$17:E50))</f>
        <v>988848.17503370333</v>
      </c>
      <c r="E51" s="378">
        <f t="shared" si="29"/>
        <v>98746.590909090912</v>
      </c>
      <c r="F51" s="55">
        <f t="shared" si="30"/>
        <v>890101.58412461239</v>
      </c>
      <c r="G51" s="379">
        <f t="shared" si="31"/>
        <v>211039.328526208</v>
      </c>
      <c r="H51" s="364">
        <f t="shared" si="32"/>
        <v>211039.328526208</v>
      </c>
      <c r="I51" s="52">
        <f t="shared" si="6"/>
        <v>0</v>
      </c>
      <c r="J51" s="52"/>
      <c r="K51" s="129"/>
      <c r="L51" s="54">
        <f t="shared" si="33"/>
        <v>0</v>
      </c>
      <c r="M51" s="129"/>
      <c r="N51" s="54">
        <f t="shared" si="10"/>
        <v>0</v>
      </c>
      <c r="O51" s="54">
        <f t="shared" si="11"/>
        <v>0</v>
      </c>
      <c r="P51" s="1"/>
    </row>
    <row r="52" spans="2:17" ht="12.5">
      <c r="B52" s="7" t="str">
        <f t="shared" si="5"/>
        <v/>
      </c>
      <c r="C52" s="50">
        <f>IF(D11="","-",+C51+1)</f>
        <v>2048</v>
      </c>
      <c r="D52" s="55">
        <f>IF(F51+SUM(E$17:E51)=D$10,F51,D$10-SUM(E$17:E51))</f>
        <v>890101.58412461239</v>
      </c>
      <c r="E52" s="378">
        <f t="shared" si="29"/>
        <v>98746.590909090912</v>
      </c>
      <c r="F52" s="55">
        <f t="shared" si="30"/>
        <v>791354.99321552145</v>
      </c>
      <c r="G52" s="379">
        <f t="shared" si="31"/>
        <v>199236.43175422994</v>
      </c>
      <c r="H52" s="364">
        <f t="shared" si="32"/>
        <v>199236.43175422994</v>
      </c>
      <c r="I52" s="52">
        <f t="shared" si="6"/>
        <v>0</v>
      </c>
      <c r="J52" s="52"/>
      <c r="K52" s="129"/>
      <c r="L52" s="54">
        <f t="shared" si="33"/>
        <v>0</v>
      </c>
      <c r="M52" s="129"/>
      <c r="N52" s="54">
        <f t="shared" si="10"/>
        <v>0</v>
      </c>
      <c r="O52" s="54">
        <f t="shared" si="11"/>
        <v>0</v>
      </c>
      <c r="P52" s="1"/>
    </row>
    <row r="53" spans="2:17" ht="12.5">
      <c r="B53" s="7" t="str">
        <f t="shared" si="5"/>
        <v/>
      </c>
      <c r="C53" s="50">
        <f>IF(D11="","-",+C52+1)</f>
        <v>2049</v>
      </c>
      <c r="D53" s="55">
        <f>IF(F52+SUM(E$17:E52)=D$10,F52,D$10-SUM(E$17:E52))</f>
        <v>791354.99321552145</v>
      </c>
      <c r="E53" s="378">
        <f t="shared" si="29"/>
        <v>98746.590909090912</v>
      </c>
      <c r="F53" s="55">
        <f t="shared" si="30"/>
        <v>692608.40230643051</v>
      </c>
      <c r="G53" s="379">
        <f t="shared" ref="G53:G72" si="34">+I$12*((D53+F53)/2)+E53</f>
        <v>187433.53498225182</v>
      </c>
      <c r="H53" s="364">
        <f t="shared" ref="H53:H72" si="35">+I$13*((D53+F53)/2)+E53</f>
        <v>187433.53498225182</v>
      </c>
      <c r="I53" s="52">
        <f t="shared" si="6"/>
        <v>0</v>
      </c>
      <c r="J53" s="52"/>
      <c r="K53" s="129"/>
      <c r="L53" s="54">
        <f t="shared" si="33"/>
        <v>0</v>
      </c>
      <c r="M53" s="129"/>
      <c r="N53" s="54">
        <f t="shared" si="10"/>
        <v>0</v>
      </c>
      <c r="O53" s="54">
        <f t="shared" si="11"/>
        <v>0</v>
      </c>
      <c r="P53" s="1"/>
    </row>
    <row r="54" spans="2:17" ht="12.5">
      <c r="B54" s="7" t="str">
        <f t="shared" si="5"/>
        <v/>
      </c>
      <c r="C54" s="50">
        <f>IF(D11="","-",+C53+1)</f>
        <v>2050</v>
      </c>
      <c r="D54" s="55">
        <f>IF(F53+SUM(E$17:E53)=D$10,F53,D$10-SUM(E$17:E53))</f>
        <v>692608.40230643051</v>
      </c>
      <c r="E54" s="378">
        <f t="shared" si="29"/>
        <v>98746.590909090912</v>
      </c>
      <c r="F54" s="55">
        <f t="shared" si="30"/>
        <v>593861.81139733957</v>
      </c>
      <c r="G54" s="379">
        <f t="shared" si="34"/>
        <v>175630.63821027376</v>
      </c>
      <c r="H54" s="364">
        <f t="shared" si="35"/>
        <v>175630.63821027376</v>
      </c>
      <c r="I54" s="52">
        <f t="shared" si="6"/>
        <v>0</v>
      </c>
      <c r="J54" s="52"/>
      <c r="K54" s="129"/>
      <c r="L54" s="54">
        <f t="shared" si="33"/>
        <v>0</v>
      </c>
      <c r="M54" s="129"/>
      <c r="N54" s="54">
        <f t="shared" si="10"/>
        <v>0</v>
      </c>
      <c r="O54" s="54">
        <f t="shared" si="11"/>
        <v>0</v>
      </c>
      <c r="P54" s="1"/>
    </row>
    <row r="55" spans="2:17" ht="12.5">
      <c r="B55" s="7" t="str">
        <f t="shared" si="5"/>
        <v/>
      </c>
      <c r="C55" s="50">
        <f>IF(D11="","-",+C54+1)</f>
        <v>2051</v>
      </c>
      <c r="D55" s="55">
        <f>IF(F54+SUM(E$17:E54)=D$10,F54,D$10-SUM(E$17:E54))</f>
        <v>593861.81139733957</v>
      </c>
      <c r="E55" s="378">
        <f t="shared" si="29"/>
        <v>98746.590909090912</v>
      </c>
      <c r="F55" s="55">
        <f t="shared" si="30"/>
        <v>495115.22048824863</v>
      </c>
      <c r="G55" s="379">
        <f t="shared" si="34"/>
        <v>163827.74143829563</v>
      </c>
      <c r="H55" s="364">
        <f t="shared" si="35"/>
        <v>163827.74143829563</v>
      </c>
      <c r="I55" s="52">
        <f t="shared" si="6"/>
        <v>0</v>
      </c>
      <c r="J55" s="52"/>
      <c r="K55" s="129"/>
      <c r="L55" s="54">
        <f t="shared" si="33"/>
        <v>0</v>
      </c>
      <c r="M55" s="129"/>
      <c r="N55" s="54">
        <f t="shared" si="10"/>
        <v>0</v>
      </c>
      <c r="O55" s="54">
        <f t="shared" si="11"/>
        <v>0</v>
      </c>
      <c r="P55" s="1"/>
    </row>
    <row r="56" spans="2:17" ht="12.5">
      <c r="B56" s="7" t="str">
        <f t="shared" si="5"/>
        <v/>
      </c>
      <c r="C56" s="50">
        <f>IF(D11="","-",+C55+1)</f>
        <v>2052</v>
      </c>
      <c r="D56" s="55">
        <f>IF(F55+SUM(E$17:E55)=D$10,F55,D$10-SUM(E$17:E55))</f>
        <v>495115.22048824863</v>
      </c>
      <c r="E56" s="378">
        <f t="shared" si="29"/>
        <v>98746.590909090912</v>
      </c>
      <c r="F56" s="55">
        <f t="shared" si="30"/>
        <v>396368.62957915768</v>
      </c>
      <c r="G56" s="379">
        <f t="shared" si="34"/>
        <v>152024.84466631754</v>
      </c>
      <c r="H56" s="364">
        <f t="shared" si="35"/>
        <v>152024.84466631754</v>
      </c>
      <c r="I56" s="52">
        <f t="shared" si="6"/>
        <v>0</v>
      </c>
      <c r="J56" s="52"/>
      <c r="K56" s="129"/>
      <c r="L56" s="54">
        <f t="shared" si="33"/>
        <v>0</v>
      </c>
      <c r="M56" s="129"/>
      <c r="N56" s="54">
        <f t="shared" si="10"/>
        <v>0</v>
      </c>
      <c r="O56" s="54">
        <f t="shared" si="11"/>
        <v>0</v>
      </c>
      <c r="P56" s="1"/>
    </row>
    <row r="57" spans="2:17" ht="12.5">
      <c r="B57" s="7" t="str">
        <f t="shared" si="5"/>
        <v/>
      </c>
      <c r="C57" s="50">
        <f>IF(D11="","-",+C56+1)</f>
        <v>2053</v>
      </c>
      <c r="D57" s="55">
        <f>IF(F56+SUM(E$17:E56)=D$10,F56,D$10-SUM(E$17:E56))</f>
        <v>396368.62957915768</v>
      </c>
      <c r="E57" s="378">
        <f t="shared" si="29"/>
        <v>98746.590909090912</v>
      </c>
      <c r="F57" s="55">
        <f t="shared" si="30"/>
        <v>297622.03867006674</v>
      </c>
      <c r="G57" s="379">
        <f t="shared" si="34"/>
        <v>140221.94789433945</v>
      </c>
      <c r="H57" s="364">
        <f t="shared" si="35"/>
        <v>140221.94789433945</v>
      </c>
      <c r="I57" s="52">
        <f t="shared" si="6"/>
        <v>0</v>
      </c>
      <c r="J57" s="52"/>
      <c r="K57" s="129"/>
      <c r="L57" s="54">
        <f t="shared" si="33"/>
        <v>0</v>
      </c>
      <c r="M57" s="129"/>
      <c r="N57" s="54">
        <f t="shared" si="10"/>
        <v>0</v>
      </c>
      <c r="O57" s="54">
        <f t="shared" si="11"/>
        <v>0</v>
      </c>
      <c r="P57" s="1"/>
    </row>
    <row r="58" spans="2:17" ht="12.5">
      <c r="B58" s="7" t="str">
        <f t="shared" si="5"/>
        <v/>
      </c>
      <c r="C58" s="50">
        <f>IF(D11="","-",+C57+1)</f>
        <v>2054</v>
      </c>
      <c r="D58" s="55">
        <f>IF(F57+SUM(E$17:E57)=D$10,F57,D$10-SUM(E$17:E57))</f>
        <v>297622.03867006674</v>
      </c>
      <c r="E58" s="378">
        <f t="shared" si="29"/>
        <v>98746.590909090912</v>
      </c>
      <c r="F58" s="55">
        <f t="shared" si="30"/>
        <v>198875.44776097583</v>
      </c>
      <c r="G58" s="379">
        <f t="shared" si="34"/>
        <v>128419.05112236136</v>
      </c>
      <c r="H58" s="364">
        <f t="shared" si="35"/>
        <v>128419.05112236136</v>
      </c>
      <c r="I58" s="52">
        <f t="shared" si="6"/>
        <v>0</v>
      </c>
      <c r="J58" s="52"/>
      <c r="K58" s="129"/>
      <c r="L58" s="54">
        <f t="shared" si="33"/>
        <v>0</v>
      </c>
      <c r="M58" s="129"/>
      <c r="N58" s="54">
        <f t="shared" si="10"/>
        <v>0</v>
      </c>
      <c r="O58" s="54">
        <f t="shared" si="11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5"/>
        <v/>
      </c>
      <c r="C59" s="50">
        <f>IF(D11="","-",+C58+1)</f>
        <v>2055</v>
      </c>
      <c r="D59" s="55">
        <f>IF(F58+SUM(E$17:E58)=D$10,F58,D$10-SUM(E$17:E58))</f>
        <v>198875.44776097583</v>
      </c>
      <c r="E59" s="378">
        <f t="shared" si="29"/>
        <v>98746.590909090912</v>
      </c>
      <c r="F59" s="55">
        <f t="shared" si="30"/>
        <v>100128.85685188492</v>
      </c>
      <c r="G59" s="379">
        <f t="shared" si="34"/>
        <v>116616.15435038328</v>
      </c>
      <c r="H59" s="364">
        <f t="shared" si="35"/>
        <v>116616.15435038328</v>
      </c>
      <c r="I59" s="52">
        <f t="shared" si="6"/>
        <v>0</v>
      </c>
      <c r="J59" s="52"/>
      <c r="K59" s="129"/>
      <c r="L59" s="54">
        <f t="shared" si="33"/>
        <v>0</v>
      </c>
      <c r="M59" s="129"/>
      <c r="N59" s="54">
        <f t="shared" si="10"/>
        <v>0</v>
      </c>
      <c r="O59" s="54">
        <f t="shared" si="11"/>
        <v>0</v>
      </c>
      <c r="P59" s="1"/>
    </row>
    <row r="60" spans="2:17" ht="12.5">
      <c r="B60" s="7" t="str">
        <f t="shared" si="5"/>
        <v/>
      </c>
      <c r="C60" s="50">
        <f>IF(D11="","-",+C59+1)</f>
        <v>2056</v>
      </c>
      <c r="D60" s="55">
        <f>IF(F59+SUM(E$17:E59)=D$10,F59,D$10-SUM(E$17:E59))</f>
        <v>100128.85685188492</v>
      </c>
      <c r="E60" s="378">
        <f t="shared" si="29"/>
        <v>98746.590909090912</v>
      </c>
      <c r="F60" s="55">
        <f t="shared" si="30"/>
        <v>1382.2659427940089</v>
      </c>
      <c r="G60" s="379">
        <f t="shared" si="34"/>
        <v>104813.25757840519</v>
      </c>
      <c r="H60" s="364">
        <f t="shared" si="35"/>
        <v>104813.25757840519</v>
      </c>
      <c r="I60" s="52">
        <f t="shared" si="6"/>
        <v>0</v>
      </c>
      <c r="J60" s="52"/>
      <c r="K60" s="129"/>
      <c r="L60" s="54">
        <f t="shared" si="33"/>
        <v>0</v>
      </c>
      <c r="M60" s="129"/>
      <c r="N60" s="54">
        <f t="shared" si="10"/>
        <v>0</v>
      </c>
      <c r="O60" s="54">
        <f t="shared" si="11"/>
        <v>0</v>
      </c>
      <c r="P60" s="1"/>
    </row>
    <row r="61" spans="2:17" ht="12.5">
      <c r="B61" s="7" t="str">
        <f t="shared" si="5"/>
        <v/>
      </c>
      <c r="C61" s="50">
        <f>IF(D11="","-",+C60+1)</f>
        <v>2057</v>
      </c>
      <c r="D61" s="55">
        <f>IF(F60+SUM(E$17:E60)=D$10,F60,D$10-SUM(E$17:E60))</f>
        <v>1382.2659427940089</v>
      </c>
      <c r="E61" s="378">
        <f t="shared" si="29"/>
        <v>1382.2659427940089</v>
      </c>
      <c r="F61" s="55">
        <f t="shared" si="30"/>
        <v>0</v>
      </c>
      <c r="G61" s="379">
        <f t="shared" si="34"/>
        <v>1464.8750844566234</v>
      </c>
      <c r="H61" s="364">
        <f t="shared" si="35"/>
        <v>1464.8750844566234</v>
      </c>
      <c r="I61" s="52">
        <f t="shared" si="6"/>
        <v>0</v>
      </c>
      <c r="J61" s="52"/>
      <c r="K61" s="129"/>
      <c r="L61" s="54">
        <f t="shared" si="33"/>
        <v>0</v>
      </c>
      <c r="M61" s="129"/>
      <c r="N61" s="54">
        <f t="shared" si="10"/>
        <v>0</v>
      </c>
      <c r="O61" s="54">
        <f t="shared" si="11"/>
        <v>0</v>
      </c>
      <c r="P61" s="1"/>
    </row>
    <row r="62" spans="2:17" ht="12.5">
      <c r="B62" s="7" t="str">
        <f t="shared" si="5"/>
        <v/>
      </c>
      <c r="C62" s="50">
        <f>IF(D11="","-",+C61+1)</f>
        <v>2058</v>
      </c>
      <c r="D62" s="55">
        <f>IF(F61+SUM(E$17:E61)=D$10,F61,D$10-SUM(E$17:E61))</f>
        <v>0</v>
      </c>
      <c r="E62" s="378">
        <f t="shared" si="29"/>
        <v>0</v>
      </c>
      <c r="F62" s="55">
        <f t="shared" si="30"/>
        <v>0</v>
      </c>
      <c r="G62" s="379">
        <f t="shared" si="34"/>
        <v>0</v>
      </c>
      <c r="H62" s="364">
        <f t="shared" si="35"/>
        <v>0</v>
      </c>
      <c r="I62" s="52">
        <f t="shared" si="6"/>
        <v>0</v>
      </c>
      <c r="J62" s="52"/>
      <c r="K62" s="129"/>
      <c r="L62" s="54">
        <f t="shared" si="33"/>
        <v>0</v>
      </c>
      <c r="M62" s="129"/>
      <c r="N62" s="54">
        <f t="shared" si="10"/>
        <v>0</v>
      </c>
      <c r="O62" s="54">
        <f t="shared" si="11"/>
        <v>0</v>
      </c>
      <c r="P62" s="1"/>
    </row>
    <row r="63" spans="2:17" ht="12.5">
      <c r="B63" s="7" t="str">
        <f t="shared" si="5"/>
        <v/>
      </c>
      <c r="C63" s="50">
        <f>IF(D11="","-",+C62+1)</f>
        <v>2059</v>
      </c>
      <c r="D63" s="55">
        <f>IF(F62+SUM(E$17:E62)=D$10,F62,D$10-SUM(E$17:E62))</f>
        <v>0</v>
      </c>
      <c r="E63" s="378">
        <f t="shared" si="29"/>
        <v>0</v>
      </c>
      <c r="F63" s="55">
        <f t="shared" si="30"/>
        <v>0</v>
      </c>
      <c r="G63" s="379">
        <f t="shared" si="34"/>
        <v>0</v>
      </c>
      <c r="H63" s="364">
        <f t="shared" si="35"/>
        <v>0</v>
      </c>
      <c r="I63" s="52">
        <f t="shared" si="6"/>
        <v>0</v>
      </c>
      <c r="J63" s="52"/>
      <c r="K63" s="129"/>
      <c r="L63" s="54">
        <f t="shared" si="33"/>
        <v>0</v>
      </c>
      <c r="M63" s="129"/>
      <c r="N63" s="54">
        <f t="shared" si="10"/>
        <v>0</v>
      </c>
      <c r="O63" s="54">
        <f t="shared" si="11"/>
        <v>0</v>
      </c>
      <c r="P63" s="1"/>
    </row>
    <row r="64" spans="2:17" ht="12.5">
      <c r="B64" s="7" t="str">
        <f t="shared" si="5"/>
        <v/>
      </c>
      <c r="C64" s="50">
        <f>IF(D11="","-",+C63+1)</f>
        <v>2060</v>
      </c>
      <c r="D64" s="55">
        <f>IF(F63+SUM(E$17:E63)=D$10,F63,D$10-SUM(E$17:E63))</f>
        <v>0</v>
      </c>
      <c r="E64" s="378">
        <f t="shared" si="29"/>
        <v>0</v>
      </c>
      <c r="F64" s="55">
        <f t="shared" si="30"/>
        <v>0</v>
      </c>
      <c r="G64" s="379">
        <f t="shared" si="34"/>
        <v>0</v>
      </c>
      <c r="H64" s="364">
        <f t="shared" si="35"/>
        <v>0</v>
      </c>
      <c r="I64" s="52">
        <f t="shared" si="6"/>
        <v>0</v>
      </c>
      <c r="J64" s="52"/>
      <c r="K64" s="129"/>
      <c r="L64" s="54">
        <f t="shared" si="33"/>
        <v>0</v>
      </c>
      <c r="M64" s="129"/>
      <c r="N64" s="54">
        <f t="shared" si="10"/>
        <v>0</v>
      </c>
      <c r="O64" s="54">
        <f t="shared" si="11"/>
        <v>0</v>
      </c>
      <c r="P64" s="1"/>
    </row>
    <row r="65" spans="2:16" ht="12.5">
      <c r="B65" s="7" t="str">
        <f t="shared" si="5"/>
        <v/>
      </c>
      <c r="C65" s="50">
        <f>IF(D11="","-",+C64+1)</f>
        <v>2061</v>
      </c>
      <c r="D65" s="55">
        <f>IF(F64+SUM(E$17:E64)=D$10,F64,D$10-SUM(E$17:E64))</f>
        <v>0</v>
      </c>
      <c r="E65" s="378">
        <f t="shared" si="29"/>
        <v>0</v>
      </c>
      <c r="F65" s="55">
        <f t="shared" si="30"/>
        <v>0</v>
      </c>
      <c r="G65" s="379">
        <f t="shared" si="34"/>
        <v>0</v>
      </c>
      <c r="H65" s="364">
        <f t="shared" si="35"/>
        <v>0</v>
      </c>
      <c r="I65" s="52">
        <f t="shared" si="6"/>
        <v>0</v>
      </c>
      <c r="J65" s="52"/>
      <c r="K65" s="129"/>
      <c r="L65" s="54">
        <f t="shared" si="33"/>
        <v>0</v>
      </c>
      <c r="M65" s="129"/>
      <c r="N65" s="54">
        <f t="shared" si="10"/>
        <v>0</v>
      </c>
      <c r="O65" s="54">
        <f t="shared" si="11"/>
        <v>0</v>
      </c>
      <c r="P65" s="1"/>
    </row>
    <row r="66" spans="2:16" ht="12.5">
      <c r="B66" s="7" t="str">
        <f t="shared" si="5"/>
        <v/>
      </c>
      <c r="C66" s="50">
        <f>IF(D11="","-",+C65+1)</f>
        <v>2062</v>
      </c>
      <c r="D66" s="55">
        <f>IF(F65+SUM(E$17:E65)=D$10,F65,D$10-SUM(E$17:E65))</f>
        <v>0</v>
      </c>
      <c r="E66" s="378">
        <f t="shared" si="29"/>
        <v>0</v>
      </c>
      <c r="F66" s="55">
        <f t="shared" si="30"/>
        <v>0</v>
      </c>
      <c r="G66" s="379">
        <f t="shared" si="34"/>
        <v>0</v>
      </c>
      <c r="H66" s="364">
        <f t="shared" si="35"/>
        <v>0</v>
      </c>
      <c r="I66" s="52">
        <f t="shared" si="6"/>
        <v>0</v>
      </c>
      <c r="J66" s="52"/>
      <c r="K66" s="129"/>
      <c r="L66" s="54">
        <f t="shared" si="33"/>
        <v>0</v>
      </c>
      <c r="M66" s="129"/>
      <c r="N66" s="54">
        <f t="shared" si="10"/>
        <v>0</v>
      </c>
      <c r="O66" s="54">
        <f t="shared" si="11"/>
        <v>0</v>
      </c>
      <c r="P66" s="1"/>
    </row>
    <row r="67" spans="2:16" ht="12.5">
      <c r="B67" s="7" t="str">
        <f t="shared" si="5"/>
        <v/>
      </c>
      <c r="C67" s="50">
        <f>IF(D11="","-",+C66+1)</f>
        <v>2063</v>
      </c>
      <c r="D67" s="55">
        <f>IF(F66+SUM(E$17:E66)=D$10,F66,D$10-SUM(E$17:E66))</f>
        <v>0</v>
      </c>
      <c r="E67" s="378">
        <f t="shared" si="29"/>
        <v>0</v>
      </c>
      <c r="F67" s="55">
        <f t="shared" si="30"/>
        <v>0</v>
      </c>
      <c r="G67" s="379">
        <f t="shared" si="34"/>
        <v>0</v>
      </c>
      <c r="H67" s="364">
        <f t="shared" si="35"/>
        <v>0</v>
      </c>
      <c r="I67" s="52">
        <f t="shared" si="6"/>
        <v>0</v>
      </c>
      <c r="J67" s="52"/>
      <c r="K67" s="129"/>
      <c r="L67" s="54">
        <f t="shared" si="33"/>
        <v>0</v>
      </c>
      <c r="M67" s="129"/>
      <c r="N67" s="54">
        <f t="shared" si="10"/>
        <v>0</v>
      </c>
      <c r="O67" s="54">
        <f t="shared" si="11"/>
        <v>0</v>
      </c>
      <c r="P67" s="1"/>
    </row>
    <row r="68" spans="2:16" ht="12.5">
      <c r="B68" s="7" t="str">
        <f t="shared" si="5"/>
        <v/>
      </c>
      <c r="C68" s="50">
        <f>IF(D11="","-",+C67+1)</f>
        <v>2064</v>
      </c>
      <c r="D68" s="55">
        <f>IF(F67+SUM(E$17:E67)=D$10,F67,D$10-SUM(E$17:E67))</f>
        <v>0</v>
      </c>
      <c r="E68" s="378">
        <f t="shared" si="29"/>
        <v>0</v>
      </c>
      <c r="F68" s="55">
        <f t="shared" si="30"/>
        <v>0</v>
      </c>
      <c r="G68" s="379">
        <f t="shared" si="34"/>
        <v>0</v>
      </c>
      <c r="H68" s="364">
        <f t="shared" si="35"/>
        <v>0</v>
      </c>
      <c r="I68" s="52">
        <f t="shared" si="6"/>
        <v>0</v>
      </c>
      <c r="J68" s="52"/>
      <c r="K68" s="129"/>
      <c r="L68" s="54">
        <f t="shared" si="33"/>
        <v>0</v>
      </c>
      <c r="M68" s="129"/>
      <c r="N68" s="54">
        <f t="shared" si="10"/>
        <v>0</v>
      </c>
      <c r="O68" s="54">
        <f t="shared" si="11"/>
        <v>0</v>
      </c>
      <c r="P68" s="1"/>
    </row>
    <row r="69" spans="2:16" ht="12.5">
      <c r="B69" s="7" t="str">
        <f t="shared" si="5"/>
        <v/>
      </c>
      <c r="C69" s="50">
        <f>IF(D11="","-",+C68+1)</f>
        <v>2065</v>
      </c>
      <c r="D69" s="55">
        <f>IF(F68+SUM(E$17:E68)=D$10,F68,D$10-SUM(E$17:E68))</f>
        <v>0</v>
      </c>
      <c r="E69" s="378">
        <f t="shared" si="29"/>
        <v>0</v>
      </c>
      <c r="F69" s="55">
        <f t="shared" si="30"/>
        <v>0</v>
      </c>
      <c r="G69" s="379">
        <f t="shared" si="34"/>
        <v>0</v>
      </c>
      <c r="H69" s="364">
        <f t="shared" si="35"/>
        <v>0</v>
      </c>
      <c r="I69" s="52">
        <f t="shared" si="6"/>
        <v>0</v>
      </c>
      <c r="J69" s="52"/>
      <c r="K69" s="129"/>
      <c r="L69" s="54">
        <f t="shared" si="33"/>
        <v>0</v>
      </c>
      <c r="M69" s="129"/>
      <c r="N69" s="54">
        <f t="shared" si="10"/>
        <v>0</v>
      </c>
      <c r="O69" s="54">
        <f t="shared" si="11"/>
        <v>0</v>
      </c>
      <c r="P69" s="1"/>
    </row>
    <row r="70" spans="2:16" ht="12.5">
      <c r="B70" s="7" t="str">
        <f t="shared" si="5"/>
        <v/>
      </c>
      <c r="C70" s="50">
        <f>IF(D11="","-",+C69+1)</f>
        <v>2066</v>
      </c>
      <c r="D70" s="55">
        <f>IF(F69+SUM(E$17:E69)=D$10,F69,D$10-SUM(E$17:E69))</f>
        <v>0</v>
      </c>
      <c r="E70" s="378">
        <f t="shared" si="29"/>
        <v>0</v>
      </c>
      <c r="F70" s="55">
        <f t="shared" si="30"/>
        <v>0</v>
      </c>
      <c r="G70" s="379">
        <f t="shared" si="34"/>
        <v>0</v>
      </c>
      <c r="H70" s="364">
        <f t="shared" si="35"/>
        <v>0</v>
      </c>
      <c r="I70" s="52">
        <f t="shared" si="6"/>
        <v>0</v>
      </c>
      <c r="J70" s="52"/>
      <c r="K70" s="129"/>
      <c r="L70" s="54">
        <f t="shared" si="33"/>
        <v>0</v>
      </c>
      <c r="M70" s="129"/>
      <c r="N70" s="54">
        <f t="shared" si="10"/>
        <v>0</v>
      </c>
      <c r="O70" s="54">
        <f t="shared" si="11"/>
        <v>0</v>
      </c>
      <c r="P70" s="1"/>
    </row>
    <row r="71" spans="2:16" ht="12.5">
      <c r="B71" s="7" t="str">
        <f t="shared" si="5"/>
        <v/>
      </c>
      <c r="C71" s="50">
        <f>IF(D11="","-",+C70+1)</f>
        <v>2067</v>
      </c>
      <c r="D71" s="55">
        <f>IF(F70+SUM(E$17:E70)=D$10,F70,D$10-SUM(E$17:E70))</f>
        <v>0</v>
      </c>
      <c r="E71" s="378">
        <f t="shared" si="29"/>
        <v>0</v>
      </c>
      <c r="F71" s="55">
        <f t="shared" si="30"/>
        <v>0</v>
      </c>
      <c r="G71" s="379">
        <f t="shared" si="34"/>
        <v>0</v>
      </c>
      <c r="H71" s="364">
        <f t="shared" si="35"/>
        <v>0</v>
      </c>
      <c r="I71" s="52">
        <f t="shared" si="6"/>
        <v>0</v>
      </c>
      <c r="J71" s="52"/>
      <c r="K71" s="129"/>
      <c r="L71" s="54">
        <f t="shared" si="33"/>
        <v>0</v>
      </c>
      <c r="M71" s="129"/>
      <c r="N71" s="54">
        <f t="shared" si="10"/>
        <v>0</v>
      </c>
      <c r="O71" s="54">
        <f t="shared" si="11"/>
        <v>0</v>
      </c>
      <c r="P71" s="1"/>
    </row>
    <row r="72" spans="2:16" ht="13" thickBot="1">
      <c r="B72" s="7" t="str">
        <f t="shared" si="5"/>
        <v/>
      </c>
      <c r="C72" s="59">
        <f>IF(D11="","-",+C71+1)</f>
        <v>2068</v>
      </c>
      <c r="D72" s="60">
        <f>IF(F71+SUM(E$17:E71)=D$10,F71,D$10-SUM(E$17:E71))</f>
        <v>0</v>
      </c>
      <c r="E72" s="381">
        <f t="shared" si="29"/>
        <v>0</v>
      </c>
      <c r="F72" s="60">
        <f t="shared" si="30"/>
        <v>0</v>
      </c>
      <c r="G72" s="382">
        <f t="shared" si="34"/>
        <v>0</v>
      </c>
      <c r="H72" s="362">
        <f t="shared" si="35"/>
        <v>0</v>
      </c>
      <c r="I72" s="63">
        <f t="shared" si="6"/>
        <v>0</v>
      </c>
      <c r="J72" s="52"/>
      <c r="K72" s="130"/>
      <c r="L72" s="64">
        <f t="shared" si="33"/>
        <v>0</v>
      </c>
      <c r="M72" s="130"/>
      <c r="N72" s="64">
        <f t="shared" si="10"/>
        <v>0</v>
      </c>
      <c r="O72" s="64">
        <f t="shared" si="11"/>
        <v>0</v>
      </c>
      <c r="P72" s="1"/>
    </row>
    <row r="73" spans="2:16" ht="12.5">
      <c r="C73" s="12" t="s">
        <v>78</v>
      </c>
      <c r="D73" s="293"/>
      <c r="E73" s="293">
        <f>SUM(E17:E72)</f>
        <v>4344849.9999999991</v>
      </c>
      <c r="F73" s="293"/>
      <c r="G73" s="293">
        <f>SUM(G17:G72)</f>
        <v>15782055.145643605</v>
      </c>
      <c r="H73" s="293">
        <f>SUM(H17:H72)</f>
        <v>15782055.145643605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 ht="13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35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482505.9542817038</v>
      </c>
      <c r="N87" s="387">
        <f>IF(J92&lt;D11,0,VLOOKUP(J92,C17:O72,11))</f>
        <v>482505.9542817038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499255.04051717801</v>
      </c>
      <c r="N88" s="390">
        <f>IF(J92&lt;D11,0,VLOOKUP(J92,C99:P154,7))</f>
        <v>499255.04051717801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Diana - Replace North Autotransformer #3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16749.086235474213</v>
      </c>
      <c r="N89" s="392">
        <f>+N88-N87</f>
        <v>16749.086235474213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TP2010065</v>
      </c>
      <c r="E91" s="76" t="s">
        <v>494</v>
      </c>
      <c r="F91" s="463">
        <f>F9</f>
        <v>30316</v>
      </c>
      <c r="G91" s="76"/>
      <c r="H91" s="76"/>
      <c r="I91" s="76"/>
      <c r="J91" s="76"/>
      <c r="Q91" s="1"/>
    </row>
    <row r="92" spans="1:17" ht="13">
      <c r="C92" s="34" t="s">
        <v>51</v>
      </c>
      <c r="D92" s="428">
        <f>D10</f>
        <v>4344850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  <c r="Q92" s="1"/>
    </row>
    <row r="93" spans="1:17" ht="12.5">
      <c r="C93" s="34" t="s">
        <v>54</v>
      </c>
      <c r="D93" s="455">
        <f>D11</f>
        <v>2013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4">
        <f>D12</f>
        <v>6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98746.590909090912</v>
      </c>
      <c r="K96" s="293"/>
      <c r="L96" s="293"/>
      <c r="M96" s="293"/>
      <c r="N96" s="293"/>
      <c r="O96" s="293"/>
      <c r="P96" s="1"/>
      <c r="Q96" s="1"/>
    </row>
    <row r="97" spans="1:17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 ht="12.5">
      <c r="C99" s="50">
        <f>IF(D93= "","-",D93)</f>
        <v>2013</v>
      </c>
      <c r="D99" s="429">
        <v>0</v>
      </c>
      <c r="E99" s="430">
        <v>51724.369047619053</v>
      </c>
      <c r="F99" s="431">
        <v>4293122.6309523806</v>
      </c>
      <c r="G99" s="432">
        <v>2146561.3154761903</v>
      </c>
      <c r="H99" s="433">
        <v>342136.30353000003</v>
      </c>
      <c r="I99" s="434">
        <v>342136.30353000003</v>
      </c>
      <c r="J99" s="154">
        <v>0</v>
      </c>
      <c r="K99" s="54"/>
      <c r="L99" s="113">
        <f t="shared" ref="L99:L104" si="36">H99</f>
        <v>342136.30353000003</v>
      </c>
      <c r="M99" s="54">
        <f t="shared" ref="M99:M104" si="37">IF(L99&lt;&gt;0,+H99-L99,0)</f>
        <v>0</v>
      </c>
      <c r="N99" s="113">
        <f t="shared" ref="N99:N104" si="38">I99</f>
        <v>342136.30353000003</v>
      </c>
      <c r="O99" s="54">
        <f>IF(N99&lt;&gt;0,+I99-N99,0)</f>
        <v>0</v>
      </c>
      <c r="P99" s="54">
        <f>+O99-M99</f>
        <v>0</v>
      </c>
      <c r="Q99" s="1"/>
    </row>
    <row r="100" spans="1:17" ht="12.5">
      <c r="B100" s="7" t="str">
        <f>IF(D100=F99,"","IU")</f>
        <v/>
      </c>
      <c r="C100" s="50">
        <f>IF(D93="","-",+C99+1)</f>
        <v>2014</v>
      </c>
      <c r="D100" s="429">
        <v>4293122.6309523806</v>
      </c>
      <c r="E100" s="430">
        <v>103448.80952380953</v>
      </c>
      <c r="F100" s="431">
        <v>4189673.8214285709</v>
      </c>
      <c r="G100" s="431">
        <v>4241398.2261904757</v>
      </c>
      <c r="H100" s="433">
        <v>679954.3306665339</v>
      </c>
      <c r="I100" s="434">
        <v>679954.3306665339</v>
      </c>
      <c r="J100" s="54">
        <v>0</v>
      </c>
      <c r="K100" s="54"/>
      <c r="L100" s="113">
        <f t="shared" si="36"/>
        <v>679954.3306665339</v>
      </c>
      <c r="M100" s="54">
        <f t="shared" si="37"/>
        <v>0</v>
      </c>
      <c r="N100" s="113">
        <f t="shared" si="38"/>
        <v>679954.3306665339</v>
      </c>
      <c r="O100" s="54">
        <f>IF(N100&lt;&gt;0,+I100-N100,0)</f>
        <v>0</v>
      </c>
      <c r="P100" s="54">
        <f>+O100-M100</f>
        <v>0</v>
      </c>
      <c r="Q100" s="1"/>
    </row>
    <row r="101" spans="1:17" ht="12.5">
      <c r="B101" s="7" t="str">
        <f t="shared" ref="B101:B154" si="39">IF(D101=F100,"","IU")</f>
        <v/>
      </c>
      <c r="C101" s="50">
        <f>IF(D93="","-",+C100+1)</f>
        <v>2015</v>
      </c>
      <c r="D101" s="429">
        <v>4189673.8214285709</v>
      </c>
      <c r="E101" s="430">
        <v>103448.80952380953</v>
      </c>
      <c r="F101" s="431">
        <v>4086225.0119047612</v>
      </c>
      <c r="G101" s="431">
        <v>4137949.416666666</v>
      </c>
      <c r="H101" s="433">
        <v>665893.21056754142</v>
      </c>
      <c r="I101" s="434">
        <v>665893.21056754142</v>
      </c>
      <c r="J101" s="54">
        <v>0</v>
      </c>
      <c r="K101" s="54"/>
      <c r="L101" s="113">
        <f t="shared" si="36"/>
        <v>665893.21056754142</v>
      </c>
      <c r="M101" s="54">
        <f t="shared" si="37"/>
        <v>0</v>
      </c>
      <c r="N101" s="113">
        <f t="shared" si="38"/>
        <v>665893.21056754142</v>
      </c>
      <c r="O101" s="54">
        <f>IF(N101&lt;&gt;0,+I101-N101,0)</f>
        <v>0</v>
      </c>
      <c r="P101" s="54">
        <f>+O101-M101</f>
        <v>0</v>
      </c>
      <c r="Q101" s="1"/>
    </row>
    <row r="102" spans="1:17" ht="12.5">
      <c r="B102" s="7" t="str">
        <f t="shared" si="39"/>
        <v>IU</v>
      </c>
      <c r="C102" s="50">
        <f>IF(D93="","-",+C101+1)</f>
        <v>2016</v>
      </c>
      <c r="D102" s="429">
        <v>4086228.0119047621</v>
      </c>
      <c r="E102" s="430">
        <v>101043.02325581395</v>
      </c>
      <c r="F102" s="431">
        <v>3985184.9886489483</v>
      </c>
      <c r="G102" s="431">
        <v>4035706.5002768552</v>
      </c>
      <c r="H102" s="433">
        <v>613375.91620122688</v>
      </c>
      <c r="I102" s="434">
        <v>613375.91620122688</v>
      </c>
      <c r="J102" s="54">
        <f>+I102-H102</f>
        <v>0</v>
      </c>
      <c r="K102" s="54"/>
      <c r="L102" s="113">
        <f t="shared" si="36"/>
        <v>613375.91620122688</v>
      </c>
      <c r="M102" s="54">
        <f t="shared" si="37"/>
        <v>0</v>
      </c>
      <c r="N102" s="113">
        <f t="shared" si="38"/>
        <v>613375.91620122688</v>
      </c>
      <c r="O102" s="54">
        <f>IF(N102&lt;&gt;0,+I102-N102,0)</f>
        <v>0</v>
      </c>
      <c r="P102" s="54">
        <f>+O102-M102</f>
        <v>0</v>
      </c>
      <c r="Q102" s="1"/>
    </row>
    <row r="103" spans="1:17" ht="12.5">
      <c r="B103" s="7" t="str">
        <f t="shared" si="39"/>
        <v/>
      </c>
      <c r="C103" s="50">
        <f>IF(D93="","-",+C102+1)</f>
        <v>2017</v>
      </c>
      <c r="D103" s="429">
        <v>3985184.9886489483</v>
      </c>
      <c r="E103" s="430">
        <v>103448.80952380953</v>
      </c>
      <c r="F103" s="431">
        <v>3881736.1791251386</v>
      </c>
      <c r="G103" s="431">
        <v>3933460.5838870434</v>
      </c>
      <c r="H103" s="433">
        <v>581252.00039105583</v>
      </c>
      <c r="I103" s="434">
        <v>581252.00039105583</v>
      </c>
      <c r="J103" s="54">
        <f t="shared" ref="J103:J154" si="40">+I103-H103</f>
        <v>0</v>
      </c>
      <c r="K103" s="54"/>
      <c r="L103" s="113">
        <f t="shared" si="36"/>
        <v>581252.00039105583</v>
      </c>
      <c r="M103" s="54">
        <f t="shared" si="37"/>
        <v>0</v>
      </c>
      <c r="N103" s="113">
        <f t="shared" si="38"/>
        <v>581252.00039105583</v>
      </c>
      <c r="O103" s="54">
        <f>IF(N103&lt;&gt;0,+I103-N103,0)</f>
        <v>0</v>
      </c>
      <c r="P103" s="54">
        <f>+O103-M103</f>
        <v>0</v>
      </c>
      <c r="Q103" s="1"/>
    </row>
    <row r="104" spans="1:17" ht="12.5">
      <c r="B104" s="7" t="str">
        <f t="shared" si="39"/>
        <v/>
      </c>
      <c r="C104" s="50">
        <f>IF(D93="","-",+C103+1)</f>
        <v>2018</v>
      </c>
      <c r="D104" s="429">
        <v>3881736.1791251386</v>
      </c>
      <c r="E104" s="430">
        <v>103448.80952380953</v>
      </c>
      <c r="F104" s="431">
        <v>3778287.3696013289</v>
      </c>
      <c r="G104" s="431">
        <v>3830011.7743632337</v>
      </c>
      <c r="H104" s="433">
        <v>507915.61664035521</v>
      </c>
      <c r="I104" s="434">
        <v>507915.61664035521</v>
      </c>
      <c r="J104" s="54">
        <f t="shared" si="40"/>
        <v>0</v>
      </c>
      <c r="K104" s="54"/>
      <c r="L104" s="113">
        <f t="shared" si="36"/>
        <v>507915.61664035521</v>
      </c>
      <c r="M104" s="54">
        <f t="shared" si="37"/>
        <v>0</v>
      </c>
      <c r="N104" s="113">
        <f t="shared" si="38"/>
        <v>507915.61664035521</v>
      </c>
      <c r="O104" s="54">
        <f t="shared" ref="O104:O130" si="41">IF(N104&lt;&gt;0,+I104-N104,0)</f>
        <v>0</v>
      </c>
      <c r="P104" s="54">
        <f t="shared" ref="P104:P130" si="42">+O104-M104</f>
        <v>0</v>
      </c>
      <c r="Q104" s="1"/>
    </row>
    <row r="105" spans="1:17" ht="12.5">
      <c r="B105" s="7" t="str">
        <f t="shared" si="39"/>
        <v/>
      </c>
      <c r="C105" s="50">
        <f>IF(D93="","-",+C104+1)</f>
        <v>2019</v>
      </c>
      <c r="D105" s="429">
        <v>3778287.3696013289</v>
      </c>
      <c r="E105" s="430">
        <v>101043.02325581395</v>
      </c>
      <c r="F105" s="431">
        <v>3677244.346345515</v>
      </c>
      <c r="G105" s="431">
        <v>3727765.8579734219</v>
      </c>
      <c r="H105" s="433">
        <v>500065.11807412654</v>
      </c>
      <c r="I105" s="434">
        <v>500065.11807412654</v>
      </c>
      <c r="J105" s="54">
        <f t="shared" si="40"/>
        <v>0</v>
      </c>
      <c r="K105" s="54"/>
      <c r="L105" s="113">
        <f t="shared" ref="L105" si="43">H105</f>
        <v>500065.11807412654</v>
      </c>
      <c r="M105" s="54">
        <f t="shared" ref="M105" si="44">IF(L105&lt;&gt;0,+H105-L105,0)</f>
        <v>0</v>
      </c>
      <c r="N105" s="113">
        <f t="shared" ref="N105" si="45">I105</f>
        <v>500065.11807412654</v>
      </c>
      <c r="O105" s="54">
        <f t="shared" si="41"/>
        <v>0</v>
      </c>
      <c r="P105" s="54">
        <f t="shared" si="42"/>
        <v>0</v>
      </c>
      <c r="Q105" s="1"/>
    </row>
    <row r="106" spans="1:17" ht="12.5">
      <c r="B106" s="7" t="str">
        <f t="shared" si="39"/>
        <v/>
      </c>
      <c r="C106" s="50">
        <f>IF(D93="","-",+C105+1)</f>
        <v>2020</v>
      </c>
      <c r="D106" s="429">
        <v>3677244.346345515</v>
      </c>
      <c r="E106" s="430">
        <v>103448.80952380953</v>
      </c>
      <c r="F106" s="431">
        <v>3573795.5368217053</v>
      </c>
      <c r="G106" s="431">
        <v>3625519.9415836101</v>
      </c>
      <c r="H106" s="433">
        <v>493459.88444780855</v>
      </c>
      <c r="I106" s="434">
        <v>493459.88444780855</v>
      </c>
      <c r="J106" s="54">
        <f t="shared" si="40"/>
        <v>0</v>
      </c>
      <c r="K106" s="54"/>
      <c r="L106" s="113">
        <f t="shared" ref="L106" si="46">H106</f>
        <v>493459.88444780855</v>
      </c>
      <c r="M106" s="54">
        <f t="shared" ref="M106" si="47">IF(L106&lt;&gt;0,+H106-L106,0)</f>
        <v>0</v>
      </c>
      <c r="N106" s="113">
        <f t="shared" ref="N106" si="48">I106</f>
        <v>493459.88444780855</v>
      </c>
      <c r="O106" s="54">
        <f t="shared" si="41"/>
        <v>0</v>
      </c>
      <c r="P106" s="54">
        <f t="shared" si="42"/>
        <v>0</v>
      </c>
      <c r="Q106" s="1"/>
    </row>
    <row r="107" spans="1:17" ht="12.5">
      <c r="B107" s="7" t="str">
        <f t="shared" si="39"/>
        <v/>
      </c>
      <c r="C107" s="50">
        <f>IF(D93="","-",+C106+1)</f>
        <v>2021</v>
      </c>
      <c r="D107" s="429">
        <v>3573795.5368217053</v>
      </c>
      <c r="E107" s="430">
        <v>105971.95121951219</v>
      </c>
      <c r="F107" s="431">
        <v>3467823.5856021931</v>
      </c>
      <c r="G107" s="431">
        <v>3520809.5612119492</v>
      </c>
      <c r="H107" s="433">
        <v>505633.92476291995</v>
      </c>
      <c r="I107" s="434">
        <v>505633.92476291995</v>
      </c>
      <c r="J107" s="54">
        <f t="shared" si="40"/>
        <v>0</v>
      </c>
      <c r="K107" s="54"/>
      <c r="L107" s="113">
        <f t="shared" ref="L107" si="49">H107</f>
        <v>505633.92476291995</v>
      </c>
      <c r="M107" s="54">
        <f t="shared" ref="M107" si="50">IF(L107&lt;&gt;0,+H107-L107,0)</f>
        <v>0</v>
      </c>
      <c r="N107" s="113">
        <f t="shared" ref="N107" si="51">I107</f>
        <v>505633.92476291995</v>
      </c>
      <c r="O107" s="54">
        <f t="shared" si="41"/>
        <v>0</v>
      </c>
      <c r="P107" s="54">
        <f t="shared" si="42"/>
        <v>0</v>
      </c>
      <c r="Q107" s="1"/>
    </row>
    <row r="108" spans="1:17" ht="12.5">
      <c r="B108" s="7" t="str">
        <f t="shared" si="39"/>
        <v/>
      </c>
      <c r="C108" s="50">
        <f>IF(D93="","-",+C107+1)</f>
        <v>2022</v>
      </c>
      <c r="D108" s="429">
        <v>3467823.5856021931</v>
      </c>
      <c r="E108" s="430">
        <v>103448.80952380953</v>
      </c>
      <c r="F108" s="431">
        <v>3364374.7760783834</v>
      </c>
      <c r="G108" s="431">
        <v>3416099.1808402883</v>
      </c>
      <c r="H108" s="433">
        <v>504696.45092425711</v>
      </c>
      <c r="I108" s="434">
        <v>504696.45092425711</v>
      </c>
      <c r="J108" s="54">
        <f t="shared" si="40"/>
        <v>0</v>
      </c>
      <c r="K108" s="54"/>
      <c r="L108" s="113">
        <f t="shared" ref="L108" si="52">H108</f>
        <v>504696.45092425711</v>
      </c>
      <c r="M108" s="54">
        <f t="shared" ref="M108" si="53">IF(L108&lt;&gt;0,+H108-L108,0)</f>
        <v>0</v>
      </c>
      <c r="N108" s="113">
        <f t="shared" ref="N108" si="54">I108</f>
        <v>504696.45092425711</v>
      </c>
      <c r="O108" s="54">
        <f t="shared" ref="O108" si="55">IF(N108&lt;&gt;0,+I108-N108,0)</f>
        <v>0</v>
      </c>
      <c r="P108" s="54">
        <f t="shared" ref="P108" si="56">+O108-M108</f>
        <v>0</v>
      </c>
      <c r="Q108" s="1"/>
    </row>
    <row r="109" spans="1:17" ht="12.5">
      <c r="B109" s="7" t="str">
        <f t="shared" si="39"/>
        <v/>
      </c>
      <c r="C109" s="50">
        <f>IF(D93="","-",+C108+1)</f>
        <v>2023</v>
      </c>
      <c r="D109" s="429">
        <v>3364374.7760783834</v>
      </c>
      <c r="E109" s="430">
        <v>98746.590909090912</v>
      </c>
      <c r="F109" s="431">
        <v>3265628.1851692926</v>
      </c>
      <c r="G109" s="431">
        <v>3315001.480623838</v>
      </c>
      <c r="H109" s="433">
        <v>507701.93491934414</v>
      </c>
      <c r="I109" s="434">
        <v>507701.93491934414</v>
      </c>
      <c r="J109" s="54">
        <f t="shared" si="40"/>
        <v>0</v>
      </c>
      <c r="K109" s="54"/>
      <c r="L109" s="113">
        <f t="shared" ref="L109" si="57">H109</f>
        <v>507701.93491934414</v>
      </c>
      <c r="M109" s="54">
        <f t="shared" ref="M109" si="58">IF(L109&lt;&gt;0,+H109-L109,0)</f>
        <v>0</v>
      </c>
      <c r="N109" s="113">
        <f t="shared" ref="N109" si="59">I109</f>
        <v>507701.93491934414</v>
      </c>
      <c r="O109" s="54">
        <f t="shared" ref="O109" si="60">IF(N109&lt;&gt;0,+I109-N109,0)</f>
        <v>0</v>
      </c>
      <c r="P109" s="54">
        <f t="shared" ref="P109" si="61">+O109-M109</f>
        <v>0</v>
      </c>
      <c r="Q109" s="1"/>
    </row>
    <row r="110" spans="1:17" ht="12.5">
      <c r="B110" s="7" t="str">
        <f t="shared" si="39"/>
        <v/>
      </c>
      <c r="C110" s="50">
        <f>IF(D93="","-",+C109+1)</f>
        <v>2024</v>
      </c>
      <c r="D110" s="12">
        <f>IF(F109+SUM(E$99:E109)=D$92,F109,D$92-SUM(E$99:E109))</f>
        <v>3265628.1851692926</v>
      </c>
      <c r="E110" s="378">
        <f t="shared" ref="E110:E154" si="62">IF(+$J$96&lt;F109,$J$96,D110)</f>
        <v>98746.590909090912</v>
      </c>
      <c r="F110" s="55">
        <f t="shared" ref="F110:F154" si="63">+D110-E110</f>
        <v>3166881.5942602018</v>
      </c>
      <c r="G110" s="55">
        <f t="shared" ref="G110:G154" si="64">+(F110+D110)/2</f>
        <v>3216254.8897147472</v>
      </c>
      <c r="H110" s="380">
        <f t="shared" ref="H110:H154" si="65">+J$94*G110+E110</f>
        <v>499255.04051717801</v>
      </c>
      <c r="I110" s="399">
        <f t="shared" ref="I110:I154" si="66">+J$95*G110+E110</f>
        <v>499255.04051717801</v>
      </c>
      <c r="J110" s="54">
        <f t="shared" si="40"/>
        <v>0</v>
      </c>
      <c r="K110" s="54"/>
      <c r="L110" s="129"/>
      <c r="M110" s="54">
        <f t="shared" ref="M110:M130" si="67">IF(L110&lt;&gt;0,+H110-L110,0)</f>
        <v>0</v>
      </c>
      <c r="N110" s="129"/>
      <c r="O110" s="54">
        <f t="shared" si="41"/>
        <v>0</v>
      </c>
      <c r="P110" s="54">
        <f t="shared" si="42"/>
        <v>0</v>
      </c>
      <c r="Q110" s="1"/>
    </row>
    <row r="111" spans="1:17" ht="12.5">
      <c r="B111" s="7" t="str">
        <f t="shared" si="39"/>
        <v/>
      </c>
      <c r="C111" s="50">
        <f>IF(D93="","-",+C110+1)</f>
        <v>2025</v>
      </c>
      <c r="D111" s="12">
        <f>IF(F110+SUM(E$99:E110)=D$92,F110,D$92-SUM(E$99:E110))</f>
        <v>3166881.5942602018</v>
      </c>
      <c r="E111" s="378">
        <f t="shared" si="62"/>
        <v>98746.590909090912</v>
      </c>
      <c r="F111" s="55">
        <f t="shared" si="63"/>
        <v>3068135.003351111</v>
      </c>
      <c r="G111" s="55">
        <f t="shared" si="64"/>
        <v>3117508.2988056564</v>
      </c>
      <c r="H111" s="380">
        <f t="shared" si="65"/>
        <v>486958.48897346889</v>
      </c>
      <c r="I111" s="399">
        <f t="shared" si="66"/>
        <v>486958.48897346889</v>
      </c>
      <c r="J111" s="54">
        <f t="shared" si="40"/>
        <v>0</v>
      </c>
      <c r="K111" s="54"/>
      <c r="L111" s="129"/>
      <c r="M111" s="54">
        <f t="shared" si="67"/>
        <v>0</v>
      </c>
      <c r="N111" s="129"/>
      <c r="O111" s="54">
        <f t="shared" si="41"/>
        <v>0</v>
      </c>
      <c r="P111" s="54">
        <f t="shared" si="42"/>
        <v>0</v>
      </c>
      <c r="Q111" s="1"/>
    </row>
    <row r="112" spans="1:17" ht="12.5">
      <c r="B112" s="7" t="str">
        <f t="shared" si="39"/>
        <v/>
      </c>
      <c r="C112" s="50">
        <f>IF(D93="","-",+C111+1)</f>
        <v>2026</v>
      </c>
      <c r="D112" s="12">
        <f>IF(F111+SUM(E$99:E111)=D$92,F111,D$92-SUM(E$99:E111))</f>
        <v>3068135.003351111</v>
      </c>
      <c r="E112" s="378">
        <f t="shared" si="62"/>
        <v>98746.590909090912</v>
      </c>
      <c r="F112" s="55">
        <f t="shared" si="63"/>
        <v>2969388.4124420201</v>
      </c>
      <c r="G112" s="55">
        <f t="shared" si="64"/>
        <v>3018761.7078965656</v>
      </c>
      <c r="H112" s="380">
        <f t="shared" si="65"/>
        <v>474661.93742975977</v>
      </c>
      <c r="I112" s="399">
        <f t="shared" si="66"/>
        <v>474661.93742975977</v>
      </c>
      <c r="J112" s="54">
        <f t="shared" si="40"/>
        <v>0</v>
      </c>
      <c r="K112" s="54"/>
      <c r="L112" s="129"/>
      <c r="M112" s="54">
        <f t="shared" si="67"/>
        <v>0</v>
      </c>
      <c r="N112" s="129"/>
      <c r="O112" s="54">
        <f t="shared" si="41"/>
        <v>0</v>
      </c>
      <c r="P112" s="54">
        <f t="shared" si="42"/>
        <v>0</v>
      </c>
      <c r="Q112" s="1"/>
    </row>
    <row r="113" spans="2:17" ht="12.5">
      <c r="B113" s="7" t="str">
        <f t="shared" si="39"/>
        <v/>
      </c>
      <c r="C113" s="50">
        <f>IF(D93="","-",+C112+1)</f>
        <v>2027</v>
      </c>
      <c r="D113" s="12">
        <f>IF(F112+SUM(E$99:E112)=D$92,F112,D$92-SUM(E$99:E112))</f>
        <v>2969388.4124420201</v>
      </c>
      <c r="E113" s="378">
        <f t="shared" si="62"/>
        <v>98746.590909090912</v>
      </c>
      <c r="F113" s="55">
        <f t="shared" si="63"/>
        <v>2870641.8215329293</v>
      </c>
      <c r="G113" s="55">
        <f t="shared" si="64"/>
        <v>2920015.1169874747</v>
      </c>
      <c r="H113" s="380">
        <f t="shared" si="65"/>
        <v>462365.38588605064</v>
      </c>
      <c r="I113" s="399">
        <f t="shared" si="66"/>
        <v>462365.38588605064</v>
      </c>
      <c r="J113" s="54">
        <f t="shared" si="40"/>
        <v>0</v>
      </c>
      <c r="K113" s="54"/>
      <c r="L113" s="129"/>
      <c r="M113" s="54">
        <f t="shared" si="67"/>
        <v>0</v>
      </c>
      <c r="N113" s="129"/>
      <c r="O113" s="54">
        <f t="shared" si="41"/>
        <v>0</v>
      </c>
      <c r="P113" s="54">
        <f t="shared" si="42"/>
        <v>0</v>
      </c>
      <c r="Q113" s="1"/>
    </row>
    <row r="114" spans="2:17" ht="12.5">
      <c r="B114" s="7" t="str">
        <f t="shared" si="39"/>
        <v/>
      </c>
      <c r="C114" s="50">
        <f>IF(D93="","-",+C113+1)</f>
        <v>2028</v>
      </c>
      <c r="D114" s="12">
        <f>IF(F113+SUM(E$99:E113)=D$92,F113,D$92-SUM(E$99:E113))</f>
        <v>2870641.8215329293</v>
      </c>
      <c r="E114" s="378">
        <f t="shared" si="62"/>
        <v>98746.590909090912</v>
      </c>
      <c r="F114" s="55">
        <f t="shared" si="63"/>
        <v>2771895.2306238385</v>
      </c>
      <c r="G114" s="55">
        <f t="shared" si="64"/>
        <v>2821268.5260783839</v>
      </c>
      <c r="H114" s="380">
        <f t="shared" si="65"/>
        <v>450068.8343423414</v>
      </c>
      <c r="I114" s="399">
        <f t="shared" si="66"/>
        <v>450068.8343423414</v>
      </c>
      <c r="J114" s="54">
        <f t="shared" si="40"/>
        <v>0</v>
      </c>
      <c r="K114" s="54"/>
      <c r="L114" s="129"/>
      <c r="M114" s="54">
        <f t="shared" si="67"/>
        <v>0</v>
      </c>
      <c r="N114" s="129"/>
      <c r="O114" s="54">
        <f t="shared" si="41"/>
        <v>0</v>
      </c>
      <c r="P114" s="54">
        <f t="shared" si="42"/>
        <v>0</v>
      </c>
      <c r="Q114" s="1"/>
    </row>
    <row r="115" spans="2:17" ht="12.5">
      <c r="B115" s="7" t="str">
        <f t="shared" si="39"/>
        <v/>
      </c>
      <c r="C115" s="50">
        <f>IF(D93="","-",+C114+1)</f>
        <v>2029</v>
      </c>
      <c r="D115" s="12">
        <f>IF(F114+SUM(E$99:E114)=D$92,F114,D$92-SUM(E$99:E114))</f>
        <v>2771895.2306238385</v>
      </c>
      <c r="E115" s="378">
        <f t="shared" si="62"/>
        <v>98746.590909090912</v>
      </c>
      <c r="F115" s="55">
        <f t="shared" si="63"/>
        <v>2673148.6397147477</v>
      </c>
      <c r="G115" s="55">
        <f t="shared" si="64"/>
        <v>2722521.9351692931</v>
      </c>
      <c r="H115" s="380">
        <f t="shared" si="65"/>
        <v>437772.28279863228</v>
      </c>
      <c r="I115" s="399">
        <f t="shared" si="66"/>
        <v>437772.28279863228</v>
      </c>
      <c r="J115" s="54">
        <f t="shared" si="40"/>
        <v>0</v>
      </c>
      <c r="K115" s="54"/>
      <c r="L115" s="129"/>
      <c r="M115" s="54">
        <f t="shared" si="67"/>
        <v>0</v>
      </c>
      <c r="N115" s="129"/>
      <c r="O115" s="54">
        <f t="shared" si="41"/>
        <v>0</v>
      </c>
      <c r="P115" s="54">
        <f t="shared" si="42"/>
        <v>0</v>
      </c>
      <c r="Q115" s="1"/>
    </row>
    <row r="116" spans="2:17" ht="12.5">
      <c r="B116" s="7" t="str">
        <f t="shared" si="39"/>
        <v/>
      </c>
      <c r="C116" s="50">
        <f>IF(D93="","-",+C115+1)</f>
        <v>2030</v>
      </c>
      <c r="D116" s="12">
        <f>IF(F115+SUM(E$99:E115)=D$92,F115,D$92-SUM(E$99:E115))</f>
        <v>2673148.6397147477</v>
      </c>
      <c r="E116" s="378">
        <f t="shared" si="62"/>
        <v>98746.590909090912</v>
      </c>
      <c r="F116" s="55">
        <f t="shared" si="63"/>
        <v>2574402.0488056568</v>
      </c>
      <c r="G116" s="55">
        <f t="shared" si="64"/>
        <v>2623775.3442602023</v>
      </c>
      <c r="H116" s="380">
        <f t="shared" si="65"/>
        <v>425475.73125492316</v>
      </c>
      <c r="I116" s="399">
        <f t="shared" si="66"/>
        <v>425475.73125492316</v>
      </c>
      <c r="J116" s="54">
        <f t="shared" si="40"/>
        <v>0</v>
      </c>
      <c r="K116" s="54"/>
      <c r="L116" s="129"/>
      <c r="M116" s="54">
        <f t="shared" si="67"/>
        <v>0</v>
      </c>
      <c r="N116" s="129"/>
      <c r="O116" s="54">
        <f t="shared" si="41"/>
        <v>0</v>
      </c>
      <c r="P116" s="54">
        <f t="shared" si="42"/>
        <v>0</v>
      </c>
      <c r="Q116" s="1"/>
    </row>
    <row r="117" spans="2:17" ht="12.5">
      <c r="B117" s="7" t="str">
        <f t="shared" si="39"/>
        <v/>
      </c>
      <c r="C117" s="50">
        <f>IF(D93="","-",+C116+1)</f>
        <v>2031</v>
      </c>
      <c r="D117" s="12">
        <f>IF(F116+SUM(E$99:E116)=D$92,F116,D$92-SUM(E$99:E116))</f>
        <v>2574402.0488056568</v>
      </c>
      <c r="E117" s="378">
        <f t="shared" si="62"/>
        <v>98746.590909090912</v>
      </c>
      <c r="F117" s="55">
        <f t="shared" si="63"/>
        <v>2475655.457896566</v>
      </c>
      <c r="G117" s="55">
        <f t="shared" si="64"/>
        <v>2525028.7533511114</v>
      </c>
      <c r="H117" s="380">
        <f t="shared" si="65"/>
        <v>413179.17971121392</v>
      </c>
      <c r="I117" s="399">
        <f t="shared" si="66"/>
        <v>413179.17971121392</v>
      </c>
      <c r="J117" s="54">
        <f t="shared" si="40"/>
        <v>0</v>
      </c>
      <c r="K117" s="54"/>
      <c r="L117" s="129"/>
      <c r="M117" s="54">
        <f t="shared" si="67"/>
        <v>0</v>
      </c>
      <c r="N117" s="129"/>
      <c r="O117" s="54">
        <f t="shared" si="41"/>
        <v>0</v>
      </c>
      <c r="P117" s="54">
        <f t="shared" si="42"/>
        <v>0</v>
      </c>
      <c r="Q117" s="1"/>
    </row>
    <row r="118" spans="2:17" ht="12.5">
      <c r="B118" s="7" t="str">
        <f t="shared" si="39"/>
        <v/>
      </c>
      <c r="C118" s="50">
        <f>IF(D93="","-",+C117+1)</f>
        <v>2032</v>
      </c>
      <c r="D118" s="12">
        <f>IF(F117+SUM(E$99:E117)=D$92,F117,D$92-SUM(E$99:E117))</f>
        <v>2475655.457896566</v>
      </c>
      <c r="E118" s="378">
        <f t="shared" si="62"/>
        <v>98746.590909090912</v>
      </c>
      <c r="F118" s="55">
        <f t="shared" si="63"/>
        <v>2376908.8669874752</v>
      </c>
      <c r="G118" s="55">
        <f t="shared" si="64"/>
        <v>2426282.1624420206</v>
      </c>
      <c r="H118" s="380">
        <f t="shared" si="65"/>
        <v>400882.62816750479</v>
      </c>
      <c r="I118" s="399">
        <f t="shared" si="66"/>
        <v>400882.62816750479</v>
      </c>
      <c r="J118" s="54">
        <f t="shared" si="40"/>
        <v>0</v>
      </c>
      <c r="K118" s="54"/>
      <c r="L118" s="129"/>
      <c r="M118" s="54">
        <f t="shared" si="67"/>
        <v>0</v>
      </c>
      <c r="N118" s="129"/>
      <c r="O118" s="54">
        <f t="shared" si="41"/>
        <v>0</v>
      </c>
      <c r="P118" s="54">
        <f t="shared" si="42"/>
        <v>0</v>
      </c>
      <c r="Q118" s="1"/>
    </row>
    <row r="119" spans="2:17" ht="12.5">
      <c r="B119" s="7" t="str">
        <f t="shared" si="39"/>
        <v/>
      </c>
      <c r="C119" s="50">
        <f>IF(D93="","-",+C118+1)</f>
        <v>2033</v>
      </c>
      <c r="D119" s="12">
        <f>IF(F118+SUM(E$99:E118)=D$92,F118,D$92-SUM(E$99:E118))</f>
        <v>2376908.8669874752</v>
      </c>
      <c r="E119" s="378">
        <f t="shared" si="62"/>
        <v>98746.590909090912</v>
      </c>
      <c r="F119" s="55">
        <f t="shared" si="63"/>
        <v>2278162.2760783844</v>
      </c>
      <c r="G119" s="55">
        <f t="shared" si="64"/>
        <v>2327535.5715329298</v>
      </c>
      <c r="H119" s="380">
        <f t="shared" si="65"/>
        <v>388586.07662379567</v>
      </c>
      <c r="I119" s="399">
        <f t="shared" si="66"/>
        <v>388586.07662379567</v>
      </c>
      <c r="J119" s="54">
        <f t="shared" si="40"/>
        <v>0</v>
      </c>
      <c r="K119" s="54"/>
      <c r="L119" s="129"/>
      <c r="M119" s="54">
        <f t="shared" si="67"/>
        <v>0</v>
      </c>
      <c r="N119" s="129"/>
      <c r="O119" s="54">
        <f t="shared" si="41"/>
        <v>0</v>
      </c>
      <c r="P119" s="54">
        <f t="shared" si="42"/>
        <v>0</v>
      </c>
      <c r="Q119" s="1"/>
    </row>
    <row r="120" spans="2:17" ht="12.5">
      <c r="B120" s="7" t="str">
        <f t="shared" si="39"/>
        <v/>
      </c>
      <c r="C120" s="50">
        <f>IF(D93="","-",+C119+1)</f>
        <v>2034</v>
      </c>
      <c r="D120" s="12">
        <f>IF(F119+SUM(E$99:E119)=D$92,F119,D$92-SUM(E$99:E119))</f>
        <v>2278162.2760783844</v>
      </c>
      <c r="E120" s="378">
        <f t="shared" si="62"/>
        <v>98746.590909090912</v>
      </c>
      <c r="F120" s="55">
        <f t="shared" si="63"/>
        <v>2179415.6851692935</v>
      </c>
      <c r="G120" s="55">
        <f t="shared" si="64"/>
        <v>2228788.980623839</v>
      </c>
      <c r="H120" s="380">
        <f t="shared" si="65"/>
        <v>376289.52508008655</v>
      </c>
      <c r="I120" s="399">
        <f t="shared" si="66"/>
        <v>376289.52508008655</v>
      </c>
      <c r="J120" s="54">
        <f t="shared" si="40"/>
        <v>0</v>
      </c>
      <c r="K120" s="54"/>
      <c r="L120" s="129"/>
      <c r="M120" s="54">
        <f t="shared" si="67"/>
        <v>0</v>
      </c>
      <c r="N120" s="129"/>
      <c r="O120" s="54">
        <f t="shared" si="41"/>
        <v>0</v>
      </c>
      <c r="P120" s="54">
        <f t="shared" si="42"/>
        <v>0</v>
      </c>
      <c r="Q120" s="1"/>
    </row>
    <row r="121" spans="2:17" ht="12.5">
      <c r="B121" s="7" t="str">
        <f t="shared" si="39"/>
        <v/>
      </c>
      <c r="C121" s="50">
        <f>IF(D93="","-",+C120+1)</f>
        <v>2035</v>
      </c>
      <c r="D121" s="12">
        <f>IF(F120+SUM(E$99:E120)=D$92,F120,D$92-SUM(E$99:E120))</f>
        <v>2179415.6851692935</v>
      </c>
      <c r="E121" s="378">
        <f t="shared" si="62"/>
        <v>98746.590909090912</v>
      </c>
      <c r="F121" s="55">
        <f t="shared" si="63"/>
        <v>2080669.0942602027</v>
      </c>
      <c r="G121" s="55">
        <f t="shared" si="64"/>
        <v>2130042.3897147481</v>
      </c>
      <c r="H121" s="380">
        <f t="shared" si="65"/>
        <v>363992.97353637731</v>
      </c>
      <c r="I121" s="399">
        <f t="shared" si="66"/>
        <v>363992.97353637731</v>
      </c>
      <c r="J121" s="54">
        <f t="shared" si="40"/>
        <v>0</v>
      </c>
      <c r="K121" s="54"/>
      <c r="L121" s="129"/>
      <c r="M121" s="54">
        <f t="shared" si="67"/>
        <v>0</v>
      </c>
      <c r="N121" s="129"/>
      <c r="O121" s="54">
        <f t="shared" si="41"/>
        <v>0</v>
      </c>
      <c r="P121" s="54">
        <f t="shared" si="42"/>
        <v>0</v>
      </c>
      <c r="Q121" s="1"/>
    </row>
    <row r="122" spans="2:17" ht="12.5">
      <c r="B122" s="7" t="str">
        <f t="shared" si="39"/>
        <v/>
      </c>
      <c r="C122" s="50">
        <f>IF(D93="","-",+C121+1)</f>
        <v>2036</v>
      </c>
      <c r="D122" s="12">
        <f>IF(F121+SUM(E$99:E121)=D$92,F121,D$92-SUM(E$99:E121))</f>
        <v>2080669.0942602027</v>
      </c>
      <c r="E122" s="378">
        <f t="shared" si="62"/>
        <v>98746.590909090912</v>
      </c>
      <c r="F122" s="55">
        <f t="shared" si="63"/>
        <v>1981922.5033511119</v>
      </c>
      <c r="G122" s="55">
        <f t="shared" si="64"/>
        <v>2031295.7988056573</v>
      </c>
      <c r="H122" s="380">
        <f t="shared" si="65"/>
        <v>351696.42199266818</v>
      </c>
      <c r="I122" s="399">
        <f t="shared" si="66"/>
        <v>351696.42199266818</v>
      </c>
      <c r="J122" s="54">
        <f t="shared" si="40"/>
        <v>0</v>
      </c>
      <c r="K122" s="54"/>
      <c r="L122" s="129"/>
      <c r="M122" s="54">
        <f t="shared" si="67"/>
        <v>0</v>
      </c>
      <c r="N122" s="129"/>
      <c r="O122" s="54">
        <f t="shared" si="41"/>
        <v>0</v>
      </c>
      <c r="P122" s="54">
        <f t="shared" si="42"/>
        <v>0</v>
      </c>
      <c r="Q122" s="1"/>
    </row>
    <row r="123" spans="2:17" ht="12.5">
      <c r="B123" s="7" t="str">
        <f t="shared" si="39"/>
        <v/>
      </c>
      <c r="C123" s="50">
        <f>IF(D93="","-",+C122+1)</f>
        <v>2037</v>
      </c>
      <c r="D123" s="12">
        <f>IF(F122+SUM(E$99:E122)=D$92,F122,D$92-SUM(E$99:E122))</f>
        <v>1981922.5033511119</v>
      </c>
      <c r="E123" s="378">
        <f t="shared" si="62"/>
        <v>98746.590909090912</v>
      </c>
      <c r="F123" s="55">
        <f t="shared" si="63"/>
        <v>1883175.9124420211</v>
      </c>
      <c r="G123" s="55">
        <f t="shared" si="64"/>
        <v>1932549.2078965665</v>
      </c>
      <c r="H123" s="380">
        <f t="shared" si="65"/>
        <v>339399.87044895906</v>
      </c>
      <c r="I123" s="399">
        <f t="shared" si="66"/>
        <v>339399.87044895906</v>
      </c>
      <c r="J123" s="54">
        <f t="shared" si="40"/>
        <v>0</v>
      </c>
      <c r="K123" s="54"/>
      <c r="L123" s="129"/>
      <c r="M123" s="54">
        <f t="shared" si="67"/>
        <v>0</v>
      </c>
      <c r="N123" s="129"/>
      <c r="O123" s="54">
        <f t="shared" si="41"/>
        <v>0</v>
      </c>
      <c r="P123" s="54">
        <f t="shared" si="42"/>
        <v>0</v>
      </c>
      <c r="Q123" s="1"/>
    </row>
    <row r="124" spans="2:17" ht="12.5">
      <c r="B124" s="7" t="str">
        <f t="shared" si="39"/>
        <v/>
      </c>
      <c r="C124" s="50">
        <f>IF(D93="","-",+C123+1)</f>
        <v>2038</v>
      </c>
      <c r="D124" s="12">
        <f>IF(F123+SUM(E$99:E123)=D$92,F123,D$92-SUM(E$99:E123))</f>
        <v>1883175.9124420211</v>
      </c>
      <c r="E124" s="378">
        <f t="shared" si="62"/>
        <v>98746.590909090912</v>
      </c>
      <c r="F124" s="55">
        <f t="shared" si="63"/>
        <v>1784429.3215329302</v>
      </c>
      <c r="G124" s="55">
        <f t="shared" si="64"/>
        <v>1833802.6169874757</v>
      </c>
      <c r="H124" s="380">
        <f t="shared" si="65"/>
        <v>327103.31890524988</v>
      </c>
      <c r="I124" s="399">
        <f t="shared" si="66"/>
        <v>327103.31890524988</v>
      </c>
      <c r="J124" s="54">
        <f t="shared" si="40"/>
        <v>0</v>
      </c>
      <c r="K124" s="54"/>
      <c r="L124" s="129"/>
      <c r="M124" s="54">
        <f t="shared" si="67"/>
        <v>0</v>
      </c>
      <c r="N124" s="129"/>
      <c r="O124" s="54">
        <f t="shared" si="41"/>
        <v>0</v>
      </c>
      <c r="P124" s="54">
        <f t="shared" si="42"/>
        <v>0</v>
      </c>
      <c r="Q124" s="1"/>
    </row>
    <row r="125" spans="2:17" ht="12.5">
      <c r="B125" s="7" t="str">
        <f t="shared" si="39"/>
        <v/>
      </c>
      <c r="C125" s="50">
        <f>IF(D93="","-",+C124+1)</f>
        <v>2039</v>
      </c>
      <c r="D125" s="12">
        <f>IF(F124+SUM(E$99:E124)=D$92,F124,D$92-SUM(E$99:E124))</f>
        <v>1784429.3215329302</v>
      </c>
      <c r="E125" s="378">
        <f t="shared" si="62"/>
        <v>98746.590909090912</v>
      </c>
      <c r="F125" s="55">
        <f t="shared" si="63"/>
        <v>1685682.7306238394</v>
      </c>
      <c r="G125" s="55">
        <f t="shared" si="64"/>
        <v>1735056.0260783848</v>
      </c>
      <c r="H125" s="380">
        <f t="shared" si="65"/>
        <v>314806.7673615407</v>
      </c>
      <c r="I125" s="399">
        <f t="shared" si="66"/>
        <v>314806.7673615407</v>
      </c>
      <c r="J125" s="54">
        <f t="shared" si="40"/>
        <v>0</v>
      </c>
      <c r="K125" s="54"/>
      <c r="L125" s="129"/>
      <c r="M125" s="54">
        <f t="shared" si="67"/>
        <v>0</v>
      </c>
      <c r="N125" s="129"/>
      <c r="O125" s="54">
        <f t="shared" si="41"/>
        <v>0</v>
      </c>
      <c r="P125" s="54">
        <f t="shared" si="42"/>
        <v>0</v>
      </c>
      <c r="Q125" s="1"/>
    </row>
    <row r="126" spans="2:17" ht="12.5">
      <c r="B126" s="7" t="str">
        <f t="shared" si="39"/>
        <v/>
      </c>
      <c r="C126" s="50">
        <f>IF(D93="","-",+C125+1)</f>
        <v>2040</v>
      </c>
      <c r="D126" s="12">
        <f>IF(F125+SUM(E$99:E125)=D$92,F125,D$92-SUM(E$99:E125))</f>
        <v>1685682.7306238394</v>
      </c>
      <c r="E126" s="378">
        <f t="shared" si="62"/>
        <v>98746.590909090912</v>
      </c>
      <c r="F126" s="55">
        <f t="shared" si="63"/>
        <v>1586936.1397147486</v>
      </c>
      <c r="G126" s="55">
        <f t="shared" si="64"/>
        <v>1636309.435169294</v>
      </c>
      <c r="H126" s="380">
        <f t="shared" si="65"/>
        <v>302510.21581783157</v>
      </c>
      <c r="I126" s="399">
        <f t="shared" si="66"/>
        <v>302510.21581783157</v>
      </c>
      <c r="J126" s="54">
        <f t="shared" si="40"/>
        <v>0</v>
      </c>
      <c r="K126" s="54"/>
      <c r="L126" s="129"/>
      <c r="M126" s="54">
        <f t="shared" si="67"/>
        <v>0</v>
      </c>
      <c r="N126" s="129"/>
      <c r="O126" s="54">
        <f t="shared" si="41"/>
        <v>0</v>
      </c>
      <c r="P126" s="54">
        <f t="shared" si="42"/>
        <v>0</v>
      </c>
      <c r="Q126" s="1"/>
    </row>
    <row r="127" spans="2:17" ht="12.5">
      <c r="B127" s="7" t="str">
        <f t="shared" si="39"/>
        <v/>
      </c>
      <c r="C127" s="50">
        <f>IF(D93="","-",+C126+1)</f>
        <v>2041</v>
      </c>
      <c r="D127" s="12">
        <f>IF(F126+SUM(E$99:E126)=D$92,F126,D$92-SUM(E$99:E126))</f>
        <v>1586936.1397147486</v>
      </c>
      <c r="E127" s="378">
        <f t="shared" si="62"/>
        <v>98746.590909090912</v>
      </c>
      <c r="F127" s="55">
        <f t="shared" si="63"/>
        <v>1488189.5488056578</v>
      </c>
      <c r="G127" s="55">
        <f t="shared" si="64"/>
        <v>1537562.8442602032</v>
      </c>
      <c r="H127" s="380">
        <f t="shared" si="65"/>
        <v>290213.66427412239</v>
      </c>
      <c r="I127" s="399">
        <f t="shared" si="66"/>
        <v>290213.66427412239</v>
      </c>
      <c r="J127" s="54">
        <f t="shared" si="40"/>
        <v>0</v>
      </c>
      <c r="K127" s="54"/>
      <c r="L127" s="129"/>
      <c r="M127" s="54">
        <f t="shared" si="67"/>
        <v>0</v>
      </c>
      <c r="N127" s="129"/>
      <c r="O127" s="54">
        <f t="shared" si="41"/>
        <v>0</v>
      </c>
      <c r="P127" s="54">
        <f t="shared" si="42"/>
        <v>0</v>
      </c>
      <c r="Q127" s="1"/>
    </row>
    <row r="128" spans="2:17" ht="12.5">
      <c r="B128" s="7" t="str">
        <f t="shared" si="39"/>
        <v/>
      </c>
      <c r="C128" s="50">
        <f>IF(D93="","-",+C127+1)</f>
        <v>2042</v>
      </c>
      <c r="D128" s="12">
        <f>IF(F127+SUM(E$99:E127)=D$92,F127,D$92-SUM(E$99:E127))</f>
        <v>1488189.5488056578</v>
      </c>
      <c r="E128" s="378">
        <f t="shared" si="62"/>
        <v>98746.590909090912</v>
      </c>
      <c r="F128" s="55">
        <f t="shared" si="63"/>
        <v>1389442.9578965669</v>
      </c>
      <c r="G128" s="55">
        <f t="shared" si="64"/>
        <v>1438816.2533511124</v>
      </c>
      <c r="H128" s="380">
        <f t="shared" si="65"/>
        <v>277917.11273041321</v>
      </c>
      <c r="I128" s="399">
        <f t="shared" si="66"/>
        <v>277917.11273041321</v>
      </c>
      <c r="J128" s="54">
        <f t="shared" si="40"/>
        <v>0</v>
      </c>
      <c r="K128" s="54"/>
      <c r="L128" s="129"/>
      <c r="M128" s="54">
        <f t="shared" si="67"/>
        <v>0</v>
      </c>
      <c r="N128" s="129"/>
      <c r="O128" s="54">
        <f t="shared" si="41"/>
        <v>0</v>
      </c>
      <c r="P128" s="54">
        <f t="shared" si="42"/>
        <v>0</v>
      </c>
      <c r="Q128" s="1"/>
    </row>
    <row r="129" spans="2:17" ht="12.5">
      <c r="B129" s="7" t="str">
        <f t="shared" si="39"/>
        <v/>
      </c>
      <c r="C129" s="50">
        <f>IF(D93="","-",+C128+1)</f>
        <v>2043</v>
      </c>
      <c r="D129" s="12">
        <f>IF(F128+SUM(E$99:E128)=D$92,F128,D$92-SUM(E$99:E128))</f>
        <v>1389442.9578965669</v>
      </c>
      <c r="E129" s="378">
        <f t="shared" si="62"/>
        <v>98746.590909090912</v>
      </c>
      <c r="F129" s="55">
        <f t="shared" si="63"/>
        <v>1290696.3669874761</v>
      </c>
      <c r="G129" s="55">
        <f t="shared" si="64"/>
        <v>1340069.6624420215</v>
      </c>
      <c r="H129" s="380">
        <f t="shared" si="65"/>
        <v>265620.56118670409</v>
      </c>
      <c r="I129" s="399">
        <f t="shared" si="66"/>
        <v>265620.56118670409</v>
      </c>
      <c r="J129" s="54">
        <f t="shared" si="40"/>
        <v>0</v>
      </c>
      <c r="K129" s="54"/>
      <c r="L129" s="129"/>
      <c r="M129" s="54">
        <f t="shared" si="67"/>
        <v>0</v>
      </c>
      <c r="N129" s="129"/>
      <c r="O129" s="54">
        <f t="shared" si="41"/>
        <v>0</v>
      </c>
      <c r="P129" s="54">
        <f t="shared" si="42"/>
        <v>0</v>
      </c>
      <c r="Q129" s="1"/>
    </row>
    <row r="130" spans="2:17" ht="12.5">
      <c r="B130" s="7" t="str">
        <f t="shared" si="39"/>
        <v/>
      </c>
      <c r="C130" s="50">
        <f>IF(D93="","-",+C129+1)</f>
        <v>2044</v>
      </c>
      <c r="D130" s="12">
        <f>IF(F129+SUM(E$99:E129)=D$92,F129,D$92-SUM(E$99:E129))</f>
        <v>1290696.3669874761</v>
      </c>
      <c r="E130" s="378">
        <f t="shared" si="62"/>
        <v>98746.590909090912</v>
      </c>
      <c r="F130" s="55">
        <f t="shared" si="63"/>
        <v>1191949.7760783853</v>
      </c>
      <c r="G130" s="55">
        <f t="shared" si="64"/>
        <v>1241323.0715329307</v>
      </c>
      <c r="H130" s="380">
        <f t="shared" si="65"/>
        <v>253324.00964299493</v>
      </c>
      <c r="I130" s="399">
        <f t="shared" si="66"/>
        <v>253324.00964299493</v>
      </c>
      <c r="J130" s="54">
        <f t="shared" si="40"/>
        <v>0</v>
      </c>
      <c r="K130" s="54"/>
      <c r="L130" s="129"/>
      <c r="M130" s="54">
        <f t="shared" si="67"/>
        <v>0</v>
      </c>
      <c r="N130" s="129"/>
      <c r="O130" s="54">
        <f t="shared" si="41"/>
        <v>0</v>
      </c>
      <c r="P130" s="54">
        <f t="shared" si="42"/>
        <v>0</v>
      </c>
      <c r="Q130" s="1"/>
    </row>
    <row r="131" spans="2:17" ht="12.5">
      <c r="B131" s="7" t="str">
        <f t="shared" si="39"/>
        <v/>
      </c>
      <c r="C131" s="50">
        <f>IF(D93="","-",+C130+1)</f>
        <v>2045</v>
      </c>
      <c r="D131" s="12">
        <f>IF(F130+SUM(E$99:E130)=D$92,F130,D$92-SUM(E$99:E130))</f>
        <v>1191949.7760783853</v>
      </c>
      <c r="E131" s="378">
        <f t="shared" si="62"/>
        <v>98746.590909090912</v>
      </c>
      <c r="F131" s="55">
        <f t="shared" si="63"/>
        <v>1093203.1851692945</v>
      </c>
      <c r="G131" s="55">
        <f t="shared" si="64"/>
        <v>1142576.4806238399</v>
      </c>
      <c r="H131" s="380">
        <f t="shared" si="65"/>
        <v>241027.45809928578</v>
      </c>
      <c r="I131" s="399">
        <f t="shared" si="66"/>
        <v>241027.45809928578</v>
      </c>
      <c r="J131" s="54">
        <f t="shared" si="40"/>
        <v>0</v>
      </c>
      <c r="K131" s="54"/>
      <c r="L131" s="129"/>
      <c r="M131" s="54">
        <f t="shared" ref="M131:M154" si="68">IF(L541&lt;&gt;0,+H541-L541,0)</f>
        <v>0</v>
      </c>
      <c r="N131" s="129"/>
      <c r="O131" s="54">
        <f t="shared" ref="O131:O154" si="69">IF(N541&lt;&gt;0,+I541-N541,0)</f>
        <v>0</v>
      </c>
      <c r="P131" s="54">
        <f t="shared" ref="P131:P154" si="70">+O541-M541</f>
        <v>0</v>
      </c>
      <c r="Q131" s="1"/>
    </row>
    <row r="132" spans="2:17" ht="12.5">
      <c r="B132" s="7" t="str">
        <f t="shared" si="39"/>
        <v/>
      </c>
      <c r="C132" s="50">
        <f>IF(D93="","-",+C131+1)</f>
        <v>2046</v>
      </c>
      <c r="D132" s="12">
        <f>IF(F131+SUM(E$99:E131)=D$92,F131,D$92-SUM(E$99:E131))</f>
        <v>1093203.1851692945</v>
      </c>
      <c r="E132" s="378">
        <f t="shared" si="62"/>
        <v>98746.590909090912</v>
      </c>
      <c r="F132" s="55">
        <f t="shared" si="63"/>
        <v>994456.59426020354</v>
      </c>
      <c r="G132" s="55">
        <f t="shared" si="64"/>
        <v>1043829.8897147491</v>
      </c>
      <c r="H132" s="380">
        <f t="shared" si="65"/>
        <v>228730.9065555766</v>
      </c>
      <c r="I132" s="399">
        <f t="shared" si="66"/>
        <v>228730.9065555766</v>
      </c>
      <c r="J132" s="54">
        <f t="shared" si="40"/>
        <v>0</v>
      </c>
      <c r="K132" s="54"/>
      <c r="L132" s="129"/>
      <c r="M132" s="54">
        <f t="shared" si="68"/>
        <v>0</v>
      </c>
      <c r="N132" s="129"/>
      <c r="O132" s="54">
        <f t="shared" si="69"/>
        <v>0</v>
      </c>
      <c r="P132" s="54">
        <f t="shared" si="70"/>
        <v>0</v>
      </c>
      <c r="Q132" s="1"/>
    </row>
    <row r="133" spans="2:17" ht="12.5">
      <c r="B133" s="7" t="str">
        <f t="shared" si="39"/>
        <v/>
      </c>
      <c r="C133" s="50">
        <f>IF(D93="","-",+C132+1)</f>
        <v>2047</v>
      </c>
      <c r="D133" s="12">
        <f>IF(F132+SUM(E$99:E132)=D$92,F132,D$92-SUM(E$99:E132))</f>
        <v>994456.59426020354</v>
      </c>
      <c r="E133" s="378">
        <f t="shared" si="62"/>
        <v>98746.590909090912</v>
      </c>
      <c r="F133" s="55">
        <f t="shared" si="63"/>
        <v>895710.00335111259</v>
      </c>
      <c r="G133" s="55">
        <f t="shared" si="64"/>
        <v>945083.29880565801</v>
      </c>
      <c r="H133" s="380">
        <f t="shared" si="65"/>
        <v>216434.35501186742</v>
      </c>
      <c r="I133" s="399">
        <f t="shared" si="66"/>
        <v>216434.35501186742</v>
      </c>
      <c r="J133" s="54">
        <f t="shared" si="40"/>
        <v>0</v>
      </c>
      <c r="K133" s="54"/>
      <c r="L133" s="129"/>
      <c r="M133" s="54">
        <f t="shared" si="68"/>
        <v>0</v>
      </c>
      <c r="N133" s="129"/>
      <c r="O133" s="54">
        <f t="shared" si="69"/>
        <v>0</v>
      </c>
      <c r="P133" s="54">
        <f t="shared" si="70"/>
        <v>0</v>
      </c>
      <c r="Q133" s="1"/>
    </row>
    <row r="134" spans="2:17" ht="12.5">
      <c r="B134" s="7" t="str">
        <f t="shared" si="39"/>
        <v/>
      </c>
      <c r="C134" s="50">
        <f>IF(D93="","-",+C133+1)</f>
        <v>2048</v>
      </c>
      <c r="D134" s="12">
        <f>IF(F133+SUM(E$99:E133)=D$92,F133,D$92-SUM(E$99:E133))</f>
        <v>895710.00335111259</v>
      </c>
      <c r="E134" s="378">
        <f t="shared" si="62"/>
        <v>98746.590909090912</v>
      </c>
      <c r="F134" s="55">
        <f t="shared" si="63"/>
        <v>796963.41244202165</v>
      </c>
      <c r="G134" s="55">
        <f t="shared" si="64"/>
        <v>846336.70789656718</v>
      </c>
      <c r="H134" s="380">
        <f t="shared" si="65"/>
        <v>204137.80346815826</v>
      </c>
      <c r="I134" s="399">
        <f t="shared" si="66"/>
        <v>204137.80346815826</v>
      </c>
      <c r="J134" s="54">
        <f t="shared" si="40"/>
        <v>0</v>
      </c>
      <c r="K134" s="54"/>
      <c r="L134" s="129"/>
      <c r="M134" s="54">
        <f t="shared" si="68"/>
        <v>0</v>
      </c>
      <c r="N134" s="129"/>
      <c r="O134" s="54">
        <f t="shared" si="69"/>
        <v>0</v>
      </c>
      <c r="P134" s="54">
        <f t="shared" si="70"/>
        <v>0</v>
      </c>
      <c r="Q134" s="1"/>
    </row>
    <row r="135" spans="2:17" ht="12.5">
      <c r="B135" s="7" t="str">
        <f t="shared" si="39"/>
        <v/>
      </c>
      <c r="C135" s="50">
        <f>IF(D93="","-",+C134+1)</f>
        <v>2049</v>
      </c>
      <c r="D135" s="12">
        <f>IF(F134+SUM(E$99:E134)=D$92,F134,D$92-SUM(E$99:E134))</f>
        <v>796963.41244202165</v>
      </c>
      <c r="E135" s="378">
        <f t="shared" si="62"/>
        <v>98746.590909090912</v>
      </c>
      <c r="F135" s="55">
        <f t="shared" si="63"/>
        <v>698216.82153293071</v>
      </c>
      <c r="G135" s="55">
        <f t="shared" si="64"/>
        <v>747590.11698747613</v>
      </c>
      <c r="H135" s="380">
        <f t="shared" si="65"/>
        <v>191841.25192444908</v>
      </c>
      <c r="I135" s="399">
        <f t="shared" si="66"/>
        <v>191841.25192444908</v>
      </c>
      <c r="J135" s="54">
        <f t="shared" si="40"/>
        <v>0</v>
      </c>
      <c r="K135" s="54"/>
      <c r="L135" s="129"/>
      <c r="M135" s="54">
        <f t="shared" si="68"/>
        <v>0</v>
      </c>
      <c r="N135" s="129"/>
      <c r="O135" s="54">
        <f t="shared" si="69"/>
        <v>0</v>
      </c>
      <c r="P135" s="54">
        <f t="shared" si="70"/>
        <v>0</v>
      </c>
      <c r="Q135" s="1"/>
    </row>
    <row r="136" spans="2:17" ht="12.5">
      <c r="B136" s="7" t="str">
        <f t="shared" si="39"/>
        <v/>
      </c>
      <c r="C136" s="50">
        <f>IF(D93="","-",+C135+1)</f>
        <v>2050</v>
      </c>
      <c r="D136" s="12">
        <f>IF(F135+SUM(E$99:E135)=D$92,F135,D$92-SUM(E$99:E135))</f>
        <v>698216.82153293071</v>
      </c>
      <c r="E136" s="378">
        <f t="shared" si="62"/>
        <v>98746.590909090912</v>
      </c>
      <c r="F136" s="55">
        <f t="shared" si="63"/>
        <v>599470.23062383977</v>
      </c>
      <c r="G136" s="55">
        <f t="shared" si="64"/>
        <v>648843.5260783853</v>
      </c>
      <c r="H136" s="380">
        <f t="shared" si="65"/>
        <v>179544.70038073993</v>
      </c>
      <c r="I136" s="399">
        <f t="shared" si="66"/>
        <v>179544.70038073993</v>
      </c>
      <c r="J136" s="54">
        <f t="shared" si="40"/>
        <v>0</v>
      </c>
      <c r="K136" s="54"/>
      <c r="L136" s="129"/>
      <c r="M136" s="54">
        <f t="shared" si="68"/>
        <v>0</v>
      </c>
      <c r="N136" s="129"/>
      <c r="O136" s="54">
        <f t="shared" si="69"/>
        <v>0</v>
      </c>
      <c r="P136" s="54">
        <f t="shared" si="70"/>
        <v>0</v>
      </c>
      <c r="Q136" s="1"/>
    </row>
    <row r="137" spans="2:17" ht="12.5">
      <c r="B137" s="7" t="str">
        <f t="shared" si="39"/>
        <v/>
      </c>
      <c r="C137" s="50">
        <f>IF(D93="","-",+C136+1)</f>
        <v>2051</v>
      </c>
      <c r="D137" s="12">
        <f>IF(F136+SUM(E$99:E136)=D$92,F136,D$92-SUM(E$99:E136))</f>
        <v>599470.23062383977</v>
      </c>
      <c r="E137" s="378">
        <f t="shared" si="62"/>
        <v>98746.590909090912</v>
      </c>
      <c r="F137" s="55">
        <f t="shared" si="63"/>
        <v>500723.63971474883</v>
      </c>
      <c r="G137" s="55">
        <f t="shared" si="64"/>
        <v>550096.93516929424</v>
      </c>
      <c r="H137" s="380">
        <f t="shared" si="65"/>
        <v>167248.14883703075</v>
      </c>
      <c r="I137" s="399">
        <f t="shared" si="66"/>
        <v>167248.14883703075</v>
      </c>
      <c r="J137" s="54">
        <f t="shared" si="40"/>
        <v>0</v>
      </c>
      <c r="K137" s="54"/>
      <c r="L137" s="129"/>
      <c r="M137" s="54">
        <f t="shared" si="68"/>
        <v>0</v>
      </c>
      <c r="N137" s="129"/>
      <c r="O137" s="54">
        <f t="shared" si="69"/>
        <v>0</v>
      </c>
      <c r="P137" s="54">
        <f t="shared" si="70"/>
        <v>0</v>
      </c>
      <c r="Q137" s="1"/>
    </row>
    <row r="138" spans="2:17" ht="12.5">
      <c r="B138" s="7" t="str">
        <f t="shared" si="39"/>
        <v/>
      </c>
      <c r="C138" s="50">
        <f>IF(D93="","-",+C137+1)</f>
        <v>2052</v>
      </c>
      <c r="D138" s="12">
        <f>IF(F137+SUM(E$99:E137)=D$92,F137,D$92-SUM(E$99:E137))</f>
        <v>500723.63971474883</v>
      </c>
      <c r="E138" s="378">
        <f t="shared" si="62"/>
        <v>98746.590909090912</v>
      </c>
      <c r="F138" s="55">
        <f t="shared" si="63"/>
        <v>401977.04880565789</v>
      </c>
      <c r="G138" s="55">
        <f t="shared" si="64"/>
        <v>451350.34426020336</v>
      </c>
      <c r="H138" s="380">
        <f t="shared" si="65"/>
        <v>154951.59729332157</v>
      </c>
      <c r="I138" s="399">
        <f t="shared" si="66"/>
        <v>154951.59729332157</v>
      </c>
      <c r="J138" s="54">
        <f t="shared" si="40"/>
        <v>0</v>
      </c>
      <c r="K138" s="54"/>
      <c r="L138" s="129"/>
      <c r="M138" s="54">
        <f t="shared" si="68"/>
        <v>0</v>
      </c>
      <c r="N138" s="129"/>
      <c r="O138" s="54">
        <f t="shared" si="69"/>
        <v>0</v>
      </c>
      <c r="P138" s="54">
        <f t="shared" si="70"/>
        <v>0</v>
      </c>
      <c r="Q138" s="1"/>
    </row>
    <row r="139" spans="2:17" ht="12.5">
      <c r="B139" s="7" t="str">
        <f t="shared" si="39"/>
        <v/>
      </c>
      <c r="C139" s="50">
        <f>IF(D93="","-",+C138+1)</f>
        <v>2053</v>
      </c>
      <c r="D139" s="12">
        <f>IF(F138+SUM(E$99:E138)=D$92,F138,D$92-SUM(E$99:E138))</f>
        <v>401977.04880565789</v>
      </c>
      <c r="E139" s="378">
        <f t="shared" si="62"/>
        <v>98746.590909090912</v>
      </c>
      <c r="F139" s="55">
        <f t="shared" si="63"/>
        <v>303230.45789656695</v>
      </c>
      <c r="G139" s="55">
        <f t="shared" si="64"/>
        <v>352603.75335111242</v>
      </c>
      <c r="H139" s="380">
        <f t="shared" si="65"/>
        <v>142655.04574961239</v>
      </c>
      <c r="I139" s="399">
        <f t="shared" si="66"/>
        <v>142655.04574961239</v>
      </c>
      <c r="J139" s="54">
        <f t="shared" si="40"/>
        <v>0</v>
      </c>
      <c r="K139" s="54"/>
      <c r="L139" s="129"/>
      <c r="M139" s="54">
        <f t="shared" si="68"/>
        <v>0</v>
      </c>
      <c r="N139" s="129"/>
      <c r="O139" s="54">
        <f t="shared" si="69"/>
        <v>0</v>
      </c>
      <c r="P139" s="54">
        <f t="shared" si="70"/>
        <v>0</v>
      </c>
      <c r="Q139" s="1"/>
    </row>
    <row r="140" spans="2:17" ht="12.5">
      <c r="B140" s="7" t="str">
        <f t="shared" si="39"/>
        <v/>
      </c>
      <c r="C140" s="50">
        <f>IF(D93="","-",+C139+1)</f>
        <v>2054</v>
      </c>
      <c r="D140" s="12">
        <f>IF(F139+SUM(E$99:E139)=D$92,F139,D$92-SUM(E$99:E139))</f>
        <v>303230.45789656695</v>
      </c>
      <c r="E140" s="378">
        <f t="shared" si="62"/>
        <v>98746.590909090912</v>
      </c>
      <c r="F140" s="55">
        <f t="shared" si="63"/>
        <v>204483.86698747604</v>
      </c>
      <c r="G140" s="55">
        <f t="shared" si="64"/>
        <v>253857.16244202148</v>
      </c>
      <c r="H140" s="380">
        <f t="shared" si="65"/>
        <v>130358.49420590323</v>
      </c>
      <c r="I140" s="399">
        <f t="shared" si="66"/>
        <v>130358.49420590323</v>
      </c>
      <c r="J140" s="54">
        <f t="shared" si="40"/>
        <v>0</v>
      </c>
      <c r="K140" s="54"/>
      <c r="L140" s="129"/>
      <c r="M140" s="54">
        <f t="shared" si="68"/>
        <v>0</v>
      </c>
      <c r="N140" s="129"/>
      <c r="O140" s="54">
        <f t="shared" si="69"/>
        <v>0</v>
      </c>
      <c r="P140" s="54">
        <f t="shared" si="70"/>
        <v>0</v>
      </c>
      <c r="Q140" s="1"/>
    </row>
    <row r="141" spans="2:17" ht="12.5">
      <c r="B141" s="7" t="str">
        <f t="shared" si="39"/>
        <v/>
      </c>
      <c r="C141" s="50">
        <f>IF(D93="","-",+C140+1)</f>
        <v>2055</v>
      </c>
      <c r="D141" s="12">
        <f>IF(F140+SUM(E$99:E140)=D$92,F140,D$92-SUM(E$99:E140))</f>
        <v>204483.86698747604</v>
      </c>
      <c r="E141" s="378">
        <f t="shared" si="62"/>
        <v>98746.590909090912</v>
      </c>
      <c r="F141" s="55">
        <f t="shared" si="63"/>
        <v>105737.27607838513</v>
      </c>
      <c r="G141" s="55">
        <f t="shared" si="64"/>
        <v>155110.5715329306</v>
      </c>
      <c r="H141" s="380">
        <f t="shared" si="65"/>
        <v>118061.94266219407</v>
      </c>
      <c r="I141" s="399">
        <f t="shared" si="66"/>
        <v>118061.94266219407</v>
      </c>
      <c r="J141" s="54">
        <f t="shared" si="40"/>
        <v>0</v>
      </c>
      <c r="K141" s="54"/>
      <c r="L141" s="129"/>
      <c r="M141" s="54">
        <f t="shared" si="68"/>
        <v>0</v>
      </c>
      <c r="N141" s="129"/>
      <c r="O141" s="54">
        <f t="shared" si="69"/>
        <v>0</v>
      </c>
      <c r="P141" s="54">
        <f t="shared" si="70"/>
        <v>0</v>
      </c>
      <c r="Q141" s="1"/>
    </row>
    <row r="142" spans="2:17" ht="12.5">
      <c r="B142" s="7" t="str">
        <f t="shared" si="39"/>
        <v/>
      </c>
      <c r="C142" s="50">
        <f>IF(D93="","-",+C141+1)</f>
        <v>2056</v>
      </c>
      <c r="D142" s="12">
        <f>IF(F141+SUM(E$99:E141)=D$92,F141,D$92-SUM(E$99:E141))</f>
        <v>105737.27607838513</v>
      </c>
      <c r="E142" s="378">
        <f t="shared" si="62"/>
        <v>98746.590909090912</v>
      </c>
      <c r="F142" s="55">
        <f t="shared" si="63"/>
        <v>6990.6851692942146</v>
      </c>
      <c r="G142" s="55">
        <f t="shared" si="64"/>
        <v>56363.98062383967</v>
      </c>
      <c r="H142" s="380">
        <f t="shared" si="65"/>
        <v>105765.3911184849</v>
      </c>
      <c r="I142" s="399">
        <f t="shared" si="66"/>
        <v>105765.3911184849</v>
      </c>
      <c r="J142" s="54">
        <f t="shared" si="40"/>
        <v>0</v>
      </c>
      <c r="K142" s="54"/>
      <c r="L142" s="129"/>
      <c r="M142" s="54">
        <f t="shared" si="68"/>
        <v>0</v>
      </c>
      <c r="N142" s="129"/>
      <c r="O142" s="54">
        <f t="shared" si="69"/>
        <v>0</v>
      </c>
      <c r="P142" s="54">
        <f t="shared" si="70"/>
        <v>0</v>
      </c>
      <c r="Q142" s="1"/>
    </row>
    <row r="143" spans="2:17" ht="12.5">
      <c r="B143" s="7" t="str">
        <f t="shared" si="39"/>
        <v/>
      </c>
      <c r="C143" s="50">
        <f>IF(D93="","-",+C142+1)</f>
        <v>2057</v>
      </c>
      <c r="D143" s="12">
        <f>IF(F142+SUM(E$99:E142)=D$92,F142,D$92-SUM(E$99:E142))</f>
        <v>6990.6851692942146</v>
      </c>
      <c r="E143" s="378">
        <f t="shared" si="62"/>
        <v>6990.6851692942146</v>
      </c>
      <c r="F143" s="55">
        <f t="shared" si="63"/>
        <v>0</v>
      </c>
      <c r="G143" s="55">
        <f t="shared" si="64"/>
        <v>3495.3425846471073</v>
      </c>
      <c r="H143" s="380">
        <f t="shared" si="65"/>
        <v>7425.9473880639143</v>
      </c>
      <c r="I143" s="399">
        <f t="shared" si="66"/>
        <v>7425.9473880639143</v>
      </c>
      <c r="J143" s="54">
        <f t="shared" si="40"/>
        <v>0</v>
      </c>
      <c r="K143" s="54"/>
      <c r="L143" s="129"/>
      <c r="M143" s="54">
        <f t="shared" si="68"/>
        <v>0</v>
      </c>
      <c r="N143" s="129"/>
      <c r="O143" s="54">
        <f t="shared" si="69"/>
        <v>0</v>
      </c>
      <c r="P143" s="54">
        <f t="shared" si="70"/>
        <v>0</v>
      </c>
      <c r="Q143" s="1"/>
    </row>
    <row r="144" spans="2:17" ht="12.5">
      <c r="B144" s="7" t="str">
        <f t="shared" si="39"/>
        <v/>
      </c>
      <c r="C144" s="50">
        <f>IF(D93="","-",+C143+1)</f>
        <v>2058</v>
      </c>
      <c r="D144" s="12">
        <f>IF(F143+SUM(E$99:E143)=D$92,F143,D$92-SUM(E$99:E143))</f>
        <v>0</v>
      </c>
      <c r="E144" s="378">
        <f t="shared" si="62"/>
        <v>0</v>
      </c>
      <c r="F144" s="55">
        <f t="shared" si="63"/>
        <v>0</v>
      </c>
      <c r="G144" s="55">
        <f t="shared" si="64"/>
        <v>0</v>
      </c>
      <c r="H144" s="380">
        <f t="shared" si="65"/>
        <v>0</v>
      </c>
      <c r="I144" s="399">
        <f t="shared" si="66"/>
        <v>0</v>
      </c>
      <c r="J144" s="54">
        <f t="shared" si="40"/>
        <v>0</v>
      </c>
      <c r="K144" s="54"/>
      <c r="L144" s="129"/>
      <c r="M144" s="54">
        <f t="shared" si="68"/>
        <v>0</v>
      </c>
      <c r="N144" s="129"/>
      <c r="O144" s="54">
        <f t="shared" si="69"/>
        <v>0</v>
      </c>
      <c r="P144" s="54">
        <f t="shared" si="70"/>
        <v>0</v>
      </c>
      <c r="Q144" s="1"/>
    </row>
    <row r="145" spans="2:17" ht="12.5">
      <c r="B145" s="7" t="str">
        <f t="shared" si="39"/>
        <v/>
      </c>
      <c r="C145" s="50">
        <f>IF(D93="","-",+C144+1)</f>
        <v>2059</v>
      </c>
      <c r="D145" s="12">
        <f>IF(F144+SUM(E$99:E144)=D$92,F144,D$92-SUM(E$99:E144))</f>
        <v>0</v>
      </c>
      <c r="E145" s="378">
        <f t="shared" si="62"/>
        <v>0</v>
      </c>
      <c r="F145" s="55">
        <f t="shared" si="63"/>
        <v>0</v>
      </c>
      <c r="G145" s="55">
        <f t="shared" si="64"/>
        <v>0</v>
      </c>
      <c r="H145" s="380">
        <f t="shared" si="65"/>
        <v>0</v>
      </c>
      <c r="I145" s="399">
        <f t="shared" si="66"/>
        <v>0</v>
      </c>
      <c r="J145" s="54">
        <f t="shared" si="40"/>
        <v>0</v>
      </c>
      <c r="K145" s="54"/>
      <c r="L145" s="129"/>
      <c r="M145" s="54">
        <f t="shared" si="68"/>
        <v>0</v>
      </c>
      <c r="N145" s="129"/>
      <c r="O145" s="54">
        <f t="shared" si="69"/>
        <v>0</v>
      </c>
      <c r="P145" s="54">
        <f t="shared" si="70"/>
        <v>0</v>
      </c>
      <c r="Q145" s="1"/>
    </row>
    <row r="146" spans="2:17" ht="12.5">
      <c r="B146" s="7" t="str">
        <f t="shared" si="39"/>
        <v/>
      </c>
      <c r="C146" s="50">
        <f>IF(D93="","-",+C145+1)</f>
        <v>2060</v>
      </c>
      <c r="D146" s="12">
        <f>IF(F145+SUM(E$99:E145)=D$92,F145,D$92-SUM(E$99:E145))</f>
        <v>0</v>
      </c>
      <c r="E146" s="378">
        <f t="shared" si="62"/>
        <v>0</v>
      </c>
      <c r="F146" s="55">
        <f t="shared" si="63"/>
        <v>0</v>
      </c>
      <c r="G146" s="55">
        <f t="shared" si="64"/>
        <v>0</v>
      </c>
      <c r="H146" s="380">
        <f t="shared" si="65"/>
        <v>0</v>
      </c>
      <c r="I146" s="399">
        <f t="shared" si="66"/>
        <v>0</v>
      </c>
      <c r="J146" s="54">
        <f t="shared" si="40"/>
        <v>0</v>
      </c>
      <c r="K146" s="54"/>
      <c r="L146" s="129"/>
      <c r="M146" s="54">
        <f t="shared" si="68"/>
        <v>0</v>
      </c>
      <c r="N146" s="129"/>
      <c r="O146" s="54">
        <f t="shared" si="69"/>
        <v>0</v>
      </c>
      <c r="P146" s="54">
        <f t="shared" si="70"/>
        <v>0</v>
      </c>
      <c r="Q146" s="1"/>
    </row>
    <row r="147" spans="2:17" ht="12.5">
      <c r="B147" s="7" t="str">
        <f t="shared" si="39"/>
        <v/>
      </c>
      <c r="C147" s="50">
        <f>IF(D93="","-",+C146+1)</f>
        <v>2061</v>
      </c>
      <c r="D147" s="12">
        <f>IF(F146+SUM(E$99:E146)=D$92,F146,D$92-SUM(E$99:E146))</f>
        <v>0</v>
      </c>
      <c r="E147" s="378">
        <f t="shared" si="62"/>
        <v>0</v>
      </c>
      <c r="F147" s="55">
        <f t="shared" si="63"/>
        <v>0</v>
      </c>
      <c r="G147" s="55">
        <f t="shared" si="64"/>
        <v>0</v>
      </c>
      <c r="H147" s="380">
        <f t="shared" si="65"/>
        <v>0</v>
      </c>
      <c r="I147" s="399">
        <f t="shared" si="66"/>
        <v>0</v>
      </c>
      <c r="J147" s="54">
        <f t="shared" si="40"/>
        <v>0</v>
      </c>
      <c r="K147" s="54"/>
      <c r="L147" s="129"/>
      <c r="M147" s="54">
        <f t="shared" si="68"/>
        <v>0</v>
      </c>
      <c r="N147" s="129"/>
      <c r="O147" s="54">
        <f t="shared" si="69"/>
        <v>0</v>
      </c>
      <c r="P147" s="54">
        <f t="shared" si="70"/>
        <v>0</v>
      </c>
      <c r="Q147" s="1"/>
    </row>
    <row r="148" spans="2:17" ht="12.5">
      <c r="B148" s="7" t="str">
        <f t="shared" si="39"/>
        <v/>
      </c>
      <c r="C148" s="50">
        <f>IF(D93="","-",+C147+1)</f>
        <v>2062</v>
      </c>
      <c r="D148" s="12">
        <f>IF(F147+SUM(E$99:E147)=D$92,F147,D$92-SUM(E$99:E147))</f>
        <v>0</v>
      </c>
      <c r="E148" s="378">
        <f t="shared" si="62"/>
        <v>0</v>
      </c>
      <c r="F148" s="55">
        <f t="shared" si="63"/>
        <v>0</v>
      </c>
      <c r="G148" s="55">
        <f t="shared" si="64"/>
        <v>0</v>
      </c>
      <c r="H148" s="380">
        <f t="shared" si="65"/>
        <v>0</v>
      </c>
      <c r="I148" s="399">
        <f t="shared" si="66"/>
        <v>0</v>
      </c>
      <c r="J148" s="54">
        <f t="shared" si="40"/>
        <v>0</v>
      </c>
      <c r="K148" s="54"/>
      <c r="L148" s="129"/>
      <c r="M148" s="54">
        <f t="shared" si="68"/>
        <v>0</v>
      </c>
      <c r="N148" s="129"/>
      <c r="O148" s="54">
        <f t="shared" si="69"/>
        <v>0</v>
      </c>
      <c r="P148" s="54">
        <f t="shared" si="70"/>
        <v>0</v>
      </c>
      <c r="Q148" s="1"/>
    </row>
    <row r="149" spans="2:17" ht="12.5">
      <c r="B149" s="7" t="str">
        <f t="shared" si="39"/>
        <v/>
      </c>
      <c r="C149" s="50">
        <f>IF(D93="","-",+C148+1)</f>
        <v>2063</v>
      </c>
      <c r="D149" s="12">
        <f>IF(F148+SUM(E$99:E148)=D$92,F148,D$92-SUM(E$99:E148))</f>
        <v>0</v>
      </c>
      <c r="E149" s="378">
        <f t="shared" si="62"/>
        <v>0</v>
      </c>
      <c r="F149" s="55">
        <f t="shared" si="63"/>
        <v>0</v>
      </c>
      <c r="G149" s="55">
        <f t="shared" si="64"/>
        <v>0</v>
      </c>
      <c r="H149" s="380">
        <f t="shared" si="65"/>
        <v>0</v>
      </c>
      <c r="I149" s="399">
        <f t="shared" si="66"/>
        <v>0</v>
      </c>
      <c r="J149" s="54">
        <f t="shared" si="40"/>
        <v>0</v>
      </c>
      <c r="K149" s="54"/>
      <c r="L149" s="129"/>
      <c r="M149" s="54">
        <f t="shared" si="68"/>
        <v>0</v>
      </c>
      <c r="N149" s="129"/>
      <c r="O149" s="54">
        <f t="shared" si="69"/>
        <v>0</v>
      </c>
      <c r="P149" s="54">
        <f t="shared" si="70"/>
        <v>0</v>
      </c>
      <c r="Q149" s="1"/>
    </row>
    <row r="150" spans="2:17" ht="12.5">
      <c r="B150" s="7" t="str">
        <f t="shared" si="39"/>
        <v/>
      </c>
      <c r="C150" s="50">
        <f>IF(D93="","-",+C149+1)</f>
        <v>2064</v>
      </c>
      <c r="D150" s="12">
        <f>IF(F149+SUM(E$99:E149)=D$92,F149,D$92-SUM(E$99:E149))</f>
        <v>0</v>
      </c>
      <c r="E150" s="378">
        <f t="shared" si="62"/>
        <v>0</v>
      </c>
      <c r="F150" s="55">
        <f t="shared" si="63"/>
        <v>0</v>
      </c>
      <c r="G150" s="55">
        <f t="shared" si="64"/>
        <v>0</v>
      </c>
      <c r="H150" s="380">
        <f t="shared" si="65"/>
        <v>0</v>
      </c>
      <c r="I150" s="399">
        <f t="shared" si="66"/>
        <v>0</v>
      </c>
      <c r="J150" s="54">
        <f t="shared" si="40"/>
        <v>0</v>
      </c>
      <c r="K150" s="54"/>
      <c r="L150" s="129"/>
      <c r="M150" s="54">
        <f t="shared" si="68"/>
        <v>0</v>
      </c>
      <c r="N150" s="129"/>
      <c r="O150" s="54">
        <f t="shared" si="69"/>
        <v>0</v>
      </c>
      <c r="P150" s="54">
        <f t="shared" si="70"/>
        <v>0</v>
      </c>
      <c r="Q150" s="1"/>
    </row>
    <row r="151" spans="2:17" ht="12.5">
      <c r="B151" s="7" t="str">
        <f t="shared" si="39"/>
        <v/>
      </c>
      <c r="C151" s="50">
        <f>IF(D93="","-",+C150+1)</f>
        <v>2065</v>
      </c>
      <c r="D151" s="12">
        <f>IF(F150+SUM(E$99:E150)=D$92,F150,D$92-SUM(E$99:E150))</f>
        <v>0</v>
      </c>
      <c r="E151" s="378">
        <f t="shared" si="62"/>
        <v>0</v>
      </c>
      <c r="F151" s="55">
        <f t="shared" si="63"/>
        <v>0</v>
      </c>
      <c r="G151" s="55">
        <f t="shared" si="64"/>
        <v>0</v>
      </c>
      <c r="H151" s="380">
        <f t="shared" si="65"/>
        <v>0</v>
      </c>
      <c r="I151" s="399">
        <f t="shared" si="66"/>
        <v>0</v>
      </c>
      <c r="J151" s="54">
        <f t="shared" si="40"/>
        <v>0</v>
      </c>
      <c r="K151" s="54"/>
      <c r="L151" s="129"/>
      <c r="M151" s="54">
        <f t="shared" si="68"/>
        <v>0</v>
      </c>
      <c r="N151" s="129"/>
      <c r="O151" s="54">
        <f t="shared" si="69"/>
        <v>0</v>
      </c>
      <c r="P151" s="54">
        <f t="shared" si="70"/>
        <v>0</v>
      </c>
      <c r="Q151" s="1"/>
    </row>
    <row r="152" spans="2:17" ht="12.5">
      <c r="B152" s="7" t="str">
        <f t="shared" si="39"/>
        <v/>
      </c>
      <c r="C152" s="50">
        <f>IF(D93="","-",+C151+1)</f>
        <v>2066</v>
      </c>
      <c r="D152" s="12">
        <f>IF(F151+SUM(E$99:E151)=D$92,F151,D$92-SUM(E$99:E151))</f>
        <v>0</v>
      </c>
      <c r="E152" s="378">
        <f t="shared" si="62"/>
        <v>0</v>
      </c>
      <c r="F152" s="55">
        <f t="shared" si="63"/>
        <v>0</v>
      </c>
      <c r="G152" s="55">
        <f t="shared" si="64"/>
        <v>0</v>
      </c>
      <c r="H152" s="380">
        <f t="shared" si="65"/>
        <v>0</v>
      </c>
      <c r="I152" s="399">
        <f t="shared" si="66"/>
        <v>0</v>
      </c>
      <c r="J152" s="54">
        <f t="shared" si="40"/>
        <v>0</v>
      </c>
      <c r="K152" s="54"/>
      <c r="L152" s="129"/>
      <c r="M152" s="54">
        <f t="shared" si="68"/>
        <v>0</v>
      </c>
      <c r="N152" s="129"/>
      <c r="O152" s="54">
        <f t="shared" si="69"/>
        <v>0</v>
      </c>
      <c r="P152" s="54">
        <f t="shared" si="70"/>
        <v>0</v>
      </c>
      <c r="Q152" s="1"/>
    </row>
    <row r="153" spans="2:17" ht="12.5">
      <c r="B153" s="7" t="str">
        <f t="shared" si="39"/>
        <v/>
      </c>
      <c r="C153" s="50">
        <f>IF(D93="","-",+C152+1)</f>
        <v>2067</v>
      </c>
      <c r="D153" s="12">
        <f>IF(F152+SUM(E$99:E152)=D$92,F152,D$92-SUM(E$99:E152))</f>
        <v>0</v>
      </c>
      <c r="E153" s="378">
        <f t="shared" si="62"/>
        <v>0</v>
      </c>
      <c r="F153" s="55">
        <f t="shared" si="63"/>
        <v>0</v>
      </c>
      <c r="G153" s="55">
        <f t="shared" si="64"/>
        <v>0</v>
      </c>
      <c r="H153" s="380">
        <f t="shared" si="65"/>
        <v>0</v>
      </c>
      <c r="I153" s="399">
        <f t="shared" si="66"/>
        <v>0</v>
      </c>
      <c r="J153" s="54">
        <f t="shared" si="40"/>
        <v>0</v>
      </c>
      <c r="K153" s="54"/>
      <c r="L153" s="129"/>
      <c r="M153" s="54">
        <f t="shared" si="68"/>
        <v>0</v>
      </c>
      <c r="N153" s="129"/>
      <c r="O153" s="54">
        <f t="shared" si="69"/>
        <v>0</v>
      </c>
      <c r="P153" s="54">
        <f t="shared" si="70"/>
        <v>0</v>
      </c>
      <c r="Q153" s="1"/>
    </row>
    <row r="154" spans="2:17" ht="13" thickBot="1">
      <c r="B154" s="7" t="str">
        <f t="shared" si="39"/>
        <v/>
      </c>
      <c r="C154" s="59">
        <f>IF(D93="","-",+C153+1)</f>
        <v>2068</v>
      </c>
      <c r="D154" s="12">
        <f>IF(F153+SUM(E$99:E153)=D$92,F153,D$92-SUM(E$99:E153))</f>
        <v>0</v>
      </c>
      <c r="E154" s="378">
        <f t="shared" si="62"/>
        <v>0</v>
      </c>
      <c r="F154" s="55">
        <f t="shared" si="63"/>
        <v>0</v>
      </c>
      <c r="G154" s="55">
        <f t="shared" si="64"/>
        <v>0</v>
      </c>
      <c r="H154" s="380">
        <f t="shared" si="65"/>
        <v>0</v>
      </c>
      <c r="I154" s="399">
        <f t="shared" si="66"/>
        <v>0</v>
      </c>
      <c r="J154" s="54">
        <f t="shared" si="40"/>
        <v>0</v>
      </c>
      <c r="K154" s="54"/>
      <c r="L154" s="130"/>
      <c r="M154" s="64">
        <f t="shared" si="68"/>
        <v>0</v>
      </c>
      <c r="N154" s="130"/>
      <c r="O154" s="64">
        <f t="shared" si="69"/>
        <v>0</v>
      </c>
      <c r="P154" s="64">
        <f t="shared" si="70"/>
        <v>0</v>
      </c>
      <c r="Q154" s="1"/>
    </row>
    <row r="155" spans="2:17" ht="12.5">
      <c r="C155" s="12" t="s">
        <v>78</v>
      </c>
      <c r="D155" s="293"/>
      <c r="E155" s="293">
        <f>SUM(E99:E154)</f>
        <v>4344849.9999999991</v>
      </c>
      <c r="F155" s="293"/>
      <c r="G155" s="293"/>
      <c r="H155" s="293">
        <f>SUM(H99:H154)</f>
        <v>15892347.760501673</v>
      </c>
      <c r="I155" s="293">
        <f>SUM(I99:I154)</f>
        <v>15892347.760501673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 ht="12.5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 ht="12.5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 ht="13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 ht="13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  <c r="Q162" s="1"/>
    </row>
  </sheetData>
  <conditionalFormatting sqref="C17:C72">
    <cfRule type="cellIs" dxfId="87" priority="1" stopIfTrue="1" operator="equal">
      <formula>$I$10</formula>
    </cfRule>
  </conditionalFormatting>
  <conditionalFormatting sqref="C99:C154">
    <cfRule type="cellIs" dxfId="8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87"/>
  <dimension ref="A1:Q162"/>
  <sheetViews>
    <sheetView topLeftCell="A83" zoomScaleNormal="100" zoomScaleSheetLayoutView="75" workbookViewId="0">
      <selection activeCell="D28" sqref="D28:H28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8" customWidth="1"/>
    <col min="13" max="13" width="17.7265625" customWidth="1"/>
    <col min="14" max="14" width="19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36 of 77</v>
      </c>
      <c r="Q1" s="13"/>
    </row>
    <row r="2" spans="1:17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7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725000.53327762289</v>
      </c>
      <c r="P5" s="1"/>
    </row>
    <row r="6" spans="1:17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725000.53327762289</v>
      </c>
      <c r="O6" s="1"/>
      <c r="P6" s="1"/>
    </row>
    <row r="7" spans="1:17" ht="13.5" thickBot="1">
      <c r="C7" s="25" t="s">
        <v>48</v>
      </c>
      <c r="D7" s="90" t="s">
        <v>301</v>
      </c>
      <c r="E7" s="406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263</v>
      </c>
      <c r="E9" s="31" t="s">
        <v>494</v>
      </c>
      <c r="F9" s="462">
        <v>443</v>
      </c>
      <c r="G9" s="31"/>
      <c r="H9" s="31"/>
      <c r="I9" s="32"/>
      <c r="J9" s="33"/>
      <c r="P9" s="1"/>
    </row>
    <row r="10" spans="1:17" ht="13">
      <c r="C10" s="34" t="s">
        <v>51</v>
      </c>
      <c r="D10" s="363">
        <v>6389739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7" ht="12.5">
      <c r="C11" s="34" t="s">
        <v>54</v>
      </c>
      <c r="D11" s="37">
        <v>2013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3">
        <v>9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145221.34090909091</v>
      </c>
      <c r="J14" s="293"/>
      <c r="K14" s="293"/>
      <c r="L14" s="293"/>
      <c r="M14" s="293"/>
      <c r="N14" s="293"/>
      <c r="O14" s="1"/>
      <c r="P14" s="1"/>
    </row>
    <row r="15" spans="1:17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2013</v>
      </c>
      <c r="D17" s="426">
        <v>1750000</v>
      </c>
      <c r="E17" s="427">
        <v>17361.111111111109</v>
      </c>
      <c r="F17" s="426">
        <v>1732638.888888889</v>
      </c>
      <c r="G17" s="427">
        <v>259908.17345772672</v>
      </c>
      <c r="H17" s="421">
        <v>259908.17345772672</v>
      </c>
      <c r="I17" s="423">
        <v>0</v>
      </c>
      <c r="J17" s="52"/>
      <c r="K17" s="112">
        <f t="shared" ref="K17:K22" si="0">G17</f>
        <v>259908.17345772672</v>
      </c>
      <c r="L17" s="53">
        <f t="shared" ref="L17:L22" si="1">IF(K17&lt;&gt;0,+G17-K17,0)</f>
        <v>0</v>
      </c>
      <c r="M17" s="112">
        <f t="shared" ref="M17:M22" si="2">H17</f>
        <v>259908.17345772672</v>
      </c>
      <c r="N17" s="53">
        <f t="shared" ref="N17:N22" si="3">IF(M17&lt;&gt;0,+H17-M17,0)</f>
        <v>0</v>
      </c>
      <c r="O17" s="54">
        <f t="shared" ref="O17:O22" si="4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2014</v>
      </c>
      <c r="D18" s="426">
        <v>1732638.888888889</v>
      </c>
      <c r="E18" s="420">
        <v>72336.119047619053</v>
      </c>
      <c r="F18" s="426">
        <v>1660302.7698412701</v>
      </c>
      <c r="G18" s="420">
        <v>296328.40957577864</v>
      </c>
      <c r="H18" s="421">
        <v>296328.40957577864</v>
      </c>
      <c r="I18" s="423">
        <v>0</v>
      </c>
      <c r="J18" s="52"/>
      <c r="K18" s="113">
        <f t="shared" si="0"/>
        <v>296328.40957577864</v>
      </c>
      <c r="L18" s="54">
        <f t="shared" si="1"/>
        <v>0</v>
      </c>
      <c r="M18" s="113">
        <f t="shared" si="2"/>
        <v>296328.40957577864</v>
      </c>
      <c r="N18" s="54">
        <f t="shared" si="3"/>
        <v>0</v>
      </c>
      <c r="O18" s="54">
        <f t="shared" si="4"/>
        <v>0</v>
      </c>
      <c r="P18" s="1"/>
    </row>
    <row r="19" spans="2:16" ht="12.5">
      <c r="B19" s="7" t="str">
        <f>IF(D19=F18,"","IU")</f>
        <v/>
      </c>
      <c r="C19" s="50">
        <f>IF(D11="","-",+C18+1)</f>
        <v>2015</v>
      </c>
      <c r="D19" s="426">
        <v>1660302.7698412701</v>
      </c>
      <c r="E19" s="420">
        <v>152136.64285714287</v>
      </c>
      <c r="F19" s="426">
        <v>1508166.1269841271</v>
      </c>
      <c r="G19" s="420">
        <v>350769.36244899174</v>
      </c>
      <c r="H19" s="421">
        <v>350769.36244899174</v>
      </c>
      <c r="I19" s="52">
        <v>0</v>
      </c>
      <c r="J19" s="52"/>
      <c r="K19" s="113">
        <f t="shared" si="0"/>
        <v>350769.36244899174</v>
      </c>
      <c r="L19" s="54">
        <f t="shared" si="1"/>
        <v>0</v>
      </c>
      <c r="M19" s="113">
        <f t="shared" si="2"/>
        <v>350769.36244899174</v>
      </c>
      <c r="N19" s="54">
        <f t="shared" si="3"/>
        <v>0</v>
      </c>
      <c r="O19" s="54">
        <f t="shared" si="4"/>
        <v>0</v>
      </c>
      <c r="P19" s="1"/>
    </row>
    <row r="20" spans="2:16" ht="12.5">
      <c r="B20" s="7" t="str">
        <f t="shared" ref="B20:B72" si="5">IF(D20=F19,"","IU")</f>
        <v>IU</v>
      </c>
      <c r="C20" s="50">
        <f>IF(D11="","-",+C19+1)</f>
        <v>2016</v>
      </c>
      <c r="D20" s="426">
        <v>6147905.1269841269</v>
      </c>
      <c r="E20" s="420">
        <v>152136.64285714287</v>
      </c>
      <c r="F20" s="426">
        <v>5995768.4841269841</v>
      </c>
      <c r="G20" s="420">
        <v>932066.05749159923</v>
      </c>
      <c r="H20" s="421">
        <v>932066.05749159923</v>
      </c>
      <c r="I20" s="52">
        <f>H20-G20</f>
        <v>0</v>
      </c>
      <c r="J20" s="52"/>
      <c r="K20" s="113">
        <f t="shared" si="0"/>
        <v>932066.05749159923</v>
      </c>
      <c r="L20" s="54">
        <f t="shared" si="1"/>
        <v>0</v>
      </c>
      <c r="M20" s="113">
        <f t="shared" si="2"/>
        <v>932066.05749159923</v>
      </c>
      <c r="N20" s="54">
        <f t="shared" si="3"/>
        <v>0</v>
      </c>
      <c r="O20" s="54">
        <f t="shared" si="4"/>
        <v>0</v>
      </c>
      <c r="P20" s="1"/>
    </row>
    <row r="21" spans="2:16" ht="12.5">
      <c r="B21" s="7" t="str">
        <f t="shared" si="5"/>
        <v/>
      </c>
      <c r="C21" s="50">
        <f>IF(D11="","-",+C20+1)</f>
        <v>2017</v>
      </c>
      <c r="D21" s="426">
        <v>5995768.4841269841</v>
      </c>
      <c r="E21" s="420">
        <v>148598.58139534883</v>
      </c>
      <c r="F21" s="426">
        <v>5847169.9027316356</v>
      </c>
      <c r="G21" s="420">
        <v>882224.40250085481</v>
      </c>
      <c r="H21" s="421">
        <v>882224.40250085481</v>
      </c>
      <c r="I21" s="52">
        <f t="shared" ref="I21:I72" si="6">H21-G21</f>
        <v>0</v>
      </c>
      <c r="J21" s="52"/>
      <c r="K21" s="113">
        <f t="shared" si="0"/>
        <v>882224.40250085481</v>
      </c>
      <c r="L21" s="54">
        <f t="shared" si="1"/>
        <v>0</v>
      </c>
      <c r="M21" s="113">
        <f t="shared" si="2"/>
        <v>882224.40250085481</v>
      </c>
      <c r="N21" s="54">
        <f t="shared" si="3"/>
        <v>0</v>
      </c>
      <c r="O21" s="54">
        <f t="shared" si="4"/>
        <v>0</v>
      </c>
      <c r="P21" s="1"/>
    </row>
    <row r="22" spans="2:16" ht="12.5">
      <c r="B22" s="7" t="str">
        <f t="shared" si="5"/>
        <v/>
      </c>
      <c r="C22" s="50">
        <f>IF(D11="","-",+C21+1)</f>
        <v>2018</v>
      </c>
      <c r="D22" s="426">
        <v>5847169.9027316356</v>
      </c>
      <c r="E22" s="420">
        <v>155847.29268292684</v>
      </c>
      <c r="F22" s="426">
        <v>5691322.6100487085</v>
      </c>
      <c r="G22" s="420">
        <v>889084.4471340694</v>
      </c>
      <c r="H22" s="421">
        <v>889084.4471340694</v>
      </c>
      <c r="I22" s="52">
        <f t="shared" si="6"/>
        <v>0</v>
      </c>
      <c r="J22" s="52"/>
      <c r="K22" s="113">
        <f t="shared" si="0"/>
        <v>889084.4471340694</v>
      </c>
      <c r="L22" s="54">
        <f t="shared" si="1"/>
        <v>0</v>
      </c>
      <c r="M22" s="113">
        <f t="shared" si="2"/>
        <v>889084.4471340694</v>
      </c>
      <c r="N22" s="54">
        <f t="shared" si="3"/>
        <v>0</v>
      </c>
      <c r="O22" s="54">
        <f t="shared" si="4"/>
        <v>0</v>
      </c>
      <c r="P22" s="1"/>
    </row>
    <row r="23" spans="2:16" ht="12.5">
      <c r="B23" s="7" t="str">
        <f t="shared" si="5"/>
        <v/>
      </c>
      <c r="C23" s="50">
        <f>IF(D11="","-",+C22+1)</f>
        <v>2019</v>
      </c>
      <c r="D23" s="426">
        <v>5691322.6100487085</v>
      </c>
      <c r="E23" s="420">
        <v>155847.29268292684</v>
      </c>
      <c r="F23" s="426">
        <v>5535475.3173657814</v>
      </c>
      <c r="G23" s="420">
        <v>869277.17590012413</v>
      </c>
      <c r="H23" s="421">
        <v>869277.17590012413</v>
      </c>
      <c r="I23" s="52">
        <f t="shared" si="6"/>
        <v>0</v>
      </c>
      <c r="J23" s="52"/>
      <c r="K23" s="113">
        <f t="shared" ref="K23" si="7">G23</f>
        <v>869277.17590012413</v>
      </c>
      <c r="L23" s="54">
        <f t="shared" ref="L23" si="8">IF(K23&lt;&gt;0,+G23-K23,0)</f>
        <v>0</v>
      </c>
      <c r="M23" s="113">
        <f t="shared" ref="M23" si="9">H23</f>
        <v>869277.17590012413</v>
      </c>
      <c r="N23" s="54">
        <f t="shared" ref="N23:N72" si="10">IF(M23&lt;&gt;0,+H23-M23,0)</f>
        <v>0</v>
      </c>
      <c r="O23" s="54">
        <f t="shared" ref="O23:O72" si="11">+N23-L23</f>
        <v>0</v>
      </c>
      <c r="P23" s="1"/>
    </row>
    <row r="24" spans="2:16" ht="12.5">
      <c r="B24" s="7" t="str">
        <f t="shared" si="5"/>
        <v/>
      </c>
      <c r="C24" s="50">
        <f>IF(D11="","-",+C23+1)</f>
        <v>2020</v>
      </c>
      <c r="D24" s="426">
        <v>5535475.3173657814</v>
      </c>
      <c r="E24" s="420">
        <v>155847.29268292684</v>
      </c>
      <c r="F24" s="426">
        <v>5379628.0246828543</v>
      </c>
      <c r="G24" s="420">
        <v>714348.32768844545</v>
      </c>
      <c r="H24" s="421">
        <v>714348.32768844545</v>
      </c>
      <c r="I24" s="52">
        <f t="shared" si="6"/>
        <v>0</v>
      </c>
      <c r="J24" s="52"/>
      <c r="K24" s="113">
        <f t="shared" ref="K24" si="12">G24</f>
        <v>714348.32768844545</v>
      </c>
      <c r="L24" s="54">
        <f t="shared" ref="L24" si="13">IF(K24&lt;&gt;0,+G24-K24,0)</f>
        <v>0</v>
      </c>
      <c r="M24" s="113">
        <f t="shared" ref="M24" si="14">H24</f>
        <v>714348.32768844545</v>
      </c>
      <c r="N24" s="54">
        <f t="shared" si="10"/>
        <v>0</v>
      </c>
      <c r="O24" s="54">
        <f t="shared" si="11"/>
        <v>0</v>
      </c>
      <c r="P24" s="1"/>
    </row>
    <row r="25" spans="2:16" ht="12.5">
      <c r="B25" s="7" t="str">
        <f t="shared" si="5"/>
        <v>IU</v>
      </c>
      <c r="C25" s="50">
        <f>IF(D11="","-",+C24+1)</f>
        <v>2021</v>
      </c>
      <c r="D25" s="426">
        <v>5386876.7359704329</v>
      </c>
      <c r="E25" s="420">
        <v>152136.64285714287</v>
      </c>
      <c r="F25" s="426">
        <v>5234740.0931132901</v>
      </c>
      <c r="G25" s="420">
        <v>715106.47264918196</v>
      </c>
      <c r="H25" s="421">
        <v>715106.47264918196</v>
      </c>
      <c r="I25" s="52">
        <f t="shared" si="6"/>
        <v>0</v>
      </c>
      <c r="J25" s="52"/>
      <c r="K25" s="113">
        <f t="shared" ref="K25" si="15">G25</f>
        <v>715106.47264918196</v>
      </c>
      <c r="L25" s="54">
        <f t="shared" ref="L25" si="16">IF(K25&lt;&gt;0,+G25-K25,0)</f>
        <v>0</v>
      </c>
      <c r="M25" s="113">
        <f t="shared" ref="M25" si="17">H25</f>
        <v>715106.47264918196</v>
      </c>
      <c r="N25" s="54">
        <f t="shared" si="10"/>
        <v>0</v>
      </c>
      <c r="O25" s="54">
        <f t="shared" si="11"/>
        <v>0</v>
      </c>
      <c r="P25" s="1"/>
    </row>
    <row r="26" spans="2:16" ht="12.5">
      <c r="B26" s="7" t="str">
        <f t="shared" si="5"/>
        <v>IU</v>
      </c>
      <c r="C26" s="50">
        <f>IF(D11="","-",+C25+1)</f>
        <v>2022</v>
      </c>
      <c r="D26" s="426">
        <v>5227491.3818257116</v>
      </c>
      <c r="E26" s="420">
        <v>152136.64285714287</v>
      </c>
      <c r="F26" s="426">
        <v>5075354.7389685689</v>
      </c>
      <c r="G26" s="420">
        <v>731383.75654612202</v>
      </c>
      <c r="H26" s="421">
        <v>731383.75654612202</v>
      </c>
      <c r="I26" s="52">
        <f t="shared" si="6"/>
        <v>0</v>
      </c>
      <c r="J26" s="52"/>
      <c r="K26" s="113">
        <f t="shared" ref="K26" si="18">G26</f>
        <v>731383.75654612202</v>
      </c>
      <c r="L26" s="54">
        <f t="shared" ref="L26" si="19">IF(K26&lt;&gt;0,+G26-K26,0)</f>
        <v>0</v>
      </c>
      <c r="M26" s="113">
        <f t="shared" ref="M26" si="20">H26</f>
        <v>731383.75654612202</v>
      </c>
      <c r="N26" s="54">
        <f t="shared" si="10"/>
        <v>0</v>
      </c>
      <c r="O26" s="54">
        <f t="shared" si="11"/>
        <v>0</v>
      </c>
      <c r="P26" s="1"/>
    </row>
    <row r="27" spans="2:16" ht="12.5">
      <c r="B27" s="7" t="str">
        <f t="shared" si="5"/>
        <v/>
      </c>
      <c r="C27" s="50">
        <f>IF(D11="","-",+C26+1)</f>
        <v>2023</v>
      </c>
      <c r="D27" s="426">
        <v>5075354.7389685689</v>
      </c>
      <c r="E27" s="420">
        <v>152136.64285714287</v>
      </c>
      <c r="F27" s="426">
        <v>4923218.0961114261</v>
      </c>
      <c r="G27" s="420">
        <v>783680.43817514717</v>
      </c>
      <c r="H27" s="421">
        <v>783680.43817514717</v>
      </c>
      <c r="I27" s="52">
        <f t="shared" si="6"/>
        <v>0</v>
      </c>
      <c r="J27" s="52"/>
      <c r="K27" s="113">
        <f t="shared" ref="K27" si="21">G27</f>
        <v>783680.43817514717</v>
      </c>
      <c r="L27" s="54">
        <f t="shared" ref="L27" si="22">IF(K27&lt;&gt;0,+G27-K27,0)</f>
        <v>0</v>
      </c>
      <c r="M27" s="113">
        <f t="shared" ref="M27" si="23">H27</f>
        <v>783680.43817514717</v>
      </c>
      <c r="N27" s="54">
        <f t="shared" si="10"/>
        <v>0</v>
      </c>
      <c r="O27" s="54">
        <f t="shared" si="11"/>
        <v>0</v>
      </c>
      <c r="P27" s="1"/>
    </row>
    <row r="28" spans="2:16" ht="12.5">
      <c r="B28" s="7" t="str">
        <f t="shared" si="5"/>
        <v/>
      </c>
      <c r="C28" s="50">
        <f>IF(D11="","-",+C27+1)</f>
        <v>2024</v>
      </c>
      <c r="D28" s="426">
        <v>4923218.0961114261</v>
      </c>
      <c r="E28" s="420">
        <v>145221.34090909091</v>
      </c>
      <c r="F28" s="426">
        <v>4777996.7552023353</v>
      </c>
      <c r="G28" s="420">
        <v>725000.53327762289</v>
      </c>
      <c r="H28" s="421">
        <v>725000.53327762289</v>
      </c>
      <c r="I28" s="52">
        <f t="shared" si="6"/>
        <v>0</v>
      </c>
      <c r="J28" s="52"/>
      <c r="K28" s="113">
        <f t="shared" ref="K28" si="24">G28</f>
        <v>725000.53327762289</v>
      </c>
      <c r="L28" s="54">
        <f t="shared" ref="L28" si="25">IF(K28&lt;&gt;0,+G28-K28,0)</f>
        <v>0</v>
      </c>
      <c r="M28" s="113">
        <f t="shared" ref="M28" si="26">H28</f>
        <v>725000.53327762289</v>
      </c>
      <c r="N28" s="54">
        <f t="shared" ref="N28" si="27">IF(M28&lt;&gt;0,+H28-M28,0)</f>
        <v>0</v>
      </c>
      <c r="O28" s="54">
        <f t="shared" ref="O28" si="28">+N28-L28</f>
        <v>0</v>
      </c>
      <c r="P28" s="1"/>
    </row>
    <row r="29" spans="2:16" ht="12.5">
      <c r="B29" s="7" t="str">
        <f t="shared" si="5"/>
        <v/>
      </c>
      <c r="C29" s="50">
        <f>IF(D11="","-",+C28+1)</f>
        <v>2025</v>
      </c>
      <c r="D29" s="55">
        <f>IF(F28+SUM(E$17:E28)=D$10,F28,D$10-SUM(E$17:E28))</f>
        <v>4777996.7552023353</v>
      </c>
      <c r="E29" s="378">
        <f t="shared" ref="E29:E72" si="29">IF(+$I$14&lt;F28,$I$14,D29)</f>
        <v>145221.34090909091</v>
      </c>
      <c r="F29" s="55">
        <f t="shared" ref="F29:F72" si="30">+D29-E29</f>
        <v>4632775.4142932445</v>
      </c>
      <c r="G29" s="379">
        <f t="shared" ref="G29:G52" si="31">+I$12*((D29+F29)/2)+E29</f>
        <v>707642.64294380636</v>
      </c>
      <c r="H29" s="364">
        <f t="shared" ref="H29:H52" si="32">+I$13*((D29+F29)/2)+E29</f>
        <v>707642.64294380636</v>
      </c>
      <c r="I29" s="52">
        <f t="shared" si="6"/>
        <v>0</v>
      </c>
      <c r="J29" s="52"/>
      <c r="K29" s="129"/>
      <c r="L29" s="54">
        <f t="shared" ref="L29:L72" si="33">IF(K29&lt;&gt;0,+G29-K29,0)</f>
        <v>0</v>
      </c>
      <c r="M29" s="129"/>
      <c r="N29" s="54">
        <f t="shared" si="10"/>
        <v>0</v>
      </c>
      <c r="O29" s="54">
        <f t="shared" si="11"/>
        <v>0</v>
      </c>
      <c r="P29" s="1"/>
    </row>
    <row r="30" spans="2:16" ht="12.5">
      <c r="B30" s="7" t="str">
        <f t="shared" si="5"/>
        <v/>
      </c>
      <c r="C30" s="50">
        <f>IF(D11="","-",+C29+1)</f>
        <v>2026</v>
      </c>
      <c r="D30" s="55">
        <f>IF(F29+SUM(E$17:E29)=D$10,F29,D$10-SUM(E$17:E29))</f>
        <v>4632775.4142932445</v>
      </c>
      <c r="E30" s="378">
        <f t="shared" si="29"/>
        <v>145221.34090909091</v>
      </c>
      <c r="F30" s="55">
        <f t="shared" si="30"/>
        <v>4487554.0733841537</v>
      </c>
      <c r="G30" s="379">
        <f t="shared" si="31"/>
        <v>690284.75260998996</v>
      </c>
      <c r="H30" s="364">
        <f t="shared" si="32"/>
        <v>690284.75260998996</v>
      </c>
      <c r="I30" s="52">
        <f t="shared" si="6"/>
        <v>0</v>
      </c>
      <c r="J30" s="52"/>
      <c r="K30" s="129"/>
      <c r="L30" s="54">
        <f t="shared" si="33"/>
        <v>0</v>
      </c>
      <c r="M30" s="129"/>
      <c r="N30" s="54">
        <f t="shared" si="10"/>
        <v>0</v>
      </c>
      <c r="O30" s="54">
        <f t="shared" si="11"/>
        <v>0</v>
      </c>
      <c r="P30" s="1"/>
    </row>
    <row r="31" spans="2:16" ht="12.5">
      <c r="B31" s="7" t="str">
        <f t="shared" si="5"/>
        <v/>
      </c>
      <c r="C31" s="50">
        <f>IF(D11="","-",+C30+1)</f>
        <v>2027</v>
      </c>
      <c r="D31" s="55">
        <f>IF(F30+SUM(E$17:E30)=D$10,F30,D$10-SUM(E$17:E30))</f>
        <v>4487554.0733841537</v>
      </c>
      <c r="E31" s="378">
        <f t="shared" si="29"/>
        <v>145221.34090909091</v>
      </c>
      <c r="F31" s="55">
        <f t="shared" si="30"/>
        <v>4342332.7324750628</v>
      </c>
      <c r="G31" s="379">
        <f t="shared" si="31"/>
        <v>672926.86227617343</v>
      </c>
      <c r="H31" s="364">
        <f t="shared" si="32"/>
        <v>672926.86227617343</v>
      </c>
      <c r="I31" s="52">
        <f t="shared" si="6"/>
        <v>0</v>
      </c>
      <c r="J31" s="52"/>
      <c r="K31" s="129"/>
      <c r="L31" s="54">
        <f t="shared" si="33"/>
        <v>0</v>
      </c>
      <c r="M31" s="129"/>
      <c r="N31" s="54">
        <f t="shared" si="10"/>
        <v>0</v>
      </c>
      <c r="O31" s="54">
        <f t="shared" si="11"/>
        <v>0</v>
      </c>
      <c r="P31" s="1"/>
    </row>
    <row r="32" spans="2:16" ht="12.5">
      <c r="B32" s="7" t="str">
        <f t="shared" si="5"/>
        <v/>
      </c>
      <c r="C32" s="50">
        <f>IF(D11="","-",+C31+1)</f>
        <v>2028</v>
      </c>
      <c r="D32" s="55">
        <f>IF(F31+SUM(E$17:E31)=D$10,F31,D$10-SUM(E$17:E31))</f>
        <v>4342332.7324750628</v>
      </c>
      <c r="E32" s="378">
        <f t="shared" si="29"/>
        <v>145221.34090909091</v>
      </c>
      <c r="F32" s="55">
        <f t="shared" si="30"/>
        <v>4197111.391565972</v>
      </c>
      <c r="G32" s="379">
        <f t="shared" si="31"/>
        <v>655568.97194235702</v>
      </c>
      <c r="H32" s="364">
        <f t="shared" si="32"/>
        <v>655568.97194235702</v>
      </c>
      <c r="I32" s="52">
        <f t="shared" si="6"/>
        <v>0</v>
      </c>
      <c r="J32" s="52"/>
      <c r="K32" s="129"/>
      <c r="L32" s="54">
        <f t="shared" si="33"/>
        <v>0</v>
      </c>
      <c r="M32" s="129"/>
      <c r="N32" s="54">
        <f t="shared" si="10"/>
        <v>0</v>
      </c>
      <c r="O32" s="54">
        <f t="shared" si="11"/>
        <v>0</v>
      </c>
      <c r="P32" s="1"/>
    </row>
    <row r="33" spans="2:16" ht="12.5">
      <c r="B33" s="7" t="str">
        <f t="shared" si="5"/>
        <v/>
      </c>
      <c r="C33" s="50">
        <f>IF(D11="","-",+C32+1)</f>
        <v>2029</v>
      </c>
      <c r="D33" s="55">
        <f>IF(F32+SUM(E$17:E32)=D$10,F32,D$10-SUM(E$17:E32))</f>
        <v>4197111.391565972</v>
      </c>
      <c r="E33" s="378">
        <f t="shared" si="29"/>
        <v>145221.34090909091</v>
      </c>
      <c r="F33" s="55">
        <f t="shared" si="30"/>
        <v>4051890.0506568812</v>
      </c>
      <c r="G33" s="379">
        <f t="shared" si="31"/>
        <v>638211.08160854049</v>
      </c>
      <c r="H33" s="364">
        <f t="shared" si="32"/>
        <v>638211.08160854049</v>
      </c>
      <c r="I33" s="52">
        <f t="shared" si="6"/>
        <v>0</v>
      </c>
      <c r="J33" s="52"/>
      <c r="K33" s="129"/>
      <c r="L33" s="54">
        <f t="shared" si="33"/>
        <v>0</v>
      </c>
      <c r="M33" s="129"/>
      <c r="N33" s="54">
        <f t="shared" si="10"/>
        <v>0</v>
      </c>
      <c r="O33" s="54">
        <f t="shared" si="11"/>
        <v>0</v>
      </c>
      <c r="P33" s="1"/>
    </row>
    <row r="34" spans="2:16" ht="12.5">
      <c r="B34" s="7" t="str">
        <f t="shared" si="5"/>
        <v/>
      </c>
      <c r="C34" s="50">
        <f>IF(D11="","-",+C33+1)</f>
        <v>2030</v>
      </c>
      <c r="D34" s="55">
        <f>IF(F33+SUM(E$17:E33)=D$10,F33,D$10-SUM(E$17:E33))</f>
        <v>4051890.0506568812</v>
      </c>
      <c r="E34" s="378">
        <f t="shared" si="29"/>
        <v>145221.34090909091</v>
      </c>
      <c r="F34" s="55">
        <f t="shared" si="30"/>
        <v>3906668.7097477904</v>
      </c>
      <c r="G34" s="379">
        <f t="shared" si="31"/>
        <v>620853.19127472409</v>
      </c>
      <c r="H34" s="364">
        <f t="shared" si="32"/>
        <v>620853.19127472409</v>
      </c>
      <c r="I34" s="52">
        <f t="shared" si="6"/>
        <v>0</v>
      </c>
      <c r="J34" s="52"/>
      <c r="K34" s="129"/>
      <c r="L34" s="54">
        <f t="shared" si="33"/>
        <v>0</v>
      </c>
      <c r="M34" s="129"/>
      <c r="N34" s="54">
        <f t="shared" si="10"/>
        <v>0</v>
      </c>
      <c r="O34" s="54">
        <f t="shared" si="11"/>
        <v>0</v>
      </c>
      <c r="P34" s="1"/>
    </row>
    <row r="35" spans="2:16" ht="12.5">
      <c r="B35" s="7" t="str">
        <f t="shared" si="5"/>
        <v/>
      </c>
      <c r="C35" s="50">
        <f>IF(D11="","-",+C34+1)</f>
        <v>2031</v>
      </c>
      <c r="D35" s="55">
        <f>IF(F34+SUM(E$17:E34)=D$10,F34,D$10-SUM(E$17:E34))</f>
        <v>3906668.7097477904</v>
      </c>
      <c r="E35" s="378">
        <f t="shared" si="29"/>
        <v>145221.34090909091</v>
      </c>
      <c r="F35" s="55">
        <f t="shared" si="30"/>
        <v>3761447.3688386995</v>
      </c>
      <c r="G35" s="379">
        <f t="shared" si="31"/>
        <v>603495.30094090756</v>
      </c>
      <c r="H35" s="364">
        <f t="shared" si="32"/>
        <v>603495.30094090756</v>
      </c>
      <c r="I35" s="52">
        <f t="shared" si="6"/>
        <v>0</v>
      </c>
      <c r="J35" s="52"/>
      <c r="K35" s="129"/>
      <c r="L35" s="54">
        <f t="shared" si="33"/>
        <v>0</v>
      </c>
      <c r="M35" s="129"/>
      <c r="N35" s="54">
        <f t="shared" si="10"/>
        <v>0</v>
      </c>
      <c r="O35" s="54">
        <f t="shared" si="11"/>
        <v>0</v>
      </c>
      <c r="P35" s="1"/>
    </row>
    <row r="36" spans="2:16" ht="12.5">
      <c r="B36" s="7" t="str">
        <f t="shared" si="5"/>
        <v/>
      </c>
      <c r="C36" s="50">
        <f>IF(D11="","-",+C35+1)</f>
        <v>2032</v>
      </c>
      <c r="D36" s="55">
        <f>IF(F35+SUM(E$17:E35)=D$10,F35,D$10-SUM(E$17:E35))</f>
        <v>3761447.3688386995</v>
      </c>
      <c r="E36" s="378">
        <f t="shared" si="29"/>
        <v>145221.34090909091</v>
      </c>
      <c r="F36" s="55">
        <f t="shared" si="30"/>
        <v>3616226.0279296087</v>
      </c>
      <c r="G36" s="379">
        <f t="shared" si="31"/>
        <v>586137.41060709115</v>
      </c>
      <c r="H36" s="364">
        <f t="shared" si="32"/>
        <v>586137.41060709115</v>
      </c>
      <c r="I36" s="52">
        <f t="shared" si="6"/>
        <v>0</v>
      </c>
      <c r="J36" s="52"/>
      <c r="K36" s="129"/>
      <c r="L36" s="54">
        <f t="shared" si="33"/>
        <v>0</v>
      </c>
      <c r="M36" s="129"/>
      <c r="N36" s="54">
        <f t="shared" si="10"/>
        <v>0</v>
      </c>
      <c r="O36" s="54">
        <f t="shared" si="11"/>
        <v>0</v>
      </c>
      <c r="P36" s="1"/>
    </row>
    <row r="37" spans="2:16" ht="12.5">
      <c r="B37" s="7" t="str">
        <f t="shared" si="5"/>
        <v/>
      </c>
      <c r="C37" s="50">
        <f>IF(D11="","-",+C36+1)</f>
        <v>2033</v>
      </c>
      <c r="D37" s="55">
        <f>IF(F36+SUM(E$17:E36)=D$10,F36,D$10-SUM(E$17:E36))</f>
        <v>3616226.0279296087</v>
      </c>
      <c r="E37" s="378">
        <f t="shared" si="29"/>
        <v>145221.34090909091</v>
      </c>
      <c r="F37" s="55">
        <f t="shared" si="30"/>
        <v>3471004.6870205179</v>
      </c>
      <c r="G37" s="379">
        <f t="shared" si="31"/>
        <v>568779.52027327463</v>
      </c>
      <c r="H37" s="364">
        <f t="shared" si="32"/>
        <v>568779.52027327463</v>
      </c>
      <c r="I37" s="52">
        <f t="shared" si="6"/>
        <v>0</v>
      </c>
      <c r="J37" s="52"/>
      <c r="K37" s="129"/>
      <c r="L37" s="54">
        <f t="shared" si="33"/>
        <v>0</v>
      </c>
      <c r="M37" s="129"/>
      <c r="N37" s="54">
        <f t="shared" si="10"/>
        <v>0</v>
      </c>
      <c r="O37" s="54">
        <f t="shared" si="11"/>
        <v>0</v>
      </c>
      <c r="P37" s="1"/>
    </row>
    <row r="38" spans="2:16" ht="12.5">
      <c r="B38" s="7" t="str">
        <f t="shared" si="5"/>
        <v/>
      </c>
      <c r="C38" s="50">
        <f>IF(D11="","-",+C37+1)</f>
        <v>2034</v>
      </c>
      <c r="D38" s="55">
        <f>IF(F37+SUM(E$17:E37)=D$10,F37,D$10-SUM(E$17:E37))</f>
        <v>3471004.6870205179</v>
      </c>
      <c r="E38" s="378">
        <f t="shared" si="29"/>
        <v>145221.34090909091</v>
      </c>
      <c r="F38" s="55">
        <f t="shared" si="30"/>
        <v>3325783.3461114271</v>
      </c>
      <c r="G38" s="379">
        <f t="shared" si="31"/>
        <v>551421.62993945822</v>
      </c>
      <c r="H38" s="364">
        <f t="shared" si="32"/>
        <v>551421.62993945822</v>
      </c>
      <c r="I38" s="52">
        <f t="shared" si="6"/>
        <v>0</v>
      </c>
      <c r="J38" s="52"/>
      <c r="K38" s="129"/>
      <c r="L38" s="54">
        <f t="shared" si="33"/>
        <v>0</v>
      </c>
      <c r="M38" s="129"/>
      <c r="N38" s="54">
        <f t="shared" si="10"/>
        <v>0</v>
      </c>
      <c r="O38" s="54">
        <f t="shared" si="11"/>
        <v>0</v>
      </c>
      <c r="P38" s="1"/>
    </row>
    <row r="39" spans="2:16" ht="12.5">
      <c r="B39" s="7" t="str">
        <f t="shared" si="5"/>
        <v/>
      </c>
      <c r="C39" s="50">
        <f>IF(D11="","-",+C38+1)</f>
        <v>2035</v>
      </c>
      <c r="D39" s="55">
        <f>IF(F38+SUM(E$17:E38)=D$10,F38,D$10-SUM(E$17:E38))</f>
        <v>3325783.3461114271</v>
      </c>
      <c r="E39" s="378">
        <f t="shared" si="29"/>
        <v>145221.34090909091</v>
      </c>
      <c r="F39" s="55">
        <f t="shared" si="30"/>
        <v>3180562.0052023362</v>
      </c>
      <c r="G39" s="379">
        <f t="shared" si="31"/>
        <v>534063.73960564181</v>
      </c>
      <c r="H39" s="364">
        <f t="shared" si="32"/>
        <v>534063.73960564181</v>
      </c>
      <c r="I39" s="52">
        <f t="shared" si="6"/>
        <v>0</v>
      </c>
      <c r="J39" s="52"/>
      <c r="K39" s="129"/>
      <c r="L39" s="54">
        <f t="shared" si="33"/>
        <v>0</v>
      </c>
      <c r="M39" s="129"/>
      <c r="N39" s="54">
        <f t="shared" si="10"/>
        <v>0</v>
      </c>
      <c r="O39" s="54">
        <f t="shared" si="11"/>
        <v>0</v>
      </c>
      <c r="P39" s="1"/>
    </row>
    <row r="40" spans="2:16" ht="12.5">
      <c r="B40" s="7" t="str">
        <f t="shared" si="5"/>
        <v/>
      </c>
      <c r="C40" s="50">
        <f>IF(D11="","-",+C39+1)</f>
        <v>2036</v>
      </c>
      <c r="D40" s="55">
        <f>IF(F39+SUM(E$17:E39)=D$10,F39,D$10-SUM(E$17:E39))</f>
        <v>3180562.0052023362</v>
      </c>
      <c r="E40" s="378">
        <f t="shared" si="29"/>
        <v>145221.34090909091</v>
      </c>
      <c r="F40" s="55">
        <f t="shared" si="30"/>
        <v>3035340.6642932454</v>
      </c>
      <c r="G40" s="379">
        <f t="shared" si="31"/>
        <v>516705.84927182528</v>
      </c>
      <c r="H40" s="364">
        <f t="shared" si="32"/>
        <v>516705.84927182528</v>
      </c>
      <c r="I40" s="52">
        <f t="shared" si="6"/>
        <v>0</v>
      </c>
      <c r="J40" s="52"/>
      <c r="K40" s="129"/>
      <c r="L40" s="54">
        <f t="shared" si="33"/>
        <v>0</v>
      </c>
      <c r="M40" s="129"/>
      <c r="N40" s="54">
        <f t="shared" si="10"/>
        <v>0</v>
      </c>
      <c r="O40" s="54">
        <f t="shared" si="11"/>
        <v>0</v>
      </c>
      <c r="P40" s="1"/>
    </row>
    <row r="41" spans="2:16" ht="12.5">
      <c r="B41" s="7" t="str">
        <f t="shared" si="5"/>
        <v/>
      </c>
      <c r="C41" s="50">
        <f>IF(D11="","-",+C40+1)</f>
        <v>2037</v>
      </c>
      <c r="D41" s="55">
        <f>IF(F40+SUM(E$17:E40)=D$10,F40,D$10-SUM(E$17:E40))</f>
        <v>3035340.6642932454</v>
      </c>
      <c r="E41" s="378">
        <f t="shared" si="29"/>
        <v>145221.34090909091</v>
      </c>
      <c r="F41" s="55">
        <f t="shared" si="30"/>
        <v>2890119.3233841546</v>
      </c>
      <c r="G41" s="379">
        <f t="shared" si="31"/>
        <v>499347.95893800887</v>
      </c>
      <c r="H41" s="364">
        <f t="shared" si="32"/>
        <v>499347.95893800887</v>
      </c>
      <c r="I41" s="52">
        <f t="shared" si="6"/>
        <v>0</v>
      </c>
      <c r="J41" s="52"/>
      <c r="K41" s="129"/>
      <c r="L41" s="54">
        <f t="shared" si="33"/>
        <v>0</v>
      </c>
      <c r="M41" s="129"/>
      <c r="N41" s="54">
        <f t="shared" si="10"/>
        <v>0</v>
      </c>
      <c r="O41" s="54">
        <f t="shared" si="11"/>
        <v>0</v>
      </c>
      <c r="P41" s="1"/>
    </row>
    <row r="42" spans="2:16" ht="12.5">
      <c r="B42" s="7" t="str">
        <f t="shared" si="5"/>
        <v/>
      </c>
      <c r="C42" s="50">
        <f>IF(D11="","-",+C41+1)</f>
        <v>2038</v>
      </c>
      <c r="D42" s="55">
        <f>IF(F41+SUM(E$17:E41)=D$10,F41,D$10-SUM(E$17:E41))</f>
        <v>2890119.3233841546</v>
      </c>
      <c r="E42" s="378">
        <f t="shared" si="29"/>
        <v>145221.34090909091</v>
      </c>
      <c r="F42" s="55">
        <f t="shared" si="30"/>
        <v>2744897.9824750638</v>
      </c>
      <c r="G42" s="379">
        <f t="shared" si="31"/>
        <v>481990.06860419235</v>
      </c>
      <c r="H42" s="364">
        <f t="shared" si="32"/>
        <v>481990.06860419235</v>
      </c>
      <c r="I42" s="52">
        <f t="shared" si="6"/>
        <v>0</v>
      </c>
      <c r="J42" s="52"/>
      <c r="K42" s="129"/>
      <c r="L42" s="54">
        <f t="shared" si="33"/>
        <v>0</v>
      </c>
      <c r="M42" s="129"/>
      <c r="N42" s="54">
        <f t="shared" si="10"/>
        <v>0</v>
      </c>
      <c r="O42" s="54">
        <f t="shared" si="11"/>
        <v>0</v>
      </c>
      <c r="P42" s="1"/>
    </row>
    <row r="43" spans="2:16" ht="12.5">
      <c r="B43" s="7" t="str">
        <f t="shared" si="5"/>
        <v/>
      </c>
      <c r="C43" s="50">
        <f>IF(D11="","-",+C42+1)</f>
        <v>2039</v>
      </c>
      <c r="D43" s="55">
        <f>IF(F42+SUM(E$17:E42)=D$10,F42,D$10-SUM(E$17:E42))</f>
        <v>2744897.9824750638</v>
      </c>
      <c r="E43" s="378">
        <f t="shared" si="29"/>
        <v>145221.34090909091</v>
      </c>
      <c r="F43" s="55">
        <f t="shared" si="30"/>
        <v>2599676.6415659729</v>
      </c>
      <c r="G43" s="379">
        <f t="shared" si="31"/>
        <v>464632.17827037594</v>
      </c>
      <c r="H43" s="364">
        <f t="shared" si="32"/>
        <v>464632.17827037594</v>
      </c>
      <c r="I43" s="52">
        <f t="shared" si="6"/>
        <v>0</v>
      </c>
      <c r="J43" s="52"/>
      <c r="K43" s="129"/>
      <c r="L43" s="54">
        <f t="shared" si="33"/>
        <v>0</v>
      </c>
      <c r="M43" s="129"/>
      <c r="N43" s="54">
        <f t="shared" si="10"/>
        <v>0</v>
      </c>
      <c r="O43" s="54">
        <f t="shared" si="11"/>
        <v>0</v>
      </c>
      <c r="P43" s="1"/>
    </row>
    <row r="44" spans="2:16" ht="12.5">
      <c r="B44" s="7" t="str">
        <f t="shared" si="5"/>
        <v/>
      </c>
      <c r="C44" s="50">
        <f>IF(D11="","-",+C43+1)</f>
        <v>2040</v>
      </c>
      <c r="D44" s="55">
        <f>IF(F43+SUM(E$17:E43)=D$10,F43,D$10-SUM(E$17:E43))</f>
        <v>2599676.6415659729</v>
      </c>
      <c r="E44" s="378">
        <f t="shared" si="29"/>
        <v>145221.34090909091</v>
      </c>
      <c r="F44" s="55">
        <f t="shared" si="30"/>
        <v>2454455.3006568821</v>
      </c>
      <c r="G44" s="379">
        <f t="shared" si="31"/>
        <v>447274.28793655941</v>
      </c>
      <c r="H44" s="364">
        <f t="shared" si="32"/>
        <v>447274.28793655941</v>
      </c>
      <c r="I44" s="52">
        <f t="shared" si="6"/>
        <v>0</v>
      </c>
      <c r="J44" s="52"/>
      <c r="K44" s="129"/>
      <c r="L44" s="54">
        <f t="shared" si="33"/>
        <v>0</v>
      </c>
      <c r="M44" s="129"/>
      <c r="N44" s="54">
        <f t="shared" si="10"/>
        <v>0</v>
      </c>
      <c r="O44" s="54">
        <f t="shared" si="11"/>
        <v>0</v>
      </c>
      <c r="P44" s="1"/>
    </row>
    <row r="45" spans="2:16" ht="12.5">
      <c r="B45" s="7" t="str">
        <f t="shared" si="5"/>
        <v/>
      </c>
      <c r="C45" s="50">
        <f>IF(D11="","-",+C44+1)</f>
        <v>2041</v>
      </c>
      <c r="D45" s="55">
        <f>IF(F44+SUM(E$17:E44)=D$10,F44,D$10-SUM(E$17:E44))</f>
        <v>2454455.3006568821</v>
      </c>
      <c r="E45" s="378">
        <f t="shared" si="29"/>
        <v>145221.34090909091</v>
      </c>
      <c r="F45" s="55">
        <f t="shared" si="30"/>
        <v>2309233.9597477913</v>
      </c>
      <c r="G45" s="379">
        <f t="shared" si="31"/>
        <v>429916.397602743</v>
      </c>
      <c r="H45" s="364">
        <f t="shared" si="32"/>
        <v>429916.397602743</v>
      </c>
      <c r="I45" s="52">
        <f t="shared" si="6"/>
        <v>0</v>
      </c>
      <c r="J45" s="52"/>
      <c r="K45" s="129"/>
      <c r="L45" s="54">
        <f t="shared" si="33"/>
        <v>0</v>
      </c>
      <c r="M45" s="129"/>
      <c r="N45" s="54">
        <f t="shared" si="10"/>
        <v>0</v>
      </c>
      <c r="O45" s="54">
        <f t="shared" si="11"/>
        <v>0</v>
      </c>
      <c r="P45" s="1"/>
    </row>
    <row r="46" spans="2:16" ht="12.5">
      <c r="B46" s="7" t="str">
        <f t="shared" si="5"/>
        <v/>
      </c>
      <c r="C46" s="50">
        <f>IF(D11="","-",+C45+1)</f>
        <v>2042</v>
      </c>
      <c r="D46" s="55">
        <f>IF(F45+SUM(E$17:E45)=D$10,F45,D$10-SUM(E$17:E45))</f>
        <v>2309233.9597477913</v>
      </c>
      <c r="E46" s="378">
        <f t="shared" si="29"/>
        <v>145221.34090909091</v>
      </c>
      <c r="F46" s="55">
        <f t="shared" si="30"/>
        <v>2164012.6188387005</v>
      </c>
      <c r="G46" s="379">
        <f t="shared" si="31"/>
        <v>412558.50726892648</v>
      </c>
      <c r="H46" s="364">
        <f t="shared" si="32"/>
        <v>412558.50726892648</v>
      </c>
      <c r="I46" s="52">
        <f t="shared" si="6"/>
        <v>0</v>
      </c>
      <c r="J46" s="52"/>
      <c r="K46" s="129"/>
      <c r="L46" s="54">
        <f t="shared" si="33"/>
        <v>0</v>
      </c>
      <c r="M46" s="129"/>
      <c r="N46" s="54">
        <f t="shared" si="10"/>
        <v>0</v>
      </c>
      <c r="O46" s="54">
        <f t="shared" si="11"/>
        <v>0</v>
      </c>
      <c r="P46" s="1"/>
    </row>
    <row r="47" spans="2:16" ht="12.5">
      <c r="B47" s="7" t="str">
        <f t="shared" si="5"/>
        <v/>
      </c>
      <c r="C47" s="50">
        <f>IF(D11="","-",+C46+1)</f>
        <v>2043</v>
      </c>
      <c r="D47" s="55">
        <f>IF(F46+SUM(E$17:E46)=D$10,F46,D$10-SUM(E$17:E46))</f>
        <v>2164012.6188387005</v>
      </c>
      <c r="E47" s="378">
        <f t="shared" si="29"/>
        <v>145221.34090909091</v>
      </c>
      <c r="F47" s="55">
        <f t="shared" si="30"/>
        <v>2018791.2779296096</v>
      </c>
      <c r="G47" s="379">
        <f t="shared" si="31"/>
        <v>395200.61693511007</v>
      </c>
      <c r="H47" s="364">
        <f t="shared" si="32"/>
        <v>395200.61693511007</v>
      </c>
      <c r="I47" s="52">
        <f t="shared" si="6"/>
        <v>0</v>
      </c>
      <c r="J47" s="52"/>
      <c r="K47" s="129"/>
      <c r="L47" s="54">
        <f t="shared" si="33"/>
        <v>0</v>
      </c>
      <c r="M47" s="129"/>
      <c r="N47" s="54">
        <f t="shared" si="10"/>
        <v>0</v>
      </c>
      <c r="O47" s="54">
        <f t="shared" si="11"/>
        <v>0</v>
      </c>
      <c r="P47" s="1"/>
    </row>
    <row r="48" spans="2:16" ht="12.5">
      <c r="B48" s="7" t="str">
        <f t="shared" si="5"/>
        <v/>
      </c>
      <c r="C48" s="50">
        <f>IF(D11="","-",+C47+1)</f>
        <v>2044</v>
      </c>
      <c r="D48" s="55">
        <f>IF(F47+SUM(E$17:E47)=D$10,F47,D$10-SUM(E$17:E47))</f>
        <v>2018791.2779296096</v>
      </c>
      <c r="E48" s="378">
        <f t="shared" si="29"/>
        <v>145221.34090909091</v>
      </c>
      <c r="F48" s="55">
        <f t="shared" si="30"/>
        <v>1873569.9370205188</v>
      </c>
      <c r="G48" s="379">
        <f t="shared" si="31"/>
        <v>377842.7266012936</v>
      </c>
      <c r="H48" s="364">
        <f t="shared" si="32"/>
        <v>377842.7266012936</v>
      </c>
      <c r="I48" s="52">
        <f t="shared" si="6"/>
        <v>0</v>
      </c>
      <c r="J48" s="52"/>
      <c r="K48" s="129"/>
      <c r="L48" s="54">
        <f t="shared" si="33"/>
        <v>0</v>
      </c>
      <c r="M48" s="129"/>
      <c r="N48" s="54">
        <f t="shared" si="10"/>
        <v>0</v>
      </c>
      <c r="O48" s="54">
        <f t="shared" si="11"/>
        <v>0</v>
      </c>
      <c r="P48" s="1"/>
    </row>
    <row r="49" spans="2:17" ht="12.5">
      <c r="B49" s="7" t="str">
        <f t="shared" si="5"/>
        <v/>
      </c>
      <c r="C49" s="50">
        <f>IF(D11="","-",+C48+1)</f>
        <v>2045</v>
      </c>
      <c r="D49" s="55">
        <f>IF(F48+SUM(E$17:E48)=D$10,F48,D$10-SUM(E$17:E48))</f>
        <v>1873569.9370205188</v>
      </c>
      <c r="E49" s="378">
        <f t="shared" si="29"/>
        <v>145221.34090909091</v>
      </c>
      <c r="F49" s="55">
        <f t="shared" si="30"/>
        <v>1728348.596111428</v>
      </c>
      <c r="G49" s="379">
        <f t="shared" si="31"/>
        <v>360484.83626747713</v>
      </c>
      <c r="H49" s="364">
        <f t="shared" si="32"/>
        <v>360484.83626747713</v>
      </c>
      <c r="I49" s="52">
        <f t="shared" si="6"/>
        <v>0</v>
      </c>
      <c r="J49" s="52"/>
      <c r="K49" s="129"/>
      <c r="L49" s="54">
        <f t="shared" si="33"/>
        <v>0</v>
      </c>
      <c r="M49" s="129"/>
      <c r="N49" s="54">
        <f t="shared" si="10"/>
        <v>0</v>
      </c>
      <c r="O49" s="54">
        <f t="shared" si="11"/>
        <v>0</v>
      </c>
      <c r="P49" s="1"/>
    </row>
    <row r="50" spans="2:17" ht="12.5">
      <c r="B50" s="7" t="str">
        <f t="shared" si="5"/>
        <v/>
      </c>
      <c r="C50" s="50">
        <f>IF(D11="","-",+C49+1)</f>
        <v>2046</v>
      </c>
      <c r="D50" s="55">
        <f>IF(F49+SUM(E$17:E49)=D$10,F49,D$10-SUM(E$17:E49))</f>
        <v>1728348.596111428</v>
      </c>
      <c r="E50" s="378">
        <f t="shared" si="29"/>
        <v>145221.34090909091</v>
      </c>
      <c r="F50" s="55">
        <f t="shared" si="30"/>
        <v>1583127.2552023372</v>
      </c>
      <c r="G50" s="379">
        <f t="shared" si="31"/>
        <v>343126.94593366067</v>
      </c>
      <c r="H50" s="364">
        <f t="shared" si="32"/>
        <v>343126.94593366067</v>
      </c>
      <c r="I50" s="52">
        <f t="shared" si="6"/>
        <v>0</v>
      </c>
      <c r="J50" s="52"/>
      <c r="K50" s="129"/>
      <c r="L50" s="54">
        <f t="shared" si="33"/>
        <v>0</v>
      </c>
      <c r="M50" s="129"/>
      <c r="N50" s="54">
        <f t="shared" si="10"/>
        <v>0</v>
      </c>
      <c r="O50" s="54">
        <f t="shared" si="11"/>
        <v>0</v>
      </c>
      <c r="P50" s="1"/>
    </row>
    <row r="51" spans="2:17" ht="12.5">
      <c r="B51" s="7" t="str">
        <f t="shared" si="5"/>
        <v/>
      </c>
      <c r="C51" s="50">
        <f>IF(D11="","-",+C50+1)</f>
        <v>2047</v>
      </c>
      <c r="D51" s="55">
        <f>IF(F50+SUM(E$17:E50)=D$10,F50,D$10-SUM(E$17:E50))</f>
        <v>1583127.2552023372</v>
      </c>
      <c r="E51" s="378">
        <f t="shared" si="29"/>
        <v>145221.34090909091</v>
      </c>
      <c r="F51" s="55">
        <f t="shared" si="30"/>
        <v>1437905.9142932463</v>
      </c>
      <c r="G51" s="379">
        <f t="shared" si="31"/>
        <v>325769.0555998442</v>
      </c>
      <c r="H51" s="364">
        <f t="shared" si="32"/>
        <v>325769.0555998442</v>
      </c>
      <c r="I51" s="52">
        <f t="shared" si="6"/>
        <v>0</v>
      </c>
      <c r="J51" s="52"/>
      <c r="K51" s="129"/>
      <c r="L51" s="54">
        <f t="shared" si="33"/>
        <v>0</v>
      </c>
      <c r="M51" s="129"/>
      <c r="N51" s="54">
        <f t="shared" si="10"/>
        <v>0</v>
      </c>
      <c r="O51" s="54">
        <f t="shared" si="11"/>
        <v>0</v>
      </c>
      <c r="P51" s="1"/>
    </row>
    <row r="52" spans="2:17" ht="12.5">
      <c r="B52" s="7" t="str">
        <f t="shared" si="5"/>
        <v/>
      </c>
      <c r="C52" s="50">
        <f>IF(D11="","-",+C51+1)</f>
        <v>2048</v>
      </c>
      <c r="D52" s="55">
        <f>IF(F51+SUM(E$17:E51)=D$10,F51,D$10-SUM(E$17:E51))</f>
        <v>1437905.9142932463</v>
      </c>
      <c r="E52" s="378">
        <f t="shared" si="29"/>
        <v>145221.34090909091</v>
      </c>
      <c r="F52" s="55">
        <f t="shared" si="30"/>
        <v>1292684.5733841555</v>
      </c>
      <c r="G52" s="379">
        <f t="shared" si="31"/>
        <v>308411.16526602773</v>
      </c>
      <c r="H52" s="364">
        <f t="shared" si="32"/>
        <v>308411.16526602773</v>
      </c>
      <c r="I52" s="52">
        <f t="shared" si="6"/>
        <v>0</v>
      </c>
      <c r="J52" s="52"/>
      <c r="K52" s="129"/>
      <c r="L52" s="54">
        <f t="shared" si="33"/>
        <v>0</v>
      </c>
      <c r="M52" s="129"/>
      <c r="N52" s="54">
        <f t="shared" si="10"/>
        <v>0</v>
      </c>
      <c r="O52" s="54">
        <f t="shared" si="11"/>
        <v>0</v>
      </c>
      <c r="P52" s="1"/>
    </row>
    <row r="53" spans="2:17" ht="12.5">
      <c r="B53" s="7" t="str">
        <f t="shared" si="5"/>
        <v/>
      </c>
      <c r="C53" s="50">
        <f>IF(D11="","-",+C52+1)</f>
        <v>2049</v>
      </c>
      <c r="D53" s="55">
        <f>IF(F52+SUM(E$17:E52)=D$10,F52,D$10-SUM(E$17:E52))</f>
        <v>1292684.5733841555</v>
      </c>
      <c r="E53" s="378">
        <f t="shared" si="29"/>
        <v>145221.34090909091</v>
      </c>
      <c r="F53" s="55">
        <f t="shared" si="30"/>
        <v>1147463.2324750647</v>
      </c>
      <c r="G53" s="379">
        <f t="shared" ref="G53:G72" si="34">+I$12*((D53+F53)/2)+E53</f>
        <v>291053.27493221126</v>
      </c>
      <c r="H53" s="364">
        <f t="shared" ref="H53:H72" si="35">+I$13*((D53+F53)/2)+E53</f>
        <v>291053.27493221126</v>
      </c>
      <c r="I53" s="52">
        <f t="shared" si="6"/>
        <v>0</v>
      </c>
      <c r="J53" s="52"/>
      <c r="K53" s="129"/>
      <c r="L53" s="54">
        <f t="shared" si="33"/>
        <v>0</v>
      </c>
      <c r="M53" s="129"/>
      <c r="N53" s="54">
        <f t="shared" si="10"/>
        <v>0</v>
      </c>
      <c r="O53" s="54">
        <f t="shared" si="11"/>
        <v>0</v>
      </c>
      <c r="P53" s="1"/>
    </row>
    <row r="54" spans="2:17" ht="12.5">
      <c r="B54" s="7" t="str">
        <f t="shared" si="5"/>
        <v/>
      </c>
      <c r="C54" s="50">
        <f>IF(D11="","-",+C53+1)</f>
        <v>2050</v>
      </c>
      <c r="D54" s="55">
        <f>IF(F53+SUM(E$17:E53)=D$10,F53,D$10-SUM(E$17:E53))</f>
        <v>1147463.2324750647</v>
      </c>
      <c r="E54" s="378">
        <f t="shared" si="29"/>
        <v>145221.34090909091</v>
      </c>
      <c r="F54" s="55">
        <f t="shared" si="30"/>
        <v>1002241.8915659738</v>
      </c>
      <c r="G54" s="379">
        <f t="shared" si="34"/>
        <v>273695.3845983948</v>
      </c>
      <c r="H54" s="364">
        <f t="shared" si="35"/>
        <v>273695.3845983948</v>
      </c>
      <c r="I54" s="52">
        <f t="shared" si="6"/>
        <v>0</v>
      </c>
      <c r="J54" s="52"/>
      <c r="K54" s="129"/>
      <c r="L54" s="54">
        <f t="shared" si="33"/>
        <v>0</v>
      </c>
      <c r="M54" s="129"/>
      <c r="N54" s="54">
        <f t="shared" si="10"/>
        <v>0</v>
      </c>
      <c r="O54" s="54">
        <f t="shared" si="11"/>
        <v>0</v>
      </c>
      <c r="P54" s="1"/>
    </row>
    <row r="55" spans="2:17" ht="12.5">
      <c r="B55" s="7" t="str">
        <f t="shared" si="5"/>
        <v/>
      </c>
      <c r="C55" s="50">
        <f>IF(D11="","-",+C54+1)</f>
        <v>2051</v>
      </c>
      <c r="D55" s="55">
        <f>IF(F54+SUM(E$17:E54)=D$10,F54,D$10-SUM(E$17:E54))</f>
        <v>1002241.8915659738</v>
      </c>
      <c r="E55" s="378">
        <f t="shared" si="29"/>
        <v>145221.34090909091</v>
      </c>
      <c r="F55" s="55">
        <f t="shared" si="30"/>
        <v>857020.55065688281</v>
      </c>
      <c r="G55" s="379">
        <f t="shared" si="34"/>
        <v>256337.49426457833</v>
      </c>
      <c r="H55" s="364">
        <f t="shared" si="35"/>
        <v>256337.49426457833</v>
      </c>
      <c r="I55" s="52">
        <f t="shared" si="6"/>
        <v>0</v>
      </c>
      <c r="J55" s="52"/>
      <c r="K55" s="129"/>
      <c r="L55" s="54">
        <f t="shared" si="33"/>
        <v>0</v>
      </c>
      <c r="M55" s="129"/>
      <c r="N55" s="54">
        <f t="shared" si="10"/>
        <v>0</v>
      </c>
      <c r="O55" s="54">
        <f t="shared" si="11"/>
        <v>0</v>
      </c>
      <c r="P55" s="1"/>
    </row>
    <row r="56" spans="2:17" ht="12.5">
      <c r="B56" s="7" t="str">
        <f t="shared" si="5"/>
        <v/>
      </c>
      <c r="C56" s="50">
        <f>IF(D11="","-",+C55+1)</f>
        <v>2052</v>
      </c>
      <c r="D56" s="55">
        <f>IF(F55+SUM(E$17:E55)=D$10,F55,D$10-SUM(E$17:E55))</f>
        <v>857020.55065688281</v>
      </c>
      <c r="E56" s="378">
        <f t="shared" si="29"/>
        <v>145221.34090909091</v>
      </c>
      <c r="F56" s="55">
        <f t="shared" si="30"/>
        <v>711799.20974779187</v>
      </c>
      <c r="G56" s="379">
        <f t="shared" si="34"/>
        <v>238979.60393076186</v>
      </c>
      <c r="H56" s="364">
        <f t="shared" si="35"/>
        <v>238979.60393076186</v>
      </c>
      <c r="I56" s="52">
        <f t="shared" si="6"/>
        <v>0</v>
      </c>
      <c r="J56" s="52"/>
      <c r="K56" s="129"/>
      <c r="L56" s="54">
        <f t="shared" si="33"/>
        <v>0</v>
      </c>
      <c r="M56" s="129"/>
      <c r="N56" s="54">
        <f t="shared" si="10"/>
        <v>0</v>
      </c>
      <c r="O56" s="54">
        <f t="shared" si="11"/>
        <v>0</v>
      </c>
      <c r="P56" s="1"/>
    </row>
    <row r="57" spans="2:17" ht="12.5">
      <c r="B57" s="7" t="str">
        <f t="shared" si="5"/>
        <v/>
      </c>
      <c r="C57" s="50">
        <f>IF(D11="","-",+C56+1)</f>
        <v>2053</v>
      </c>
      <c r="D57" s="55">
        <f>IF(F56+SUM(E$17:E56)=D$10,F56,D$10-SUM(E$17:E56))</f>
        <v>711799.20974779187</v>
      </c>
      <c r="E57" s="378">
        <f t="shared" si="29"/>
        <v>145221.34090909091</v>
      </c>
      <c r="F57" s="55">
        <f t="shared" si="30"/>
        <v>566577.86883870093</v>
      </c>
      <c r="G57" s="379">
        <f t="shared" si="34"/>
        <v>221621.7135969454</v>
      </c>
      <c r="H57" s="364">
        <f t="shared" si="35"/>
        <v>221621.7135969454</v>
      </c>
      <c r="I57" s="52">
        <f t="shared" si="6"/>
        <v>0</v>
      </c>
      <c r="J57" s="52"/>
      <c r="K57" s="129"/>
      <c r="L57" s="54">
        <f t="shared" si="33"/>
        <v>0</v>
      </c>
      <c r="M57" s="129"/>
      <c r="N57" s="54">
        <f t="shared" si="10"/>
        <v>0</v>
      </c>
      <c r="O57" s="54">
        <f t="shared" si="11"/>
        <v>0</v>
      </c>
      <c r="P57" s="1"/>
    </row>
    <row r="58" spans="2:17" ht="12.5">
      <c r="B58" s="7" t="str">
        <f t="shared" si="5"/>
        <v/>
      </c>
      <c r="C58" s="50">
        <f>IF(D11="","-",+C57+1)</f>
        <v>2054</v>
      </c>
      <c r="D58" s="55">
        <f>IF(F57+SUM(E$17:E57)=D$10,F57,D$10-SUM(E$17:E57))</f>
        <v>566577.86883870093</v>
      </c>
      <c r="E58" s="378">
        <f t="shared" si="29"/>
        <v>145221.34090909091</v>
      </c>
      <c r="F58" s="55">
        <f t="shared" si="30"/>
        <v>421356.52792960999</v>
      </c>
      <c r="G58" s="379">
        <f t="shared" si="34"/>
        <v>204263.8232631289</v>
      </c>
      <c r="H58" s="364">
        <f t="shared" si="35"/>
        <v>204263.8232631289</v>
      </c>
      <c r="I58" s="52">
        <f t="shared" si="6"/>
        <v>0</v>
      </c>
      <c r="J58" s="52"/>
      <c r="K58" s="129"/>
      <c r="L58" s="54">
        <f t="shared" si="33"/>
        <v>0</v>
      </c>
      <c r="M58" s="129"/>
      <c r="N58" s="54">
        <f t="shared" si="10"/>
        <v>0</v>
      </c>
      <c r="O58" s="54">
        <f t="shared" si="11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5"/>
        <v/>
      </c>
      <c r="C59" s="50">
        <f>IF(D11="","-",+C58+1)</f>
        <v>2055</v>
      </c>
      <c r="D59" s="55">
        <f>IF(F58+SUM(E$17:E58)=D$10,F58,D$10-SUM(E$17:E58))</f>
        <v>421356.52792960999</v>
      </c>
      <c r="E59" s="378">
        <f t="shared" si="29"/>
        <v>145221.34090909091</v>
      </c>
      <c r="F59" s="55">
        <f t="shared" si="30"/>
        <v>276135.18702051905</v>
      </c>
      <c r="G59" s="379">
        <f t="shared" si="34"/>
        <v>186905.93292931243</v>
      </c>
      <c r="H59" s="364">
        <f t="shared" si="35"/>
        <v>186905.93292931243</v>
      </c>
      <c r="I59" s="52">
        <f t="shared" si="6"/>
        <v>0</v>
      </c>
      <c r="J59" s="52"/>
      <c r="K59" s="129"/>
      <c r="L59" s="54">
        <f t="shared" si="33"/>
        <v>0</v>
      </c>
      <c r="M59" s="129"/>
      <c r="N59" s="54">
        <f t="shared" si="10"/>
        <v>0</v>
      </c>
      <c r="O59" s="54">
        <f t="shared" si="11"/>
        <v>0</v>
      </c>
      <c r="P59" s="1"/>
    </row>
    <row r="60" spans="2:17" ht="12.5">
      <c r="B60" s="7" t="str">
        <f t="shared" si="5"/>
        <v/>
      </c>
      <c r="C60" s="50">
        <f>IF(D11="","-",+C59+1)</f>
        <v>2056</v>
      </c>
      <c r="D60" s="55">
        <f>IF(F59+SUM(E$17:E59)=D$10,F59,D$10-SUM(E$17:E59))</f>
        <v>276135.18702051905</v>
      </c>
      <c r="E60" s="378">
        <f t="shared" si="29"/>
        <v>145221.34090909091</v>
      </c>
      <c r="F60" s="55">
        <f t="shared" si="30"/>
        <v>130913.84611142814</v>
      </c>
      <c r="G60" s="379">
        <f t="shared" si="34"/>
        <v>169548.04259549596</v>
      </c>
      <c r="H60" s="364">
        <f t="shared" si="35"/>
        <v>169548.04259549596</v>
      </c>
      <c r="I60" s="52">
        <f t="shared" si="6"/>
        <v>0</v>
      </c>
      <c r="J60" s="52"/>
      <c r="K60" s="129"/>
      <c r="L60" s="54">
        <f t="shared" si="33"/>
        <v>0</v>
      </c>
      <c r="M60" s="129"/>
      <c r="N60" s="54">
        <f t="shared" si="10"/>
        <v>0</v>
      </c>
      <c r="O60" s="54">
        <f t="shared" si="11"/>
        <v>0</v>
      </c>
      <c r="P60" s="1"/>
    </row>
    <row r="61" spans="2:17" ht="12.5">
      <c r="B61" s="7" t="str">
        <f t="shared" si="5"/>
        <v/>
      </c>
      <c r="C61" s="50">
        <f>IF(D11="","-",+C60+1)</f>
        <v>2057</v>
      </c>
      <c r="D61" s="55">
        <f>IF(F60+SUM(E$17:E60)=D$10,F60,D$10-SUM(E$17:E60))</f>
        <v>130913.84611142814</v>
      </c>
      <c r="E61" s="378">
        <f t="shared" si="29"/>
        <v>130913.84611142814</v>
      </c>
      <c r="F61" s="55">
        <f t="shared" si="30"/>
        <v>0</v>
      </c>
      <c r="G61" s="379">
        <f t="shared" si="34"/>
        <v>138737.72437117653</v>
      </c>
      <c r="H61" s="364">
        <f t="shared" si="35"/>
        <v>138737.72437117653</v>
      </c>
      <c r="I61" s="52">
        <f t="shared" si="6"/>
        <v>0</v>
      </c>
      <c r="J61" s="52"/>
      <c r="K61" s="129"/>
      <c r="L61" s="54">
        <f t="shared" si="33"/>
        <v>0</v>
      </c>
      <c r="M61" s="129"/>
      <c r="N61" s="54">
        <f t="shared" si="10"/>
        <v>0</v>
      </c>
      <c r="O61" s="54">
        <f t="shared" si="11"/>
        <v>0</v>
      </c>
      <c r="P61" s="1"/>
    </row>
    <row r="62" spans="2:17" ht="12.5">
      <c r="B62" s="7" t="str">
        <f t="shared" si="5"/>
        <v/>
      </c>
      <c r="C62" s="50">
        <f>IF(D11="","-",+C61+1)</f>
        <v>2058</v>
      </c>
      <c r="D62" s="55">
        <f>IF(F61+SUM(E$17:E61)=D$10,F61,D$10-SUM(E$17:E61))</f>
        <v>0</v>
      </c>
      <c r="E62" s="378">
        <f t="shared" si="29"/>
        <v>0</v>
      </c>
      <c r="F62" s="55">
        <f t="shared" si="30"/>
        <v>0</v>
      </c>
      <c r="G62" s="379">
        <f t="shared" si="34"/>
        <v>0</v>
      </c>
      <c r="H62" s="364">
        <f t="shared" si="35"/>
        <v>0</v>
      </c>
      <c r="I62" s="52">
        <f t="shared" si="6"/>
        <v>0</v>
      </c>
      <c r="J62" s="52"/>
      <c r="K62" s="129"/>
      <c r="L62" s="54">
        <f t="shared" si="33"/>
        <v>0</v>
      </c>
      <c r="M62" s="129"/>
      <c r="N62" s="54">
        <f t="shared" si="10"/>
        <v>0</v>
      </c>
      <c r="O62" s="54">
        <f t="shared" si="11"/>
        <v>0</v>
      </c>
      <c r="P62" s="1"/>
    </row>
    <row r="63" spans="2:17" ht="12.5">
      <c r="B63" s="7" t="str">
        <f t="shared" si="5"/>
        <v/>
      </c>
      <c r="C63" s="50">
        <f>IF(D11="","-",+C62+1)</f>
        <v>2059</v>
      </c>
      <c r="D63" s="55">
        <f>IF(F62+SUM(E$17:E62)=D$10,F62,D$10-SUM(E$17:E62))</f>
        <v>0</v>
      </c>
      <c r="E63" s="378">
        <f t="shared" si="29"/>
        <v>0</v>
      </c>
      <c r="F63" s="55">
        <f t="shared" si="30"/>
        <v>0</v>
      </c>
      <c r="G63" s="379">
        <f t="shared" si="34"/>
        <v>0</v>
      </c>
      <c r="H63" s="364">
        <f t="shared" si="35"/>
        <v>0</v>
      </c>
      <c r="I63" s="52">
        <f t="shared" si="6"/>
        <v>0</v>
      </c>
      <c r="J63" s="52"/>
      <c r="K63" s="129"/>
      <c r="L63" s="54">
        <f t="shared" si="33"/>
        <v>0</v>
      </c>
      <c r="M63" s="129"/>
      <c r="N63" s="54">
        <f t="shared" si="10"/>
        <v>0</v>
      </c>
      <c r="O63" s="54">
        <f t="shared" si="11"/>
        <v>0</v>
      </c>
      <c r="P63" s="1"/>
    </row>
    <row r="64" spans="2:17" ht="12.5">
      <c r="B64" s="7" t="str">
        <f t="shared" si="5"/>
        <v/>
      </c>
      <c r="C64" s="50">
        <f>IF(D11="","-",+C63+1)</f>
        <v>2060</v>
      </c>
      <c r="D64" s="55">
        <f>IF(F63+SUM(E$17:E63)=D$10,F63,D$10-SUM(E$17:E63))</f>
        <v>0</v>
      </c>
      <c r="E64" s="378">
        <f t="shared" si="29"/>
        <v>0</v>
      </c>
      <c r="F64" s="55">
        <f t="shared" si="30"/>
        <v>0</v>
      </c>
      <c r="G64" s="379">
        <f t="shared" si="34"/>
        <v>0</v>
      </c>
      <c r="H64" s="364">
        <f t="shared" si="35"/>
        <v>0</v>
      </c>
      <c r="I64" s="52">
        <f t="shared" si="6"/>
        <v>0</v>
      </c>
      <c r="J64" s="52"/>
      <c r="K64" s="129"/>
      <c r="L64" s="54">
        <f t="shared" si="33"/>
        <v>0</v>
      </c>
      <c r="M64" s="129"/>
      <c r="N64" s="54">
        <f t="shared" si="10"/>
        <v>0</v>
      </c>
      <c r="O64" s="54">
        <f t="shared" si="11"/>
        <v>0</v>
      </c>
      <c r="P64" s="1"/>
    </row>
    <row r="65" spans="2:16" ht="12.5">
      <c r="B65" s="7" t="str">
        <f t="shared" si="5"/>
        <v/>
      </c>
      <c r="C65" s="50">
        <f>IF(D11="","-",+C64+1)</f>
        <v>2061</v>
      </c>
      <c r="D65" s="55">
        <f>IF(F64+SUM(E$17:E64)=D$10,F64,D$10-SUM(E$17:E64))</f>
        <v>0</v>
      </c>
      <c r="E65" s="378">
        <f t="shared" si="29"/>
        <v>0</v>
      </c>
      <c r="F65" s="55">
        <f t="shared" si="30"/>
        <v>0</v>
      </c>
      <c r="G65" s="379">
        <f t="shared" si="34"/>
        <v>0</v>
      </c>
      <c r="H65" s="364">
        <f t="shared" si="35"/>
        <v>0</v>
      </c>
      <c r="I65" s="52">
        <f t="shared" si="6"/>
        <v>0</v>
      </c>
      <c r="J65" s="52"/>
      <c r="K65" s="129"/>
      <c r="L65" s="54">
        <f t="shared" si="33"/>
        <v>0</v>
      </c>
      <c r="M65" s="129"/>
      <c r="N65" s="54">
        <f t="shared" si="10"/>
        <v>0</v>
      </c>
      <c r="O65" s="54">
        <f t="shared" si="11"/>
        <v>0</v>
      </c>
      <c r="P65" s="1"/>
    </row>
    <row r="66" spans="2:16" ht="12.5">
      <c r="B66" s="7" t="str">
        <f t="shared" si="5"/>
        <v/>
      </c>
      <c r="C66" s="50">
        <f>IF(D11="","-",+C65+1)</f>
        <v>2062</v>
      </c>
      <c r="D66" s="55">
        <f>IF(F65+SUM(E$17:E65)=D$10,F65,D$10-SUM(E$17:E65))</f>
        <v>0</v>
      </c>
      <c r="E66" s="378">
        <f t="shared" si="29"/>
        <v>0</v>
      </c>
      <c r="F66" s="55">
        <f t="shared" si="30"/>
        <v>0</v>
      </c>
      <c r="G66" s="379">
        <f t="shared" si="34"/>
        <v>0</v>
      </c>
      <c r="H66" s="364">
        <f t="shared" si="35"/>
        <v>0</v>
      </c>
      <c r="I66" s="52">
        <f t="shared" si="6"/>
        <v>0</v>
      </c>
      <c r="J66" s="52"/>
      <c r="K66" s="129"/>
      <c r="L66" s="54">
        <f t="shared" si="33"/>
        <v>0</v>
      </c>
      <c r="M66" s="129"/>
      <c r="N66" s="54">
        <f t="shared" si="10"/>
        <v>0</v>
      </c>
      <c r="O66" s="54">
        <f t="shared" si="11"/>
        <v>0</v>
      </c>
      <c r="P66" s="1"/>
    </row>
    <row r="67" spans="2:16" ht="12.5">
      <c r="B67" s="7" t="str">
        <f t="shared" si="5"/>
        <v/>
      </c>
      <c r="C67" s="50">
        <f>IF(D11="","-",+C66+1)</f>
        <v>2063</v>
      </c>
      <c r="D67" s="55">
        <f>IF(F66+SUM(E$17:E66)=D$10,F66,D$10-SUM(E$17:E66))</f>
        <v>0</v>
      </c>
      <c r="E67" s="378">
        <f t="shared" si="29"/>
        <v>0</v>
      </c>
      <c r="F67" s="55">
        <f t="shared" si="30"/>
        <v>0</v>
      </c>
      <c r="G67" s="379">
        <f t="shared" si="34"/>
        <v>0</v>
      </c>
      <c r="H67" s="364">
        <f t="shared" si="35"/>
        <v>0</v>
      </c>
      <c r="I67" s="52">
        <f t="shared" si="6"/>
        <v>0</v>
      </c>
      <c r="J67" s="52"/>
      <c r="K67" s="129"/>
      <c r="L67" s="54">
        <f t="shared" si="33"/>
        <v>0</v>
      </c>
      <c r="M67" s="129"/>
      <c r="N67" s="54">
        <f t="shared" si="10"/>
        <v>0</v>
      </c>
      <c r="O67" s="54">
        <f t="shared" si="11"/>
        <v>0</v>
      </c>
      <c r="P67" s="1"/>
    </row>
    <row r="68" spans="2:16" ht="12.5">
      <c r="B68" s="7" t="str">
        <f t="shared" si="5"/>
        <v/>
      </c>
      <c r="C68" s="50">
        <f>IF(D11="","-",+C67+1)</f>
        <v>2064</v>
      </c>
      <c r="D68" s="55">
        <f>IF(F67+SUM(E$17:E67)=D$10,F67,D$10-SUM(E$17:E67))</f>
        <v>0</v>
      </c>
      <c r="E68" s="378">
        <f t="shared" si="29"/>
        <v>0</v>
      </c>
      <c r="F68" s="55">
        <f t="shared" si="30"/>
        <v>0</v>
      </c>
      <c r="G68" s="379">
        <f t="shared" si="34"/>
        <v>0</v>
      </c>
      <c r="H68" s="364">
        <f t="shared" si="35"/>
        <v>0</v>
      </c>
      <c r="I68" s="52">
        <f t="shared" si="6"/>
        <v>0</v>
      </c>
      <c r="J68" s="52"/>
      <c r="K68" s="129"/>
      <c r="L68" s="54">
        <f t="shared" si="33"/>
        <v>0</v>
      </c>
      <c r="M68" s="129"/>
      <c r="N68" s="54">
        <f t="shared" si="10"/>
        <v>0</v>
      </c>
      <c r="O68" s="54">
        <f t="shared" si="11"/>
        <v>0</v>
      </c>
      <c r="P68" s="1"/>
    </row>
    <row r="69" spans="2:16" ht="12.5">
      <c r="B69" s="7" t="str">
        <f t="shared" si="5"/>
        <v/>
      </c>
      <c r="C69" s="50">
        <f>IF(D11="","-",+C68+1)</f>
        <v>2065</v>
      </c>
      <c r="D69" s="55">
        <f>IF(F68+SUM(E$17:E68)=D$10,F68,D$10-SUM(E$17:E68))</f>
        <v>0</v>
      </c>
      <c r="E69" s="378">
        <f t="shared" si="29"/>
        <v>0</v>
      </c>
      <c r="F69" s="55">
        <f t="shared" si="30"/>
        <v>0</v>
      </c>
      <c r="G69" s="379">
        <f t="shared" si="34"/>
        <v>0</v>
      </c>
      <c r="H69" s="364">
        <f t="shared" si="35"/>
        <v>0</v>
      </c>
      <c r="I69" s="52">
        <f t="shared" si="6"/>
        <v>0</v>
      </c>
      <c r="J69" s="52"/>
      <c r="K69" s="129"/>
      <c r="L69" s="54">
        <f t="shared" si="33"/>
        <v>0</v>
      </c>
      <c r="M69" s="129"/>
      <c r="N69" s="54">
        <f t="shared" si="10"/>
        <v>0</v>
      </c>
      <c r="O69" s="54">
        <f t="shared" si="11"/>
        <v>0</v>
      </c>
      <c r="P69" s="1"/>
    </row>
    <row r="70" spans="2:16" ht="12.5">
      <c r="B70" s="7" t="str">
        <f t="shared" si="5"/>
        <v/>
      </c>
      <c r="C70" s="50">
        <f>IF(D11="","-",+C69+1)</f>
        <v>2066</v>
      </c>
      <c r="D70" s="55">
        <f>IF(F69+SUM(E$17:E69)=D$10,F69,D$10-SUM(E$17:E69))</f>
        <v>0</v>
      </c>
      <c r="E70" s="378">
        <f t="shared" si="29"/>
        <v>0</v>
      </c>
      <c r="F70" s="55">
        <f t="shared" si="30"/>
        <v>0</v>
      </c>
      <c r="G70" s="379">
        <f t="shared" si="34"/>
        <v>0</v>
      </c>
      <c r="H70" s="364">
        <f t="shared" si="35"/>
        <v>0</v>
      </c>
      <c r="I70" s="52">
        <f t="shared" si="6"/>
        <v>0</v>
      </c>
      <c r="J70" s="52"/>
      <c r="K70" s="129"/>
      <c r="L70" s="54">
        <f t="shared" si="33"/>
        <v>0</v>
      </c>
      <c r="M70" s="129"/>
      <c r="N70" s="54">
        <f t="shared" si="10"/>
        <v>0</v>
      </c>
      <c r="O70" s="54">
        <f t="shared" si="11"/>
        <v>0</v>
      </c>
      <c r="P70" s="1"/>
    </row>
    <row r="71" spans="2:16" ht="12.5">
      <c r="B71" s="7" t="str">
        <f t="shared" si="5"/>
        <v/>
      </c>
      <c r="C71" s="50">
        <f>IF(D11="","-",+C70+1)</f>
        <v>2067</v>
      </c>
      <c r="D71" s="55">
        <f>IF(F70+SUM(E$17:E70)=D$10,F70,D$10-SUM(E$17:E70))</f>
        <v>0</v>
      </c>
      <c r="E71" s="378">
        <f t="shared" si="29"/>
        <v>0</v>
      </c>
      <c r="F71" s="55">
        <f t="shared" si="30"/>
        <v>0</v>
      </c>
      <c r="G71" s="379">
        <f t="shared" si="34"/>
        <v>0</v>
      </c>
      <c r="H71" s="364">
        <f t="shared" si="35"/>
        <v>0</v>
      </c>
      <c r="I71" s="52">
        <f t="shared" si="6"/>
        <v>0</v>
      </c>
      <c r="J71" s="52"/>
      <c r="K71" s="129"/>
      <c r="L71" s="54">
        <f t="shared" si="33"/>
        <v>0</v>
      </c>
      <c r="M71" s="129"/>
      <c r="N71" s="54">
        <f t="shared" si="10"/>
        <v>0</v>
      </c>
      <c r="O71" s="54">
        <f t="shared" si="11"/>
        <v>0</v>
      </c>
      <c r="P71" s="1"/>
    </row>
    <row r="72" spans="2:16" ht="13" thickBot="1">
      <c r="B72" s="7" t="str">
        <f t="shared" si="5"/>
        <v/>
      </c>
      <c r="C72" s="59">
        <f>IF(D11="","-",+C71+1)</f>
        <v>2068</v>
      </c>
      <c r="D72" s="55">
        <f>IF(F71+SUM(E$17:E71)=D$10,F71,D$10-SUM(E$17:E71))</f>
        <v>0</v>
      </c>
      <c r="E72" s="378">
        <f t="shared" si="29"/>
        <v>0</v>
      </c>
      <c r="F72" s="55">
        <f t="shared" si="30"/>
        <v>0</v>
      </c>
      <c r="G72" s="379">
        <f t="shared" si="34"/>
        <v>0</v>
      </c>
      <c r="H72" s="364">
        <f t="shared" si="35"/>
        <v>0</v>
      </c>
      <c r="I72" s="52">
        <f t="shared" si="6"/>
        <v>0</v>
      </c>
      <c r="J72" s="52"/>
      <c r="K72" s="130"/>
      <c r="L72" s="64">
        <f t="shared" si="33"/>
        <v>0</v>
      </c>
      <c r="M72" s="130"/>
      <c r="N72" s="64">
        <f t="shared" si="10"/>
        <v>0</v>
      </c>
      <c r="O72" s="64">
        <f t="shared" si="11"/>
        <v>0</v>
      </c>
      <c r="P72" s="1"/>
    </row>
    <row r="73" spans="2:16" ht="12.5">
      <c r="C73" s="12" t="s">
        <v>78</v>
      </c>
      <c r="D73" s="293"/>
      <c r="E73" s="293">
        <f>SUM(E17:E72)</f>
        <v>6389739</v>
      </c>
      <c r="F73" s="293"/>
      <c r="G73" s="293">
        <f>SUM(G17:G72)</f>
        <v>22322966.249845684</v>
      </c>
      <c r="H73" s="293">
        <f>SUM(H17:H72)</f>
        <v>22322966.249845684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 ht="13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36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725000.53327762289</v>
      </c>
      <c r="N87" s="387">
        <f>IF(J92&lt;D11,0,VLOOKUP(J92,C17:O72,11))</f>
        <v>725000.53327762289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739947.01470511116</v>
      </c>
      <c r="N88" s="390">
        <f>IF(J92&lt;D11,0,VLOOKUP(J92,C99:P154,7))</f>
        <v>739947.01470511116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Osburn 161 kV Line Work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14946.481427488266</v>
      </c>
      <c r="N89" s="392">
        <f>+N88-N87</f>
        <v>14946.481427488266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TP______</v>
      </c>
      <c r="E91" s="76" t="s">
        <v>494</v>
      </c>
      <c r="F91" s="463">
        <f>F9</f>
        <v>443</v>
      </c>
      <c r="G91" s="76"/>
      <c r="H91" s="76"/>
      <c r="I91" s="76"/>
      <c r="J91" s="76"/>
      <c r="Q91" s="1"/>
    </row>
    <row r="92" spans="1:17" ht="13">
      <c r="C92" s="34" t="s">
        <v>51</v>
      </c>
      <c r="D92" s="428">
        <f>D10</f>
        <v>6389739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  <c r="Q92" s="1"/>
    </row>
    <row r="93" spans="1:17" ht="12.5">
      <c r="C93" s="34" t="s">
        <v>54</v>
      </c>
      <c r="D93" s="435">
        <f>D11</f>
        <v>2013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4">
        <f>D12</f>
        <v>9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145221.34090909091</v>
      </c>
      <c r="K96" s="293"/>
      <c r="L96" s="293"/>
      <c r="M96" s="293"/>
      <c r="N96" s="293"/>
      <c r="O96" s="293"/>
      <c r="P96" s="1"/>
      <c r="Q96" s="1"/>
    </row>
    <row r="97" spans="1:17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 ht="12.5">
      <c r="C99" s="50">
        <f>IF(D93= "","-",D93)</f>
        <v>2013</v>
      </c>
      <c r="D99" s="429">
        <v>0</v>
      </c>
      <c r="E99" s="430">
        <v>30140.049603174608</v>
      </c>
      <c r="F99" s="431">
        <v>3007976.9503968256</v>
      </c>
      <c r="G99" s="432">
        <v>1503988.4751984128</v>
      </c>
      <c r="H99" s="433">
        <v>233617.21066655827</v>
      </c>
      <c r="I99" s="434">
        <v>233617.21066655827</v>
      </c>
      <c r="J99" s="154">
        <v>0</v>
      </c>
      <c r="K99" s="54"/>
      <c r="L99" s="113">
        <f t="shared" ref="L99:L104" si="36">H99</f>
        <v>233617.21066655827</v>
      </c>
      <c r="M99" s="54">
        <f t="shared" ref="M99:M104" si="37">IF(L99&lt;&gt;0,+H99-L99,0)</f>
        <v>0</v>
      </c>
      <c r="N99" s="113">
        <f t="shared" ref="N99:N104" si="38">I99</f>
        <v>233617.21066655827</v>
      </c>
      <c r="O99" s="54">
        <f>IF(N99&lt;&gt;0,+I99-N99,0)</f>
        <v>0</v>
      </c>
      <c r="P99" s="54">
        <f>+O99-M99</f>
        <v>0</v>
      </c>
      <c r="Q99" s="1"/>
    </row>
    <row r="100" spans="1:17" ht="12.5">
      <c r="B100" s="7" t="str">
        <f>IF(D100=F99,"","IU")</f>
        <v/>
      </c>
      <c r="C100" s="50">
        <f>IF(D93="","-",+C99+1)</f>
        <v>2014</v>
      </c>
      <c r="D100" s="429">
        <v>3007976.9503968256</v>
      </c>
      <c r="E100" s="430">
        <v>152136.64285714287</v>
      </c>
      <c r="F100" s="431">
        <v>2855840.3075396828</v>
      </c>
      <c r="G100" s="431">
        <v>2931908.6289682542</v>
      </c>
      <c r="H100" s="433">
        <v>550651.80741983175</v>
      </c>
      <c r="I100" s="434">
        <v>550651.80741983175</v>
      </c>
      <c r="J100" s="54">
        <v>0</v>
      </c>
      <c r="K100" s="54"/>
      <c r="L100" s="113">
        <f t="shared" si="36"/>
        <v>550651.80741983175</v>
      </c>
      <c r="M100" s="54">
        <f t="shared" si="37"/>
        <v>0</v>
      </c>
      <c r="N100" s="113">
        <f t="shared" si="38"/>
        <v>550651.80741983175</v>
      </c>
      <c r="O100" s="54">
        <f>IF(N100&lt;&gt;0,+I100-N100,0)</f>
        <v>0</v>
      </c>
      <c r="P100" s="54">
        <f>+O100-M100</f>
        <v>0</v>
      </c>
      <c r="Q100" s="1"/>
    </row>
    <row r="101" spans="1:17" ht="12.5">
      <c r="B101" s="7" t="str">
        <f t="shared" ref="B101:B154" si="39">IF(D101=F100,"","IU")</f>
        <v>IU</v>
      </c>
      <c r="C101" s="50">
        <f>IF(D93="","-",+C100+1)</f>
        <v>2015</v>
      </c>
      <c r="D101" s="429">
        <v>6207462.3075396828</v>
      </c>
      <c r="E101" s="430">
        <v>152136.64285714287</v>
      </c>
      <c r="F101" s="431">
        <v>6055325.6646825401</v>
      </c>
      <c r="G101" s="431">
        <v>6131393.9861111119</v>
      </c>
      <c r="H101" s="433">
        <v>960063.54821647424</v>
      </c>
      <c r="I101" s="434">
        <v>960063.54821647424</v>
      </c>
      <c r="J101" s="54">
        <f>+I101-H101</f>
        <v>0</v>
      </c>
      <c r="K101" s="54"/>
      <c r="L101" s="113">
        <f t="shared" si="36"/>
        <v>960063.54821647424</v>
      </c>
      <c r="M101" s="54">
        <f t="shared" si="37"/>
        <v>0</v>
      </c>
      <c r="N101" s="113">
        <f t="shared" si="38"/>
        <v>960063.54821647424</v>
      </c>
      <c r="O101" s="54">
        <f>IF(N101&lt;&gt;0,+I101-N101,0)</f>
        <v>0</v>
      </c>
      <c r="P101" s="54">
        <f>+O101-M101</f>
        <v>0</v>
      </c>
      <c r="Q101" s="1"/>
    </row>
    <row r="102" spans="1:17" ht="12.5">
      <c r="B102" s="7" t="str">
        <f t="shared" si="39"/>
        <v/>
      </c>
      <c r="C102" s="50">
        <f>IF(D93="","-",+C101+1)</f>
        <v>2016</v>
      </c>
      <c r="D102" s="429">
        <v>6055325.6646825401</v>
      </c>
      <c r="E102" s="430">
        <v>148598.58139534883</v>
      </c>
      <c r="F102" s="431">
        <v>5906727.0832871916</v>
      </c>
      <c r="G102" s="431">
        <v>5981026.3739848658</v>
      </c>
      <c r="H102" s="433">
        <v>907889.80952511146</v>
      </c>
      <c r="I102" s="434">
        <v>907889.80952511146</v>
      </c>
      <c r="J102" s="54">
        <f t="shared" ref="J102:J154" si="40">+I102-H102</f>
        <v>0</v>
      </c>
      <c r="K102" s="54"/>
      <c r="L102" s="113">
        <f t="shared" si="36"/>
        <v>907889.80952511146</v>
      </c>
      <c r="M102" s="54">
        <f t="shared" si="37"/>
        <v>0</v>
      </c>
      <c r="N102" s="113">
        <f t="shared" si="38"/>
        <v>907889.80952511146</v>
      </c>
      <c r="O102" s="54">
        <f>IF(N102&lt;&gt;0,+I102-N102,0)</f>
        <v>0</v>
      </c>
      <c r="P102" s="54">
        <f>+O102-M102</f>
        <v>0</v>
      </c>
      <c r="Q102" s="1"/>
    </row>
    <row r="103" spans="1:17" ht="12.5">
      <c r="B103" s="7" t="str">
        <f t="shared" si="39"/>
        <v/>
      </c>
      <c r="C103" s="50">
        <f>IF(D93="","-",+C102+1)</f>
        <v>2017</v>
      </c>
      <c r="D103" s="429">
        <v>5906727.0832871916</v>
      </c>
      <c r="E103" s="430">
        <v>152136.64285714287</v>
      </c>
      <c r="F103" s="431">
        <v>5754590.4404300489</v>
      </c>
      <c r="G103" s="431">
        <v>5830658.7618586197</v>
      </c>
      <c r="H103" s="433">
        <v>860395.26191799133</v>
      </c>
      <c r="I103" s="434">
        <v>860395.26191799133</v>
      </c>
      <c r="J103" s="54">
        <f t="shared" si="40"/>
        <v>0</v>
      </c>
      <c r="K103" s="54"/>
      <c r="L103" s="113">
        <f t="shared" si="36"/>
        <v>860395.26191799133</v>
      </c>
      <c r="M103" s="54">
        <f t="shared" si="37"/>
        <v>0</v>
      </c>
      <c r="N103" s="113">
        <f t="shared" si="38"/>
        <v>860395.26191799133</v>
      </c>
      <c r="O103" s="54">
        <f>IF(N103&lt;&gt;0,+I103-N103,0)</f>
        <v>0</v>
      </c>
      <c r="P103" s="54">
        <f>+O103-M103</f>
        <v>0</v>
      </c>
      <c r="Q103" s="1"/>
    </row>
    <row r="104" spans="1:17" ht="12.5">
      <c r="B104" s="7" t="str">
        <f t="shared" si="39"/>
        <v/>
      </c>
      <c r="C104" s="50">
        <f>IF(D93="","-",+C103+1)</f>
        <v>2018</v>
      </c>
      <c r="D104" s="429">
        <v>5754590.4404300489</v>
      </c>
      <c r="E104" s="430">
        <v>152136.64285714287</v>
      </c>
      <c r="F104" s="431">
        <v>5602453.7975729061</v>
      </c>
      <c r="G104" s="431">
        <v>5678522.119001478</v>
      </c>
      <c r="H104" s="433">
        <v>751814.61930280633</v>
      </c>
      <c r="I104" s="434">
        <v>751814.61930280633</v>
      </c>
      <c r="J104" s="54">
        <f t="shared" si="40"/>
        <v>0</v>
      </c>
      <c r="K104" s="54"/>
      <c r="L104" s="113">
        <f t="shared" si="36"/>
        <v>751814.61930280633</v>
      </c>
      <c r="M104" s="54">
        <f t="shared" si="37"/>
        <v>0</v>
      </c>
      <c r="N104" s="113">
        <f t="shared" si="38"/>
        <v>751814.61930280633</v>
      </c>
      <c r="O104" s="54">
        <f t="shared" ref="O104:O130" si="41">IF(N104&lt;&gt;0,+I104-N104,0)</f>
        <v>0</v>
      </c>
      <c r="P104" s="54">
        <f t="shared" ref="P104:P130" si="42">+O104-M104</f>
        <v>0</v>
      </c>
      <c r="Q104" s="1"/>
    </row>
    <row r="105" spans="1:17" ht="12.5">
      <c r="B105" s="7" t="str">
        <f t="shared" si="39"/>
        <v/>
      </c>
      <c r="C105" s="50">
        <f>IF(D93="","-",+C104+1)</f>
        <v>2019</v>
      </c>
      <c r="D105" s="429">
        <v>5602453.7975729061</v>
      </c>
      <c r="E105" s="430">
        <v>148598.58139534883</v>
      </c>
      <c r="F105" s="431">
        <v>5453855.2161775576</v>
      </c>
      <c r="G105" s="431">
        <v>5528154.5068752319</v>
      </c>
      <c r="H105" s="433">
        <v>740335.26118023507</v>
      </c>
      <c r="I105" s="434">
        <v>740335.26118023507</v>
      </c>
      <c r="J105" s="54">
        <f t="shared" si="40"/>
        <v>0</v>
      </c>
      <c r="K105" s="54"/>
      <c r="L105" s="113">
        <f t="shared" ref="L105" si="43">H105</f>
        <v>740335.26118023507</v>
      </c>
      <c r="M105" s="54">
        <f t="shared" ref="M105" si="44">IF(L105&lt;&gt;0,+H105-L105,0)</f>
        <v>0</v>
      </c>
      <c r="N105" s="113">
        <f t="shared" ref="N105" si="45">I105</f>
        <v>740335.26118023507</v>
      </c>
      <c r="O105" s="54">
        <f t="shared" si="41"/>
        <v>0</v>
      </c>
      <c r="P105" s="54">
        <f t="shared" si="42"/>
        <v>0</v>
      </c>
      <c r="Q105" s="1"/>
    </row>
    <row r="106" spans="1:17" ht="12.5">
      <c r="B106" s="7" t="str">
        <f t="shared" si="39"/>
        <v/>
      </c>
      <c r="C106" s="50">
        <f>IF(D93="","-",+C105+1)</f>
        <v>2020</v>
      </c>
      <c r="D106" s="429">
        <v>5453855.2161775576</v>
      </c>
      <c r="E106" s="430">
        <v>152136.64285714287</v>
      </c>
      <c r="F106" s="431">
        <v>5301718.5733204149</v>
      </c>
      <c r="G106" s="431">
        <v>5377786.8947489858</v>
      </c>
      <c r="H106" s="433">
        <v>730645.78949753172</v>
      </c>
      <c r="I106" s="434">
        <v>730645.78949753172</v>
      </c>
      <c r="J106" s="54">
        <f t="shared" si="40"/>
        <v>0</v>
      </c>
      <c r="K106" s="54"/>
      <c r="L106" s="113">
        <f t="shared" ref="L106" si="46">H106</f>
        <v>730645.78949753172</v>
      </c>
      <c r="M106" s="54">
        <f t="shared" ref="M106" si="47">IF(L106&lt;&gt;0,+H106-L106,0)</f>
        <v>0</v>
      </c>
      <c r="N106" s="113">
        <f t="shared" ref="N106" si="48">I106</f>
        <v>730645.78949753172</v>
      </c>
      <c r="O106" s="54">
        <f t="shared" si="41"/>
        <v>0</v>
      </c>
      <c r="P106" s="54">
        <f t="shared" si="42"/>
        <v>0</v>
      </c>
      <c r="Q106" s="1"/>
    </row>
    <row r="107" spans="1:17" ht="12.5">
      <c r="B107" s="7" t="str">
        <f t="shared" si="39"/>
        <v/>
      </c>
      <c r="C107" s="50">
        <f>IF(D93="","-",+C106+1)</f>
        <v>2021</v>
      </c>
      <c r="D107" s="429">
        <v>5301718.5733204149</v>
      </c>
      <c r="E107" s="430">
        <v>155847.29268292684</v>
      </c>
      <c r="F107" s="431">
        <v>5145871.2806374878</v>
      </c>
      <c r="G107" s="431">
        <v>5223794.9269789513</v>
      </c>
      <c r="H107" s="433">
        <v>748822.33254387113</v>
      </c>
      <c r="I107" s="434">
        <v>748822.33254387113</v>
      </c>
      <c r="J107" s="54">
        <f t="shared" si="40"/>
        <v>0</v>
      </c>
      <c r="K107" s="54"/>
      <c r="L107" s="113">
        <f t="shared" ref="L107" si="49">H107</f>
        <v>748822.33254387113</v>
      </c>
      <c r="M107" s="54">
        <f t="shared" ref="M107" si="50">IF(L107&lt;&gt;0,+H107-L107,0)</f>
        <v>0</v>
      </c>
      <c r="N107" s="113">
        <f t="shared" ref="N107" si="51">I107</f>
        <v>748822.33254387113</v>
      </c>
      <c r="O107" s="54">
        <f t="shared" si="41"/>
        <v>0</v>
      </c>
      <c r="P107" s="54">
        <f t="shared" si="42"/>
        <v>0</v>
      </c>
      <c r="Q107" s="1"/>
    </row>
    <row r="108" spans="1:17" ht="12.5">
      <c r="B108" s="7" t="str">
        <f t="shared" si="39"/>
        <v/>
      </c>
      <c r="C108" s="50">
        <f>IF(D93="","-",+C107+1)</f>
        <v>2022</v>
      </c>
      <c r="D108" s="429">
        <v>5145871.2806374878</v>
      </c>
      <c r="E108" s="430">
        <v>152136.64285714287</v>
      </c>
      <c r="F108" s="431">
        <v>4993734.637780345</v>
      </c>
      <c r="G108" s="431">
        <v>5069802.9592089169</v>
      </c>
      <c r="H108" s="433">
        <v>747624.7630958549</v>
      </c>
      <c r="I108" s="434">
        <v>747624.7630958549</v>
      </c>
      <c r="J108" s="54">
        <f t="shared" si="40"/>
        <v>0</v>
      </c>
      <c r="K108" s="54"/>
      <c r="L108" s="113">
        <f t="shared" ref="L108" si="52">H108</f>
        <v>747624.7630958549</v>
      </c>
      <c r="M108" s="54">
        <f t="shared" ref="M108" si="53">IF(L108&lt;&gt;0,+H108-L108,0)</f>
        <v>0</v>
      </c>
      <c r="N108" s="113">
        <f t="shared" ref="N108" si="54">I108</f>
        <v>747624.7630958549</v>
      </c>
      <c r="O108" s="54">
        <f t="shared" ref="O108" si="55">IF(N108&lt;&gt;0,+I108-N108,0)</f>
        <v>0</v>
      </c>
      <c r="P108" s="54">
        <f t="shared" ref="P108" si="56">+O108-M108</f>
        <v>0</v>
      </c>
      <c r="Q108" s="1"/>
    </row>
    <row r="109" spans="1:17" ht="12.5">
      <c r="B109" s="7" t="str">
        <f t="shared" si="39"/>
        <v/>
      </c>
      <c r="C109" s="50">
        <f>IF(D93="","-",+C108+1)</f>
        <v>2023</v>
      </c>
      <c r="D109" s="429">
        <v>4993734.637780345</v>
      </c>
      <c r="E109" s="430">
        <v>145221.34090909091</v>
      </c>
      <c r="F109" s="431">
        <v>4848513.2968712542</v>
      </c>
      <c r="G109" s="431">
        <v>4921123.9673257992</v>
      </c>
      <c r="H109" s="433">
        <v>752316.07577964547</v>
      </c>
      <c r="I109" s="434">
        <v>752316.07577964547</v>
      </c>
      <c r="J109" s="54">
        <f t="shared" si="40"/>
        <v>0</v>
      </c>
      <c r="K109" s="54"/>
      <c r="L109" s="113">
        <f t="shared" ref="L109" si="57">H109</f>
        <v>752316.07577964547</v>
      </c>
      <c r="M109" s="54">
        <f t="shared" ref="M109" si="58">IF(L109&lt;&gt;0,+H109-L109,0)</f>
        <v>0</v>
      </c>
      <c r="N109" s="113">
        <f t="shared" ref="N109" si="59">I109</f>
        <v>752316.07577964547</v>
      </c>
      <c r="O109" s="54">
        <f t="shared" ref="O109" si="60">IF(N109&lt;&gt;0,+I109-N109,0)</f>
        <v>0</v>
      </c>
      <c r="P109" s="54">
        <f t="shared" ref="P109" si="61">+O109-M109</f>
        <v>0</v>
      </c>
      <c r="Q109" s="1"/>
    </row>
    <row r="110" spans="1:17" ht="12.5">
      <c r="B110" s="7" t="str">
        <f t="shared" si="39"/>
        <v/>
      </c>
      <c r="C110" s="50">
        <f>IF(D93="","-",+C109+1)</f>
        <v>2024</v>
      </c>
      <c r="D110" s="12">
        <f>IF(F109+SUM(E$99:E109)=D$92,F109,D$92-SUM(E$99:E109))</f>
        <v>4848513.2968712542</v>
      </c>
      <c r="E110" s="378">
        <f t="shared" ref="E110:E154" si="62">IF(+$J$96&lt;F109,$J$96,D110)</f>
        <v>145221.34090909091</v>
      </c>
      <c r="F110" s="55">
        <f t="shared" ref="F110:F154" si="63">+D110-E110</f>
        <v>4703291.9559621634</v>
      </c>
      <c r="G110" s="55">
        <f t="shared" ref="G110:G154" si="64">+(F110+D110)/2</f>
        <v>4775902.6264167093</v>
      </c>
      <c r="H110" s="380">
        <f t="shared" ref="H110:H154" si="65">+J$94*G110+E110</f>
        <v>739947.01470511116</v>
      </c>
      <c r="I110" s="399">
        <f t="shared" ref="I110:I154" si="66">+J$95*G110+E110</f>
        <v>739947.01470511116</v>
      </c>
      <c r="J110" s="54">
        <f t="shared" si="40"/>
        <v>0</v>
      </c>
      <c r="K110" s="54"/>
      <c r="L110" s="129"/>
      <c r="M110" s="54">
        <f t="shared" ref="M110:M130" si="67">IF(L110&lt;&gt;0,+H110-L110,0)</f>
        <v>0</v>
      </c>
      <c r="N110" s="129"/>
      <c r="O110" s="54">
        <f t="shared" si="41"/>
        <v>0</v>
      </c>
      <c r="P110" s="54">
        <f t="shared" si="42"/>
        <v>0</v>
      </c>
      <c r="Q110" s="1"/>
    </row>
    <row r="111" spans="1:17" ht="12.5">
      <c r="B111" s="7" t="str">
        <f t="shared" si="39"/>
        <v/>
      </c>
      <c r="C111" s="50">
        <f>IF(D93="","-",+C110+1)</f>
        <v>2025</v>
      </c>
      <c r="D111" s="12">
        <f>IF(F110+SUM(E$99:E110)=D$92,F110,D$92-SUM(E$99:E110))</f>
        <v>4703291.9559621634</v>
      </c>
      <c r="E111" s="378">
        <f t="shared" si="62"/>
        <v>145221.34090909091</v>
      </c>
      <c r="F111" s="55">
        <f t="shared" si="63"/>
        <v>4558070.6150530726</v>
      </c>
      <c r="G111" s="55">
        <f t="shared" si="64"/>
        <v>4630681.2855076175</v>
      </c>
      <c r="H111" s="380">
        <f t="shared" si="65"/>
        <v>721863.13264604146</v>
      </c>
      <c r="I111" s="399">
        <f t="shared" si="66"/>
        <v>721863.13264604146</v>
      </c>
      <c r="J111" s="54">
        <f t="shared" si="40"/>
        <v>0</v>
      </c>
      <c r="K111" s="54"/>
      <c r="L111" s="129"/>
      <c r="M111" s="54">
        <f t="shared" si="67"/>
        <v>0</v>
      </c>
      <c r="N111" s="129"/>
      <c r="O111" s="54">
        <f t="shared" si="41"/>
        <v>0</v>
      </c>
      <c r="P111" s="54">
        <f t="shared" si="42"/>
        <v>0</v>
      </c>
      <c r="Q111" s="1"/>
    </row>
    <row r="112" spans="1:17" ht="12.5">
      <c r="B112" s="7" t="str">
        <f t="shared" si="39"/>
        <v/>
      </c>
      <c r="C112" s="50">
        <f>IF(D93="","-",+C111+1)</f>
        <v>2026</v>
      </c>
      <c r="D112" s="12">
        <f>IF(F111+SUM(E$99:E111)=D$92,F111,D$92-SUM(E$99:E111))</f>
        <v>4558070.6150530726</v>
      </c>
      <c r="E112" s="378">
        <f t="shared" si="62"/>
        <v>145221.34090909091</v>
      </c>
      <c r="F112" s="55">
        <f t="shared" si="63"/>
        <v>4412849.2741439817</v>
      </c>
      <c r="G112" s="55">
        <f t="shared" si="64"/>
        <v>4485459.9445985276</v>
      </c>
      <c r="H112" s="380">
        <f t="shared" si="65"/>
        <v>703779.25058697187</v>
      </c>
      <c r="I112" s="399">
        <f t="shared" si="66"/>
        <v>703779.25058697187</v>
      </c>
      <c r="J112" s="54">
        <f t="shared" si="40"/>
        <v>0</v>
      </c>
      <c r="K112" s="54"/>
      <c r="L112" s="129"/>
      <c r="M112" s="54">
        <f t="shared" si="67"/>
        <v>0</v>
      </c>
      <c r="N112" s="129"/>
      <c r="O112" s="54">
        <f t="shared" si="41"/>
        <v>0</v>
      </c>
      <c r="P112" s="54">
        <f t="shared" si="42"/>
        <v>0</v>
      </c>
      <c r="Q112" s="1"/>
    </row>
    <row r="113" spans="2:17" ht="12.5">
      <c r="B113" s="7" t="str">
        <f t="shared" si="39"/>
        <v/>
      </c>
      <c r="C113" s="50">
        <f>IF(D93="","-",+C112+1)</f>
        <v>2027</v>
      </c>
      <c r="D113" s="12">
        <f>IF(F112+SUM(E$99:E112)=D$92,F112,D$92-SUM(E$99:E112))</f>
        <v>4412849.2741439817</v>
      </c>
      <c r="E113" s="378">
        <f t="shared" si="62"/>
        <v>145221.34090909091</v>
      </c>
      <c r="F113" s="55">
        <f t="shared" si="63"/>
        <v>4267627.9332348909</v>
      </c>
      <c r="G113" s="55">
        <f t="shared" si="64"/>
        <v>4340238.6036894359</v>
      </c>
      <c r="H113" s="380">
        <f t="shared" si="65"/>
        <v>685695.36852790217</v>
      </c>
      <c r="I113" s="399">
        <f t="shared" si="66"/>
        <v>685695.36852790217</v>
      </c>
      <c r="J113" s="54">
        <f t="shared" si="40"/>
        <v>0</v>
      </c>
      <c r="K113" s="54"/>
      <c r="L113" s="129"/>
      <c r="M113" s="54">
        <f t="shared" si="67"/>
        <v>0</v>
      </c>
      <c r="N113" s="129"/>
      <c r="O113" s="54">
        <f t="shared" si="41"/>
        <v>0</v>
      </c>
      <c r="P113" s="54">
        <f t="shared" si="42"/>
        <v>0</v>
      </c>
      <c r="Q113" s="1"/>
    </row>
    <row r="114" spans="2:17" ht="12.5">
      <c r="B114" s="7" t="str">
        <f t="shared" si="39"/>
        <v/>
      </c>
      <c r="C114" s="50">
        <f>IF(D93="","-",+C113+1)</f>
        <v>2028</v>
      </c>
      <c r="D114" s="12">
        <f>IF(F113+SUM(E$99:E113)=D$92,F113,D$92-SUM(E$99:E113))</f>
        <v>4267627.9332348909</v>
      </c>
      <c r="E114" s="378">
        <f t="shared" si="62"/>
        <v>145221.34090909091</v>
      </c>
      <c r="F114" s="55">
        <f t="shared" si="63"/>
        <v>4122406.5923258001</v>
      </c>
      <c r="G114" s="55">
        <f t="shared" si="64"/>
        <v>4195017.262780346</v>
      </c>
      <c r="H114" s="380">
        <f t="shared" si="65"/>
        <v>667611.48646883271</v>
      </c>
      <c r="I114" s="399">
        <f t="shared" si="66"/>
        <v>667611.48646883271</v>
      </c>
      <c r="J114" s="54">
        <f t="shared" si="40"/>
        <v>0</v>
      </c>
      <c r="K114" s="54"/>
      <c r="L114" s="129"/>
      <c r="M114" s="54">
        <f t="shared" si="67"/>
        <v>0</v>
      </c>
      <c r="N114" s="129"/>
      <c r="O114" s="54">
        <f t="shared" si="41"/>
        <v>0</v>
      </c>
      <c r="P114" s="54">
        <f t="shared" si="42"/>
        <v>0</v>
      </c>
      <c r="Q114" s="1"/>
    </row>
    <row r="115" spans="2:17" ht="12.5">
      <c r="B115" s="7" t="str">
        <f t="shared" si="39"/>
        <v/>
      </c>
      <c r="C115" s="50">
        <f>IF(D93="","-",+C114+1)</f>
        <v>2029</v>
      </c>
      <c r="D115" s="12">
        <f>IF(F114+SUM(E$99:E114)=D$92,F114,D$92-SUM(E$99:E114))</f>
        <v>4122406.5923258001</v>
      </c>
      <c r="E115" s="378">
        <f t="shared" si="62"/>
        <v>145221.34090909091</v>
      </c>
      <c r="F115" s="55">
        <f t="shared" si="63"/>
        <v>3977185.2514167093</v>
      </c>
      <c r="G115" s="55">
        <f t="shared" si="64"/>
        <v>4049795.9218712547</v>
      </c>
      <c r="H115" s="380">
        <f t="shared" si="65"/>
        <v>649527.60440976301</v>
      </c>
      <c r="I115" s="399">
        <f t="shared" si="66"/>
        <v>649527.60440976301</v>
      </c>
      <c r="J115" s="54">
        <f t="shared" si="40"/>
        <v>0</v>
      </c>
      <c r="K115" s="54"/>
      <c r="L115" s="129"/>
      <c r="M115" s="54">
        <f t="shared" si="67"/>
        <v>0</v>
      </c>
      <c r="N115" s="129"/>
      <c r="O115" s="54">
        <f t="shared" si="41"/>
        <v>0</v>
      </c>
      <c r="P115" s="54">
        <f t="shared" si="42"/>
        <v>0</v>
      </c>
      <c r="Q115" s="1"/>
    </row>
    <row r="116" spans="2:17" ht="12.5">
      <c r="B116" s="7" t="str">
        <f t="shared" si="39"/>
        <v/>
      </c>
      <c r="C116" s="50">
        <f>IF(D93="","-",+C115+1)</f>
        <v>2030</v>
      </c>
      <c r="D116" s="12">
        <f>IF(F115+SUM(E$99:E115)=D$92,F115,D$92-SUM(E$99:E115))</f>
        <v>3977185.2514167093</v>
      </c>
      <c r="E116" s="378">
        <f t="shared" si="62"/>
        <v>145221.34090909091</v>
      </c>
      <c r="F116" s="55">
        <f t="shared" si="63"/>
        <v>3831963.9105076184</v>
      </c>
      <c r="G116" s="55">
        <f t="shared" si="64"/>
        <v>3904574.5809621639</v>
      </c>
      <c r="H116" s="380">
        <f t="shared" si="65"/>
        <v>631443.72235069331</v>
      </c>
      <c r="I116" s="399">
        <f t="shared" si="66"/>
        <v>631443.72235069331</v>
      </c>
      <c r="J116" s="54">
        <f t="shared" si="40"/>
        <v>0</v>
      </c>
      <c r="K116" s="54"/>
      <c r="L116" s="129"/>
      <c r="M116" s="54">
        <f t="shared" si="67"/>
        <v>0</v>
      </c>
      <c r="N116" s="129"/>
      <c r="O116" s="54">
        <f t="shared" si="41"/>
        <v>0</v>
      </c>
      <c r="P116" s="54">
        <f t="shared" si="42"/>
        <v>0</v>
      </c>
      <c r="Q116" s="1"/>
    </row>
    <row r="117" spans="2:17" ht="12.5">
      <c r="B117" s="7" t="str">
        <f t="shared" si="39"/>
        <v/>
      </c>
      <c r="C117" s="50">
        <f>IF(D93="","-",+C116+1)</f>
        <v>2031</v>
      </c>
      <c r="D117" s="12">
        <f>IF(F116+SUM(E$99:E116)=D$92,F116,D$92-SUM(E$99:E116))</f>
        <v>3831963.9105076184</v>
      </c>
      <c r="E117" s="378">
        <f t="shared" si="62"/>
        <v>145221.34090909091</v>
      </c>
      <c r="F117" s="55">
        <f t="shared" si="63"/>
        <v>3686742.5695985276</v>
      </c>
      <c r="G117" s="55">
        <f t="shared" si="64"/>
        <v>3759353.240053073</v>
      </c>
      <c r="H117" s="380">
        <f t="shared" si="65"/>
        <v>613359.84029162372</v>
      </c>
      <c r="I117" s="399">
        <f t="shared" si="66"/>
        <v>613359.84029162372</v>
      </c>
      <c r="J117" s="54">
        <f t="shared" si="40"/>
        <v>0</v>
      </c>
      <c r="K117" s="54"/>
      <c r="L117" s="129"/>
      <c r="M117" s="54">
        <f t="shared" si="67"/>
        <v>0</v>
      </c>
      <c r="N117" s="129"/>
      <c r="O117" s="54">
        <f t="shared" si="41"/>
        <v>0</v>
      </c>
      <c r="P117" s="54">
        <f t="shared" si="42"/>
        <v>0</v>
      </c>
      <c r="Q117" s="1"/>
    </row>
    <row r="118" spans="2:17" ht="12.5">
      <c r="B118" s="7" t="str">
        <f t="shared" si="39"/>
        <v/>
      </c>
      <c r="C118" s="50">
        <f>IF(D93="","-",+C117+1)</f>
        <v>2032</v>
      </c>
      <c r="D118" s="12">
        <f>IF(F117+SUM(E$99:E117)=D$92,F117,D$92-SUM(E$99:E117))</f>
        <v>3686742.5695985276</v>
      </c>
      <c r="E118" s="378">
        <f t="shared" si="62"/>
        <v>145221.34090909091</v>
      </c>
      <c r="F118" s="55">
        <f t="shared" si="63"/>
        <v>3541521.2286894368</v>
      </c>
      <c r="G118" s="55">
        <f t="shared" si="64"/>
        <v>3614131.8991439822</v>
      </c>
      <c r="H118" s="380">
        <f t="shared" si="65"/>
        <v>595275.95823255414</v>
      </c>
      <c r="I118" s="399">
        <f t="shared" si="66"/>
        <v>595275.95823255414</v>
      </c>
      <c r="J118" s="54">
        <f t="shared" si="40"/>
        <v>0</v>
      </c>
      <c r="K118" s="54"/>
      <c r="L118" s="129"/>
      <c r="M118" s="54">
        <f t="shared" si="67"/>
        <v>0</v>
      </c>
      <c r="N118" s="129"/>
      <c r="O118" s="54">
        <f t="shared" si="41"/>
        <v>0</v>
      </c>
      <c r="P118" s="54">
        <f t="shared" si="42"/>
        <v>0</v>
      </c>
      <c r="Q118" s="1"/>
    </row>
    <row r="119" spans="2:17" ht="12.5">
      <c r="B119" s="7" t="str">
        <f t="shared" si="39"/>
        <v/>
      </c>
      <c r="C119" s="50">
        <f>IF(D93="","-",+C118+1)</f>
        <v>2033</v>
      </c>
      <c r="D119" s="12">
        <f>IF(F118+SUM(E$99:E118)=D$92,F118,D$92-SUM(E$99:E118))</f>
        <v>3541521.2286894368</v>
      </c>
      <c r="E119" s="378">
        <f t="shared" si="62"/>
        <v>145221.34090909091</v>
      </c>
      <c r="F119" s="55">
        <f t="shared" si="63"/>
        <v>3396299.887780346</v>
      </c>
      <c r="G119" s="55">
        <f t="shared" si="64"/>
        <v>3468910.5582348914</v>
      </c>
      <c r="H119" s="380">
        <f t="shared" si="65"/>
        <v>577192.07617348456</v>
      </c>
      <c r="I119" s="399">
        <f t="shared" si="66"/>
        <v>577192.07617348456</v>
      </c>
      <c r="J119" s="54">
        <f t="shared" si="40"/>
        <v>0</v>
      </c>
      <c r="K119" s="54"/>
      <c r="L119" s="129"/>
      <c r="M119" s="54">
        <f t="shared" si="67"/>
        <v>0</v>
      </c>
      <c r="N119" s="129"/>
      <c r="O119" s="54">
        <f t="shared" si="41"/>
        <v>0</v>
      </c>
      <c r="P119" s="54">
        <f t="shared" si="42"/>
        <v>0</v>
      </c>
      <c r="Q119" s="1"/>
    </row>
    <row r="120" spans="2:17" ht="12.5">
      <c r="B120" s="7" t="str">
        <f t="shared" si="39"/>
        <v/>
      </c>
      <c r="C120" s="50">
        <f>IF(D93="","-",+C119+1)</f>
        <v>2034</v>
      </c>
      <c r="D120" s="12">
        <f>IF(F119+SUM(E$99:E119)=D$92,F119,D$92-SUM(E$99:E119))</f>
        <v>3396299.887780346</v>
      </c>
      <c r="E120" s="378">
        <f t="shared" si="62"/>
        <v>145221.34090909091</v>
      </c>
      <c r="F120" s="55">
        <f t="shared" si="63"/>
        <v>3251078.5468712552</v>
      </c>
      <c r="G120" s="55">
        <f t="shared" si="64"/>
        <v>3323689.2173258006</v>
      </c>
      <c r="H120" s="380">
        <f t="shared" si="65"/>
        <v>559108.19411441486</v>
      </c>
      <c r="I120" s="399">
        <f t="shared" si="66"/>
        <v>559108.19411441486</v>
      </c>
      <c r="J120" s="54">
        <f t="shared" si="40"/>
        <v>0</v>
      </c>
      <c r="K120" s="54"/>
      <c r="L120" s="129"/>
      <c r="M120" s="54">
        <f t="shared" si="67"/>
        <v>0</v>
      </c>
      <c r="N120" s="129"/>
      <c r="O120" s="54">
        <f t="shared" si="41"/>
        <v>0</v>
      </c>
      <c r="P120" s="54">
        <f t="shared" si="42"/>
        <v>0</v>
      </c>
      <c r="Q120" s="1"/>
    </row>
    <row r="121" spans="2:17" ht="12.5">
      <c r="B121" s="7" t="str">
        <f t="shared" si="39"/>
        <v/>
      </c>
      <c r="C121" s="50">
        <f>IF(D93="","-",+C120+1)</f>
        <v>2035</v>
      </c>
      <c r="D121" s="12">
        <f>IF(F120+SUM(E$99:E120)=D$92,F120,D$92-SUM(E$99:E120))</f>
        <v>3251078.5468712552</v>
      </c>
      <c r="E121" s="378">
        <f t="shared" si="62"/>
        <v>145221.34090909091</v>
      </c>
      <c r="F121" s="55">
        <f t="shared" si="63"/>
        <v>3105857.2059621643</v>
      </c>
      <c r="G121" s="55">
        <f t="shared" si="64"/>
        <v>3178467.8764167097</v>
      </c>
      <c r="H121" s="380">
        <f t="shared" si="65"/>
        <v>541024.31205534528</v>
      </c>
      <c r="I121" s="399">
        <f t="shared" si="66"/>
        <v>541024.31205534528</v>
      </c>
      <c r="J121" s="54">
        <f t="shared" si="40"/>
        <v>0</v>
      </c>
      <c r="K121" s="54"/>
      <c r="L121" s="129"/>
      <c r="M121" s="54">
        <f t="shared" si="67"/>
        <v>0</v>
      </c>
      <c r="N121" s="129"/>
      <c r="O121" s="54">
        <f t="shared" si="41"/>
        <v>0</v>
      </c>
      <c r="P121" s="54">
        <f t="shared" si="42"/>
        <v>0</v>
      </c>
      <c r="Q121" s="1"/>
    </row>
    <row r="122" spans="2:17" ht="12.5">
      <c r="B122" s="7" t="str">
        <f t="shared" si="39"/>
        <v/>
      </c>
      <c r="C122" s="50">
        <f>IF(D93="","-",+C121+1)</f>
        <v>2036</v>
      </c>
      <c r="D122" s="12">
        <f>IF(F121+SUM(E$99:E121)=D$92,F121,D$92-SUM(E$99:E121))</f>
        <v>3105857.2059621643</v>
      </c>
      <c r="E122" s="378">
        <f t="shared" si="62"/>
        <v>145221.34090909091</v>
      </c>
      <c r="F122" s="55">
        <f t="shared" si="63"/>
        <v>2960635.8650530735</v>
      </c>
      <c r="G122" s="55">
        <f t="shared" si="64"/>
        <v>3033246.5355076189</v>
      </c>
      <c r="H122" s="380">
        <f t="shared" si="65"/>
        <v>522940.42999627569</v>
      </c>
      <c r="I122" s="399">
        <f t="shared" si="66"/>
        <v>522940.42999627569</v>
      </c>
      <c r="J122" s="54">
        <f t="shared" si="40"/>
        <v>0</v>
      </c>
      <c r="K122" s="54"/>
      <c r="L122" s="129"/>
      <c r="M122" s="54">
        <f t="shared" si="67"/>
        <v>0</v>
      </c>
      <c r="N122" s="129"/>
      <c r="O122" s="54">
        <f t="shared" si="41"/>
        <v>0</v>
      </c>
      <c r="P122" s="54">
        <f t="shared" si="42"/>
        <v>0</v>
      </c>
      <c r="Q122" s="1"/>
    </row>
    <row r="123" spans="2:17" ht="12.5">
      <c r="B123" s="7" t="str">
        <f t="shared" si="39"/>
        <v/>
      </c>
      <c r="C123" s="50">
        <f>IF(D93="","-",+C122+1)</f>
        <v>2037</v>
      </c>
      <c r="D123" s="12">
        <f>IF(F122+SUM(E$99:E122)=D$92,F122,D$92-SUM(E$99:E122))</f>
        <v>2960635.8650530735</v>
      </c>
      <c r="E123" s="378">
        <f t="shared" si="62"/>
        <v>145221.34090909091</v>
      </c>
      <c r="F123" s="55">
        <f t="shared" si="63"/>
        <v>2815414.5241439827</v>
      </c>
      <c r="G123" s="55">
        <f t="shared" si="64"/>
        <v>2888025.1945985281</v>
      </c>
      <c r="H123" s="380">
        <f t="shared" si="65"/>
        <v>504856.54793720599</v>
      </c>
      <c r="I123" s="399">
        <f t="shared" si="66"/>
        <v>504856.54793720599</v>
      </c>
      <c r="J123" s="54">
        <f t="shared" si="40"/>
        <v>0</v>
      </c>
      <c r="K123" s="54"/>
      <c r="L123" s="129"/>
      <c r="M123" s="54">
        <f t="shared" si="67"/>
        <v>0</v>
      </c>
      <c r="N123" s="129"/>
      <c r="O123" s="54">
        <f t="shared" si="41"/>
        <v>0</v>
      </c>
      <c r="P123" s="54">
        <f t="shared" si="42"/>
        <v>0</v>
      </c>
      <c r="Q123" s="1"/>
    </row>
    <row r="124" spans="2:17" ht="12.5">
      <c r="B124" s="7" t="str">
        <f t="shared" si="39"/>
        <v/>
      </c>
      <c r="C124" s="50">
        <f>IF(D93="","-",+C123+1)</f>
        <v>2038</v>
      </c>
      <c r="D124" s="12">
        <f>IF(F123+SUM(E$99:E123)=D$92,F123,D$92-SUM(E$99:E123))</f>
        <v>2815414.5241439827</v>
      </c>
      <c r="E124" s="378">
        <f t="shared" si="62"/>
        <v>145221.34090909091</v>
      </c>
      <c r="F124" s="55">
        <f t="shared" si="63"/>
        <v>2670193.1832348919</v>
      </c>
      <c r="G124" s="55">
        <f t="shared" si="64"/>
        <v>2742803.8536894373</v>
      </c>
      <c r="H124" s="380">
        <f t="shared" si="65"/>
        <v>486772.66587813641</v>
      </c>
      <c r="I124" s="399">
        <f t="shared" si="66"/>
        <v>486772.66587813641</v>
      </c>
      <c r="J124" s="54">
        <f t="shared" si="40"/>
        <v>0</v>
      </c>
      <c r="K124" s="54"/>
      <c r="L124" s="129"/>
      <c r="M124" s="54">
        <f t="shared" si="67"/>
        <v>0</v>
      </c>
      <c r="N124" s="129"/>
      <c r="O124" s="54">
        <f t="shared" si="41"/>
        <v>0</v>
      </c>
      <c r="P124" s="54">
        <f t="shared" si="42"/>
        <v>0</v>
      </c>
      <c r="Q124" s="1"/>
    </row>
    <row r="125" spans="2:17" ht="12.5">
      <c r="B125" s="7" t="str">
        <f t="shared" si="39"/>
        <v/>
      </c>
      <c r="C125" s="50">
        <f>IF(D93="","-",+C124+1)</f>
        <v>2039</v>
      </c>
      <c r="D125" s="12">
        <f>IF(F124+SUM(E$99:E124)=D$92,F124,D$92-SUM(E$99:E124))</f>
        <v>2670193.1832348919</v>
      </c>
      <c r="E125" s="378">
        <f t="shared" si="62"/>
        <v>145221.34090909091</v>
      </c>
      <c r="F125" s="55">
        <f t="shared" si="63"/>
        <v>2524971.842325801</v>
      </c>
      <c r="G125" s="55">
        <f t="shared" si="64"/>
        <v>2597582.5127803464</v>
      </c>
      <c r="H125" s="380">
        <f t="shared" si="65"/>
        <v>468688.78381906683</v>
      </c>
      <c r="I125" s="399">
        <f t="shared" si="66"/>
        <v>468688.78381906683</v>
      </c>
      <c r="J125" s="54">
        <f t="shared" si="40"/>
        <v>0</v>
      </c>
      <c r="K125" s="54"/>
      <c r="L125" s="129"/>
      <c r="M125" s="54">
        <f t="shared" si="67"/>
        <v>0</v>
      </c>
      <c r="N125" s="129"/>
      <c r="O125" s="54">
        <f t="shared" si="41"/>
        <v>0</v>
      </c>
      <c r="P125" s="54">
        <f t="shared" si="42"/>
        <v>0</v>
      </c>
      <c r="Q125" s="1"/>
    </row>
    <row r="126" spans="2:17" ht="12.5">
      <c r="B126" s="7" t="str">
        <f t="shared" si="39"/>
        <v/>
      </c>
      <c r="C126" s="50">
        <f>IF(D93="","-",+C125+1)</f>
        <v>2040</v>
      </c>
      <c r="D126" s="12">
        <f>IF(F125+SUM(E$99:E125)=D$92,F125,D$92-SUM(E$99:E125))</f>
        <v>2524971.842325801</v>
      </c>
      <c r="E126" s="378">
        <f t="shared" si="62"/>
        <v>145221.34090909091</v>
      </c>
      <c r="F126" s="55">
        <f t="shared" si="63"/>
        <v>2379750.5014167102</v>
      </c>
      <c r="G126" s="55">
        <f t="shared" si="64"/>
        <v>2452361.1718712556</v>
      </c>
      <c r="H126" s="380">
        <f t="shared" si="65"/>
        <v>450604.90175999724</v>
      </c>
      <c r="I126" s="399">
        <f t="shared" si="66"/>
        <v>450604.90175999724</v>
      </c>
      <c r="J126" s="54">
        <f t="shared" si="40"/>
        <v>0</v>
      </c>
      <c r="K126" s="54"/>
      <c r="L126" s="129"/>
      <c r="M126" s="54">
        <f t="shared" si="67"/>
        <v>0</v>
      </c>
      <c r="N126" s="129"/>
      <c r="O126" s="54">
        <f t="shared" si="41"/>
        <v>0</v>
      </c>
      <c r="P126" s="54">
        <f t="shared" si="42"/>
        <v>0</v>
      </c>
      <c r="Q126" s="1"/>
    </row>
    <row r="127" spans="2:17" ht="12.5">
      <c r="B127" s="7" t="str">
        <f t="shared" si="39"/>
        <v/>
      </c>
      <c r="C127" s="50">
        <f>IF(D93="","-",+C126+1)</f>
        <v>2041</v>
      </c>
      <c r="D127" s="12">
        <f>IF(F126+SUM(E$99:E126)=D$92,F126,D$92-SUM(E$99:E126))</f>
        <v>2379750.5014167102</v>
      </c>
      <c r="E127" s="378">
        <f t="shared" si="62"/>
        <v>145221.34090909091</v>
      </c>
      <c r="F127" s="55">
        <f t="shared" si="63"/>
        <v>2234529.1605076194</v>
      </c>
      <c r="G127" s="55">
        <f t="shared" si="64"/>
        <v>2307139.8309621648</v>
      </c>
      <c r="H127" s="380">
        <f t="shared" si="65"/>
        <v>432521.01970092754</v>
      </c>
      <c r="I127" s="399">
        <f t="shared" si="66"/>
        <v>432521.01970092754</v>
      </c>
      <c r="J127" s="54">
        <f t="shared" si="40"/>
        <v>0</v>
      </c>
      <c r="K127" s="54"/>
      <c r="L127" s="129"/>
      <c r="M127" s="54">
        <f t="shared" si="67"/>
        <v>0</v>
      </c>
      <c r="N127" s="129"/>
      <c r="O127" s="54">
        <f t="shared" si="41"/>
        <v>0</v>
      </c>
      <c r="P127" s="54">
        <f t="shared" si="42"/>
        <v>0</v>
      </c>
      <c r="Q127" s="1"/>
    </row>
    <row r="128" spans="2:17" ht="12.5">
      <c r="B128" s="7" t="str">
        <f t="shared" si="39"/>
        <v/>
      </c>
      <c r="C128" s="50">
        <f>IF(D93="","-",+C127+1)</f>
        <v>2042</v>
      </c>
      <c r="D128" s="12">
        <f>IF(F127+SUM(E$99:E127)=D$92,F127,D$92-SUM(E$99:E127))</f>
        <v>2234529.1605076194</v>
      </c>
      <c r="E128" s="378">
        <f t="shared" si="62"/>
        <v>145221.34090909091</v>
      </c>
      <c r="F128" s="55">
        <f t="shared" si="63"/>
        <v>2089307.8195985286</v>
      </c>
      <c r="G128" s="55">
        <f t="shared" si="64"/>
        <v>2161918.490053074</v>
      </c>
      <c r="H128" s="380">
        <f t="shared" si="65"/>
        <v>414437.13764185796</v>
      </c>
      <c r="I128" s="399">
        <f t="shared" si="66"/>
        <v>414437.13764185796</v>
      </c>
      <c r="J128" s="54">
        <f t="shared" si="40"/>
        <v>0</v>
      </c>
      <c r="K128" s="54"/>
      <c r="L128" s="129"/>
      <c r="M128" s="54">
        <f t="shared" si="67"/>
        <v>0</v>
      </c>
      <c r="N128" s="129"/>
      <c r="O128" s="54">
        <f t="shared" si="41"/>
        <v>0</v>
      </c>
      <c r="P128" s="54">
        <f t="shared" si="42"/>
        <v>0</v>
      </c>
      <c r="Q128" s="1"/>
    </row>
    <row r="129" spans="2:17" ht="12.5">
      <c r="B129" s="7" t="str">
        <f t="shared" si="39"/>
        <v/>
      </c>
      <c r="C129" s="50">
        <f>IF(D93="","-",+C128+1)</f>
        <v>2043</v>
      </c>
      <c r="D129" s="12">
        <f>IF(F128+SUM(E$99:E128)=D$92,F128,D$92-SUM(E$99:E128))</f>
        <v>2089307.8195985286</v>
      </c>
      <c r="E129" s="378">
        <f t="shared" si="62"/>
        <v>145221.34090909091</v>
      </c>
      <c r="F129" s="55">
        <f t="shared" si="63"/>
        <v>1944086.4786894377</v>
      </c>
      <c r="G129" s="55">
        <f t="shared" si="64"/>
        <v>2016697.1491439831</v>
      </c>
      <c r="H129" s="380">
        <f t="shared" si="65"/>
        <v>396353.25558278838</v>
      </c>
      <c r="I129" s="399">
        <f t="shared" si="66"/>
        <v>396353.25558278838</v>
      </c>
      <c r="J129" s="54">
        <f t="shared" si="40"/>
        <v>0</v>
      </c>
      <c r="K129" s="54"/>
      <c r="L129" s="129"/>
      <c r="M129" s="54">
        <f t="shared" si="67"/>
        <v>0</v>
      </c>
      <c r="N129" s="129"/>
      <c r="O129" s="54">
        <f t="shared" si="41"/>
        <v>0</v>
      </c>
      <c r="P129" s="54">
        <f t="shared" si="42"/>
        <v>0</v>
      </c>
      <c r="Q129" s="1"/>
    </row>
    <row r="130" spans="2:17" ht="12.5">
      <c r="B130" s="7" t="str">
        <f t="shared" si="39"/>
        <v/>
      </c>
      <c r="C130" s="50">
        <f>IF(D93="","-",+C129+1)</f>
        <v>2044</v>
      </c>
      <c r="D130" s="12">
        <f>IF(F129+SUM(E$99:E129)=D$92,F129,D$92-SUM(E$99:E129))</f>
        <v>1944086.4786894377</v>
      </c>
      <c r="E130" s="378">
        <f t="shared" si="62"/>
        <v>145221.34090909091</v>
      </c>
      <c r="F130" s="55">
        <f t="shared" si="63"/>
        <v>1798865.1377803469</v>
      </c>
      <c r="G130" s="55">
        <f t="shared" si="64"/>
        <v>1871475.8082348923</v>
      </c>
      <c r="H130" s="380">
        <f t="shared" si="65"/>
        <v>378269.37352371868</v>
      </c>
      <c r="I130" s="399">
        <f t="shared" si="66"/>
        <v>378269.37352371868</v>
      </c>
      <c r="J130" s="54">
        <f t="shared" si="40"/>
        <v>0</v>
      </c>
      <c r="K130" s="54"/>
      <c r="L130" s="129"/>
      <c r="M130" s="54">
        <f t="shared" si="67"/>
        <v>0</v>
      </c>
      <c r="N130" s="129"/>
      <c r="O130" s="54">
        <f t="shared" si="41"/>
        <v>0</v>
      </c>
      <c r="P130" s="54">
        <f t="shared" si="42"/>
        <v>0</v>
      </c>
      <c r="Q130" s="1"/>
    </row>
    <row r="131" spans="2:17" ht="12.5">
      <c r="B131" s="7" t="str">
        <f t="shared" si="39"/>
        <v/>
      </c>
      <c r="C131" s="50">
        <f>IF(D93="","-",+C130+1)</f>
        <v>2045</v>
      </c>
      <c r="D131" s="12">
        <f>IF(F130+SUM(E$99:E130)=D$92,F130,D$92-SUM(E$99:E130))</f>
        <v>1798865.1377803469</v>
      </c>
      <c r="E131" s="378">
        <f t="shared" si="62"/>
        <v>145221.34090909091</v>
      </c>
      <c r="F131" s="55">
        <f t="shared" si="63"/>
        <v>1653643.7968712561</v>
      </c>
      <c r="G131" s="55">
        <f t="shared" si="64"/>
        <v>1726254.4673258015</v>
      </c>
      <c r="H131" s="380">
        <f t="shared" si="65"/>
        <v>360185.49146464909</v>
      </c>
      <c r="I131" s="399">
        <f t="shared" si="66"/>
        <v>360185.49146464909</v>
      </c>
      <c r="J131" s="54">
        <f t="shared" si="40"/>
        <v>0</v>
      </c>
      <c r="K131" s="54"/>
      <c r="L131" s="129"/>
      <c r="M131" s="54">
        <f t="shared" ref="M131:M154" si="68">IF(L541&lt;&gt;0,+H541-L541,0)</f>
        <v>0</v>
      </c>
      <c r="N131" s="129"/>
      <c r="O131" s="54">
        <f t="shared" ref="O131:O154" si="69">IF(N541&lt;&gt;0,+I541-N541,0)</f>
        <v>0</v>
      </c>
      <c r="P131" s="54">
        <f t="shared" ref="P131:P154" si="70">+O541-M541</f>
        <v>0</v>
      </c>
      <c r="Q131" s="1"/>
    </row>
    <row r="132" spans="2:17" ht="12.5">
      <c r="B132" s="7" t="str">
        <f t="shared" si="39"/>
        <v/>
      </c>
      <c r="C132" s="50">
        <f>IF(D93="","-",+C131+1)</f>
        <v>2046</v>
      </c>
      <c r="D132" s="12">
        <f>IF(F131+SUM(E$99:E131)=D$92,F131,D$92-SUM(E$99:E131))</f>
        <v>1653643.7968712561</v>
      </c>
      <c r="E132" s="378">
        <f t="shared" si="62"/>
        <v>145221.34090909091</v>
      </c>
      <c r="F132" s="55">
        <f t="shared" si="63"/>
        <v>1508422.4559621653</v>
      </c>
      <c r="G132" s="55">
        <f t="shared" si="64"/>
        <v>1581033.1264167107</v>
      </c>
      <c r="H132" s="380">
        <f t="shared" si="65"/>
        <v>342101.60940557951</v>
      </c>
      <c r="I132" s="399">
        <f t="shared" si="66"/>
        <v>342101.60940557951</v>
      </c>
      <c r="J132" s="54">
        <f t="shared" si="40"/>
        <v>0</v>
      </c>
      <c r="K132" s="54"/>
      <c r="L132" s="129"/>
      <c r="M132" s="54">
        <f t="shared" si="68"/>
        <v>0</v>
      </c>
      <c r="N132" s="129"/>
      <c r="O132" s="54">
        <f t="shared" si="69"/>
        <v>0</v>
      </c>
      <c r="P132" s="54">
        <f t="shared" si="70"/>
        <v>0</v>
      </c>
      <c r="Q132" s="1"/>
    </row>
    <row r="133" spans="2:17" ht="12.5">
      <c r="B133" s="7" t="str">
        <f t="shared" si="39"/>
        <v/>
      </c>
      <c r="C133" s="50">
        <f>IF(D93="","-",+C132+1)</f>
        <v>2047</v>
      </c>
      <c r="D133" s="12">
        <f>IF(F132+SUM(E$99:E132)=D$92,F132,D$92-SUM(E$99:E132))</f>
        <v>1508422.4559621653</v>
      </c>
      <c r="E133" s="378">
        <f t="shared" si="62"/>
        <v>145221.34090909091</v>
      </c>
      <c r="F133" s="55">
        <f t="shared" si="63"/>
        <v>1363201.1150530744</v>
      </c>
      <c r="G133" s="55">
        <f t="shared" si="64"/>
        <v>1435811.7855076198</v>
      </c>
      <c r="H133" s="380">
        <f t="shared" si="65"/>
        <v>324017.72734650987</v>
      </c>
      <c r="I133" s="399">
        <f t="shared" si="66"/>
        <v>324017.72734650987</v>
      </c>
      <c r="J133" s="54">
        <f t="shared" si="40"/>
        <v>0</v>
      </c>
      <c r="K133" s="54"/>
      <c r="L133" s="129"/>
      <c r="M133" s="54">
        <f t="shared" si="68"/>
        <v>0</v>
      </c>
      <c r="N133" s="129"/>
      <c r="O133" s="54">
        <f t="shared" si="69"/>
        <v>0</v>
      </c>
      <c r="P133" s="54">
        <f t="shared" si="70"/>
        <v>0</v>
      </c>
      <c r="Q133" s="1"/>
    </row>
    <row r="134" spans="2:17" ht="12.5">
      <c r="B134" s="7" t="str">
        <f t="shared" si="39"/>
        <v/>
      </c>
      <c r="C134" s="50">
        <f>IF(D93="","-",+C133+1)</f>
        <v>2048</v>
      </c>
      <c r="D134" s="12">
        <f>IF(F133+SUM(E$99:E133)=D$92,F133,D$92-SUM(E$99:E133))</f>
        <v>1363201.1150530744</v>
      </c>
      <c r="E134" s="378">
        <f t="shared" si="62"/>
        <v>145221.34090909091</v>
      </c>
      <c r="F134" s="55">
        <f t="shared" si="63"/>
        <v>1217979.7741439836</v>
      </c>
      <c r="G134" s="55">
        <f t="shared" si="64"/>
        <v>1290590.444598529</v>
      </c>
      <c r="H134" s="380">
        <f t="shared" si="65"/>
        <v>305933.84528744023</v>
      </c>
      <c r="I134" s="399">
        <f t="shared" si="66"/>
        <v>305933.84528744023</v>
      </c>
      <c r="J134" s="54">
        <f t="shared" si="40"/>
        <v>0</v>
      </c>
      <c r="K134" s="54"/>
      <c r="L134" s="129"/>
      <c r="M134" s="54">
        <f t="shared" si="68"/>
        <v>0</v>
      </c>
      <c r="N134" s="129"/>
      <c r="O134" s="54">
        <f t="shared" si="69"/>
        <v>0</v>
      </c>
      <c r="P134" s="54">
        <f t="shared" si="70"/>
        <v>0</v>
      </c>
      <c r="Q134" s="1"/>
    </row>
    <row r="135" spans="2:17" ht="12.5">
      <c r="B135" s="7" t="str">
        <f t="shared" si="39"/>
        <v/>
      </c>
      <c r="C135" s="50">
        <f>IF(D93="","-",+C134+1)</f>
        <v>2049</v>
      </c>
      <c r="D135" s="12">
        <f>IF(F134+SUM(E$99:E134)=D$92,F134,D$92-SUM(E$99:E134))</f>
        <v>1217979.7741439836</v>
      </c>
      <c r="E135" s="378">
        <f t="shared" si="62"/>
        <v>145221.34090909091</v>
      </c>
      <c r="F135" s="55">
        <f t="shared" si="63"/>
        <v>1072758.4332348928</v>
      </c>
      <c r="G135" s="55">
        <f t="shared" si="64"/>
        <v>1145369.1036894382</v>
      </c>
      <c r="H135" s="380">
        <f t="shared" si="65"/>
        <v>287849.96322837065</v>
      </c>
      <c r="I135" s="399">
        <f t="shared" si="66"/>
        <v>287849.96322837065</v>
      </c>
      <c r="J135" s="54">
        <f t="shared" si="40"/>
        <v>0</v>
      </c>
      <c r="K135" s="54"/>
      <c r="L135" s="129"/>
      <c r="M135" s="54">
        <f t="shared" si="68"/>
        <v>0</v>
      </c>
      <c r="N135" s="129"/>
      <c r="O135" s="54">
        <f t="shared" si="69"/>
        <v>0</v>
      </c>
      <c r="P135" s="54">
        <f t="shared" si="70"/>
        <v>0</v>
      </c>
      <c r="Q135" s="1"/>
    </row>
    <row r="136" spans="2:17" ht="12.5">
      <c r="B136" s="7" t="str">
        <f t="shared" si="39"/>
        <v/>
      </c>
      <c r="C136" s="50">
        <f>IF(D93="","-",+C135+1)</f>
        <v>2050</v>
      </c>
      <c r="D136" s="12">
        <f>IF(F135+SUM(E$99:E135)=D$92,F135,D$92-SUM(E$99:E135))</f>
        <v>1072758.4332348928</v>
      </c>
      <c r="E136" s="378">
        <f t="shared" si="62"/>
        <v>145221.34090909091</v>
      </c>
      <c r="F136" s="55">
        <f t="shared" si="63"/>
        <v>927537.09232580184</v>
      </c>
      <c r="G136" s="55">
        <f t="shared" si="64"/>
        <v>1000147.7627803474</v>
      </c>
      <c r="H136" s="380">
        <f t="shared" si="65"/>
        <v>269766.081169301</v>
      </c>
      <c r="I136" s="399">
        <f t="shared" si="66"/>
        <v>269766.081169301</v>
      </c>
      <c r="J136" s="54">
        <f t="shared" si="40"/>
        <v>0</v>
      </c>
      <c r="K136" s="54"/>
      <c r="L136" s="129"/>
      <c r="M136" s="54">
        <f t="shared" si="68"/>
        <v>0</v>
      </c>
      <c r="N136" s="129"/>
      <c r="O136" s="54">
        <f t="shared" si="69"/>
        <v>0</v>
      </c>
      <c r="P136" s="54">
        <f t="shared" si="70"/>
        <v>0</v>
      </c>
      <c r="Q136" s="1"/>
    </row>
    <row r="137" spans="2:17" ht="12.5">
      <c r="B137" s="7" t="str">
        <f t="shared" si="39"/>
        <v/>
      </c>
      <c r="C137" s="50">
        <f>IF(D93="","-",+C136+1)</f>
        <v>2051</v>
      </c>
      <c r="D137" s="12">
        <f>IF(F136+SUM(E$99:E136)=D$92,F136,D$92-SUM(E$99:E136))</f>
        <v>927537.09232580184</v>
      </c>
      <c r="E137" s="378">
        <f t="shared" si="62"/>
        <v>145221.34090909091</v>
      </c>
      <c r="F137" s="55">
        <f t="shared" si="63"/>
        <v>782315.7514167109</v>
      </c>
      <c r="G137" s="55">
        <f t="shared" si="64"/>
        <v>854926.42187125632</v>
      </c>
      <c r="H137" s="380">
        <f t="shared" si="65"/>
        <v>251682.19911023136</v>
      </c>
      <c r="I137" s="399">
        <f t="shared" si="66"/>
        <v>251682.19911023136</v>
      </c>
      <c r="J137" s="54">
        <f t="shared" si="40"/>
        <v>0</v>
      </c>
      <c r="K137" s="54"/>
      <c r="L137" s="129"/>
      <c r="M137" s="54">
        <f t="shared" si="68"/>
        <v>0</v>
      </c>
      <c r="N137" s="129"/>
      <c r="O137" s="54">
        <f t="shared" si="69"/>
        <v>0</v>
      </c>
      <c r="P137" s="54">
        <f t="shared" si="70"/>
        <v>0</v>
      </c>
      <c r="Q137" s="1"/>
    </row>
    <row r="138" spans="2:17" ht="12.5">
      <c r="B138" s="7" t="str">
        <f t="shared" si="39"/>
        <v/>
      </c>
      <c r="C138" s="50">
        <f>IF(D93="","-",+C137+1)</f>
        <v>2052</v>
      </c>
      <c r="D138" s="12">
        <f>IF(F137+SUM(E$99:E137)=D$92,F137,D$92-SUM(E$99:E137))</f>
        <v>782315.7514167109</v>
      </c>
      <c r="E138" s="378">
        <f t="shared" si="62"/>
        <v>145221.34090909091</v>
      </c>
      <c r="F138" s="55">
        <f t="shared" si="63"/>
        <v>637094.41050761996</v>
      </c>
      <c r="G138" s="55">
        <f t="shared" si="64"/>
        <v>709705.08096216549</v>
      </c>
      <c r="H138" s="380">
        <f t="shared" si="65"/>
        <v>233598.31705116175</v>
      </c>
      <c r="I138" s="399">
        <f t="shared" si="66"/>
        <v>233598.31705116175</v>
      </c>
      <c r="J138" s="54">
        <f t="shared" si="40"/>
        <v>0</v>
      </c>
      <c r="K138" s="54"/>
      <c r="L138" s="129"/>
      <c r="M138" s="54">
        <f t="shared" si="68"/>
        <v>0</v>
      </c>
      <c r="N138" s="129"/>
      <c r="O138" s="54">
        <f t="shared" si="69"/>
        <v>0</v>
      </c>
      <c r="P138" s="54">
        <f t="shared" si="70"/>
        <v>0</v>
      </c>
      <c r="Q138" s="1"/>
    </row>
    <row r="139" spans="2:17" ht="12.5">
      <c r="B139" s="7" t="str">
        <f t="shared" si="39"/>
        <v/>
      </c>
      <c r="C139" s="50">
        <f>IF(D93="","-",+C138+1)</f>
        <v>2053</v>
      </c>
      <c r="D139" s="12">
        <f>IF(F138+SUM(E$99:E138)=D$92,F138,D$92-SUM(E$99:E138))</f>
        <v>637094.41050761996</v>
      </c>
      <c r="E139" s="378">
        <f t="shared" si="62"/>
        <v>145221.34090909091</v>
      </c>
      <c r="F139" s="55">
        <f t="shared" si="63"/>
        <v>491873.06959852902</v>
      </c>
      <c r="G139" s="55">
        <f t="shared" si="64"/>
        <v>564483.74005307443</v>
      </c>
      <c r="H139" s="380">
        <f t="shared" si="65"/>
        <v>215514.43499209208</v>
      </c>
      <c r="I139" s="399">
        <f t="shared" si="66"/>
        <v>215514.43499209208</v>
      </c>
      <c r="J139" s="54">
        <f t="shared" si="40"/>
        <v>0</v>
      </c>
      <c r="K139" s="54"/>
      <c r="L139" s="129"/>
      <c r="M139" s="54">
        <f t="shared" si="68"/>
        <v>0</v>
      </c>
      <c r="N139" s="129"/>
      <c r="O139" s="54">
        <f t="shared" si="69"/>
        <v>0</v>
      </c>
      <c r="P139" s="54">
        <f t="shared" si="70"/>
        <v>0</v>
      </c>
      <c r="Q139" s="1"/>
    </row>
    <row r="140" spans="2:17" ht="12.5">
      <c r="B140" s="7" t="str">
        <f t="shared" si="39"/>
        <v/>
      </c>
      <c r="C140" s="50">
        <f>IF(D93="","-",+C139+1)</f>
        <v>2054</v>
      </c>
      <c r="D140" s="12">
        <f>IF(F139+SUM(E$99:E139)=D$92,F139,D$92-SUM(E$99:E139))</f>
        <v>491873.06959852902</v>
      </c>
      <c r="E140" s="378">
        <f t="shared" si="62"/>
        <v>145221.34090909091</v>
      </c>
      <c r="F140" s="55">
        <f t="shared" si="63"/>
        <v>346651.72868943808</v>
      </c>
      <c r="G140" s="55">
        <f t="shared" si="64"/>
        <v>419262.39914398355</v>
      </c>
      <c r="H140" s="380">
        <f t="shared" si="65"/>
        <v>197430.55293302247</v>
      </c>
      <c r="I140" s="399">
        <f t="shared" si="66"/>
        <v>197430.55293302247</v>
      </c>
      <c r="J140" s="54">
        <f t="shared" si="40"/>
        <v>0</v>
      </c>
      <c r="K140" s="54"/>
      <c r="L140" s="129"/>
      <c r="M140" s="54">
        <f t="shared" si="68"/>
        <v>0</v>
      </c>
      <c r="N140" s="129"/>
      <c r="O140" s="54">
        <f t="shared" si="69"/>
        <v>0</v>
      </c>
      <c r="P140" s="54">
        <f t="shared" si="70"/>
        <v>0</v>
      </c>
      <c r="Q140" s="1"/>
    </row>
    <row r="141" spans="2:17" ht="12.5">
      <c r="B141" s="7" t="str">
        <f t="shared" si="39"/>
        <v/>
      </c>
      <c r="C141" s="50">
        <f>IF(D93="","-",+C140+1)</f>
        <v>2055</v>
      </c>
      <c r="D141" s="12">
        <f>IF(F140+SUM(E$99:E140)=D$92,F140,D$92-SUM(E$99:E140))</f>
        <v>346651.72868943808</v>
      </c>
      <c r="E141" s="378">
        <f t="shared" si="62"/>
        <v>145221.34090909091</v>
      </c>
      <c r="F141" s="55">
        <f t="shared" si="63"/>
        <v>201430.38778034717</v>
      </c>
      <c r="G141" s="55">
        <f t="shared" si="64"/>
        <v>274041.05823489261</v>
      </c>
      <c r="H141" s="380">
        <f t="shared" si="65"/>
        <v>179346.67087395285</v>
      </c>
      <c r="I141" s="399">
        <f t="shared" si="66"/>
        <v>179346.67087395285</v>
      </c>
      <c r="J141" s="54">
        <f t="shared" si="40"/>
        <v>0</v>
      </c>
      <c r="K141" s="54"/>
      <c r="L141" s="129"/>
      <c r="M141" s="54">
        <f t="shared" si="68"/>
        <v>0</v>
      </c>
      <c r="N141" s="129"/>
      <c r="O141" s="54">
        <f t="shared" si="69"/>
        <v>0</v>
      </c>
      <c r="P141" s="54">
        <f t="shared" si="70"/>
        <v>0</v>
      </c>
      <c r="Q141" s="1"/>
    </row>
    <row r="142" spans="2:17" ht="12.5">
      <c r="B142" s="7" t="str">
        <f t="shared" si="39"/>
        <v/>
      </c>
      <c r="C142" s="50">
        <f>IF(D93="","-",+C141+1)</f>
        <v>2056</v>
      </c>
      <c r="D142" s="12">
        <f>IF(F141+SUM(E$99:E141)=D$92,F141,D$92-SUM(E$99:E141))</f>
        <v>201430.38778034717</v>
      </c>
      <c r="E142" s="378">
        <f t="shared" si="62"/>
        <v>145221.34090909091</v>
      </c>
      <c r="F142" s="55">
        <f t="shared" si="63"/>
        <v>56209.046871256258</v>
      </c>
      <c r="G142" s="55">
        <f t="shared" si="64"/>
        <v>128819.71732580171</v>
      </c>
      <c r="H142" s="380">
        <f t="shared" si="65"/>
        <v>161262.78881488321</v>
      </c>
      <c r="I142" s="399">
        <f t="shared" si="66"/>
        <v>161262.78881488321</v>
      </c>
      <c r="J142" s="54">
        <f t="shared" si="40"/>
        <v>0</v>
      </c>
      <c r="K142" s="54"/>
      <c r="L142" s="129"/>
      <c r="M142" s="54">
        <f t="shared" si="68"/>
        <v>0</v>
      </c>
      <c r="N142" s="129"/>
      <c r="O142" s="54">
        <f t="shared" si="69"/>
        <v>0</v>
      </c>
      <c r="P142" s="54">
        <f t="shared" si="70"/>
        <v>0</v>
      </c>
      <c r="Q142" s="1"/>
    </row>
    <row r="143" spans="2:17" ht="12.5">
      <c r="B143" s="7" t="str">
        <f t="shared" si="39"/>
        <v/>
      </c>
      <c r="C143" s="50">
        <f>IF(D93="","-",+C142+1)</f>
        <v>2057</v>
      </c>
      <c r="D143" s="12">
        <f>IF(F142+SUM(E$99:E142)=D$92,F142,D$92-SUM(E$99:E142))</f>
        <v>56209.046871256258</v>
      </c>
      <c r="E143" s="378">
        <f t="shared" si="62"/>
        <v>56209.046871256258</v>
      </c>
      <c r="F143" s="55">
        <f t="shared" si="63"/>
        <v>0</v>
      </c>
      <c r="G143" s="55">
        <f t="shared" si="64"/>
        <v>28104.523435628129</v>
      </c>
      <c r="H143" s="380">
        <f t="shared" si="65"/>
        <v>59708.800309385006</v>
      </c>
      <c r="I143" s="399">
        <f t="shared" si="66"/>
        <v>59708.800309385006</v>
      </c>
      <c r="J143" s="54">
        <f t="shared" si="40"/>
        <v>0</v>
      </c>
      <c r="K143" s="54"/>
      <c r="L143" s="129"/>
      <c r="M143" s="54">
        <f t="shared" si="68"/>
        <v>0</v>
      </c>
      <c r="N143" s="129"/>
      <c r="O143" s="54">
        <f t="shared" si="69"/>
        <v>0</v>
      </c>
      <c r="P143" s="54">
        <f t="shared" si="70"/>
        <v>0</v>
      </c>
      <c r="Q143" s="1"/>
    </row>
    <row r="144" spans="2:17" ht="12.5">
      <c r="B144" s="7" t="str">
        <f t="shared" si="39"/>
        <v/>
      </c>
      <c r="C144" s="50">
        <f>IF(D93="","-",+C143+1)</f>
        <v>2058</v>
      </c>
      <c r="D144" s="12">
        <f>IF(F143+SUM(E$99:E143)=D$92,F143,D$92-SUM(E$99:E143))</f>
        <v>0</v>
      </c>
      <c r="E144" s="378">
        <f t="shared" si="62"/>
        <v>0</v>
      </c>
      <c r="F144" s="55">
        <f t="shared" si="63"/>
        <v>0</v>
      </c>
      <c r="G144" s="55">
        <f t="shared" si="64"/>
        <v>0</v>
      </c>
      <c r="H144" s="380">
        <f t="shared" si="65"/>
        <v>0</v>
      </c>
      <c r="I144" s="399">
        <f t="shared" si="66"/>
        <v>0</v>
      </c>
      <c r="J144" s="54">
        <f t="shared" si="40"/>
        <v>0</v>
      </c>
      <c r="K144" s="54"/>
      <c r="L144" s="129"/>
      <c r="M144" s="54">
        <f t="shared" si="68"/>
        <v>0</v>
      </c>
      <c r="N144" s="129"/>
      <c r="O144" s="54">
        <f t="shared" si="69"/>
        <v>0</v>
      </c>
      <c r="P144" s="54">
        <f t="shared" si="70"/>
        <v>0</v>
      </c>
      <c r="Q144" s="1"/>
    </row>
    <row r="145" spans="2:17" ht="12.5">
      <c r="B145" s="7" t="str">
        <f t="shared" si="39"/>
        <v/>
      </c>
      <c r="C145" s="50">
        <f>IF(D93="","-",+C144+1)</f>
        <v>2059</v>
      </c>
      <c r="D145" s="12">
        <f>IF(F144+SUM(E$99:E144)=D$92,F144,D$92-SUM(E$99:E144))</f>
        <v>0</v>
      </c>
      <c r="E145" s="378">
        <f t="shared" si="62"/>
        <v>0</v>
      </c>
      <c r="F145" s="55">
        <f t="shared" si="63"/>
        <v>0</v>
      </c>
      <c r="G145" s="55">
        <f t="shared" si="64"/>
        <v>0</v>
      </c>
      <c r="H145" s="380">
        <f t="shared" si="65"/>
        <v>0</v>
      </c>
      <c r="I145" s="399">
        <f t="shared" si="66"/>
        <v>0</v>
      </c>
      <c r="J145" s="54">
        <f t="shared" si="40"/>
        <v>0</v>
      </c>
      <c r="K145" s="54"/>
      <c r="L145" s="129"/>
      <c r="M145" s="54">
        <f t="shared" si="68"/>
        <v>0</v>
      </c>
      <c r="N145" s="129"/>
      <c r="O145" s="54">
        <f t="shared" si="69"/>
        <v>0</v>
      </c>
      <c r="P145" s="54">
        <f t="shared" si="70"/>
        <v>0</v>
      </c>
      <c r="Q145" s="1"/>
    </row>
    <row r="146" spans="2:17" ht="12.5">
      <c r="B146" s="7" t="str">
        <f t="shared" si="39"/>
        <v/>
      </c>
      <c r="C146" s="50">
        <f>IF(D93="","-",+C145+1)</f>
        <v>2060</v>
      </c>
      <c r="D146" s="12">
        <f>IF(F145+SUM(E$99:E145)=D$92,F145,D$92-SUM(E$99:E145))</f>
        <v>0</v>
      </c>
      <c r="E146" s="378">
        <f t="shared" si="62"/>
        <v>0</v>
      </c>
      <c r="F146" s="55">
        <f t="shared" si="63"/>
        <v>0</v>
      </c>
      <c r="G146" s="55">
        <f t="shared" si="64"/>
        <v>0</v>
      </c>
      <c r="H146" s="380">
        <f t="shared" si="65"/>
        <v>0</v>
      </c>
      <c r="I146" s="399">
        <f t="shared" si="66"/>
        <v>0</v>
      </c>
      <c r="J146" s="54">
        <f t="shared" si="40"/>
        <v>0</v>
      </c>
      <c r="K146" s="54"/>
      <c r="L146" s="129"/>
      <c r="M146" s="54">
        <f t="shared" si="68"/>
        <v>0</v>
      </c>
      <c r="N146" s="129"/>
      <c r="O146" s="54">
        <f t="shared" si="69"/>
        <v>0</v>
      </c>
      <c r="P146" s="54">
        <f t="shared" si="70"/>
        <v>0</v>
      </c>
      <c r="Q146" s="1"/>
    </row>
    <row r="147" spans="2:17" ht="12.5">
      <c r="B147" s="7" t="str">
        <f t="shared" si="39"/>
        <v/>
      </c>
      <c r="C147" s="50">
        <f>IF(D93="","-",+C146+1)</f>
        <v>2061</v>
      </c>
      <c r="D147" s="12">
        <f>IF(F146+SUM(E$99:E146)=D$92,F146,D$92-SUM(E$99:E146))</f>
        <v>0</v>
      </c>
      <c r="E147" s="378">
        <f t="shared" si="62"/>
        <v>0</v>
      </c>
      <c r="F147" s="55">
        <f t="shared" si="63"/>
        <v>0</v>
      </c>
      <c r="G147" s="55">
        <f t="shared" si="64"/>
        <v>0</v>
      </c>
      <c r="H147" s="380">
        <f t="shared" si="65"/>
        <v>0</v>
      </c>
      <c r="I147" s="399">
        <f t="shared" si="66"/>
        <v>0</v>
      </c>
      <c r="J147" s="54">
        <f t="shared" si="40"/>
        <v>0</v>
      </c>
      <c r="K147" s="54"/>
      <c r="L147" s="129"/>
      <c r="M147" s="54">
        <f t="shared" si="68"/>
        <v>0</v>
      </c>
      <c r="N147" s="129"/>
      <c r="O147" s="54">
        <f t="shared" si="69"/>
        <v>0</v>
      </c>
      <c r="P147" s="54">
        <f t="shared" si="70"/>
        <v>0</v>
      </c>
      <c r="Q147" s="1"/>
    </row>
    <row r="148" spans="2:17" ht="12.5">
      <c r="B148" s="7" t="str">
        <f t="shared" si="39"/>
        <v/>
      </c>
      <c r="C148" s="50">
        <f>IF(D93="","-",+C147+1)</f>
        <v>2062</v>
      </c>
      <c r="D148" s="12">
        <f>IF(F147+SUM(E$99:E147)=D$92,F147,D$92-SUM(E$99:E147))</f>
        <v>0</v>
      </c>
      <c r="E148" s="378">
        <f t="shared" si="62"/>
        <v>0</v>
      </c>
      <c r="F148" s="55">
        <f t="shared" si="63"/>
        <v>0</v>
      </c>
      <c r="G148" s="55">
        <f t="shared" si="64"/>
        <v>0</v>
      </c>
      <c r="H148" s="380">
        <f t="shared" si="65"/>
        <v>0</v>
      </c>
      <c r="I148" s="399">
        <f t="shared" si="66"/>
        <v>0</v>
      </c>
      <c r="J148" s="54">
        <f t="shared" si="40"/>
        <v>0</v>
      </c>
      <c r="K148" s="54"/>
      <c r="L148" s="129"/>
      <c r="M148" s="54">
        <f t="shared" si="68"/>
        <v>0</v>
      </c>
      <c r="N148" s="129"/>
      <c r="O148" s="54">
        <f t="shared" si="69"/>
        <v>0</v>
      </c>
      <c r="P148" s="54">
        <f t="shared" si="70"/>
        <v>0</v>
      </c>
      <c r="Q148" s="1"/>
    </row>
    <row r="149" spans="2:17" ht="12.5">
      <c r="B149" s="7" t="str">
        <f t="shared" si="39"/>
        <v/>
      </c>
      <c r="C149" s="50">
        <f>IF(D93="","-",+C148+1)</f>
        <v>2063</v>
      </c>
      <c r="D149" s="12">
        <f>IF(F148+SUM(E$99:E148)=D$92,F148,D$92-SUM(E$99:E148))</f>
        <v>0</v>
      </c>
      <c r="E149" s="378">
        <f t="shared" si="62"/>
        <v>0</v>
      </c>
      <c r="F149" s="55">
        <f t="shared" si="63"/>
        <v>0</v>
      </c>
      <c r="G149" s="55">
        <f t="shared" si="64"/>
        <v>0</v>
      </c>
      <c r="H149" s="380">
        <f t="shared" si="65"/>
        <v>0</v>
      </c>
      <c r="I149" s="399">
        <f t="shared" si="66"/>
        <v>0</v>
      </c>
      <c r="J149" s="54">
        <f t="shared" si="40"/>
        <v>0</v>
      </c>
      <c r="K149" s="54"/>
      <c r="L149" s="129"/>
      <c r="M149" s="54">
        <f t="shared" si="68"/>
        <v>0</v>
      </c>
      <c r="N149" s="129"/>
      <c r="O149" s="54">
        <f t="shared" si="69"/>
        <v>0</v>
      </c>
      <c r="P149" s="54">
        <f t="shared" si="70"/>
        <v>0</v>
      </c>
      <c r="Q149" s="1"/>
    </row>
    <row r="150" spans="2:17" ht="12.5">
      <c r="B150" s="7" t="str">
        <f t="shared" si="39"/>
        <v/>
      </c>
      <c r="C150" s="50">
        <f>IF(D93="","-",+C149+1)</f>
        <v>2064</v>
      </c>
      <c r="D150" s="12">
        <f>IF(F149+SUM(E$99:E149)=D$92,F149,D$92-SUM(E$99:E149))</f>
        <v>0</v>
      </c>
      <c r="E150" s="378">
        <f t="shared" si="62"/>
        <v>0</v>
      </c>
      <c r="F150" s="55">
        <f t="shared" si="63"/>
        <v>0</v>
      </c>
      <c r="G150" s="55">
        <f t="shared" si="64"/>
        <v>0</v>
      </c>
      <c r="H150" s="380">
        <f t="shared" si="65"/>
        <v>0</v>
      </c>
      <c r="I150" s="399">
        <f t="shared" si="66"/>
        <v>0</v>
      </c>
      <c r="J150" s="54">
        <f t="shared" si="40"/>
        <v>0</v>
      </c>
      <c r="K150" s="54"/>
      <c r="L150" s="129"/>
      <c r="M150" s="54">
        <f t="shared" si="68"/>
        <v>0</v>
      </c>
      <c r="N150" s="129"/>
      <c r="O150" s="54">
        <f t="shared" si="69"/>
        <v>0</v>
      </c>
      <c r="P150" s="54">
        <f t="shared" si="70"/>
        <v>0</v>
      </c>
      <c r="Q150" s="1"/>
    </row>
    <row r="151" spans="2:17" ht="12.5">
      <c r="B151" s="7" t="str">
        <f t="shared" si="39"/>
        <v/>
      </c>
      <c r="C151" s="50">
        <f>IF(D93="","-",+C150+1)</f>
        <v>2065</v>
      </c>
      <c r="D151" s="12">
        <f>IF(F150+SUM(E$99:E150)=D$92,F150,D$92-SUM(E$99:E150))</f>
        <v>0</v>
      </c>
      <c r="E151" s="378">
        <f t="shared" si="62"/>
        <v>0</v>
      </c>
      <c r="F151" s="55">
        <f t="shared" si="63"/>
        <v>0</v>
      </c>
      <c r="G151" s="55">
        <f t="shared" si="64"/>
        <v>0</v>
      </c>
      <c r="H151" s="380">
        <f t="shared" si="65"/>
        <v>0</v>
      </c>
      <c r="I151" s="399">
        <f t="shared" si="66"/>
        <v>0</v>
      </c>
      <c r="J151" s="54">
        <f t="shared" si="40"/>
        <v>0</v>
      </c>
      <c r="K151" s="54"/>
      <c r="L151" s="129"/>
      <c r="M151" s="54">
        <f t="shared" si="68"/>
        <v>0</v>
      </c>
      <c r="N151" s="129"/>
      <c r="O151" s="54">
        <f t="shared" si="69"/>
        <v>0</v>
      </c>
      <c r="P151" s="54">
        <f t="shared" si="70"/>
        <v>0</v>
      </c>
      <c r="Q151" s="1"/>
    </row>
    <row r="152" spans="2:17" ht="12.5">
      <c r="B152" s="7" t="str">
        <f t="shared" si="39"/>
        <v/>
      </c>
      <c r="C152" s="50">
        <f>IF(D93="","-",+C151+1)</f>
        <v>2066</v>
      </c>
      <c r="D152" s="12">
        <f>IF(F151+SUM(E$99:E151)=D$92,F151,D$92-SUM(E$99:E151))</f>
        <v>0</v>
      </c>
      <c r="E152" s="378">
        <f t="shared" si="62"/>
        <v>0</v>
      </c>
      <c r="F152" s="55">
        <f t="shared" si="63"/>
        <v>0</v>
      </c>
      <c r="G152" s="55">
        <f t="shared" si="64"/>
        <v>0</v>
      </c>
      <c r="H152" s="380">
        <f t="shared" si="65"/>
        <v>0</v>
      </c>
      <c r="I152" s="399">
        <f t="shared" si="66"/>
        <v>0</v>
      </c>
      <c r="J152" s="54">
        <f t="shared" si="40"/>
        <v>0</v>
      </c>
      <c r="K152" s="54"/>
      <c r="L152" s="129"/>
      <c r="M152" s="54">
        <f t="shared" si="68"/>
        <v>0</v>
      </c>
      <c r="N152" s="129"/>
      <c r="O152" s="54">
        <f t="shared" si="69"/>
        <v>0</v>
      </c>
      <c r="P152" s="54">
        <f t="shared" si="70"/>
        <v>0</v>
      </c>
      <c r="Q152" s="1"/>
    </row>
    <row r="153" spans="2:17" ht="12.5">
      <c r="B153" s="7" t="str">
        <f t="shared" si="39"/>
        <v/>
      </c>
      <c r="C153" s="50">
        <f>IF(D93="","-",+C152+1)</f>
        <v>2067</v>
      </c>
      <c r="D153" s="12">
        <f>IF(F152+SUM(E$99:E152)=D$92,F152,D$92-SUM(E$99:E152))</f>
        <v>0</v>
      </c>
      <c r="E153" s="378">
        <f t="shared" si="62"/>
        <v>0</v>
      </c>
      <c r="F153" s="55">
        <f t="shared" si="63"/>
        <v>0</v>
      </c>
      <c r="G153" s="55">
        <f t="shared" si="64"/>
        <v>0</v>
      </c>
      <c r="H153" s="380">
        <f t="shared" si="65"/>
        <v>0</v>
      </c>
      <c r="I153" s="399">
        <f t="shared" si="66"/>
        <v>0</v>
      </c>
      <c r="J153" s="54">
        <f t="shared" si="40"/>
        <v>0</v>
      </c>
      <c r="K153" s="54"/>
      <c r="L153" s="129"/>
      <c r="M153" s="54">
        <f t="shared" si="68"/>
        <v>0</v>
      </c>
      <c r="N153" s="129"/>
      <c r="O153" s="54">
        <f t="shared" si="69"/>
        <v>0</v>
      </c>
      <c r="P153" s="54">
        <f t="shared" si="70"/>
        <v>0</v>
      </c>
      <c r="Q153" s="1"/>
    </row>
    <row r="154" spans="2:17" ht="13" thickBot="1">
      <c r="B154" s="7" t="str">
        <f t="shared" si="39"/>
        <v/>
      </c>
      <c r="C154" s="59">
        <f>IF(D93="","-",+C153+1)</f>
        <v>2068</v>
      </c>
      <c r="D154" s="12">
        <f>IF(F153+SUM(E$99:E153)=D$92,F153,D$92-SUM(E$99:E153))</f>
        <v>0</v>
      </c>
      <c r="E154" s="378">
        <f t="shared" si="62"/>
        <v>0</v>
      </c>
      <c r="F154" s="55">
        <f t="shared" si="63"/>
        <v>0</v>
      </c>
      <c r="G154" s="55">
        <f t="shared" si="64"/>
        <v>0</v>
      </c>
      <c r="H154" s="380">
        <f t="shared" si="65"/>
        <v>0</v>
      </c>
      <c r="I154" s="399">
        <f t="shared" si="66"/>
        <v>0</v>
      </c>
      <c r="J154" s="54">
        <f t="shared" si="40"/>
        <v>0</v>
      </c>
      <c r="K154" s="54"/>
      <c r="L154" s="130"/>
      <c r="M154" s="64">
        <f t="shared" si="68"/>
        <v>0</v>
      </c>
      <c r="N154" s="130"/>
      <c r="O154" s="64">
        <f t="shared" si="69"/>
        <v>0</v>
      </c>
      <c r="P154" s="64">
        <f t="shared" si="70"/>
        <v>0</v>
      </c>
      <c r="Q154" s="1"/>
    </row>
    <row r="155" spans="2:17" ht="12.5">
      <c r="C155" s="12" t="s">
        <v>78</v>
      </c>
      <c r="D155" s="293"/>
      <c r="E155" s="293">
        <f>SUM(E99:E154)</f>
        <v>6389739.0000000009</v>
      </c>
      <c r="F155" s="293"/>
      <c r="G155" s="293"/>
      <c r="H155" s="293">
        <f>SUM(H99:H154)</f>
        <v>22913847.037535202</v>
      </c>
      <c r="I155" s="293">
        <f>SUM(I99:I154)</f>
        <v>22913847.037535202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 ht="12.5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 ht="12.5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 ht="13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 ht="13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  <c r="Q162" s="1"/>
    </row>
  </sheetData>
  <conditionalFormatting sqref="C17:C72">
    <cfRule type="cellIs" dxfId="85" priority="1" stopIfTrue="1" operator="equal">
      <formula>$I$10</formula>
    </cfRule>
  </conditionalFormatting>
  <conditionalFormatting sqref="C99:C154">
    <cfRule type="cellIs" dxfId="8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9"/>
  <dimension ref="A1:Q162"/>
  <sheetViews>
    <sheetView topLeftCell="E98" zoomScaleNormal="100" zoomScaleSheetLayoutView="82" workbookViewId="0">
      <selection activeCell="M88" sqref="M88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"&amp;RIGHT(MID(CELL("filename",$A$1),FIND("]",CELL("filename",$A$1))+1,256),1)&amp;" of "&amp;COUNT(S.001:S.077!$P$3)</f>
        <v>SWEPCO Project 1 of 77</v>
      </c>
      <c r="Q1" s="13"/>
    </row>
    <row r="2" spans="1:17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1776520.6128682327</v>
      </c>
      <c r="P5" s="1"/>
    </row>
    <row r="6" spans="1:17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1776520.6128682327</v>
      </c>
      <c r="O6" s="1"/>
      <c r="P6" s="1"/>
    </row>
    <row r="7" spans="1:17" ht="13.5" thickBot="1">
      <c r="C7" s="25" t="s">
        <v>48</v>
      </c>
      <c r="D7" s="127" t="s">
        <v>225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85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140</v>
      </c>
      <c r="E9" s="31" t="s">
        <v>494</v>
      </c>
      <c r="F9" s="462" t="s">
        <v>495</v>
      </c>
      <c r="G9" s="31"/>
      <c r="H9" s="31"/>
      <c r="I9" s="32"/>
      <c r="J9" s="33"/>
      <c r="P9" s="1"/>
    </row>
    <row r="10" spans="1:17" ht="13">
      <c r="C10" s="34" t="s">
        <v>51</v>
      </c>
      <c r="D10" s="363">
        <v>17671482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7" ht="12.5">
      <c r="C11" s="34" t="s">
        <v>54</v>
      </c>
      <c r="D11" s="37">
        <v>2009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3">
        <v>12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401624.59090909088</v>
      </c>
      <c r="J14" s="293"/>
      <c r="K14" s="293"/>
      <c r="L14" s="293"/>
      <c r="M14" s="293"/>
      <c r="N14" s="293"/>
      <c r="O14" s="1"/>
      <c r="P14" s="1"/>
    </row>
    <row r="15" spans="1:17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2009</v>
      </c>
      <c r="D17" s="133">
        <v>9057179</v>
      </c>
      <c r="E17" s="374">
        <v>0</v>
      </c>
      <c r="F17" s="133">
        <v>9057179</v>
      </c>
      <c r="G17" s="374">
        <v>115677</v>
      </c>
      <c r="H17" s="375">
        <v>115677</v>
      </c>
      <c r="I17" s="52">
        <f t="shared" ref="I17:I48" si="0">H17-G17</f>
        <v>0</v>
      </c>
      <c r="J17" s="52"/>
      <c r="K17" s="112">
        <v>115677</v>
      </c>
      <c r="L17" s="53">
        <f t="shared" ref="L17:L48" si="1">IF(K17&lt;&gt;0,+G17-K17,0)</f>
        <v>0</v>
      </c>
      <c r="M17" s="112">
        <v>115677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2010</v>
      </c>
      <c r="D18" s="137">
        <v>17740954</v>
      </c>
      <c r="E18" s="376">
        <v>466867</v>
      </c>
      <c r="F18" s="137">
        <v>17274087</v>
      </c>
      <c r="G18" s="376">
        <v>2950276</v>
      </c>
      <c r="H18" s="375">
        <v>2950276</v>
      </c>
      <c r="I18" s="141">
        <v>0</v>
      </c>
      <c r="J18" s="52"/>
      <c r="K18" s="113">
        <f t="shared" ref="K18:K23" si="4">G18</f>
        <v>2950276</v>
      </c>
      <c r="L18" s="54">
        <f t="shared" si="1"/>
        <v>0</v>
      </c>
      <c r="M18" s="113">
        <f t="shared" ref="M18:M23" si="5">H18</f>
        <v>2950276</v>
      </c>
      <c r="N18" s="54">
        <f t="shared" si="2"/>
        <v>0</v>
      </c>
      <c r="O18" s="54">
        <f t="shared" si="3"/>
        <v>0</v>
      </c>
      <c r="P18" s="1"/>
    </row>
    <row r="19" spans="2:16" ht="12.5">
      <c r="B19" s="7" t="str">
        <f>IF(D19=F18,"","IU")</f>
        <v>IU</v>
      </c>
      <c r="C19" s="50">
        <f>IF(D11="","-",+C18+1)</f>
        <v>2011</v>
      </c>
      <c r="D19" s="137">
        <v>17204615</v>
      </c>
      <c r="E19" s="376">
        <v>431011.75609756098</v>
      </c>
      <c r="F19" s="137">
        <v>16773603.243902439</v>
      </c>
      <c r="G19" s="376">
        <v>3050917.4869010281</v>
      </c>
      <c r="H19" s="375">
        <v>3050917.4869010281</v>
      </c>
      <c r="I19" s="141">
        <v>0</v>
      </c>
      <c r="J19" s="52"/>
      <c r="K19" s="113">
        <f t="shared" si="4"/>
        <v>3050917.4869010281</v>
      </c>
      <c r="L19" s="54">
        <f t="shared" si="1"/>
        <v>0</v>
      </c>
      <c r="M19" s="113">
        <f t="shared" si="5"/>
        <v>3050917.4869010281</v>
      </c>
      <c r="N19" s="54">
        <f t="shared" si="2"/>
        <v>0</v>
      </c>
      <c r="O19" s="54">
        <f t="shared" si="3"/>
        <v>0</v>
      </c>
      <c r="P19" s="1"/>
    </row>
    <row r="20" spans="2:16" ht="12.5">
      <c r="B20" s="7" t="str">
        <f t="shared" ref="B20:B72" si="6">IF(D20=F19,"","IU")</f>
        <v/>
      </c>
      <c r="C20" s="50">
        <f>IF(D11="","-",+C19+1)</f>
        <v>2012</v>
      </c>
      <c r="D20" s="137">
        <v>16773603.243902439</v>
      </c>
      <c r="E20" s="377">
        <v>420749.57142857142</v>
      </c>
      <c r="F20" s="137">
        <v>16352853.672473868</v>
      </c>
      <c r="G20" s="376">
        <v>2852748.2601002851</v>
      </c>
      <c r="H20" s="375">
        <v>2852748.2601002851</v>
      </c>
      <c r="I20" s="141">
        <v>0</v>
      </c>
      <c r="J20" s="52"/>
      <c r="K20" s="113">
        <f t="shared" si="4"/>
        <v>2852748.2601002851</v>
      </c>
      <c r="L20" s="54">
        <f t="shared" si="1"/>
        <v>0</v>
      </c>
      <c r="M20" s="113">
        <f t="shared" si="5"/>
        <v>2852748.2601002851</v>
      </c>
      <c r="N20" s="54">
        <f t="shared" si="2"/>
        <v>0</v>
      </c>
      <c r="O20" s="54">
        <f t="shared" si="3"/>
        <v>0</v>
      </c>
      <c r="P20" s="1"/>
    </row>
    <row r="21" spans="2:16" ht="12.5">
      <c r="B21" s="7" t="str">
        <f t="shared" si="6"/>
        <v/>
      </c>
      <c r="C21" s="50">
        <f>IF(D12="","-",+C20+1)</f>
        <v>2013</v>
      </c>
      <c r="D21" s="137">
        <v>16352853.672473868</v>
      </c>
      <c r="E21" s="377">
        <v>420749.57142857142</v>
      </c>
      <c r="F21" s="137">
        <v>15932104.101045297</v>
      </c>
      <c r="G21" s="376">
        <v>2651038.335861824</v>
      </c>
      <c r="H21" s="375">
        <v>2651038.335861824</v>
      </c>
      <c r="I21" s="52">
        <v>0</v>
      </c>
      <c r="J21" s="52"/>
      <c r="K21" s="113">
        <f t="shared" si="4"/>
        <v>2651038.335861824</v>
      </c>
      <c r="L21" s="54">
        <f t="shared" ref="L21:L26" si="7">IF(K21&lt;&gt;0,+G21-K21,0)</f>
        <v>0</v>
      </c>
      <c r="M21" s="113">
        <f t="shared" si="5"/>
        <v>2651038.335861824</v>
      </c>
      <c r="N21" s="54">
        <f t="shared" ref="N21:N26" si="8">IF(M21&lt;&gt;0,+H21-M21,0)</f>
        <v>0</v>
      </c>
      <c r="O21" s="54">
        <f t="shared" ref="O21:O26" si="9">+N21-L21</f>
        <v>0</v>
      </c>
      <c r="P21" s="1"/>
    </row>
    <row r="22" spans="2:16" ht="12.5">
      <c r="B22" s="7" t="str">
        <f t="shared" si="6"/>
        <v/>
      </c>
      <c r="C22" s="50">
        <f>IF(D11="","-",+C21+1)</f>
        <v>2014</v>
      </c>
      <c r="D22" s="137">
        <v>15932104.101045297</v>
      </c>
      <c r="E22" s="377">
        <v>420749.57142857142</v>
      </c>
      <c r="F22" s="137">
        <v>15511354.529616727</v>
      </c>
      <c r="G22" s="376">
        <v>2513394.2946650204</v>
      </c>
      <c r="H22" s="375">
        <v>2513394.2946650204</v>
      </c>
      <c r="I22" s="52">
        <v>0</v>
      </c>
      <c r="J22" s="52"/>
      <c r="K22" s="113">
        <f t="shared" si="4"/>
        <v>2513394.2946650204</v>
      </c>
      <c r="L22" s="54">
        <f t="shared" si="7"/>
        <v>0</v>
      </c>
      <c r="M22" s="113">
        <f t="shared" si="5"/>
        <v>2513394.2946650204</v>
      </c>
      <c r="N22" s="54">
        <f t="shared" si="8"/>
        <v>0</v>
      </c>
      <c r="O22" s="54">
        <f t="shared" si="9"/>
        <v>0</v>
      </c>
      <c r="P22" s="1"/>
    </row>
    <row r="23" spans="2:16" ht="12.5">
      <c r="B23" s="7" t="str">
        <f t="shared" si="6"/>
        <v/>
      </c>
      <c r="C23" s="50">
        <f>IF(D11="","-",+C22+1)</f>
        <v>2015</v>
      </c>
      <c r="D23" s="137">
        <v>15511354.529616727</v>
      </c>
      <c r="E23" s="377">
        <v>420749.57142857142</v>
      </c>
      <c r="F23" s="137">
        <v>15090604.958188156</v>
      </c>
      <c r="G23" s="376">
        <v>2408254.6940407706</v>
      </c>
      <c r="H23" s="375">
        <v>2408254.6940407706</v>
      </c>
      <c r="I23" s="52">
        <v>0</v>
      </c>
      <c r="J23" s="52"/>
      <c r="K23" s="113">
        <f t="shared" si="4"/>
        <v>2408254.6940407706</v>
      </c>
      <c r="L23" s="54">
        <f t="shared" si="7"/>
        <v>0</v>
      </c>
      <c r="M23" s="113">
        <f t="shared" si="5"/>
        <v>2408254.6940407706</v>
      </c>
      <c r="N23" s="54">
        <f t="shared" si="8"/>
        <v>0</v>
      </c>
      <c r="O23" s="54">
        <f t="shared" si="9"/>
        <v>0</v>
      </c>
      <c r="P23" s="1"/>
    </row>
    <row r="24" spans="2:16" ht="12.5">
      <c r="B24" s="7" t="str">
        <f t="shared" si="6"/>
        <v/>
      </c>
      <c r="C24" s="50">
        <f>IF(D11="","-",+C23+1)</f>
        <v>2016</v>
      </c>
      <c r="D24" s="137">
        <v>15090604.958188156</v>
      </c>
      <c r="E24" s="377">
        <v>420749.57142857142</v>
      </c>
      <c r="F24" s="137">
        <v>14669855.386759585</v>
      </c>
      <c r="G24" s="376">
        <v>2329003.9936694037</v>
      </c>
      <c r="H24" s="375">
        <v>2329003.9936694037</v>
      </c>
      <c r="I24" s="52">
        <f t="shared" si="0"/>
        <v>0</v>
      </c>
      <c r="J24" s="52"/>
      <c r="K24" s="113">
        <f t="shared" ref="K24:K29" si="10">G24</f>
        <v>2329003.9936694037</v>
      </c>
      <c r="L24" s="54">
        <f t="shared" si="7"/>
        <v>0</v>
      </c>
      <c r="M24" s="113">
        <f t="shared" ref="M24:M29" si="11">H24</f>
        <v>2329003.9936694037</v>
      </c>
      <c r="N24" s="54">
        <f t="shared" si="8"/>
        <v>0</v>
      </c>
      <c r="O24" s="54">
        <f t="shared" si="9"/>
        <v>0</v>
      </c>
      <c r="P24" s="1"/>
    </row>
    <row r="25" spans="2:16" ht="12.5">
      <c r="B25" s="7" t="str">
        <f t="shared" si="6"/>
        <v/>
      </c>
      <c r="C25" s="50">
        <f>IF(D11="","-",+C24+1)</f>
        <v>2017</v>
      </c>
      <c r="D25" s="137">
        <v>14669855.386759585</v>
      </c>
      <c r="E25" s="377">
        <v>410964.69767441862</v>
      </c>
      <c r="F25" s="137">
        <v>14258890.689085167</v>
      </c>
      <c r="G25" s="376">
        <v>2202992.5205155816</v>
      </c>
      <c r="H25" s="375">
        <v>2202992.5205155816</v>
      </c>
      <c r="I25" s="52">
        <f t="shared" si="0"/>
        <v>0</v>
      </c>
      <c r="J25" s="52"/>
      <c r="K25" s="113">
        <f t="shared" si="10"/>
        <v>2202992.5205155816</v>
      </c>
      <c r="L25" s="54">
        <f t="shared" si="7"/>
        <v>0</v>
      </c>
      <c r="M25" s="113">
        <f t="shared" si="11"/>
        <v>2202992.5205155816</v>
      </c>
      <c r="N25" s="54">
        <f t="shared" si="8"/>
        <v>0</v>
      </c>
      <c r="O25" s="54">
        <f t="shared" si="9"/>
        <v>0</v>
      </c>
      <c r="P25" s="1"/>
    </row>
    <row r="26" spans="2:16" ht="12.5">
      <c r="B26" s="7" t="str">
        <f t="shared" si="6"/>
        <v/>
      </c>
      <c r="C26" s="50">
        <f>IF(D11="","-",+C25+1)</f>
        <v>2018</v>
      </c>
      <c r="D26" s="137">
        <v>14258890.689085167</v>
      </c>
      <c r="E26" s="376">
        <v>431011.75609756098</v>
      </c>
      <c r="F26" s="137">
        <v>13827878.932987606</v>
      </c>
      <c r="G26" s="376">
        <v>2215843.0945590343</v>
      </c>
      <c r="H26" s="375">
        <v>2215843.0945590343</v>
      </c>
      <c r="I26" s="52">
        <f t="shared" si="0"/>
        <v>0</v>
      </c>
      <c r="J26" s="52"/>
      <c r="K26" s="113">
        <f t="shared" si="10"/>
        <v>2215843.0945590343</v>
      </c>
      <c r="L26" s="54">
        <f t="shared" si="7"/>
        <v>0</v>
      </c>
      <c r="M26" s="113">
        <f t="shared" si="11"/>
        <v>2215843.0945590343</v>
      </c>
      <c r="N26" s="54">
        <f t="shared" si="8"/>
        <v>0</v>
      </c>
      <c r="O26" s="54">
        <f t="shared" si="9"/>
        <v>0</v>
      </c>
      <c r="P26" s="1"/>
    </row>
    <row r="27" spans="2:16" ht="12.5">
      <c r="B27" s="7" t="str">
        <f t="shared" si="6"/>
        <v/>
      </c>
      <c r="C27" s="50">
        <f>IF(D11="","-",+C26+1)</f>
        <v>2019</v>
      </c>
      <c r="D27" s="137">
        <v>13827878.932987606</v>
      </c>
      <c r="E27" s="376">
        <v>431011.75609756098</v>
      </c>
      <c r="F27" s="137">
        <v>13396867.176890045</v>
      </c>
      <c r="G27" s="376">
        <v>2161064.0437903283</v>
      </c>
      <c r="H27" s="375">
        <v>2161064.0437903283</v>
      </c>
      <c r="I27" s="52">
        <f t="shared" si="0"/>
        <v>0</v>
      </c>
      <c r="J27" s="52"/>
      <c r="K27" s="113">
        <f t="shared" si="10"/>
        <v>2161064.0437903283</v>
      </c>
      <c r="L27" s="54">
        <f t="shared" ref="L27" si="12">IF(K27&lt;&gt;0,+G27-K27,0)</f>
        <v>0</v>
      </c>
      <c r="M27" s="113">
        <f t="shared" si="11"/>
        <v>2161064.0437903283</v>
      </c>
      <c r="N27" s="54">
        <f t="shared" si="2"/>
        <v>0</v>
      </c>
      <c r="O27" s="54">
        <f t="shared" si="3"/>
        <v>0</v>
      </c>
      <c r="P27" s="1"/>
    </row>
    <row r="28" spans="2:16" ht="12.5">
      <c r="B28" s="7" t="str">
        <f t="shared" si="6"/>
        <v/>
      </c>
      <c r="C28" s="50">
        <f>IF(D11="","-",+C27+1)</f>
        <v>2020</v>
      </c>
      <c r="D28" s="137">
        <v>13396867.176890045</v>
      </c>
      <c r="E28" s="376">
        <v>431011.75609756098</v>
      </c>
      <c r="F28" s="137">
        <v>12965855.420792485</v>
      </c>
      <c r="G28" s="376">
        <v>1779932.3659143087</v>
      </c>
      <c r="H28" s="375">
        <v>1779932.3659143087</v>
      </c>
      <c r="I28" s="52">
        <f t="shared" si="0"/>
        <v>0</v>
      </c>
      <c r="J28" s="52"/>
      <c r="K28" s="113">
        <f t="shared" si="10"/>
        <v>1779932.3659143087</v>
      </c>
      <c r="L28" s="54">
        <f t="shared" ref="L28" si="13">IF(K28&lt;&gt;0,+G28-K28,0)</f>
        <v>0</v>
      </c>
      <c r="M28" s="113">
        <f t="shared" si="11"/>
        <v>1779932.3659143087</v>
      </c>
      <c r="N28" s="54">
        <f t="shared" si="2"/>
        <v>0</v>
      </c>
      <c r="O28" s="54">
        <f t="shared" si="3"/>
        <v>0</v>
      </c>
      <c r="P28" s="1"/>
    </row>
    <row r="29" spans="2:16" ht="12.5">
      <c r="B29" s="7" t="str">
        <f t="shared" si="6"/>
        <v>IU</v>
      </c>
      <c r="C29" s="50">
        <f>IF(D11="","-",+C28+1)</f>
        <v>2021</v>
      </c>
      <c r="D29" s="137">
        <v>12985902.479215622</v>
      </c>
      <c r="E29" s="376">
        <v>420749.57142857142</v>
      </c>
      <c r="F29" s="137">
        <v>12565152.907787051</v>
      </c>
      <c r="G29" s="376">
        <v>1775013.5722575998</v>
      </c>
      <c r="H29" s="375">
        <v>1775013.5722575998</v>
      </c>
      <c r="I29" s="52">
        <f t="shared" si="0"/>
        <v>0</v>
      </c>
      <c r="J29" s="52"/>
      <c r="K29" s="113">
        <f t="shared" si="10"/>
        <v>1775013.5722575998</v>
      </c>
      <c r="L29" s="54">
        <f t="shared" ref="L29" si="14">IF(K29&lt;&gt;0,+G29-K29,0)</f>
        <v>0</v>
      </c>
      <c r="M29" s="113">
        <f t="shared" si="11"/>
        <v>1775013.5722575998</v>
      </c>
      <c r="N29" s="54">
        <f t="shared" si="2"/>
        <v>0</v>
      </c>
      <c r="O29" s="54">
        <f t="shared" si="3"/>
        <v>0</v>
      </c>
      <c r="P29" s="1"/>
    </row>
    <row r="30" spans="2:16" ht="12.5">
      <c r="B30" s="7" t="str">
        <f t="shared" si="6"/>
        <v>IU</v>
      </c>
      <c r="C30" s="50">
        <f>IF(D11="","-",+C29+1)</f>
        <v>2022</v>
      </c>
      <c r="D30" s="137">
        <v>12545105.849363908</v>
      </c>
      <c r="E30" s="376">
        <v>420749.57142857142</v>
      </c>
      <c r="F30" s="137">
        <v>12124356.277935337</v>
      </c>
      <c r="G30" s="376">
        <v>1807717.2661762077</v>
      </c>
      <c r="H30" s="375">
        <v>1807717.2661762077</v>
      </c>
      <c r="I30" s="52">
        <f t="shared" si="0"/>
        <v>0</v>
      </c>
      <c r="J30" s="52"/>
      <c r="K30" s="113">
        <f t="shared" ref="K30" si="15">G30</f>
        <v>1807717.2661762077</v>
      </c>
      <c r="L30" s="54">
        <f t="shared" ref="L30" si="16">IF(K30&lt;&gt;0,+G30-K30,0)</f>
        <v>0</v>
      </c>
      <c r="M30" s="113">
        <f t="shared" ref="M30" si="17">H30</f>
        <v>1807717.2661762077</v>
      </c>
      <c r="N30" s="54">
        <f t="shared" si="2"/>
        <v>0</v>
      </c>
      <c r="O30" s="54">
        <f t="shared" si="3"/>
        <v>0</v>
      </c>
      <c r="P30" s="1"/>
    </row>
    <row r="31" spans="2:16" ht="12.5">
      <c r="B31" s="7" t="str">
        <f t="shared" si="6"/>
        <v/>
      </c>
      <c r="C31" s="50">
        <f>IF(D11="","-",+C30+1)</f>
        <v>2023</v>
      </c>
      <c r="D31" s="137">
        <v>12124356.277935337</v>
      </c>
      <c r="E31" s="376">
        <v>420749.57142857142</v>
      </c>
      <c r="F31" s="137">
        <v>11703606.706506766</v>
      </c>
      <c r="G31" s="376">
        <v>1925804.5853895803</v>
      </c>
      <c r="H31" s="375">
        <v>1925804.5853895803</v>
      </c>
      <c r="I31" s="52">
        <f t="shared" si="0"/>
        <v>0</v>
      </c>
      <c r="J31" s="52"/>
      <c r="K31" s="113">
        <f t="shared" ref="K31" si="18">G31</f>
        <v>1925804.5853895803</v>
      </c>
      <c r="L31" s="54">
        <f t="shared" ref="L31" si="19">IF(K31&lt;&gt;0,+G31-K31,0)</f>
        <v>0</v>
      </c>
      <c r="M31" s="113">
        <f t="shared" ref="M31" si="20">H31</f>
        <v>1925804.5853895803</v>
      </c>
      <c r="N31" s="54">
        <f t="shared" si="2"/>
        <v>0</v>
      </c>
      <c r="O31" s="54">
        <f t="shared" si="3"/>
        <v>0</v>
      </c>
      <c r="P31" s="1"/>
    </row>
    <row r="32" spans="2:16" ht="12.5">
      <c r="B32" s="7" t="str">
        <f t="shared" si="6"/>
        <v/>
      </c>
      <c r="C32" s="50">
        <f>IF(D11="","-",+C31+1)</f>
        <v>2024</v>
      </c>
      <c r="D32" s="137">
        <v>11703606.706506766</v>
      </c>
      <c r="E32" s="376">
        <v>401624.59090909088</v>
      </c>
      <c r="F32" s="137">
        <v>11301982.115597675</v>
      </c>
      <c r="G32" s="376">
        <v>1776520.6128682327</v>
      </c>
      <c r="H32" s="375">
        <v>1776520.6128682327</v>
      </c>
      <c r="I32" s="52">
        <f t="shared" si="0"/>
        <v>0</v>
      </c>
      <c r="J32" s="52"/>
      <c r="K32" s="113">
        <f t="shared" ref="K32" si="21">G32</f>
        <v>1776520.6128682327</v>
      </c>
      <c r="L32" s="54">
        <f t="shared" ref="L32" si="22">IF(K32&lt;&gt;0,+G32-K32,0)</f>
        <v>0</v>
      </c>
      <c r="M32" s="113">
        <f t="shared" ref="M32" si="23">H32</f>
        <v>1776520.6128682327</v>
      </c>
      <c r="N32" s="54">
        <f t="shared" ref="N32" si="24">IF(M32&lt;&gt;0,+H32-M32,0)</f>
        <v>0</v>
      </c>
      <c r="O32" s="54">
        <f t="shared" ref="O32" si="25">+N32-L32</f>
        <v>0</v>
      </c>
      <c r="P32" s="1"/>
    </row>
    <row r="33" spans="2:16" ht="12.5">
      <c r="B33" s="7" t="str">
        <f t="shared" si="6"/>
        <v/>
      </c>
      <c r="C33" s="50">
        <f>IF(D11="","-",+C32+1)</f>
        <v>2025</v>
      </c>
      <c r="D33" s="55">
        <f>IF(F32+SUM(E$17:E32)=D$10,F32,D$10-SUM(E$17:E32))</f>
        <v>11301982.115597675</v>
      </c>
      <c r="E33" s="378">
        <f>IF(+I14&lt;F32,I14,D33)</f>
        <v>401624.59090909088</v>
      </c>
      <c r="F33" s="55">
        <f t="shared" ref="F33:F48" si="26">+D33-E33</f>
        <v>10900357.524688583</v>
      </c>
      <c r="G33" s="379">
        <f t="shared" ref="G33:G72" si="27">+I$12*((D33+F33)/2)+E33</f>
        <v>1728515.5775151437</v>
      </c>
      <c r="H33" s="364">
        <f t="shared" ref="H33:H72" si="28">+I$13*((D33+F33)/2)+E33</f>
        <v>1728515.5775151437</v>
      </c>
      <c r="I33" s="52">
        <f t="shared" si="0"/>
        <v>0</v>
      </c>
      <c r="J33" s="52"/>
      <c r="K33" s="129"/>
      <c r="L33" s="54">
        <f t="shared" si="1"/>
        <v>0</v>
      </c>
      <c r="M33" s="129"/>
      <c r="N33" s="54">
        <f t="shared" si="2"/>
        <v>0</v>
      </c>
      <c r="O33" s="54">
        <f t="shared" si="3"/>
        <v>0</v>
      </c>
      <c r="P33" s="1"/>
    </row>
    <row r="34" spans="2:16" ht="12.5">
      <c r="B34" s="7" t="str">
        <f t="shared" si="6"/>
        <v/>
      </c>
      <c r="C34" s="50">
        <f>IF(D11="","-",+C33+1)</f>
        <v>2026</v>
      </c>
      <c r="D34" s="55">
        <f>IF(F33+SUM(E$17:E33)=D$10,F33,D$10-SUM(E$17:E33))</f>
        <v>10900357.524688583</v>
      </c>
      <c r="E34" s="378">
        <f>IF(+I14&lt;F33,I14,D34)</f>
        <v>401624.59090909088</v>
      </c>
      <c r="F34" s="55">
        <f t="shared" si="26"/>
        <v>10498732.933779491</v>
      </c>
      <c r="G34" s="379">
        <f t="shared" si="27"/>
        <v>1680510.5421620542</v>
      </c>
      <c r="H34" s="364">
        <f t="shared" si="28"/>
        <v>1680510.5421620542</v>
      </c>
      <c r="I34" s="52">
        <f t="shared" si="0"/>
        <v>0</v>
      </c>
      <c r="J34" s="52"/>
      <c r="K34" s="129"/>
      <c r="L34" s="54">
        <f t="shared" si="1"/>
        <v>0</v>
      </c>
      <c r="M34" s="129"/>
      <c r="N34" s="54">
        <f t="shared" si="2"/>
        <v>0</v>
      </c>
      <c r="O34" s="54">
        <f t="shared" si="3"/>
        <v>0</v>
      </c>
      <c r="P34" s="1"/>
    </row>
    <row r="35" spans="2:16" ht="12.5">
      <c r="B35" s="7" t="str">
        <f t="shared" si="6"/>
        <v/>
      </c>
      <c r="C35" s="50">
        <f>IF(D11="","-",+C34+1)</f>
        <v>2027</v>
      </c>
      <c r="D35" s="55">
        <f>IF(F34+SUM(E$17:E34)=D$10,F34,D$10-SUM(E$17:E34))</f>
        <v>10498732.933779491</v>
      </c>
      <c r="E35" s="378">
        <f>IF(+I14&lt;F34,I14,D35)</f>
        <v>401624.59090909088</v>
      </c>
      <c r="F35" s="55">
        <f t="shared" si="26"/>
        <v>10097108.342870399</v>
      </c>
      <c r="G35" s="379">
        <f t="shared" si="27"/>
        <v>1632505.5068089655</v>
      </c>
      <c r="H35" s="364">
        <f t="shared" si="28"/>
        <v>1632505.5068089655</v>
      </c>
      <c r="I35" s="52">
        <f t="shared" si="0"/>
        <v>0</v>
      </c>
      <c r="J35" s="52"/>
      <c r="K35" s="129"/>
      <c r="L35" s="54">
        <f t="shared" si="1"/>
        <v>0</v>
      </c>
      <c r="M35" s="129"/>
      <c r="N35" s="54">
        <f t="shared" si="2"/>
        <v>0</v>
      </c>
      <c r="O35" s="54">
        <f t="shared" si="3"/>
        <v>0</v>
      </c>
      <c r="P35" s="1"/>
    </row>
    <row r="36" spans="2:16" ht="12.5">
      <c r="B36" s="7" t="str">
        <f t="shared" si="6"/>
        <v/>
      </c>
      <c r="C36" s="50">
        <f>IF(D11="","-",+C35+1)</f>
        <v>2028</v>
      </c>
      <c r="D36" s="55">
        <f>IF(F35+SUM(E$17:E35)=D$10,F35,D$10-SUM(E$17:E35))</f>
        <v>10097108.342870399</v>
      </c>
      <c r="E36" s="378">
        <f>IF(+I14&lt;F35,I14,D36)</f>
        <v>401624.59090909088</v>
      </c>
      <c r="F36" s="55">
        <f t="shared" si="26"/>
        <v>9695483.7519613076</v>
      </c>
      <c r="G36" s="379">
        <f t="shared" si="27"/>
        <v>1584500.471455876</v>
      </c>
      <c r="H36" s="364">
        <f t="shared" si="28"/>
        <v>1584500.471455876</v>
      </c>
      <c r="I36" s="52">
        <f t="shared" si="0"/>
        <v>0</v>
      </c>
      <c r="J36" s="52"/>
      <c r="K36" s="129"/>
      <c r="L36" s="54">
        <f t="shared" si="1"/>
        <v>0</v>
      </c>
      <c r="M36" s="129"/>
      <c r="N36" s="54">
        <f t="shared" si="2"/>
        <v>0</v>
      </c>
      <c r="O36" s="54">
        <f t="shared" si="3"/>
        <v>0</v>
      </c>
      <c r="P36" s="1"/>
    </row>
    <row r="37" spans="2:16" ht="12.5">
      <c r="B37" s="7" t="str">
        <f t="shared" si="6"/>
        <v/>
      </c>
      <c r="C37" s="50">
        <f>IF(D11="","-",+C36+1)</f>
        <v>2029</v>
      </c>
      <c r="D37" s="55">
        <f>IF(F36+SUM(E$17:E36)=D$10,F36,D$10-SUM(E$17:E36))</f>
        <v>9695483.7519613076</v>
      </c>
      <c r="E37" s="378">
        <f>IF(+I14&lt;F36,I14,D37)</f>
        <v>401624.59090909088</v>
      </c>
      <c r="F37" s="55">
        <f t="shared" si="26"/>
        <v>9293859.1610522158</v>
      </c>
      <c r="G37" s="379">
        <f t="shared" si="27"/>
        <v>1536495.436102787</v>
      </c>
      <c r="H37" s="364">
        <f t="shared" si="28"/>
        <v>1536495.436102787</v>
      </c>
      <c r="I37" s="52">
        <f t="shared" si="0"/>
        <v>0</v>
      </c>
      <c r="J37" s="52"/>
      <c r="K37" s="129"/>
      <c r="L37" s="54">
        <f t="shared" si="1"/>
        <v>0</v>
      </c>
      <c r="M37" s="129"/>
      <c r="N37" s="54">
        <f t="shared" si="2"/>
        <v>0</v>
      </c>
      <c r="O37" s="54">
        <f t="shared" si="3"/>
        <v>0</v>
      </c>
      <c r="P37" s="1"/>
    </row>
    <row r="38" spans="2:16" ht="12.5">
      <c r="B38" s="7" t="str">
        <f t="shared" si="6"/>
        <v/>
      </c>
      <c r="C38" s="50">
        <f>IF(D11="","-",+C37+1)</f>
        <v>2030</v>
      </c>
      <c r="D38" s="55">
        <f>IF(F37+SUM(E$17:E37)=D$10,F37,D$10-SUM(E$17:E37))</f>
        <v>9293859.1610522158</v>
      </c>
      <c r="E38" s="378">
        <f>IF(+I14&lt;F37,I14,D38)</f>
        <v>401624.59090909088</v>
      </c>
      <c r="F38" s="55">
        <f t="shared" si="26"/>
        <v>8892234.5701431241</v>
      </c>
      <c r="G38" s="379">
        <f t="shared" si="27"/>
        <v>1488490.4007496978</v>
      </c>
      <c r="H38" s="364">
        <f t="shared" si="28"/>
        <v>1488490.4007496978</v>
      </c>
      <c r="I38" s="52">
        <f t="shared" si="0"/>
        <v>0</v>
      </c>
      <c r="J38" s="52"/>
      <c r="K38" s="129"/>
      <c r="L38" s="54">
        <f t="shared" si="1"/>
        <v>0</v>
      </c>
      <c r="M38" s="129"/>
      <c r="N38" s="54">
        <f t="shared" si="2"/>
        <v>0</v>
      </c>
      <c r="O38" s="54">
        <f t="shared" si="3"/>
        <v>0</v>
      </c>
      <c r="P38" s="1"/>
    </row>
    <row r="39" spans="2:16" ht="12.5">
      <c r="B39" s="7" t="str">
        <f t="shared" si="6"/>
        <v/>
      </c>
      <c r="C39" s="50">
        <f>IF(D11="","-",+C38+1)</f>
        <v>2031</v>
      </c>
      <c r="D39" s="55">
        <f>IF(F38+SUM(E$17:E38)=D$10,F38,D$10-SUM(E$17:E38))</f>
        <v>8892234.5701431241</v>
      </c>
      <c r="E39" s="378">
        <f>IF(+I14&lt;F38,I14,D39)</f>
        <v>401624.59090909088</v>
      </c>
      <c r="F39" s="55">
        <f t="shared" si="26"/>
        <v>8490609.9792340323</v>
      </c>
      <c r="G39" s="379">
        <f t="shared" si="27"/>
        <v>1440485.3653966088</v>
      </c>
      <c r="H39" s="364">
        <f t="shared" si="28"/>
        <v>1440485.3653966088</v>
      </c>
      <c r="I39" s="52">
        <f t="shared" si="0"/>
        <v>0</v>
      </c>
      <c r="J39" s="52"/>
      <c r="K39" s="129"/>
      <c r="L39" s="54">
        <f t="shared" si="1"/>
        <v>0</v>
      </c>
      <c r="M39" s="129"/>
      <c r="N39" s="54">
        <f t="shared" si="2"/>
        <v>0</v>
      </c>
      <c r="O39" s="54">
        <f t="shared" si="3"/>
        <v>0</v>
      </c>
      <c r="P39" s="1"/>
    </row>
    <row r="40" spans="2:16" ht="12.5">
      <c r="B40" s="7" t="str">
        <f t="shared" si="6"/>
        <v/>
      </c>
      <c r="C40" s="50">
        <f>IF(D11="","-",+C39+1)</f>
        <v>2032</v>
      </c>
      <c r="D40" s="55">
        <f>IF(F39+SUM(E$17:E39)=D$10,F39,D$10-SUM(E$17:E39))</f>
        <v>8490609.9792340323</v>
      </c>
      <c r="E40" s="378">
        <f>IF(+I14&lt;F39,I14,D40)</f>
        <v>401624.59090909088</v>
      </c>
      <c r="F40" s="55">
        <f t="shared" si="26"/>
        <v>8088985.3883249415</v>
      </c>
      <c r="G40" s="379">
        <f t="shared" si="27"/>
        <v>1392480.3300435198</v>
      </c>
      <c r="H40" s="364">
        <f t="shared" si="28"/>
        <v>1392480.3300435198</v>
      </c>
      <c r="I40" s="52">
        <f t="shared" si="0"/>
        <v>0</v>
      </c>
      <c r="J40" s="52"/>
      <c r="K40" s="129"/>
      <c r="L40" s="54">
        <f t="shared" si="1"/>
        <v>0</v>
      </c>
      <c r="M40" s="129"/>
      <c r="N40" s="54">
        <f t="shared" si="2"/>
        <v>0</v>
      </c>
      <c r="O40" s="54">
        <f t="shared" si="3"/>
        <v>0</v>
      </c>
      <c r="P40" s="1"/>
    </row>
    <row r="41" spans="2:16" ht="12.5">
      <c r="B41" s="7" t="str">
        <f t="shared" si="6"/>
        <v/>
      </c>
      <c r="C41" s="50">
        <f>IF(D11="","-",+C40+1)</f>
        <v>2033</v>
      </c>
      <c r="D41" s="55">
        <f>IF(F40+SUM(E$17:E40)=D$10,F40,D$10-SUM(E$17:E40))</f>
        <v>8088985.3883249415</v>
      </c>
      <c r="E41" s="378">
        <f>IF(+I14&lt;F40,I14,D41)</f>
        <v>401624.59090909088</v>
      </c>
      <c r="F41" s="55">
        <f t="shared" si="26"/>
        <v>7687360.7974158507</v>
      </c>
      <c r="G41" s="379">
        <f t="shared" si="27"/>
        <v>1344475.2946904306</v>
      </c>
      <c r="H41" s="364">
        <f t="shared" si="28"/>
        <v>1344475.2946904306</v>
      </c>
      <c r="I41" s="52">
        <f t="shared" si="0"/>
        <v>0</v>
      </c>
      <c r="J41" s="52"/>
      <c r="K41" s="129"/>
      <c r="L41" s="54">
        <f t="shared" si="1"/>
        <v>0</v>
      </c>
      <c r="M41" s="129"/>
      <c r="N41" s="54">
        <f t="shared" si="2"/>
        <v>0</v>
      </c>
      <c r="O41" s="54">
        <f t="shared" si="3"/>
        <v>0</v>
      </c>
      <c r="P41" s="1"/>
    </row>
    <row r="42" spans="2:16" ht="12.5">
      <c r="B42" s="7" t="str">
        <f t="shared" si="6"/>
        <v/>
      </c>
      <c r="C42" s="50">
        <f>IF(D11="","-",+C41+1)</f>
        <v>2034</v>
      </c>
      <c r="D42" s="55">
        <f>IF(F41+SUM(E$17:E41)=D$10,F41,D$10-SUM(E$17:E41))</f>
        <v>7687360.7974158507</v>
      </c>
      <c r="E42" s="378">
        <f>IF(+I14&lt;F41,I14,D42)</f>
        <v>401624.59090909088</v>
      </c>
      <c r="F42" s="55">
        <f t="shared" si="26"/>
        <v>7285736.2065067599</v>
      </c>
      <c r="G42" s="379">
        <f t="shared" si="27"/>
        <v>1296470.2593373416</v>
      </c>
      <c r="H42" s="364">
        <f t="shared" si="28"/>
        <v>1296470.2593373416</v>
      </c>
      <c r="I42" s="52">
        <f t="shared" si="0"/>
        <v>0</v>
      </c>
      <c r="J42" s="52"/>
      <c r="K42" s="129"/>
      <c r="L42" s="54">
        <f t="shared" si="1"/>
        <v>0</v>
      </c>
      <c r="M42" s="129"/>
      <c r="N42" s="54">
        <f t="shared" si="2"/>
        <v>0</v>
      </c>
      <c r="O42" s="54">
        <f t="shared" si="3"/>
        <v>0</v>
      </c>
      <c r="P42" s="1"/>
    </row>
    <row r="43" spans="2:16" ht="12.5">
      <c r="B43" s="7" t="str">
        <f t="shared" si="6"/>
        <v/>
      </c>
      <c r="C43" s="50">
        <f>IF(D11="","-",+C42+1)</f>
        <v>2035</v>
      </c>
      <c r="D43" s="55">
        <f>IF(F42+SUM(E$17:E42)=D$10,F42,D$10-SUM(E$17:E42))</f>
        <v>7285736.2065067599</v>
      </c>
      <c r="E43" s="378">
        <f>IF(+I14&lt;F42,I14,D43)</f>
        <v>401624.59090909088</v>
      </c>
      <c r="F43" s="55">
        <f t="shared" si="26"/>
        <v>6884111.615597669</v>
      </c>
      <c r="G43" s="379">
        <f t="shared" si="27"/>
        <v>1248465.2239842527</v>
      </c>
      <c r="H43" s="364">
        <f t="shared" si="28"/>
        <v>1248465.2239842527</v>
      </c>
      <c r="I43" s="52">
        <f t="shared" si="0"/>
        <v>0</v>
      </c>
      <c r="J43" s="52"/>
      <c r="K43" s="129"/>
      <c r="L43" s="54">
        <f t="shared" si="1"/>
        <v>0</v>
      </c>
      <c r="M43" s="129"/>
      <c r="N43" s="54">
        <f t="shared" si="2"/>
        <v>0</v>
      </c>
      <c r="O43" s="54">
        <f t="shared" si="3"/>
        <v>0</v>
      </c>
      <c r="P43" s="1"/>
    </row>
    <row r="44" spans="2:16" ht="12.5">
      <c r="B44" s="7" t="str">
        <f t="shared" si="6"/>
        <v/>
      </c>
      <c r="C44" s="50">
        <f>IF(D11="","-",+C43+1)</f>
        <v>2036</v>
      </c>
      <c r="D44" s="55">
        <f>IF(F43+SUM(E$17:E43)=D$10,F43,D$10-SUM(E$17:E43))</f>
        <v>6884111.615597669</v>
      </c>
      <c r="E44" s="378">
        <f>IF(+I14&lt;F43,I14,D44)</f>
        <v>401624.59090909088</v>
      </c>
      <c r="F44" s="55">
        <f t="shared" si="26"/>
        <v>6482487.0246885782</v>
      </c>
      <c r="G44" s="379">
        <f t="shared" si="27"/>
        <v>1200460.1886311637</v>
      </c>
      <c r="H44" s="364">
        <f t="shared" si="28"/>
        <v>1200460.1886311637</v>
      </c>
      <c r="I44" s="52">
        <f t="shared" si="0"/>
        <v>0</v>
      </c>
      <c r="J44" s="52"/>
      <c r="K44" s="129"/>
      <c r="L44" s="54">
        <f t="shared" si="1"/>
        <v>0</v>
      </c>
      <c r="M44" s="129"/>
      <c r="N44" s="54">
        <f t="shared" si="2"/>
        <v>0</v>
      </c>
      <c r="O44" s="54">
        <f t="shared" si="3"/>
        <v>0</v>
      </c>
      <c r="P44" s="1"/>
    </row>
    <row r="45" spans="2:16" ht="12.5">
      <c r="B45" s="7" t="str">
        <f t="shared" si="6"/>
        <v/>
      </c>
      <c r="C45" s="50">
        <f>IF(D11="","-",+C44+1)</f>
        <v>2037</v>
      </c>
      <c r="D45" s="55">
        <f>IF(F44+SUM(E$17:E44)=D$10,F44,D$10-SUM(E$17:E44))</f>
        <v>6482487.0246885782</v>
      </c>
      <c r="E45" s="378">
        <f>IF(+I14&lt;F44,I14,D45)</f>
        <v>401624.59090909088</v>
      </c>
      <c r="F45" s="55">
        <f t="shared" si="26"/>
        <v>6080862.4337794874</v>
      </c>
      <c r="G45" s="379">
        <f t="shared" si="27"/>
        <v>1152455.1532780745</v>
      </c>
      <c r="H45" s="364">
        <f t="shared" si="28"/>
        <v>1152455.1532780745</v>
      </c>
      <c r="I45" s="52">
        <f t="shared" si="0"/>
        <v>0</v>
      </c>
      <c r="J45" s="52"/>
      <c r="K45" s="129"/>
      <c r="L45" s="54">
        <f t="shared" si="1"/>
        <v>0</v>
      </c>
      <c r="M45" s="129"/>
      <c r="N45" s="54">
        <f t="shared" si="2"/>
        <v>0</v>
      </c>
      <c r="O45" s="54">
        <f t="shared" si="3"/>
        <v>0</v>
      </c>
      <c r="P45" s="1"/>
    </row>
    <row r="46" spans="2:16" ht="12.5">
      <c r="B46" s="7" t="str">
        <f t="shared" si="6"/>
        <v/>
      </c>
      <c r="C46" s="50">
        <f>IF(D11="","-",+C45+1)</f>
        <v>2038</v>
      </c>
      <c r="D46" s="55">
        <f>IF(F45+SUM(E$17:E45)=D$10,F45,D$10-SUM(E$17:E45))</f>
        <v>6080862.4337794874</v>
      </c>
      <c r="E46" s="378">
        <f>IF(+I14&lt;F45,I14,D46)</f>
        <v>401624.59090909088</v>
      </c>
      <c r="F46" s="55">
        <f t="shared" si="26"/>
        <v>5679237.8428703966</v>
      </c>
      <c r="G46" s="379">
        <f t="shared" si="27"/>
        <v>1104450.1179249857</v>
      </c>
      <c r="H46" s="364">
        <f t="shared" si="28"/>
        <v>1104450.1179249857</v>
      </c>
      <c r="I46" s="52">
        <f t="shared" si="0"/>
        <v>0</v>
      </c>
      <c r="J46" s="52"/>
      <c r="K46" s="129"/>
      <c r="L46" s="54">
        <f t="shared" si="1"/>
        <v>0</v>
      </c>
      <c r="M46" s="129"/>
      <c r="N46" s="54">
        <f t="shared" si="2"/>
        <v>0</v>
      </c>
      <c r="O46" s="54">
        <f t="shared" si="3"/>
        <v>0</v>
      </c>
      <c r="P46" s="1"/>
    </row>
    <row r="47" spans="2:16" ht="12.5">
      <c r="B47" s="7" t="str">
        <f t="shared" si="6"/>
        <v/>
      </c>
      <c r="C47" s="50">
        <f>IF(D11="","-",+C46+1)</f>
        <v>2039</v>
      </c>
      <c r="D47" s="55">
        <f>IF(F46+SUM(E$17:E46)=D$10,F46,D$10-SUM(E$17:E46))</f>
        <v>5679237.8428703966</v>
      </c>
      <c r="E47" s="378">
        <f>IF(+I14&lt;F46,I14,D47)</f>
        <v>401624.59090909088</v>
      </c>
      <c r="F47" s="55">
        <f t="shared" si="26"/>
        <v>5277613.2519613057</v>
      </c>
      <c r="G47" s="379">
        <f t="shared" si="27"/>
        <v>1056445.0825718965</v>
      </c>
      <c r="H47" s="364">
        <f t="shared" si="28"/>
        <v>1056445.0825718965</v>
      </c>
      <c r="I47" s="52">
        <f t="shared" si="0"/>
        <v>0</v>
      </c>
      <c r="J47" s="52"/>
      <c r="K47" s="129"/>
      <c r="L47" s="54">
        <f t="shared" si="1"/>
        <v>0</v>
      </c>
      <c r="M47" s="129"/>
      <c r="N47" s="54">
        <f t="shared" si="2"/>
        <v>0</v>
      </c>
      <c r="O47" s="54">
        <f t="shared" si="3"/>
        <v>0</v>
      </c>
      <c r="P47" s="1"/>
    </row>
    <row r="48" spans="2:16" ht="12.5">
      <c r="B48" s="7" t="str">
        <f t="shared" si="6"/>
        <v/>
      </c>
      <c r="C48" s="50">
        <f>IF(D11="","-",+C47+1)</f>
        <v>2040</v>
      </c>
      <c r="D48" s="55">
        <f>IF(F47+SUM(E$17:E47)=D$10,F47,D$10-SUM(E$17:E47))</f>
        <v>5277613.2519613057</v>
      </c>
      <c r="E48" s="378">
        <f>IF(+I14&lt;F47,I14,D48)</f>
        <v>401624.59090909088</v>
      </c>
      <c r="F48" s="55">
        <f t="shared" si="26"/>
        <v>4875988.6610522149</v>
      </c>
      <c r="G48" s="379">
        <f t="shared" si="27"/>
        <v>1008440.0472188075</v>
      </c>
      <c r="H48" s="364">
        <f t="shared" si="28"/>
        <v>1008440.0472188075</v>
      </c>
      <c r="I48" s="52">
        <f t="shared" si="0"/>
        <v>0</v>
      </c>
      <c r="J48" s="52"/>
      <c r="K48" s="129"/>
      <c r="L48" s="54">
        <f t="shared" si="1"/>
        <v>0</v>
      </c>
      <c r="M48" s="129"/>
      <c r="N48" s="54">
        <f t="shared" si="2"/>
        <v>0</v>
      </c>
      <c r="O48" s="54">
        <f t="shared" si="3"/>
        <v>0</v>
      </c>
      <c r="P48" s="1"/>
    </row>
    <row r="49" spans="2:17" ht="12.5">
      <c r="B49" s="7" t="str">
        <f t="shared" si="6"/>
        <v/>
      </c>
      <c r="C49" s="50">
        <f>IF(D11="","-",+C48+1)</f>
        <v>2041</v>
      </c>
      <c r="D49" s="55">
        <f>IF(F48+SUM(E$17:E48)=D$10,F48,D$10-SUM(E$17:E48))</f>
        <v>4875988.6610522149</v>
      </c>
      <c r="E49" s="378">
        <f>IF(+I14&lt;F48,I14,D49)</f>
        <v>401624.59090909088</v>
      </c>
      <c r="F49" s="55">
        <f t="shared" ref="F49:F72" si="29">+D49-E49</f>
        <v>4474364.0701431241</v>
      </c>
      <c r="G49" s="379">
        <f t="shared" si="27"/>
        <v>960435.01186571852</v>
      </c>
      <c r="H49" s="364">
        <f t="shared" si="28"/>
        <v>960435.01186571852</v>
      </c>
      <c r="I49" s="52">
        <f t="shared" ref="I49:I72" si="30">H49-G49</f>
        <v>0</v>
      </c>
      <c r="J49" s="52"/>
      <c r="K49" s="129"/>
      <c r="L49" s="54">
        <f t="shared" ref="L49:L72" si="31">IF(K49&lt;&gt;0,+G49-K49,0)</f>
        <v>0</v>
      </c>
      <c r="M49" s="129"/>
      <c r="N49" s="54">
        <f t="shared" ref="N49:N72" si="32">IF(M49&lt;&gt;0,+H49-M49,0)</f>
        <v>0</v>
      </c>
      <c r="O49" s="54">
        <f t="shared" ref="O49:O72" si="33">+N49-L49</f>
        <v>0</v>
      </c>
      <c r="P49" s="1"/>
    </row>
    <row r="50" spans="2:17" ht="12.5">
      <c r="B50" s="7" t="str">
        <f t="shared" si="6"/>
        <v/>
      </c>
      <c r="C50" s="50">
        <f>IF(D11="","-",+C49+1)</f>
        <v>2042</v>
      </c>
      <c r="D50" s="55">
        <f>IF(F49+SUM(E$17:E49)=D$10,F49,D$10-SUM(E$17:E49))</f>
        <v>4474364.0701431241</v>
      </c>
      <c r="E50" s="378">
        <f>IF(+I14&lt;F49,I14,D50)</f>
        <v>401624.59090909088</v>
      </c>
      <c r="F50" s="55">
        <f t="shared" si="29"/>
        <v>4072739.4792340333</v>
      </c>
      <c r="G50" s="379">
        <f t="shared" si="27"/>
        <v>912429.97651262954</v>
      </c>
      <c r="H50" s="364">
        <f t="shared" si="28"/>
        <v>912429.97651262954</v>
      </c>
      <c r="I50" s="52">
        <f t="shared" si="30"/>
        <v>0</v>
      </c>
      <c r="J50" s="52"/>
      <c r="K50" s="129"/>
      <c r="L50" s="54">
        <f t="shared" si="31"/>
        <v>0</v>
      </c>
      <c r="M50" s="129"/>
      <c r="N50" s="54">
        <f t="shared" si="32"/>
        <v>0</v>
      </c>
      <c r="O50" s="54">
        <f t="shared" si="33"/>
        <v>0</v>
      </c>
      <c r="P50" s="1"/>
    </row>
    <row r="51" spans="2:17" ht="12.5">
      <c r="B51" s="7" t="str">
        <f t="shared" si="6"/>
        <v/>
      </c>
      <c r="C51" s="50">
        <f>IF(D11="","-",+C50+1)</f>
        <v>2043</v>
      </c>
      <c r="D51" s="55">
        <f>IF(F50+SUM(E$17:E50)=D$10,F50,D$10-SUM(E$17:E50))</f>
        <v>4072739.4792340333</v>
      </c>
      <c r="E51" s="378">
        <f>IF(+I14&lt;F50,I14,D51)</f>
        <v>401624.59090909088</v>
      </c>
      <c r="F51" s="55">
        <f t="shared" si="29"/>
        <v>3671114.8883249424</v>
      </c>
      <c r="G51" s="379">
        <f t="shared" si="27"/>
        <v>864424.94115954044</v>
      </c>
      <c r="H51" s="364">
        <f t="shared" si="28"/>
        <v>864424.94115954044</v>
      </c>
      <c r="I51" s="52">
        <f t="shared" si="30"/>
        <v>0</v>
      </c>
      <c r="J51" s="52"/>
      <c r="K51" s="129"/>
      <c r="L51" s="54">
        <f t="shared" si="31"/>
        <v>0</v>
      </c>
      <c r="M51" s="129"/>
      <c r="N51" s="54">
        <f t="shared" si="32"/>
        <v>0</v>
      </c>
      <c r="O51" s="54">
        <f t="shared" si="33"/>
        <v>0</v>
      </c>
      <c r="P51" s="1"/>
    </row>
    <row r="52" spans="2:17" ht="12.5">
      <c r="B52" s="7" t="str">
        <f t="shared" si="6"/>
        <v/>
      </c>
      <c r="C52" s="50">
        <f>IF(D11="","-",+C51+1)</f>
        <v>2044</v>
      </c>
      <c r="D52" s="55">
        <f>IF(F51+SUM(E$17:E51)=D$10,F51,D$10-SUM(E$17:E51))</f>
        <v>3671114.8883249424</v>
      </c>
      <c r="E52" s="378">
        <f>IF(+I14&lt;F51,I14,D52)</f>
        <v>401624.59090909088</v>
      </c>
      <c r="F52" s="55">
        <f t="shared" si="29"/>
        <v>3269490.2974158516</v>
      </c>
      <c r="G52" s="379">
        <f t="shared" si="27"/>
        <v>816419.90580645134</v>
      </c>
      <c r="H52" s="364">
        <f t="shared" si="28"/>
        <v>816419.90580645134</v>
      </c>
      <c r="I52" s="52">
        <f t="shared" si="30"/>
        <v>0</v>
      </c>
      <c r="J52" s="52"/>
      <c r="K52" s="129"/>
      <c r="L52" s="54">
        <f t="shared" si="31"/>
        <v>0</v>
      </c>
      <c r="M52" s="129"/>
      <c r="N52" s="54">
        <f t="shared" si="32"/>
        <v>0</v>
      </c>
      <c r="O52" s="54">
        <f t="shared" si="33"/>
        <v>0</v>
      </c>
      <c r="P52" s="1"/>
    </row>
    <row r="53" spans="2:17" ht="12.5">
      <c r="B53" s="7" t="str">
        <f t="shared" si="6"/>
        <v/>
      </c>
      <c r="C53" s="50">
        <f>IF(D11="","-",+C52+1)</f>
        <v>2045</v>
      </c>
      <c r="D53" s="55">
        <f>IF(F52+SUM(E$17:E52)=D$10,F52,D$10-SUM(E$17:E52))</f>
        <v>3269490.2974158516</v>
      </c>
      <c r="E53" s="378">
        <f>IF(+I14&lt;F52,I14,D53)</f>
        <v>401624.59090909088</v>
      </c>
      <c r="F53" s="55">
        <f t="shared" si="29"/>
        <v>2867865.7065067608</v>
      </c>
      <c r="G53" s="379">
        <f t="shared" si="27"/>
        <v>768414.87045336235</v>
      </c>
      <c r="H53" s="364">
        <f t="shared" si="28"/>
        <v>768414.87045336235</v>
      </c>
      <c r="I53" s="52">
        <f t="shared" si="30"/>
        <v>0</v>
      </c>
      <c r="J53" s="52"/>
      <c r="K53" s="129"/>
      <c r="L53" s="54">
        <f t="shared" si="31"/>
        <v>0</v>
      </c>
      <c r="M53" s="129"/>
      <c r="N53" s="54">
        <f t="shared" si="32"/>
        <v>0</v>
      </c>
      <c r="O53" s="54">
        <f t="shared" si="33"/>
        <v>0</v>
      </c>
      <c r="P53" s="1"/>
    </row>
    <row r="54" spans="2:17" ht="12.5">
      <c r="B54" s="7" t="str">
        <f t="shared" si="6"/>
        <v/>
      </c>
      <c r="C54" s="50">
        <f>IF(D11="","-",+C53+1)</f>
        <v>2046</v>
      </c>
      <c r="D54" s="55">
        <f>IF(F53+SUM(E$17:E53)=D$10,F53,D$10-SUM(E$17:E53))</f>
        <v>2867865.7065067608</v>
      </c>
      <c r="E54" s="378">
        <f>IF(+I14&lt;F53,I14,D54)</f>
        <v>401624.59090909088</v>
      </c>
      <c r="F54" s="55">
        <f t="shared" si="29"/>
        <v>2466241.11559767</v>
      </c>
      <c r="G54" s="379">
        <f t="shared" si="27"/>
        <v>720409.83510027337</v>
      </c>
      <c r="H54" s="364">
        <f t="shared" si="28"/>
        <v>720409.83510027337</v>
      </c>
      <c r="I54" s="52">
        <f t="shared" si="30"/>
        <v>0</v>
      </c>
      <c r="J54" s="52"/>
      <c r="K54" s="129"/>
      <c r="L54" s="54">
        <f t="shared" si="31"/>
        <v>0</v>
      </c>
      <c r="M54" s="129"/>
      <c r="N54" s="54">
        <f t="shared" si="32"/>
        <v>0</v>
      </c>
      <c r="O54" s="54">
        <f t="shared" si="33"/>
        <v>0</v>
      </c>
      <c r="P54" s="1"/>
    </row>
    <row r="55" spans="2:17" ht="12.5">
      <c r="B55" s="7" t="str">
        <f t="shared" si="6"/>
        <v/>
      </c>
      <c r="C55" s="50">
        <f>IF(D11="","-",+C54+1)</f>
        <v>2047</v>
      </c>
      <c r="D55" s="55">
        <f>IF(F54+SUM(E$17:E54)=D$10,F54,D$10-SUM(E$17:E54))</f>
        <v>2466241.11559767</v>
      </c>
      <c r="E55" s="378">
        <f>IF(+I14&lt;F54,I14,D55)</f>
        <v>401624.59090909088</v>
      </c>
      <c r="F55" s="55">
        <f t="shared" si="29"/>
        <v>2064616.5246885791</v>
      </c>
      <c r="G55" s="379">
        <f t="shared" si="27"/>
        <v>672404.79974718438</v>
      </c>
      <c r="H55" s="364">
        <f t="shared" si="28"/>
        <v>672404.79974718438</v>
      </c>
      <c r="I55" s="52">
        <f t="shared" si="30"/>
        <v>0</v>
      </c>
      <c r="J55" s="52"/>
      <c r="K55" s="129"/>
      <c r="L55" s="54">
        <f t="shared" si="31"/>
        <v>0</v>
      </c>
      <c r="M55" s="129"/>
      <c r="N55" s="54">
        <f t="shared" si="32"/>
        <v>0</v>
      </c>
      <c r="O55" s="54">
        <f t="shared" si="33"/>
        <v>0</v>
      </c>
      <c r="P55" s="1"/>
    </row>
    <row r="56" spans="2:17" ht="12.5">
      <c r="B56" s="7" t="str">
        <f t="shared" si="6"/>
        <v/>
      </c>
      <c r="C56" s="50">
        <f>IF(D11="","-",+C55+1)</f>
        <v>2048</v>
      </c>
      <c r="D56" s="55">
        <f>IF(F55+SUM(E$17:E55)=D$10,F55,D$10-SUM(E$17:E55))</f>
        <v>2064616.5246885791</v>
      </c>
      <c r="E56" s="378">
        <f>IF(+I14&lt;F55,I14,D56)</f>
        <v>401624.59090909088</v>
      </c>
      <c r="F56" s="55">
        <f t="shared" si="29"/>
        <v>1662991.9337794883</v>
      </c>
      <c r="G56" s="379">
        <f t="shared" si="27"/>
        <v>624399.76439409528</v>
      </c>
      <c r="H56" s="364">
        <f t="shared" si="28"/>
        <v>624399.76439409528</v>
      </c>
      <c r="I56" s="52">
        <f t="shared" si="30"/>
        <v>0</v>
      </c>
      <c r="J56" s="52"/>
      <c r="K56" s="129"/>
      <c r="L56" s="54">
        <f t="shared" si="31"/>
        <v>0</v>
      </c>
      <c r="M56" s="129"/>
      <c r="N56" s="54">
        <f t="shared" si="32"/>
        <v>0</v>
      </c>
      <c r="O56" s="54">
        <f t="shared" si="33"/>
        <v>0</v>
      </c>
      <c r="P56" s="1"/>
    </row>
    <row r="57" spans="2:17" ht="12.5">
      <c r="B57" s="7" t="str">
        <f t="shared" si="6"/>
        <v/>
      </c>
      <c r="C57" s="50">
        <f>IF(D11="","-",+C56+1)</f>
        <v>2049</v>
      </c>
      <c r="D57" s="55">
        <f>IF(F56+SUM(E$17:E56)=D$10,F56,D$10-SUM(E$17:E56))</f>
        <v>1662991.9337794883</v>
      </c>
      <c r="E57" s="378">
        <f>IF(+I14&lt;F56,I14,D57)</f>
        <v>401624.59090909088</v>
      </c>
      <c r="F57" s="55">
        <f t="shared" si="29"/>
        <v>1261367.3428703975</v>
      </c>
      <c r="G57" s="379">
        <f t="shared" si="27"/>
        <v>576394.7290410063</v>
      </c>
      <c r="H57" s="364">
        <f t="shared" si="28"/>
        <v>576394.7290410063</v>
      </c>
      <c r="I57" s="52">
        <f t="shared" si="30"/>
        <v>0</v>
      </c>
      <c r="J57" s="52"/>
      <c r="K57" s="129"/>
      <c r="L57" s="54">
        <f t="shared" si="31"/>
        <v>0</v>
      </c>
      <c r="M57" s="129"/>
      <c r="N57" s="54">
        <f t="shared" si="32"/>
        <v>0</v>
      </c>
      <c r="O57" s="54">
        <f t="shared" si="33"/>
        <v>0</v>
      </c>
      <c r="P57" s="1"/>
    </row>
    <row r="58" spans="2:17" ht="12.5">
      <c r="B58" s="7" t="str">
        <f t="shared" si="6"/>
        <v/>
      </c>
      <c r="C58" s="50">
        <f>IF(D11="","-",+C57+1)</f>
        <v>2050</v>
      </c>
      <c r="D58" s="55">
        <f>IF(F57+SUM(E$17:E57)=D$10,F57,D$10-SUM(E$17:E57))</f>
        <v>1261367.3428703975</v>
      </c>
      <c r="E58" s="378">
        <f>IF(+I14&lt;F57,I14,D58)</f>
        <v>401624.59090909088</v>
      </c>
      <c r="F58" s="55">
        <f t="shared" si="29"/>
        <v>859742.75196130667</v>
      </c>
      <c r="G58" s="379">
        <f t="shared" si="27"/>
        <v>528389.6936879172</v>
      </c>
      <c r="H58" s="364">
        <f t="shared" si="28"/>
        <v>528389.6936879172</v>
      </c>
      <c r="I58" s="52">
        <f t="shared" si="30"/>
        <v>0</v>
      </c>
      <c r="J58" s="52"/>
      <c r="K58" s="129"/>
      <c r="L58" s="54">
        <f t="shared" si="31"/>
        <v>0</v>
      </c>
      <c r="M58" s="129"/>
      <c r="N58" s="54">
        <f t="shared" si="32"/>
        <v>0</v>
      </c>
      <c r="O58" s="54">
        <f t="shared" si="33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6"/>
        <v/>
      </c>
      <c r="C59" s="50">
        <f>IF(D11="","-",+C58+1)</f>
        <v>2051</v>
      </c>
      <c r="D59" s="55">
        <f>IF(F58+SUM(E$17:E58)=D$10,F58,D$10-SUM(E$17:E58))</f>
        <v>859742.75196130667</v>
      </c>
      <c r="E59" s="378">
        <f>IF(+I14&lt;F58,I14,D59)</f>
        <v>401624.59090909088</v>
      </c>
      <c r="F59" s="55">
        <f t="shared" si="29"/>
        <v>458118.16105221579</v>
      </c>
      <c r="G59" s="379">
        <f t="shared" si="27"/>
        <v>480384.65833482821</v>
      </c>
      <c r="H59" s="364">
        <f t="shared" si="28"/>
        <v>480384.65833482821</v>
      </c>
      <c r="I59" s="52">
        <f t="shared" si="30"/>
        <v>0</v>
      </c>
      <c r="J59" s="52"/>
      <c r="K59" s="129"/>
      <c r="L59" s="54">
        <f t="shared" si="31"/>
        <v>0</v>
      </c>
      <c r="M59" s="129"/>
      <c r="N59" s="54">
        <f t="shared" si="32"/>
        <v>0</v>
      </c>
      <c r="O59" s="54">
        <f t="shared" si="33"/>
        <v>0</v>
      </c>
      <c r="P59" s="1"/>
    </row>
    <row r="60" spans="2:17" ht="12.5">
      <c r="B60" s="7" t="str">
        <f t="shared" si="6"/>
        <v/>
      </c>
      <c r="C60" s="50">
        <f>IF(D11="","-",+C59+1)</f>
        <v>2052</v>
      </c>
      <c r="D60" s="55">
        <f>IF(F59+SUM(E$17:E59)=D$10,F59,D$10-SUM(E$17:E59))</f>
        <v>458118.16105221579</v>
      </c>
      <c r="E60" s="378">
        <f>IF(+I14&lt;F59,I14,D60)</f>
        <v>401624.59090909088</v>
      </c>
      <c r="F60" s="55">
        <f t="shared" si="29"/>
        <v>56493.570143124904</v>
      </c>
      <c r="G60" s="379">
        <f t="shared" si="27"/>
        <v>432379.62298173917</v>
      </c>
      <c r="H60" s="364">
        <f t="shared" si="28"/>
        <v>432379.62298173917</v>
      </c>
      <c r="I60" s="52">
        <f t="shared" si="30"/>
        <v>0</v>
      </c>
      <c r="J60" s="52"/>
      <c r="K60" s="129"/>
      <c r="L60" s="54">
        <f t="shared" si="31"/>
        <v>0</v>
      </c>
      <c r="M60" s="129"/>
      <c r="N60" s="54">
        <f t="shared" si="32"/>
        <v>0</v>
      </c>
      <c r="O60" s="54">
        <f t="shared" si="33"/>
        <v>0</v>
      </c>
      <c r="P60" s="1"/>
    </row>
    <row r="61" spans="2:17" ht="12.5">
      <c r="B61" s="7" t="str">
        <f t="shared" si="6"/>
        <v/>
      </c>
      <c r="C61" s="50">
        <f>IF(D11="","-",+C60+1)</f>
        <v>2053</v>
      </c>
      <c r="D61" s="55">
        <f>IF(F60+SUM(E$17:E60)=D$10,F60,D$10-SUM(E$17:E60))</f>
        <v>56493.570143124904</v>
      </c>
      <c r="E61" s="378">
        <f>IF(+I14&lt;F60,I14,D61)</f>
        <v>56493.570143124904</v>
      </c>
      <c r="F61" s="55">
        <f t="shared" si="29"/>
        <v>0</v>
      </c>
      <c r="G61" s="380">
        <f t="shared" si="27"/>
        <v>59869.827341176795</v>
      </c>
      <c r="H61" s="364">
        <f t="shared" si="28"/>
        <v>59869.827341176795</v>
      </c>
      <c r="I61" s="52">
        <f t="shared" si="30"/>
        <v>0</v>
      </c>
      <c r="J61" s="52"/>
      <c r="K61" s="129"/>
      <c r="L61" s="54">
        <f t="shared" si="31"/>
        <v>0</v>
      </c>
      <c r="M61" s="129"/>
      <c r="N61" s="54">
        <f t="shared" si="32"/>
        <v>0</v>
      </c>
      <c r="O61" s="54">
        <f t="shared" si="33"/>
        <v>0</v>
      </c>
      <c r="P61" s="1"/>
    </row>
    <row r="62" spans="2:17" ht="12.5">
      <c r="B62" s="7" t="str">
        <f t="shared" si="6"/>
        <v/>
      </c>
      <c r="C62" s="50">
        <f>IF(D11="","-",+C61+1)</f>
        <v>2054</v>
      </c>
      <c r="D62" s="55">
        <f>IF(F61+SUM(E$17:E61)=D$10,F61,D$10-SUM(E$17:E61))</f>
        <v>0</v>
      </c>
      <c r="E62" s="378">
        <f>IF(+I14&lt;F61,I14,D62)</f>
        <v>0</v>
      </c>
      <c r="F62" s="55">
        <f t="shared" si="29"/>
        <v>0</v>
      </c>
      <c r="G62" s="380">
        <f t="shared" si="27"/>
        <v>0</v>
      </c>
      <c r="H62" s="364">
        <f t="shared" si="28"/>
        <v>0</v>
      </c>
      <c r="I62" s="52">
        <f t="shared" si="30"/>
        <v>0</v>
      </c>
      <c r="J62" s="52"/>
      <c r="K62" s="129"/>
      <c r="L62" s="54">
        <f t="shared" si="31"/>
        <v>0</v>
      </c>
      <c r="M62" s="129"/>
      <c r="N62" s="54">
        <f t="shared" si="32"/>
        <v>0</v>
      </c>
      <c r="O62" s="54">
        <f t="shared" si="33"/>
        <v>0</v>
      </c>
      <c r="P62" s="1"/>
    </row>
    <row r="63" spans="2:17" ht="12.5">
      <c r="B63" s="7" t="str">
        <f t="shared" si="6"/>
        <v/>
      </c>
      <c r="C63" s="50">
        <f>IF(D11="","-",+C62+1)</f>
        <v>2055</v>
      </c>
      <c r="D63" s="55">
        <f>IF(F62+SUM(E$17:E62)=D$10,F62,D$10-SUM(E$17:E62))</f>
        <v>0</v>
      </c>
      <c r="E63" s="378">
        <f>IF(+I14&lt;F62,I14,D63)</f>
        <v>0</v>
      </c>
      <c r="F63" s="55">
        <f t="shared" si="29"/>
        <v>0</v>
      </c>
      <c r="G63" s="380">
        <f t="shared" si="27"/>
        <v>0</v>
      </c>
      <c r="H63" s="364">
        <f t="shared" si="28"/>
        <v>0</v>
      </c>
      <c r="I63" s="52">
        <f t="shared" si="30"/>
        <v>0</v>
      </c>
      <c r="J63" s="52"/>
      <c r="K63" s="129"/>
      <c r="L63" s="54">
        <f t="shared" si="31"/>
        <v>0</v>
      </c>
      <c r="M63" s="129"/>
      <c r="N63" s="54">
        <f t="shared" si="32"/>
        <v>0</v>
      </c>
      <c r="O63" s="54">
        <f t="shared" si="33"/>
        <v>0</v>
      </c>
      <c r="P63" s="1"/>
    </row>
    <row r="64" spans="2:17" ht="12.5">
      <c r="B64" s="7" t="str">
        <f t="shared" si="6"/>
        <v/>
      </c>
      <c r="C64" s="50">
        <f>IF(D11="","-",+C63+1)</f>
        <v>2056</v>
      </c>
      <c r="D64" s="55">
        <f>IF(F63+SUM(E$17:E63)=D$10,F63,D$10-SUM(E$17:E63))</f>
        <v>0</v>
      </c>
      <c r="E64" s="378">
        <f>IF(+I14&lt;F63,I14,D64)</f>
        <v>0</v>
      </c>
      <c r="F64" s="55">
        <f t="shared" si="29"/>
        <v>0</v>
      </c>
      <c r="G64" s="380">
        <f t="shared" si="27"/>
        <v>0</v>
      </c>
      <c r="H64" s="364">
        <f t="shared" si="28"/>
        <v>0</v>
      </c>
      <c r="I64" s="52">
        <f t="shared" si="30"/>
        <v>0</v>
      </c>
      <c r="J64" s="52"/>
      <c r="K64" s="129"/>
      <c r="L64" s="54">
        <f t="shared" si="31"/>
        <v>0</v>
      </c>
      <c r="M64" s="129"/>
      <c r="N64" s="54">
        <f t="shared" si="32"/>
        <v>0</v>
      </c>
      <c r="O64" s="54">
        <f t="shared" si="33"/>
        <v>0</v>
      </c>
      <c r="P64" s="1"/>
    </row>
    <row r="65" spans="1:16" ht="12.5">
      <c r="B65" s="7" t="str">
        <f t="shared" si="6"/>
        <v/>
      </c>
      <c r="C65" s="50">
        <f>IF(D11="","-",+C64+1)</f>
        <v>2057</v>
      </c>
      <c r="D65" s="55">
        <f>IF(F64+SUM(E$17:E64)=D$10,F64,D$10-SUM(E$17:E64))</f>
        <v>0</v>
      </c>
      <c r="E65" s="378">
        <f>IF(+I14&lt;F64,I14,D65)</f>
        <v>0</v>
      </c>
      <c r="F65" s="55">
        <f t="shared" si="29"/>
        <v>0</v>
      </c>
      <c r="G65" s="380">
        <f t="shared" si="27"/>
        <v>0</v>
      </c>
      <c r="H65" s="364">
        <f t="shared" si="28"/>
        <v>0</v>
      </c>
      <c r="I65" s="52">
        <f t="shared" si="30"/>
        <v>0</v>
      </c>
      <c r="J65" s="52"/>
      <c r="K65" s="129"/>
      <c r="L65" s="54">
        <f t="shared" si="31"/>
        <v>0</v>
      </c>
      <c r="M65" s="129"/>
      <c r="N65" s="54">
        <f t="shared" si="32"/>
        <v>0</v>
      </c>
      <c r="O65" s="54">
        <f t="shared" si="33"/>
        <v>0</v>
      </c>
      <c r="P65" s="1"/>
    </row>
    <row r="66" spans="1:16" ht="12.5">
      <c r="B66" s="7" t="str">
        <f t="shared" si="6"/>
        <v/>
      </c>
      <c r="C66" s="50">
        <f>IF(D11="","-",+C65+1)</f>
        <v>2058</v>
      </c>
      <c r="D66" s="55">
        <f>IF(F65+SUM(E$17:E65)=D$10,F65,D$10-SUM(E$17:E65))</f>
        <v>0</v>
      </c>
      <c r="E66" s="378">
        <f>IF(+I14&lt;F65,I14,D66)</f>
        <v>0</v>
      </c>
      <c r="F66" s="55">
        <f t="shared" si="29"/>
        <v>0</v>
      </c>
      <c r="G66" s="380">
        <f t="shared" si="27"/>
        <v>0</v>
      </c>
      <c r="H66" s="364">
        <f t="shared" si="28"/>
        <v>0</v>
      </c>
      <c r="I66" s="52">
        <f t="shared" si="30"/>
        <v>0</v>
      </c>
      <c r="J66" s="52"/>
      <c r="K66" s="129"/>
      <c r="L66" s="54">
        <f t="shared" si="31"/>
        <v>0</v>
      </c>
      <c r="M66" s="129"/>
      <c r="N66" s="54">
        <f t="shared" si="32"/>
        <v>0</v>
      </c>
      <c r="O66" s="54">
        <f t="shared" si="33"/>
        <v>0</v>
      </c>
      <c r="P66" s="1"/>
    </row>
    <row r="67" spans="1:16" ht="12.5">
      <c r="B67" s="7" t="str">
        <f t="shared" si="6"/>
        <v/>
      </c>
      <c r="C67" s="50">
        <f>IF(D11="","-",+C66+1)</f>
        <v>2059</v>
      </c>
      <c r="D67" s="55">
        <f>IF(F66+SUM(E$17:E66)=D$10,F66,D$10-SUM(E$17:E66))</f>
        <v>0</v>
      </c>
      <c r="E67" s="378">
        <f>IF(+I14&lt;F66,I14,D67)</f>
        <v>0</v>
      </c>
      <c r="F67" s="55">
        <f t="shared" si="29"/>
        <v>0</v>
      </c>
      <c r="G67" s="380">
        <f t="shared" si="27"/>
        <v>0</v>
      </c>
      <c r="H67" s="364">
        <f t="shared" si="28"/>
        <v>0</v>
      </c>
      <c r="I67" s="52">
        <f t="shared" si="30"/>
        <v>0</v>
      </c>
      <c r="J67" s="52"/>
      <c r="K67" s="129"/>
      <c r="L67" s="54">
        <f t="shared" si="31"/>
        <v>0</v>
      </c>
      <c r="M67" s="129"/>
      <c r="N67" s="54">
        <f t="shared" si="32"/>
        <v>0</v>
      </c>
      <c r="O67" s="54">
        <f t="shared" si="33"/>
        <v>0</v>
      </c>
      <c r="P67" s="1"/>
    </row>
    <row r="68" spans="1:16" ht="12.5">
      <c r="B68" s="7" t="str">
        <f t="shared" si="6"/>
        <v/>
      </c>
      <c r="C68" s="50">
        <f>IF(D11="","-",+C67+1)</f>
        <v>2060</v>
      </c>
      <c r="D68" s="55">
        <f>IF(F67+SUM(E$17:E67)=D$10,F67,D$10-SUM(E$17:E67))</f>
        <v>0</v>
      </c>
      <c r="E68" s="378">
        <f>IF(+I14&lt;F67,I14,D68)</f>
        <v>0</v>
      </c>
      <c r="F68" s="55">
        <f t="shared" si="29"/>
        <v>0</v>
      </c>
      <c r="G68" s="380">
        <f t="shared" si="27"/>
        <v>0</v>
      </c>
      <c r="H68" s="364">
        <f t="shared" si="28"/>
        <v>0</v>
      </c>
      <c r="I68" s="52">
        <f t="shared" si="30"/>
        <v>0</v>
      </c>
      <c r="J68" s="52"/>
      <c r="K68" s="129"/>
      <c r="L68" s="54">
        <f t="shared" si="31"/>
        <v>0</v>
      </c>
      <c r="M68" s="129"/>
      <c r="N68" s="54">
        <f t="shared" si="32"/>
        <v>0</v>
      </c>
      <c r="O68" s="54">
        <f t="shared" si="33"/>
        <v>0</v>
      </c>
      <c r="P68" s="1"/>
    </row>
    <row r="69" spans="1:16" ht="12.5">
      <c r="B69" s="7" t="str">
        <f t="shared" si="6"/>
        <v/>
      </c>
      <c r="C69" s="50">
        <f>IF(D11="","-",+C68+1)</f>
        <v>2061</v>
      </c>
      <c r="D69" s="55">
        <f>IF(F68+SUM(E$17:E68)=D$10,F68,D$10-SUM(E$17:E68))</f>
        <v>0</v>
      </c>
      <c r="E69" s="378">
        <f>IF(+I14&lt;F68,I14,D69)</f>
        <v>0</v>
      </c>
      <c r="F69" s="55">
        <f t="shared" si="29"/>
        <v>0</v>
      </c>
      <c r="G69" s="380">
        <f t="shared" si="27"/>
        <v>0</v>
      </c>
      <c r="H69" s="364">
        <f t="shared" si="28"/>
        <v>0</v>
      </c>
      <c r="I69" s="52">
        <f t="shared" si="30"/>
        <v>0</v>
      </c>
      <c r="J69" s="52"/>
      <c r="K69" s="129"/>
      <c r="L69" s="54">
        <f t="shared" si="31"/>
        <v>0</v>
      </c>
      <c r="M69" s="129"/>
      <c r="N69" s="54">
        <f t="shared" si="32"/>
        <v>0</v>
      </c>
      <c r="O69" s="54">
        <f t="shared" si="33"/>
        <v>0</v>
      </c>
      <c r="P69" s="1"/>
    </row>
    <row r="70" spans="1:16" ht="12.5">
      <c r="B70" s="7" t="str">
        <f t="shared" si="6"/>
        <v/>
      </c>
      <c r="C70" s="50">
        <f>IF(D11="","-",+C69+1)</f>
        <v>2062</v>
      </c>
      <c r="D70" s="55">
        <f>IF(F69+SUM(E$17:E69)=D$10,F69,D$10-SUM(E$17:E69))</f>
        <v>0</v>
      </c>
      <c r="E70" s="378">
        <f>IF(+I14&lt;F69,I14,D70)</f>
        <v>0</v>
      </c>
      <c r="F70" s="55">
        <f t="shared" si="29"/>
        <v>0</v>
      </c>
      <c r="G70" s="380">
        <f t="shared" si="27"/>
        <v>0</v>
      </c>
      <c r="H70" s="364">
        <f t="shared" si="28"/>
        <v>0</v>
      </c>
      <c r="I70" s="52">
        <f t="shared" si="30"/>
        <v>0</v>
      </c>
      <c r="J70" s="52"/>
      <c r="K70" s="129"/>
      <c r="L70" s="54">
        <f t="shared" si="31"/>
        <v>0</v>
      </c>
      <c r="M70" s="129"/>
      <c r="N70" s="54">
        <f t="shared" si="32"/>
        <v>0</v>
      </c>
      <c r="O70" s="54">
        <f t="shared" si="33"/>
        <v>0</v>
      </c>
      <c r="P70" s="1"/>
    </row>
    <row r="71" spans="1:16" ht="12.5">
      <c r="B71" s="7" t="str">
        <f t="shared" si="6"/>
        <v/>
      </c>
      <c r="C71" s="50">
        <f>IF(D11="","-",+C70+1)</f>
        <v>2063</v>
      </c>
      <c r="D71" s="55">
        <f>IF(F70+SUM(E$17:E70)=D$10,F70,D$10-SUM(E$17:E70))</f>
        <v>0</v>
      </c>
      <c r="E71" s="378">
        <f>IF(+I14&lt;F70,I14,D71)</f>
        <v>0</v>
      </c>
      <c r="F71" s="55">
        <f t="shared" si="29"/>
        <v>0</v>
      </c>
      <c r="G71" s="380">
        <f t="shared" si="27"/>
        <v>0</v>
      </c>
      <c r="H71" s="364">
        <f t="shared" si="28"/>
        <v>0</v>
      </c>
      <c r="I71" s="52">
        <f t="shared" si="30"/>
        <v>0</v>
      </c>
      <c r="J71" s="52"/>
      <c r="K71" s="129"/>
      <c r="L71" s="54">
        <f t="shared" si="31"/>
        <v>0</v>
      </c>
      <c r="M71" s="129"/>
      <c r="N71" s="54">
        <f t="shared" si="32"/>
        <v>0</v>
      </c>
      <c r="O71" s="54">
        <f t="shared" si="33"/>
        <v>0</v>
      </c>
      <c r="P71" s="1"/>
    </row>
    <row r="72" spans="1:16" ht="13" thickBot="1">
      <c r="B72" s="7" t="str">
        <f t="shared" si="6"/>
        <v/>
      </c>
      <c r="C72" s="59">
        <f>IF(D11="","-",+C71+1)</f>
        <v>2064</v>
      </c>
      <c r="D72" s="60">
        <f>IF(F71+SUM(E$17:E71)=D$10,F71,D$10-SUM(E$17:E71))</f>
        <v>0</v>
      </c>
      <c r="E72" s="381">
        <f>IF(+I14&lt;F71,I14,D72)</f>
        <v>0</v>
      </c>
      <c r="F72" s="60">
        <f t="shared" si="29"/>
        <v>0</v>
      </c>
      <c r="G72" s="382">
        <f t="shared" si="27"/>
        <v>0</v>
      </c>
      <c r="H72" s="362">
        <f t="shared" si="28"/>
        <v>0</v>
      </c>
      <c r="I72" s="63">
        <f t="shared" si="30"/>
        <v>0</v>
      </c>
      <c r="J72" s="52"/>
      <c r="K72" s="130"/>
      <c r="L72" s="64">
        <f t="shared" si="31"/>
        <v>0</v>
      </c>
      <c r="M72" s="130"/>
      <c r="N72" s="64">
        <f t="shared" si="32"/>
        <v>0</v>
      </c>
      <c r="O72" s="64">
        <f t="shared" si="33"/>
        <v>0</v>
      </c>
      <c r="P72" s="1"/>
    </row>
    <row r="73" spans="1:16" ht="12.5">
      <c r="C73" s="12" t="s">
        <v>78</v>
      </c>
      <c r="D73" s="293"/>
      <c r="E73" s="293">
        <f>SUM(E17:E72)</f>
        <v>17671482.000000011</v>
      </c>
      <c r="F73" s="293"/>
      <c r="G73" s="293">
        <f>SUM(G17:G72)</f>
        <v>64828600.761006735</v>
      </c>
      <c r="H73" s="293">
        <f>SUM(H17:H72)</f>
        <v>64828600.761006735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7.5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1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1776520.6128682327</v>
      </c>
      <c r="N87" s="387">
        <f>IF(J92&lt;D11,0,VLOOKUP(J92,C17:O72,11))</f>
        <v>1776520.6128682327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1845924.1750805455</v>
      </c>
      <c r="N88" s="390">
        <f>IF(J92&lt;D11,0,VLOOKUP(J92,C99:P154,7))</f>
        <v>1845924.1750805455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Arsenal Hill Auto xfmr &amp; AH to Water Works line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69403.562212312827</v>
      </c>
      <c r="N89" s="392">
        <f>+N88-N87</f>
        <v>69403.562212312827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TP2007057</v>
      </c>
      <c r="E91" s="76" t="str">
        <f>E9</f>
        <v xml:space="preserve">SPP Project ID = </v>
      </c>
      <c r="F91" s="76" t="str">
        <f>F9</f>
        <v>108, 507, 30145, 30146</v>
      </c>
      <c r="G91" s="76"/>
      <c r="H91" s="76"/>
      <c r="I91" s="76"/>
      <c r="J91" s="95"/>
      <c r="Q91" s="1"/>
    </row>
    <row r="92" spans="1:17" ht="13">
      <c r="C92" s="34" t="s">
        <v>51</v>
      </c>
      <c r="D92" s="363">
        <f>D10</f>
        <v>17671482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  <c r="Q92" s="1"/>
    </row>
    <row r="93" spans="1:17" ht="12.5">
      <c r="C93" s="34" t="s">
        <v>54</v>
      </c>
      <c r="D93" s="88">
        <f>IF(D11=I10,"",D11)</f>
        <v>2009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4">
        <f>IF(D11=I10,"",D12)</f>
        <v>12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401624.59090909088</v>
      </c>
      <c r="K96" s="293"/>
      <c r="L96" s="293"/>
      <c r="M96" s="293"/>
      <c r="N96" s="293"/>
      <c r="O96" s="293"/>
      <c r="P96" s="1"/>
      <c r="Q96" s="1"/>
    </row>
    <row r="97" spans="1:17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 ht="12.5">
      <c r="C99" s="50">
        <f>IF(D93= "","-",D93)</f>
        <v>2009</v>
      </c>
      <c r="D99" s="133">
        <v>0</v>
      </c>
      <c r="E99" s="376">
        <v>0</v>
      </c>
      <c r="F99" s="137">
        <v>12134740</v>
      </c>
      <c r="G99" s="140">
        <v>6067370</v>
      </c>
      <c r="H99" s="397">
        <v>878177</v>
      </c>
      <c r="I99" s="398">
        <v>878177</v>
      </c>
      <c r="J99" s="54">
        <f t="shared" ref="J99:J130" si="34">+I99-H99</f>
        <v>0</v>
      </c>
      <c r="K99" s="54"/>
      <c r="L99" s="112">
        <f t="shared" ref="L99:L104" si="35">H99</f>
        <v>878177</v>
      </c>
      <c r="M99" s="53">
        <f t="shared" ref="M99:M130" si="36">IF(L99&lt;&gt;0,+H99-L99,0)</f>
        <v>0</v>
      </c>
      <c r="N99" s="112">
        <f t="shared" ref="N99:N104" si="37">I99</f>
        <v>878177</v>
      </c>
      <c r="O99" s="53">
        <f t="shared" ref="O99:O130" si="38">IF(N99&lt;&gt;0,+I99-N99,0)</f>
        <v>0</v>
      </c>
      <c r="P99" s="53">
        <f t="shared" ref="P99:P130" si="39">+O99-M99</f>
        <v>0</v>
      </c>
      <c r="Q99" s="1"/>
    </row>
    <row r="100" spans="1:17" ht="12.5">
      <c r="B100" s="7" t="str">
        <f>IF(D100=F99,"","IU")</f>
        <v>IU</v>
      </c>
      <c r="C100" s="50">
        <f>IF(D93="","-",+C99+1)</f>
        <v>2010</v>
      </c>
      <c r="D100" s="133">
        <v>17671482</v>
      </c>
      <c r="E100" s="376">
        <v>431011.75609756098</v>
      </c>
      <c r="F100" s="137">
        <v>17240470.243902437</v>
      </c>
      <c r="G100" s="137">
        <v>17455976.121951219</v>
      </c>
      <c r="H100" s="376">
        <v>3312750.4635227108</v>
      </c>
      <c r="I100" s="375">
        <v>3312750.4635227108</v>
      </c>
      <c r="J100" s="54">
        <f t="shared" si="34"/>
        <v>0</v>
      </c>
      <c r="K100" s="54"/>
      <c r="L100" s="113">
        <f t="shared" si="35"/>
        <v>3312750.4635227108</v>
      </c>
      <c r="M100" s="54">
        <f t="shared" si="36"/>
        <v>0</v>
      </c>
      <c r="N100" s="113">
        <f t="shared" si="37"/>
        <v>3312750.4635227108</v>
      </c>
      <c r="O100" s="54">
        <f t="shared" si="38"/>
        <v>0</v>
      </c>
      <c r="P100" s="54">
        <f t="shared" si="39"/>
        <v>0</v>
      </c>
      <c r="Q100" s="1"/>
    </row>
    <row r="101" spans="1:17" ht="12.5">
      <c r="B101" s="7" t="str">
        <f t="shared" ref="B101:B154" si="40">IF(D101=F100,"","IU")</f>
        <v/>
      </c>
      <c r="C101" s="50">
        <f>IF(D93="","-",+C100+1)</f>
        <v>2011</v>
      </c>
      <c r="D101" s="133">
        <v>17240470.243902437</v>
      </c>
      <c r="E101" s="377">
        <v>420749.57142857142</v>
      </c>
      <c r="F101" s="137">
        <v>16819720.672473866</v>
      </c>
      <c r="G101" s="137">
        <v>17030095.458188154</v>
      </c>
      <c r="H101" s="376">
        <v>2981733.6450111624</v>
      </c>
      <c r="I101" s="375">
        <v>2981733.6450111624</v>
      </c>
      <c r="J101" s="54">
        <f t="shared" si="34"/>
        <v>0</v>
      </c>
      <c r="K101" s="54"/>
      <c r="L101" s="113">
        <f t="shared" si="35"/>
        <v>2981733.6450111624</v>
      </c>
      <c r="M101" s="54">
        <f t="shared" si="36"/>
        <v>0</v>
      </c>
      <c r="N101" s="113">
        <f t="shared" si="37"/>
        <v>2981733.6450111624</v>
      </c>
      <c r="O101" s="54">
        <f t="shared" si="38"/>
        <v>0</v>
      </c>
      <c r="P101" s="54">
        <f t="shared" si="39"/>
        <v>0</v>
      </c>
      <c r="Q101" s="1"/>
    </row>
    <row r="102" spans="1:17" ht="12.5">
      <c r="B102" s="7" t="str">
        <f t="shared" si="40"/>
        <v/>
      </c>
      <c r="C102" s="50">
        <f>IF(D93="","-",+C101+1)</f>
        <v>2012</v>
      </c>
      <c r="D102" s="133">
        <v>16819720.672473866</v>
      </c>
      <c r="E102" s="377">
        <v>420749.57142857142</v>
      </c>
      <c r="F102" s="137">
        <v>16398971.101045296</v>
      </c>
      <c r="G102" s="137">
        <v>16609345.886759581</v>
      </c>
      <c r="H102" s="376">
        <v>2864880.1232274803</v>
      </c>
      <c r="I102" s="375">
        <v>2864880.1232274803</v>
      </c>
      <c r="J102" s="54">
        <v>0</v>
      </c>
      <c r="K102" s="54"/>
      <c r="L102" s="113">
        <f t="shared" si="35"/>
        <v>2864880.1232274803</v>
      </c>
      <c r="M102" s="54">
        <f t="shared" ref="M102:M107" si="41">IF(L102&lt;&gt;0,+H102-L102,0)</f>
        <v>0</v>
      </c>
      <c r="N102" s="113">
        <f t="shared" si="37"/>
        <v>2864880.1232274803</v>
      </c>
      <c r="O102" s="54">
        <f t="shared" ref="O102:O107" si="42">IF(N102&lt;&gt;0,+I102-N102,0)</f>
        <v>0</v>
      </c>
      <c r="P102" s="54">
        <f t="shared" ref="P102:P107" si="43">+O102-M102</f>
        <v>0</v>
      </c>
      <c r="Q102" s="1"/>
    </row>
    <row r="103" spans="1:17" ht="12.5">
      <c r="B103" s="7" t="str">
        <f t="shared" si="40"/>
        <v/>
      </c>
      <c r="C103" s="50">
        <f>IF(D93="","-",+C102+1)</f>
        <v>2013</v>
      </c>
      <c r="D103" s="133">
        <v>16398971.101045296</v>
      </c>
      <c r="E103" s="377">
        <v>420749.57142857142</v>
      </c>
      <c r="F103" s="137">
        <v>15978221.529616725</v>
      </c>
      <c r="G103" s="137">
        <v>16188596.31533101</v>
      </c>
      <c r="H103" s="376">
        <v>2610932.3249301547</v>
      </c>
      <c r="I103" s="375">
        <v>2610932.3249301547</v>
      </c>
      <c r="J103" s="54">
        <v>0</v>
      </c>
      <c r="K103" s="54"/>
      <c r="L103" s="113">
        <f t="shared" si="35"/>
        <v>2610932.3249301547</v>
      </c>
      <c r="M103" s="54">
        <f t="shared" si="41"/>
        <v>0</v>
      </c>
      <c r="N103" s="113">
        <f t="shared" si="37"/>
        <v>2610932.3249301547</v>
      </c>
      <c r="O103" s="54">
        <f t="shared" si="42"/>
        <v>0</v>
      </c>
      <c r="P103" s="54">
        <f t="shared" si="43"/>
        <v>0</v>
      </c>
      <c r="Q103" s="1"/>
    </row>
    <row r="104" spans="1:17" ht="12.5">
      <c r="B104" s="7" t="str">
        <f t="shared" si="40"/>
        <v/>
      </c>
      <c r="C104" s="50">
        <f>IF(D93="","-",+C103+1)</f>
        <v>2014</v>
      </c>
      <c r="D104" s="133">
        <v>15978221.529616725</v>
      </c>
      <c r="E104" s="377">
        <v>420749.57142857142</v>
      </c>
      <c r="F104" s="137">
        <v>15557471.958188154</v>
      </c>
      <c r="G104" s="137">
        <v>15767846.743902439</v>
      </c>
      <c r="H104" s="376">
        <v>2563969.8538958314</v>
      </c>
      <c r="I104" s="375">
        <v>2563969.8538958314</v>
      </c>
      <c r="J104" s="54">
        <v>0</v>
      </c>
      <c r="K104" s="54"/>
      <c r="L104" s="113">
        <f t="shared" si="35"/>
        <v>2563969.8538958314</v>
      </c>
      <c r="M104" s="54">
        <f t="shared" si="41"/>
        <v>0</v>
      </c>
      <c r="N104" s="113">
        <f t="shared" si="37"/>
        <v>2563969.8538958314</v>
      </c>
      <c r="O104" s="54">
        <f t="shared" si="42"/>
        <v>0</v>
      </c>
      <c r="P104" s="54">
        <f t="shared" si="43"/>
        <v>0</v>
      </c>
      <c r="Q104" s="1"/>
    </row>
    <row r="105" spans="1:17" ht="12.5">
      <c r="B105" s="7" t="str">
        <f t="shared" si="40"/>
        <v/>
      </c>
      <c r="C105" s="50">
        <f>IF(D93="","-",+C104+1)</f>
        <v>2015</v>
      </c>
      <c r="D105" s="133">
        <v>15557471.958188154</v>
      </c>
      <c r="E105" s="377">
        <v>420749.57142857142</v>
      </c>
      <c r="F105" s="137">
        <v>15136722.386759583</v>
      </c>
      <c r="G105" s="137">
        <v>15347097.172473868</v>
      </c>
      <c r="H105" s="376">
        <v>2443019.3444839055</v>
      </c>
      <c r="I105" s="375">
        <v>2443019.3444839055</v>
      </c>
      <c r="J105" s="54">
        <f t="shared" si="34"/>
        <v>0</v>
      </c>
      <c r="K105" s="54"/>
      <c r="L105" s="113">
        <f t="shared" ref="L105:L110" si="44">H105</f>
        <v>2443019.3444839055</v>
      </c>
      <c r="M105" s="54">
        <f t="shared" si="41"/>
        <v>0</v>
      </c>
      <c r="N105" s="113">
        <f t="shared" ref="N105:N110" si="45">I105</f>
        <v>2443019.3444839055</v>
      </c>
      <c r="O105" s="54">
        <f t="shared" si="42"/>
        <v>0</v>
      </c>
      <c r="P105" s="54">
        <f t="shared" si="43"/>
        <v>0</v>
      </c>
      <c r="Q105" s="1"/>
    </row>
    <row r="106" spans="1:17" ht="12.5">
      <c r="B106" s="7" t="str">
        <f t="shared" si="40"/>
        <v/>
      </c>
      <c r="C106" s="50">
        <f>IF(D93="","-",+C105+1)</f>
        <v>2016</v>
      </c>
      <c r="D106" s="133">
        <v>15136722.386759583</v>
      </c>
      <c r="E106" s="377">
        <v>410964.69767441862</v>
      </c>
      <c r="F106" s="137">
        <v>14725757.689085165</v>
      </c>
      <c r="G106" s="137">
        <v>14931240.037922375</v>
      </c>
      <c r="H106" s="376">
        <v>2306485.4456193848</v>
      </c>
      <c r="I106" s="375">
        <v>2306485.4456193848</v>
      </c>
      <c r="J106" s="54">
        <f t="shared" si="34"/>
        <v>0</v>
      </c>
      <c r="K106" s="54"/>
      <c r="L106" s="113">
        <f t="shared" si="44"/>
        <v>2306485.4456193848</v>
      </c>
      <c r="M106" s="54">
        <f t="shared" si="41"/>
        <v>0</v>
      </c>
      <c r="N106" s="113">
        <f t="shared" si="45"/>
        <v>2306485.4456193848</v>
      </c>
      <c r="O106" s="54">
        <f t="shared" si="42"/>
        <v>0</v>
      </c>
      <c r="P106" s="54">
        <f t="shared" si="43"/>
        <v>0</v>
      </c>
      <c r="Q106" s="1"/>
    </row>
    <row r="107" spans="1:17" ht="12.5">
      <c r="B107" s="7" t="str">
        <f t="shared" si="40"/>
        <v/>
      </c>
      <c r="C107" s="50">
        <f>IF(D93="","-",+C106+1)</f>
        <v>2017</v>
      </c>
      <c r="D107" s="133">
        <v>14725757.689085165</v>
      </c>
      <c r="E107" s="377">
        <v>420749.57142857142</v>
      </c>
      <c r="F107" s="137">
        <v>14305008.117656594</v>
      </c>
      <c r="G107" s="137">
        <v>14515382.90337088</v>
      </c>
      <c r="H107" s="376">
        <v>2183954.2915421841</v>
      </c>
      <c r="I107" s="375">
        <v>2183954.2915421841</v>
      </c>
      <c r="J107" s="54">
        <f t="shared" si="34"/>
        <v>0</v>
      </c>
      <c r="K107" s="54"/>
      <c r="L107" s="113">
        <f t="shared" si="44"/>
        <v>2183954.2915421841</v>
      </c>
      <c r="M107" s="54">
        <f t="shared" si="41"/>
        <v>0</v>
      </c>
      <c r="N107" s="113">
        <f t="shared" si="45"/>
        <v>2183954.2915421841</v>
      </c>
      <c r="O107" s="54">
        <f t="shared" si="42"/>
        <v>0</v>
      </c>
      <c r="P107" s="54">
        <f t="shared" si="43"/>
        <v>0</v>
      </c>
      <c r="Q107" s="1"/>
    </row>
    <row r="108" spans="1:17" ht="12.5">
      <c r="B108" s="7" t="str">
        <f t="shared" si="40"/>
        <v/>
      </c>
      <c r="C108" s="50">
        <f>IF(D93="","-",+C107+1)</f>
        <v>2018</v>
      </c>
      <c r="D108" s="133">
        <v>14305008.117656594</v>
      </c>
      <c r="E108" s="377">
        <v>420749.57142857142</v>
      </c>
      <c r="F108" s="137">
        <v>13884258.546228023</v>
      </c>
      <c r="G108" s="137">
        <v>14094633.331942309</v>
      </c>
      <c r="H108" s="376">
        <v>1909207.486730136</v>
      </c>
      <c r="I108" s="375">
        <v>1909207.486730136</v>
      </c>
      <c r="J108" s="54">
        <f t="shared" si="34"/>
        <v>0</v>
      </c>
      <c r="K108" s="54"/>
      <c r="L108" s="113">
        <f t="shared" si="44"/>
        <v>1909207.486730136</v>
      </c>
      <c r="M108" s="54">
        <f t="shared" ref="M108" si="46">IF(L108&lt;&gt;0,+H108-L108,0)</f>
        <v>0</v>
      </c>
      <c r="N108" s="113">
        <f t="shared" si="45"/>
        <v>1909207.486730136</v>
      </c>
      <c r="O108" s="54">
        <f t="shared" ref="O108" si="47">IF(N108&lt;&gt;0,+I108-N108,0)</f>
        <v>0</v>
      </c>
      <c r="P108" s="54">
        <f t="shared" si="39"/>
        <v>0</v>
      </c>
      <c r="Q108" s="1"/>
    </row>
    <row r="109" spans="1:17" ht="12.5">
      <c r="B109" s="7" t="str">
        <f t="shared" si="40"/>
        <v/>
      </c>
      <c r="C109" s="50">
        <f>IF(D93="","-",+C108+1)</f>
        <v>2019</v>
      </c>
      <c r="D109" s="133">
        <v>13884258.546228023</v>
      </c>
      <c r="E109" s="377">
        <v>410964.69767441862</v>
      </c>
      <c r="F109" s="137">
        <v>13473293.848553605</v>
      </c>
      <c r="G109" s="137">
        <v>13678776.197390813</v>
      </c>
      <c r="H109" s="376">
        <v>1875148.3778696754</v>
      </c>
      <c r="I109" s="375">
        <v>1875148.3778696754</v>
      </c>
      <c r="J109" s="54">
        <f t="shared" si="34"/>
        <v>0</v>
      </c>
      <c r="K109" s="54"/>
      <c r="L109" s="113">
        <f t="shared" si="44"/>
        <v>1875148.3778696754</v>
      </c>
      <c r="M109" s="54">
        <f t="shared" ref="M109" si="48">IF(L109&lt;&gt;0,+H109-L109,0)</f>
        <v>0</v>
      </c>
      <c r="N109" s="113">
        <f t="shared" si="45"/>
        <v>1875148.3778696754</v>
      </c>
      <c r="O109" s="54">
        <f t="shared" si="38"/>
        <v>0</v>
      </c>
      <c r="P109" s="54">
        <f t="shared" si="39"/>
        <v>0</v>
      </c>
      <c r="Q109" s="1"/>
    </row>
    <row r="110" spans="1:17" ht="12.5">
      <c r="B110" s="7" t="str">
        <f t="shared" si="40"/>
        <v/>
      </c>
      <c r="C110" s="50">
        <f>IF(D93="","-",+C109+1)</f>
        <v>2020</v>
      </c>
      <c r="D110" s="133">
        <v>13473293.848553605</v>
      </c>
      <c r="E110" s="377">
        <v>420749.57142857142</v>
      </c>
      <c r="F110" s="137">
        <v>13052544.277125034</v>
      </c>
      <c r="G110" s="137">
        <v>13262919.06283932</v>
      </c>
      <c r="H110" s="376">
        <v>1847492.6051652874</v>
      </c>
      <c r="I110" s="375">
        <v>1847492.6051652874</v>
      </c>
      <c r="J110" s="54">
        <f t="shared" si="34"/>
        <v>0</v>
      </c>
      <c r="K110" s="54"/>
      <c r="L110" s="113">
        <f t="shared" si="44"/>
        <v>1847492.6051652874</v>
      </c>
      <c r="M110" s="54">
        <f t="shared" ref="M110" si="49">IF(L110&lt;&gt;0,+H110-L110,0)</f>
        <v>0</v>
      </c>
      <c r="N110" s="113">
        <f t="shared" si="45"/>
        <v>1847492.6051652874</v>
      </c>
      <c r="O110" s="54">
        <f t="shared" si="38"/>
        <v>0</v>
      </c>
      <c r="P110" s="54">
        <f t="shared" si="39"/>
        <v>0</v>
      </c>
      <c r="Q110" s="1"/>
    </row>
    <row r="111" spans="1:17" ht="12.5">
      <c r="B111" s="7" t="str">
        <f t="shared" si="40"/>
        <v/>
      </c>
      <c r="C111" s="50">
        <f>IF(D93="","-",+C110+1)</f>
        <v>2021</v>
      </c>
      <c r="D111" s="133">
        <v>13052544.277125034</v>
      </c>
      <c r="E111" s="377">
        <v>431011.75609756098</v>
      </c>
      <c r="F111" s="137">
        <v>12621532.521027474</v>
      </c>
      <c r="G111" s="137">
        <v>12837038.399076253</v>
      </c>
      <c r="H111" s="376">
        <v>1888198.2388737798</v>
      </c>
      <c r="I111" s="375">
        <v>1888198.2388737798</v>
      </c>
      <c r="J111" s="54">
        <f t="shared" si="34"/>
        <v>0</v>
      </c>
      <c r="K111" s="54"/>
      <c r="L111" s="113">
        <f t="shared" ref="L111" si="50">H111</f>
        <v>1888198.2388737798</v>
      </c>
      <c r="M111" s="54">
        <f t="shared" ref="M111" si="51">IF(L111&lt;&gt;0,+H111-L111,0)</f>
        <v>0</v>
      </c>
      <c r="N111" s="113">
        <f t="shared" ref="N111" si="52">I111</f>
        <v>1888198.2388737798</v>
      </c>
      <c r="O111" s="54">
        <f t="shared" si="38"/>
        <v>0</v>
      </c>
      <c r="P111" s="54">
        <f t="shared" si="39"/>
        <v>0</v>
      </c>
      <c r="Q111" s="1"/>
    </row>
    <row r="112" spans="1:17" ht="12.5">
      <c r="B112" s="7" t="str">
        <f t="shared" si="40"/>
        <v/>
      </c>
      <c r="C112" s="50">
        <f>IF(D93="","-",+C111+1)</f>
        <v>2022</v>
      </c>
      <c r="D112" s="133">
        <v>12621532.521027474</v>
      </c>
      <c r="E112" s="377">
        <v>420749.57142857142</v>
      </c>
      <c r="F112" s="137">
        <v>12200782.949598903</v>
      </c>
      <c r="G112" s="137">
        <v>12411157.735313188</v>
      </c>
      <c r="H112" s="376">
        <v>1878537.3886775936</v>
      </c>
      <c r="I112" s="375">
        <v>1878537.3886775936</v>
      </c>
      <c r="J112" s="54">
        <f t="shared" si="34"/>
        <v>0</v>
      </c>
      <c r="K112" s="54"/>
      <c r="L112" s="113">
        <f t="shared" ref="L112" si="53">H112</f>
        <v>1878537.3886775936</v>
      </c>
      <c r="M112" s="54">
        <f t="shared" ref="M112" si="54">IF(L112&lt;&gt;0,+H112-L112,0)</f>
        <v>0</v>
      </c>
      <c r="N112" s="113">
        <f t="shared" ref="N112" si="55">I112</f>
        <v>1878537.3886775936</v>
      </c>
      <c r="O112" s="54">
        <f t="shared" ref="O112" si="56">IF(N112&lt;&gt;0,+I112-N112,0)</f>
        <v>0</v>
      </c>
      <c r="P112" s="54">
        <f t="shared" ref="P112" si="57">+O112-M112</f>
        <v>0</v>
      </c>
      <c r="Q112" s="1"/>
    </row>
    <row r="113" spans="2:17" ht="12.5">
      <c r="B113" s="7" t="str">
        <f t="shared" si="40"/>
        <v/>
      </c>
      <c r="C113" s="50">
        <f>IF(D93="","-",+C112+1)</f>
        <v>2023</v>
      </c>
      <c r="D113" s="133">
        <v>12200782.949598903</v>
      </c>
      <c r="E113" s="377">
        <v>401624.59090909088</v>
      </c>
      <c r="F113" s="137">
        <v>11799158.358689811</v>
      </c>
      <c r="G113" s="137">
        <v>11999970.654144358</v>
      </c>
      <c r="H113" s="376">
        <v>1882001.6452369925</v>
      </c>
      <c r="I113" s="375">
        <v>1882001.6452369925</v>
      </c>
      <c r="J113" s="54">
        <f t="shared" si="34"/>
        <v>0</v>
      </c>
      <c r="K113" s="54"/>
      <c r="L113" s="113">
        <f t="shared" ref="L113" si="58">H113</f>
        <v>1882001.6452369925</v>
      </c>
      <c r="M113" s="54">
        <f t="shared" ref="M113" si="59">IF(L113&lt;&gt;0,+H113-L113,0)</f>
        <v>0</v>
      </c>
      <c r="N113" s="113">
        <f t="shared" ref="N113" si="60">I113</f>
        <v>1882001.6452369925</v>
      </c>
      <c r="O113" s="54">
        <f t="shared" ref="O113" si="61">IF(N113&lt;&gt;0,+I113-N113,0)</f>
        <v>0</v>
      </c>
      <c r="P113" s="54">
        <f t="shared" ref="P113" si="62">+O113-M113</f>
        <v>0</v>
      </c>
      <c r="Q113" s="1"/>
    </row>
    <row r="114" spans="2:17" ht="12.5">
      <c r="B114" s="7" t="str">
        <f t="shared" si="40"/>
        <v/>
      </c>
      <c r="C114" s="50">
        <f>IF(D93="","-",+C113+1)</f>
        <v>2024</v>
      </c>
      <c r="D114" s="12">
        <f>IF(F113+SUM(E$99:E113)=D$92,F113,D$92-SUM(E$99:E113))</f>
        <v>11799158.358689811</v>
      </c>
      <c r="E114" s="378">
        <f>IF(+J96&lt;F113,J96,D114)</f>
        <v>401624.59090909088</v>
      </c>
      <c r="F114" s="55">
        <f t="shared" ref="F114:F130" si="63">+D114-E114</f>
        <v>11397533.767780719</v>
      </c>
      <c r="G114" s="55">
        <f t="shared" ref="G114:G130" si="64">+(F114+D114)/2</f>
        <v>11598346.063235264</v>
      </c>
      <c r="H114" s="380">
        <f t="shared" ref="H114:H154" si="65">+J$94*G114+E114</f>
        <v>1845924.1750805455</v>
      </c>
      <c r="I114" s="399">
        <f t="shared" ref="I114:I154" si="66">+J$95*G114+E114</f>
        <v>1845924.1750805455</v>
      </c>
      <c r="J114" s="54">
        <f t="shared" si="34"/>
        <v>0</v>
      </c>
      <c r="K114" s="54"/>
      <c r="L114" s="129"/>
      <c r="M114" s="54">
        <f t="shared" si="36"/>
        <v>0</v>
      </c>
      <c r="N114" s="129"/>
      <c r="O114" s="54">
        <f t="shared" si="38"/>
        <v>0</v>
      </c>
      <c r="P114" s="54">
        <f t="shared" si="39"/>
        <v>0</v>
      </c>
      <c r="Q114" s="1"/>
    </row>
    <row r="115" spans="2:17" ht="12.5">
      <c r="B115" s="7" t="str">
        <f t="shared" si="40"/>
        <v/>
      </c>
      <c r="C115" s="50">
        <f>IF(D93="","-",+C114+1)</f>
        <v>2025</v>
      </c>
      <c r="D115" s="12">
        <f>IF(F114+SUM(E$99:E114)=D$92,F114,D$92-SUM(E$99:E114))</f>
        <v>11397533.767780719</v>
      </c>
      <c r="E115" s="378">
        <f>IF(+J96&lt;F114,J96,D115)</f>
        <v>401624.59090909088</v>
      </c>
      <c r="F115" s="55">
        <f t="shared" si="63"/>
        <v>10995909.176871628</v>
      </c>
      <c r="G115" s="55">
        <f t="shared" si="64"/>
        <v>11196721.472326174</v>
      </c>
      <c r="H115" s="380">
        <f t="shared" si="65"/>
        <v>1795911.3347599986</v>
      </c>
      <c r="I115" s="399">
        <f t="shared" si="66"/>
        <v>1795911.3347599986</v>
      </c>
      <c r="J115" s="54">
        <f t="shared" si="34"/>
        <v>0</v>
      </c>
      <c r="K115" s="54"/>
      <c r="L115" s="129"/>
      <c r="M115" s="54">
        <f t="shared" si="36"/>
        <v>0</v>
      </c>
      <c r="N115" s="129"/>
      <c r="O115" s="54">
        <f t="shared" si="38"/>
        <v>0</v>
      </c>
      <c r="P115" s="54">
        <f t="shared" si="39"/>
        <v>0</v>
      </c>
      <c r="Q115" s="1"/>
    </row>
    <row r="116" spans="2:17" ht="12.5">
      <c r="B116" s="7" t="str">
        <f t="shared" si="40"/>
        <v/>
      </c>
      <c r="C116" s="50">
        <f>IF(D93="","-",+C115+1)</f>
        <v>2026</v>
      </c>
      <c r="D116" s="12">
        <f>IF(F115+SUM(E$99:E115)=D$92,F115,D$92-SUM(E$99:E115))</f>
        <v>10995909.176871628</v>
      </c>
      <c r="E116" s="378">
        <f>IF(+J96&lt;F115,J96,D116)</f>
        <v>401624.59090909088</v>
      </c>
      <c r="F116" s="55">
        <f t="shared" si="63"/>
        <v>10594284.585962536</v>
      </c>
      <c r="G116" s="55">
        <f t="shared" si="64"/>
        <v>10795096.881417081</v>
      </c>
      <c r="H116" s="380">
        <f t="shared" si="65"/>
        <v>1745898.494439451</v>
      </c>
      <c r="I116" s="399">
        <f t="shared" si="66"/>
        <v>1745898.494439451</v>
      </c>
      <c r="J116" s="54">
        <f t="shared" si="34"/>
        <v>0</v>
      </c>
      <c r="K116" s="54"/>
      <c r="L116" s="129"/>
      <c r="M116" s="54">
        <f t="shared" si="36"/>
        <v>0</v>
      </c>
      <c r="N116" s="129"/>
      <c r="O116" s="54">
        <f t="shared" si="38"/>
        <v>0</v>
      </c>
      <c r="P116" s="54">
        <f t="shared" si="39"/>
        <v>0</v>
      </c>
      <c r="Q116" s="1"/>
    </row>
    <row r="117" spans="2:17" ht="12.5">
      <c r="B117" s="7" t="str">
        <f t="shared" si="40"/>
        <v/>
      </c>
      <c r="C117" s="50">
        <f>IF(D93="","-",+C116+1)</f>
        <v>2027</v>
      </c>
      <c r="D117" s="12">
        <f>IF(F116+SUM(E$99:E116)=D$92,F116,D$92-SUM(E$99:E116))</f>
        <v>10594284.585962536</v>
      </c>
      <c r="E117" s="378">
        <f>IF(+J96&lt;F116,J96,D117)</f>
        <v>401624.59090909088</v>
      </c>
      <c r="F117" s="55">
        <f t="shared" si="63"/>
        <v>10192659.995053444</v>
      </c>
      <c r="G117" s="55">
        <f t="shared" si="64"/>
        <v>10393472.290507991</v>
      </c>
      <c r="H117" s="380">
        <f t="shared" si="65"/>
        <v>1695885.6541189041</v>
      </c>
      <c r="I117" s="399">
        <f t="shared" si="66"/>
        <v>1695885.6541189041</v>
      </c>
      <c r="J117" s="54">
        <f t="shared" si="34"/>
        <v>0</v>
      </c>
      <c r="K117" s="54"/>
      <c r="L117" s="129"/>
      <c r="M117" s="54">
        <f t="shared" si="36"/>
        <v>0</v>
      </c>
      <c r="N117" s="129"/>
      <c r="O117" s="54">
        <f t="shared" si="38"/>
        <v>0</v>
      </c>
      <c r="P117" s="54">
        <f t="shared" si="39"/>
        <v>0</v>
      </c>
      <c r="Q117" s="1"/>
    </row>
    <row r="118" spans="2:17" ht="12.5">
      <c r="B118" s="7" t="str">
        <f t="shared" si="40"/>
        <v/>
      </c>
      <c r="C118" s="50">
        <f>IF(D93="","-",+C117+1)</f>
        <v>2028</v>
      </c>
      <c r="D118" s="12">
        <f>IF(F117+SUM(E$99:E117)=D$92,F117,D$92-SUM(E$99:E117))</f>
        <v>10192659.995053444</v>
      </c>
      <c r="E118" s="378">
        <f>IF(+J96&lt;F117,J96,D118)</f>
        <v>401624.59090909088</v>
      </c>
      <c r="F118" s="55">
        <f t="shared" si="63"/>
        <v>9791035.4041443523</v>
      </c>
      <c r="G118" s="55">
        <f t="shared" si="64"/>
        <v>9991847.6995988972</v>
      </c>
      <c r="H118" s="380">
        <f t="shared" si="65"/>
        <v>1645872.8137983568</v>
      </c>
      <c r="I118" s="399">
        <f t="shared" si="66"/>
        <v>1645872.8137983568</v>
      </c>
      <c r="J118" s="54">
        <f t="shared" si="34"/>
        <v>0</v>
      </c>
      <c r="K118" s="54"/>
      <c r="L118" s="129"/>
      <c r="M118" s="54">
        <f t="shared" si="36"/>
        <v>0</v>
      </c>
      <c r="N118" s="129"/>
      <c r="O118" s="54">
        <f t="shared" si="38"/>
        <v>0</v>
      </c>
      <c r="P118" s="54">
        <f t="shared" si="39"/>
        <v>0</v>
      </c>
      <c r="Q118" s="1"/>
    </row>
    <row r="119" spans="2:17" ht="12.5">
      <c r="B119" s="7" t="str">
        <f t="shared" si="40"/>
        <v/>
      </c>
      <c r="C119" s="50">
        <f>IF(D93="","-",+C118+1)</f>
        <v>2029</v>
      </c>
      <c r="D119" s="12">
        <f>IF(F118+SUM(E$99:E118)=D$92,F118,D$92-SUM(E$99:E118))</f>
        <v>9791035.4041443523</v>
      </c>
      <c r="E119" s="378">
        <f>IF(+J96&lt;F118,J96,D119)</f>
        <v>401624.59090909088</v>
      </c>
      <c r="F119" s="55">
        <f t="shared" si="63"/>
        <v>9389410.8132352605</v>
      </c>
      <c r="G119" s="55">
        <f t="shared" si="64"/>
        <v>9590223.1086898074</v>
      </c>
      <c r="H119" s="380">
        <f t="shared" si="65"/>
        <v>1595859.9734778099</v>
      </c>
      <c r="I119" s="399">
        <f t="shared" si="66"/>
        <v>1595859.9734778099</v>
      </c>
      <c r="J119" s="54">
        <f t="shared" si="34"/>
        <v>0</v>
      </c>
      <c r="K119" s="54"/>
      <c r="L119" s="129"/>
      <c r="M119" s="54">
        <f t="shared" si="36"/>
        <v>0</v>
      </c>
      <c r="N119" s="129"/>
      <c r="O119" s="54">
        <f t="shared" si="38"/>
        <v>0</v>
      </c>
      <c r="P119" s="54">
        <f t="shared" si="39"/>
        <v>0</v>
      </c>
      <c r="Q119" s="1"/>
    </row>
    <row r="120" spans="2:17" ht="12.5">
      <c r="B120" s="7" t="str">
        <f t="shared" si="40"/>
        <v/>
      </c>
      <c r="C120" s="50">
        <f>IF(D93="","-",+C119+1)</f>
        <v>2030</v>
      </c>
      <c r="D120" s="12">
        <f>IF(F119+SUM(E$99:E119)=D$92,F119,D$92-SUM(E$99:E119))</f>
        <v>9389410.8132352605</v>
      </c>
      <c r="E120" s="378">
        <f>IF(+J96&lt;F119,J96,D120)</f>
        <v>401624.59090909088</v>
      </c>
      <c r="F120" s="55">
        <f t="shared" si="63"/>
        <v>8987786.2223261688</v>
      </c>
      <c r="G120" s="55">
        <f t="shared" si="64"/>
        <v>9188598.5177807137</v>
      </c>
      <c r="H120" s="380">
        <f t="shared" si="65"/>
        <v>1545847.1331572626</v>
      </c>
      <c r="I120" s="399">
        <f t="shared" si="66"/>
        <v>1545847.1331572626</v>
      </c>
      <c r="J120" s="54">
        <f t="shared" si="34"/>
        <v>0</v>
      </c>
      <c r="K120" s="54"/>
      <c r="L120" s="129"/>
      <c r="M120" s="54">
        <f t="shared" si="36"/>
        <v>0</v>
      </c>
      <c r="N120" s="129"/>
      <c r="O120" s="54">
        <f t="shared" si="38"/>
        <v>0</v>
      </c>
      <c r="P120" s="54">
        <f t="shared" si="39"/>
        <v>0</v>
      </c>
      <c r="Q120" s="1"/>
    </row>
    <row r="121" spans="2:17" ht="12.5">
      <c r="B121" s="7" t="str">
        <f t="shared" si="40"/>
        <v/>
      </c>
      <c r="C121" s="50">
        <f>IF(D93="","-",+C120+1)</f>
        <v>2031</v>
      </c>
      <c r="D121" s="12">
        <f>IF(F120+SUM(E$99:E120)=D$92,F120,D$92-SUM(E$99:E120))</f>
        <v>8987786.2223261688</v>
      </c>
      <c r="E121" s="378">
        <f>IF(+J96&lt;F120,J96,D121)</f>
        <v>401624.59090909088</v>
      </c>
      <c r="F121" s="55">
        <f t="shared" si="63"/>
        <v>8586161.631417077</v>
      </c>
      <c r="G121" s="55">
        <f t="shared" si="64"/>
        <v>8786973.9268716238</v>
      </c>
      <c r="H121" s="380">
        <f t="shared" si="65"/>
        <v>1495834.2928367157</v>
      </c>
      <c r="I121" s="399">
        <f t="shared" si="66"/>
        <v>1495834.2928367157</v>
      </c>
      <c r="J121" s="54">
        <f t="shared" si="34"/>
        <v>0</v>
      </c>
      <c r="K121" s="54"/>
      <c r="L121" s="129"/>
      <c r="M121" s="54">
        <f t="shared" si="36"/>
        <v>0</v>
      </c>
      <c r="N121" s="129"/>
      <c r="O121" s="54">
        <f t="shared" si="38"/>
        <v>0</v>
      </c>
      <c r="P121" s="54">
        <f t="shared" si="39"/>
        <v>0</v>
      </c>
      <c r="Q121" s="1"/>
    </row>
    <row r="122" spans="2:17" ht="12.5">
      <c r="B122" s="7" t="str">
        <f t="shared" si="40"/>
        <v/>
      </c>
      <c r="C122" s="50">
        <f>IF(D93="","-",+C121+1)</f>
        <v>2032</v>
      </c>
      <c r="D122" s="12">
        <f>IF(F121+SUM(E$99:E121)=D$92,F121,D$92-SUM(E$99:E121))</f>
        <v>8586161.631417077</v>
      </c>
      <c r="E122" s="378">
        <f>IF(+J96&lt;F121,J96,D122)</f>
        <v>401624.59090909088</v>
      </c>
      <c r="F122" s="55">
        <f t="shared" si="63"/>
        <v>8184537.0405079862</v>
      </c>
      <c r="G122" s="55">
        <f t="shared" si="64"/>
        <v>8385349.3359625321</v>
      </c>
      <c r="H122" s="380">
        <f t="shared" si="65"/>
        <v>1445821.4525161686</v>
      </c>
      <c r="I122" s="399">
        <f t="shared" si="66"/>
        <v>1445821.4525161686</v>
      </c>
      <c r="J122" s="54">
        <f t="shared" si="34"/>
        <v>0</v>
      </c>
      <c r="K122" s="54"/>
      <c r="L122" s="129"/>
      <c r="M122" s="54">
        <f t="shared" si="36"/>
        <v>0</v>
      </c>
      <c r="N122" s="129"/>
      <c r="O122" s="54">
        <f t="shared" si="38"/>
        <v>0</v>
      </c>
      <c r="P122" s="54">
        <f t="shared" si="39"/>
        <v>0</v>
      </c>
      <c r="Q122" s="1"/>
    </row>
    <row r="123" spans="2:17" ht="12.5">
      <c r="B123" s="7" t="str">
        <f t="shared" si="40"/>
        <v/>
      </c>
      <c r="C123" s="50">
        <f>IF(D93="","-",+C122+1)</f>
        <v>2033</v>
      </c>
      <c r="D123" s="12">
        <f>IF(F122+SUM(E$99:E122)=D$92,F122,D$92-SUM(E$99:E122))</f>
        <v>8184537.0405079862</v>
      </c>
      <c r="E123" s="378">
        <f>IF(+J96&lt;F122,J96,D123)</f>
        <v>401624.59090909088</v>
      </c>
      <c r="F123" s="55">
        <f t="shared" si="63"/>
        <v>7782912.4495988954</v>
      </c>
      <c r="G123" s="55">
        <f t="shared" si="64"/>
        <v>7983724.7450534403</v>
      </c>
      <c r="H123" s="380">
        <f t="shared" si="65"/>
        <v>1395808.6121956215</v>
      </c>
      <c r="I123" s="399">
        <f t="shared" si="66"/>
        <v>1395808.6121956215</v>
      </c>
      <c r="J123" s="54">
        <f t="shared" si="34"/>
        <v>0</v>
      </c>
      <c r="K123" s="54"/>
      <c r="L123" s="129"/>
      <c r="M123" s="54">
        <f t="shared" si="36"/>
        <v>0</v>
      </c>
      <c r="N123" s="129"/>
      <c r="O123" s="54">
        <f t="shared" si="38"/>
        <v>0</v>
      </c>
      <c r="P123" s="54">
        <f t="shared" si="39"/>
        <v>0</v>
      </c>
      <c r="Q123" s="1"/>
    </row>
    <row r="124" spans="2:17" ht="12.5">
      <c r="B124" s="7" t="str">
        <f t="shared" si="40"/>
        <v/>
      </c>
      <c r="C124" s="50">
        <f>IF(D93="","-",+C123+1)</f>
        <v>2034</v>
      </c>
      <c r="D124" s="12">
        <f>IF(F123+SUM(E$99:E123)=D$92,F123,D$92-SUM(E$99:E123))</f>
        <v>7782912.4495988954</v>
      </c>
      <c r="E124" s="378">
        <f>IF(+J96&lt;F123,J96,D124)</f>
        <v>401624.59090909088</v>
      </c>
      <c r="F124" s="55">
        <f t="shared" si="63"/>
        <v>7381287.8586898046</v>
      </c>
      <c r="G124" s="55">
        <f t="shared" si="64"/>
        <v>7582100.1541443504</v>
      </c>
      <c r="H124" s="380">
        <f t="shared" si="65"/>
        <v>1345795.7718750746</v>
      </c>
      <c r="I124" s="399">
        <f t="shared" si="66"/>
        <v>1345795.7718750746</v>
      </c>
      <c r="J124" s="54">
        <f t="shared" si="34"/>
        <v>0</v>
      </c>
      <c r="K124" s="54"/>
      <c r="L124" s="129"/>
      <c r="M124" s="54">
        <f t="shared" si="36"/>
        <v>0</v>
      </c>
      <c r="N124" s="129"/>
      <c r="O124" s="54">
        <f t="shared" si="38"/>
        <v>0</v>
      </c>
      <c r="P124" s="54">
        <f t="shared" si="39"/>
        <v>0</v>
      </c>
      <c r="Q124" s="1"/>
    </row>
    <row r="125" spans="2:17" ht="12.5">
      <c r="B125" s="7" t="str">
        <f t="shared" si="40"/>
        <v/>
      </c>
      <c r="C125" s="50">
        <f>IF(D93="","-",+C124+1)</f>
        <v>2035</v>
      </c>
      <c r="D125" s="12">
        <f>IF(F124+SUM(E$99:E124)=D$92,F124,D$92-SUM(E$99:E124))</f>
        <v>7381287.8586898046</v>
      </c>
      <c r="E125" s="378">
        <f>IF(+J96&lt;F124,J96,D125)</f>
        <v>401624.59090909088</v>
      </c>
      <c r="F125" s="55">
        <f t="shared" si="63"/>
        <v>6979663.2677807137</v>
      </c>
      <c r="G125" s="55">
        <f t="shared" si="64"/>
        <v>7180475.5632352587</v>
      </c>
      <c r="H125" s="380">
        <f t="shared" si="65"/>
        <v>1295782.9315545275</v>
      </c>
      <c r="I125" s="399">
        <f t="shared" si="66"/>
        <v>1295782.9315545275</v>
      </c>
      <c r="J125" s="54">
        <f t="shared" si="34"/>
        <v>0</v>
      </c>
      <c r="K125" s="54"/>
      <c r="L125" s="129"/>
      <c r="M125" s="54">
        <f t="shared" si="36"/>
        <v>0</v>
      </c>
      <c r="N125" s="129"/>
      <c r="O125" s="54">
        <f t="shared" si="38"/>
        <v>0</v>
      </c>
      <c r="P125" s="54">
        <f t="shared" si="39"/>
        <v>0</v>
      </c>
      <c r="Q125" s="1"/>
    </row>
    <row r="126" spans="2:17" ht="12.5">
      <c r="B126" s="7" t="str">
        <f t="shared" si="40"/>
        <v/>
      </c>
      <c r="C126" s="50">
        <f>IF(D93="","-",+C125+1)</f>
        <v>2036</v>
      </c>
      <c r="D126" s="12">
        <f>IF(F125+SUM(E$99:E125)=D$92,F125,D$92-SUM(E$99:E125))</f>
        <v>6979663.2677807137</v>
      </c>
      <c r="E126" s="378">
        <f>IF(+J96&lt;F125,J96,D126)</f>
        <v>401624.59090909088</v>
      </c>
      <c r="F126" s="55">
        <f t="shared" si="63"/>
        <v>6578038.6768716229</v>
      </c>
      <c r="G126" s="55">
        <f t="shared" si="64"/>
        <v>6778850.9723261688</v>
      </c>
      <c r="H126" s="380">
        <f t="shared" si="65"/>
        <v>1245770.0912339806</v>
      </c>
      <c r="I126" s="399">
        <f t="shared" si="66"/>
        <v>1245770.0912339806</v>
      </c>
      <c r="J126" s="54">
        <f t="shared" si="34"/>
        <v>0</v>
      </c>
      <c r="K126" s="54"/>
      <c r="L126" s="129"/>
      <c r="M126" s="54">
        <f t="shared" si="36"/>
        <v>0</v>
      </c>
      <c r="N126" s="129"/>
      <c r="O126" s="54">
        <f t="shared" si="38"/>
        <v>0</v>
      </c>
      <c r="P126" s="54">
        <f t="shared" si="39"/>
        <v>0</v>
      </c>
      <c r="Q126" s="1"/>
    </row>
    <row r="127" spans="2:17" ht="12.5">
      <c r="B127" s="7" t="str">
        <f t="shared" si="40"/>
        <v/>
      </c>
      <c r="C127" s="50">
        <f>IF(D93="","-",+C126+1)</f>
        <v>2037</v>
      </c>
      <c r="D127" s="12">
        <f>IF(F126+SUM(E$99:E126)=D$92,F126,D$92-SUM(E$99:E126))</f>
        <v>6578038.6768716229</v>
      </c>
      <c r="E127" s="378">
        <f>IF(+J96&lt;F126,J96,D127)</f>
        <v>401624.59090909088</v>
      </c>
      <c r="F127" s="55">
        <f t="shared" si="63"/>
        <v>6176414.0859625321</v>
      </c>
      <c r="G127" s="55">
        <f t="shared" si="64"/>
        <v>6377226.381417077</v>
      </c>
      <c r="H127" s="380">
        <f t="shared" si="65"/>
        <v>1195757.2509134333</v>
      </c>
      <c r="I127" s="399">
        <f t="shared" si="66"/>
        <v>1195757.2509134333</v>
      </c>
      <c r="J127" s="54">
        <f t="shared" si="34"/>
        <v>0</v>
      </c>
      <c r="K127" s="54"/>
      <c r="L127" s="129"/>
      <c r="M127" s="54">
        <f t="shared" si="36"/>
        <v>0</v>
      </c>
      <c r="N127" s="129"/>
      <c r="O127" s="54">
        <f t="shared" si="38"/>
        <v>0</v>
      </c>
      <c r="P127" s="54">
        <f t="shared" si="39"/>
        <v>0</v>
      </c>
      <c r="Q127" s="1"/>
    </row>
    <row r="128" spans="2:17" ht="12.5">
      <c r="B128" s="7" t="str">
        <f t="shared" si="40"/>
        <v/>
      </c>
      <c r="C128" s="50">
        <f>IF(D93="","-",+C127+1)</f>
        <v>2038</v>
      </c>
      <c r="D128" s="12">
        <f>IF(F127+SUM(E$99:E127)=D$92,F127,D$92-SUM(E$99:E127))</f>
        <v>6176414.0859625321</v>
      </c>
      <c r="E128" s="378">
        <f>IF(+J96&lt;F127,J96,D128)</f>
        <v>401624.59090909088</v>
      </c>
      <c r="F128" s="55">
        <f t="shared" si="63"/>
        <v>5774789.4950534413</v>
      </c>
      <c r="G128" s="55">
        <f t="shared" si="64"/>
        <v>5975601.7905079871</v>
      </c>
      <c r="H128" s="380">
        <f t="shared" si="65"/>
        <v>1145744.4105928864</v>
      </c>
      <c r="I128" s="399">
        <f t="shared" si="66"/>
        <v>1145744.4105928864</v>
      </c>
      <c r="J128" s="54">
        <f t="shared" si="34"/>
        <v>0</v>
      </c>
      <c r="K128" s="54"/>
      <c r="L128" s="129"/>
      <c r="M128" s="54">
        <f t="shared" si="36"/>
        <v>0</v>
      </c>
      <c r="N128" s="129"/>
      <c r="O128" s="54">
        <f t="shared" si="38"/>
        <v>0</v>
      </c>
      <c r="P128" s="54">
        <f t="shared" si="39"/>
        <v>0</v>
      </c>
      <c r="Q128" s="1"/>
    </row>
    <row r="129" spans="2:17" ht="12.5">
      <c r="B129" s="7" t="str">
        <f t="shared" si="40"/>
        <v/>
      </c>
      <c r="C129" s="50">
        <f>IF(D93="","-",+C128+1)</f>
        <v>2039</v>
      </c>
      <c r="D129" s="12">
        <f>IF(F128+SUM(E$99:E128)=D$92,F128,D$92-SUM(E$99:E128))</f>
        <v>5774789.4950534413</v>
      </c>
      <c r="E129" s="378">
        <f>IF(+J96&lt;F128,J96,D129)</f>
        <v>401624.59090909088</v>
      </c>
      <c r="F129" s="55">
        <f t="shared" si="63"/>
        <v>5373164.9041443504</v>
      </c>
      <c r="G129" s="55">
        <f t="shared" si="64"/>
        <v>5573977.1995988954</v>
      </c>
      <c r="H129" s="380">
        <f t="shared" si="65"/>
        <v>1095731.5702723393</v>
      </c>
      <c r="I129" s="399">
        <f t="shared" si="66"/>
        <v>1095731.5702723393</v>
      </c>
      <c r="J129" s="54">
        <f t="shared" si="34"/>
        <v>0</v>
      </c>
      <c r="K129" s="54"/>
      <c r="L129" s="129"/>
      <c r="M129" s="54">
        <f t="shared" si="36"/>
        <v>0</v>
      </c>
      <c r="N129" s="129"/>
      <c r="O129" s="54">
        <f t="shared" si="38"/>
        <v>0</v>
      </c>
      <c r="P129" s="54">
        <f t="shared" si="39"/>
        <v>0</v>
      </c>
      <c r="Q129" s="1"/>
    </row>
    <row r="130" spans="2:17" ht="12.5">
      <c r="B130" s="7" t="str">
        <f t="shared" si="40"/>
        <v/>
      </c>
      <c r="C130" s="50">
        <f>IF(D93="","-",+C129+1)</f>
        <v>2040</v>
      </c>
      <c r="D130" s="12">
        <f>IF(F129+SUM(E$99:E129)=D$92,F129,D$92-SUM(E$99:E129))</f>
        <v>5373164.9041443504</v>
      </c>
      <c r="E130" s="378">
        <f>IF(+J96&lt;F129,J96,D130)</f>
        <v>401624.59090909088</v>
      </c>
      <c r="F130" s="55">
        <f t="shared" si="63"/>
        <v>4971540.3132352596</v>
      </c>
      <c r="G130" s="55">
        <f t="shared" si="64"/>
        <v>5172352.6086898055</v>
      </c>
      <c r="H130" s="380">
        <f t="shared" si="65"/>
        <v>1045718.7299517924</v>
      </c>
      <c r="I130" s="399">
        <f t="shared" si="66"/>
        <v>1045718.7299517924</v>
      </c>
      <c r="J130" s="54">
        <f t="shared" si="34"/>
        <v>0</v>
      </c>
      <c r="K130" s="54"/>
      <c r="L130" s="129"/>
      <c r="M130" s="54">
        <f t="shared" si="36"/>
        <v>0</v>
      </c>
      <c r="N130" s="129"/>
      <c r="O130" s="54">
        <f t="shared" si="38"/>
        <v>0</v>
      </c>
      <c r="P130" s="54">
        <f t="shared" si="39"/>
        <v>0</v>
      </c>
      <c r="Q130" s="1"/>
    </row>
    <row r="131" spans="2:17" ht="12.5">
      <c r="B131" s="7" t="str">
        <f t="shared" si="40"/>
        <v/>
      </c>
      <c r="C131" s="50">
        <f>IF(D93="","-",+C130+1)</f>
        <v>2041</v>
      </c>
      <c r="D131" s="12">
        <f>IF(F130+SUM(E$99:E130)=D$92,F130,D$92-SUM(E$99:E130))</f>
        <v>4971540.3132352596</v>
      </c>
      <c r="E131" s="378">
        <f>IF(+J96&lt;F130,J96,D131)</f>
        <v>401624.59090909088</v>
      </c>
      <c r="F131" s="55">
        <f t="shared" ref="F131:F154" si="67">+D131-E131</f>
        <v>4569915.7223261688</v>
      </c>
      <c r="G131" s="55">
        <f t="shared" ref="G131:G154" si="68">+(F131+D131)/2</f>
        <v>4770728.0177807137</v>
      </c>
      <c r="H131" s="380">
        <f t="shared" si="65"/>
        <v>995705.88963124529</v>
      </c>
      <c r="I131" s="399">
        <f t="shared" si="66"/>
        <v>995705.88963124529</v>
      </c>
      <c r="J131" s="54">
        <f t="shared" ref="J131:J154" si="69">+I131-H131</f>
        <v>0</v>
      </c>
      <c r="K131" s="54"/>
      <c r="L131" s="129"/>
      <c r="M131" s="54">
        <f t="shared" ref="M131:M154" si="70">IF(L131&lt;&gt;0,+H131-L131,0)</f>
        <v>0</v>
      </c>
      <c r="N131" s="129"/>
      <c r="O131" s="54">
        <f t="shared" ref="O131:O154" si="71">IF(N131&lt;&gt;0,+I131-N131,0)</f>
        <v>0</v>
      </c>
      <c r="P131" s="54">
        <f t="shared" ref="P131:P154" si="72">+O131-M131</f>
        <v>0</v>
      </c>
      <c r="Q131" s="1"/>
    </row>
    <row r="132" spans="2:17" ht="12.5">
      <c r="B132" s="7" t="str">
        <f t="shared" si="40"/>
        <v/>
      </c>
      <c r="C132" s="50">
        <f>IF(D93="","-",+C131+1)</f>
        <v>2042</v>
      </c>
      <c r="D132" s="12">
        <f>IF(F131+SUM(E$99:E131)=D$92,F131,D$92-SUM(E$99:E131))</f>
        <v>4569915.7223261688</v>
      </c>
      <c r="E132" s="378">
        <f>IF(+J96&lt;F131,J96,D132)</f>
        <v>401624.59090909088</v>
      </c>
      <c r="F132" s="55">
        <f t="shared" si="67"/>
        <v>4168291.131417078</v>
      </c>
      <c r="G132" s="55">
        <f t="shared" si="68"/>
        <v>4369103.4268716238</v>
      </c>
      <c r="H132" s="380">
        <f t="shared" si="65"/>
        <v>945693.04931069841</v>
      </c>
      <c r="I132" s="399">
        <f t="shared" si="66"/>
        <v>945693.04931069841</v>
      </c>
      <c r="J132" s="54">
        <f t="shared" si="69"/>
        <v>0</v>
      </c>
      <c r="K132" s="54"/>
      <c r="L132" s="129"/>
      <c r="M132" s="54">
        <f t="shared" si="70"/>
        <v>0</v>
      </c>
      <c r="N132" s="129"/>
      <c r="O132" s="54">
        <f t="shared" si="71"/>
        <v>0</v>
      </c>
      <c r="P132" s="54">
        <f t="shared" si="72"/>
        <v>0</v>
      </c>
      <c r="Q132" s="1"/>
    </row>
    <row r="133" spans="2:17" ht="12.5">
      <c r="B133" s="7" t="str">
        <f t="shared" si="40"/>
        <v/>
      </c>
      <c r="C133" s="50">
        <f>IF(D93="","-",+C132+1)</f>
        <v>2043</v>
      </c>
      <c r="D133" s="12">
        <f>IF(F132+SUM(E$99:E132)=D$92,F132,D$92-SUM(E$99:E132))</f>
        <v>4168291.131417078</v>
      </c>
      <c r="E133" s="378">
        <f>IF(+J96&lt;F132,J96,D133)</f>
        <v>401624.59090909088</v>
      </c>
      <c r="F133" s="55">
        <f t="shared" si="67"/>
        <v>3766666.5405079871</v>
      </c>
      <c r="G133" s="55">
        <f t="shared" si="68"/>
        <v>3967478.8359625326</v>
      </c>
      <c r="H133" s="380">
        <f t="shared" si="65"/>
        <v>895680.2089901513</v>
      </c>
      <c r="I133" s="399">
        <f t="shared" si="66"/>
        <v>895680.2089901513</v>
      </c>
      <c r="J133" s="54">
        <f t="shared" si="69"/>
        <v>0</v>
      </c>
      <c r="K133" s="54"/>
      <c r="L133" s="129"/>
      <c r="M133" s="54">
        <f t="shared" si="70"/>
        <v>0</v>
      </c>
      <c r="N133" s="129"/>
      <c r="O133" s="54">
        <f t="shared" si="71"/>
        <v>0</v>
      </c>
      <c r="P133" s="54">
        <f t="shared" si="72"/>
        <v>0</v>
      </c>
      <c r="Q133" s="1"/>
    </row>
    <row r="134" spans="2:17" ht="12.5">
      <c r="B134" s="7" t="str">
        <f t="shared" si="40"/>
        <v/>
      </c>
      <c r="C134" s="50">
        <f>IF(D93="","-",+C133+1)</f>
        <v>2044</v>
      </c>
      <c r="D134" s="12">
        <f>IF(F133+SUM(E$99:E133)=D$92,F133,D$92-SUM(E$99:E133))</f>
        <v>3766666.5405079871</v>
      </c>
      <c r="E134" s="378">
        <f>IF(+J96&lt;F133,J96,D134)</f>
        <v>401624.59090909088</v>
      </c>
      <c r="F134" s="55">
        <f t="shared" si="67"/>
        <v>3365041.9495988963</v>
      </c>
      <c r="G134" s="55">
        <f t="shared" si="68"/>
        <v>3565854.2450534417</v>
      </c>
      <c r="H134" s="380">
        <f t="shared" si="65"/>
        <v>845667.3686696043</v>
      </c>
      <c r="I134" s="399">
        <f t="shared" si="66"/>
        <v>845667.3686696043</v>
      </c>
      <c r="J134" s="54">
        <f t="shared" si="69"/>
        <v>0</v>
      </c>
      <c r="K134" s="54"/>
      <c r="L134" s="129"/>
      <c r="M134" s="54">
        <f t="shared" si="70"/>
        <v>0</v>
      </c>
      <c r="N134" s="129"/>
      <c r="O134" s="54">
        <f t="shared" si="71"/>
        <v>0</v>
      </c>
      <c r="P134" s="54">
        <f t="shared" si="72"/>
        <v>0</v>
      </c>
      <c r="Q134" s="1"/>
    </row>
    <row r="135" spans="2:17" ht="12.5">
      <c r="B135" s="7" t="str">
        <f t="shared" si="40"/>
        <v/>
      </c>
      <c r="C135" s="50">
        <f>IF(D93="","-",+C134+1)</f>
        <v>2045</v>
      </c>
      <c r="D135" s="12">
        <f>IF(F134+SUM(E$99:E134)=D$92,F134,D$92-SUM(E$99:E134))</f>
        <v>3365041.9495988963</v>
      </c>
      <c r="E135" s="378">
        <f>IF(+J96&lt;F134,J96,D135)</f>
        <v>401624.59090909088</v>
      </c>
      <c r="F135" s="55">
        <f t="shared" si="67"/>
        <v>2963417.3586898055</v>
      </c>
      <c r="G135" s="55">
        <f t="shared" si="68"/>
        <v>3164229.6541443509</v>
      </c>
      <c r="H135" s="380">
        <f t="shared" si="65"/>
        <v>795654.52834905731</v>
      </c>
      <c r="I135" s="399">
        <f t="shared" si="66"/>
        <v>795654.52834905731</v>
      </c>
      <c r="J135" s="54">
        <f t="shared" si="69"/>
        <v>0</v>
      </c>
      <c r="K135" s="54"/>
      <c r="L135" s="129"/>
      <c r="M135" s="54">
        <f t="shared" si="70"/>
        <v>0</v>
      </c>
      <c r="N135" s="129"/>
      <c r="O135" s="54">
        <f t="shared" si="71"/>
        <v>0</v>
      </c>
      <c r="P135" s="54">
        <f t="shared" si="72"/>
        <v>0</v>
      </c>
      <c r="Q135" s="1"/>
    </row>
    <row r="136" spans="2:17" ht="12.5">
      <c r="B136" s="7" t="str">
        <f t="shared" si="40"/>
        <v/>
      </c>
      <c r="C136" s="50">
        <f>IF(D93="","-",+C135+1)</f>
        <v>2046</v>
      </c>
      <c r="D136" s="12">
        <f>IF(F135+SUM(E$99:E135)=D$92,F135,D$92-SUM(E$99:E135))</f>
        <v>2963417.3586898055</v>
      </c>
      <c r="E136" s="378">
        <f>IF(+J96&lt;F135,J96,D136)</f>
        <v>401624.59090909088</v>
      </c>
      <c r="F136" s="55">
        <f t="shared" si="67"/>
        <v>2561792.7677807147</v>
      </c>
      <c r="G136" s="55">
        <f t="shared" si="68"/>
        <v>2762605.0632352601</v>
      </c>
      <c r="H136" s="380">
        <f t="shared" si="65"/>
        <v>745641.68802851019</v>
      </c>
      <c r="I136" s="399">
        <f t="shared" si="66"/>
        <v>745641.68802851019</v>
      </c>
      <c r="J136" s="54">
        <f t="shared" si="69"/>
        <v>0</v>
      </c>
      <c r="K136" s="54"/>
      <c r="L136" s="129"/>
      <c r="M136" s="54">
        <f t="shared" si="70"/>
        <v>0</v>
      </c>
      <c r="N136" s="129"/>
      <c r="O136" s="54">
        <f t="shared" si="71"/>
        <v>0</v>
      </c>
      <c r="P136" s="54">
        <f t="shared" si="72"/>
        <v>0</v>
      </c>
      <c r="Q136" s="1"/>
    </row>
    <row r="137" spans="2:17" ht="12.5">
      <c r="B137" s="7" t="str">
        <f t="shared" si="40"/>
        <v/>
      </c>
      <c r="C137" s="50">
        <f>IF(D93="","-",+C136+1)</f>
        <v>2047</v>
      </c>
      <c r="D137" s="12">
        <f>IF(F136+SUM(E$99:E136)=D$92,F136,D$92-SUM(E$99:E136))</f>
        <v>2561792.7677807147</v>
      </c>
      <c r="E137" s="378">
        <f>IF(+J96&lt;F136,J96,D137)</f>
        <v>401624.59090909088</v>
      </c>
      <c r="F137" s="55">
        <f t="shared" si="67"/>
        <v>2160168.1768716238</v>
      </c>
      <c r="G137" s="55">
        <f t="shared" si="68"/>
        <v>2360980.4723261693</v>
      </c>
      <c r="H137" s="380">
        <f t="shared" si="65"/>
        <v>695628.8477079632</v>
      </c>
      <c r="I137" s="399">
        <f t="shared" si="66"/>
        <v>695628.8477079632</v>
      </c>
      <c r="J137" s="54">
        <f t="shared" si="69"/>
        <v>0</v>
      </c>
      <c r="K137" s="54"/>
      <c r="L137" s="129"/>
      <c r="M137" s="54">
        <f t="shared" si="70"/>
        <v>0</v>
      </c>
      <c r="N137" s="129"/>
      <c r="O137" s="54">
        <f t="shared" si="71"/>
        <v>0</v>
      </c>
      <c r="P137" s="54">
        <f t="shared" si="72"/>
        <v>0</v>
      </c>
      <c r="Q137" s="1"/>
    </row>
    <row r="138" spans="2:17" ht="12.5">
      <c r="B138" s="7" t="str">
        <f t="shared" si="40"/>
        <v/>
      </c>
      <c r="C138" s="50">
        <f>IF(D93="","-",+C137+1)</f>
        <v>2048</v>
      </c>
      <c r="D138" s="12">
        <f>IF(F137+SUM(E$99:E137)=D$92,F137,D$92-SUM(E$99:E137))</f>
        <v>2160168.1768716238</v>
      </c>
      <c r="E138" s="378">
        <f>IF(+J96&lt;F137,J96,D138)</f>
        <v>401624.59090909088</v>
      </c>
      <c r="F138" s="55">
        <f t="shared" si="67"/>
        <v>1758543.585962533</v>
      </c>
      <c r="G138" s="55">
        <f t="shared" si="68"/>
        <v>1959355.8814170784</v>
      </c>
      <c r="H138" s="380">
        <f t="shared" si="65"/>
        <v>645616.0073874162</v>
      </c>
      <c r="I138" s="399">
        <f t="shared" si="66"/>
        <v>645616.0073874162</v>
      </c>
      <c r="J138" s="54">
        <f t="shared" si="69"/>
        <v>0</v>
      </c>
      <c r="K138" s="54"/>
      <c r="L138" s="129"/>
      <c r="M138" s="54">
        <f t="shared" si="70"/>
        <v>0</v>
      </c>
      <c r="N138" s="129"/>
      <c r="O138" s="54">
        <f t="shared" si="71"/>
        <v>0</v>
      </c>
      <c r="P138" s="54">
        <f t="shared" si="72"/>
        <v>0</v>
      </c>
      <c r="Q138" s="1"/>
    </row>
    <row r="139" spans="2:17" ht="12.5">
      <c r="B139" s="7" t="str">
        <f t="shared" si="40"/>
        <v/>
      </c>
      <c r="C139" s="50">
        <f>IF(D93="","-",+C138+1)</f>
        <v>2049</v>
      </c>
      <c r="D139" s="12">
        <f>IF(F138+SUM(E$99:E138)=D$92,F138,D$92-SUM(E$99:E138))</f>
        <v>1758543.585962533</v>
      </c>
      <c r="E139" s="378">
        <f>IF(+J96&lt;F138,J96,D139)</f>
        <v>401624.59090909088</v>
      </c>
      <c r="F139" s="55">
        <f t="shared" si="67"/>
        <v>1356918.9950534422</v>
      </c>
      <c r="G139" s="55">
        <f t="shared" si="68"/>
        <v>1557731.2905079876</v>
      </c>
      <c r="H139" s="380">
        <f t="shared" si="65"/>
        <v>595603.16706686921</v>
      </c>
      <c r="I139" s="399">
        <f t="shared" si="66"/>
        <v>595603.16706686921</v>
      </c>
      <c r="J139" s="54">
        <f t="shared" si="69"/>
        <v>0</v>
      </c>
      <c r="K139" s="54"/>
      <c r="L139" s="129"/>
      <c r="M139" s="54">
        <f t="shared" si="70"/>
        <v>0</v>
      </c>
      <c r="N139" s="129"/>
      <c r="O139" s="54">
        <f t="shared" si="71"/>
        <v>0</v>
      </c>
      <c r="P139" s="54">
        <f t="shared" si="72"/>
        <v>0</v>
      </c>
      <c r="Q139" s="1"/>
    </row>
    <row r="140" spans="2:17" ht="12.5">
      <c r="B140" s="7" t="str">
        <f t="shared" si="40"/>
        <v/>
      </c>
      <c r="C140" s="50">
        <f>IF(D93="","-",+C139+1)</f>
        <v>2050</v>
      </c>
      <c r="D140" s="12">
        <f>IF(F139+SUM(E$99:E139)=D$92,F139,D$92-SUM(E$99:E139))</f>
        <v>1356918.9950534422</v>
      </c>
      <c r="E140" s="378">
        <f>IF(+J96&lt;F139,J96,D140)</f>
        <v>401624.59090909088</v>
      </c>
      <c r="F140" s="55">
        <f t="shared" si="67"/>
        <v>955294.40414435137</v>
      </c>
      <c r="G140" s="55">
        <f t="shared" si="68"/>
        <v>1156106.6995988968</v>
      </c>
      <c r="H140" s="380">
        <f t="shared" si="65"/>
        <v>545590.32674632221</v>
      </c>
      <c r="I140" s="399">
        <f t="shared" si="66"/>
        <v>545590.32674632221</v>
      </c>
      <c r="J140" s="54">
        <f t="shared" si="69"/>
        <v>0</v>
      </c>
      <c r="K140" s="54"/>
      <c r="L140" s="129"/>
      <c r="M140" s="54">
        <f t="shared" si="70"/>
        <v>0</v>
      </c>
      <c r="N140" s="129"/>
      <c r="O140" s="54">
        <f t="shared" si="71"/>
        <v>0</v>
      </c>
      <c r="P140" s="54">
        <f t="shared" si="72"/>
        <v>0</v>
      </c>
      <c r="Q140" s="1"/>
    </row>
    <row r="141" spans="2:17" ht="12.5">
      <c r="B141" s="7" t="str">
        <f t="shared" si="40"/>
        <v/>
      </c>
      <c r="C141" s="50">
        <f>IF(D93="","-",+C140+1)</f>
        <v>2051</v>
      </c>
      <c r="D141" s="12">
        <f>IF(F140+SUM(E$99:E140)=D$92,F140,D$92-SUM(E$99:E140))</f>
        <v>955294.40414435137</v>
      </c>
      <c r="E141" s="378">
        <f>IF(+J96&lt;F140,J96,D141)</f>
        <v>401624.59090909088</v>
      </c>
      <c r="F141" s="55">
        <f t="shared" si="67"/>
        <v>553669.81323526055</v>
      </c>
      <c r="G141" s="55">
        <f t="shared" si="68"/>
        <v>754482.10868980596</v>
      </c>
      <c r="H141" s="380">
        <f t="shared" si="65"/>
        <v>495577.4864257751</v>
      </c>
      <c r="I141" s="399">
        <f t="shared" si="66"/>
        <v>495577.4864257751</v>
      </c>
      <c r="J141" s="54">
        <f t="shared" si="69"/>
        <v>0</v>
      </c>
      <c r="K141" s="54"/>
      <c r="L141" s="129"/>
      <c r="M141" s="54">
        <f t="shared" si="70"/>
        <v>0</v>
      </c>
      <c r="N141" s="129"/>
      <c r="O141" s="54">
        <f t="shared" si="71"/>
        <v>0</v>
      </c>
      <c r="P141" s="54">
        <f t="shared" si="72"/>
        <v>0</v>
      </c>
      <c r="Q141" s="1"/>
    </row>
    <row r="142" spans="2:17" ht="12.5">
      <c r="B142" s="7" t="str">
        <f t="shared" si="40"/>
        <v/>
      </c>
      <c r="C142" s="50">
        <f>IF(D93="","-",+C141+1)</f>
        <v>2052</v>
      </c>
      <c r="D142" s="12">
        <f>IF(F141+SUM(E$99:E141)=D$92,F141,D$92-SUM(E$99:E141))</f>
        <v>553669.81323526055</v>
      </c>
      <c r="E142" s="378">
        <f>IF(+J96&lt;F141,J96,D142)</f>
        <v>401624.59090909088</v>
      </c>
      <c r="F142" s="55">
        <f t="shared" si="67"/>
        <v>152045.22232616966</v>
      </c>
      <c r="G142" s="55">
        <f t="shared" si="68"/>
        <v>352857.51778071513</v>
      </c>
      <c r="H142" s="380">
        <f t="shared" si="65"/>
        <v>445564.64610522811</v>
      </c>
      <c r="I142" s="399">
        <f t="shared" si="66"/>
        <v>445564.64610522811</v>
      </c>
      <c r="J142" s="54">
        <f t="shared" si="69"/>
        <v>0</v>
      </c>
      <c r="K142" s="54"/>
      <c r="L142" s="129"/>
      <c r="M142" s="54">
        <f t="shared" si="70"/>
        <v>0</v>
      </c>
      <c r="N142" s="129"/>
      <c r="O142" s="54">
        <f t="shared" si="71"/>
        <v>0</v>
      </c>
      <c r="P142" s="54">
        <f t="shared" si="72"/>
        <v>0</v>
      </c>
      <c r="Q142" s="1"/>
    </row>
    <row r="143" spans="2:17" ht="12.5">
      <c r="B143" s="7" t="str">
        <f t="shared" si="40"/>
        <v/>
      </c>
      <c r="C143" s="50">
        <f>IF(D93="","-",+C142+1)</f>
        <v>2053</v>
      </c>
      <c r="D143" s="12">
        <f>IF(F142+SUM(E$99:E142)=D$92,F142,D$92-SUM(E$99:E142))</f>
        <v>152045.22232616966</v>
      </c>
      <c r="E143" s="378">
        <f>IF(+J96&lt;F142,J96,D143)</f>
        <v>152045.22232616966</v>
      </c>
      <c r="F143" s="55">
        <f t="shared" si="67"/>
        <v>0</v>
      </c>
      <c r="G143" s="55">
        <f t="shared" si="68"/>
        <v>76022.611163084832</v>
      </c>
      <c r="H143" s="380">
        <f t="shared" si="65"/>
        <v>161512.03984410153</v>
      </c>
      <c r="I143" s="399">
        <f t="shared" si="66"/>
        <v>161512.03984410153</v>
      </c>
      <c r="J143" s="54">
        <f t="shared" si="69"/>
        <v>0</v>
      </c>
      <c r="K143" s="54"/>
      <c r="L143" s="129"/>
      <c r="M143" s="54">
        <f t="shared" si="70"/>
        <v>0</v>
      </c>
      <c r="N143" s="129"/>
      <c r="O143" s="54">
        <f t="shared" si="71"/>
        <v>0</v>
      </c>
      <c r="P143" s="54">
        <f t="shared" si="72"/>
        <v>0</v>
      </c>
      <c r="Q143" s="1"/>
    </row>
    <row r="144" spans="2:17" ht="12.5">
      <c r="B144" s="7" t="str">
        <f t="shared" si="40"/>
        <v/>
      </c>
      <c r="C144" s="50">
        <f>IF(D93="","-",+C143+1)</f>
        <v>2054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67"/>
        <v>0</v>
      </c>
      <c r="G144" s="55">
        <f t="shared" si="68"/>
        <v>0</v>
      </c>
      <c r="H144" s="380">
        <f t="shared" si="65"/>
        <v>0</v>
      </c>
      <c r="I144" s="399">
        <f t="shared" si="66"/>
        <v>0</v>
      </c>
      <c r="J144" s="54">
        <f t="shared" si="69"/>
        <v>0</v>
      </c>
      <c r="K144" s="54"/>
      <c r="L144" s="129"/>
      <c r="M144" s="54">
        <f t="shared" si="70"/>
        <v>0</v>
      </c>
      <c r="N144" s="129"/>
      <c r="O144" s="54">
        <f t="shared" si="71"/>
        <v>0</v>
      </c>
      <c r="P144" s="54">
        <f t="shared" si="72"/>
        <v>0</v>
      </c>
      <c r="Q144" s="1"/>
    </row>
    <row r="145" spans="2:17" ht="12.5">
      <c r="B145" s="7" t="str">
        <f t="shared" si="40"/>
        <v/>
      </c>
      <c r="C145" s="50">
        <f>IF(D93="","-",+C144+1)</f>
        <v>2055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67"/>
        <v>0</v>
      </c>
      <c r="G145" s="55">
        <f t="shared" si="68"/>
        <v>0</v>
      </c>
      <c r="H145" s="380">
        <f t="shared" si="65"/>
        <v>0</v>
      </c>
      <c r="I145" s="399">
        <f t="shared" si="66"/>
        <v>0</v>
      </c>
      <c r="J145" s="54">
        <f t="shared" si="69"/>
        <v>0</v>
      </c>
      <c r="K145" s="54"/>
      <c r="L145" s="129"/>
      <c r="M145" s="54">
        <f t="shared" si="70"/>
        <v>0</v>
      </c>
      <c r="N145" s="129"/>
      <c r="O145" s="54">
        <f t="shared" si="71"/>
        <v>0</v>
      </c>
      <c r="P145" s="54">
        <f t="shared" si="72"/>
        <v>0</v>
      </c>
      <c r="Q145" s="1"/>
    </row>
    <row r="146" spans="2:17" ht="12.5">
      <c r="B146" s="7" t="str">
        <f t="shared" si="40"/>
        <v/>
      </c>
      <c r="C146" s="50">
        <f>IF(D93="","-",+C145+1)</f>
        <v>2056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67"/>
        <v>0</v>
      </c>
      <c r="G146" s="55">
        <f t="shared" si="68"/>
        <v>0</v>
      </c>
      <c r="H146" s="380">
        <f t="shared" si="65"/>
        <v>0</v>
      </c>
      <c r="I146" s="399">
        <f t="shared" si="66"/>
        <v>0</v>
      </c>
      <c r="J146" s="54">
        <f t="shared" si="69"/>
        <v>0</v>
      </c>
      <c r="K146" s="54"/>
      <c r="L146" s="129"/>
      <c r="M146" s="54">
        <f t="shared" si="70"/>
        <v>0</v>
      </c>
      <c r="N146" s="129"/>
      <c r="O146" s="54">
        <f t="shared" si="71"/>
        <v>0</v>
      </c>
      <c r="P146" s="54">
        <f t="shared" si="72"/>
        <v>0</v>
      </c>
      <c r="Q146" s="1"/>
    </row>
    <row r="147" spans="2:17" ht="12.5">
      <c r="B147" s="7" t="str">
        <f t="shared" si="40"/>
        <v/>
      </c>
      <c r="C147" s="50">
        <f>IF(D93="","-",+C146+1)</f>
        <v>2057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67"/>
        <v>0</v>
      </c>
      <c r="G147" s="55">
        <f t="shared" si="68"/>
        <v>0</v>
      </c>
      <c r="H147" s="380">
        <f t="shared" si="65"/>
        <v>0</v>
      </c>
      <c r="I147" s="399">
        <f t="shared" si="66"/>
        <v>0</v>
      </c>
      <c r="J147" s="54">
        <f t="shared" si="69"/>
        <v>0</v>
      </c>
      <c r="K147" s="54"/>
      <c r="L147" s="129"/>
      <c r="M147" s="54">
        <f t="shared" si="70"/>
        <v>0</v>
      </c>
      <c r="N147" s="129"/>
      <c r="O147" s="54">
        <f t="shared" si="71"/>
        <v>0</v>
      </c>
      <c r="P147" s="54">
        <f t="shared" si="72"/>
        <v>0</v>
      </c>
      <c r="Q147" s="1"/>
    </row>
    <row r="148" spans="2:17" ht="12.5">
      <c r="B148" s="7" t="str">
        <f t="shared" si="40"/>
        <v/>
      </c>
      <c r="C148" s="50">
        <f>IF(D93="","-",+C147+1)</f>
        <v>2058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67"/>
        <v>0</v>
      </c>
      <c r="G148" s="55">
        <f t="shared" si="68"/>
        <v>0</v>
      </c>
      <c r="H148" s="380">
        <f t="shared" si="65"/>
        <v>0</v>
      </c>
      <c r="I148" s="399">
        <f t="shared" si="66"/>
        <v>0</v>
      </c>
      <c r="J148" s="54">
        <f t="shared" si="69"/>
        <v>0</v>
      </c>
      <c r="K148" s="54"/>
      <c r="L148" s="129"/>
      <c r="M148" s="54">
        <f t="shared" si="70"/>
        <v>0</v>
      </c>
      <c r="N148" s="129"/>
      <c r="O148" s="54">
        <f t="shared" si="71"/>
        <v>0</v>
      </c>
      <c r="P148" s="54">
        <f t="shared" si="72"/>
        <v>0</v>
      </c>
      <c r="Q148" s="1"/>
    </row>
    <row r="149" spans="2:17" ht="12.5">
      <c r="B149" s="7" t="str">
        <f t="shared" si="40"/>
        <v/>
      </c>
      <c r="C149" s="50">
        <f>IF(D93="","-",+C148+1)</f>
        <v>2059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67"/>
        <v>0</v>
      </c>
      <c r="G149" s="55">
        <f t="shared" si="68"/>
        <v>0</v>
      </c>
      <c r="H149" s="380">
        <f t="shared" si="65"/>
        <v>0</v>
      </c>
      <c r="I149" s="399">
        <f t="shared" si="66"/>
        <v>0</v>
      </c>
      <c r="J149" s="54">
        <f t="shared" si="69"/>
        <v>0</v>
      </c>
      <c r="K149" s="54"/>
      <c r="L149" s="129"/>
      <c r="M149" s="54">
        <f t="shared" si="70"/>
        <v>0</v>
      </c>
      <c r="N149" s="129"/>
      <c r="O149" s="54">
        <f t="shared" si="71"/>
        <v>0</v>
      </c>
      <c r="P149" s="54">
        <f t="shared" si="72"/>
        <v>0</v>
      </c>
      <c r="Q149" s="1"/>
    </row>
    <row r="150" spans="2:17" ht="12.5">
      <c r="B150" s="7" t="str">
        <f t="shared" si="40"/>
        <v/>
      </c>
      <c r="C150" s="50">
        <f>IF(D93="","-",+C149+1)</f>
        <v>2060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67"/>
        <v>0</v>
      </c>
      <c r="G150" s="55">
        <f t="shared" si="68"/>
        <v>0</v>
      </c>
      <c r="H150" s="380">
        <f t="shared" si="65"/>
        <v>0</v>
      </c>
      <c r="I150" s="399">
        <f t="shared" si="66"/>
        <v>0</v>
      </c>
      <c r="J150" s="54">
        <f t="shared" si="69"/>
        <v>0</v>
      </c>
      <c r="K150" s="54"/>
      <c r="L150" s="129"/>
      <c r="M150" s="54">
        <f t="shared" si="70"/>
        <v>0</v>
      </c>
      <c r="N150" s="129"/>
      <c r="O150" s="54">
        <f t="shared" si="71"/>
        <v>0</v>
      </c>
      <c r="P150" s="54">
        <f t="shared" si="72"/>
        <v>0</v>
      </c>
      <c r="Q150" s="1"/>
    </row>
    <row r="151" spans="2:17" ht="12.5">
      <c r="B151" s="7" t="str">
        <f t="shared" si="40"/>
        <v/>
      </c>
      <c r="C151" s="50">
        <f>IF(D93="","-",+C150+1)</f>
        <v>2061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67"/>
        <v>0</v>
      </c>
      <c r="G151" s="55">
        <f t="shared" si="68"/>
        <v>0</v>
      </c>
      <c r="H151" s="380">
        <f t="shared" si="65"/>
        <v>0</v>
      </c>
      <c r="I151" s="399">
        <f t="shared" si="66"/>
        <v>0</v>
      </c>
      <c r="J151" s="54">
        <f t="shared" si="69"/>
        <v>0</v>
      </c>
      <c r="K151" s="54"/>
      <c r="L151" s="129"/>
      <c r="M151" s="54">
        <f t="shared" si="70"/>
        <v>0</v>
      </c>
      <c r="N151" s="129"/>
      <c r="O151" s="54">
        <f t="shared" si="71"/>
        <v>0</v>
      </c>
      <c r="P151" s="54">
        <f t="shared" si="72"/>
        <v>0</v>
      </c>
      <c r="Q151" s="1"/>
    </row>
    <row r="152" spans="2:17" ht="12.5">
      <c r="B152" s="7" t="str">
        <f t="shared" si="40"/>
        <v/>
      </c>
      <c r="C152" s="50">
        <f>IF(D93="","-",+C151+1)</f>
        <v>2062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67"/>
        <v>0</v>
      </c>
      <c r="G152" s="55">
        <f t="shared" si="68"/>
        <v>0</v>
      </c>
      <c r="H152" s="380">
        <f t="shared" si="65"/>
        <v>0</v>
      </c>
      <c r="I152" s="399">
        <f t="shared" si="66"/>
        <v>0</v>
      </c>
      <c r="J152" s="54">
        <f t="shared" si="69"/>
        <v>0</v>
      </c>
      <c r="K152" s="54"/>
      <c r="L152" s="129"/>
      <c r="M152" s="54">
        <f t="shared" si="70"/>
        <v>0</v>
      </c>
      <c r="N152" s="129"/>
      <c r="O152" s="54">
        <f t="shared" si="71"/>
        <v>0</v>
      </c>
      <c r="P152" s="54">
        <f t="shared" si="72"/>
        <v>0</v>
      </c>
      <c r="Q152" s="1"/>
    </row>
    <row r="153" spans="2:17" ht="12.5">
      <c r="B153" s="7" t="str">
        <f t="shared" si="40"/>
        <v/>
      </c>
      <c r="C153" s="50">
        <f>IF(D93="","-",+C152+1)</f>
        <v>2063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67"/>
        <v>0</v>
      </c>
      <c r="G153" s="55">
        <f t="shared" si="68"/>
        <v>0</v>
      </c>
      <c r="H153" s="380">
        <f t="shared" si="65"/>
        <v>0</v>
      </c>
      <c r="I153" s="399">
        <f t="shared" si="66"/>
        <v>0</v>
      </c>
      <c r="J153" s="54">
        <f t="shared" si="69"/>
        <v>0</v>
      </c>
      <c r="K153" s="54"/>
      <c r="L153" s="129"/>
      <c r="M153" s="54">
        <f t="shared" si="70"/>
        <v>0</v>
      </c>
      <c r="N153" s="129"/>
      <c r="O153" s="54">
        <f t="shared" si="71"/>
        <v>0</v>
      </c>
      <c r="P153" s="54">
        <f t="shared" si="72"/>
        <v>0</v>
      </c>
      <c r="Q153" s="1"/>
    </row>
    <row r="154" spans="2:17" ht="13" thickBot="1">
      <c r="B154" s="7" t="str">
        <f t="shared" si="40"/>
        <v/>
      </c>
      <c r="C154" s="59">
        <f>IF(D93="","-",+C153+1)</f>
        <v>2064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67"/>
        <v>0</v>
      </c>
      <c r="G154" s="60">
        <f t="shared" si="68"/>
        <v>0</v>
      </c>
      <c r="H154" s="382">
        <f t="shared" si="65"/>
        <v>0</v>
      </c>
      <c r="I154" s="400">
        <f t="shared" si="66"/>
        <v>0</v>
      </c>
      <c r="J154" s="64">
        <f t="shared" si="69"/>
        <v>0</v>
      </c>
      <c r="K154" s="54"/>
      <c r="L154" s="130"/>
      <c r="M154" s="64">
        <f t="shared" si="70"/>
        <v>0</v>
      </c>
      <c r="N154" s="130"/>
      <c r="O154" s="64">
        <f t="shared" si="71"/>
        <v>0</v>
      </c>
      <c r="P154" s="64">
        <f t="shared" si="72"/>
        <v>0</v>
      </c>
      <c r="Q154" s="1"/>
    </row>
    <row r="155" spans="2:17" ht="12.5">
      <c r="C155" s="12" t="s">
        <v>78</v>
      </c>
      <c r="D155" s="293"/>
      <c r="E155" s="293">
        <f>SUM(E99:E154)</f>
        <v>17671482.000000015</v>
      </c>
      <c r="F155" s="293"/>
      <c r="G155" s="293"/>
      <c r="H155" s="293">
        <f>SUM(H99:H154)</f>
        <v>66814588.181824088</v>
      </c>
      <c r="I155" s="293">
        <f>SUM(I99:I154)</f>
        <v>66814588.181824088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 ht="12.5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 ht="12.5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55" priority="1" stopIfTrue="1" operator="equal">
      <formula>$I$10</formula>
    </cfRule>
  </conditionalFormatting>
  <conditionalFormatting sqref="C99:C154">
    <cfRule type="cellIs" dxfId="15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86"/>
  <dimension ref="A1:Q162"/>
  <sheetViews>
    <sheetView topLeftCell="A87" zoomScaleNormal="100" zoomScaleSheetLayoutView="75" workbookViewId="0">
      <selection activeCell="D28" sqref="D28:H28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37 of 77</v>
      </c>
      <c r="Q1" s="13"/>
    </row>
    <row r="2" spans="1:17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7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560401.97872855526</v>
      </c>
      <c r="P5" s="1"/>
    </row>
    <row r="6" spans="1:17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560401.97872855526</v>
      </c>
      <c r="O6" s="1"/>
      <c r="P6" s="1"/>
    </row>
    <row r="7" spans="1:17" ht="13.5" thickBot="1">
      <c r="C7" s="25" t="s">
        <v>48</v>
      </c>
      <c r="D7" s="90" t="s">
        <v>303</v>
      </c>
      <c r="E7" s="406"/>
      <c r="F7" s="406"/>
      <c r="G7" s="406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302</v>
      </c>
      <c r="E9" s="31" t="s">
        <v>494</v>
      </c>
      <c r="F9" s="462">
        <v>1023</v>
      </c>
      <c r="G9" s="31"/>
      <c r="H9" s="31"/>
      <c r="I9" s="32"/>
      <c r="J9" s="33"/>
      <c r="P9" s="1"/>
    </row>
    <row r="10" spans="1:17" ht="13">
      <c r="C10" s="34" t="s">
        <v>51</v>
      </c>
      <c r="D10" s="363">
        <v>5048526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7" ht="12.5">
      <c r="C11" s="34" t="s">
        <v>54</v>
      </c>
      <c r="D11" s="37">
        <v>2013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3">
        <v>6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114739.22727272728</v>
      </c>
      <c r="J14" s="293"/>
      <c r="K14" s="293"/>
      <c r="L14" s="293"/>
      <c r="M14" s="293"/>
      <c r="N14" s="293"/>
      <c r="O14" s="1"/>
      <c r="P14" s="1"/>
    </row>
    <row r="15" spans="1:17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2013</v>
      </c>
      <c r="D17" s="426">
        <v>4585200</v>
      </c>
      <c r="E17" s="427">
        <v>54585.71428571429</v>
      </c>
      <c r="F17" s="426">
        <v>4530614.2857142854</v>
      </c>
      <c r="G17" s="427">
        <v>688813.18815380184</v>
      </c>
      <c r="H17" s="421">
        <v>688813.18815380184</v>
      </c>
      <c r="I17" s="423">
        <v>0</v>
      </c>
      <c r="J17" s="52"/>
      <c r="K17" s="112">
        <f t="shared" ref="K17:K22" si="0">G17</f>
        <v>688813.18815380184</v>
      </c>
      <c r="L17" s="53">
        <f t="shared" ref="L17:L22" si="1">IF(K17&lt;&gt;0,+G17-K17,0)</f>
        <v>0</v>
      </c>
      <c r="M17" s="112">
        <f t="shared" ref="M17:M22" si="2">H17</f>
        <v>688813.18815380184</v>
      </c>
      <c r="N17" s="53">
        <f t="shared" ref="N17:N22" si="3">IF(M17&lt;&gt;0,+H17-M17,0)</f>
        <v>0</v>
      </c>
      <c r="O17" s="54">
        <f t="shared" ref="O17:O22" si="4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2014</v>
      </c>
      <c r="D18" s="426">
        <v>4530614.2857142854</v>
      </c>
      <c r="E18" s="420">
        <v>120194.88095238095</v>
      </c>
      <c r="F18" s="426">
        <v>4410419.4047619049</v>
      </c>
      <c r="G18" s="420">
        <v>715206.80444444832</v>
      </c>
      <c r="H18" s="421">
        <v>715206.80444444832</v>
      </c>
      <c r="I18" s="423">
        <v>0</v>
      </c>
      <c r="J18" s="52"/>
      <c r="K18" s="113">
        <f t="shared" si="0"/>
        <v>715206.80444444832</v>
      </c>
      <c r="L18" s="54">
        <f t="shared" si="1"/>
        <v>0</v>
      </c>
      <c r="M18" s="113">
        <f t="shared" si="2"/>
        <v>715206.80444444832</v>
      </c>
      <c r="N18" s="54">
        <f t="shared" si="3"/>
        <v>0</v>
      </c>
      <c r="O18" s="54">
        <f t="shared" si="4"/>
        <v>0</v>
      </c>
      <c r="P18" s="1"/>
    </row>
    <row r="19" spans="2:16" ht="12.5">
      <c r="B19" s="7" t="str">
        <f>IF(D19=F18,"","IU")</f>
        <v/>
      </c>
      <c r="C19" s="50">
        <f>IF(D11="","-",+C18+1)</f>
        <v>2015</v>
      </c>
      <c r="D19" s="426">
        <v>4410419.4047619049</v>
      </c>
      <c r="E19" s="420">
        <v>120203</v>
      </c>
      <c r="F19" s="426">
        <v>4290216.4047619049</v>
      </c>
      <c r="G19" s="420">
        <v>685245.09772932425</v>
      </c>
      <c r="H19" s="421">
        <v>685245.09772932425</v>
      </c>
      <c r="I19" s="52">
        <v>0</v>
      </c>
      <c r="J19" s="52"/>
      <c r="K19" s="113">
        <f t="shared" si="0"/>
        <v>685245.09772932425</v>
      </c>
      <c r="L19" s="54">
        <f t="shared" si="1"/>
        <v>0</v>
      </c>
      <c r="M19" s="113">
        <f t="shared" si="2"/>
        <v>685245.09772932425</v>
      </c>
      <c r="N19" s="54">
        <f t="shared" si="3"/>
        <v>0</v>
      </c>
      <c r="O19" s="54">
        <f t="shared" si="4"/>
        <v>0</v>
      </c>
      <c r="P19" s="1"/>
    </row>
    <row r="20" spans="2:16" ht="12.5">
      <c r="B20" s="7" t="str">
        <f t="shared" ref="B20:B72" si="5">IF(D20=F19,"","IU")</f>
        <v>IU</v>
      </c>
      <c r="C20" s="50">
        <f>IF(D11="","-",+C19+1)</f>
        <v>2016</v>
      </c>
      <c r="D20" s="426">
        <v>4753542.4047619049</v>
      </c>
      <c r="E20" s="420">
        <v>120203</v>
      </c>
      <c r="F20" s="426">
        <v>4633339.4047619049</v>
      </c>
      <c r="G20" s="420">
        <v>722907.67402559891</v>
      </c>
      <c r="H20" s="421">
        <v>722907.67402559891</v>
      </c>
      <c r="I20" s="52">
        <f>H20-G20</f>
        <v>0</v>
      </c>
      <c r="J20" s="52"/>
      <c r="K20" s="113">
        <f t="shared" si="0"/>
        <v>722907.67402559891</v>
      </c>
      <c r="L20" s="54">
        <f t="shared" si="1"/>
        <v>0</v>
      </c>
      <c r="M20" s="113">
        <f t="shared" si="2"/>
        <v>722907.67402559891</v>
      </c>
      <c r="N20" s="54">
        <f t="shared" si="3"/>
        <v>0</v>
      </c>
      <c r="O20" s="54">
        <f t="shared" si="4"/>
        <v>0</v>
      </c>
      <c r="P20" s="1"/>
    </row>
    <row r="21" spans="2:16" ht="12.5">
      <c r="B21" s="7" t="str">
        <f t="shared" si="5"/>
        <v/>
      </c>
      <c r="C21" s="50">
        <f>IF(D11="","-",+C20+1)</f>
        <v>2017</v>
      </c>
      <c r="D21" s="426">
        <v>4633339.4047619049</v>
      </c>
      <c r="E21" s="420">
        <v>117407.58139534884</v>
      </c>
      <c r="F21" s="426">
        <v>4515931.8233665563</v>
      </c>
      <c r="G21" s="420">
        <v>684170.77799365029</v>
      </c>
      <c r="H21" s="421">
        <v>684170.77799365029</v>
      </c>
      <c r="I21" s="52">
        <f t="shared" ref="I21:I72" si="6">H21-G21</f>
        <v>0</v>
      </c>
      <c r="J21" s="52"/>
      <c r="K21" s="113">
        <f t="shared" si="0"/>
        <v>684170.77799365029</v>
      </c>
      <c r="L21" s="54">
        <f t="shared" si="1"/>
        <v>0</v>
      </c>
      <c r="M21" s="113">
        <f t="shared" si="2"/>
        <v>684170.77799365029</v>
      </c>
      <c r="N21" s="54">
        <f t="shared" si="3"/>
        <v>0</v>
      </c>
      <c r="O21" s="54">
        <f t="shared" si="4"/>
        <v>0</v>
      </c>
      <c r="P21" s="1"/>
    </row>
    <row r="22" spans="2:16" ht="12.5">
      <c r="B22" s="7" t="str">
        <f t="shared" si="5"/>
        <v/>
      </c>
      <c r="C22" s="50">
        <f>IF(D11="","-",+C21+1)</f>
        <v>2018</v>
      </c>
      <c r="D22" s="426">
        <v>4515931.8233665563</v>
      </c>
      <c r="E22" s="420">
        <v>123134.78048780488</v>
      </c>
      <c r="F22" s="426">
        <v>4392797.0428787516</v>
      </c>
      <c r="G22" s="420">
        <v>689258.21441361541</v>
      </c>
      <c r="H22" s="421">
        <v>689258.21441361541</v>
      </c>
      <c r="I22" s="52">
        <f t="shared" si="6"/>
        <v>0</v>
      </c>
      <c r="J22" s="52"/>
      <c r="K22" s="113">
        <f t="shared" si="0"/>
        <v>689258.21441361541</v>
      </c>
      <c r="L22" s="54">
        <f t="shared" si="1"/>
        <v>0</v>
      </c>
      <c r="M22" s="113">
        <f t="shared" si="2"/>
        <v>689258.21441361541</v>
      </c>
      <c r="N22" s="54">
        <f t="shared" si="3"/>
        <v>0</v>
      </c>
      <c r="O22" s="54">
        <f t="shared" si="4"/>
        <v>0</v>
      </c>
      <c r="P22" s="1"/>
    </row>
    <row r="23" spans="2:16" ht="12.5">
      <c r="B23" s="7" t="str">
        <f t="shared" si="5"/>
        <v/>
      </c>
      <c r="C23" s="50">
        <f>IF(D11="","-",+C22+1)</f>
        <v>2019</v>
      </c>
      <c r="D23" s="426">
        <v>4392797.0428787516</v>
      </c>
      <c r="E23" s="420">
        <v>123134.78048780488</v>
      </c>
      <c r="F23" s="426">
        <v>4269662.262390947</v>
      </c>
      <c r="G23" s="420">
        <v>673608.51044078905</v>
      </c>
      <c r="H23" s="421">
        <v>673608.51044078905</v>
      </c>
      <c r="I23" s="52">
        <f t="shared" si="6"/>
        <v>0</v>
      </c>
      <c r="J23" s="52"/>
      <c r="K23" s="113">
        <f t="shared" ref="K23" si="7">G23</f>
        <v>673608.51044078905</v>
      </c>
      <c r="L23" s="54">
        <f t="shared" ref="L23" si="8">IF(K23&lt;&gt;0,+G23-K23,0)</f>
        <v>0</v>
      </c>
      <c r="M23" s="113">
        <f t="shared" ref="M23" si="9">H23</f>
        <v>673608.51044078905</v>
      </c>
      <c r="N23" s="54">
        <f t="shared" ref="N23:N72" si="10">IF(M23&lt;&gt;0,+H23-M23,0)</f>
        <v>0</v>
      </c>
      <c r="O23" s="54">
        <f t="shared" ref="O23:O72" si="11">+N23-L23</f>
        <v>0</v>
      </c>
      <c r="P23" s="1"/>
    </row>
    <row r="24" spans="2:16" ht="12.5">
      <c r="B24" s="7" t="str">
        <f t="shared" si="5"/>
        <v/>
      </c>
      <c r="C24" s="50">
        <f>IF(D11="","-",+C23+1)</f>
        <v>2020</v>
      </c>
      <c r="D24" s="426">
        <v>4269662.262390947</v>
      </c>
      <c r="E24" s="420">
        <v>123134.78048780488</v>
      </c>
      <c r="F24" s="426">
        <v>4146527.4819031423</v>
      </c>
      <c r="G24" s="420">
        <v>553772.08511902799</v>
      </c>
      <c r="H24" s="421">
        <v>553772.08511902799</v>
      </c>
      <c r="I24" s="52">
        <f t="shared" si="6"/>
        <v>0</v>
      </c>
      <c r="J24" s="52"/>
      <c r="K24" s="113">
        <f t="shared" ref="K24" si="12">G24</f>
        <v>553772.08511902799</v>
      </c>
      <c r="L24" s="54">
        <f t="shared" ref="L24" si="13">IF(K24&lt;&gt;0,+G24-K24,0)</f>
        <v>0</v>
      </c>
      <c r="M24" s="113">
        <f t="shared" ref="M24" si="14">H24</f>
        <v>553772.08511902799</v>
      </c>
      <c r="N24" s="54">
        <f t="shared" si="10"/>
        <v>0</v>
      </c>
      <c r="O24" s="54">
        <f t="shared" si="11"/>
        <v>0</v>
      </c>
      <c r="P24" s="1"/>
    </row>
    <row r="25" spans="2:16" ht="12.5">
      <c r="B25" s="7" t="str">
        <f t="shared" si="5"/>
        <v>IU</v>
      </c>
      <c r="C25" s="50">
        <f>IF(D11="","-",+C24+1)</f>
        <v>2021</v>
      </c>
      <c r="D25" s="426">
        <v>4152254.680995597</v>
      </c>
      <c r="E25" s="420">
        <v>120203</v>
      </c>
      <c r="F25" s="426">
        <v>4032051.680995597</v>
      </c>
      <c r="G25" s="420">
        <v>553989.83619615703</v>
      </c>
      <c r="H25" s="421">
        <v>553989.83619615703</v>
      </c>
      <c r="I25" s="52">
        <f t="shared" si="6"/>
        <v>0</v>
      </c>
      <c r="J25" s="52"/>
      <c r="K25" s="113">
        <f t="shared" ref="K25" si="15">G25</f>
        <v>553989.83619615703</v>
      </c>
      <c r="L25" s="54">
        <f t="shared" ref="L25" si="16">IF(K25&lt;&gt;0,+G25-K25,0)</f>
        <v>0</v>
      </c>
      <c r="M25" s="113">
        <f t="shared" ref="M25" si="17">H25</f>
        <v>553989.83619615703</v>
      </c>
      <c r="N25" s="54">
        <f t="shared" si="10"/>
        <v>0</v>
      </c>
      <c r="O25" s="54">
        <f t="shared" si="11"/>
        <v>0</v>
      </c>
      <c r="P25" s="1"/>
    </row>
    <row r="26" spans="2:16" ht="12.5">
      <c r="B26" s="7" t="str">
        <f t="shared" si="5"/>
        <v>IU</v>
      </c>
      <c r="C26" s="50">
        <f>IF(D11="","-",+C25+1)</f>
        <v>2022</v>
      </c>
      <c r="D26" s="426">
        <v>4026324.4819031414</v>
      </c>
      <c r="E26" s="420">
        <v>120203</v>
      </c>
      <c r="F26" s="426">
        <v>3906121.4819031414</v>
      </c>
      <c r="G26" s="420">
        <v>566181.36123697727</v>
      </c>
      <c r="H26" s="421">
        <v>566181.36123697727</v>
      </c>
      <c r="I26" s="52">
        <f t="shared" si="6"/>
        <v>0</v>
      </c>
      <c r="J26" s="52"/>
      <c r="K26" s="113">
        <f t="shared" ref="K26" si="18">G26</f>
        <v>566181.36123697727</v>
      </c>
      <c r="L26" s="54">
        <f t="shared" ref="L26" si="19">IF(K26&lt;&gt;0,+G26-K26,0)</f>
        <v>0</v>
      </c>
      <c r="M26" s="113">
        <f t="shared" ref="M26" si="20">H26</f>
        <v>566181.36123697727</v>
      </c>
      <c r="N26" s="54">
        <f t="shared" si="10"/>
        <v>0</v>
      </c>
      <c r="O26" s="54">
        <f t="shared" si="11"/>
        <v>0</v>
      </c>
      <c r="P26" s="1"/>
    </row>
    <row r="27" spans="2:16" ht="12.5">
      <c r="B27" s="7" t="str">
        <f t="shared" si="5"/>
        <v/>
      </c>
      <c r="C27" s="50">
        <f>IF(D11="","-",+C26+1)</f>
        <v>2023</v>
      </c>
      <c r="D27" s="426">
        <v>3906121.4819031414</v>
      </c>
      <c r="E27" s="420">
        <v>120203</v>
      </c>
      <c r="F27" s="426">
        <v>3785918.4819031414</v>
      </c>
      <c r="G27" s="420">
        <v>606058.35081928712</v>
      </c>
      <c r="H27" s="421">
        <v>606058.35081928712</v>
      </c>
      <c r="I27" s="52">
        <f t="shared" si="6"/>
        <v>0</v>
      </c>
      <c r="J27" s="52"/>
      <c r="K27" s="113">
        <f t="shared" ref="K27" si="21">G27</f>
        <v>606058.35081928712</v>
      </c>
      <c r="L27" s="54">
        <f t="shared" ref="L27" si="22">IF(K27&lt;&gt;0,+G27-K27,0)</f>
        <v>0</v>
      </c>
      <c r="M27" s="113">
        <f t="shared" ref="M27" si="23">H27</f>
        <v>606058.35081928712</v>
      </c>
      <c r="N27" s="54">
        <f t="shared" si="10"/>
        <v>0</v>
      </c>
      <c r="O27" s="54">
        <f t="shared" si="11"/>
        <v>0</v>
      </c>
      <c r="P27" s="1"/>
    </row>
    <row r="28" spans="2:16" ht="12.5">
      <c r="B28" s="7" t="str">
        <f t="shared" si="5"/>
        <v/>
      </c>
      <c r="C28" s="50">
        <f>IF(D11="","-",+C27+1)</f>
        <v>2024</v>
      </c>
      <c r="D28" s="426">
        <v>3785918.4819031414</v>
      </c>
      <c r="E28" s="420">
        <v>114739.22727272728</v>
      </c>
      <c r="F28" s="426">
        <v>3671179.2546304143</v>
      </c>
      <c r="G28" s="420">
        <v>560401.97872855526</v>
      </c>
      <c r="H28" s="421">
        <v>560401.97872855526</v>
      </c>
      <c r="I28" s="52">
        <v>0</v>
      </c>
      <c r="J28" s="52"/>
      <c r="K28" s="113">
        <f t="shared" ref="K28" si="24">G28</f>
        <v>560401.97872855526</v>
      </c>
      <c r="L28" s="54">
        <f t="shared" ref="L28" si="25">IF(K28&lt;&gt;0,+G28-K28,0)</f>
        <v>0</v>
      </c>
      <c r="M28" s="113">
        <f t="shared" ref="M28" si="26">H28</f>
        <v>560401.97872855526</v>
      </c>
      <c r="N28" s="54">
        <f t="shared" ref="N28" si="27">IF(M28&lt;&gt;0,+H28-M28,0)</f>
        <v>0</v>
      </c>
      <c r="O28" s="54">
        <f t="shared" ref="O28" si="28">+N28-L28</f>
        <v>0</v>
      </c>
      <c r="P28" s="1"/>
    </row>
    <row r="29" spans="2:16" ht="12.5">
      <c r="B29" s="7" t="str">
        <f t="shared" si="5"/>
        <v/>
      </c>
      <c r="C29" s="50">
        <f>IF(D11="","-",+C28+1)</f>
        <v>2025</v>
      </c>
      <c r="D29" s="55">
        <f>IF(F28+SUM(E$17:E28)=D$10,F28,D$10-SUM(E$17:E28))</f>
        <v>3671179.2546304143</v>
      </c>
      <c r="E29" s="378">
        <f t="shared" ref="E29:E72" si="29">IF(+$I$14&lt;F28,$I$14,D29)</f>
        <v>114739.22727272728</v>
      </c>
      <c r="F29" s="55">
        <f t="shared" ref="F29:F72" si="30">+D29-E29</f>
        <v>3556440.0273576872</v>
      </c>
      <c r="G29" s="379">
        <f t="shared" ref="G29:G52" si="31">+I$12*((D29+F29)/2)+E29</f>
        <v>546687.52800444572</v>
      </c>
      <c r="H29" s="364">
        <f t="shared" ref="H29:H52" si="32">+I$13*((D29+F29)/2)+E29</f>
        <v>546687.52800444572</v>
      </c>
      <c r="I29" s="52">
        <f t="shared" si="6"/>
        <v>0</v>
      </c>
      <c r="J29" s="52"/>
      <c r="K29" s="129"/>
      <c r="L29" s="54">
        <f t="shared" ref="L29:L72" si="33">IF(K29&lt;&gt;0,+G29-K29,0)</f>
        <v>0</v>
      </c>
      <c r="M29" s="129"/>
      <c r="N29" s="54">
        <f t="shared" si="10"/>
        <v>0</v>
      </c>
      <c r="O29" s="54">
        <f t="shared" si="11"/>
        <v>0</v>
      </c>
      <c r="P29" s="1"/>
    </row>
    <row r="30" spans="2:16" ht="12.5">
      <c r="B30" s="7" t="str">
        <f t="shared" si="5"/>
        <v/>
      </c>
      <c r="C30" s="50">
        <f>IF(D11="","-",+C29+1)</f>
        <v>2026</v>
      </c>
      <c r="D30" s="55">
        <f>IF(F29+SUM(E$17:E29)=D$10,F29,D$10-SUM(E$17:E29))</f>
        <v>3556440.0273576872</v>
      </c>
      <c r="E30" s="378">
        <f t="shared" si="29"/>
        <v>114739.22727272728</v>
      </c>
      <c r="F30" s="55">
        <f t="shared" si="30"/>
        <v>3441700.8000849602</v>
      </c>
      <c r="G30" s="379">
        <f t="shared" si="31"/>
        <v>532973.07728033618</v>
      </c>
      <c r="H30" s="364">
        <f t="shared" si="32"/>
        <v>532973.07728033618</v>
      </c>
      <c r="I30" s="52">
        <f t="shared" si="6"/>
        <v>0</v>
      </c>
      <c r="J30" s="52"/>
      <c r="K30" s="129"/>
      <c r="L30" s="54">
        <f t="shared" si="33"/>
        <v>0</v>
      </c>
      <c r="M30" s="129"/>
      <c r="N30" s="54">
        <f t="shared" si="10"/>
        <v>0</v>
      </c>
      <c r="O30" s="54">
        <f t="shared" si="11"/>
        <v>0</v>
      </c>
      <c r="P30" s="1"/>
    </row>
    <row r="31" spans="2:16" ht="12.5">
      <c r="B31" s="7" t="str">
        <f t="shared" si="5"/>
        <v/>
      </c>
      <c r="C31" s="50">
        <f>IF(D11="","-",+C30+1)</f>
        <v>2027</v>
      </c>
      <c r="D31" s="55">
        <f>IF(F30+SUM(E$17:E30)=D$10,F30,D$10-SUM(E$17:E30))</f>
        <v>3441700.8000849602</v>
      </c>
      <c r="E31" s="378">
        <f t="shared" si="29"/>
        <v>114739.22727272728</v>
      </c>
      <c r="F31" s="55">
        <f t="shared" si="30"/>
        <v>3326961.5728122331</v>
      </c>
      <c r="G31" s="379">
        <f t="shared" si="31"/>
        <v>519258.62655622663</v>
      </c>
      <c r="H31" s="364">
        <f t="shared" si="32"/>
        <v>519258.62655622663</v>
      </c>
      <c r="I31" s="52">
        <f t="shared" si="6"/>
        <v>0</v>
      </c>
      <c r="J31" s="52"/>
      <c r="K31" s="129"/>
      <c r="L31" s="54">
        <f t="shared" si="33"/>
        <v>0</v>
      </c>
      <c r="M31" s="129"/>
      <c r="N31" s="54">
        <f t="shared" si="10"/>
        <v>0</v>
      </c>
      <c r="O31" s="54">
        <f t="shared" si="11"/>
        <v>0</v>
      </c>
      <c r="P31" s="1"/>
    </row>
    <row r="32" spans="2:16" ht="12.5">
      <c r="B32" s="7" t="str">
        <f t="shared" si="5"/>
        <v/>
      </c>
      <c r="C32" s="50">
        <f>IF(D11="","-",+C31+1)</f>
        <v>2028</v>
      </c>
      <c r="D32" s="55">
        <f>IF(F31+SUM(E$17:E31)=D$10,F31,D$10-SUM(E$17:E31))</f>
        <v>3326961.5728122331</v>
      </c>
      <c r="E32" s="378">
        <f t="shared" si="29"/>
        <v>114739.22727272728</v>
      </c>
      <c r="F32" s="55">
        <f t="shared" si="30"/>
        <v>3212222.3455395061</v>
      </c>
      <c r="G32" s="379">
        <f t="shared" si="31"/>
        <v>505544.17583211715</v>
      </c>
      <c r="H32" s="364">
        <f t="shared" si="32"/>
        <v>505544.17583211715</v>
      </c>
      <c r="I32" s="52">
        <f t="shared" si="6"/>
        <v>0</v>
      </c>
      <c r="J32" s="52"/>
      <c r="K32" s="129"/>
      <c r="L32" s="54">
        <f t="shared" si="33"/>
        <v>0</v>
      </c>
      <c r="M32" s="129"/>
      <c r="N32" s="54">
        <f t="shared" si="10"/>
        <v>0</v>
      </c>
      <c r="O32" s="54">
        <f t="shared" si="11"/>
        <v>0</v>
      </c>
      <c r="P32" s="1"/>
    </row>
    <row r="33" spans="2:16" ht="12.5">
      <c r="B33" s="7" t="str">
        <f t="shared" si="5"/>
        <v/>
      </c>
      <c r="C33" s="50">
        <f>IF(D11="","-",+C32+1)</f>
        <v>2029</v>
      </c>
      <c r="D33" s="55">
        <f>IF(F32+SUM(E$17:E32)=D$10,F32,D$10-SUM(E$17:E32))</f>
        <v>3212222.3455395061</v>
      </c>
      <c r="E33" s="378">
        <f t="shared" si="29"/>
        <v>114739.22727272728</v>
      </c>
      <c r="F33" s="55">
        <f t="shared" si="30"/>
        <v>3097483.118266779</v>
      </c>
      <c r="G33" s="379">
        <f t="shared" si="31"/>
        <v>491829.72510800755</v>
      </c>
      <c r="H33" s="364">
        <f t="shared" si="32"/>
        <v>491829.72510800755</v>
      </c>
      <c r="I33" s="52">
        <f t="shared" si="6"/>
        <v>0</v>
      </c>
      <c r="J33" s="52"/>
      <c r="K33" s="129"/>
      <c r="L33" s="54">
        <f t="shared" si="33"/>
        <v>0</v>
      </c>
      <c r="M33" s="129"/>
      <c r="N33" s="54">
        <f t="shared" si="10"/>
        <v>0</v>
      </c>
      <c r="O33" s="54">
        <f t="shared" si="11"/>
        <v>0</v>
      </c>
      <c r="P33" s="1"/>
    </row>
    <row r="34" spans="2:16" ht="12.5">
      <c r="B34" s="7" t="str">
        <f t="shared" si="5"/>
        <v/>
      </c>
      <c r="C34" s="50">
        <f>IF(D11="","-",+C33+1)</f>
        <v>2030</v>
      </c>
      <c r="D34" s="55">
        <f>IF(F33+SUM(E$17:E33)=D$10,F33,D$10-SUM(E$17:E33))</f>
        <v>3097483.118266779</v>
      </c>
      <c r="E34" s="378">
        <f t="shared" si="29"/>
        <v>114739.22727272728</v>
      </c>
      <c r="F34" s="55">
        <f t="shared" si="30"/>
        <v>2982743.8909940519</v>
      </c>
      <c r="G34" s="379">
        <f t="shared" si="31"/>
        <v>478115.27438389807</v>
      </c>
      <c r="H34" s="364">
        <f t="shared" si="32"/>
        <v>478115.27438389807</v>
      </c>
      <c r="I34" s="52">
        <f t="shared" si="6"/>
        <v>0</v>
      </c>
      <c r="J34" s="52"/>
      <c r="K34" s="129"/>
      <c r="L34" s="54">
        <f t="shared" si="33"/>
        <v>0</v>
      </c>
      <c r="M34" s="129"/>
      <c r="N34" s="54">
        <f t="shared" si="10"/>
        <v>0</v>
      </c>
      <c r="O34" s="54">
        <f t="shared" si="11"/>
        <v>0</v>
      </c>
      <c r="P34" s="1"/>
    </row>
    <row r="35" spans="2:16" ht="12.5">
      <c r="B35" s="7" t="str">
        <f t="shared" si="5"/>
        <v/>
      </c>
      <c r="C35" s="50">
        <f>IF(D11="","-",+C34+1)</f>
        <v>2031</v>
      </c>
      <c r="D35" s="55">
        <f>IF(F34+SUM(E$17:E34)=D$10,F34,D$10-SUM(E$17:E34))</f>
        <v>2982743.8909940519</v>
      </c>
      <c r="E35" s="378">
        <f t="shared" si="29"/>
        <v>114739.22727272728</v>
      </c>
      <c r="F35" s="55">
        <f t="shared" si="30"/>
        <v>2868004.6637213249</v>
      </c>
      <c r="G35" s="379">
        <f t="shared" si="31"/>
        <v>464400.82365978847</v>
      </c>
      <c r="H35" s="364">
        <f t="shared" si="32"/>
        <v>464400.82365978847</v>
      </c>
      <c r="I35" s="52">
        <f t="shared" si="6"/>
        <v>0</v>
      </c>
      <c r="J35" s="52"/>
      <c r="K35" s="129"/>
      <c r="L35" s="54">
        <f t="shared" si="33"/>
        <v>0</v>
      </c>
      <c r="M35" s="129"/>
      <c r="N35" s="54">
        <f t="shared" si="10"/>
        <v>0</v>
      </c>
      <c r="O35" s="54">
        <f t="shared" si="11"/>
        <v>0</v>
      </c>
      <c r="P35" s="1"/>
    </row>
    <row r="36" spans="2:16" ht="12.5">
      <c r="B36" s="7" t="str">
        <f t="shared" si="5"/>
        <v/>
      </c>
      <c r="C36" s="50">
        <f>IF(D11="","-",+C35+1)</f>
        <v>2032</v>
      </c>
      <c r="D36" s="55">
        <f>IF(F35+SUM(E$17:E35)=D$10,F35,D$10-SUM(E$17:E35))</f>
        <v>2868004.6637213249</v>
      </c>
      <c r="E36" s="378">
        <f t="shared" si="29"/>
        <v>114739.22727272728</v>
      </c>
      <c r="F36" s="55">
        <f t="shared" si="30"/>
        <v>2753265.4364485978</v>
      </c>
      <c r="G36" s="379">
        <f t="shared" si="31"/>
        <v>450686.37293567898</v>
      </c>
      <c r="H36" s="364">
        <f t="shared" si="32"/>
        <v>450686.37293567898</v>
      </c>
      <c r="I36" s="52">
        <f t="shared" si="6"/>
        <v>0</v>
      </c>
      <c r="J36" s="52"/>
      <c r="K36" s="129"/>
      <c r="L36" s="54">
        <f t="shared" si="33"/>
        <v>0</v>
      </c>
      <c r="M36" s="129"/>
      <c r="N36" s="54">
        <f t="shared" si="10"/>
        <v>0</v>
      </c>
      <c r="O36" s="54">
        <f t="shared" si="11"/>
        <v>0</v>
      </c>
      <c r="P36" s="1"/>
    </row>
    <row r="37" spans="2:16" ht="12.5">
      <c r="B37" s="7" t="str">
        <f t="shared" si="5"/>
        <v/>
      </c>
      <c r="C37" s="50">
        <f>IF(D11="","-",+C36+1)</f>
        <v>2033</v>
      </c>
      <c r="D37" s="55">
        <f>IF(F36+SUM(E$17:E36)=D$10,F36,D$10-SUM(E$17:E36))</f>
        <v>2753265.4364485978</v>
      </c>
      <c r="E37" s="378">
        <f t="shared" si="29"/>
        <v>114739.22727272728</v>
      </c>
      <c r="F37" s="55">
        <f t="shared" si="30"/>
        <v>2638526.2091758708</v>
      </c>
      <c r="G37" s="379">
        <f t="shared" si="31"/>
        <v>436971.92221156938</v>
      </c>
      <c r="H37" s="364">
        <f t="shared" si="32"/>
        <v>436971.92221156938</v>
      </c>
      <c r="I37" s="52">
        <f t="shared" si="6"/>
        <v>0</v>
      </c>
      <c r="J37" s="52"/>
      <c r="K37" s="129"/>
      <c r="L37" s="54">
        <f t="shared" si="33"/>
        <v>0</v>
      </c>
      <c r="M37" s="129"/>
      <c r="N37" s="54">
        <f t="shared" si="10"/>
        <v>0</v>
      </c>
      <c r="O37" s="54">
        <f t="shared" si="11"/>
        <v>0</v>
      </c>
      <c r="P37" s="1"/>
    </row>
    <row r="38" spans="2:16" ht="12.5">
      <c r="B38" s="7" t="str">
        <f t="shared" si="5"/>
        <v/>
      </c>
      <c r="C38" s="50">
        <f>IF(D11="","-",+C37+1)</f>
        <v>2034</v>
      </c>
      <c r="D38" s="55">
        <f>IF(F37+SUM(E$17:E37)=D$10,F37,D$10-SUM(E$17:E37))</f>
        <v>2638526.2091758708</v>
      </c>
      <c r="E38" s="378">
        <f t="shared" si="29"/>
        <v>114739.22727272728</v>
      </c>
      <c r="F38" s="55">
        <f t="shared" si="30"/>
        <v>2523786.9819031437</v>
      </c>
      <c r="G38" s="379">
        <f t="shared" si="31"/>
        <v>423257.4714874599</v>
      </c>
      <c r="H38" s="364">
        <f t="shared" si="32"/>
        <v>423257.4714874599</v>
      </c>
      <c r="I38" s="52">
        <f t="shared" si="6"/>
        <v>0</v>
      </c>
      <c r="J38" s="52"/>
      <c r="K38" s="129"/>
      <c r="L38" s="54">
        <f t="shared" si="33"/>
        <v>0</v>
      </c>
      <c r="M38" s="129"/>
      <c r="N38" s="54">
        <f t="shared" si="10"/>
        <v>0</v>
      </c>
      <c r="O38" s="54">
        <f t="shared" si="11"/>
        <v>0</v>
      </c>
      <c r="P38" s="1"/>
    </row>
    <row r="39" spans="2:16" ht="12.5">
      <c r="B39" s="7" t="str">
        <f t="shared" si="5"/>
        <v/>
      </c>
      <c r="C39" s="50">
        <f>IF(D11="","-",+C38+1)</f>
        <v>2035</v>
      </c>
      <c r="D39" s="55">
        <f>IF(F38+SUM(E$17:E38)=D$10,F38,D$10-SUM(E$17:E38))</f>
        <v>2523786.9819031437</v>
      </c>
      <c r="E39" s="378">
        <f t="shared" si="29"/>
        <v>114739.22727272728</v>
      </c>
      <c r="F39" s="55">
        <f t="shared" si="30"/>
        <v>2409047.7546304166</v>
      </c>
      <c r="G39" s="379">
        <f t="shared" si="31"/>
        <v>409543.0207633503</v>
      </c>
      <c r="H39" s="364">
        <f t="shared" si="32"/>
        <v>409543.0207633503</v>
      </c>
      <c r="I39" s="52">
        <f t="shared" si="6"/>
        <v>0</v>
      </c>
      <c r="J39" s="52"/>
      <c r="K39" s="129"/>
      <c r="L39" s="54">
        <f t="shared" si="33"/>
        <v>0</v>
      </c>
      <c r="M39" s="129"/>
      <c r="N39" s="54">
        <f t="shared" si="10"/>
        <v>0</v>
      </c>
      <c r="O39" s="54">
        <f t="shared" si="11"/>
        <v>0</v>
      </c>
      <c r="P39" s="1"/>
    </row>
    <row r="40" spans="2:16" ht="12.5">
      <c r="B40" s="7" t="str">
        <f t="shared" si="5"/>
        <v/>
      </c>
      <c r="C40" s="50">
        <f>IF(D11="","-",+C39+1)</f>
        <v>2036</v>
      </c>
      <c r="D40" s="55">
        <f>IF(F39+SUM(E$17:E39)=D$10,F39,D$10-SUM(E$17:E39))</f>
        <v>2409047.7546304166</v>
      </c>
      <c r="E40" s="378">
        <f t="shared" si="29"/>
        <v>114739.22727272728</v>
      </c>
      <c r="F40" s="55">
        <f t="shared" si="30"/>
        <v>2294308.5273576896</v>
      </c>
      <c r="G40" s="379">
        <f t="shared" si="31"/>
        <v>395828.57003924082</v>
      </c>
      <c r="H40" s="364">
        <f t="shared" si="32"/>
        <v>395828.57003924082</v>
      </c>
      <c r="I40" s="52">
        <f t="shared" si="6"/>
        <v>0</v>
      </c>
      <c r="J40" s="52"/>
      <c r="K40" s="129"/>
      <c r="L40" s="54">
        <f t="shared" si="33"/>
        <v>0</v>
      </c>
      <c r="M40" s="129"/>
      <c r="N40" s="54">
        <f t="shared" si="10"/>
        <v>0</v>
      </c>
      <c r="O40" s="54">
        <f t="shared" si="11"/>
        <v>0</v>
      </c>
      <c r="P40" s="1"/>
    </row>
    <row r="41" spans="2:16" ht="12.5">
      <c r="B41" s="7" t="str">
        <f t="shared" si="5"/>
        <v/>
      </c>
      <c r="C41" s="50">
        <f>IF(D11="","-",+C40+1)</f>
        <v>2037</v>
      </c>
      <c r="D41" s="55">
        <f>IF(F40+SUM(E$17:E40)=D$10,F40,D$10-SUM(E$17:E40))</f>
        <v>2294308.5273576896</v>
      </c>
      <c r="E41" s="378">
        <f t="shared" si="29"/>
        <v>114739.22727272728</v>
      </c>
      <c r="F41" s="55">
        <f t="shared" si="30"/>
        <v>2179569.3000849625</v>
      </c>
      <c r="G41" s="379">
        <f t="shared" si="31"/>
        <v>382114.11931513122</v>
      </c>
      <c r="H41" s="364">
        <f t="shared" si="32"/>
        <v>382114.11931513122</v>
      </c>
      <c r="I41" s="52">
        <f t="shared" si="6"/>
        <v>0</v>
      </c>
      <c r="J41" s="52"/>
      <c r="K41" s="129"/>
      <c r="L41" s="54">
        <f t="shared" si="33"/>
        <v>0</v>
      </c>
      <c r="M41" s="129"/>
      <c r="N41" s="54">
        <f t="shared" si="10"/>
        <v>0</v>
      </c>
      <c r="O41" s="54">
        <f t="shared" si="11"/>
        <v>0</v>
      </c>
      <c r="P41" s="1"/>
    </row>
    <row r="42" spans="2:16" ht="12.5">
      <c r="B42" s="7" t="str">
        <f t="shared" si="5"/>
        <v/>
      </c>
      <c r="C42" s="50">
        <f>IF(D11="","-",+C41+1)</f>
        <v>2038</v>
      </c>
      <c r="D42" s="55">
        <f>IF(F41+SUM(E$17:E41)=D$10,F41,D$10-SUM(E$17:E41))</f>
        <v>2179569.3000849625</v>
      </c>
      <c r="E42" s="378">
        <f t="shared" si="29"/>
        <v>114739.22727272728</v>
      </c>
      <c r="F42" s="55">
        <f t="shared" si="30"/>
        <v>2064830.0728122352</v>
      </c>
      <c r="G42" s="379">
        <f t="shared" si="31"/>
        <v>368399.66859102168</v>
      </c>
      <c r="H42" s="364">
        <f t="shared" si="32"/>
        <v>368399.66859102168</v>
      </c>
      <c r="I42" s="52">
        <f t="shared" si="6"/>
        <v>0</v>
      </c>
      <c r="J42" s="52"/>
      <c r="K42" s="129"/>
      <c r="L42" s="54">
        <f t="shared" si="33"/>
        <v>0</v>
      </c>
      <c r="M42" s="129"/>
      <c r="N42" s="54">
        <f t="shared" si="10"/>
        <v>0</v>
      </c>
      <c r="O42" s="54">
        <f t="shared" si="11"/>
        <v>0</v>
      </c>
      <c r="P42" s="1"/>
    </row>
    <row r="43" spans="2:16" ht="12.5">
      <c r="B43" s="7" t="str">
        <f t="shared" si="5"/>
        <v/>
      </c>
      <c r="C43" s="50">
        <f>IF(D11="","-",+C42+1)</f>
        <v>2039</v>
      </c>
      <c r="D43" s="55">
        <f>IF(F42+SUM(E$17:E42)=D$10,F42,D$10-SUM(E$17:E42))</f>
        <v>2064830.0728122352</v>
      </c>
      <c r="E43" s="378">
        <f t="shared" si="29"/>
        <v>114739.22727272728</v>
      </c>
      <c r="F43" s="55">
        <f t="shared" si="30"/>
        <v>1950090.8455395079</v>
      </c>
      <c r="G43" s="379">
        <f t="shared" si="31"/>
        <v>354685.21786691213</v>
      </c>
      <c r="H43" s="364">
        <f t="shared" si="32"/>
        <v>354685.21786691213</v>
      </c>
      <c r="I43" s="52">
        <f t="shared" si="6"/>
        <v>0</v>
      </c>
      <c r="J43" s="52"/>
      <c r="K43" s="129"/>
      <c r="L43" s="54">
        <f t="shared" si="33"/>
        <v>0</v>
      </c>
      <c r="M43" s="129"/>
      <c r="N43" s="54">
        <f t="shared" si="10"/>
        <v>0</v>
      </c>
      <c r="O43" s="54">
        <f t="shared" si="11"/>
        <v>0</v>
      </c>
      <c r="P43" s="1"/>
    </row>
    <row r="44" spans="2:16" ht="12.5">
      <c r="B44" s="7" t="str">
        <f t="shared" si="5"/>
        <v/>
      </c>
      <c r="C44" s="50">
        <f>IF(D11="","-",+C43+1)</f>
        <v>2040</v>
      </c>
      <c r="D44" s="55">
        <f>IF(F43+SUM(E$17:E43)=D$10,F43,D$10-SUM(E$17:E43))</f>
        <v>1950090.8455395079</v>
      </c>
      <c r="E44" s="378">
        <f t="shared" si="29"/>
        <v>114739.22727272728</v>
      </c>
      <c r="F44" s="55">
        <f t="shared" si="30"/>
        <v>1835351.6182667806</v>
      </c>
      <c r="G44" s="379">
        <f t="shared" si="31"/>
        <v>340970.76714280254</v>
      </c>
      <c r="H44" s="364">
        <f t="shared" si="32"/>
        <v>340970.76714280254</v>
      </c>
      <c r="I44" s="52">
        <f t="shared" si="6"/>
        <v>0</v>
      </c>
      <c r="J44" s="52"/>
      <c r="K44" s="129"/>
      <c r="L44" s="54">
        <f t="shared" si="33"/>
        <v>0</v>
      </c>
      <c r="M44" s="129"/>
      <c r="N44" s="54">
        <f t="shared" si="10"/>
        <v>0</v>
      </c>
      <c r="O44" s="54">
        <f t="shared" si="11"/>
        <v>0</v>
      </c>
      <c r="P44" s="1"/>
    </row>
    <row r="45" spans="2:16" ht="12.5">
      <c r="B45" s="7" t="str">
        <f t="shared" si="5"/>
        <v/>
      </c>
      <c r="C45" s="50">
        <f>IF(D11="","-",+C44+1)</f>
        <v>2041</v>
      </c>
      <c r="D45" s="55">
        <f>IF(F44+SUM(E$17:E44)=D$10,F44,D$10-SUM(E$17:E44))</f>
        <v>1835351.6182667806</v>
      </c>
      <c r="E45" s="378">
        <f t="shared" si="29"/>
        <v>114739.22727272728</v>
      </c>
      <c r="F45" s="55">
        <f t="shared" si="30"/>
        <v>1720612.3909940533</v>
      </c>
      <c r="G45" s="379">
        <f t="shared" si="31"/>
        <v>327256.31641869299</v>
      </c>
      <c r="H45" s="364">
        <f t="shared" si="32"/>
        <v>327256.31641869299</v>
      </c>
      <c r="I45" s="52">
        <f t="shared" si="6"/>
        <v>0</v>
      </c>
      <c r="J45" s="52"/>
      <c r="K45" s="129"/>
      <c r="L45" s="54">
        <f t="shared" si="33"/>
        <v>0</v>
      </c>
      <c r="M45" s="129"/>
      <c r="N45" s="54">
        <f t="shared" si="10"/>
        <v>0</v>
      </c>
      <c r="O45" s="54">
        <f t="shared" si="11"/>
        <v>0</v>
      </c>
      <c r="P45" s="1"/>
    </row>
    <row r="46" spans="2:16" ht="12.5">
      <c r="B46" s="7" t="str">
        <f t="shared" si="5"/>
        <v/>
      </c>
      <c r="C46" s="50">
        <f>IF(D11="","-",+C45+1)</f>
        <v>2042</v>
      </c>
      <c r="D46" s="55">
        <f>IF(F45+SUM(E$17:E45)=D$10,F45,D$10-SUM(E$17:E45))</f>
        <v>1720612.3909940533</v>
      </c>
      <c r="E46" s="378">
        <f t="shared" si="29"/>
        <v>114739.22727272728</v>
      </c>
      <c r="F46" s="55">
        <f t="shared" si="30"/>
        <v>1605873.163721326</v>
      </c>
      <c r="G46" s="379">
        <f t="shared" si="31"/>
        <v>313541.86569458339</v>
      </c>
      <c r="H46" s="364">
        <f t="shared" si="32"/>
        <v>313541.86569458339</v>
      </c>
      <c r="I46" s="52">
        <f t="shared" si="6"/>
        <v>0</v>
      </c>
      <c r="J46" s="52"/>
      <c r="K46" s="129"/>
      <c r="L46" s="54">
        <f t="shared" si="33"/>
        <v>0</v>
      </c>
      <c r="M46" s="129"/>
      <c r="N46" s="54">
        <f t="shared" si="10"/>
        <v>0</v>
      </c>
      <c r="O46" s="54">
        <f t="shared" si="11"/>
        <v>0</v>
      </c>
      <c r="P46" s="1"/>
    </row>
    <row r="47" spans="2:16" ht="12.5">
      <c r="B47" s="7" t="str">
        <f t="shared" si="5"/>
        <v/>
      </c>
      <c r="C47" s="50">
        <f>IF(D11="","-",+C46+1)</f>
        <v>2043</v>
      </c>
      <c r="D47" s="55">
        <f>IF(F46+SUM(E$17:E46)=D$10,F46,D$10-SUM(E$17:E46))</f>
        <v>1605873.163721326</v>
      </c>
      <c r="E47" s="378">
        <f t="shared" si="29"/>
        <v>114739.22727272728</v>
      </c>
      <c r="F47" s="55">
        <f t="shared" si="30"/>
        <v>1491133.9364485987</v>
      </c>
      <c r="G47" s="379">
        <f t="shared" si="31"/>
        <v>299827.41497047385</v>
      </c>
      <c r="H47" s="364">
        <f t="shared" si="32"/>
        <v>299827.41497047385</v>
      </c>
      <c r="I47" s="52">
        <f t="shared" si="6"/>
        <v>0</v>
      </c>
      <c r="J47" s="52"/>
      <c r="K47" s="129"/>
      <c r="L47" s="54">
        <f t="shared" si="33"/>
        <v>0</v>
      </c>
      <c r="M47" s="129"/>
      <c r="N47" s="54">
        <f t="shared" si="10"/>
        <v>0</v>
      </c>
      <c r="O47" s="54">
        <f t="shared" si="11"/>
        <v>0</v>
      </c>
      <c r="P47" s="1"/>
    </row>
    <row r="48" spans="2:16" ht="12.5">
      <c r="B48" s="7" t="str">
        <f t="shared" si="5"/>
        <v/>
      </c>
      <c r="C48" s="50">
        <f>IF(D11="","-",+C47+1)</f>
        <v>2044</v>
      </c>
      <c r="D48" s="55">
        <f>IF(F47+SUM(E$17:E47)=D$10,F47,D$10-SUM(E$17:E47))</f>
        <v>1491133.9364485987</v>
      </c>
      <c r="E48" s="378">
        <f t="shared" si="29"/>
        <v>114739.22727272728</v>
      </c>
      <c r="F48" s="55">
        <f t="shared" si="30"/>
        <v>1376394.7091758715</v>
      </c>
      <c r="G48" s="379">
        <f t="shared" si="31"/>
        <v>286112.96424636425</v>
      </c>
      <c r="H48" s="364">
        <f t="shared" si="32"/>
        <v>286112.96424636425</v>
      </c>
      <c r="I48" s="52">
        <f t="shared" si="6"/>
        <v>0</v>
      </c>
      <c r="J48" s="52"/>
      <c r="K48" s="129"/>
      <c r="L48" s="54">
        <f t="shared" si="33"/>
        <v>0</v>
      </c>
      <c r="M48" s="129"/>
      <c r="N48" s="54">
        <f t="shared" si="10"/>
        <v>0</v>
      </c>
      <c r="O48" s="54">
        <f t="shared" si="11"/>
        <v>0</v>
      </c>
      <c r="P48" s="1"/>
    </row>
    <row r="49" spans="2:17" ht="12.5">
      <c r="B49" s="7" t="str">
        <f t="shared" si="5"/>
        <v/>
      </c>
      <c r="C49" s="50">
        <f>IF(D11="","-",+C48+1)</f>
        <v>2045</v>
      </c>
      <c r="D49" s="55">
        <f>IF(F48+SUM(E$17:E48)=D$10,F48,D$10-SUM(E$17:E48))</f>
        <v>1376394.7091758715</v>
      </c>
      <c r="E49" s="378">
        <f t="shared" si="29"/>
        <v>114739.22727272728</v>
      </c>
      <c r="F49" s="55">
        <f t="shared" si="30"/>
        <v>1261655.4819031442</v>
      </c>
      <c r="G49" s="379">
        <f t="shared" si="31"/>
        <v>272398.51352225471</v>
      </c>
      <c r="H49" s="364">
        <f t="shared" si="32"/>
        <v>272398.51352225471</v>
      </c>
      <c r="I49" s="52">
        <f t="shared" si="6"/>
        <v>0</v>
      </c>
      <c r="J49" s="52"/>
      <c r="K49" s="129"/>
      <c r="L49" s="54">
        <f t="shared" si="33"/>
        <v>0</v>
      </c>
      <c r="M49" s="129"/>
      <c r="N49" s="54">
        <f t="shared" si="10"/>
        <v>0</v>
      </c>
      <c r="O49" s="54">
        <f t="shared" si="11"/>
        <v>0</v>
      </c>
      <c r="P49" s="1"/>
    </row>
    <row r="50" spans="2:17" ht="12.5">
      <c r="B50" s="7" t="str">
        <f t="shared" si="5"/>
        <v/>
      </c>
      <c r="C50" s="50">
        <f>IF(D11="","-",+C49+1)</f>
        <v>2046</v>
      </c>
      <c r="D50" s="55">
        <f>IF(F49+SUM(E$17:E49)=D$10,F49,D$10-SUM(E$17:E49))</f>
        <v>1261655.4819031442</v>
      </c>
      <c r="E50" s="378">
        <f t="shared" si="29"/>
        <v>114739.22727272728</v>
      </c>
      <c r="F50" s="55">
        <f t="shared" si="30"/>
        <v>1146916.2546304169</v>
      </c>
      <c r="G50" s="379">
        <f t="shared" si="31"/>
        <v>258684.06279814511</v>
      </c>
      <c r="H50" s="364">
        <f t="shared" si="32"/>
        <v>258684.06279814511</v>
      </c>
      <c r="I50" s="52">
        <f t="shared" si="6"/>
        <v>0</v>
      </c>
      <c r="J50" s="52"/>
      <c r="K50" s="129"/>
      <c r="L50" s="54">
        <f t="shared" si="33"/>
        <v>0</v>
      </c>
      <c r="M50" s="129"/>
      <c r="N50" s="54">
        <f t="shared" si="10"/>
        <v>0</v>
      </c>
      <c r="O50" s="54">
        <f t="shared" si="11"/>
        <v>0</v>
      </c>
      <c r="P50" s="1"/>
    </row>
    <row r="51" spans="2:17" ht="12.5">
      <c r="B51" s="7" t="str">
        <f t="shared" si="5"/>
        <v/>
      </c>
      <c r="C51" s="50">
        <f>IF(D11="","-",+C50+1)</f>
        <v>2047</v>
      </c>
      <c r="D51" s="55">
        <f>IF(F50+SUM(E$17:E50)=D$10,F50,D$10-SUM(E$17:E50))</f>
        <v>1146916.2546304169</v>
      </c>
      <c r="E51" s="378">
        <f t="shared" si="29"/>
        <v>114739.22727272728</v>
      </c>
      <c r="F51" s="55">
        <f t="shared" si="30"/>
        <v>1032177.0273576896</v>
      </c>
      <c r="G51" s="379">
        <f t="shared" si="31"/>
        <v>244969.61207403557</v>
      </c>
      <c r="H51" s="364">
        <f t="shared" si="32"/>
        <v>244969.61207403557</v>
      </c>
      <c r="I51" s="52">
        <f t="shared" si="6"/>
        <v>0</v>
      </c>
      <c r="J51" s="52"/>
      <c r="K51" s="129"/>
      <c r="L51" s="54">
        <f t="shared" si="33"/>
        <v>0</v>
      </c>
      <c r="M51" s="129"/>
      <c r="N51" s="54">
        <f t="shared" si="10"/>
        <v>0</v>
      </c>
      <c r="O51" s="54">
        <f t="shared" si="11"/>
        <v>0</v>
      </c>
      <c r="P51" s="1"/>
    </row>
    <row r="52" spans="2:17" ht="12.5">
      <c r="B52" s="7" t="str">
        <f t="shared" si="5"/>
        <v/>
      </c>
      <c r="C52" s="50">
        <f>IF(D11="","-",+C51+1)</f>
        <v>2048</v>
      </c>
      <c r="D52" s="55">
        <f>IF(F51+SUM(E$17:E51)=D$10,F51,D$10-SUM(E$17:E51))</f>
        <v>1032177.0273576896</v>
      </c>
      <c r="E52" s="378">
        <f t="shared" si="29"/>
        <v>114739.22727272728</v>
      </c>
      <c r="F52" s="55">
        <f t="shared" si="30"/>
        <v>917437.80008496228</v>
      </c>
      <c r="G52" s="379">
        <f t="shared" si="31"/>
        <v>231255.161349926</v>
      </c>
      <c r="H52" s="364">
        <f t="shared" si="32"/>
        <v>231255.161349926</v>
      </c>
      <c r="I52" s="52">
        <f t="shared" si="6"/>
        <v>0</v>
      </c>
      <c r="J52" s="52"/>
      <c r="K52" s="129"/>
      <c r="L52" s="54">
        <f t="shared" si="33"/>
        <v>0</v>
      </c>
      <c r="M52" s="129"/>
      <c r="N52" s="54">
        <f t="shared" si="10"/>
        <v>0</v>
      </c>
      <c r="O52" s="54">
        <f t="shared" si="11"/>
        <v>0</v>
      </c>
      <c r="P52" s="1"/>
    </row>
    <row r="53" spans="2:17" ht="12.5">
      <c r="B53" s="7" t="str">
        <f t="shared" si="5"/>
        <v/>
      </c>
      <c r="C53" s="50">
        <f>IF(D11="","-",+C52+1)</f>
        <v>2049</v>
      </c>
      <c r="D53" s="55">
        <f>IF(F52+SUM(E$17:E52)=D$10,F52,D$10-SUM(E$17:E52))</f>
        <v>917437.80008496228</v>
      </c>
      <c r="E53" s="378">
        <f t="shared" si="29"/>
        <v>114739.22727272728</v>
      </c>
      <c r="F53" s="55">
        <f t="shared" si="30"/>
        <v>802698.57281223498</v>
      </c>
      <c r="G53" s="379">
        <f t="shared" ref="G53:G72" si="34">+I$12*((D53+F53)/2)+E53</f>
        <v>217540.71062581643</v>
      </c>
      <c r="H53" s="364">
        <f t="shared" ref="H53:H72" si="35">+I$13*((D53+F53)/2)+E53</f>
        <v>217540.71062581643</v>
      </c>
      <c r="I53" s="52">
        <f t="shared" si="6"/>
        <v>0</v>
      </c>
      <c r="J53" s="52"/>
      <c r="K53" s="129"/>
      <c r="L53" s="54">
        <f t="shared" si="33"/>
        <v>0</v>
      </c>
      <c r="M53" s="129"/>
      <c r="N53" s="54">
        <f t="shared" si="10"/>
        <v>0</v>
      </c>
      <c r="O53" s="54">
        <f t="shared" si="11"/>
        <v>0</v>
      </c>
      <c r="P53" s="1"/>
    </row>
    <row r="54" spans="2:17" ht="12.5">
      <c r="B54" s="7" t="str">
        <f t="shared" si="5"/>
        <v/>
      </c>
      <c r="C54" s="50">
        <f>IF(D11="","-",+C53+1)</f>
        <v>2050</v>
      </c>
      <c r="D54" s="55">
        <f>IF(F53+SUM(E$17:E53)=D$10,F53,D$10-SUM(E$17:E53))</f>
        <v>802698.57281223498</v>
      </c>
      <c r="E54" s="378">
        <f t="shared" si="29"/>
        <v>114739.22727272728</v>
      </c>
      <c r="F54" s="55">
        <f t="shared" si="30"/>
        <v>687959.34553950769</v>
      </c>
      <c r="G54" s="379">
        <f t="shared" si="34"/>
        <v>203826.25990170686</v>
      </c>
      <c r="H54" s="364">
        <f t="shared" si="35"/>
        <v>203826.25990170686</v>
      </c>
      <c r="I54" s="52">
        <f t="shared" si="6"/>
        <v>0</v>
      </c>
      <c r="J54" s="52"/>
      <c r="K54" s="129"/>
      <c r="L54" s="54">
        <f t="shared" si="33"/>
        <v>0</v>
      </c>
      <c r="M54" s="129"/>
      <c r="N54" s="54">
        <f t="shared" si="10"/>
        <v>0</v>
      </c>
      <c r="O54" s="54">
        <f t="shared" si="11"/>
        <v>0</v>
      </c>
      <c r="P54" s="1"/>
    </row>
    <row r="55" spans="2:17" ht="12.5">
      <c r="B55" s="7" t="str">
        <f t="shared" si="5"/>
        <v/>
      </c>
      <c r="C55" s="50">
        <f>IF(D11="","-",+C54+1)</f>
        <v>2051</v>
      </c>
      <c r="D55" s="55">
        <f>IF(F54+SUM(E$17:E54)=D$10,F54,D$10-SUM(E$17:E54))</f>
        <v>687959.34553950769</v>
      </c>
      <c r="E55" s="378">
        <f t="shared" si="29"/>
        <v>114739.22727272728</v>
      </c>
      <c r="F55" s="55">
        <f t="shared" si="30"/>
        <v>573220.1182667804</v>
      </c>
      <c r="G55" s="379">
        <f t="shared" si="34"/>
        <v>190111.80917759729</v>
      </c>
      <c r="H55" s="364">
        <f t="shared" si="35"/>
        <v>190111.80917759729</v>
      </c>
      <c r="I55" s="52">
        <f t="shared" si="6"/>
        <v>0</v>
      </c>
      <c r="J55" s="52"/>
      <c r="K55" s="129"/>
      <c r="L55" s="54">
        <f t="shared" si="33"/>
        <v>0</v>
      </c>
      <c r="M55" s="129"/>
      <c r="N55" s="54">
        <f t="shared" si="10"/>
        <v>0</v>
      </c>
      <c r="O55" s="54">
        <f t="shared" si="11"/>
        <v>0</v>
      </c>
      <c r="P55" s="1"/>
    </row>
    <row r="56" spans="2:17" ht="12.5">
      <c r="B56" s="7" t="str">
        <f t="shared" si="5"/>
        <v/>
      </c>
      <c r="C56" s="50">
        <f>IF(D11="","-",+C55+1)</f>
        <v>2052</v>
      </c>
      <c r="D56" s="55">
        <f>IF(F55+SUM(E$17:E55)=D$10,F55,D$10-SUM(E$17:E55))</f>
        <v>573220.1182667804</v>
      </c>
      <c r="E56" s="378">
        <f t="shared" si="29"/>
        <v>114739.22727272728</v>
      </c>
      <c r="F56" s="55">
        <f t="shared" si="30"/>
        <v>458480.8909940531</v>
      </c>
      <c r="G56" s="379">
        <f t="shared" si="34"/>
        <v>176397.35845348772</v>
      </c>
      <c r="H56" s="364">
        <f t="shared" si="35"/>
        <v>176397.35845348772</v>
      </c>
      <c r="I56" s="52">
        <f t="shared" si="6"/>
        <v>0</v>
      </c>
      <c r="J56" s="52"/>
      <c r="K56" s="129"/>
      <c r="L56" s="54">
        <f t="shared" si="33"/>
        <v>0</v>
      </c>
      <c r="M56" s="129"/>
      <c r="N56" s="54">
        <f t="shared" si="10"/>
        <v>0</v>
      </c>
      <c r="O56" s="54">
        <f t="shared" si="11"/>
        <v>0</v>
      </c>
      <c r="P56" s="1"/>
    </row>
    <row r="57" spans="2:17" ht="12.5">
      <c r="B57" s="7" t="str">
        <f t="shared" si="5"/>
        <v/>
      </c>
      <c r="C57" s="50">
        <f>IF(D11="","-",+C56+1)</f>
        <v>2053</v>
      </c>
      <c r="D57" s="55">
        <f>IF(F56+SUM(E$17:E56)=D$10,F56,D$10-SUM(E$17:E56))</f>
        <v>458480.8909940531</v>
      </c>
      <c r="E57" s="378">
        <f t="shared" si="29"/>
        <v>114739.22727272728</v>
      </c>
      <c r="F57" s="55">
        <f t="shared" si="30"/>
        <v>343741.66372132581</v>
      </c>
      <c r="G57" s="379">
        <f t="shared" si="34"/>
        <v>162682.90772937814</v>
      </c>
      <c r="H57" s="364">
        <f t="shared" si="35"/>
        <v>162682.90772937814</v>
      </c>
      <c r="I57" s="52">
        <f t="shared" si="6"/>
        <v>0</v>
      </c>
      <c r="J57" s="52"/>
      <c r="K57" s="129"/>
      <c r="L57" s="54">
        <f t="shared" si="33"/>
        <v>0</v>
      </c>
      <c r="M57" s="129"/>
      <c r="N57" s="54">
        <f t="shared" si="10"/>
        <v>0</v>
      </c>
      <c r="O57" s="54">
        <f t="shared" si="11"/>
        <v>0</v>
      </c>
      <c r="P57" s="1"/>
    </row>
    <row r="58" spans="2:17" ht="12.5">
      <c r="B58" s="7" t="str">
        <f t="shared" si="5"/>
        <v/>
      </c>
      <c r="C58" s="50">
        <f>IF(D11="","-",+C57+1)</f>
        <v>2054</v>
      </c>
      <c r="D58" s="55">
        <f>IF(F57+SUM(E$17:E57)=D$10,F57,D$10-SUM(E$17:E57))</f>
        <v>343741.66372132581</v>
      </c>
      <c r="E58" s="378">
        <f t="shared" si="29"/>
        <v>114739.22727272728</v>
      </c>
      <c r="F58" s="55">
        <f t="shared" si="30"/>
        <v>229002.43644859851</v>
      </c>
      <c r="G58" s="379">
        <f t="shared" si="34"/>
        <v>148968.45700526857</v>
      </c>
      <c r="H58" s="364">
        <f t="shared" si="35"/>
        <v>148968.45700526857</v>
      </c>
      <c r="I58" s="52">
        <f t="shared" si="6"/>
        <v>0</v>
      </c>
      <c r="J58" s="52"/>
      <c r="K58" s="129"/>
      <c r="L58" s="54">
        <f t="shared" si="33"/>
        <v>0</v>
      </c>
      <c r="M58" s="129"/>
      <c r="N58" s="54">
        <f t="shared" si="10"/>
        <v>0</v>
      </c>
      <c r="O58" s="54">
        <f t="shared" si="11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5"/>
        <v/>
      </c>
      <c r="C59" s="50">
        <f>IF(D11="","-",+C58+1)</f>
        <v>2055</v>
      </c>
      <c r="D59" s="55">
        <f>IF(F58+SUM(E$17:E58)=D$10,F58,D$10-SUM(E$17:E58))</f>
        <v>229002.43644859851</v>
      </c>
      <c r="E59" s="378">
        <f t="shared" si="29"/>
        <v>114739.22727272728</v>
      </c>
      <c r="F59" s="55">
        <f t="shared" si="30"/>
        <v>114263.20917587123</v>
      </c>
      <c r="G59" s="379">
        <f t="shared" si="34"/>
        <v>135254.006281159</v>
      </c>
      <c r="H59" s="364">
        <f t="shared" si="35"/>
        <v>135254.006281159</v>
      </c>
      <c r="I59" s="52">
        <f t="shared" si="6"/>
        <v>0</v>
      </c>
      <c r="J59" s="52"/>
      <c r="K59" s="129"/>
      <c r="L59" s="54">
        <f t="shared" si="33"/>
        <v>0</v>
      </c>
      <c r="M59" s="129"/>
      <c r="N59" s="54">
        <f t="shared" si="10"/>
        <v>0</v>
      </c>
      <c r="O59" s="54">
        <f t="shared" si="11"/>
        <v>0</v>
      </c>
      <c r="P59" s="1"/>
    </row>
    <row r="60" spans="2:17" ht="12.5">
      <c r="B60" s="7" t="str">
        <f t="shared" si="5"/>
        <v/>
      </c>
      <c r="C60" s="50">
        <f>IF(D11="","-",+C59+1)</f>
        <v>2056</v>
      </c>
      <c r="D60" s="55">
        <f>IF(F59+SUM(E$17:E59)=D$10,F59,D$10-SUM(E$17:E59))</f>
        <v>114263.20917587123</v>
      </c>
      <c r="E60" s="378">
        <f t="shared" si="29"/>
        <v>114263.20917587123</v>
      </c>
      <c r="F60" s="55">
        <f t="shared" si="30"/>
        <v>0</v>
      </c>
      <c r="G60" s="379">
        <f t="shared" si="34"/>
        <v>121091.9859990597</v>
      </c>
      <c r="H60" s="364">
        <f t="shared" si="35"/>
        <v>121091.9859990597</v>
      </c>
      <c r="I60" s="52">
        <f t="shared" si="6"/>
        <v>0</v>
      </c>
      <c r="J60" s="52"/>
      <c r="K60" s="129"/>
      <c r="L60" s="54">
        <f t="shared" si="33"/>
        <v>0</v>
      </c>
      <c r="M60" s="129"/>
      <c r="N60" s="54">
        <f t="shared" si="10"/>
        <v>0</v>
      </c>
      <c r="O60" s="54">
        <f t="shared" si="11"/>
        <v>0</v>
      </c>
      <c r="P60" s="1"/>
    </row>
    <row r="61" spans="2:17" ht="12.5">
      <c r="B61" s="7" t="str">
        <f t="shared" si="5"/>
        <v/>
      </c>
      <c r="C61" s="50">
        <f>IF(D11="","-",+C60+1)</f>
        <v>2057</v>
      </c>
      <c r="D61" s="55">
        <f>IF(F60+SUM(E$17:E60)=D$10,F60,D$10-SUM(E$17:E60))</f>
        <v>0</v>
      </c>
      <c r="E61" s="378">
        <f t="shared" si="29"/>
        <v>0</v>
      </c>
      <c r="F61" s="55">
        <f t="shared" si="30"/>
        <v>0</v>
      </c>
      <c r="G61" s="379">
        <f t="shared" si="34"/>
        <v>0</v>
      </c>
      <c r="H61" s="364">
        <f t="shared" si="35"/>
        <v>0</v>
      </c>
      <c r="I61" s="52">
        <f t="shared" si="6"/>
        <v>0</v>
      </c>
      <c r="J61" s="52"/>
      <c r="K61" s="129"/>
      <c r="L61" s="54">
        <f t="shared" si="33"/>
        <v>0</v>
      </c>
      <c r="M61" s="129"/>
      <c r="N61" s="54">
        <f t="shared" si="10"/>
        <v>0</v>
      </c>
      <c r="O61" s="54">
        <f t="shared" si="11"/>
        <v>0</v>
      </c>
      <c r="P61" s="1"/>
    </row>
    <row r="62" spans="2:17" ht="12.5">
      <c r="B62" s="7" t="str">
        <f t="shared" si="5"/>
        <v/>
      </c>
      <c r="C62" s="50">
        <f>IF(D11="","-",+C61+1)</f>
        <v>2058</v>
      </c>
      <c r="D62" s="55">
        <f>IF(F61+SUM(E$17:E61)=D$10,F61,D$10-SUM(E$17:E61))</f>
        <v>0</v>
      </c>
      <c r="E62" s="378">
        <f t="shared" si="29"/>
        <v>0</v>
      </c>
      <c r="F62" s="55">
        <f t="shared" si="30"/>
        <v>0</v>
      </c>
      <c r="G62" s="379">
        <f t="shared" si="34"/>
        <v>0</v>
      </c>
      <c r="H62" s="364">
        <f t="shared" si="35"/>
        <v>0</v>
      </c>
      <c r="I62" s="52">
        <f t="shared" si="6"/>
        <v>0</v>
      </c>
      <c r="J62" s="52"/>
      <c r="K62" s="129"/>
      <c r="L62" s="54">
        <f t="shared" si="33"/>
        <v>0</v>
      </c>
      <c r="M62" s="129"/>
      <c r="N62" s="54">
        <f t="shared" si="10"/>
        <v>0</v>
      </c>
      <c r="O62" s="54">
        <f t="shared" si="11"/>
        <v>0</v>
      </c>
      <c r="P62" s="1"/>
    </row>
    <row r="63" spans="2:17" ht="12.5">
      <c r="B63" s="7" t="str">
        <f t="shared" si="5"/>
        <v/>
      </c>
      <c r="C63" s="50">
        <f>IF(D11="","-",+C62+1)</f>
        <v>2059</v>
      </c>
      <c r="D63" s="55">
        <f>IF(F62+SUM(E$17:E62)=D$10,F62,D$10-SUM(E$17:E62))</f>
        <v>0</v>
      </c>
      <c r="E63" s="378">
        <f t="shared" si="29"/>
        <v>0</v>
      </c>
      <c r="F63" s="55">
        <f t="shared" si="30"/>
        <v>0</v>
      </c>
      <c r="G63" s="379">
        <f t="shared" si="34"/>
        <v>0</v>
      </c>
      <c r="H63" s="364">
        <f t="shared" si="35"/>
        <v>0</v>
      </c>
      <c r="I63" s="52">
        <f t="shared" si="6"/>
        <v>0</v>
      </c>
      <c r="J63" s="52"/>
      <c r="K63" s="129"/>
      <c r="L63" s="54">
        <f t="shared" si="33"/>
        <v>0</v>
      </c>
      <c r="M63" s="129"/>
      <c r="N63" s="54">
        <f t="shared" si="10"/>
        <v>0</v>
      </c>
      <c r="O63" s="54">
        <f t="shared" si="11"/>
        <v>0</v>
      </c>
      <c r="P63" s="1"/>
    </row>
    <row r="64" spans="2:17" ht="12.5">
      <c r="B64" s="7" t="str">
        <f t="shared" si="5"/>
        <v/>
      </c>
      <c r="C64" s="50">
        <f>IF(D11="","-",+C63+1)</f>
        <v>2060</v>
      </c>
      <c r="D64" s="55">
        <f>IF(F63+SUM(E$17:E63)=D$10,F63,D$10-SUM(E$17:E63))</f>
        <v>0</v>
      </c>
      <c r="E64" s="378">
        <f t="shared" si="29"/>
        <v>0</v>
      </c>
      <c r="F64" s="55">
        <f t="shared" si="30"/>
        <v>0</v>
      </c>
      <c r="G64" s="379">
        <f t="shared" si="34"/>
        <v>0</v>
      </c>
      <c r="H64" s="364">
        <f t="shared" si="35"/>
        <v>0</v>
      </c>
      <c r="I64" s="52">
        <f t="shared" si="6"/>
        <v>0</v>
      </c>
      <c r="J64" s="52"/>
      <c r="K64" s="129"/>
      <c r="L64" s="54">
        <f t="shared" si="33"/>
        <v>0</v>
      </c>
      <c r="M64" s="129"/>
      <c r="N64" s="54">
        <f t="shared" si="10"/>
        <v>0</v>
      </c>
      <c r="O64" s="54">
        <f t="shared" si="11"/>
        <v>0</v>
      </c>
      <c r="P64" s="1"/>
    </row>
    <row r="65" spans="2:16" ht="12.5">
      <c r="B65" s="7" t="str">
        <f t="shared" si="5"/>
        <v/>
      </c>
      <c r="C65" s="50">
        <f>IF(D11="","-",+C64+1)</f>
        <v>2061</v>
      </c>
      <c r="D65" s="55">
        <f>IF(F64+SUM(E$17:E64)=D$10,F64,D$10-SUM(E$17:E64))</f>
        <v>0</v>
      </c>
      <c r="E65" s="378">
        <f t="shared" si="29"/>
        <v>0</v>
      </c>
      <c r="F65" s="55">
        <f t="shared" si="30"/>
        <v>0</v>
      </c>
      <c r="G65" s="379">
        <f t="shared" si="34"/>
        <v>0</v>
      </c>
      <c r="H65" s="364">
        <f t="shared" si="35"/>
        <v>0</v>
      </c>
      <c r="I65" s="52">
        <f t="shared" si="6"/>
        <v>0</v>
      </c>
      <c r="J65" s="52"/>
      <c r="K65" s="129"/>
      <c r="L65" s="54">
        <f t="shared" si="33"/>
        <v>0</v>
      </c>
      <c r="M65" s="129"/>
      <c r="N65" s="54">
        <f t="shared" si="10"/>
        <v>0</v>
      </c>
      <c r="O65" s="54">
        <f t="shared" si="11"/>
        <v>0</v>
      </c>
      <c r="P65" s="1"/>
    </row>
    <row r="66" spans="2:16" ht="12.5">
      <c r="B66" s="7" t="str">
        <f t="shared" si="5"/>
        <v/>
      </c>
      <c r="C66" s="50">
        <f>IF(D11="","-",+C65+1)</f>
        <v>2062</v>
      </c>
      <c r="D66" s="55">
        <f>IF(F65+SUM(E$17:E65)=D$10,F65,D$10-SUM(E$17:E65))</f>
        <v>0</v>
      </c>
      <c r="E66" s="378">
        <f t="shared" si="29"/>
        <v>0</v>
      </c>
      <c r="F66" s="55">
        <f t="shared" si="30"/>
        <v>0</v>
      </c>
      <c r="G66" s="379">
        <f t="shared" si="34"/>
        <v>0</v>
      </c>
      <c r="H66" s="364">
        <f t="shared" si="35"/>
        <v>0</v>
      </c>
      <c r="I66" s="52">
        <f t="shared" si="6"/>
        <v>0</v>
      </c>
      <c r="J66" s="52"/>
      <c r="K66" s="129"/>
      <c r="L66" s="54">
        <f t="shared" si="33"/>
        <v>0</v>
      </c>
      <c r="M66" s="129"/>
      <c r="N66" s="54">
        <f t="shared" si="10"/>
        <v>0</v>
      </c>
      <c r="O66" s="54">
        <f t="shared" si="11"/>
        <v>0</v>
      </c>
      <c r="P66" s="1"/>
    </row>
    <row r="67" spans="2:16" ht="12.5">
      <c r="B67" s="7" t="str">
        <f t="shared" si="5"/>
        <v/>
      </c>
      <c r="C67" s="50">
        <f>IF(D11="","-",+C66+1)</f>
        <v>2063</v>
      </c>
      <c r="D67" s="55">
        <f>IF(F66+SUM(E$17:E66)=D$10,F66,D$10-SUM(E$17:E66))</f>
        <v>0</v>
      </c>
      <c r="E67" s="378">
        <f t="shared" si="29"/>
        <v>0</v>
      </c>
      <c r="F67" s="55">
        <f t="shared" si="30"/>
        <v>0</v>
      </c>
      <c r="G67" s="379">
        <f t="shared" si="34"/>
        <v>0</v>
      </c>
      <c r="H67" s="364">
        <f t="shared" si="35"/>
        <v>0</v>
      </c>
      <c r="I67" s="52">
        <f t="shared" si="6"/>
        <v>0</v>
      </c>
      <c r="J67" s="52"/>
      <c r="K67" s="129"/>
      <c r="L67" s="54">
        <f t="shared" si="33"/>
        <v>0</v>
      </c>
      <c r="M67" s="129"/>
      <c r="N67" s="54">
        <f t="shared" si="10"/>
        <v>0</v>
      </c>
      <c r="O67" s="54">
        <f t="shared" si="11"/>
        <v>0</v>
      </c>
      <c r="P67" s="1"/>
    </row>
    <row r="68" spans="2:16" ht="12.5">
      <c r="B68" s="7" t="str">
        <f t="shared" si="5"/>
        <v/>
      </c>
      <c r="C68" s="50">
        <f>IF(D11="","-",+C67+1)</f>
        <v>2064</v>
      </c>
      <c r="D68" s="55">
        <f>IF(F67+SUM(E$17:E67)=D$10,F67,D$10-SUM(E$17:E67))</f>
        <v>0</v>
      </c>
      <c r="E68" s="378">
        <f t="shared" si="29"/>
        <v>0</v>
      </c>
      <c r="F68" s="55">
        <f t="shared" si="30"/>
        <v>0</v>
      </c>
      <c r="G68" s="379">
        <f t="shared" si="34"/>
        <v>0</v>
      </c>
      <c r="H68" s="364">
        <f t="shared" si="35"/>
        <v>0</v>
      </c>
      <c r="I68" s="52">
        <f t="shared" si="6"/>
        <v>0</v>
      </c>
      <c r="J68" s="52"/>
      <c r="K68" s="129"/>
      <c r="L68" s="54">
        <f t="shared" si="33"/>
        <v>0</v>
      </c>
      <c r="M68" s="129"/>
      <c r="N68" s="54">
        <f t="shared" si="10"/>
        <v>0</v>
      </c>
      <c r="O68" s="54">
        <f t="shared" si="11"/>
        <v>0</v>
      </c>
      <c r="P68" s="1"/>
    </row>
    <row r="69" spans="2:16" ht="12.5">
      <c r="B69" s="7" t="str">
        <f t="shared" si="5"/>
        <v/>
      </c>
      <c r="C69" s="50">
        <f>IF(D11="","-",+C68+1)</f>
        <v>2065</v>
      </c>
      <c r="D69" s="55">
        <f>IF(F68+SUM(E$17:E68)=D$10,F68,D$10-SUM(E$17:E68))</f>
        <v>0</v>
      </c>
      <c r="E69" s="378">
        <f t="shared" si="29"/>
        <v>0</v>
      </c>
      <c r="F69" s="55">
        <f t="shared" si="30"/>
        <v>0</v>
      </c>
      <c r="G69" s="379">
        <f t="shared" si="34"/>
        <v>0</v>
      </c>
      <c r="H69" s="364">
        <f t="shared" si="35"/>
        <v>0</v>
      </c>
      <c r="I69" s="52">
        <f t="shared" si="6"/>
        <v>0</v>
      </c>
      <c r="J69" s="52"/>
      <c r="K69" s="129"/>
      <c r="L69" s="54">
        <f t="shared" si="33"/>
        <v>0</v>
      </c>
      <c r="M69" s="129"/>
      <c r="N69" s="54">
        <f t="shared" si="10"/>
        <v>0</v>
      </c>
      <c r="O69" s="54">
        <f t="shared" si="11"/>
        <v>0</v>
      </c>
      <c r="P69" s="1"/>
    </row>
    <row r="70" spans="2:16" ht="12.5">
      <c r="B70" s="7" t="str">
        <f t="shared" si="5"/>
        <v/>
      </c>
      <c r="C70" s="50">
        <f>IF(D11="","-",+C69+1)</f>
        <v>2066</v>
      </c>
      <c r="D70" s="55">
        <f>IF(F69+SUM(E$17:E69)=D$10,F69,D$10-SUM(E$17:E69))</f>
        <v>0</v>
      </c>
      <c r="E70" s="378">
        <f t="shared" si="29"/>
        <v>0</v>
      </c>
      <c r="F70" s="55">
        <f t="shared" si="30"/>
        <v>0</v>
      </c>
      <c r="G70" s="379">
        <f t="shared" si="34"/>
        <v>0</v>
      </c>
      <c r="H70" s="364">
        <f t="shared" si="35"/>
        <v>0</v>
      </c>
      <c r="I70" s="52">
        <f t="shared" si="6"/>
        <v>0</v>
      </c>
      <c r="J70" s="52"/>
      <c r="K70" s="129"/>
      <c r="L70" s="54">
        <f t="shared" si="33"/>
        <v>0</v>
      </c>
      <c r="M70" s="129"/>
      <c r="N70" s="54">
        <f t="shared" si="10"/>
        <v>0</v>
      </c>
      <c r="O70" s="54">
        <f t="shared" si="11"/>
        <v>0</v>
      </c>
      <c r="P70" s="1"/>
    </row>
    <row r="71" spans="2:16" ht="12.5">
      <c r="B71" s="7" t="str">
        <f t="shared" si="5"/>
        <v/>
      </c>
      <c r="C71" s="50">
        <f>IF(D11="","-",+C70+1)</f>
        <v>2067</v>
      </c>
      <c r="D71" s="55">
        <f>IF(F70+SUM(E$17:E70)=D$10,F70,D$10-SUM(E$17:E70))</f>
        <v>0</v>
      </c>
      <c r="E71" s="378">
        <f t="shared" si="29"/>
        <v>0</v>
      </c>
      <c r="F71" s="55">
        <f t="shared" si="30"/>
        <v>0</v>
      </c>
      <c r="G71" s="379">
        <f t="shared" si="34"/>
        <v>0</v>
      </c>
      <c r="H71" s="364">
        <f t="shared" si="35"/>
        <v>0</v>
      </c>
      <c r="I71" s="52">
        <f t="shared" si="6"/>
        <v>0</v>
      </c>
      <c r="J71" s="52"/>
      <c r="K71" s="129"/>
      <c r="L71" s="54">
        <f t="shared" si="33"/>
        <v>0</v>
      </c>
      <c r="M71" s="129"/>
      <c r="N71" s="54">
        <f t="shared" si="10"/>
        <v>0</v>
      </c>
      <c r="O71" s="54">
        <f t="shared" si="11"/>
        <v>0</v>
      </c>
      <c r="P71" s="1"/>
    </row>
    <row r="72" spans="2:16" ht="13" thickBot="1">
      <c r="B72" s="7" t="str">
        <f t="shared" si="5"/>
        <v/>
      </c>
      <c r="C72" s="59">
        <f>IF(D11="","-",+C71+1)</f>
        <v>2068</v>
      </c>
      <c r="D72" s="55">
        <f>IF(F71+SUM(E$17:E71)=D$10,F71,D$10-SUM(E$17:E71))</f>
        <v>0</v>
      </c>
      <c r="E72" s="378">
        <f t="shared" si="29"/>
        <v>0</v>
      </c>
      <c r="F72" s="55">
        <f t="shared" si="30"/>
        <v>0</v>
      </c>
      <c r="G72" s="379">
        <f t="shared" si="34"/>
        <v>0</v>
      </c>
      <c r="H72" s="364">
        <f t="shared" si="35"/>
        <v>0</v>
      </c>
      <c r="I72" s="52">
        <f t="shared" si="6"/>
        <v>0</v>
      </c>
      <c r="J72" s="52"/>
      <c r="K72" s="130"/>
      <c r="L72" s="64">
        <f t="shared" si="33"/>
        <v>0</v>
      </c>
      <c r="M72" s="130"/>
      <c r="N72" s="64">
        <f t="shared" si="10"/>
        <v>0</v>
      </c>
      <c r="O72" s="64">
        <f t="shared" si="11"/>
        <v>0</v>
      </c>
      <c r="P72" s="1"/>
    </row>
    <row r="73" spans="2:16" ht="12.5">
      <c r="C73" s="12" t="s">
        <v>78</v>
      </c>
      <c r="D73" s="293"/>
      <c r="E73" s="293">
        <f>SUM(E17:E72)</f>
        <v>5048526.0000000009</v>
      </c>
      <c r="F73" s="293"/>
      <c r="G73" s="293">
        <f>SUM(G17:G72)</f>
        <v>18390799.646727171</v>
      </c>
      <c r="H73" s="293">
        <f>SUM(H17:H72)</f>
        <v>18390799.646727171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 ht="13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37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560401.97872855526</v>
      </c>
      <c r="N87" s="387">
        <f>IF(J92&lt;D11,0,VLOOKUP(J92,C17:O72,11))</f>
        <v>560401.97872855526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580113.0595136066</v>
      </c>
      <c r="N88" s="390">
        <f>IF(J92&lt;D11,0,VLOOKUP(J92,C99:P154,7))</f>
        <v>580113.0595136066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SW Shreveport to Spring Ridge REC 138 kV Line Rebuild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19711.080785051337</v>
      </c>
      <c r="N89" s="392">
        <f>+N88-N87</f>
        <v>19711.080785051337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TP2010066</v>
      </c>
      <c r="E91" s="76" t="str">
        <f>E9</f>
        <v xml:space="preserve">SPP Project ID = </v>
      </c>
      <c r="F91" s="463">
        <f>F9</f>
        <v>1023</v>
      </c>
      <c r="G91" s="76"/>
      <c r="H91" s="76"/>
      <c r="I91" s="76"/>
      <c r="J91" s="76"/>
      <c r="Q91" s="1"/>
    </row>
    <row r="92" spans="1:17" ht="13">
      <c r="C92" s="34" t="s">
        <v>51</v>
      </c>
      <c r="D92" s="428">
        <f>D10</f>
        <v>5048526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  <c r="Q92" s="1"/>
    </row>
    <row r="93" spans="1:17" ht="12.5">
      <c r="C93" s="34" t="s">
        <v>54</v>
      </c>
      <c r="D93" s="435">
        <f>D11</f>
        <v>2013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4">
        <f>D12</f>
        <v>6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114739.22727272728</v>
      </c>
      <c r="K96" s="293"/>
      <c r="L96" s="293"/>
      <c r="M96" s="293"/>
      <c r="N96" s="293"/>
      <c r="O96" s="293"/>
      <c r="P96" s="1"/>
      <c r="Q96" s="1"/>
    </row>
    <row r="97" spans="1:17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 ht="12.5">
      <c r="C99" s="50">
        <f>IF(D93= "","-",D93)</f>
        <v>2013</v>
      </c>
      <c r="D99" s="429">
        <v>0</v>
      </c>
      <c r="E99" s="430">
        <v>60097.440476190473</v>
      </c>
      <c r="F99" s="431">
        <v>4988087.5595238097</v>
      </c>
      <c r="G99" s="432">
        <v>2494043.7797619049</v>
      </c>
      <c r="H99" s="433">
        <v>397520.86907446757</v>
      </c>
      <c r="I99" s="434">
        <v>397520.86907446757</v>
      </c>
      <c r="J99" s="154">
        <v>0</v>
      </c>
      <c r="K99" s="54"/>
      <c r="L99" s="113">
        <f t="shared" ref="L99:L104" si="36">H99</f>
        <v>397520.86907446757</v>
      </c>
      <c r="M99" s="54">
        <f t="shared" ref="M99:M104" si="37">IF(L99&lt;&gt;0,+H99-L99,0)</f>
        <v>0</v>
      </c>
      <c r="N99" s="113">
        <f t="shared" ref="N99:N104" si="38">I99</f>
        <v>397520.86907446757</v>
      </c>
      <c r="O99" s="54">
        <f>IF(N99&lt;&gt;0,+I99-N99,0)</f>
        <v>0</v>
      </c>
      <c r="P99" s="54">
        <f>+O99-M99</f>
        <v>0</v>
      </c>
      <c r="Q99" s="1"/>
    </row>
    <row r="100" spans="1:17" ht="12.5">
      <c r="B100" s="7" t="str">
        <f>IF(D100=F99,"","IU")</f>
        <v/>
      </c>
      <c r="C100" s="50">
        <f>IF(D93="","-",+C99+1)</f>
        <v>2014</v>
      </c>
      <c r="D100" s="429">
        <v>4988087.5595238097</v>
      </c>
      <c r="E100" s="430">
        <v>120203</v>
      </c>
      <c r="F100" s="431">
        <v>4867884.5595238097</v>
      </c>
      <c r="G100" s="431">
        <v>4927986.0595238097</v>
      </c>
      <c r="H100" s="433">
        <v>790031.91488158714</v>
      </c>
      <c r="I100" s="434">
        <v>790031.91488158714</v>
      </c>
      <c r="J100" s="54">
        <v>0</v>
      </c>
      <c r="K100" s="54"/>
      <c r="L100" s="113">
        <f t="shared" si="36"/>
        <v>790031.91488158714</v>
      </c>
      <c r="M100" s="54">
        <f t="shared" si="37"/>
        <v>0</v>
      </c>
      <c r="N100" s="113">
        <f t="shared" si="38"/>
        <v>790031.91488158714</v>
      </c>
      <c r="O100" s="54">
        <f>IF(N100&lt;&gt;0,+I100-N100,0)</f>
        <v>0</v>
      </c>
      <c r="P100" s="54">
        <f>+O100-M100</f>
        <v>0</v>
      </c>
      <c r="Q100" s="1"/>
    </row>
    <row r="101" spans="1:17" ht="12.5">
      <c r="B101" s="7" t="str">
        <f t="shared" ref="B101:B154" si="39">IF(D101=F100,"","IU")</f>
        <v>IU</v>
      </c>
      <c r="C101" s="50">
        <f>IF(D93="","-",+C100+1)</f>
        <v>2015</v>
      </c>
      <c r="D101" s="429">
        <v>4868225.5595238097</v>
      </c>
      <c r="E101" s="430">
        <v>120203</v>
      </c>
      <c r="F101" s="431">
        <v>4748022.5595238097</v>
      </c>
      <c r="G101" s="431">
        <v>4808124.0595238097</v>
      </c>
      <c r="H101" s="433">
        <v>753764.11200720049</v>
      </c>
      <c r="I101" s="434">
        <v>753764.11200720049</v>
      </c>
      <c r="J101" s="54">
        <f>+I101-H101</f>
        <v>0</v>
      </c>
      <c r="K101" s="54"/>
      <c r="L101" s="113">
        <f t="shared" si="36"/>
        <v>753764.11200720049</v>
      </c>
      <c r="M101" s="54">
        <f t="shared" si="37"/>
        <v>0</v>
      </c>
      <c r="N101" s="113">
        <f t="shared" si="38"/>
        <v>753764.11200720049</v>
      </c>
      <c r="O101" s="54">
        <f>IF(N101&lt;&gt;0,+I101-N101,0)</f>
        <v>0</v>
      </c>
      <c r="P101" s="54">
        <f>+O101-M101</f>
        <v>0</v>
      </c>
      <c r="Q101" s="1"/>
    </row>
    <row r="102" spans="1:17" ht="12.5">
      <c r="B102" s="7" t="str">
        <f t="shared" si="39"/>
        <v/>
      </c>
      <c r="C102" s="50">
        <f>IF(D93="","-",+C101+1)</f>
        <v>2016</v>
      </c>
      <c r="D102" s="429">
        <v>4748022.5595238097</v>
      </c>
      <c r="E102" s="430">
        <v>117407.58139534884</v>
      </c>
      <c r="F102" s="431">
        <v>4630614.9781284612</v>
      </c>
      <c r="G102" s="431">
        <v>4689318.7688261354</v>
      </c>
      <c r="H102" s="433">
        <v>712716.54417822254</v>
      </c>
      <c r="I102" s="434">
        <v>712716.54417822254</v>
      </c>
      <c r="J102" s="54">
        <f t="shared" ref="J102:J154" si="40">+I102-H102</f>
        <v>0</v>
      </c>
      <c r="K102" s="54"/>
      <c r="L102" s="113">
        <f t="shared" si="36"/>
        <v>712716.54417822254</v>
      </c>
      <c r="M102" s="54">
        <f t="shared" si="37"/>
        <v>0</v>
      </c>
      <c r="N102" s="113">
        <f t="shared" si="38"/>
        <v>712716.54417822254</v>
      </c>
      <c r="O102" s="54">
        <f>IF(N102&lt;&gt;0,+I102-N102,0)</f>
        <v>0</v>
      </c>
      <c r="P102" s="54">
        <f>+O102-M102</f>
        <v>0</v>
      </c>
      <c r="Q102" s="1"/>
    </row>
    <row r="103" spans="1:17" ht="12.5">
      <c r="B103" s="7" t="str">
        <f t="shared" si="39"/>
        <v/>
      </c>
      <c r="C103" s="50">
        <f>IF(D93="","-",+C102+1)</f>
        <v>2017</v>
      </c>
      <c r="D103" s="429">
        <v>4630614.9781284612</v>
      </c>
      <c r="E103" s="430">
        <v>120203</v>
      </c>
      <c r="F103" s="431">
        <v>4510411.9781284612</v>
      </c>
      <c r="G103" s="431">
        <v>4570513.4781284612</v>
      </c>
      <c r="H103" s="433">
        <v>675389.93455255101</v>
      </c>
      <c r="I103" s="434">
        <v>675389.93455255101</v>
      </c>
      <c r="J103" s="54">
        <f t="shared" si="40"/>
        <v>0</v>
      </c>
      <c r="K103" s="54"/>
      <c r="L103" s="113">
        <f t="shared" si="36"/>
        <v>675389.93455255101</v>
      </c>
      <c r="M103" s="54">
        <f t="shared" si="37"/>
        <v>0</v>
      </c>
      <c r="N103" s="113">
        <f t="shared" si="38"/>
        <v>675389.93455255101</v>
      </c>
      <c r="O103" s="54">
        <f>IF(N103&lt;&gt;0,+I103-N103,0)</f>
        <v>0</v>
      </c>
      <c r="P103" s="54">
        <f>+O103-M103</f>
        <v>0</v>
      </c>
      <c r="Q103" s="1"/>
    </row>
    <row r="104" spans="1:17" ht="12.5">
      <c r="B104" s="7" t="str">
        <f t="shared" si="39"/>
        <v/>
      </c>
      <c r="C104" s="50">
        <f>IF(D93="","-",+C103+1)</f>
        <v>2018</v>
      </c>
      <c r="D104" s="429">
        <v>4510411.9781284612</v>
      </c>
      <c r="E104" s="430">
        <v>120203</v>
      </c>
      <c r="F104" s="431">
        <v>4390208.9781284612</v>
      </c>
      <c r="G104" s="431">
        <v>4450310.4781284612</v>
      </c>
      <c r="H104" s="433">
        <v>590176.19481222471</v>
      </c>
      <c r="I104" s="434">
        <v>590176.19481222471</v>
      </c>
      <c r="J104" s="54">
        <f t="shared" si="40"/>
        <v>0</v>
      </c>
      <c r="K104" s="54"/>
      <c r="L104" s="113">
        <f t="shared" si="36"/>
        <v>590176.19481222471</v>
      </c>
      <c r="M104" s="54">
        <f t="shared" si="37"/>
        <v>0</v>
      </c>
      <c r="N104" s="113">
        <f t="shared" si="38"/>
        <v>590176.19481222471</v>
      </c>
      <c r="O104" s="54">
        <f t="shared" ref="O104:O130" si="41">IF(N104&lt;&gt;0,+I104-N104,0)</f>
        <v>0</v>
      </c>
      <c r="P104" s="54">
        <f t="shared" ref="P104:P130" si="42">+O104-M104</f>
        <v>0</v>
      </c>
      <c r="Q104" s="1"/>
    </row>
    <row r="105" spans="1:17" ht="12.5">
      <c r="B105" s="7" t="str">
        <f t="shared" si="39"/>
        <v/>
      </c>
      <c r="C105" s="50">
        <f>IF(D93="","-",+C104+1)</f>
        <v>2019</v>
      </c>
      <c r="D105" s="429">
        <v>4390208.9781284612</v>
      </c>
      <c r="E105" s="430">
        <v>117407.58139534884</v>
      </c>
      <c r="F105" s="431">
        <v>4272801.3967331126</v>
      </c>
      <c r="G105" s="431">
        <v>4331505.1874307869</v>
      </c>
      <c r="H105" s="433">
        <v>581054.26400771562</v>
      </c>
      <c r="I105" s="434">
        <v>581054.26400771562</v>
      </c>
      <c r="J105" s="54">
        <f t="shared" si="40"/>
        <v>0</v>
      </c>
      <c r="K105" s="54"/>
      <c r="L105" s="113">
        <f t="shared" ref="L105" si="43">H105</f>
        <v>581054.26400771562</v>
      </c>
      <c r="M105" s="54">
        <f t="shared" ref="M105" si="44">IF(L105&lt;&gt;0,+H105-L105,0)</f>
        <v>0</v>
      </c>
      <c r="N105" s="113">
        <f t="shared" ref="N105" si="45">I105</f>
        <v>581054.26400771562</v>
      </c>
      <c r="O105" s="54">
        <f t="shared" si="41"/>
        <v>0</v>
      </c>
      <c r="P105" s="54">
        <f t="shared" si="42"/>
        <v>0</v>
      </c>
      <c r="Q105" s="1"/>
    </row>
    <row r="106" spans="1:17" ht="12.5">
      <c r="B106" s="7" t="str">
        <f t="shared" si="39"/>
        <v/>
      </c>
      <c r="C106" s="50">
        <f>IF(D93="","-",+C105+1)</f>
        <v>2020</v>
      </c>
      <c r="D106" s="429">
        <v>4272801.3967331126</v>
      </c>
      <c r="E106" s="430">
        <v>120203</v>
      </c>
      <c r="F106" s="431">
        <v>4152598.3967331126</v>
      </c>
      <c r="G106" s="431">
        <v>4212699.8967331126</v>
      </c>
      <c r="H106" s="433">
        <v>573379.27306704223</v>
      </c>
      <c r="I106" s="434">
        <v>573379.27306704223</v>
      </c>
      <c r="J106" s="54">
        <f t="shared" si="40"/>
        <v>0</v>
      </c>
      <c r="K106" s="54"/>
      <c r="L106" s="113">
        <f t="shared" ref="L106" si="46">H106</f>
        <v>573379.27306704223</v>
      </c>
      <c r="M106" s="54">
        <f t="shared" ref="M106" si="47">IF(L106&lt;&gt;0,+H106-L106,0)</f>
        <v>0</v>
      </c>
      <c r="N106" s="113">
        <f t="shared" ref="N106" si="48">I106</f>
        <v>573379.27306704223</v>
      </c>
      <c r="O106" s="54">
        <f t="shared" si="41"/>
        <v>0</v>
      </c>
      <c r="P106" s="54">
        <f t="shared" si="42"/>
        <v>0</v>
      </c>
      <c r="Q106" s="1"/>
    </row>
    <row r="107" spans="1:17" ht="12.5">
      <c r="B107" s="7" t="str">
        <f t="shared" si="39"/>
        <v/>
      </c>
      <c r="C107" s="50">
        <f>IF(D93="","-",+C106+1)</f>
        <v>2021</v>
      </c>
      <c r="D107" s="429">
        <v>4152598.3967331126</v>
      </c>
      <c r="E107" s="430">
        <v>123134.78048780488</v>
      </c>
      <c r="F107" s="431">
        <v>4029463.616245308</v>
      </c>
      <c r="G107" s="431">
        <v>4091031.0064892103</v>
      </c>
      <c r="H107" s="433">
        <v>587525.00025247002</v>
      </c>
      <c r="I107" s="434">
        <v>587525.00025247002</v>
      </c>
      <c r="J107" s="54">
        <f t="shared" si="40"/>
        <v>0</v>
      </c>
      <c r="K107" s="54"/>
      <c r="L107" s="113">
        <f t="shared" ref="L107" si="49">H107</f>
        <v>587525.00025247002</v>
      </c>
      <c r="M107" s="54">
        <f t="shared" ref="M107" si="50">IF(L107&lt;&gt;0,+H107-L107,0)</f>
        <v>0</v>
      </c>
      <c r="N107" s="113">
        <f t="shared" ref="N107" si="51">I107</f>
        <v>587525.00025247002</v>
      </c>
      <c r="O107" s="54">
        <f t="shared" si="41"/>
        <v>0</v>
      </c>
      <c r="P107" s="54">
        <f t="shared" si="42"/>
        <v>0</v>
      </c>
      <c r="Q107" s="1"/>
    </row>
    <row r="108" spans="1:17" ht="12.5">
      <c r="B108" s="7" t="str">
        <f t="shared" si="39"/>
        <v/>
      </c>
      <c r="C108" s="50">
        <f>IF(D93="","-",+C107+1)</f>
        <v>2022</v>
      </c>
      <c r="D108" s="429">
        <v>4029463.616245308</v>
      </c>
      <c r="E108" s="430">
        <v>120203</v>
      </c>
      <c r="F108" s="431">
        <v>3909260.616245308</v>
      </c>
      <c r="G108" s="431">
        <v>3969362.116245308</v>
      </c>
      <c r="H108" s="433">
        <v>586435.71242843394</v>
      </c>
      <c r="I108" s="434">
        <v>586435.71242843394</v>
      </c>
      <c r="J108" s="54">
        <f t="shared" si="40"/>
        <v>0</v>
      </c>
      <c r="K108" s="54"/>
      <c r="L108" s="113">
        <f t="shared" ref="L108" si="52">H108</f>
        <v>586435.71242843394</v>
      </c>
      <c r="M108" s="54">
        <f t="shared" ref="M108" si="53">IF(L108&lt;&gt;0,+H108-L108,0)</f>
        <v>0</v>
      </c>
      <c r="N108" s="113">
        <f t="shared" ref="N108" si="54">I108</f>
        <v>586435.71242843394</v>
      </c>
      <c r="O108" s="54">
        <f t="shared" ref="O108" si="55">IF(N108&lt;&gt;0,+I108-N108,0)</f>
        <v>0</v>
      </c>
      <c r="P108" s="54">
        <f t="shared" ref="P108" si="56">+O108-M108</f>
        <v>0</v>
      </c>
      <c r="Q108" s="1"/>
    </row>
    <row r="109" spans="1:17" ht="12.5">
      <c r="B109" s="7" t="str">
        <f t="shared" si="39"/>
        <v/>
      </c>
      <c r="C109" s="50">
        <f>IF(D93="","-",+C108+1)</f>
        <v>2023</v>
      </c>
      <c r="D109" s="429">
        <v>3909260.616245308</v>
      </c>
      <c r="E109" s="430">
        <v>114739.22727272728</v>
      </c>
      <c r="F109" s="431">
        <v>3794521.3889725809</v>
      </c>
      <c r="G109" s="431">
        <v>3851891.0026089447</v>
      </c>
      <c r="H109" s="433">
        <v>589927.97734396392</v>
      </c>
      <c r="I109" s="434">
        <v>589927.97734396392</v>
      </c>
      <c r="J109" s="54">
        <f t="shared" si="40"/>
        <v>0</v>
      </c>
      <c r="K109" s="54"/>
      <c r="L109" s="113">
        <f t="shared" ref="L109" si="57">H109</f>
        <v>589927.97734396392</v>
      </c>
      <c r="M109" s="54">
        <f t="shared" ref="M109" si="58">IF(L109&lt;&gt;0,+H109-L109,0)</f>
        <v>0</v>
      </c>
      <c r="N109" s="113">
        <f t="shared" ref="N109" si="59">I109</f>
        <v>589927.97734396392</v>
      </c>
      <c r="O109" s="54">
        <f t="shared" ref="O109" si="60">IF(N109&lt;&gt;0,+I109-N109,0)</f>
        <v>0</v>
      </c>
      <c r="P109" s="54">
        <f t="shared" ref="P109" si="61">+O109-M109</f>
        <v>0</v>
      </c>
      <c r="Q109" s="1"/>
    </row>
    <row r="110" spans="1:17" ht="12.5">
      <c r="B110" s="7" t="str">
        <f t="shared" si="39"/>
        <v/>
      </c>
      <c r="C110" s="50">
        <f>IF(D93="","-",+C109+1)</f>
        <v>2024</v>
      </c>
      <c r="D110" s="12">
        <f>IF(F109+SUM(E$99:E109)=D$92,F109,D$92-SUM(E$99:E109))</f>
        <v>3794521.3889725809</v>
      </c>
      <c r="E110" s="378">
        <f t="shared" ref="E110:E154" si="62">IF(+$J$96&lt;F109,$J$96,D110)</f>
        <v>114739.22727272728</v>
      </c>
      <c r="F110" s="55">
        <f t="shared" ref="F110:F154" si="63">+D110-E110</f>
        <v>3679782.1616998538</v>
      </c>
      <c r="G110" s="55">
        <f t="shared" ref="G110:G154" si="64">+(F110+D110)/2</f>
        <v>3737151.7753362171</v>
      </c>
      <c r="H110" s="380">
        <f t="shared" ref="H110:H154" si="65">+J$94*G110+E110</f>
        <v>580113.0595136066</v>
      </c>
      <c r="I110" s="399">
        <f t="shared" ref="I110:I154" si="66">+J$95*G110+E110</f>
        <v>580113.0595136066</v>
      </c>
      <c r="J110" s="54">
        <f t="shared" si="40"/>
        <v>0</v>
      </c>
      <c r="K110" s="54"/>
      <c r="L110" s="129"/>
      <c r="M110" s="54">
        <f t="shared" ref="M110:M130" si="67">IF(L110&lt;&gt;0,+H110-L110,0)</f>
        <v>0</v>
      </c>
      <c r="N110" s="129"/>
      <c r="O110" s="54">
        <f t="shared" si="41"/>
        <v>0</v>
      </c>
      <c r="P110" s="54">
        <f t="shared" si="42"/>
        <v>0</v>
      </c>
      <c r="Q110" s="1"/>
    </row>
    <row r="111" spans="1:17" ht="12.5">
      <c r="B111" s="7" t="str">
        <f t="shared" si="39"/>
        <v/>
      </c>
      <c r="C111" s="50">
        <f>IF(D93="","-",+C110+1)</f>
        <v>2025</v>
      </c>
      <c r="D111" s="12">
        <f>IF(F110+SUM(E$99:E110)=D$92,F110,D$92-SUM(E$99:E110))</f>
        <v>3679782.1616998538</v>
      </c>
      <c r="E111" s="378">
        <f t="shared" si="62"/>
        <v>114739.22727272728</v>
      </c>
      <c r="F111" s="55">
        <f t="shared" si="63"/>
        <v>3565042.9344271268</v>
      </c>
      <c r="G111" s="55">
        <f t="shared" si="64"/>
        <v>3622412.5480634905</v>
      </c>
      <c r="H111" s="380">
        <f t="shared" si="65"/>
        <v>565825.00349815027</v>
      </c>
      <c r="I111" s="399">
        <f t="shared" si="66"/>
        <v>565825.00349815027</v>
      </c>
      <c r="J111" s="54">
        <f t="shared" si="40"/>
        <v>0</v>
      </c>
      <c r="K111" s="54"/>
      <c r="L111" s="129"/>
      <c r="M111" s="54">
        <f t="shared" si="67"/>
        <v>0</v>
      </c>
      <c r="N111" s="129"/>
      <c r="O111" s="54">
        <f t="shared" si="41"/>
        <v>0</v>
      </c>
      <c r="P111" s="54">
        <f t="shared" si="42"/>
        <v>0</v>
      </c>
      <c r="Q111" s="1"/>
    </row>
    <row r="112" spans="1:17" ht="12.5">
      <c r="B112" s="7" t="str">
        <f t="shared" si="39"/>
        <v/>
      </c>
      <c r="C112" s="50">
        <f>IF(D93="","-",+C111+1)</f>
        <v>2026</v>
      </c>
      <c r="D112" s="12">
        <f>IF(F111+SUM(E$99:E111)=D$92,F111,D$92-SUM(E$99:E111))</f>
        <v>3565042.9344271268</v>
      </c>
      <c r="E112" s="378">
        <f t="shared" si="62"/>
        <v>114739.22727272728</v>
      </c>
      <c r="F112" s="55">
        <f t="shared" si="63"/>
        <v>3450303.7071543997</v>
      </c>
      <c r="G112" s="55">
        <f t="shared" si="64"/>
        <v>3507673.320790763</v>
      </c>
      <c r="H112" s="380">
        <f t="shared" si="65"/>
        <v>551536.94748269382</v>
      </c>
      <c r="I112" s="399">
        <f t="shared" si="66"/>
        <v>551536.94748269382</v>
      </c>
      <c r="J112" s="54">
        <f t="shared" si="40"/>
        <v>0</v>
      </c>
      <c r="K112" s="54"/>
      <c r="L112" s="129"/>
      <c r="M112" s="54">
        <f t="shared" si="67"/>
        <v>0</v>
      </c>
      <c r="N112" s="129"/>
      <c r="O112" s="54">
        <f t="shared" si="41"/>
        <v>0</v>
      </c>
      <c r="P112" s="54">
        <f t="shared" si="42"/>
        <v>0</v>
      </c>
      <c r="Q112" s="1"/>
    </row>
    <row r="113" spans="2:17" ht="12.5">
      <c r="B113" s="7" t="str">
        <f t="shared" si="39"/>
        <v/>
      </c>
      <c r="C113" s="50">
        <f>IF(D93="","-",+C112+1)</f>
        <v>2027</v>
      </c>
      <c r="D113" s="12">
        <f>IF(F112+SUM(E$99:E112)=D$92,F112,D$92-SUM(E$99:E112))</f>
        <v>3450303.7071543997</v>
      </c>
      <c r="E113" s="378">
        <f t="shared" si="62"/>
        <v>114739.22727272728</v>
      </c>
      <c r="F113" s="55">
        <f t="shared" si="63"/>
        <v>3335564.4798816727</v>
      </c>
      <c r="G113" s="55">
        <f t="shared" si="64"/>
        <v>3392934.0935180364</v>
      </c>
      <c r="H113" s="380">
        <f t="shared" si="65"/>
        <v>537248.8914672375</v>
      </c>
      <c r="I113" s="399">
        <f t="shared" si="66"/>
        <v>537248.8914672375</v>
      </c>
      <c r="J113" s="54">
        <f t="shared" si="40"/>
        <v>0</v>
      </c>
      <c r="K113" s="54"/>
      <c r="L113" s="129"/>
      <c r="M113" s="54">
        <f t="shared" si="67"/>
        <v>0</v>
      </c>
      <c r="N113" s="129"/>
      <c r="O113" s="54">
        <f t="shared" si="41"/>
        <v>0</v>
      </c>
      <c r="P113" s="54">
        <f t="shared" si="42"/>
        <v>0</v>
      </c>
      <c r="Q113" s="1"/>
    </row>
    <row r="114" spans="2:17" ht="12.5">
      <c r="B114" s="7" t="str">
        <f t="shared" si="39"/>
        <v/>
      </c>
      <c r="C114" s="50">
        <f>IF(D93="","-",+C113+1)</f>
        <v>2028</v>
      </c>
      <c r="D114" s="12">
        <f>IF(F113+SUM(E$99:E113)=D$92,F113,D$92-SUM(E$99:E113))</f>
        <v>3335564.4798816727</v>
      </c>
      <c r="E114" s="378">
        <f t="shared" si="62"/>
        <v>114739.22727272728</v>
      </c>
      <c r="F114" s="55">
        <f t="shared" si="63"/>
        <v>3220825.2526089456</v>
      </c>
      <c r="G114" s="55">
        <f t="shared" si="64"/>
        <v>3278194.8662453089</v>
      </c>
      <c r="H114" s="380">
        <f t="shared" si="65"/>
        <v>522960.83545178105</v>
      </c>
      <c r="I114" s="399">
        <f t="shared" si="66"/>
        <v>522960.83545178105</v>
      </c>
      <c r="J114" s="54">
        <f t="shared" si="40"/>
        <v>0</v>
      </c>
      <c r="K114" s="54"/>
      <c r="L114" s="129"/>
      <c r="M114" s="54">
        <f t="shared" si="67"/>
        <v>0</v>
      </c>
      <c r="N114" s="129"/>
      <c r="O114" s="54">
        <f t="shared" si="41"/>
        <v>0</v>
      </c>
      <c r="P114" s="54">
        <f t="shared" si="42"/>
        <v>0</v>
      </c>
      <c r="Q114" s="1"/>
    </row>
    <row r="115" spans="2:17" ht="12.5">
      <c r="B115" s="7" t="str">
        <f t="shared" si="39"/>
        <v/>
      </c>
      <c r="C115" s="50">
        <f>IF(D93="","-",+C114+1)</f>
        <v>2029</v>
      </c>
      <c r="D115" s="12">
        <f>IF(F114+SUM(E$99:E114)=D$92,F114,D$92-SUM(E$99:E114))</f>
        <v>3220825.2526089456</v>
      </c>
      <c r="E115" s="378">
        <f t="shared" si="62"/>
        <v>114739.22727272728</v>
      </c>
      <c r="F115" s="55">
        <f t="shared" si="63"/>
        <v>3106086.0253362185</v>
      </c>
      <c r="G115" s="55">
        <f t="shared" si="64"/>
        <v>3163455.6389725823</v>
      </c>
      <c r="H115" s="380">
        <f t="shared" si="65"/>
        <v>508672.77943632472</v>
      </c>
      <c r="I115" s="399">
        <f t="shared" si="66"/>
        <v>508672.77943632472</v>
      </c>
      <c r="J115" s="54">
        <f t="shared" si="40"/>
        <v>0</v>
      </c>
      <c r="K115" s="54"/>
      <c r="L115" s="129"/>
      <c r="M115" s="54">
        <f t="shared" si="67"/>
        <v>0</v>
      </c>
      <c r="N115" s="129"/>
      <c r="O115" s="54">
        <f t="shared" si="41"/>
        <v>0</v>
      </c>
      <c r="P115" s="54">
        <f t="shared" si="42"/>
        <v>0</v>
      </c>
      <c r="Q115" s="1"/>
    </row>
    <row r="116" spans="2:17" ht="12.5">
      <c r="B116" s="7" t="str">
        <f t="shared" si="39"/>
        <v/>
      </c>
      <c r="C116" s="50">
        <f>IF(D93="","-",+C115+1)</f>
        <v>2030</v>
      </c>
      <c r="D116" s="12">
        <f>IF(F115+SUM(E$99:E115)=D$92,F115,D$92-SUM(E$99:E115))</f>
        <v>3106086.0253362185</v>
      </c>
      <c r="E116" s="378">
        <f t="shared" si="62"/>
        <v>114739.22727272728</v>
      </c>
      <c r="F116" s="55">
        <f t="shared" si="63"/>
        <v>2991346.7980634915</v>
      </c>
      <c r="G116" s="55">
        <f t="shared" si="64"/>
        <v>3048716.4116998548</v>
      </c>
      <c r="H116" s="380">
        <f t="shared" si="65"/>
        <v>494384.72342086828</v>
      </c>
      <c r="I116" s="399">
        <f t="shared" si="66"/>
        <v>494384.72342086828</v>
      </c>
      <c r="J116" s="54">
        <f t="shared" si="40"/>
        <v>0</v>
      </c>
      <c r="K116" s="54"/>
      <c r="L116" s="129"/>
      <c r="M116" s="54">
        <f t="shared" si="67"/>
        <v>0</v>
      </c>
      <c r="N116" s="129"/>
      <c r="O116" s="54">
        <f t="shared" si="41"/>
        <v>0</v>
      </c>
      <c r="P116" s="54">
        <f t="shared" si="42"/>
        <v>0</v>
      </c>
      <c r="Q116" s="1"/>
    </row>
    <row r="117" spans="2:17" ht="12.5">
      <c r="B117" s="7" t="str">
        <f t="shared" si="39"/>
        <v/>
      </c>
      <c r="C117" s="50">
        <f>IF(D93="","-",+C116+1)</f>
        <v>2031</v>
      </c>
      <c r="D117" s="12">
        <f>IF(F116+SUM(E$99:E116)=D$92,F116,D$92-SUM(E$99:E116))</f>
        <v>2991346.7980634915</v>
      </c>
      <c r="E117" s="378">
        <f t="shared" si="62"/>
        <v>114739.22727272728</v>
      </c>
      <c r="F117" s="55">
        <f t="shared" si="63"/>
        <v>2876607.5707907644</v>
      </c>
      <c r="G117" s="55">
        <f t="shared" si="64"/>
        <v>2933977.1844271282</v>
      </c>
      <c r="H117" s="380">
        <f t="shared" si="65"/>
        <v>480096.66740541189</v>
      </c>
      <c r="I117" s="399">
        <f t="shared" si="66"/>
        <v>480096.66740541189</v>
      </c>
      <c r="J117" s="54">
        <f t="shared" si="40"/>
        <v>0</v>
      </c>
      <c r="K117" s="54"/>
      <c r="L117" s="129"/>
      <c r="M117" s="54">
        <f t="shared" si="67"/>
        <v>0</v>
      </c>
      <c r="N117" s="129"/>
      <c r="O117" s="54">
        <f t="shared" si="41"/>
        <v>0</v>
      </c>
      <c r="P117" s="54">
        <f t="shared" si="42"/>
        <v>0</v>
      </c>
      <c r="Q117" s="1"/>
    </row>
    <row r="118" spans="2:17" ht="12.5">
      <c r="B118" s="7" t="str">
        <f t="shared" si="39"/>
        <v/>
      </c>
      <c r="C118" s="50">
        <f>IF(D93="","-",+C117+1)</f>
        <v>2032</v>
      </c>
      <c r="D118" s="12">
        <f>IF(F117+SUM(E$99:E117)=D$92,F117,D$92-SUM(E$99:E117))</f>
        <v>2876607.5707907644</v>
      </c>
      <c r="E118" s="378">
        <f t="shared" si="62"/>
        <v>114739.22727272728</v>
      </c>
      <c r="F118" s="55">
        <f t="shared" si="63"/>
        <v>2761868.3435180373</v>
      </c>
      <c r="G118" s="55">
        <f t="shared" si="64"/>
        <v>2819237.9571544006</v>
      </c>
      <c r="H118" s="380">
        <f t="shared" si="65"/>
        <v>465808.61138995545</v>
      </c>
      <c r="I118" s="399">
        <f t="shared" si="66"/>
        <v>465808.61138995545</v>
      </c>
      <c r="J118" s="54">
        <f t="shared" si="40"/>
        <v>0</v>
      </c>
      <c r="K118" s="54"/>
      <c r="L118" s="129"/>
      <c r="M118" s="54">
        <f t="shared" si="67"/>
        <v>0</v>
      </c>
      <c r="N118" s="129"/>
      <c r="O118" s="54">
        <f t="shared" si="41"/>
        <v>0</v>
      </c>
      <c r="P118" s="54">
        <f t="shared" si="42"/>
        <v>0</v>
      </c>
      <c r="Q118" s="1"/>
    </row>
    <row r="119" spans="2:17" ht="12.5">
      <c r="B119" s="7" t="str">
        <f t="shared" si="39"/>
        <v/>
      </c>
      <c r="C119" s="50">
        <f>IF(D93="","-",+C118+1)</f>
        <v>2033</v>
      </c>
      <c r="D119" s="12">
        <f>IF(F118+SUM(E$99:E118)=D$92,F118,D$92-SUM(E$99:E118))</f>
        <v>2761868.3435180373</v>
      </c>
      <c r="E119" s="378">
        <f t="shared" si="62"/>
        <v>114739.22727272728</v>
      </c>
      <c r="F119" s="55">
        <f t="shared" si="63"/>
        <v>2647129.1162453103</v>
      </c>
      <c r="G119" s="55">
        <f t="shared" si="64"/>
        <v>2704498.7298816741</v>
      </c>
      <c r="H119" s="380">
        <f t="shared" si="65"/>
        <v>451520.55537449912</v>
      </c>
      <c r="I119" s="399">
        <f t="shared" si="66"/>
        <v>451520.55537449912</v>
      </c>
      <c r="J119" s="54">
        <f t="shared" si="40"/>
        <v>0</v>
      </c>
      <c r="K119" s="54"/>
      <c r="L119" s="129"/>
      <c r="M119" s="54">
        <f t="shared" si="67"/>
        <v>0</v>
      </c>
      <c r="N119" s="129"/>
      <c r="O119" s="54">
        <f t="shared" si="41"/>
        <v>0</v>
      </c>
      <c r="P119" s="54">
        <f t="shared" si="42"/>
        <v>0</v>
      </c>
      <c r="Q119" s="1"/>
    </row>
    <row r="120" spans="2:17" ht="12.5">
      <c r="B120" s="7" t="str">
        <f t="shared" si="39"/>
        <v/>
      </c>
      <c r="C120" s="50">
        <f>IF(D93="","-",+C119+1)</f>
        <v>2034</v>
      </c>
      <c r="D120" s="12">
        <f>IF(F119+SUM(E$99:E119)=D$92,F119,D$92-SUM(E$99:E119))</f>
        <v>2647129.1162453103</v>
      </c>
      <c r="E120" s="378">
        <f t="shared" si="62"/>
        <v>114739.22727272728</v>
      </c>
      <c r="F120" s="55">
        <f t="shared" si="63"/>
        <v>2532389.8889725832</v>
      </c>
      <c r="G120" s="55">
        <f t="shared" si="64"/>
        <v>2589759.5026089465</v>
      </c>
      <c r="H120" s="380">
        <f t="shared" si="65"/>
        <v>437232.49935904262</v>
      </c>
      <c r="I120" s="399">
        <f t="shared" si="66"/>
        <v>437232.49935904262</v>
      </c>
      <c r="J120" s="54">
        <f t="shared" si="40"/>
        <v>0</v>
      </c>
      <c r="K120" s="54"/>
      <c r="L120" s="129"/>
      <c r="M120" s="54">
        <f t="shared" si="67"/>
        <v>0</v>
      </c>
      <c r="N120" s="129"/>
      <c r="O120" s="54">
        <f t="shared" si="41"/>
        <v>0</v>
      </c>
      <c r="P120" s="54">
        <f t="shared" si="42"/>
        <v>0</v>
      </c>
      <c r="Q120" s="1"/>
    </row>
    <row r="121" spans="2:17" ht="12.5">
      <c r="B121" s="7" t="str">
        <f t="shared" si="39"/>
        <v/>
      </c>
      <c r="C121" s="50">
        <f>IF(D93="","-",+C120+1)</f>
        <v>2035</v>
      </c>
      <c r="D121" s="12">
        <f>IF(F120+SUM(E$99:E120)=D$92,F120,D$92-SUM(E$99:E120))</f>
        <v>2532389.8889725832</v>
      </c>
      <c r="E121" s="378">
        <f t="shared" si="62"/>
        <v>114739.22727272728</v>
      </c>
      <c r="F121" s="55">
        <f t="shared" si="63"/>
        <v>2417650.6616998562</v>
      </c>
      <c r="G121" s="55">
        <f t="shared" si="64"/>
        <v>2475020.2753362199</v>
      </c>
      <c r="H121" s="380">
        <f t="shared" si="65"/>
        <v>422944.44334358629</v>
      </c>
      <c r="I121" s="399">
        <f t="shared" si="66"/>
        <v>422944.44334358629</v>
      </c>
      <c r="J121" s="54">
        <f t="shared" si="40"/>
        <v>0</v>
      </c>
      <c r="K121" s="54"/>
      <c r="L121" s="129"/>
      <c r="M121" s="54">
        <f t="shared" si="67"/>
        <v>0</v>
      </c>
      <c r="N121" s="129"/>
      <c r="O121" s="54">
        <f t="shared" si="41"/>
        <v>0</v>
      </c>
      <c r="P121" s="54">
        <f t="shared" si="42"/>
        <v>0</v>
      </c>
      <c r="Q121" s="1"/>
    </row>
    <row r="122" spans="2:17" ht="12.5">
      <c r="B122" s="7" t="str">
        <f t="shared" si="39"/>
        <v/>
      </c>
      <c r="C122" s="50">
        <f>IF(D93="","-",+C121+1)</f>
        <v>2036</v>
      </c>
      <c r="D122" s="12">
        <f>IF(F121+SUM(E$99:E121)=D$92,F121,D$92-SUM(E$99:E121))</f>
        <v>2417650.6616998562</v>
      </c>
      <c r="E122" s="378">
        <f t="shared" si="62"/>
        <v>114739.22727272728</v>
      </c>
      <c r="F122" s="55">
        <f t="shared" si="63"/>
        <v>2302911.4344271291</v>
      </c>
      <c r="G122" s="55">
        <f t="shared" si="64"/>
        <v>2360281.0480634924</v>
      </c>
      <c r="H122" s="380">
        <f t="shared" si="65"/>
        <v>408656.38732812984</v>
      </c>
      <c r="I122" s="399">
        <f t="shared" si="66"/>
        <v>408656.38732812984</v>
      </c>
      <c r="J122" s="54">
        <f t="shared" si="40"/>
        <v>0</v>
      </c>
      <c r="K122" s="54"/>
      <c r="L122" s="129"/>
      <c r="M122" s="54">
        <f t="shared" si="67"/>
        <v>0</v>
      </c>
      <c r="N122" s="129"/>
      <c r="O122" s="54">
        <f t="shared" si="41"/>
        <v>0</v>
      </c>
      <c r="P122" s="54">
        <f t="shared" si="42"/>
        <v>0</v>
      </c>
      <c r="Q122" s="1"/>
    </row>
    <row r="123" spans="2:17" ht="12.5">
      <c r="B123" s="7" t="str">
        <f t="shared" si="39"/>
        <v/>
      </c>
      <c r="C123" s="50">
        <f>IF(D93="","-",+C122+1)</f>
        <v>2037</v>
      </c>
      <c r="D123" s="12">
        <f>IF(F122+SUM(E$99:E122)=D$92,F122,D$92-SUM(E$99:E122))</f>
        <v>2302911.4344271291</v>
      </c>
      <c r="E123" s="378">
        <f t="shared" si="62"/>
        <v>114739.22727272728</v>
      </c>
      <c r="F123" s="55">
        <f t="shared" si="63"/>
        <v>2188172.207154402</v>
      </c>
      <c r="G123" s="55">
        <f t="shared" si="64"/>
        <v>2245541.8207907658</v>
      </c>
      <c r="H123" s="380">
        <f t="shared" si="65"/>
        <v>394368.33131267352</v>
      </c>
      <c r="I123" s="399">
        <f t="shared" si="66"/>
        <v>394368.33131267352</v>
      </c>
      <c r="J123" s="54">
        <f t="shared" si="40"/>
        <v>0</v>
      </c>
      <c r="K123" s="54"/>
      <c r="L123" s="129"/>
      <c r="M123" s="54">
        <f t="shared" si="67"/>
        <v>0</v>
      </c>
      <c r="N123" s="129"/>
      <c r="O123" s="54">
        <f t="shared" si="41"/>
        <v>0</v>
      </c>
      <c r="P123" s="54">
        <f t="shared" si="42"/>
        <v>0</v>
      </c>
      <c r="Q123" s="1"/>
    </row>
    <row r="124" spans="2:17" ht="12.5">
      <c r="B124" s="7" t="str">
        <f t="shared" si="39"/>
        <v/>
      </c>
      <c r="C124" s="50">
        <f>IF(D93="","-",+C123+1)</f>
        <v>2038</v>
      </c>
      <c r="D124" s="12">
        <f>IF(F123+SUM(E$99:E123)=D$92,F123,D$92-SUM(E$99:E123))</f>
        <v>2188172.207154402</v>
      </c>
      <c r="E124" s="378">
        <f t="shared" si="62"/>
        <v>114739.22727272728</v>
      </c>
      <c r="F124" s="55">
        <f t="shared" si="63"/>
        <v>2073432.9798816747</v>
      </c>
      <c r="G124" s="55">
        <f t="shared" si="64"/>
        <v>2130802.5935180383</v>
      </c>
      <c r="H124" s="380">
        <f t="shared" si="65"/>
        <v>380080.27529721701</v>
      </c>
      <c r="I124" s="399">
        <f t="shared" si="66"/>
        <v>380080.27529721701</v>
      </c>
      <c r="J124" s="54">
        <f t="shared" si="40"/>
        <v>0</v>
      </c>
      <c r="K124" s="54"/>
      <c r="L124" s="129"/>
      <c r="M124" s="54">
        <f t="shared" si="67"/>
        <v>0</v>
      </c>
      <c r="N124" s="129"/>
      <c r="O124" s="54">
        <f t="shared" si="41"/>
        <v>0</v>
      </c>
      <c r="P124" s="54">
        <f t="shared" si="42"/>
        <v>0</v>
      </c>
      <c r="Q124" s="1"/>
    </row>
    <row r="125" spans="2:17" ht="12.5">
      <c r="B125" s="7" t="str">
        <f t="shared" si="39"/>
        <v/>
      </c>
      <c r="C125" s="50">
        <f>IF(D93="","-",+C124+1)</f>
        <v>2039</v>
      </c>
      <c r="D125" s="12">
        <f>IF(F124+SUM(E$99:E124)=D$92,F124,D$92-SUM(E$99:E124))</f>
        <v>2073432.9798816747</v>
      </c>
      <c r="E125" s="378">
        <f t="shared" si="62"/>
        <v>114739.22727272728</v>
      </c>
      <c r="F125" s="55">
        <f t="shared" si="63"/>
        <v>1958693.7526089475</v>
      </c>
      <c r="G125" s="55">
        <f t="shared" si="64"/>
        <v>2016063.3662453112</v>
      </c>
      <c r="H125" s="380">
        <f t="shared" si="65"/>
        <v>365792.21928176063</v>
      </c>
      <c r="I125" s="399">
        <f t="shared" si="66"/>
        <v>365792.21928176063</v>
      </c>
      <c r="J125" s="54">
        <f t="shared" si="40"/>
        <v>0</v>
      </c>
      <c r="K125" s="54"/>
      <c r="L125" s="129"/>
      <c r="M125" s="54">
        <f t="shared" si="67"/>
        <v>0</v>
      </c>
      <c r="N125" s="129"/>
      <c r="O125" s="54">
        <f t="shared" si="41"/>
        <v>0</v>
      </c>
      <c r="P125" s="54">
        <f t="shared" si="42"/>
        <v>0</v>
      </c>
      <c r="Q125" s="1"/>
    </row>
    <row r="126" spans="2:17" ht="12.5">
      <c r="B126" s="7" t="str">
        <f t="shared" si="39"/>
        <v/>
      </c>
      <c r="C126" s="50">
        <f>IF(D93="","-",+C125+1)</f>
        <v>2040</v>
      </c>
      <c r="D126" s="12">
        <f>IF(F125+SUM(E$99:E125)=D$92,F125,D$92-SUM(E$99:E125))</f>
        <v>1958693.7526089475</v>
      </c>
      <c r="E126" s="378">
        <f t="shared" si="62"/>
        <v>114739.22727272728</v>
      </c>
      <c r="F126" s="55">
        <f t="shared" si="63"/>
        <v>1843954.5253362202</v>
      </c>
      <c r="G126" s="55">
        <f t="shared" si="64"/>
        <v>1901324.1389725837</v>
      </c>
      <c r="H126" s="380">
        <f t="shared" si="65"/>
        <v>351504.16326630412</v>
      </c>
      <c r="I126" s="399">
        <f t="shared" si="66"/>
        <v>351504.16326630412</v>
      </c>
      <c r="J126" s="54">
        <f t="shared" si="40"/>
        <v>0</v>
      </c>
      <c r="K126" s="54"/>
      <c r="L126" s="129"/>
      <c r="M126" s="54">
        <f t="shared" si="67"/>
        <v>0</v>
      </c>
      <c r="N126" s="129"/>
      <c r="O126" s="54">
        <f t="shared" si="41"/>
        <v>0</v>
      </c>
      <c r="P126" s="54">
        <f t="shared" si="42"/>
        <v>0</v>
      </c>
      <c r="Q126" s="1"/>
    </row>
    <row r="127" spans="2:17" ht="12.5">
      <c r="B127" s="7" t="str">
        <f t="shared" si="39"/>
        <v/>
      </c>
      <c r="C127" s="50">
        <f>IF(D93="","-",+C126+1)</f>
        <v>2041</v>
      </c>
      <c r="D127" s="12">
        <f>IF(F126+SUM(E$99:E126)=D$92,F126,D$92-SUM(E$99:E126))</f>
        <v>1843954.5253362202</v>
      </c>
      <c r="E127" s="378">
        <f t="shared" si="62"/>
        <v>114739.22727272728</v>
      </c>
      <c r="F127" s="55">
        <f t="shared" si="63"/>
        <v>1729215.2980634929</v>
      </c>
      <c r="G127" s="55">
        <f t="shared" si="64"/>
        <v>1786584.9116998566</v>
      </c>
      <c r="H127" s="380">
        <f t="shared" si="65"/>
        <v>337216.10725084774</v>
      </c>
      <c r="I127" s="399">
        <f t="shared" si="66"/>
        <v>337216.10725084774</v>
      </c>
      <c r="J127" s="54">
        <f t="shared" si="40"/>
        <v>0</v>
      </c>
      <c r="K127" s="54"/>
      <c r="L127" s="129"/>
      <c r="M127" s="54">
        <f t="shared" si="67"/>
        <v>0</v>
      </c>
      <c r="N127" s="129"/>
      <c r="O127" s="54">
        <f t="shared" si="41"/>
        <v>0</v>
      </c>
      <c r="P127" s="54">
        <f t="shared" si="42"/>
        <v>0</v>
      </c>
      <c r="Q127" s="1"/>
    </row>
    <row r="128" spans="2:17" ht="12.5">
      <c r="B128" s="7" t="str">
        <f t="shared" si="39"/>
        <v/>
      </c>
      <c r="C128" s="50">
        <f>IF(D93="","-",+C127+1)</f>
        <v>2042</v>
      </c>
      <c r="D128" s="12">
        <f>IF(F127+SUM(E$99:E127)=D$92,F127,D$92-SUM(E$99:E127))</f>
        <v>1729215.2980634929</v>
      </c>
      <c r="E128" s="378">
        <f t="shared" si="62"/>
        <v>114739.22727272728</v>
      </c>
      <c r="F128" s="55">
        <f t="shared" si="63"/>
        <v>1614476.0707907656</v>
      </c>
      <c r="G128" s="55">
        <f t="shared" si="64"/>
        <v>1671845.6844271291</v>
      </c>
      <c r="H128" s="380">
        <f t="shared" si="65"/>
        <v>322928.05123539129</v>
      </c>
      <c r="I128" s="399">
        <f t="shared" si="66"/>
        <v>322928.05123539129</v>
      </c>
      <c r="J128" s="54">
        <f t="shared" si="40"/>
        <v>0</v>
      </c>
      <c r="K128" s="54"/>
      <c r="L128" s="129"/>
      <c r="M128" s="54">
        <f t="shared" si="67"/>
        <v>0</v>
      </c>
      <c r="N128" s="129"/>
      <c r="O128" s="54">
        <f t="shared" si="41"/>
        <v>0</v>
      </c>
      <c r="P128" s="54">
        <f t="shared" si="42"/>
        <v>0</v>
      </c>
      <c r="Q128" s="1"/>
    </row>
    <row r="129" spans="2:17" ht="12.5">
      <c r="B129" s="7" t="str">
        <f t="shared" si="39"/>
        <v/>
      </c>
      <c r="C129" s="50">
        <f>IF(D93="","-",+C128+1)</f>
        <v>2043</v>
      </c>
      <c r="D129" s="12">
        <f>IF(F128+SUM(E$99:E128)=D$92,F128,D$92-SUM(E$99:E128))</f>
        <v>1614476.0707907656</v>
      </c>
      <c r="E129" s="378">
        <f t="shared" si="62"/>
        <v>114739.22727272728</v>
      </c>
      <c r="F129" s="55">
        <f t="shared" si="63"/>
        <v>1499736.8435180383</v>
      </c>
      <c r="G129" s="55">
        <f t="shared" si="64"/>
        <v>1557106.457154402</v>
      </c>
      <c r="H129" s="380">
        <f t="shared" si="65"/>
        <v>308639.99521993485</v>
      </c>
      <c r="I129" s="399">
        <f t="shared" si="66"/>
        <v>308639.99521993485</v>
      </c>
      <c r="J129" s="54">
        <f t="shared" si="40"/>
        <v>0</v>
      </c>
      <c r="K129" s="54"/>
      <c r="L129" s="129"/>
      <c r="M129" s="54">
        <f t="shared" si="67"/>
        <v>0</v>
      </c>
      <c r="N129" s="129"/>
      <c r="O129" s="54">
        <f t="shared" si="41"/>
        <v>0</v>
      </c>
      <c r="P129" s="54">
        <f t="shared" si="42"/>
        <v>0</v>
      </c>
      <c r="Q129" s="1"/>
    </row>
    <row r="130" spans="2:17" ht="12.5">
      <c r="B130" s="7" t="str">
        <f t="shared" si="39"/>
        <v/>
      </c>
      <c r="C130" s="50">
        <f>IF(D93="","-",+C129+1)</f>
        <v>2044</v>
      </c>
      <c r="D130" s="12">
        <f>IF(F129+SUM(E$99:E129)=D$92,F129,D$92-SUM(E$99:E129))</f>
        <v>1499736.8435180383</v>
      </c>
      <c r="E130" s="378">
        <f t="shared" si="62"/>
        <v>114739.22727272728</v>
      </c>
      <c r="F130" s="55">
        <f t="shared" si="63"/>
        <v>1384997.616245311</v>
      </c>
      <c r="G130" s="55">
        <f t="shared" si="64"/>
        <v>1442367.2298816745</v>
      </c>
      <c r="H130" s="380">
        <f t="shared" si="65"/>
        <v>294351.9392044784</v>
      </c>
      <c r="I130" s="399">
        <f t="shared" si="66"/>
        <v>294351.9392044784</v>
      </c>
      <c r="J130" s="54">
        <f t="shared" si="40"/>
        <v>0</v>
      </c>
      <c r="K130" s="54"/>
      <c r="L130" s="129"/>
      <c r="M130" s="54">
        <f t="shared" si="67"/>
        <v>0</v>
      </c>
      <c r="N130" s="129"/>
      <c r="O130" s="54">
        <f t="shared" si="41"/>
        <v>0</v>
      </c>
      <c r="P130" s="54">
        <f t="shared" si="42"/>
        <v>0</v>
      </c>
      <c r="Q130" s="1"/>
    </row>
    <row r="131" spans="2:17" ht="12.5">
      <c r="B131" s="7" t="str">
        <f t="shared" si="39"/>
        <v/>
      </c>
      <c r="C131" s="50">
        <f>IF(D93="","-",+C130+1)</f>
        <v>2045</v>
      </c>
      <c r="D131" s="12">
        <f>IF(F130+SUM(E$99:E130)=D$92,F130,D$92-SUM(E$99:E130))</f>
        <v>1384997.616245311</v>
      </c>
      <c r="E131" s="378">
        <f t="shared" si="62"/>
        <v>114739.22727272728</v>
      </c>
      <c r="F131" s="55">
        <f t="shared" si="63"/>
        <v>1270258.3889725837</v>
      </c>
      <c r="G131" s="55">
        <f t="shared" si="64"/>
        <v>1327628.0026089475</v>
      </c>
      <c r="H131" s="380">
        <f t="shared" si="65"/>
        <v>280063.88318902202</v>
      </c>
      <c r="I131" s="399">
        <f t="shared" si="66"/>
        <v>280063.88318902202</v>
      </c>
      <c r="J131" s="54">
        <f t="shared" si="40"/>
        <v>0</v>
      </c>
      <c r="K131" s="54"/>
      <c r="L131" s="129"/>
      <c r="M131" s="54">
        <f t="shared" ref="M131:M154" si="68">IF(L541&lt;&gt;0,+H541-L541,0)</f>
        <v>0</v>
      </c>
      <c r="N131" s="129"/>
      <c r="O131" s="54">
        <f t="shared" ref="O131:O154" si="69">IF(N541&lt;&gt;0,+I541-N541,0)</f>
        <v>0</v>
      </c>
      <c r="P131" s="54">
        <f t="shared" ref="P131:P154" si="70">+O541-M541</f>
        <v>0</v>
      </c>
      <c r="Q131" s="1"/>
    </row>
    <row r="132" spans="2:17" ht="12.5">
      <c r="B132" s="7" t="str">
        <f t="shared" si="39"/>
        <v/>
      </c>
      <c r="C132" s="50">
        <f>IF(D93="","-",+C131+1)</f>
        <v>2046</v>
      </c>
      <c r="D132" s="12">
        <f>IF(F131+SUM(E$99:E131)=D$92,F131,D$92-SUM(E$99:E131))</f>
        <v>1270258.3889725837</v>
      </c>
      <c r="E132" s="378">
        <f t="shared" si="62"/>
        <v>114739.22727272728</v>
      </c>
      <c r="F132" s="55">
        <f t="shared" si="63"/>
        <v>1155519.1616998564</v>
      </c>
      <c r="G132" s="55">
        <f t="shared" si="64"/>
        <v>1212888.7753362199</v>
      </c>
      <c r="H132" s="380">
        <f t="shared" si="65"/>
        <v>265775.82717356557</v>
      </c>
      <c r="I132" s="399">
        <f t="shared" si="66"/>
        <v>265775.82717356557</v>
      </c>
      <c r="J132" s="54">
        <f t="shared" si="40"/>
        <v>0</v>
      </c>
      <c r="K132" s="54"/>
      <c r="L132" s="129"/>
      <c r="M132" s="54">
        <f t="shared" si="68"/>
        <v>0</v>
      </c>
      <c r="N132" s="129"/>
      <c r="O132" s="54">
        <f t="shared" si="69"/>
        <v>0</v>
      </c>
      <c r="P132" s="54">
        <f t="shared" si="70"/>
        <v>0</v>
      </c>
      <c r="Q132" s="1"/>
    </row>
    <row r="133" spans="2:17" ht="12.5">
      <c r="B133" s="7" t="str">
        <f t="shared" si="39"/>
        <v/>
      </c>
      <c r="C133" s="50">
        <f>IF(D93="","-",+C132+1)</f>
        <v>2047</v>
      </c>
      <c r="D133" s="12">
        <f>IF(F132+SUM(E$99:E132)=D$92,F132,D$92-SUM(E$99:E132))</f>
        <v>1155519.1616998564</v>
      </c>
      <c r="E133" s="378">
        <f t="shared" si="62"/>
        <v>114739.22727272728</v>
      </c>
      <c r="F133" s="55">
        <f t="shared" si="63"/>
        <v>1040779.9344271291</v>
      </c>
      <c r="G133" s="55">
        <f t="shared" si="64"/>
        <v>1098149.5480634929</v>
      </c>
      <c r="H133" s="380">
        <f t="shared" si="65"/>
        <v>251487.77115810913</v>
      </c>
      <c r="I133" s="399">
        <f t="shared" si="66"/>
        <v>251487.77115810913</v>
      </c>
      <c r="J133" s="54">
        <f t="shared" si="40"/>
        <v>0</v>
      </c>
      <c r="K133" s="54"/>
      <c r="L133" s="129"/>
      <c r="M133" s="54">
        <f t="shared" si="68"/>
        <v>0</v>
      </c>
      <c r="N133" s="129"/>
      <c r="O133" s="54">
        <f t="shared" si="69"/>
        <v>0</v>
      </c>
      <c r="P133" s="54">
        <f t="shared" si="70"/>
        <v>0</v>
      </c>
      <c r="Q133" s="1"/>
    </row>
    <row r="134" spans="2:17" ht="12.5">
      <c r="B134" s="7" t="str">
        <f t="shared" si="39"/>
        <v/>
      </c>
      <c r="C134" s="50">
        <f>IF(D93="","-",+C133+1)</f>
        <v>2048</v>
      </c>
      <c r="D134" s="12">
        <f>IF(F133+SUM(E$99:E133)=D$92,F133,D$92-SUM(E$99:E133))</f>
        <v>1040779.9344271291</v>
      </c>
      <c r="E134" s="378">
        <f t="shared" si="62"/>
        <v>114739.22727272728</v>
      </c>
      <c r="F134" s="55">
        <f t="shared" si="63"/>
        <v>926040.70715440181</v>
      </c>
      <c r="G134" s="55">
        <f t="shared" si="64"/>
        <v>983410.32079076546</v>
      </c>
      <c r="H134" s="380">
        <f t="shared" si="65"/>
        <v>237199.71514265268</v>
      </c>
      <c r="I134" s="399">
        <f t="shared" si="66"/>
        <v>237199.71514265268</v>
      </c>
      <c r="J134" s="54">
        <f t="shared" si="40"/>
        <v>0</v>
      </c>
      <c r="K134" s="54"/>
      <c r="L134" s="129"/>
      <c r="M134" s="54">
        <f t="shared" si="68"/>
        <v>0</v>
      </c>
      <c r="N134" s="129"/>
      <c r="O134" s="54">
        <f t="shared" si="69"/>
        <v>0</v>
      </c>
      <c r="P134" s="54">
        <f t="shared" si="70"/>
        <v>0</v>
      </c>
      <c r="Q134" s="1"/>
    </row>
    <row r="135" spans="2:17" ht="12.5">
      <c r="B135" s="7" t="str">
        <f t="shared" si="39"/>
        <v/>
      </c>
      <c r="C135" s="50">
        <f>IF(D93="","-",+C134+1)</f>
        <v>2049</v>
      </c>
      <c r="D135" s="12">
        <f>IF(F134+SUM(E$99:E134)=D$92,F134,D$92-SUM(E$99:E134))</f>
        <v>926040.70715440181</v>
      </c>
      <c r="E135" s="378">
        <f t="shared" si="62"/>
        <v>114739.22727272728</v>
      </c>
      <c r="F135" s="55">
        <f t="shared" si="63"/>
        <v>811301.47988167452</v>
      </c>
      <c r="G135" s="55">
        <f t="shared" si="64"/>
        <v>868671.09351803816</v>
      </c>
      <c r="H135" s="380">
        <f t="shared" si="65"/>
        <v>222911.65912719627</v>
      </c>
      <c r="I135" s="399">
        <f t="shared" si="66"/>
        <v>222911.65912719627</v>
      </c>
      <c r="J135" s="54">
        <f t="shared" si="40"/>
        <v>0</v>
      </c>
      <c r="K135" s="54"/>
      <c r="L135" s="129"/>
      <c r="M135" s="54">
        <f t="shared" si="68"/>
        <v>0</v>
      </c>
      <c r="N135" s="129"/>
      <c r="O135" s="54">
        <f t="shared" si="69"/>
        <v>0</v>
      </c>
      <c r="P135" s="54">
        <f t="shared" si="70"/>
        <v>0</v>
      </c>
      <c r="Q135" s="1"/>
    </row>
    <row r="136" spans="2:17" ht="12.5">
      <c r="B136" s="7" t="str">
        <f t="shared" si="39"/>
        <v/>
      </c>
      <c r="C136" s="50">
        <f>IF(D93="","-",+C135+1)</f>
        <v>2050</v>
      </c>
      <c r="D136" s="12">
        <f>IF(F135+SUM(E$99:E135)=D$92,F135,D$92-SUM(E$99:E135))</f>
        <v>811301.47988167452</v>
      </c>
      <c r="E136" s="378">
        <f t="shared" si="62"/>
        <v>114739.22727272728</v>
      </c>
      <c r="F136" s="55">
        <f t="shared" si="63"/>
        <v>696562.25260894722</v>
      </c>
      <c r="G136" s="55">
        <f t="shared" si="64"/>
        <v>753931.86624531087</v>
      </c>
      <c r="H136" s="380">
        <f t="shared" si="65"/>
        <v>208623.60311173985</v>
      </c>
      <c r="I136" s="399">
        <f t="shared" si="66"/>
        <v>208623.60311173985</v>
      </c>
      <c r="J136" s="54">
        <f t="shared" si="40"/>
        <v>0</v>
      </c>
      <c r="K136" s="54"/>
      <c r="L136" s="129"/>
      <c r="M136" s="54">
        <f t="shared" si="68"/>
        <v>0</v>
      </c>
      <c r="N136" s="129"/>
      <c r="O136" s="54">
        <f t="shared" si="69"/>
        <v>0</v>
      </c>
      <c r="P136" s="54">
        <f t="shared" si="70"/>
        <v>0</v>
      </c>
      <c r="Q136" s="1"/>
    </row>
    <row r="137" spans="2:17" ht="12.5">
      <c r="B137" s="7" t="str">
        <f t="shared" si="39"/>
        <v/>
      </c>
      <c r="C137" s="50">
        <f>IF(D93="","-",+C136+1)</f>
        <v>2051</v>
      </c>
      <c r="D137" s="12">
        <f>IF(F136+SUM(E$99:E136)=D$92,F136,D$92-SUM(E$99:E136))</f>
        <v>696562.25260894722</v>
      </c>
      <c r="E137" s="378">
        <f t="shared" si="62"/>
        <v>114739.22727272728</v>
      </c>
      <c r="F137" s="55">
        <f t="shared" si="63"/>
        <v>581823.02533621993</v>
      </c>
      <c r="G137" s="55">
        <f t="shared" si="64"/>
        <v>639192.63897258358</v>
      </c>
      <c r="H137" s="380">
        <f t="shared" si="65"/>
        <v>194335.54709628341</v>
      </c>
      <c r="I137" s="399">
        <f t="shared" si="66"/>
        <v>194335.54709628341</v>
      </c>
      <c r="J137" s="54">
        <f t="shared" si="40"/>
        <v>0</v>
      </c>
      <c r="K137" s="54"/>
      <c r="L137" s="129"/>
      <c r="M137" s="54">
        <f t="shared" si="68"/>
        <v>0</v>
      </c>
      <c r="N137" s="129"/>
      <c r="O137" s="54">
        <f t="shared" si="69"/>
        <v>0</v>
      </c>
      <c r="P137" s="54">
        <f t="shared" si="70"/>
        <v>0</v>
      </c>
      <c r="Q137" s="1"/>
    </row>
    <row r="138" spans="2:17" ht="12.5">
      <c r="B138" s="7" t="str">
        <f t="shared" si="39"/>
        <v/>
      </c>
      <c r="C138" s="50">
        <f>IF(D93="","-",+C137+1)</f>
        <v>2052</v>
      </c>
      <c r="D138" s="12">
        <f>IF(F137+SUM(E$99:E137)=D$92,F137,D$92-SUM(E$99:E137))</f>
        <v>581823.02533621993</v>
      </c>
      <c r="E138" s="378">
        <f t="shared" si="62"/>
        <v>114739.22727272728</v>
      </c>
      <c r="F138" s="55">
        <f t="shared" si="63"/>
        <v>467083.79806349264</v>
      </c>
      <c r="G138" s="55">
        <f t="shared" si="64"/>
        <v>524453.41169985628</v>
      </c>
      <c r="H138" s="380">
        <f t="shared" si="65"/>
        <v>180047.49108082696</v>
      </c>
      <c r="I138" s="399">
        <f t="shared" si="66"/>
        <v>180047.49108082696</v>
      </c>
      <c r="J138" s="54">
        <f t="shared" si="40"/>
        <v>0</v>
      </c>
      <c r="K138" s="54"/>
      <c r="L138" s="129"/>
      <c r="M138" s="54">
        <f t="shared" si="68"/>
        <v>0</v>
      </c>
      <c r="N138" s="129"/>
      <c r="O138" s="54">
        <f t="shared" si="69"/>
        <v>0</v>
      </c>
      <c r="P138" s="54">
        <f t="shared" si="70"/>
        <v>0</v>
      </c>
      <c r="Q138" s="1"/>
    </row>
    <row r="139" spans="2:17" ht="12.5">
      <c r="B139" s="7" t="str">
        <f t="shared" si="39"/>
        <v/>
      </c>
      <c r="C139" s="50">
        <f>IF(D93="","-",+C138+1)</f>
        <v>2053</v>
      </c>
      <c r="D139" s="12">
        <f>IF(F138+SUM(E$99:E138)=D$92,F138,D$92-SUM(E$99:E138))</f>
        <v>467083.79806349264</v>
      </c>
      <c r="E139" s="378">
        <f t="shared" si="62"/>
        <v>114739.22727272728</v>
      </c>
      <c r="F139" s="55">
        <f t="shared" si="63"/>
        <v>352344.57079076534</v>
      </c>
      <c r="G139" s="55">
        <f t="shared" si="64"/>
        <v>409714.18442712899</v>
      </c>
      <c r="H139" s="380">
        <f t="shared" si="65"/>
        <v>165759.43506537052</v>
      </c>
      <c r="I139" s="399">
        <f t="shared" si="66"/>
        <v>165759.43506537052</v>
      </c>
      <c r="J139" s="54">
        <f t="shared" si="40"/>
        <v>0</v>
      </c>
      <c r="K139" s="54"/>
      <c r="L139" s="129"/>
      <c r="M139" s="54">
        <f t="shared" si="68"/>
        <v>0</v>
      </c>
      <c r="N139" s="129"/>
      <c r="O139" s="54">
        <f t="shared" si="69"/>
        <v>0</v>
      </c>
      <c r="P139" s="54">
        <f t="shared" si="70"/>
        <v>0</v>
      </c>
      <c r="Q139" s="1"/>
    </row>
    <row r="140" spans="2:17" ht="12.5">
      <c r="B140" s="7" t="str">
        <f t="shared" si="39"/>
        <v/>
      </c>
      <c r="C140" s="50">
        <f>IF(D93="","-",+C139+1)</f>
        <v>2054</v>
      </c>
      <c r="D140" s="12">
        <f>IF(F139+SUM(E$99:E139)=D$92,F139,D$92-SUM(E$99:E139))</f>
        <v>352344.57079076534</v>
      </c>
      <c r="E140" s="378">
        <f t="shared" si="62"/>
        <v>114739.22727272728</v>
      </c>
      <c r="F140" s="55">
        <f t="shared" si="63"/>
        <v>237605.34351803805</v>
      </c>
      <c r="G140" s="55">
        <f t="shared" si="64"/>
        <v>294974.95715440169</v>
      </c>
      <c r="H140" s="380">
        <f t="shared" si="65"/>
        <v>151471.3790499141</v>
      </c>
      <c r="I140" s="399">
        <f t="shared" si="66"/>
        <v>151471.3790499141</v>
      </c>
      <c r="J140" s="54">
        <f t="shared" si="40"/>
        <v>0</v>
      </c>
      <c r="K140" s="54"/>
      <c r="L140" s="129"/>
      <c r="M140" s="54">
        <f t="shared" si="68"/>
        <v>0</v>
      </c>
      <c r="N140" s="129"/>
      <c r="O140" s="54">
        <f t="shared" si="69"/>
        <v>0</v>
      </c>
      <c r="P140" s="54">
        <f t="shared" si="70"/>
        <v>0</v>
      </c>
      <c r="Q140" s="1"/>
    </row>
    <row r="141" spans="2:17" ht="12.5">
      <c r="B141" s="7" t="str">
        <f t="shared" si="39"/>
        <v/>
      </c>
      <c r="C141" s="50">
        <f>IF(D93="","-",+C140+1)</f>
        <v>2055</v>
      </c>
      <c r="D141" s="12">
        <f>IF(F140+SUM(E$99:E140)=D$92,F140,D$92-SUM(E$99:E140))</f>
        <v>237605.34351803805</v>
      </c>
      <c r="E141" s="378">
        <f t="shared" si="62"/>
        <v>114739.22727272728</v>
      </c>
      <c r="F141" s="55">
        <f t="shared" si="63"/>
        <v>122866.11624531077</v>
      </c>
      <c r="G141" s="55">
        <f t="shared" si="64"/>
        <v>180235.7298816744</v>
      </c>
      <c r="H141" s="380">
        <f t="shared" si="65"/>
        <v>137183.32303445766</v>
      </c>
      <c r="I141" s="399">
        <f t="shared" si="66"/>
        <v>137183.32303445766</v>
      </c>
      <c r="J141" s="54">
        <f t="shared" si="40"/>
        <v>0</v>
      </c>
      <c r="K141" s="54"/>
      <c r="L141" s="129"/>
      <c r="M141" s="54">
        <f t="shared" si="68"/>
        <v>0</v>
      </c>
      <c r="N141" s="129"/>
      <c r="O141" s="54">
        <f t="shared" si="69"/>
        <v>0</v>
      </c>
      <c r="P141" s="54">
        <f t="shared" si="70"/>
        <v>0</v>
      </c>
      <c r="Q141" s="1"/>
    </row>
    <row r="142" spans="2:17" ht="12.5">
      <c r="B142" s="7" t="str">
        <f t="shared" si="39"/>
        <v/>
      </c>
      <c r="C142" s="50">
        <f>IF(D93="","-",+C141+1)</f>
        <v>2056</v>
      </c>
      <c r="D142" s="12">
        <f>IF(F141+SUM(E$99:E141)=D$92,F141,D$92-SUM(E$99:E141))</f>
        <v>122866.11624531077</v>
      </c>
      <c r="E142" s="378">
        <f t="shared" si="62"/>
        <v>114739.22727272728</v>
      </c>
      <c r="F142" s="55">
        <f t="shared" si="63"/>
        <v>8126.8889725834888</v>
      </c>
      <c r="G142" s="55">
        <f t="shared" si="64"/>
        <v>65496.502608947128</v>
      </c>
      <c r="H142" s="380">
        <f t="shared" si="65"/>
        <v>122895.26701900124</v>
      </c>
      <c r="I142" s="399">
        <f t="shared" si="66"/>
        <v>122895.26701900124</v>
      </c>
      <c r="J142" s="54">
        <f t="shared" si="40"/>
        <v>0</v>
      </c>
      <c r="K142" s="54"/>
      <c r="L142" s="129"/>
      <c r="M142" s="54">
        <f t="shared" si="68"/>
        <v>0</v>
      </c>
      <c r="N142" s="129"/>
      <c r="O142" s="54">
        <f t="shared" si="69"/>
        <v>0</v>
      </c>
      <c r="P142" s="54">
        <f t="shared" si="70"/>
        <v>0</v>
      </c>
      <c r="Q142" s="1"/>
    </row>
    <row r="143" spans="2:17" ht="12.5">
      <c r="B143" s="7" t="str">
        <f t="shared" si="39"/>
        <v/>
      </c>
      <c r="C143" s="50">
        <f>IF(D93="","-",+C142+1)</f>
        <v>2057</v>
      </c>
      <c r="D143" s="12">
        <f>IF(F142+SUM(E$99:E142)=D$92,F142,D$92-SUM(E$99:E142))</f>
        <v>8126.8889725834888</v>
      </c>
      <c r="E143" s="378">
        <f t="shared" si="62"/>
        <v>8126.8889725834888</v>
      </c>
      <c r="F143" s="55">
        <f t="shared" si="63"/>
        <v>0</v>
      </c>
      <c r="G143" s="55">
        <f t="shared" si="64"/>
        <v>4063.4444862917444</v>
      </c>
      <c r="H143" s="380">
        <f t="shared" si="65"/>
        <v>8632.8948418563614</v>
      </c>
      <c r="I143" s="399">
        <f t="shared" si="66"/>
        <v>8632.8948418563614</v>
      </c>
      <c r="J143" s="54">
        <f t="shared" si="40"/>
        <v>0</v>
      </c>
      <c r="K143" s="54"/>
      <c r="L143" s="129"/>
      <c r="M143" s="54">
        <f t="shared" si="68"/>
        <v>0</v>
      </c>
      <c r="N143" s="129"/>
      <c r="O143" s="54">
        <f t="shared" si="69"/>
        <v>0</v>
      </c>
      <c r="P143" s="54">
        <f t="shared" si="70"/>
        <v>0</v>
      </c>
      <c r="Q143" s="1"/>
    </row>
    <row r="144" spans="2:17" ht="12.5">
      <c r="B144" s="7" t="str">
        <f t="shared" si="39"/>
        <v/>
      </c>
      <c r="C144" s="50">
        <f>IF(D93="","-",+C143+1)</f>
        <v>2058</v>
      </c>
      <c r="D144" s="12">
        <f>IF(F143+SUM(E$99:E143)=D$92,F143,D$92-SUM(E$99:E143))</f>
        <v>0</v>
      </c>
      <c r="E144" s="378">
        <f t="shared" si="62"/>
        <v>0</v>
      </c>
      <c r="F144" s="55">
        <f t="shared" si="63"/>
        <v>0</v>
      </c>
      <c r="G144" s="55">
        <f t="shared" si="64"/>
        <v>0</v>
      </c>
      <c r="H144" s="380">
        <f t="shared" si="65"/>
        <v>0</v>
      </c>
      <c r="I144" s="399">
        <f t="shared" si="66"/>
        <v>0</v>
      </c>
      <c r="J144" s="54">
        <f t="shared" si="40"/>
        <v>0</v>
      </c>
      <c r="K144" s="54"/>
      <c r="L144" s="129"/>
      <c r="M144" s="54">
        <f t="shared" si="68"/>
        <v>0</v>
      </c>
      <c r="N144" s="129"/>
      <c r="O144" s="54">
        <f t="shared" si="69"/>
        <v>0</v>
      </c>
      <c r="P144" s="54">
        <f t="shared" si="70"/>
        <v>0</v>
      </c>
      <c r="Q144" s="1"/>
    </row>
    <row r="145" spans="2:17" ht="12.5">
      <c r="B145" s="7" t="str">
        <f t="shared" si="39"/>
        <v/>
      </c>
      <c r="C145" s="50">
        <f>IF(D93="","-",+C144+1)</f>
        <v>2059</v>
      </c>
      <c r="D145" s="12">
        <f>IF(F144+SUM(E$99:E144)=D$92,F144,D$92-SUM(E$99:E144))</f>
        <v>0</v>
      </c>
      <c r="E145" s="378">
        <f t="shared" si="62"/>
        <v>0</v>
      </c>
      <c r="F145" s="55">
        <f t="shared" si="63"/>
        <v>0</v>
      </c>
      <c r="G145" s="55">
        <f t="shared" si="64"/>
        <v>0</v>
      </c>
      <c r="H145" s="380">
        <f t="shared" si="65"/>
        <v>0</v>
      </c>
      <c r="I145" s="399">
        <f t="shared" si="66"/>
        <v>0</v>
      </c>
      <c r="J145" s="54">
        <f t="shared" si="40"/>
        <v>0</v>
      </c>
      <c r="K145" s="54"/>
      <c r="L145" s="129"/>
      <c r="M145" s="54">
        <f t="shared" si="68"/>
        <v>0</v>
      </c>
      <c r="N145" s="129"/>
      <c r="O145" s="54">
        <f t="shared" si="69"/>
        <v>0</v>
      </c>
      <c r="P145" s="54">
        <f t="shared" si="70"/>
        <v>0</v>
      </c>
      <c r="Q145" s="1"/>
    </row>
    <row r="146" spans="2:17" ht="12.5">
      <c r="B146" s="7" t="str">
        <f t="shared" si="39"/>
        <v/>
      </c>
      <c r="C146" s="50">
        <f>IF(D93="","-",+C145+1)</f>
        <v>2060</v>
      </c>
      <c r="D146" s="12">
        <f>IF(F145+SUM(E$99:E145)=D$92,F145,D$92-SUM(E$99:E145))</f>
        <v>0</v>
      </c>
      <c r="E146" s="378">
        <f t="shared" si="62"/>
        <v>0</v>
      </c>
      <c r="F146" s="55">
        <f t="shared" si="63"/>
        <v>0</v>
      </c>
      <c r="G146" s="55">
        <f t="shared" si="64"/>
        <v>0</v>
      </c>
      <c r="H146" s="380">
        <f t="shared" si="65"/>
        <v>0</v>
      </c>
      <c r="I146" s="399">
        <f t="shared" si="66"/>
        <v>0</v>
      </c>
      <c r="J146" s="54">
        <f t="shared" si="40"/>
        <v>0</v>
      </c>
      <c r="K146" s="54"/>
      <c r="L146" s="129"/>
      <c r="M146" s="54">
        <f t="shared" si="68"/>
        <v>0</v>
      </c>
      <c r="N146" s="129"/>
      <c r="O146" s="54">
        <f t="shared" si="69"/>
        <v>0</v>
      </c>
      <c r="P146" s="54">
        <f t="shared" si="70"/>
        <v>0</v>
      </c>
      <c r="Q146" s="1"/>
    </row>
    <row r="147" spans="2:17" ht="12.5">
      <c r="B147" s="7" t="str">
        <f t="shared" si="39"/>
        <v/>
      </c>
      <c r="C147" s="50">
        <f>IF(D93="","-",+C146+1)</f>
        <v>2061</v>
      </c>
      <c r="D147" s="12">
        <f>IF(F146+SUM(E$99:E146)=D$92,F146,D$92-SUM(E$99:E146))</f>
        <v>0</v>
      </c>
      <c r="E147" s="378">
        <f t="shared" si="62"/>
        <v>0</v>
      </c>
      <c r="F147" s="55">
        <f t="shared" si="63"/>
        <v>0</v>
      </c>
      <c r="G147" s="55">
        <f t="shared" si="64"/>
        <v>0</v>
      </c>
      <c r="H147" s="380">
        <f t="shared" si="65"/>
        <v>0</v>
      </c>
      <c r="I147" s="399">
        <f t="shared" si="66"/>
        <v>0</v>
      </c>
      <c r="J147" s="54">
        <f t="shared" si="40"/>
        <v>0</v>
      </c>
      <c r="K147" s="54"/>
      <c r="L147" s="129"/>
      <c r="M147" s="54">
        <f t="shared" si="68"/>
        <v>0</v>
      </c>
      <c r="N147" s="129"/>
      <c r="O147" s="54">
        <f t="shared" si="69"/>
        <v>0</v>
      </c>
      <c r="P147" s="54">
        <f t="shared" si="70"/>
        <v>0</v>
      </c>
      <c r="Q147" s="1"/>
    </row>
    <row r="148" spans="2:17" ht="12.5">
      <c r="B148" s="7" t="str">
        <f t="shared" si="39"/>
        <v/>
      </c>
      <c r="C148" s="50">
        <f>IF(D93="","-",+C147+1)</f>
        <v>2062</v>
      </c>
      <c r="D148" s="12">
        <f>IF(F147+SUM(E$99:E147)=D$92,F147,D$92-SUM(E$99:E147))</f>
        <v>0</v>
      </c>
      <c r="E148" s="378">
        <f t="shared" si="62"/>
        <v>0</v>
      </c>
      <c r="F148" s="55">
        <f t="shared" si="63"/>
        <v>0</v>
      </c>
      <c r="G148" s="55">
        <f t="shared" si="64"/>
        <v>0</v>
      </c>
      <c r="H148" s="380">
        <f t="shared" si="65"/>
        <v>0</v>
      </c>
      <c r="I148" s="399">
        <f t="shared" si="66"/>
        <v>0</v>
      </c>
      <c r="J148" s="54">
        <f t="shared" si="40"/>
        <v>0</v>
      </c>
      <c r="K148" s="54"/>
      <c r="L148" s="129"/>
      <c r="M148" s="54">
        <f t="shared" si="68"/>
        <v>0</v>
      </c>
      <c r="N148" s="129"/>
      <c r="O148" s="54">
        <f t="shared" si="69"/>
        <v>0</v>
      </c>
      <c r="P148" s="54">
        <f t="shared" si="70"/>
        <v>0</v>
      </c>
      <c r="Q148" s="1"/>
    </row>
    <row r="149" spans="2:17" ht="12.5">
      <c r="B149" s="7" t="str">
        <f t="shared" si="39"/>
        <v/>
      </c>
      <c r="C149" s="50">
        <f>IF(D93="","-",+C148+1)</f>
        <v>2063</v>
      </c>
      <c r="D149" s="12">
        <f>IF(F148+SUM(E$99:E148)=D$92,F148,D$92-SUM(E$99:E148))</f>
        <v>0</v>
      </c>
      <c r="E149" s="378">
        <f t="shared" si="62"/>
        <v>0</v>
      </c>
      <c r="F149" s="55">
        <f t="shared" si="63"/>
        <v>0</v>
      </c>
      <c r="G149" s="55">
        <f t="shared" si="64"/>
        <v>0</v>
      </c>
      <c r="H149" s="380">
        <f t="shared" si="65"/>
        <v>0</v>
      </c>
      <c r="I149" s="399">
        <f t="shared" si="66"/>
        <v>0</v>
      </c>
      <c r="J149" s="54">
        <f t="shared" si="40"/>
        <v>0</v>
      </c>
      <c r="K149" s="54"/>
      <c r="L149" s="129"/>
      <c r="M149" s="54">
        <f t="shared" si="68"/>
        <v>0</v>
      </c>
      <c r="N149" s="129"/>
      <c r="O149" s="54">
        <f t="shared" si="69"/>
        <v>0</v>
      </c>
      <c r="P149" s="54">
        <f t="shared" si="70"/>
        <v>0</v>
      </c>
      <c r="Q149" s="1"/>
    </row>
    <row r="150" spans="2:17" ht="12.5">
      <c r="B150" s="7" t="str">
        <f t="shared" si="39"/>
        <v/>
      </c>
      <c r="C150" s="50">
        <f>IF(D93="","-",+C149+1)</f>
        <v>2064</v>
      </c>
      <c r="D150" s="12">
        <f>IF(F149+SUM(E$99:E149)=D$92,F149,D$92-SUM(E$99:E149))</f>
        <v>0</v>
      </c>
      <c r="E150" s="378">
        <f t="shared" si="62"/>
        <v>0</v>
      </c>
      <c r="F150" s="55">
        <f t="shared" si="63"/>
        <v>0</v>
      </c>
      <c r="G150" s="55">
        <f t="shared" si="64"/>
        <v>0</v>
      </c>
      <c r="H150" s="380">
        <f t="shared" si="65"/>
        <v>0</v>
      </c>
      <c r="I150" s="399">
        <f t="shared" si="66"/>
        <v>0</v>
      </c>
      <c r="J150" s="54">
        <f t="shared" si="40"/>
        <v>0</v>
      </c>
      <c r="K150" s="54"/>
      <c r="L150" s="129"/>
      <c r="M150" s="54">
        <f t="shared" si="68"/>
        <v>0</v>
      </c>
      <c r="N150" s="129"/>
      <c r="O150" s="54">
        <f t="shared" si="69"/>
        <v>0</v>
      </c>
      <c r="P150" s="54">
        <f t="shared" si="70"/>
        <v>0</v>
      </c>
      <c r="Q150" s="1"/>
    </row>
    <row r="151" spans="2:17" ht="12.5">
      <c r="B151" s="7" t="str">
        <f t="shared" si="39"/>
        <v/>
      </c>
      <c r="C151" s="50">
        <f>IF(D93="","-",+C150+1)</f>
        <v>2065</v>
      </c>
      <c r="D151" s="12">
        <f>IF(F150+SUM(E$99:E150)=D$92,F150,D$92-SUM(E$99:E150))</f>
        <v>0</v>
      </c>
      <c r="E151" s="378">
        <f t="shared" si="62"/>
        <v>0</v>
      </c>
      <c r="F151" s="55">
        <f t="shared" si="63"/>
        <v>0</v>
      </c>
      <c r="G151" s="55">
        <f t="shared" si="64"/>
        <v>0</v>
      </c>
      <c r="H151" s="380">
        <f t="shared" si="65"/>
        <v>0</v>
      </c>
      <c r="I151" s="399">
        <f t="shared" si="66"/>
        <v>0</v>
      </c>
      <c r="J151" s="54">
        <f t="shared" si="40"/>
        <v>0</v>
      </c>
      <c r="K151" s="54"/>
      <c r="L151" s="129"/>
      <c r="M151" s="54">
        <f t="shared" si="68"/>
        <v>0</v>
      </c>
      <c r="N151" s="129"/>
      <c r="O151" s="54">
        <f t="shared" si="69"/>
        <v>0</v>
      </c>
      <c r="P151" s="54">
        <f t="shared" si="70"/>
        <v>0</v>
      </c>
      <c r="Q151" s="1"/>
    </row>
    <row r="152" spans="2:17" ht="12.5">
      <c r="B152" s="7" t="str">
        <f t="shared" si="39"/>
        <v/>
      </c>
      <c r="C152" s="50">
        <f>IF(D93="","-",+C151+1)</f>
        <v>2066</v>
      </c>
      <c r="D152" s="12">
        <f>IF(F151+SUM(E$99:E151)=D$92,F151,D$92-SUM(E$99:E151))</f>
        <v>0</v>
      </c>
      <c r="E152" s="378">
        <f t="shared" si="62"/>
        <v>0</v>
      </c>
      <c r="F152" s="55">
        <f t="shared" si="63"/>
        <v>0</v>
      </c>
      <c r="G152" s="55">
        <f t="shared" si="64"/>
        <v>0</v>
      </c>
      <c r="H152" s="380">
        <f t="shared" si="65"/>
        <v>0</v>
      </c>
      <c r="I152" s="399">
        <f t="shared" si="66"/>
        <v>0</v>
      </c>
      <c r="J152" s="54">
        <f t="shared" si="40"/>
        <v>0</v>
      </c>
      <c r="K152" s="54"/>
      <c r="L152" s="129"/>
      <c r="M152" s="54">
        <f t="shared" si="68"/>
        <v>0</v>
      </c>
      <c r="N152" s="129"/>
      <c r="O152" s="54">
        <f t="shared" si="69"/>
        <v>0</v>
      </c>
      <c r="P152" s="54">
        <f t="shared" si="70"/>
        <v>0</v>
      </c>
      <c r="Q152" s="1"/>
    </row>
    <row r="153" spans="2:17" ht="12.5">
      <c r="B153" s="7" t="str">
        <f t="shared" si="39"/>
        <v/>
      </c>
      <c r="C153" s="50">
        <f>IF(D93="","-",+C152+1)</f>
        <v>2067</v>
      </c>
      <c r="D153" s="12">
        <f>IF(F152+SUM(E$99:E152)=D$92,F152,D$92-SUM(E$99:E152))</f>
        <v>0</v>
      </c>
      <c r="E153" s="378">
        <f t="shared" si="62"/>
        <v>0</v>
      </c>
      <c r="F153" s="55">
        <f t="shared" si="63"/>
        <v>0</v>
      </c>
      <c r="G153" s="55">
        <f t="shared" si="64"/>
        <v>0</v>
      </c>
      <c r="H153" s="380">
        <f t="shared" si="65"/>
        <v>0</v>
      </c>
      <c r="I153" s="399">
        <f t="shared" si="66"/>
        <v>0</v>
      </c>
      <c r="J153" s="54">
        <f t="shared" si="40"/>
        <v>0</v>
      </c>
      <c r="K153" s="54"/>
      <c r="L153" s="129"/>
      <c r="M153" s="54">
        <f t="shared" si="68"/>
        <v>0</v>
      </c>
      <c r="N153" s="129"/>
      <c r="O153" s="54">
        <f t="shared" si="69"/>
        <v>0</v>
      </c>
      <c r="P153" s="54">
        <f t="shared" si="70"/>
        <v>0</v>
      </c>
      <c r="Q153" s="1"/>
    </row>
    <row r="154" spans="2:17" ht="13" thickBot="1">
      <c r="B154" s="7" t="str">
        <f t="shared" si="39"/>
        <v/>
      </c>
      <c r="C154" s="59">
        <f>IF(D93="","-",+C153+1)</f>
        <v>2068</v>
      </c>
      <c r="D154" s="12">
        <f>IF(F153+SUM(E$99:E153)=D$92,F153,D$92-SUM(E$99:E153))</f>
        <v>0</v>
      </c>
      <c r="E154" s="378">
        <f t="shared" si="62"/>
        <v>0</v>
      </c>
      <c r="F154" s="55">
        <f t="shared" si="63"/>
        <v>0</v>
      </c>
      <c r="G154" s="55">
        <f t="shared" si="64"/>
        <v>0</v>
      </c>
      <c r="H154" s="380">
        <f t="shared" si="65"/>
        <v>0</v>
      </c>
      <c r="I154" s="399">
        <f t="shared" si="66"/>
        <v>0</v>
      </c>
      <c r="J154" s="54">
        <f t="shared" si="40"/>
        <v>0</v>
      </c>
      <c r="K154" s="54"/>
      <c r="L154" s="130"/>
      <c r="M154" s="64">
        <f t="shared" si="68"/>
        <v>0</v>
      </c>
      <c r="N154" s="130"/>
      <c r="O154" s="64">
        <f t="shared" si="69"/>
        <v>0</v>
      </c>
      <c r="P154" s="64">
        <f t="shared" si="70"/>
        <v>0</v>
      </c>
      <c r="Q154" s="1"/>
    </row>
    <row r="155" spans="2:17" ht="12.5">
      <c r="C155" s="12" t="s">
        <v>78</v>
      </c>
      <c r="D155" s="293"/>
      <c r="E155" s="293">
        <f>SUM(E99:E154)</f>
        <v>5048526.0000000019</v>
      </c>
      <c r="F155" s="293"/>
      <c r="G155" s="293"/>
      <c r="H155" s="293">
        <f>SUM(H99:H154)</f>
        <v>18446192.07923577</v>
      </c>
      <c r="I155" s="293">
        <f>SUM(I99:I154)</f>
        <v>18446192.07923577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 ht="12.5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 ht="12.5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 ht="13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 ht="13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  <c r="Q162" s="1"/>
    </row>
  </sheetData>
  <conditionalFormatting sqref="C17:C72">
    <cfRule type="cellIs" dxfId="83" priority="1" stopIfTrue="1" operator="equal">
      <formula>$I$10</formula>
    </cfRule>
  </conditionalFormatting>
  <conditionalFormatting sqref="C99:C154">
    <cfRule type="cellIs" dxfId="8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71"/>
  <dimension ref="A1:Q162"/>
  <sheetViews>
    <sheetView topLeftCell="A74" zoomScaleNormal="100" zoomScaleSheetLayoutView="75" workbookViewId="0">
      <selection activeCell="D28" sqref="D28:H28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38 of 77</v>
      </c>
      <c r="Q1" s="13"/>
    </row>
    <row r="2" spans="1:17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7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291633.10820049315</v>
      </c>
      <c r="P5" s="1"/>
    </row>
    <row r="6" spans="1:17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291633.10820049315</v>
      </c>
      <c r="O6" s="1"/>
      <c r="P6" s="1"/>
    </row>
    <row r="7" spans="1:17" ht="13.5" thickBot="1">
      <c r="C7" s="25" t="s">
        <v>48</v>
      </c>
      <c r="D7" s="90" t="s">
        <v>305</v>
      </c>
      <c r="E7" s="406"/>
      <c r="F7" s="406"/>
      <c r="G7" s="406"/>
      <c r="H7" s="40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304</v>
      </c>
      <c r="E9" s="31" t="s">
        <v>494</v>
      </c>
      <c r="F9" s="462">
        <v>1024</v>
      </c>
      <c r="G9" s="31"/>
      <c r="H9" s="31"/>
      <c r="I9" s="32"/>
      <c r="J9" s="33"/>
      <c r="P9" s="1"/>
    </row>
    <row r="10" spans="1:17" ht="13">
      <c r="C10" s="34" t="s">
        <v>51</v>
      </c>
      <c r="D10" s="363">
        <v>2636239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7" ht="12.5">
      <c r="C11" s="34" t="s">
        <v>54</v>
      </c>
      <c r="D11" s="37">
        <v>2013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3">
        <v>6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59914.522727272728</v>
      </c>
      <c r="J14" s="293"/>
      <c r="K14" s="293"/>
      <c r="L14" s="293"/>
      <c r="M14" s="293"/>
      <c r="N14" s="293"/>
      <c r="O14" s="1"/>
      <c r="P14" s="1"/>
    </row>
    <row r="15" spans="1:17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2013</v>
      </c>
      <c r="D17" s="426">
        <v>3095000</v>
      </c>
      <c r="E17" s="427">
        <v>36845.238095238092</v>
      </c>
      <c r="F17" s="426">
        <v>3058154.7619047621</v>
      </c>
      <c r="G17" s="427">
        <v>464947.39975050534</v>
      </c>
      <c r="H17" s="421">
        <v>464947.39975050534</v>
      </c>
      <c r="I17" s="423">
        <v>0</v>
      </c>
      <c r="J17" s="52"/>
      <c r="K17" s="112">
        <f t="shared" ref="K17:K22" si="0">G17</f>
        <v>464947.39975050534</v>
      </c>
      <c r="L17" s="53">
        <f t="shared" ref="L17:L22" si="1">IF(K17&lt;&gt;0,+G17-K17,0)</f>
        <v>0</v>
      </c>
      <c r="M17" s="112">
        <f t="shared" ref="M17:M22" si="2">H17</f>
        <v>464947.39975050534</v>
      </c>
      <c r="N17" s="53">
        <f t="shared" ref="N17:N22" si="3">IF(M17&lt;&gt;0,+H17-M17,0)</f>
        <v>0</v>
      </c>
      <c r="O17" s="54">
        <f t="shared" ref="O17:O22" si="4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2014</v>
      </c>
      <c r="D18" s="426">
        <v>3058154.7619047621</v>
      </c>
      <c r="E18" s="420">
        <v>62767.595238095237</v>
      </c>
      <c r="F18" s="426">
        <v>2995387.166666667</v>
      </c>
      <c r="G18" s="420">
        <v>466876.80029860663</v>
      </c>
      <c r="H18" s="421">
        <v>466876.80029860663</v>
      </c>
      <c r="I18" s="423">
        <v>0</v>
      </c>
      <c r="J18" s="52"/>
      <c r="K18" s="113">
        <f t="shared" si="0"/>
        <v>466876.80029860663</v>
      </c>
      <c r="L18" s="54">
        <f t="shared" si="1"/>
        <v>0</v>
      </c>
      <c r="M18" s="113">
        <f t="shared" si="2"/>
        <v>466876.80029860663</v>
      </c>
      <c r="N18" s="54">
        <f t="shared" si="3"/>
        <v>0</v>
      </c>
      <c r="O18" s="54">
        <f t="shared" si="4"/>
        <v>0</v>
      </c>
      <c r="P18" s="1"/>
    </row>
    <row r="19" spans="2:16" ht="12.5">
      <c r="B19" s="7" t="str">
        <f>IF(D19=F18,"","IU")</f>
        <v/>
      </c>
      <c r="C19" s="50">
        <f>IF(D11="","-",+C18+1)</f>
        <v>2015</v>
      </c>
      <c r="D19" s="426">
        <v>2995387.166666667</v>
      </c>
      <c r="E19" s="420">
        <v>62767.595238095237</v>
      </c>
      <c r="F19" s="426">
        <v>2932619.5714285718</v>
      </c>
      <c r="G19" s="420">
        <v>449007.67222881154</v>
      </c>
      <c r="H19" s="421">
        <v>449007.67222881154</v>
      </c>
      <c r="I19" s="52">
        <v>0</v>
      </c>
      <c r="J19" s="52"/>
      <c r="K19" s="113">
        <f t="shared" si="0"/>
        <v>449007.67222881154</v>
      </c>
      <c r="L19" s="54">
        <f t="shared" si="1"/>
        <v>0</v>
      </c>
      <c r="M19" s="113">
        <f t="shared" si="2"/>
        <v>449007.67222881154</v>
      </c>
      <c r="N19" s="54">
        <f t="shared" si="3"/>
        <v>0</v>
      </c>
      <c r="O19" s="54">
        <f t="shared" si="4"/>
        <v>0</v>
      </c>
      <c r="P19" s="1"/>
    </row>
    <row r="20" spans="2:16" ht="12.5">
      <c r="B20" s="7" t="str">
        <f t="shared" ref="B20:B72" si="5">IF(D20=F19,"","IU")</f>
        <v>IU</v>
      </c>
      <c r="C20" s="50">
        <f>IF(D11="","-",+C19+1)</f>
        <v>2016</v>
      </c>
      <c r="D20" s="426">
        <v>2473858.5714285714</v>
      </c>
      <c r="E20" s="420">
        <v>62767.595238095237</v>
      </c>
      <c r="F20" s="426">
        <v>2411090.9761904762</v>
      </c>
      <c r="G20" s="420">
        <v>376402.24918929196</v>
      </c>
      <c r="H20" s="421">
        <v>376402.24918929196</v>
      </c>
      <c r="I20" s="52">
        <f>H20-G20</f>
        <v>0</v>
      </c>
      <c r="J20" s="52"/>
      <c r="K20" s="113">
        <f t="shared" si="0"/>
        <v>376402.24918929196</v>
      </c>
      <c r="L20" s="54">
        <f t="shared" si="1"/>
        <v>0</v>
      </c>
      <c r="M20" s="113">
        <f t="shared" si="2"/>
        <v>376402.24918929196</v>
      </c>
      <c r="N20" s="54">
        <f t="shared" si="3"/>
        <v>0</v>
      </c>
      <c r="O20" s="54">
        <f t="shared" si="4"/>
        <v>0</v>
      </c>
      <c r="P20" s="1"/>
    </row>
    <row r="21" spans="2:16" ht="12.5">
      <c r="B21" s="7" t="str">
        <f t="shared" si="5"/>
        <v/>
      </c>
      <c r="C21" s="50">
        <f>IF(D11="","-",+C20+1)</f>
        <v>2017</v>
      </c>
      <c r="D21" s="426">
        <v>2411090.9761904762</v>
      </c>
      <c r="E21" s="420">
        <v>61307.883720930229</v>
      </c>
      <c r="F21" s="426">
        <v>2349783.092469546</v>
      </c>
      <c r="G21" s="420">
        <v>356226.25901842013</v>
      </c>
      <c r="H21" s="421">
        <v>356226.25901842013</v>
      </c>
      <c r="I21" s="52">
        <f t="shared" ref="I21:I72" si="6">H21-G21</f>
        <v>0</v>
      </c>
      <c r="J21" s="52"/>
      <c r="K21" s="113">
        <f t="shared" si="0"/>
        <v>356226.25901842013</v>
      </c>
      <c r="L21" s="54">
        <f t="shared" si="1"/>
        <v>0</v>
      </c>
      <c r="M21" s="113">
        <f t="shared" si="2"/>
        <v>356226.25901842013</v>
      </c>
      <c r="N21" s="54">
        <f t="shared" si="3"/>
        <v>0</v>
      </c>
      <c r="O21" s="54">
        <f t="shared" si="4"/>
        <v>0</v>
      </c>
      <c r="P21" s="1"/>
    </row>
    <row r="22" spans="2:16" ht="12.5">
      <c r="B22" s="7" t="str">
        <f t="shared" si="5"/>
        <v/>
      </c>
      <c r="C22" s="50">
        <f>IF(D11="","-",+C21+1)</f>
        <v>2018</v>
      </c>
      <c r="D22" s="426">
        <v>2349783.092469546</v>
      </c>
      <c r="E22" s="420">
        <v>64298.512195121948</v>
      </c>
      <c r="F22" s="426">
        <v>2285484.5802744241</v>
      </c>
      <c r="G22" s="420">
        <v>358856.09627446433</v>
      </c>
      <c r="H22" s="421">
        <v>358856.09627446433</v>
      </c>
      <c r="I22" s="52">
        <f t="shared" si="6"/>
        <v>0</v>
      </c>
      <c r="J22" s="52"/>
      <c r="K22" s="113">
        <f t="shared" si="0"/>
        <v>358856.09627446433</v>
      </c>
      <c r="L22" s="54">
        <f t="shared" si="1"/>
        <v>0</v>
      </c>
      <c r="M22" s="113">
        <f t="shared" si="2"/>
        <v>358856.09627446433</v>
      </c>
      <c r="N22" s="54">
        <f t="shared" si="3"/>
        <v>0</v>
      </c>
      <c r="O22" s="54">
        <f t="shared" si="4"/>
        <v>0</v>
      </c>
      <c r="P22" s="1"/>
    </row>
    <row r="23" spans="2:16" ht="12.5">
      <c r="B23" s="7" t="str">
        <f t="shared" si="5"/>
        <v/>
      </c>
      <c r="C23" s="50">
        <f>IF(D11="","-",+C22+1)</f>
        <v>2019</v>
      </c>
      <c r="D23" s="426">
        <v>2285484.5802744241</v>
      </c>
      <c r="E23" s="420">
        <v>64298.512195121948</v>
      </c>
      <c r="F23" s="426">
        <v>2221186.0680793021</v>
      </c>
      <c r="G23" s="420">
        <v>350684.13480459759</v>
      </c>
      <c r="H23" s="421">
        <v>350684.13480459759</v>
      </c>
      <c r="I23" s="52">
        <f t="shared" si="6"/>
        <v>0</v>
      </c>
      <c r="J23" s="52"/>
      <c r="K23" s="113">
        <f t="shared" ref="K23" si="7">G23</f>
        <v>350684.13480459759</v>
      </c>
      <c r="L23" s="54">
        <f t="shared" ref="L23" si="8">IF(K23&lt;&gt;0,+G23-K23,0)</f>
        <v>0</v>
      </c>
      <c r="M23" s="113">
        <f t="shared" ref="M23" si="9">H23</f>
        <v>350684.13480459759</v>
      </c>
      <c r="N23" s="54">
        <f t="shared" ref="N23:N72" si="10">IF(M23&lt;&gt;0,+H23-M23,0)</f>
        <v>0</v>
      </c>
      <c r="O23" s="54">
        <f t="shared" ref="O23:O72" si="11">+N23-L23</f>
        <v>0</v>
      </c>
      <c r="P23" s="1"/>
    </row>
    <row r="24" spans="2:16" ht="12.5">
      <c r="B24" s="7" t="str">
        <f t="shared" si="5"/>
        <v/>
      </c>
      <c r="C24" s="50">
        <f>IF(D11="","-",+C23+1)</f>
        <v>2020</v>
      </c>
      <c r="D24" s="426">
        <v>2221186.0680793021</v>
      </c>
      <c r="E24" s="420">
        <v>64298.512195121948</v>
      </c>
      <c r="F24" s="426">
        <v>2156887.5558841801</v>
      </c>
      <c r="G24" s="420">
        <v>288314.59098884225</v>
      </c>
      <c r="H24" s="421">
        <v>288314.59098884225</v>
      </c>
      <c r="I24" s="52">
        <f t="shared" si="6"/>
        <v>0</v>
      </c>
      <c r="J24" s="52"/>
      <c r="K24" s="113">
        <f t="shared" ref="K24" si="12">G24</f>
        <v>288314.59098884225</v>
      </c>
      <c r="L24" s="54">
        <f t="shared" ref="L24" si="13">IF(K24&lt;&gt;0,+G24-K24,0)</f>
        <v>0</v>
      </c>
      <c r="M24" s="113">
        <f t="shared" ref="M24" si="14">H24</f>
        <v>288314.59098884225</v>
      </c>
      <c r="N24" s="54">
        <f t="shared" si="10"/>
        <v>0</v>
      </c>
      <c r="O24" s="54">
        <f t="shared" si="11"/>
        <v>0</v>
      </c>
      <c r="P24" s="1"/>
    </row>
    <row r="25" spans="2:16" ht="12.5">
      <c r="B25" s="7" t="str">
        <f t="shared" si="5"/>
        <v>IU</v>
      </c>
      <c r="C25" s="50">
        <f>IF(D11="","-",+C24+1)</f>
        <v>2021</v>
      </c>
      <c r="D25" s="426">
        <v>2159878.1843583719</v>
      </c>
      <c r="E25" s="420">
        <v>62767.595238095237</v>
      </c>
      <c r="F25" s="426">
        <v>2097110.5891202767</v>
      </c>
      <c r="G25" s="420">
        <v>288397.67433017225</v>
      </c>
      <c r="H25" s="421">
        <v>288397.67433017225</v>
      </c>
      <c r="I25" s="52">
        <f t="shared" si="6"/>
        <v>0</v>
      </c>
      <c r="J25" s="52"/>
      <c r="K25" s="113">
        <f t="shared" ref="K25" si="15">G25</f>
        <v>288397.67433017225</v>
      </c>
      <c r="L25" s="54">
        <f t="shared" ref="L25" si="16">IF(K25&lt;&gt;0,+G25-K25,0)</f>
        <v>0</v>
      </c>
      <c r="M25" s="113">
        <f t="shared" ref="M25" si="17">H25</f>
        <v>288397.67433017225</v>
      </c>
      <c r="N25" s="54">
        <f t="shared" si="10"/>
        <v>0</v>
      </c>
      <c r="O25" s="54">
        <f t="shared" si="11"/>
        <v>0</v>
      </c>
      <c r="P25" s="1"/>
    </row>
    <row r="26" spans="2:16" ht="12.5">
      <c r="B26" s="7" t="str">
        <f t="shared" si="5"/>
        <v>IU</v>
      </c>
      <c r="C26" s="50">
        <f>IF(D11="","-",+C25+1)</f>
        <v>2022</v>
      </c>
      <c r="D26" s="426">
        <v>2094119.960646085</v>
      </c>
      <c r="E26" s="420">
        <v>62767.595238095237</v>
      </c>
      <c r="F26" s="426">
        <v>2031352.3654079898</v>
      </c>
      <c r="G26" s="420">
        <v>294710.10019772034</v>
      </c>
      <c r="H26" s="421">
        <v>294710.10019772034</v>
      </c>
      <c r="I26" s="52">
        <f t="shared" si="6"/>
        <v>0</v>
      </c>
      <c r="J26" s="52"/>
      <c r="K26" s="113">
        <f t="shared" ref="K26" si="18">G26</f>
        <v>294710.10019772034</v>
      </c>
      <c r="L26" s="54">
        <f t="shared" ref="L26" si="19">IF(K26&lt;&gt;0,+G26-K26,0)</f>
        <v>0</v>
      </c>
      <c r="M26" s="113">
        <f t="shared" ref="M26" si="20">H26</f>
        <v>294710.10019772034</v>
      </c>
      <c r="N26" s="54">
        <f t="shared" si="10"/>
        <v>0</v>
      </c>
      <c r="O26" s="54">
        <f t="shared" si="11"/>
        <v>0</v>
      </c>
      <c r="P26" s="1"/>
    </row>
    <row r="27" spans="2:16" ht="12.5">
      <c r="B27" s="7" t="str">
        <f t="shared" si="5"/>
        <v/>
      </c>
      <c r="C27" s="50">
        <f>IF(D11="","-",+C26+1)</f>
        <v>2023</v>
      </c>
      <c r="D27" s="426">
        <v>2031352.3654079898</v>
      </c>
      <c r="E27" s="420">
        <v>62767.595238095237</v>
      </c>
      <c r="F27" s="426">
        <v>1968584.7701698947</v>
      </c>
      <c r="G27" s="420">
        <v>315417.20046708721</v>
      </c>
      <c r="H27" s="421">
        <v>315417.20046708721</v>
      </c>
      <c r="I27" s="52">
        <f t="shared" si="6"/>
        <v>0</v>
      </c>
      <c r="J27" s="52"/>
      <c r="K27" s="113">
        <f t="shared" ref="K27" si="21">G27</f>
        <v>315417.20046708721</v>
      </c>
      <c r="L27" s="54">
        <f t="shared" ref="L27" si="22">IF(K27&lt;&gt;0,+G27-K27,0)</f>
        <v>0</v>
      </c>
      <c r="M27" s="113">
        <f t="shared" ref="M27" si="23">H27</f>
        <v>315417.20046708721</v>
      </c>
      <c r="N27" s="54">
        <f t="shared" si="10"/>
        <v>0</v>
      </c>
      <c r="O27" s="54">
        <f t="shared" si="11"/>
        <v>0</v>
      </c>
      <c r="P27" s="1"/>
    </row>
    <row r="28" spans="2:16" ht="12.5">
      <c r="B28" s="7" t="str">
        <f t="shared" si="5"/>
        <v/>
      </c>
      <c r="C28" s="50">
        <f>IF(D11="","-",+C27+1)</f>
        <v>2024</v>
      </c>
      <c r="D28" s="426">
        <v>1968584.7701698947</v>
      </c>
      <c r="E28" s="420">
        <v>59914.522727272728</v>
      </c>
      <c r="F28" s="426">
        <v>1908670.247442622</v>
      </c>
      <c r="G28" s="420">
        <v>291633.10820049315</v>
      </c>
      <c r="H28" s="421">
        <v>291633.10820049315</v>
      </c>
      <c r="I28" s="52">
        <f t="shared" si="6"/>
        <v>0</v>
      </c>
      <c r="J28" s="52"/>
      <c r="K28" s="113">
        <f t="shared" ref="K28" si="24">G28</f>
        <v>291633.10820049315</v>
      </c>
      <c r="L28" s="54">
        <f t="shared" ref="L28" si="25">IF(K28&lt;&gt;0,+G28-K28,0)</f>
        <v>0</v>
      </c>
      <c r="M28" s="113">
        <f t="shared" ref="M28" si="26">H28</f>
        <v>291633.10820049315</v>
      </c>
      <c r="N28" s="54">
        <f t="shared" ref="N28" si="27">IF(M28&lt;&gt;0,+H28-M28,0)</f>
        <v>0</v>
      </c>
      <c r="O28" s="54">
        <f t="shared" ref="O28" si="28">+N28-L28</f>
        <v>0</v>
      </c>
      <c r="P28" s="1"/>
    </row>
    <row r="29" spans="2:16" ht="12.5">
      <c r="B29" s="7" t="str">
        <f t="shared" si="5"/>
        <v/>
      </c>
      <c r="C29" s="50">
        <f>IF(D11="","-",+C28+1)</f>
        <v>2025</v>
      </c>
      <c r="D29" s="55">
        <f>IF(F28+SUM(E$17:E28)=D$10,F28,D$10-SUM(E$17:E28))</f>
        <v>1908670.247442622</v>
      </c>
      <c r="E29" s="378">
        <f t="shared" ref="E29:E72" si="29">IF(+$I$14&lt;F28,$I$14,D29)</f>
        <v>59914.522727272728</v>
      </c>
      <c r="F29" s="55">
        <f t="shared" ref="F29:F72" si="30">+D29-E29</f>
        <v>1848755.7247153493</v>
      </c>
      <c r="G29" s="379">
        <f t="shared" ref="G29:G52" si="31">+I$12*((D29+F29)/2)+E29</f>
        <v>284471.69715448166</v>
      </c>
      <c r="H29" s="364">
        <f t="shared" ref="H29:H52" si="32">+I$13*((D29+F29)/2)+E29</f>
        <v>284471.69715448166</v>
      </c>
      <c r="I29" s="52">
        <f t="shared" si="6"/>
        <v>0</v>
      </c>
      <c r="J29" s="52"/>
      <c r="K29" s="129"/>
      <c r="L29" s="54">
        <f t="shared" ref="L29:L72" si="33">IF(K29&lt;&gt;0,+G29-K29,0)</f>
        <v>0</v>
      </c>
      <c r="M29" s="129"/>
      <c r="N29" s="54">
        <f t="shared" si="10"/>
        <v>0</v>
      </c>
      <c r="O29" s="54">
        <f t="shared" si="11"/>
        <v>0</v>
      </c>
      <c r="P29" s="1"/>
    </row>
    <row r="30" spans="2:16" ht="12.5">
      <c r="B30" s="7" t="str">
        <f t="shared" si="5"/>
        <v/>
      </c>
      <c r="C30" s="50">
        <f>IF(D11="","-",+C29+1)</f>
        <v>2026</v>
      </c>
      <c r="D30" s="55">
        <f>IF(F29+SUM(E$17:E29)=D$10,F29,D$10-SUM(E$17:E29))</f>
        <v>1848755.7247153493</v>
      </c>
      <c r="E30" s="378">
        <f t="shared" si="29"/>
        <v>59914.522727272728</v>
      </c>
      <c r="F30" s="55">
        <f t="shared" si="30"/>
        <v>1788841.2019880766</v>
      </c>
      <c r="G30" s="379">
        <f t="shared" si="31"/>
        <v>277310.28610847029</v>
      </c>
      <c r="H30" s="364">
        <f t="shared" si="32"/>
        <v>277310.28610847029</v>
      </c>
      <c r="I30" s="52">
        <f t="shared" si="6"/>
        <v>0</v>
      </c>
      <c r="J30" s="52"/>
      <c r="K30" s="129"/>
      <c r="L30" s="54">
        <f t="shared" si="33"/>
        <v>0</v>
      </c>
      <c r="M30" s="129"/>
      <c r="N30" s="54">
        <f t="shared" si="10"/>
        <v>0</v>
      </c>
      <c r="O30" s="54">
        <f t="shared" si="11"/>
        <v>0</v>
      </c>
      <c r="P30" s="1"/>
    </row>
    <row r="31" spans="2:16" ht="12.5">
      <c r="B31" s="7" t="str">
        <f t="shared" si="5"/>
        <v/>
      </c>
      <c r="C31" s="50">
        <f>IF(D11="","-",+C30+1)</f>
        <v>2027</v>
      </c>
      <c r="D31" s="55">
        <f>IF(F30+SUM(E$17:E30)=D$10,F30,D$10-SUM(E$17:E30))</f>
        <v>1788841.2019880766</v>
      </c>
      <c r="E31" s="378">
        <f t="shared" si="29"/>
        <v>59914.522727272728</v>
      </c>
      <c r="F31" s="55">
        <f t="shared" si="30"/>
        <v>1728926.6792608039</v>
      </c>
      <c r="G31" s="379">
        <f t="shared" si="31"/>
        <v>270148.87506245886</v>
      </c>
      <c r="H31" s="364">
        <f t="shared" si="32"/>
        <v>270148.87506245886</v>
      </c>
      <c r="I31" s="52">
        <f t="shared" si="6"/>
        <v>0</v>
      </c>
      <c r="J31" s="52"/>
      <c r="K31" s="129"/>
      <c r="L31" s="54">
        <f t="shared" si="33"/>
        <v>0</v>
      </c>
      <c r="M31" s="129"/>
      <c r="N31" s="54">
        <f t="shared" si="10"/>
        <v>0</v>
      </c>
      <c r="O31" s="54">
        <f t="shared" si="11"/>
        <v>0</v>
      </c>
      <c r="P31" s="1"/>
    </row>
    <row r="32" spans="2:16" ht="12.5">
      <c r="B32" s="7" t="str">
        <f t="shared" si="5"/>
        <v/>
      </c>
      <c r="C32" s="50">
        <f>IF(D11="","-",+C31+1)</f>
        <v>2028</v>
      </c>
      <c r="D32" s="55">
        <f>IF(F31+SUM(E$17:E31)=D$10,F31,D$10-SUM(E$17:E31))</f>
        <v>1728926.6792608039</v>
      </c>
      <c r="E32" s="378">
        <f t="shared" si="29"/>
        <v>59914.522727272728</v>
      </c>
      <c r="F32" s="55">
        <f t="shared" si="30"/>
        <v>1669012.1565335311</v>
      </c>
      <c r="G32" s="379">
        <f t="shared" si="31"/>
        <v>262987.46401644743</v>
      </c>
      <c r="H32" s="364">
        <f t="shared" si="32"/>
        <v>262987.46401644743</v>
      </c>
      <c r="I32" s="52">
        <f t="shared" si="6"/>
        <v>0</v>
      </c>
      <c r="J32" s="52"/>
      <c r="K32" s="129"/>
      <c r="L32" s="54">
        <f t="shared" si="33"/>
        <v>0</v>
      </c>
      <c r="M32" s="129"/>
      <c r="N32" s="54">
        <f t="shared" si="10"/>
        <v>0</v>
      </c>
      <c r="O32" s="54">
        <f t="shared" si="11"/>
        <v>0</v>
      </c>
      <c r="P32" s="1"/>
    </row>
    <row r="33" spans="2:16" ht="12.5">
      <c r="B33" s="7" t="str">
        <f t="shared" si="5"/>
        <v/>
      </c>
      <c r="C33" s="50">
        <f>IF(D11="","-",+C32+1)</f>
        <v>2029</v>
      </c>
      <c r="D33" s="55">
        <f>IF(F32+SUM(E$17:E32)=D$10,F32,D$10-SUM(E$17:E32))</f>
        <v>1669012.1565335311</v>
      </c>
      <c r="E33" s="378">
        <f t="shared" si="29"/>
        <v>59914.522727272728</v>
      </c>
      <c r="F33" s="55">
        <f t="shared" si="30"/>
        <v>1609097.6338062584</v>
      </c>
      <c r="G33" s="379">
        <f t="shared" si="31"/>
        <v>255826.05297043599</v>
      </c>
      <c r="H33" s="364">
        <f t="shared" si="32"/>
        <v>255826.05297043599</v>
      </c>
      <c r="I33" s="52">
        <f t="shared" si="6"/>
        <v>0</v>
      </c>
      <c r="J33" s="52"/>
      <c r="K33" s="129"/>
      <c r="L33" s="54">
        <f t="shared" si="33"/>
        <v>0</v>
      </c>
      <c r="M33" s="129"/>
      <c r="N33" s="54">
        <f t="shared" si="10"/>
        <v>0</v>
      </c>
      <c r="O33" s="54">
        <f t="shared" si="11"/>
        <v>0</v>
      </c>
      <c r="P33" s="1"/>
    </row>
    <row r="34" spans="2:16" ht="12.5">
      <c r="B34" s="7" t="str">
        <f t="shared" si="5"/>
        <v/>
      </c>
      <c r="C34" s="50">
        <f>IF(D11="","-",+C33+1)</f>
        <v>2030</v>
      </c>
      <c r="D34" s="55">
        <f>IF(F33+SUM(E$17:E33)=D$10,F33,D$10-SUM(E$17:E33))</f>
        <v>1609097.6338062584</v>
      </c>
      <c r="E34" s="378">
        <f t="shared" si="29"/>
        <v>59914.522727272728</v>
      </c>
      <c r="F34" s="55">
        <f t="shared" si="30"/>
        <v>1549183.1110789857</v>
      </c>
      <c r="G34" s="379">
        <f t="shared" si="31"/>
        <v>248664.64192442462</v>
      </c>
      <c r="H34" s="364">
        <f t="shared" si="32"/>
        <v>248664.64192442462</v>
      </c>
      <c r="I34" s="52">
        <f t="shared" si="6"/>
        <v>0</v>
      </c>
      <c r="J34" s="52"/>
      <c r="K34" s="129"/>
      <c r="L34" s="54">
        <f t="shared" si="33"/>
        <v>0</v>
      </c>
      <c r="M34" s="129"/>
      <c r="N34" s="54">
        <f t="shared" si="10"/>
        <v>0</v>
      </c>
      <c r="O34" s="54">
        <f t="shared" si="11"/>
        <v>0</v>
      </c>
      <c r="P34" s="1"/>
    </row>
    <row r="35" spans="2:16" ht="12.5">
      <c r="B35" s="7" t="str">
        <f t="shared" si="5"/>
        <v/>
      </c>
      <c r="C35" s="50">
        <f>IF(D11="","-",+C34+1)</f>
        <v>2031</v>
      </c>
      <c r="D35" s="55">
        <f>IF(F34+SUM(E$17:E34)=D$10,F34,D$10-SUM(E$17:E34))</f>
        <v>1549183.1110789857</v>
      </c>
      <c r="E35" s="378">
        <f t="shared" si="29"/>
        <v>59914.522727272728</v>
      </c>
      <c r="F35" s="55">
        <f t="shared" si="30"/>
        <v>1489268.588351713</v>
      </c>
      <c r="G35" s="379">
        <f t="shared" si="31"/>
        <v>241503.23087841316</v>
      </c>
      <c r="H35" s="364">
        <f t="shared" si="32"/>
        <v>241503.23087841316</v>
      </c>
      <c r="I35" s="52">
        <f t="shared" si="6"/>
        <v>0</v>
      </c>
      <c r="J35" s="52"/>
      <c r="K35" s="129"/>
      <c r="L35" s="54">
        <f t="shared" si="33"/>
        <v>0</v>
      </c>
      <c r="M35" s="129"/>
      <c r="N35" s="54">
        <f t="shared" si="10"/>
        <v>0</v>
      </c>
      <c r="O35" s="54">
        <f t="shared" si="11"/>
        <v>0</v>
      </c>
      <c r="P35" s="1"/>
    </row>
    <row r="36" spans="2:16" ht="12.5">
      <c r="B36" s="7" t="str">
        <f t="shared" si="5"/>
        <v/>
      </c>
      <c r="C36" s="50">
        <f>IF(D11="","-",+C35+1)</f>
        <v>2032</v>
      </c>
      <c r="D36" s="55">
        <f>IF(F35+SUM(E$17:E35)=D$10,F35,D$10-SUM(E$17:E35))</f>
        <v>1489268.588351713</v>
      </c>
      <c r="E36" s="378">
        <f t="shared" si="29"/>
        <v>59914.522727272728</v>
      </c>
      <c r="F36" s="55">
        <f t="shared" si="30"/>
        <v>1429354.0656244403</v>
      </c>
      <c r="G36" s="379">
        <f t="shared" si="31"/>
        <v>234341.81983240176</v>
      </c>
      <c r="H36" s="364">
        <f t="shared" si="32"/>
        <v>234341.81983240176</v>
      </c>
      <c r="I36" s="52">
        <f t="shared" si="6"/>
        <v>0</v>
      </c>
      <c r="J36" s="52"/>
      <c r="K36" s="129"/>
      <c r="L36" s="54">
        <f t="shared" si="33"/>
        <v>0</v>
      </c>
      <c r="M36" s="129"/>
      <c r="N36" s="54">
        <f t="shared" si="10"/>
        <v>0</v>
      </c>
      <c r="O36" s="54">
        <f t="shared" si="11"/>
        <v>0</v>
      </c>
      <c r="P36" s="1"/>
    </row>
    <row r="37" spans="2:16" ht="12.5">
      <c r="B37" s="7" t="str">
        <f t="shared" si="5"/>
        <v/>
      </c>
      <c r="C37" s="50">
        <f>IF(D11="","-",+C36+1)</f>
        <v>2033</v>
      </c>
      <c r="D37" s="55">
        <f>IF(F36+SUM(E$17:E36)=D$10,F36,D$10-SUM(E$17:E36))</f>
        <v>1429354.0656244403</v>
      </c>
      <c r="E37" s="378">
        <f t="shared" si="29"/>
        <v>59914.522727272728</v>
      </c>
      <c r="F37" s="55">
        <f t="shared" si="30"/>
        <v>1369439.5428971676</v>
      </c>
      <c r="G37" s="379">
        <f t="shared" si="31"/>
        <v>227180.4087863903</v>
      </c>
      <c r="H37" s="364">
        <f t="shared" si="32"/>
        <v>227180.4087863903</v>
      </c>
      <c r="I37" s="52">
        <f t="shared" si="6"/>
        <v>0</v>
      </c>
      <c r="J37" s="52"/>
      <c r="K37" s="129"/>
      <c r="L37" s="54">
        <f t="shared" si="33"/>
        <v>0</v>
      </c>
      <c r="M37" s="129"/>
      <c r="N37" s="54">
        <f t="shared" si="10"/>
        <v>0</v>
      </c>
      <c r="O37" s="54">
        <f t="shared" si="11"/>
        <v>0</v>
      </c>
      <c r="P37" s="1"/>
    </row>
    <row r="38" spans="2:16" ht="12.5">
      <c r="B38" s="7" t="str">
        <f t="shared" si="5"/>
        <v/>
      </c>
      <c r="C38" s="50">
        <f>IF(D11="","-",+C37+1)</f>
        <v>2034</v>
      </c>
      <c r="D38" s="55">
        <f>IF(F37+SUM(E$17:E37)=D$10,F37,D$10-SUM(E$17:E37))</f>
        <v>1369439.5428971676</v>
      </c>
      <c r="E38" s="378">
        <f t="shared" si="29"/>
        <v>59914.522727272728</v>
      </c>
      <c r="F38" s="55">
        <f t="shared" si="30"/>
        <v>1309525.0201698949</v>
      </c>
      <c r="G38" s="379">
        <f t="shared" si="31"/>
        <v>220018.99774037892</v>
      </c>
      <c r="H38" s="364">
        <f t="shared" si="32"/>
        <v>220018.99774037892</v>
      </c>
      <c r="I38" s="52">
        <f t="shared" si="6"/>
        <v>0</v>
      </c>
      <c r="J38" s="52"/>
      <c r="K38" s="129"/>
      <c r="L38" s="54">
        <f t="shared" si="33"/>
        <v>0</v>
      </c>
      <c r="M38" s="129"/>
      <c r="N38" s="54">
        <f t="shared" si="10"/>
        <v>0</v>
      </c>
      <c r="O38" s="54">
        <f t="shared" si="11"/>
        <v>0</v>
      </c>
      <c r="P38" s="1"/>
    </row>
    <row r="39" spans="2:16" ht="12.5">
      <c r="B39" s="7" t="str">
        <f t="shared" si="5"/>
        <v/>
      </c>
      <c r="C39" s="50">
        <f>IF(D11="","-",+C38+1)</f>
        <v>2035</v>
      </c>
      <c r="D39" s="55">
        <f>IF(F38+SUM(E$17:E38)=D$10,F38,D$10-SUM(E$17:E38))</f>
        <v>1309525.0201698949</v>
      </c>
      <c r="E39" s="378">
        <f t="shared" si="29"/>
        <v>59914.522727272728</v>
      </c>
      <c r="F39" s="55">
        <f t="shared" si="30"/>
        <v>1249610.4974426222</v>
      </c>
      <c r="G39" s="379">
        <f t="shared" si="31"/>
        <v>212857.58669436746</v>
      </c>
      <c r="H39" s="364">
        <f t="shared" si="32"/>
        <v>212857.58669436746</v>
      </c>
      <c r="I39" s="52">
        <f t="shared" si="6"/>
        <v>0</v>
      </c>
      <c r="J39" s="52"/>
      <c r="K39" s="129"/>
      <c r="L39" s="54">
        <f t="shared" si="33"/>
        <v>0</v>
      </c>
      <c r="M39" s="129"/>
      <c r="N39" s="54">
        <f t="shared" si="10"/>
        <v>0</v>
      </c>
      <c r="O39" s="54">
        <f t="shared" si="11"/>
        <v>0</v>
      </c>
      <c r="P39" s="1"/>
    </row>
    <row r="40" spans="2:16" ht="12.5">
      <c r="B40" s="7" t="str">
        <f t="shared" si="5"/>
        <v/>
      </c>
      <c r="C40" s="50">
        <f>IF(D11="","-",+C39+1)</f>
        <v>2036</v>
      </c>
      <c r="D40" s="55">
        <f>IF(F39+SUM(E$17:E39)=D$10,F39,D$10-SUM(E$17:E39))</f>
        <v>1249610.4974426222</v>
      </c>
      <c r="E40" s="378">
        <f t="shared" si="29"/>
        <v>59914.522727272728</v>
      </c>
      <c r="F40" s="55">
        <f t="shared" si="30"/>
        <v>1189695.9747153495</v>
      </c>
      <c r="G40" s="379">
        <f t="shared" si="31"/>
        <v>205696.17564835606</v>
      </c>
      <c r="H40" s="364">
        <f t="shared" si="32"/>
        <v>205696.17564835606</v>
      </c>
      <c r="I40" s="52">
        <f t="shared" si="6"/>
        <v>0</v>
      </c>
      <c r="J40" s="52"/>
      <c r="K40" s="129"/>
      <c r="L40" s="54">
        <f t="shared" si="33"/>
        <v>0</v>
      </c>
      <c r="M40" s="129"/>
      <c r="N40" s="54">
        <f t="shared" si="10"/>
        <v>0</v>
      </c>
      <c r="O40" s="54">
        <f t="shared" si="11"/>
        <v>0</v>
      </c>
      <c r="P40" s="1"/>
    </row>
    <row r="41" spans="2:16" ht="12.5">
      <c r="B41" s="7" t="str">
        <f t="shared" si="5"/>
        <v/>
      </c>
      <c r="C41" s="50">
        <f>IF(D11="","-",+C40+1)</f>
        <v>2037</v>
      </c>
      <c r="D41" s="55">
        <f>IF(F40+SUM(E$17:E40)=D$10,F40,D$10-SUM(E$17:E40))</f>
        <v>1189695.9747153495</v>
      </c>
      <c r="E41" s="378">
        <f t="shared" si="29"/>
        <v>59914.522727272728</v>
      </c>
      <c r="F41" s="55">
        <f t="shared" si="30"/>
        <v>1129781.4519880768</v>
      </c>
      <c r="G41" s="379">
        <f t="shared" si="31"/>
        <v>198534.7646023446</v>
      </c>
      <c r="H41" s="364">
        <f t="shared" si="32"/>
        <v>198534.7646023446</v>
      </c>
      <c r="I41" s="52">
        <f t="shared" si="6"/>
        <v>0</v>
      </c>
      <c r="J41" s="52"/>
      <c r="K41" s="129"/>
      <c r="L41" s="54">
        <f t="shared" si="33"/>
        <v>0</v>
      </c>
      <c r="M41" s="129"/>
      <c r="N41" s="54">
        <f t="shared" si="10"/>
        <v>0</v>
      </c>
      <c r="O41" s="54">
        <f t="shared" si="11"/>
        <v>0</v>
      </c>
      <c r="P41" s="1"/>
    </row>
    <row r="42" spans="2:16" ht="12.5">
      <c r="B42" s="7" t="str">
        <f t="shared" si="5"/>
        <v/>
      </c>
      <c r="C42" s="50">
        <f>IF(D11="","-",+C41+1)</f>
        <v>2038</v>
      </c>
      <c r="D42" s="55">
        <f>IF(F41+SUM(E$17:E41)=D$10,F41,D$10-SUM(E$17:E41))</f>
        <v>1129781.4519880768</v>
      </c>
      <c r="E42" s="378">
        <f t="shared" si="29"/>
        <v>59914.522727272728</v>
      </c>
      <c r="F42" s="55">
        <f t="shared" si="30"/>
        <v>1069866.9292608041</v>
      </c>
      <c r="G42" s="379">
        <f t="shared" si="31"/>
        <v>191373.35355633323</v>
      </c>
      <c r="H42" s="364">
        <f t="shared" si="32"/>
        <v>191373.35355633323</v>
      </c>
      <c r="I42" s="52">
        <f t="shared" si="6"/>
        <v>0</v>
      </c>
      <c r="J42" s="52"/>
      <c r="K42" s="129"/>
      <c r="L42" s="54">
        <f t="shared" si="33"/>
        <v>0</v>
      </c>
      <c r="M42" s="129"/>
      <c r="N42" s="54">
        <f t="shared" si="10"/>
        <v>0</v>
      </c>
      <c r="O42" s="54">
        <f t="shared" si="11"/>
        <v>0</v>
      </c>
      <c r="P42" s="1"/>
    </row>
    <row r="43" spans="2:16" ht="12.5">
      <c r="B43" s="7" t="str">
        <f t="shared" si="5"/>
        <v/>
      </c>
      <c r="C43" s="50">
        <f>IF(D11="","-",+C42+1)</f>
        <v>2039</v>
      </c>
      <c r="D43" s="55">
        <f>IF(F42+SUM(E$17:E42)=D$10,F42,D$10-SUM(E$17:E42))</f>
        <v>1069866.9292608041</v>
      </c>
      <c r="E43" s="378">
        <f t="shared" si="29"/>
        <v>59914.522727272728</v>
      </c>
      <c r="F43" s="55">
        <f t="shared" si="30"/>
        <v>1009952.4065335314</v>
      </c>
      <c r="G43" s="379">
        <f t="shared" si="31"/>
        <v>184211.94251032177</v>
      </c>
      <c r="H43" s="364">
        <f t="shared" si="32"/>
        <v>184211.94251032177</v>
      </c>
      <c r="I43" s="52">
        <f t="shared" si="6"/>
        <v>0</v>
      </c>
      <c r="J43" s="52"/>
      <c r="K43" s="129"/>
      <c r="L43" s="54">
        <f t="shared" si="33"/>
        <v>0</v>
      </c>
      <c r="M43" s="129"/>
      <c r="N43" s="54">
        <f t="shared" si="10"/>
        <v>0</v>
      </c>
      <c r="O43" s="54">
        <f t="shared" si="11"/>
        <v>0</v>
      </c>
      <c r="P43" s="1"/>
    </row>
    <row r="44" spans="2:16" ht="12.5">
      <c r="B44" s="7" t="str">
        <f t="shared" si="5"/>
        <v/>
      </c>
      <c r="C44" s="50">
        <f>IF(D11="","-",+C43+1)</f>
        <v>2040</v>
      </c>
      <c r="D44" s="55">
        <f>IF(F43+SUM(E$17:E43)=D$10,F43,D$10-SUM(E$17:E43))</f>
        <v>1009952.4065335314</v>
      </c>
      <c r="E44" s="378">
        <f t="shared" si="29"/>
        <v>59914.522727272728</v>
      </c>
      <c r="F44" s="55">
        <f t="shared" si="30"/>
        <v>950037.88380625867</v>
      </c>
      <c r="G44" s="379">
        <f t="shared" si="31"/>
        <v>177050.53146431036</v>
      </c>
      <c r="H44" s="364">
        <f t="shared" si="32"/>
        <v>177050.53146431036</v>
      </c>
      <c r="I44" s="52">
        <f t="shared" si="6"/>
        <v>0</v>
      </c>
      <c r="J44" s="52"/>
      <c r="K44" s="129"/>
      <c r="L44" s="54">
        <f t="shared" si="33"/>
        <v>0</v>
      </c>
      <c r="M44" s="129"/>
      <c r="N44" s="54">
        <f t="shared" si="10"/>
        <v>0</v>
      </c>
      <c r="O44" s="54">
        <f t="shared" si="11"/>
        <v>0</v>
      </c>
      <c r="P44" s="1"/>
    </row>
    <row r="45" spans="2:16" ht="12.5">
      <c r="B45" s="7" t="str">
        <f t="shared" si="5"/>
        <v/>
      </c>
      <c r="C45" s="50">
        <f>IF(D11="","-",+C44+1)</f>
        <v>2041</v>
      </c>
      <c r="D45" s="55">
        <f>IF(F44+SUM(E$17:E44)=D$10,F44,D$10-SUM(E$17:E44))</f>
        <v>950037.88380625867</v>
      </c>
      <c r="E45" s="378">
        <f t="shared" si="29"/>
        <v>59914.522727272728</v>
      </c>
      <c r="F45" s="55">
        <f t="shared" si="30"/>
        <v>890123.36107898597</v>
      </c>
      <c r="G45" s="379">
        <f t="shared" si="31"/>
        <v>169889.12041829893</v>
      </c>
      <c r="H45" s="364">
        <f t="shared" si="32"/>
        <v>169889.12041829893</v>
      </c>
      <c r="I45" s="52">
        <f t="shared" si="6"/>
        <v>0</v>
      </c>
      <c r="J45" s="52"/>
      <c r="K45" s="129"/>
      <c r="L45" s="54">
        <f t="shared" si="33"/>
        <v>0</v>
      </c>
      <c r="M45" s="129"/>
      <c r="N45" s="54">
        <f t="shared" si="10"/>
        <v>0</v>
      </c>
      <c r="O45" s="54">
        <f t="shared" si="11"/>
        <v>0</v>
      </c>
      <c r="P45" s="1"/>
    </row>
    <row r="46" spans="2:16" ht="12.5">
      <c r="B46" s="7" t="str">
        <f t="shared" si="5"/>
        <v/>
      </c>
      <c r="C46" s="50">
        <f>IF(D11="","-",+C45+1)</f>
        <v>2042</v>
      </c>
      <c r="D46" s="55">
        <f>IF(F45+SUM(E$17:E45)=D$10,F45,D$10-SUM(E$17:E45))</f>
        <v>890123.36107898597</v>
      </c>
      <c r="E46" s="378">
        <f t="shared" si="29"/>
        <v>59914.522727272728</v>
      </c>
      <c r="F46" s="55">
        <f t="shared" si="30"/>
        <v>830208.83835171326</v>
      </c>
      <c r="G46" s="379">
        <f t="shared" si="31"/>
        <v>162727.7093722875</v>
      </c>
      <c r="H46" s="364">
        <f t="shared" si="32"/>
        <v>162727.7093722875</v>
      </c>
      <c r="I46" s="52">
        <f t="shared" si="6"/>
        <v>0</v>
      </c>
      <c r="J46" s="52"/>
      <c r="K46" s="129"/>
      <c r="L46" s="54">
        <f t="shared" si="33"/>
        <v>0</v>
      </c>
      <c r="M46" s="129"/>
      <c r="N46" s="54">
        <f t="shared" si="10"/>
        <v>0</v>
      </c>
      <c r="O46" s="54">
        <f t="shared" si="11"/>
        <v>0</v>
      </c>
      <c r="P46" s="1"/>
    </row>
    <row r="47" spans="2:16" ht="12.5">
      <c r="B47" s="7" t="str">
        <f t="shared" si="5"/>
        <v/>
      </c>
      <c r="C47" s="50">
        <f>IF(D11="","-",+C46+1)</f>
        <v>2043</v>
      </c>
      <c r="D47" s="55">
        <f>IF(F46+SUM(E$17:E46)=D$10,F46,D$10-SUM(E$17:E46))</f>
        <v>830208.83835171326</v>
      </c>
      <c r="E47" s="378">
        <f t="shared" si="29"/>
        <v>59914.522727272728</v>
      </c>
      <c r="F47" s="55">
        <f t="shared" si="30"/>
        <v>770294.31562444055</v>
      </c>
      <c r="G47" s="379">
        <f t="shared" si="31"/>
        <v>155566.29832627607</v>
      </c>
      <c r="H47" s="364">
        <f t="shared" si="32"/>
        <v>155566.29832627607</v>
      </c>
      <c r="I47" s="52">
        <f t="shared" si="6"/>
        <v>0</v>
      </c>
      <c r="J47" s="52"/>
      <c r="K47" s="129"/>
      <c r="L47" s="54">
        <f t="shared" si="33"/>
        <v>0</v>
      </c>
      <c r="M47" s="129"/>
      <c r="N47" s="54">
        <f t="shared" si="10"/>
        <v>0</v>
      </c>
      <c r="O47" s="54">
        <f t="shared" si="11"/>
        <v>0</v>
      </c>
      <c r="P47" s="1"/>
    </row>
    <row r="48" spans="2:16" ht="12.5">
      <c r="B48" s="7" t="str">
        <f t="shared" si="5"/>
        <v/>
      </c>
      <c r="C48" s="50">
        <f>IF(D11="","-",+C47+1)</f>
        <v>2044</v>
      </c>
      <c r="D48" s="55">
        <f>IF(F47+SUM(E$17:E47)=D$10,F47,D$10-SUM(E$17:E47))</f>
        <v>770294.31562444055</v>
      </c>
      <c r="E48" s="378">
        <f t="shared" si="29"/>
        <v>59914.522727272728</v>
      </c>
      <c r="F48" s="55">
        <f t="shared" si="30"/>
        <v>710379.79289716785</v>
      </c>
      <c r="G48" s="379">
        <f t="shared" si="31"/>
        <v>148404.88728026467</v>
      </c>
      <c r="H48" s="364">
        <f t="shared" si="32"/>
        <v>148404.88728026467</v>
      </c>
      <c r="I48" s="52">
        <f t="shared" si="6"/>
        <v>0</v>
      </c>
      <c r="J48" s="52"/>
      <c r="K48" s="129"/>
      <c r="L48" s="54">
        <f t="shared" si="33"/>
        <v>0</v>
      </c>
      <c r="M48" s="129"/>
      <c r="N48" s="54">
        <f t="shared" si="10"/>
        <v>0</v>
      </c>
      <c r="O48" s="54">
        <f t="shared" si="11"/>
        <v>0</v>
      </c>
      <c r="P48" s="1"/>
    </row>
    <row r="49" spans="2:17" ht="12.5">
      <c r="B49" s="7" t="str">
        <f t="shared" si="5"/>
        <v/>
      </c>
      <c r="C49" s="50">
        <f>IF(D11="","-",+C48+1)</f>
        <v>2045</v>
      </c>
      <c r="D49" s="55">
        <f>IF(F48+SUM(E$17:E48)=D$10,F48,D$10-SUM(E$17:E48))</f>
        <v>710379.79289716785</v>
      </c>
      <c r="E49" s="378">
        <f t="shared" si="29"/>
        <v>59914.522727272728</v>
      </c>
      <c r="F49" s="55">
        <f t="shared" si="30"/>
        <v>650465.27016989514</v>
      </c>
      <c r="G49" s="379">
        <f t="shared" si="31"/>
        <v>141243.47623425323</v>
      </c>
      <c r="H49" s="364">
        <f t="shared" si="32"/>
        <v>141243.47623425323</v>
      </c>
      <c r="I49" s="52">
        <f t="shared" si="6"/>
        <v>0</v>
      </c>
      <c r="J49" s="52"/>
      <c r="K49" s="129"/>
      <c r="L49" s="54">
        <f t="shared" si="33"/>
        <v>0</v>
      </c>
      <c r="M49" s="129"/>
      <c r="N49" s="54">
        <f t="shared" si="10"/>
        <v>0</v>
      </c>
      <c r="O49" s="54">
        <f t="shared" si="11"/>
        <v>0</v>
      </c>
      <c r="P49" s="1"/>
    </row>
    <row r="50" spans="2:17" ht="12.5">
      <c r="B50" s="7" t="str">
        <f t="shared" si="5"/>
        <v/>
      </c>
      <c r="C50" s="50">
        <f>IF(D11="","-",+C49+1)</f>
        <v>2046</v>
      </c>
      <c r="D50" s="55">
        <f>IF(F49+SUM(E$17:E49)=D$10,F49,D$10-SUM(E$17:E49))</f>
        <v>650465.27016989514</v>
      </c>
      <c r="E50" s="378">
        <f t="shared" si="29"/>
        <v>59914.522727272728</v>
      </c>
      <c r="F50" s="55">
        <f t="shared" si="30"/>
        <v>590550.74744262244</v>
      </c>
      <c r="G50" s="379">
        <f t="shared" si="31"/>
        <v>134082.0651882418</v>
      </c>
      <c r="H50" s="364">
        <f t="shared" si="32"/>
        <v>134082.0651882418</v>
      </c>
      <c r="I50" s="52">
        <f t="shared" si="6"/>
        <v>0</v>
      </c>
      <c r="J50" s="52"/>
      <c r="K50" s="129"/>
      <c r="L50" s="54">
        <f t="shared" si="33"/>
        <v>0</v>
      </c>
      <c r="M50" s="129"/>
      <c r="N50" s="54">
        <f t="shared" si="10"/>
        <v>0</v>
      </c>
      <c r="O50" s="54">
        <f t="shared" si="11"/>
        <v>0</v>
      </c>
      <c r="P50" s="1"/>
    </row>
    <row r="51" spans="2:17" ht="12.5">
      <c r="B51" s="7" t="str">
        <f t="shared" si="5"/>
        <v/>
      </c>
      <c r="C51" s="50">
        <f>IF(D11="","-",+C50+1)</f>
        <v>2047</v>
      </c>
      <c r="D51" s="55">
        <f>IF(F50+SUM(E$17:E50)=D$10,F50,D$10-SUM(E$17:E50))</f>
        <v>590550.74744262244</v>
      </c>
      <c r="E51" s="378">
        <f t="shared" si="29"/>
        <v>59914.522727272728</v>
      </c>
      <c r="F51" s="55">
        <f t="shared" si="30"/>
        <v>530636.22471534973</v>
      </c>
      <c r="G51" s="379">
        <f t="shared" si="31"/>
        <v>126920.65414223037</v>
      </c>
      <c r="H51" s="364">
        <f t="shared" si="32"/>
        <v>126920.65414223037</v>
      </c>
      <c r="I51" s="52">
        <f t="shared" si="6"/>
        <v>0</v>
      </c>
      <c r="J51" s="52"/>
      <c r="K51" s="129"/>
      <c r="L51" s="54">
        <f t="shared" si="33"/>
        <v>0</v>
      </c>
      <c r="M51" s="129"/>
      <c r="N51" s="54">
        <f t="shared" si="10"/>
        <v>0</v>
      </c>
      <c r="O51" s="54">
        <f t="shared" si="11"/>
        <v>0</v>
      </c>
      <c r="P51" s="1"/>
    </row>
    <row r="52" spans="2:17" ht="12.5">
      <c r="B52" s="7" t="str">
        <f t="shared" si="5"/>
        <v/>
      </c>
      <c r="C52" s="50">
        <f>IF(D11="","-",+C51+1)</f>
        <v>2048</v>
      </c>
      <c r="D52" s="55">
        <f>IF(F51+SUM(E$17:E51)=D$10,F51,D$10-SUM(E$17:E51))</f>
        <v>530636.22471534973</v>
      </c>
      <c r="E52" s="378">
        <f t="shared" si="29"/>
        <v>59914.522727272728</v>
      </c>
      <c r="F52" s="55">
        <f t="shared" si="30"/>
        <v>470721.70198807702</v>
      </c>
      <c r="G52" s="379">
        <f t="shared" si="31"/>
        <v>119759.24309621897</v>
      </c>
      <c r="H52" s="364">
        <f t="shared" si="32"/>
        <v>119759.24309621897</v>
      </c>
      <c r="I52" s="52">
        <f t="shared" si="6"/>
        <v>0</v>
      </c>
      <c r="J52" s="52"/>
      <c r="K52" s="129"/>
      <c r="L52" s="54">
        <f t="shared" si="33"/>
        <v>0</v>
      </c>
      <c r="M52" s="129"/>
      <c r="N52" s="54">
        <f t="shared" si="10"/>
        <v>0</v>
      </c>
      <c r="O52" s="54">
        <f t="shared" si="11"/>
        <v>0</v>
      </c>
      <c r="P52" s="1"/>
    </row>
    <row r="53" spans="2:17" ht="12.5">
      <c r="B53" s="7" t="str">
        <f t="shared" si="5"/>
        <v/>
      </c>
      <c r="C53" s="50">
        <f>IF(D11="","-",+C52+1)</f>
        <v>2049</v>
      </c>
      <c r="D53" s="55">
        <f>IF(F52+SUM(E$17:E52)=D$10,F52,D$10-SUM(E$17:E52))</f>
        <v>470721.70198807702</v>
      </c>
      <c r="E53" s="378">
        <f t="shared" si="29"/>
        <v>59914.522727272728</v>
      </c>
      <c r="F53" s="55">
        <f t="shared" si="30"/>
        <v>410807.17926080432</v>
      </c>
      <c r="G53" s="379">
        <f t="shared" ref="G53:G72" si="34">+I$12*((D53+F53)/2)+E53</f>
        <v>112597.83205020754</v>
      </c>
      <c r="H53" s="364">
        <f t="shared" ref="H53:H72" si="35">+I$13*((D53+F53)/2)+E53</f>
        <v>112597.83205020754</v>
      </c>
      <c r="I53" s="52">
        <f t="shared" si="6"/>
        <v>0</v>
      </c>
      <c r="J53" s="52"/>
      <c r="K53" s="129"/>
      <c r="L53" s="54">
        <f t="shared" si="33"/>
        <v>0</v>
      </c>
      <c r="M53" s="129"/>
      <c r="N53" s="54">
        <f t="shared" si="10"/>
        <v>0</v>
      </c>
      <c r="O53" s="54">
        <f t="shared" si="11"/>
        <v>0</v>
      </c>
      <c r="P53" s="1"/>
    </row>
    <row r="54" spans="2:17" ht="12.5">
      <c r="B54" s="7" t="str">
        <f t="shared" si="5"/>
        <v/>
      </c>
      <c r="C54" s="50">
        <f>IF(D11="","-",+C53+1)</f>
        <v>2050</v>
      </c>
      <c r="D54" s="55">
        <f>IF(F53+SUM(E$17:E53)=D$10,F53,D$10-SUM(E$17:E53))</f>
        <v>410807.17926080432</v>
      </c>
      <c r="E54" s="378">
        <f t="shared" si="29"/>
        <v>59914.522727272728</v>
      </c>
      <c r="F54" s="55">
        <f t="shared" si="30"/>
        <v>350892.65653353161</v>
      </c>
      <c r="G54" s="379">
        <f t="shared" si="34"/>
        <v>105436.42100419611</v>
      </c>
      <c r="H54" s="364">
        <f t="shared" si="35"/>
        <v>105436.42100419611</v>
      </c>
      <c r="I54" s="52">
        <f t="shared" si="6"/>
        <v>0</v>
      </c>
      <c r="J54" s="52"/>
      <c r="K54" s="129"/>
      <c r="L54" s="54">
        <f t="shared" si="33"/>
        <v>0</v>
      </c>
      <c r="M54" s="129"/>
      <c r="N54" s="54">
        <f t="shared" si="10"/>
        <v>0</v>
      </c>
      <c r="O54" s="54">
        <f t="shared" si="11"/>
        <v>0</v>
      </c>
      <c r="P54" s="1"/>
    </row>
    <row r="55" spans="2:17" ht="12.5">
      <c r="B55" s="7" t="str">
        <f t="shared" si="5"/>
        <v/>
      </c>
      <c r="C55" s="50">
        <f>IF(D11="","-",+C54+1)</f>
        <v>2051</v>
      </c>
      <c r="D55" s="55">
        <f>IF(F54+SUM(E$17:E54)=D$10,F54,D$10-SUM(E$17:E54))</f>
        <v>350892.65653353161</v>
      </c>
      <c r="E55" s="378">
        <f t="shared" si="29"/>
        <v>59914.522727272728</v>
      </c>
      <c r="F55" s="55">
        <f t="shared" si="30"/>
        <v>290978.13380625891</v>
      </c>
      <c r="G55" s="379">
        <f t="shared" si="34"/>
        <v>98275.009958184688</v>
      </c>
      <c r="H55" s="364">
        <f t="shared" si="35"/>
        <v>98275.009958184688</v>
      </c>
      <c r="I55" s="52">
        <f t="shared" si="6"/>
        <v>0</v>
      </c>
      <c r="J55" s="52"/>
      <c r="K55" s="129"/>
      <c r="L55" s="54">
        <f t="shared" si="33"/>
        <v>0</v>
      </c>
      <c r="M55" s="129"/>
      <c r="N55" s="54">
        <f t="shared" si="10"/>
        <v>0</v>
      </c>
      <c r="O55" s="54">
        <f t="shared" si="11"/>
        <v>0</v>
      </c>
      <c r="P55" s="1"/>
    </row>
    <row r="56" spans="2:17" ht="12.5">
      <c r="B56" s="7" t="str">
        <f t="shared" si="5"/>
        <v/>
      </c>
      <c r="C56" s="50">
        <f>IF(D11="","-",+C55+1)</f>
        <v>2052</v>
      </c>
      <c r="D56" s="55">
        <f>IF(F55+SUM(E$17:E55)=D$10,F55,D$10-SUM(E$17:E55))</f>
        <v>290978.13380625891</v>
      </c>
      <c r="E56" s="378">
        <f t="shared" si="29"/>
        <v>59914.522727272728</v>
      </c>
      <c r="F56" s="55">
        <f t="shared" si="30"/>
        <v>231063.61107898617</v>
      </c>
      <c r="G56" s="379">
        <f t="shared" si="34"/>
        <v>91113.598912173271</v>
      </c>
      <c r="H56" s="364">
        <f t="shared" si="35"/>
        <v>91113.598912173271</v>
      </c>
      <c r="I56" s="52">
        <f t="shared" si="6"/>
        <v>0</v>
      </c>
      <c r="J56" s="52"/>
      <c r="K56" s="129"/>
      <c r="L56" s="54">
        <f t="shared" si="33"/>
        <v>0</v>
      </c>
      <c r="M56" s="129"/>
      <c r="N56" s="54">
        <f t="shared" si="10"/>
        <v>0</v>
      </c>
      <c r="O56" s="54">
        <f t="shared" si="11"/>
        <v>0</v>
      </c>
      <c r="P56" s="1"/>
    </row>
    <row r="57" spans="2:17" ht="12.5">
      <c r="B57" s="7" t="str">
        <f t="shared" si="5"/>
        <v/>
      </c>
      <c r="C57" s="50">
        <f>IF(D11="","-",+C56+1)</f>
        <v>2053</v>
      </c>
      <c r="D57" s="55">
        <f>IF(F56+SUM(E$17:E56)=D$10,F56,D$10-SUM(E$17:E56))</f>
        <v>231063.61107898617</v>
      </c>
      <c r="E57" s="378">
        <f t="shared" si="29"/>
        <v>59914.522727272728</v>
      </c>
      <c r="F57" s="55">
        <f t="shared" si="30"/>
        <v>171149.08835171344</v>
      </c>
      <c r="G57" s="379">
        <f t="shared" si="34"/>
        <v>83952.187866161839</v>
      </c>
      <c r="H57" s="364">
        <f t="shared" si="35"/>
        <v>83952.187866161839</v>
      </c>
      <c r="I57" s="52">
        <f t="shared" si="6"/>
        <v>0</v>
      </c>
      <c r="J57" s="52"/>
      <c r="K57" s="129"/>
      <c r="L57" s="54">
        <f t="shared" si="33"/>
        <v>0</v>
      </c>
      <c r="M57" s="129"/>
      <c r="N57" s="54">
        <f t="shared" si="10"/>
        <v>0</v>
      </c>
      <c r="O57" s="54">
        <f t="shared" si="11"/>
        <v>0</v>
      </c>
      <c r="P57" s="1"/>
    </row>
    <row r="58" spans="2:17" ht="12.5">
      <c r="B58" s="7" t="str">
        <f t="shared" si="5"/>
        <v/>
      </c>
      <c r="C58" s="50">
        <f>IF(D11="","-",+C57+1)</f>
        <v>2054</v>
      </c>
      <c r="D58" s="55">
        <f>IF(F57+SUM(E$17:E57)=D$10,F57,D$10-SUM(E$17:E57))</f>
        <v>171149.08835171344</v>
      </c>
      <c r="E58" s="378">
        <f t="shared" si="29"/>
        <v>59914.522727272728</v>
      </c>
      <c r="F58" s="55">
        <f t="shared" si="30"/>
        <v>111234.5656244407</v>
      </c>
      <c r="G58" s="379">
        <f t="shared" si="34"/>
        <v>76790.776820150408</v>
      </c>
      <c r="H58" s="364">
        <f t="shared" si="35"/>
        <v>76790.776820150408</v>
      </c>
      <c r="I58" s="52">
        <f t="shared" si="6"/>
        <v>0</v>
      </c>
      <c r="J58" s="52"/>
      <c r="K58" s="129"/>
      <c r="L58" s="54">
        <f t="shared" si="33"/>
        <v>0</v>
      </c>
      <c r="M58" s="129"/>
      <c r="N58" s="54">
        <f t="shared" si="10"/>
        <v>0</v>
      </c>
      <c r="O58" s="54">
        <f t="shared" si="11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5"/>
        <v/>
      </c>
      <c r="C59" s="50">
        <f>IF(D11="","-",+C58+1)</f>
        <v>2055</v>
      </c>
      <c r="D59" s="55">
        <f>IF(F58+SUM(E$17:E58)=D$10,F58,D$10-SUM(E$17:E58))</f>
        <v>111234.5656244407</v>
      </c>
      <c r="E59" s="378">
        <f t="shared" si="29"/>
        <v>59914.522727272728</v>
      </c>
      <c r="F59" s="55">
        <f t="shared" si="30"/>
        <v>51320.042897167972</v>
      </c>
      <c r="G59" s="379">
        <f t="shared" si="34"/>
        <v>69629.365774138976</v>
      </c>
      <c r="H59" s="364">
        <f t="shared" si="35"/>
        <v>69629.365774138976</v>
      </c>
      <c r="I59" s="52">
        <f t="shared" si="6"/>
        <v>0</v>
      </c>
      <c r="J59" s="52"/>
      <c r="K59" s="129"/>
      <c r="L59" s="54">
        <f t="shared" si="33"/>
        <v>0</v>
      </c>
      <c r="M59" s="129"/>
      <c r="N59" s="54">
        <f t="shared" si="10"/>
        <v>0</v>
      </c>
      <c r="O59" s="54">
        <f t="shared" si="11"/>
        <v>0</v>
      </c>
      <c r="P59" s="1"/>
    </row>
    <row r="60" spans="2:17" ht="12.5">
      <c r="B60" s="7" t="str">
        <f t="shared" si="5"/>
        <v/>
      </c>
      <c r="C60" s="50">
        <f>IF(D11="","-",+C59+1)</f>
        <v>2056</v>
      </c>
      <c r="D60" s="55">
        <f>IF(F59+SUM(E$17:E59)=D$10,F59,D$10-SUM(E$17:E59))</f>
        <v>51320.042897167972</v>
      </c>
      <c r="E60" s="378">
        <f t="shared" si="29"/>
        <v>51320.042897167972</v>
      </c>
      <c r="F60" s="55">
        <f t="shared" si="30"/>
        <v>0</v>
      </c>
      <c r="G60" s="379">
        <f t="shared" si="34"/>
        <v>54387.111659098242</v>
      </c>
      <c r="H60" s="364">
        <f t="shared" si="35"/>
        <v>54387.111659098242</v>
      </c>
      <c r="I60" s="52">
        <f t="shared" si="6"/>
        <v>0</v>
      </c>
      <c r="J60" s="52"/>
      <c r="K60" s="129"/>
      <c r="L60" s="54">
        <f t="shared" si="33"/>
        <v>0</v>
      </c>
      <c r="M60" s="129"/>
      <c r="N60" s="54">
        <f t="shared" si="10"/>
        <v>0</v>
      </c>
      <c r="O60" s="54">
        <f t="shared" si="11"/>
        <v>0</v>
      </c>
      <c r="P60" s="1"/>
    </row>
    <row r="61" spans="2:17" ht="12.5">
      <c r="B61" s="7" t="str">
        <f t="shared" si="5"/>
        <v/>
      </c>
      <c r="C61" s="50">
        <f>IF(D11="","-",+C60+1)</f>
        <v>2057</v>
      </c>
      <c r="D61" s="55">
        <f>IF(F60+SUM(E$17:E60)=D$10,F60,D$10-SUM(E$17:E60))</f>
        <v>0</v>
      </c>
      <c r="E61" s="378">
        <f t="shared" si="29"/>
        <v>0</v>
      </c>
      <c r="F61" s="55">
        <f t="shared" si="30"/>
        <v>0</v>
      </c>
      <c r="G61" s="379">
        <f t="shared" si="34"/>
        <v>0</v>
      </c>
      <c r="H61" s="364">
        <f t="shared" si="35"/>
        <v>0</v>
      </c>
      <c r="I61" s="52">
        <f t="shared" si="6"/>
        <v>0</v>
      </c>
      <c r="J61" s="52"/>
      <c r="K61" s="129"/>
      <c r="L61" s="54">
        <f t="shared" si="33"/>
        <v>0</v>
      </c>
      <c r="M61" s="129"/>
      <c r="N61" s="54">
        <f t="shared" si="10"/>
        <v>0</v>
      </c>
      <c r="O61" s="54">
        <f t="shared" si="11"/>
        <v>0</v>
      </c>
      <c r="P61" s="1"/>
    </row>
    <row r="62" spans="2:17" ht="12.5">
      <c r="B62" s="7" t="str">
        <f t="shared" si="5"/>
        <v/>
      </c>
      <c r="C62" s="50">
        <f>IF(D11="","-",+C61+1)</f>
        <v>2058</v>
      </c>
      <c r="D62" s="55">
        <f>IF(F61+SUM(E$17:E61)=D$10,F61,D$10-SUM(E$17:E61))</f>
        <v>0</v>
      </c>
      <c r="E62" s="378">
        <f t="shared" si="29"/>
        <v>0</v>
      </c>
      <c r="F62" s="55">
        <f t="shared" si="30"/>
        <v>0</v>
      </c>
      <c r="G62" s="379">
        <f t="shared" si="34"/>
        <v>0</v>
      </c>
      <c r="H62" s="364">
        <f t="shared" si="35"/>
        <v>0</v>
      </c>
      <c r="I62" s="52">
        <f t="shared" si="6"/>
        <v>0</v>
      </c>
      <c r="J62" s="52"/>
      <c r="K62" s="129"/>
      <c r="L62" s="54">
        <f t="shared" si="33"/>
        <v>0</v>
      </c>
      <c r="M62" s="129"/>
      <c r="N62" s="54">
        <f t="shared" si="10"/>
        <v>0</v>
      </c>
      <c r="O62" s="54">
        <f t="shared" si="11"/>
        <v>0</v>
      </c>
      <c r="P62" s="1"/>
    </row>
    <row r="63" spans="2:17" ht="12.5">
      <c r="B63" s="7" t="str">
        <f t="shared" si="5"/>
        <v/>
      </c>
      <c r="C63" s="50">
        <f>IF(D11="","-",+C62+1)</f>
        <v>2059</v>
      </c>
      <c r="D63" s="55">
        <f>IF(F62+SUM(E$17:E62)=D$10,F62,D$10-SUM(E$17:E62))</f>
        <v>0</v>
      </c>
      <c r="E63" s="378">
        <f t="shared" si="29"/>
        <v>0</v>
      </c>
      <c r="F63" s="55">
        <f t="shared" si="30"/>
        <v>0</v>
      </c>
      <c r="G63" s="379">
        <f t="shared" si="34"/>
        <v>0</v>
      </c>
      <c r="H63" s="364">
        <f t="shared" si="35"/>
        <v>0</v>
      </c>
      <c r="I63" s="52">
        <f t="shared" si="6"/>
        <v>0</v>
      </c>
      <c r="J63" s="52"/>
      <c r="K63" s="129"/>
      <c r="L63" s="54">
        <f t="shared" si="33"/>
        <v>0</v>
      </c>
      <c r="M63" s="129"/>
      <c r="N63" s="54">
        <f t="shared" si="10"/>
        <v>0</v>
      </c>
      <c r="O63" s="54">
        <f t="shared" si="11"/>
        <v>0</v>
      </c>
      <c r="P63" s="1"/>
    </row>
    <row r="64" spans="2:17" ht="12.5">
      <c r="B64" s="7" t="str">
        <f t="shared" si="5"/>
        <v/>
      </c>
      <c r="C64" s="50">
        <f>IF(D11="","-",+C63+1)</f>
        <v>2060</v>
      </c>
      <c r="D64" s="55">
        <f>IF(F63+SUM(E$17:E63)=D$10,F63,D$10-SUM(E$17:E63))</f>
        <v>0</v>
      </c>
      <c r="E64" s="378">
        <f t="shared" si="29"/>
        <v>0</v>
      </c>
      <c r="F64" s="55">
        <f t="shared" si="30"/>
        <v>0</v>
      </c>
      <c r="G64" s="379">
        <f t="shared" si="34"/>
        <v>0</v>
      </c>
      <c r="H64" s="364">
        <f t="shared" si="35"/>
        <v>0</v>
      </c>
      <c r="I64" s="52">
        <f t="shared" si="6"/>
        <v>0</v>
      </c>
      <c r="J64" s="52"/>
      <c r="K64" s="129"/>
      <c r="L64" s="54">
        <f t="shared" si="33"/>
        <v>0</v>
      </c>
      <c r="M64" s="129"/>
      <c r="N64" s="54">
        <f t="shared" si="10"/>
        <v>0</v>
      </c>
      <c r="O64" s="54">
        <f t="shared" si="11"/>
        <v>0</v>
      </c>
      <c r="P64" s="1"/>
    </row>
    <row r="65" spans="2:16" ht="12.5">
      <c r="B65" s="7" t="str">
        <f t="shared" si="5"/>
        <v/>
      </c>
      <c r="C65" s="50">
        <f>IF(D11="","-",+C64+1)</f>
        <v>2061</v>
      </c>
      <c r="D65" s="55">
        <f>IF(F64+SUM(E$17:E64)=D$10,F64,D$10-SUM(E$17:E64))</f>
        <v>0</v>
      </c>
      <c r="E65" s="378">
        <f t="shared" si="29"/>
        <v>0</v>
      </c>
      <c r="F65" s="55">
        <f t="shared" si="30"/>
        <v>0</v>
      </c>
      <c r="G65" s="379">
        <f t="shared" si="34"/>
        <v>0</v>
      </c>
      <c r="H65" s="364">
        <f t="shared" si="35"/>
        <v>0</v>
      </c>
      <c r="I65" s="52">
        <f t="shared" si="6"/>
        <v>0</v>
      </c>
      <c r="J65" s="52"/>
      <c r="K65" s="129"/>
      <c r="L65" s="54">
        <f t="shared" si="33"/>
        <v>0</v>
      </c>
      <c r="M65" s="129"/>
      <c r="N65" s="54">
        <f t="shared" si="10"/>
        <v>0</v>
      </c>
      <c r="O65" s="54">
        <f t="shared" si="11"/>
        <v>0</v>
      </c>
      <c r="P65" s="1"/>
    </row>
    <row r="66" spans="2:16" ht="12.5">
      <c r="B66" s="7" t="str">
        <f t="shared" si="5"/>
        <v/>
      </c>
      <c r="C66" s="50">
        <f>IF(D11="","-",+C65+1)</f>
        <v>2062</v>
      </c>
      <c r="D66" s="55">
        <f>IF(F65+SUM(E$17:E65)=D$10,F65,D$10-SUM(E$17:E65))</f>
        <v>0</v>
      </c>
      <c r="E66" s="378">
        <f t="shared" si="29"/>
        <v>0</v>
      </c>
      <c r="F66" s="55">
        <f t="shared" si="30"/>
        <v>0</v>
      </c>
      <c r="G66" s="379">
        <f t="shared" si="34"/>
        <v>0</v>
      </c>
      <c r="H66" s="364">
        <f t="shared" si="35"/>
        <v>0</v>
      </c>
      <c r="I66" s="52">
        <f t="shared" si="6"/>
        <v>0</v>
      </c>
      <c r="J66" s="52"/>
      <c r="K66" s="129"/>
      <c r="L66" s="54">
        <f t="shared" si="33"/>
        <v>0</v>
      </c>
      <c r="M66" s="129"/>
      <c r="N66" s="54">
        <f t="shared" si="10"/>
        <v>0</v>
      </c>
      <c r="O66" s="54">
        <f t="shared" si="11"/>
        <v>0</v>
      </c>
      <c r="P66" s="1"/>
    </row>
    <row r="67" spans="2:16" ht="12.5">
      <c r="B67" s="7" t="str">
        <f t="shared" si="5"/>
        <v/>
      </c>
      <c r="C67" s="50">
        <f>IF(D11="","-",+C66+1)</f>
        <v>2063</v>
      </c>
      <c r="D67" s="55">
        <f>IF(F66+SUM(E$17:E66)=D$10,F66,D$10-SUM(E$17:E66))</f>
        <v>0</v>
      </c>
      <c r="E67" s="378">
        <f t="shared" si="29"/>
        <v>0</v>
      </c>
      <c r="F67" s="55">
        <f t="shared" si="30"/>
        <v>0</v>
      </c>
      <c r="G67" s="379">
        <f t="shared" si="34"/>
        <v>0</v>
      </c>
      <c r="H67" s="364">
        <f t="shared" si="35"/>
        <v>0</v>
      </c>
      <c r="I67" s="52">
        <f t="shared" si="6"/>
        <v>0</v>
      </c>
      <c r="J67" s="52"/>
      <c r="K67" s="129"/>
      <c r="L67" s="54">
        <f t="shared" si="33"/>
        <v>0</v>
      </c>
      <c r="M67" s="129"/>
      <c r="N67" s="54">
        <f t="shared" si="10"/>
        <v>0</v>
      </c>
      <c r="O67" s="54">
        <f t="shared" si="11"/>
        <v>0</v>
      </c>
      <c r="P67" s="1"/>
    </row>
    <row r="68" spans="2:16" ht="12.5">
      <c r="B68" s="7" t="str">
        <f t="shared" si="5"/>
        <v/>
      </c>
      <c r="C68" s="50">
        <f>IF(D11="","-",+C67+1)</f>
        <v>2064</v>
      </c>
      <c r="D68" s="55">
        <f>IF(F67+SUM(E$17:E67)=D$10,F67,D$10-SUM(E$17:E67))</f>
        <v>0</v>
      </c>
      <c r="E68" s="378">
        <f t="shared" si="29"/>
        <v>0</v>
      </c>
      <c r="F68" s="55">
        <f t="shared" si="30"/>
        <v>0</v>
      </c>
      <c r="G68" s="379">
        <f t="shared" si="34"/>
        <v>0</v>
      </c>
      <c r="H68" s="364">
        <f t="shared" si="35"/>
        <v>0</v>
      </c>
      <c r="I68" s="52">
        <f t="shared" si="6"/>
        <v>0</v>
      </c>
      <c r="J68" s="52"/>
      <c r="K68" s="129"/>
      <c r="L68" s="54">
        <f t="shared" si="33"/>
        <v>0</v>
      </c>
      <c r="M68" s="129"/>
      <c r="N68" s="54">
        <f t="shared" si="10"/>
        <v>0</v>
      </c>
      <c r="O68" s="54">
        <f t="shared" si="11"/>
        <v>0</v>
      </c>
      <c r="P68" s="1"/>
    </row>
    <row r="69" spans="2:16" ht="12.5">
      <c r="B69" s="7" t="str">
        <f t="shared" si="5"/>
        <v/>
      </c>
      <c r="C69" s="50">
        <f>IF(D11="","-",+C68+1)</f>
        <v>2065</v>
      </c>
      <c r="D69" s="55">
        <f>IF(F68+SUM(E$17:E68)=D$10,F68,D$10-SUM(E$17:E68))</f>
        <v>0</v>
      </c>
      <c r="E69" s="378">
        <f t="shared" si="29"/>
        <v>0</v>
      </c>
      <c r="F69" s="55">
        <f t="shared" si="30"/>
        <v>0</v>
      </c>
      <c r="G69" s="379">
        <f t="shared" si="34"/>
        <v>0</v>
      </c>
      <c r="H69" s="364">
        <f t="shared" si="35"/>
        <v>0</v>
      </c>
      <c r="I69" s="52">
        <f t="shared" si="6"/>
        <v>0</v>
      </c>
      <c r="J69" s="52"/>
      <c r="K69" s="129"/>
      <c r="L69" s="54">
        <f t="shared" si="33"/>
        <v>0</v>
      </c>
      <c r="M69" s="129"/>
      <c r="N69" s="54">
        <f t="shared" si="10"/>
        <v>0</v>
      </c>
      <c r="O69" s="54">
        <f t="shared" si="11"/>
        <v>0</v>
      </c>
      <c r="P69" s="1"/>
    </row>
    <row r="70" spans="2:16" ht="12.5">
      <c r="B70" s="7" t="str">
        <f t="shared" si="5"/>
        <v/>
      </c>
      <c r="C70" s="50">
        <f>IF(D11="","-",+C69+1)</f>
        <v>2066</v>
      </c>
      <c r="D70" s="55">
        <f>IF(F69+SUM(E$17:E69)=D$10,F69,D$10-SUM(E$17:E69))</f>
        <v>0</v>
      </c>
      <c r="E70" s="378">
        <f t="shared" si="29"/>
        <v>0</v>
      </c>
      <c r="F70" s="55">
        <f t="shared" si="30"/>
        <v>0</v>
      </c>
      <c r="G70" s="379">
        <f t="shared" si="34"/>
        <v>0</v>
      </c>
      <c r="H70" s="364">
        <f t="shared" si="35"/>
        <v>0</v>
      </c>
      <c r="I70" s="52">
        <f t="shared" si="6"/>
        <v>0</v>
      </c>
      <c r="J70" s="52"/>
      <c r="K70" s="129"/>
      <c r="L70" s="54">
        <f t="shared" si="33"/>
        <v>0</v>
      </c>
      <c r="M70" s="129"/>
      <c r="N70" s="54">
        <f t="shared" si="10"/>
        <v>0</v>
      </c>
      <c r="O70" s="54">
        <f t="shared" si="11"/>
        <v>0</v>
      </c>
      <c r="P70" s="1"/>
    </row>
    <row r="71" spans="2:16" ht="12.5">
      <c r="B71" s="7" t="str">
        <f t="shared" si="5"/>
        <v/>
      </c>
      <c r="C71" s="50">
        <f>IF(D11="","-",+C70+1)</f>
        <v>2067</v>
      </c>
      <c r="D71" s="55">
        <f>IF(F70+SUM(E$17:E70)=D$10,F70,D$10-SUM(E$17:E70))</f>
        <v>0</v>
      </c>
      <c r="E71" s="378">
        <f t="shared" si="29"/>
        <v>0</v>
      </c>
      <c r="F71" s="55">
        <f t="shared" si="30"/>
        <v>0</v>
      </c>
      <c r="G71" s="379">
        <f t="shared" si="34"/>
        <v>0</v>
      </c>
      <c r="H71" s="364">
        <f t="shared" si="35"/>
        <v>0</v>
      </c>
      <c r="I71" s="52">
        <f t="shared" si="6"/>
        <v>0</v>
      </c>
      <c r="J71" s="52"/>
      <c r="K71" s="129"/>
      <c r="L71" s="54">
        <f t="shared" si="33"/>
        <v>0</v>
      </c>
      <c r="M71" s="129"/>
      <c r="N71" s="54">
        <f t="shared" si="10"/>
        <v>0</v>
      </c>
      <c r="O71" s="54">
        <f t="shared" si="11"/>
        <v>0</v>
      </c>
      <c r="P71" s="1"/>
    </row>
    <row r="72" spans="2:16" ht="13" thickBot="1">
      <c r="B72" s="7" t="str">
        <f t="shared" si="5"/>
        <v/>
      </c>
      <c r="C72" s="59">
        <f>IF(D11="","-",+C71+1)</f>
        <v>2068</v>
      </c>
      <c r="D72" s="55">
        <f>IF(F71+SUM(E$17:E71)=D$10,F71,D$10-SUM(E$17:E71))</f>
        <v>0</v>
      </c>
      <c r="E72" s="378">
        <f t="shared" si="29"/>
        <v>0</v>
      </c>
      <c r="F72" s="55">
        <f t="shared" si="30"/>
        <v>0</v>
      </c>
      <c r="G72" s="379">
        <f t="shared" si="34"/>
        <v>0</v>
      </c>
      <c r="H72" s="364">
        <f t="shared" si="35"/>
        <v>0</v>
      </c>
      <c r="I72" s="52">
        <f t="shared" si="6"/>
        <v>0</v>
      </c>
      <c r="J72" s="52"/>
      <c r="K72" s="130"/>
      <c r="L72" s="64">
        <f t="shared" si="33"/>
        <v>0</v>
      </c>
      <c r="M72" s="130"/>
      <c r="N72" s="64">
        <f t="shared" si="10"/>
        <v>0</v>
      </c>
      <c r="O72" s="64">
        <f t="shared" si="11"/>
        <v>0</v>
      </c>
      <c r="P72" s="1"/>
    </row>
    <row r="73" spans="2:16" ht="12.5">
      <c r="C73" s="12" t="s">
        <v>78</v>
      </c>
      <c r="D73" s="293"/>
      <c r="E73" s="293">
        <f>SUM(E17:E72)</f>
        <v>2636239.0000000023</v>
      </c>
      <c r="F73" s="293"/>
      <c r="G73" s="293">
        <f>SUM(G17:G72)</f>
        <v>9844426.8728017379</v>
      </c>
      <c r="H73" s="293">
        <f>SUM(H17:H72)</f>
        <v>9844426.8728017379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 ht="13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38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291633.10820049315</v>
      </c>
      <c r="N87" s="387">
        <f>IF(J92&lt;D11,0,VLOOKUP(J92,C17:O72,11))</f>
        <v>291633.10820049315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302923.13820583839</v>
      </c>
      <c r="N88" s="390">
        <f>IF(J92&lt;D11,0,VLOOKUP(J92,C99:P154,7))</f>
        <v>302923.13820583839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Eastex Switching Station - Whitney 138 kV Station - Rebuild 2.5 miles of 138 Kv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11290.030005345237</v>
      </c>
      <c r="N89" s="392">
        <f>+N88-N87</f>
        <v>11290.030005345237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TP2010064</v>
      </c>
      <c r="E91" s="76" t="s">
        <v>496</v>
      </c>
      <c r="F91" s="463">
        <f>F9</f>
        <v>1024</v>
      </c>
      <c r="G91" s="76"/>
      <c r="H91" s="76"/>
      <c r="I91" s="76"/>
      <c r="J91" s="76"/>
      <c r="Q91" s="1"/>
    </row>
    <row r="92" spans="1:17" ht="13">
      <c r="C92" s="34" t="s">
        <v>51</v>
      </c>
      <c r="D92" s="363">
        <f>D10</f>
        <v>2636239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  <c r="Q92" s="1"/>
    </row>
    <row r="93" spans="1:17" ht="12.5">
      <c r="C93" s="34" t="s">
        <v>54</v>
      </c>
      <c r="D93" s="435">
        <f>D11</f>
        <v>2013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4">
        <f>D12</f>
        <v>6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59914.522727272728</v>
      </c>
      <c r="K96" s="293"/>
      <c r="L96" s="293"/>
      <c r="M96" s="293"/>
      <c r="N96" s="293"/>
      <c r="O96" s="293"/>
      <c r="P96" s="1"/>
      <c r="Q96" s="1"/>
    </row>
    <row r="97" spans="1:17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 ht="12.5">
      <c r="C99" s="50">
        <f>IF(D93= "","-",D93)</f>
        <v>2013</v>
      </c>
      <c r="D99" s="429">
        <v>0</v>
      </c>
      <c r="E99" s="430">
        <v>31383.797619047618</v>
      </c>
      <c r="F99" s="431">
        <v>2604855.2023809524</v>
      </c>
      <c r="G99" s="432">
        <v>1302427.6011904762</v>
      </c>
      <c r="H99" s="433">
        <v>207591.44491891743</v>
      </c>
      <c r="I99" s="434">
        <v>207591.44491891743</v>
      </c>
      <c r="J99" s="154">
        <v>0</v>
      </c>
      <c r="K99" s="54"/>
      <c r="L99" s="113">
        <f t="shared" ref="L99:L104" si="36">H99</f>
        <v>207591.44491891743</v>
      </c>
      <c r="M99" s="54">
        <f t="shared" ref="M99:M104" si="37">IF(L99&lt;&gt;0,+H99-L99,0)</f>
        <v>0</v>
      </c>
      <c r="N99" s="113">
        <f t="shared" ref="N99:N104" si="38">I99</f>
        <v>207591.44491891743</v>
      </c>
      <c r="O99" s="54">
        <f>IF(N99&lt;&gt;0,+I99-N99,0)</f>
        <v>0</v>
      </c>
      <c r="P99" s="54">
        <f>+O99-M99</f>
        <v>0</v>
      </c>
      <c r="Q99" s="1"/>
    </row>
    <row r="100" spans="1:17" ht="12.5">
      <c r="B100" s="7" t="str">
        <f>IF(D100=F99,"","IU")</f>
        <v/>
      </c>
      <c r="C100" s="50">
        <f>IF(D93="","-",+C99+1)</f>
        <v>2014</v>
      </c>
      <c r="D100" s="429">
        <v>2604855.2023809524</v>
      </c>
      <c r="E100" s="430">
        <v>62767.595238095237</v>
      </c>
      <c r="F100" s="431">
        <v>2542087.6071428573</v>
      </c>
      <c r="G100" s="431">
        <v>2573471.4047619049</v>
      </c>
      <c r="H100" s="433">
        <v>412562.73217828164</v>
      </c>
      <c r="I100" s="434">
        <v>412562.73217828164</v>
      </c>
      <c r="J100" s="54">
        <v>0</v>
      </c>
      <c r="K100" s="54"/>
      <c r="L100" s="113">
        <f t="shared" si="36"/>
        <v>412562.73217828164</v>
      </c>
      <c r="M100" s="54">
        <f t="shared" si="37"/>
        <v>0</v>
      </c>
      <c r="N100" s="113">
        <f t="shared" si="38"/>
        <v>412562.73217828164</v>
      </c>
      <c r="O100" s="54">
        <f>IF(N100&lt;&gt;0,+I100-N100,0)</f>
        <v>0</v>
      </c>
      <c r="P100" s="54">
        <f>+O100-M100</f>
        <v>0</v>
      </c>
      <c r="Q100" s="1"/>
    </row>
    <row r="101" spans="1:17" ht="12.5">
      <c r="B101" s="7" t="str">
        <f t="shared" ref="B101:B154" si="39">IF(D101=F100,"","IU")</f>
        <v/>
      </c>
      <c r="C101" s="50">
        <f>IF(D93="","-",+C100+1)</f>
        <v>2015</v>
      </c>
      <c r="D101" s="429">
        <v>2542087.6071428573</v>
      </c>
      <c r="E101" s="430">
        <v>62767.595238095237</v>
      </c>
      <c r="F101" s="431">
        <v>2479320.0119047621</v>
      </c>
      <c r="G101" s="431">
        <v>2510703.8095238097</v>
      </c>
      <c r="H101" s="433">
        <v>393600.21889551368</v>
      </c>
      <c r="I101" s="434">
        <v>393600.21889551368</v>
      </c>
      <c r="J101" s="54">
        <f>+I101-H101</f>
        <v>0</v>
      </c>
      <c r="K101" s="54"/>
      <c r="L101" s="113">
        <f t="shared" si="36"/>
        <v>393600.21889551368</v>
      </c>
      <c r="M101" s="54">
        <f t="shared" si="37"/>
        <v>0</v>
      </c>
      <c r="N101" s="113">
        <f t="shared" si="38"/>
        <v>393600.21889551368</v>
      </c>
      <c r="O101" s="54">
        <f>IF(N101&lt;&gt;0,+I101-N101,0)</f>
        <v>0</v>
      </c>
      <c r="P101" s="54">
        <f>+O101-M101</f>
        <v>0</v>
      </c>
      <c r="Q101" s="1"/>
    </row>
    <row r="102" spans="1:17" ht="12.5">
      <c r="B102" s="7" t="str">
        <f t="shared" si="39"/>
        <v/>
      </c>
      <c r="C102" s="50">
        <f>IF(D93="","-",+C101+1)</f>
        <v>2016</v>
      </c>
      <c r="D102" s="429">
        <v>2479320.0119047621</v>
      </c>
      <c r="E102" s="430">
        <v>61307.883720930229</v>
      </c>
      <c r="F102" s="431">
        <v>2418012.1281838319</v>
      </c>
      <c r="G102" s="431">
        <v>2448666.0700442968</v>
      </c>
      <c r="H102" s="433">
        <v>372166.01263516292</v>
      </c>
      <c r="I102" s="434">
        <v>372166.01263516292</v>
      </c>
      <c r="J102" s="54">
        <f t="shared" ref="J102:J154" si="40">+I102-H102</f>
        <v>0</v>
      </c>
      <c r="K102" s="54"/>
      <c r="L102" s="113">
        <f t="shared" si="36"/>
        <v>372166.01263516292</v>
      </c>
      <c r="M102" s="54">
        <f t="shared" si="37"/>
        <v>0</v>
      </c>
      <c r="N102" s="113">
        <f t="shared" si="38"/>
        <v>372166.01263516292</v>
      </c>
      <c r="O102" s="54">
        <f>IF(N102&lt;&gt;0,+I102-N102,0)</f>
        <v>0</v>
      </c>
      <c r="P102" s="54">
        <f>+O102-M102</f>
        <v>0</v>
      </c>
      <c r="Q102" s="1"/>
    </row>
    <row r="103" spans="1:17" ht="12.5">
      <c r="B103" s="7" t="str">
        <f t="shared" si="39"/>
        <v/>
      </c>
      <c r="C103" s="50">
        <f>IF(D93="","-",+C102+1)</f>
        <v>2017</v>
      </c>
      <c r="D103" s="429">
        <v>2418012.1281838319</v>
      </c>
      <c r="E103" s="430">
        <v>62767.595238095237</v>
      </c>
      <c r="F103" s="431">
        <v>2355244.5329457368</v>
      </c>
      <c r="G103" s="431">
        <v>2386628.3305647844</v>
      </c>
      <c r="H103" s="433">
        <v>352674.81750168814</v>
      </c>
      <c r="I103" s="434">
        <v>352674.81750168814</v>
      </c>
      <c r="J103" s="54">
        <f t="shared" si="40"/>
        <v>0</v>
      </c>
      <c r="K103" s="54"/>
      <c r="L103" s="113">
        <f t="shared" si="36"/>
        <v>352674.81750168814</v>
      </c>
      <c r="M103" s="54">
        <f t="shared" si="37"/>
        <v>0</v>
      </c>
      <c r="N103" s="113">
        <f t="shared" si="38"/>
        <v>352674.81750168814</v>
      </c>
      <c r="O103" s="54">
        <f>IF(N103&lt;&gt;0,+I103-N103,0)</f>
        <v>0</v>
      </c>
      <c r="P103" s="54">
        <f>+O103-M103</f>
        <v>0</v>
      </c>
      <c r="Q103" s="1"/>
    </row>
    <row r="104" spans="1:17" ht="12.5">
      <c r="B104" s="7" t="str">
        <f t="shared" si="39"/>
        <v/>
      </c>
      <c r="C104" s="50">
        <f>IF(D93="","-",+C103+1)</f>
        <v>2018</v>
      </c>
      <c r="D104" s="429">
        <v>2355244.5329457368</v>
      </c>
      <c r="E104" s="430">
        <v>62767.595238095237</v>
      </c>
      <c r="F104" s="431">
        <v>2292476.9377076416</v>
      </c>
      <c r="G104" s="431">
        <v>2323860.7353266892</v>
      </c>
      <c r="H104" s="433">
        <v>308177.94569514133</v>
      </c>
      <c r="I104" s="434">
        <v>308177.94569514133</v>
      </c>
      <c r="J104" s="54">
        <f t="shared" si="40"/>
        <v>0</v>
      </c>
      <c r="K104" s="54"/>
      <c r="L104" s="113">
        <f t="shared" si="36"/>
        <v>308177.94569514133</v>
      </c>
      <c r="M104" s="54">
        <f t="shared" si="37"/>
        <v>0</v>
      </c>
      <c r="N104" s="113">
        <f t="shared" si="38"/>
        <v>308177.94569514133</v>
      </c>
      <c r="O104" s="54">
        <f t="shared" ref="O104:O130" si="41">IF(N104&lt;&gt;0,+I104-N104,0)</f>
        <v>0</v>
      </c>
      <c r="P104" s="54">
        <f t="shared" ref="P104:P130" si="42">+O104-M104</f>
        <v>0</v>
      </c>
      <c r="Q104" s="1"/>
    </row>
    <row r="105" spans="1:17" ht="12.5">
      <c r="B105" s="7" t="str">
        <f t="shared" si="39"/>
        <v/>
      </c>
      <c r="C105" s="50">
        <f>IF(D93="","-",+C104+1)</f>
        <v>2019</v>
      </c>
      <c r="D105" s="429">
        <v>2292476.9377076416</v>
      </c>
      <c r="E105" s="430">
        <v>61307.883720930229</v>
      </c>
      <c r="F105" s="431">
        <v>2231169.0539867114</v>
      </c>
      <c r="G105" s="431">
        <v>2261822.9958471768</v>
      </c>
      <c r="H105" s="433">
        <v>303414.65337781532</v>
      </c>
      <c r="I105" s="434">
        <v>303414.65337781532</v>
      </c>
      <c r="J105" s="54">
        <f t="shared" si="40"/>
        <v>0</v>
      </c>
      <c r="K105" s="54"/>
      <c r="L105" s="113">
        <f t="shared" ref="L105" si="43">H105</f>
        <v>303414.65337781532</v>
      </c>
      <c r="M105" s="54">
        <f t="shared" ref="M105" si="44">IF(L105&lt;&gt;0,+H105-L105,0)</f>
        <v>0</v>
      </c>
      <c r="N105" s="113">
        <f t="shared" ref="N105" si="45">I105</f>
        <v>303414.65337781532</v>
      </c>
      <c r="O105" s="54">
        <f t="shared" si="41"/>
        <v>0</v>
      </c>
      <c r="P105" s="54">
        <f t="shared" si="42"/>
        <v>0</v>
      </c>
      <c r="Q105" s="1"/>
    </row>
    <row r="106" spans="1:17" ht="12.5">
      <c r="B106" s="7" t="str">
        <f t="shared" si="39"/>
        <v/>
      </c>
      <c r="C106" s="50">
        <f>IF(D93="","-",+C105+1)</f>
        <v>2020</v>
      </c>
      <c r="D106" s="429">
        <v>2231169.0539867114</v>
      </c>
      <c r="E106" s="430">
        <v>62767.595238095237</v>
      </c>
      <c r="F106" s="431">
        <v>2168401.4587486163</v>
      </c>
      <c r="G106" s="431">
        <v>2199785.2563676639</v>
      </c>
      <c r="H106" s="433">
        <v>299406.92594418232</v>
      </c>
      <c r="I106" s="434">
        <v>299406.92594418232</v>
      </c>
      <c r="J106" s="54">
        <f t="shared" si="40"/>
        <v>0</v>
      </c>
      <c r="K106" s="54"/>
      <c r="L106" s="113">
        <f t="shared" ref="L106" si="46">H106</f>
        <v>299406.92594418232</v>
      </c>
      <c r="M106" s="54">
        <f t="shared" ref="M106" si="47">IF(L106&lt;&gt;0,+H106-L106,0)</f>
        <v>0</v>
      </c>
      <c r="N106" s="113">
        <f t="shared" ref="N106" si="48">I106</f>
        <v>299406.92594418232</v>
      </c>
      <c r="O106" s="54">
        <f t="shared" si="41"/>
        <v>0</v>
      </c>
      <c r="P106" s="54">
        <f t="shared" si="42"/>
        <v>0</v>
      </c>
      <c r="Q106" s="1"/>
    </row>
    <row r="107" spans="1:17" ht="12.5">
      <c r="B107" s="7" t="str">
        <f t="shared" si="39"/>
        <v/>
      </c>
      <c r="C107" s="50">
        <f>IF(D93="","-",+C106+1)</f>
        <v>2021</v>
      </c>
      <c r="D107" s="429">
        <v>2168401.4587486163</v>
      </c>
      <c r="E107" s="430">
        <v>64298.512195121948</v>
      </c>
      <c r="F107" s="431">
        <v>2104102.9465534943</v>
      </c>
      <c r="G107" s="431">
        <v>2136252.2026510555</v>
      </c>
      <c r="H107" s="433">
        <v>306793.5283141082</v>
      </c>
      <c r="I107" s="434">
        <v>306793.5283141082</v>
      </c>
      <c r="J107" s="54">
        <f t="shared" si="40"/>
        <v>0</v>
      </c>
      <c r="K107" s="54"/>
      <c r="L107" s="113">
        <f t="shared" ref="L107" si="49">H107</f>
        <v>306793.5283141082</v>
      </c>
      <c r="M107" s="54">
        <f t="shared" ref="M107" si="50">IF(L107&lt;&gt;0,+H107-L107,0)</f>
        <v>0</v>
      </c>
      <c r="N107" s="113">
        <f t="shared" ref="N107" si="51">I107</f>
        <v>306793.5283141082</v>
      </c>
      <c r="O107" s="54">
        <f t="shared" si="41"/>
        <v>0</v>
      </c>
      <c r="P107" s="54">
        <f t="shared" si="42"/>
        <v>0</v>
      </c>
      <c r="Q107" s="1"/>
    </row>
    <row r="108" spans="1:17" ht="12.5">
      <c r="B108" s="7" t="str">
        <f t="shared" si="39"/>
        <v/>
      </c>
      <c r="C108" s="50">
        <f>IF(D93="","-",+C107+1)</f>
        <v>2022</v>
      </c>
      <c r="D108" s="429">
        <v>2104102.9465534943</v>
      </c>
      <c r="E108" s="430">
        <v>62767.595238095237</v>
      </c>
      <c r="F108" s="431">
        <v>2041335.3513153992</v>
      </c>
      <c r="G108" s="431">
        <v>2072719.1489344467</v>
      </c>
      <c r="H108" s="433">
        <v>306224.71570463729</v>
      </c>
      <c r="I108" s="434">
        <v>306224.71570463729</v>
      </c>
      <c r="J108" s="54">
        <f t="shared" si="40"/>
        <v>0</v>
      </c>
      <c r="K108" s="54"/>
      <c r="L108" s="113">
        <f t="shared" ref="L108" si="52">H108</f>
        <v>306224.71570463729</v>
      </c>
      <c r="M108" s="54">
        <f t="shared" ref="M108" si="53">IF(L108&lt;&gt;0,+H108-L108,0)</f>
        <v>0</v>
      </c>
      <c r="N108" s="113">
        <f t="shared" ref="N108" si="54">I108</f>
        <v>306224.71570463729</v>
      </c>
      <c r="O108" s="54">
        <f t="shared" ref="O108" si="55">IF(N108&lt;&gt;0,+I108-N108,0)</f>
        <v>0</v>
      </c>
      <c r="P108" s="54">
        <f t="shared" ref="P108" si="56">+O108-M108</f>
        <v>0</v>
      </c>
      <c r="Q108" s="1"/>
    </row>
    <row r="109" spans="1:17" ht="12.5">
      <c r="B109" s="7" t="str">
        <f t="shared" si="39"/>
        <v/>
      </c>
      <c r="C109" s="50">
        <f>IF(D93="","-",+C108+1)</f>
        <v>2023</v>
      </c>
      <c r="D109" s="429">
        <v>2041335.3513153992</v>
      </c>
      <c r="E109" s="430">
        <v>59914.522727272728</v>
      </c>
      <c r="F109" s="431">
        <v>1981420.8285881265</v>
      </c>
      <c r="G109" s="431">
        <v>2011378.0899517629</v>
      </c>
      <c r="H109" s="433">
        <v>308048.29386396433</v>
      </c>
      <c r="I109" s="434">
        <v>308048.29386396433</v>
      </c>
      <c r="J109" s="54">
        <f t="shared" si="40"/>
        <v>0</v>
      </c>
      <c r="K109" s="54"/>
      <c r="L109" s="113">
        <f t="shared" ref="L109" si="57">H109</f>
        <v>308048.29386396433</v>
      </c>
      <c r="M109" s="54">
        <f t="shared" ref="M109" si="58">IF(L109&lt;&gt;0,+H109-L109,0)</f>
        <v>0</v>
      </c>
      <c r="N109" s="113">
        <f t="shared" ref="N109" si="59">I109</f>
        <v>308048.29386396433</v>
      </c>
      <c r="O109" s="54">
        <f t="shared" ref="O109" si="60">IF(N109&lt;&gt;0,+I109-N109,0)</f>
        <v>0</v>
      </c>
      <c r="P109" s="54">
        <f t="shared" ref="P109" si="61">+O109-M109</f>
        <v>0</v>
      </c>
      <c r="Q109" s="1"/>
    </row>
    <row r="110" spans="1:17" ht="12.5">
      <c r="B110" s="7" t="str">
        <f t="shared" si="39"/>
        <v/>
      </c>
      <c r="C110" s="50">
        <f>IF(D93="","-",+C109+1)</f>
        <v>2024</v>
      </c>
      <c r="D110" s="12">
        <f>IF(F109+SUM(E$99:E109)=D$92,F109,D$92-SUM(E$99:E109))</f>
        <v>1981420.8285881265</v>
      </c>
      <c r="E110" s="378">
        <f t="shared" ref="E110:E154" si="62">IF(+$J$96&lt;F109,$J$96,D110)</f>
        <v>59914.522727272728</v>
      </c>
      <c r="F110" s="55">
        <f t="shared" ref="F110:F154" si="63">+D110-E110</f>
        <v>1921506.3058608538</v>
      </c>
      <c r="G110" s="55">
        <f t="shared" ref="G110:G154" si="64">+(F110+D110)/2</f>
        <v>1951463.56722449</v>
      </c>
      <c r="H110" s="380">
        <f t="shared" ref="H110:H154" si="65">+J$94*G110+E110</f>
        <v>302923.13820583839</v>
      </c>
      <c r="I110" s="399">
        <f t="shared" ref="I110:I154" si="66">+J$95*G110+E110</f>
        <v>302923.13820583839</v>
      </c>
      <c r="J110" s="54">
        <f t="shared" si="40"/>
        <v>0</v>
      </c>
      <c r="K110" s="54"/>
      <c r="L110" s="129"/>
      <c r="M110" s="54">
        <f t="shared" ref="M110:M130" si="67">IF(L110&lt;&gt;0,+H110-L110,0)</f>
        <v>0</v>
      </c>
      <c r="N110" s="129"/>
      <c r="O110" s="54">
        <f t="shared" si="41"/>
        <v>0</v>
      </c>
      <c r="P110" s="54">
        <f t="shared" si="42"/>
        <v>0</v>
      </c>
      <c r="Q110" s="1"/>
    </row>
    <row r="111" spans="1:17" ht="12.5">
      <c r="B111" s="7" t="str">
        <f t="shared" si="39"/>
        <v/>
      </c>
      <c r="C111" s="50">
        <f>IF(D93="","-",+C110+1)</f>
        <v>2025</v>
      </c>
      <c r="D111" s="12">
        <f>IF(F110+SUM(E$99:E110)=D$92,F110,D$92-SUM(E$99:E110))</f>
        <v>1921506.3058608538</v>
      </c>
      <c r="E111" s="378">
        <f t="shared" si="62"/>
        <v>59914.522727272728</v>
      </c>
      <c r="F111" s="55">
        <f t="shared" si="63"/>
        <v>1861591.783133581</v>
      </c>
      <c r="G111" s="55">
        <f t="shared" si="64"/>
        <v>1891549.0444972175</v>
      </c>
      <c r="H111" s="380">
        <f t="shared" si="65"/>
        <v>295462.20198363595</v>
      </c>
      <c r="I111" s="399">
        <f t="shared" si="66"/>
        <v>295462.20198363595</v>
      </c>
      <c r="J111" s="54">
        <f t="shared" si="40"/>
        <v>0</v>
      </c>
      <c r="K111" s="54"/>
      <c r="L111" s="129"/>
      <c r="M111" s="54">
        <f t="shared" si="67"/>
        <v>0</v>
      </c>
      <c r="N111" s="129"/>
      <c r="O111" s="54">
        <f t="shared" si="41"/>
        <v>0</v>
      </c>
      <c r="P111" s="54">
        <f t="shared" si="42"/>
        <v>0</v>
      </c>
      <c r="Q111" s="1"/>
    </row>
    <row r="112" spans="1:17" ht="12.5">
      <c r="B112" s="7" t="str">
        <f t="shared" si="39"/>
        <v/>
      </c>
      <c r="C112" s="50">
        <f>IF(D93="","-",+C111+1)</f>
        <v>2026</v>
      </c>
      <c r="D112" s="12">
        <f>IF(F111+SUM(E$99:E111)=D$92,F111,D$92-SUM(E$99:E111))</f>
        <v>1861591.783133581</v>
      </c>
      <c r="E112" s="378">
        <f t="shared" si="62"/>
        <v>59914.522727272728</v>
      </c>
      <c r="F112" s="55">
        <f t="shared" si="63"/>
        <v>1801677.2604063083</v>
      </c>
      <c r="G112" s="55">
        <f t="shared" si="64"/>
        <v>1831634.5217699446</v>
      </c>
      <c r="H112" s="380">
        <f t="shared" si="65"/>
        <v>288001.26576143352</v>
      </c>
      <c r="I112" s="399">
        <f t="shared" si="66"/>
        <v>288001.26576143352</v>
      </c>
      <c r="J112" s="54">
        <f t="shared" si="40"/>
        <v>0</v>
      </c>
      <c r="K112" s="54"/>
      <c r="L112" s="129"/>
      <c r="M112" s="54">
        <f t="shared" si="67"/>
        <v>0</v>
      </c>
      <c r="N112" s="129"/>
      <c r="O112" s="54">
        <f t="shared" si="41"/>
        <v>0</v>
      </c>
      <c r="P112" s="54">
        <f t="shared" si="42"/>
        <v>0</v>
      </c>
      <c r="Q112" s="1"/>
    </row>
    <row r="113" spans="2:17" ht="12.5">
      <c r="B113" s="7" t="str">
        <f t="shared" si="39"/>
        <v/>
      </c>
      <c r="C113" s="50">
        <f>IF(D93="","-",+C112+1)</f>
        <v>2027</v>
      </c>
      <c r="D113" s="12">
        <f>IF(F112+SUM(E$99:E112)=D$92,F112,D$92-SUM(E$99:E112))</f>
        <v>1801677.2604063083</v>
      </c>
      <c r="E113" s="378">
        <f t="shared" si="62"/>
        <v>59914.522727272728</v>
      </c>
      <c r="F113" s="55">
        <f t="shared" si="63"/>
        <v>1741762.7376790356</v>
      </c>
      <c r="G113" s="55">
        <f t="shared" si="64"/>
        <v>1771719.9990426721</v>
      </c>
      <c r="H113" s="380">
        <f t="shared" si="65"/>
        <v>280540.32953923108</v>
      </c>
      <c r="I113" s="399">
        <f t="shared" si="66"/>
        <v>280540.32953923108</v>
      </c>
      <c r="J113" s="54">
        <f t="shared" si="40"/>
        <v>0</v>
      </c>
      <c r="K113" s="54"/>
      <c r="L113" s="129"/>
      <c r="M113" s="54">
        <f t="shared" si="67"/>
        <v>0</v>
      </c>
      <c r="N113" s="129"/>
      <c r="O113" s="54">
        <f t="shared" si="41"/>
        <v>0</v>
      </c>
      <c r="P113" s="54">
        <f t="shared" si="42"/>
        <v>0</v>
      </c>
      <c r="Q113" s="1"/>
    </row>
    <row r="114" spans="2:17" ht="12.5">
      <c r="B114" s="7" t="str">
        <f t="shared" si="39"/>
        <v/>
      </c>
      <c r="C114" s="50">
        <f>IF(D93="","-",+C113+1)</f>
        <v>2028</v>
      </c>
      <c r="D114" s="12">
        <f>IF(F113+SUM(E$99:E113)=D$92,F113,D$92-SUM(E$99:E113))</f>
        <v>1741762.7376790356</v>
      </c>
      <c r="E114" s="378">
        <f t="shared" si="62"/>
        <v>59914.522727272728</v>
      </c>
      <c r="F114" s="55">
        <f t="shared" si="63"/>
        <v>1681848.2149517629</v>
      </c>
      <c r="G114" s="55">
        <f t="shared" si="64"/>
        <v>1711805.4763153992</v>
      </c>
      <c r="H114" s="380">
        <f t="shared" si="65"/>
        <v>273079.39331702859</v>
      </c>
      <c r="I114" s="399">
        <f t="shared" si="66"/>
        <v>273079.39331702859</v>
      </c>
      <c r="J114" s="54">
        <f t="shared" si="40"/>
        <v>0</v>
      </c>
      <c r="K114" s="54"/>
      <c r="L114" s="129"/>
      <c r="M114" s="54">
        <f t="shared" si="67"/>
        <v>0</v>
      </c>
      <c r="N114" s="129"/>
      <c r="O114" s="54">
        <f t="shared" si="41"/>
        <v>0</v>
      </c>
      <c r="P114" s="54">
        <f t="shared" si="42"/>
        <v>0</v>
      </c>
      <c r="Q114" s="1"/>
    </row>
    <row r="115" spans="2:17" ht="12.5">
      <c r="B115" s="7" t="str">
        <f t="shared" si="39"/>
        <v/>
      </c>
      <c r="C115" s="50">
        <f>IF(D93="","-",+C114+1)</f>
        <v>2029</v>
      </c>
      <c r="D115" s="12">
        <f>IF(F114+SUM(E$99:E114)=D$92,F114,D$92-SUM(E$99:E114))</f>
        <v>1681848.2149517629</v>
      </c>
      <c r="E115" s="378">
        <f t="shared" si="62"/>
        <v>59914.522727272728</v>
      </c>
      <c r="F115" s="55">
        <f t="shared" si="63"/>
        <v>1621933.6922244902</v>
      </c>
      <c r="G115" s="55">
        <f t="shared" si="64"/>
        <v>1651890.9535881267</v>
      </c>
      <c r="H115" s="380">
        <f t="shared" si="65"/>
        <v>265618.45709482621</v>
      </c>
      <c r="I115" s="399">
        <f t="shared" si="66"/>
        <v>265618.45709482621</v>
      </c>
      <c r="J115" s="54">
        <f t="shared" si="40"/>
        <v>0</v>
      </c>
      <c r="K115" s="54"/>
      <c r="L115" s="129"/>
      <c r="M115" s="54">
        <f t="shared" si="67"/>
        <v>0</v>
      </c>
      <c r="N115" s="129"/>
      <c r="O115" s="54">
        <f t="shared" si="41"/>
        <v>0</v>
      </c>
      <c r="P115" s="54">
        <f t="shared" si="42"/>
        <v>0</v>
      </c>
      <c r="Q115" s="1"/>
    </row>
    <row r="116" spans="2:17" ht="12.5">
      <c r="B116" s="7" t="str">
        <f t="shared" si="39"/>
        <v/>
      </c>
      <c r="C116" s="50">
        <f>IF(D93="","-",+C115+1)</f>
        <v>2030</v>
      </c>
      <c r="D116" s="12">
        <f>IF(F115+SUM(E$99:E115)=D$92,F115,D$92-SUM(E$99:E115))</f>
        <v>1621933.6922244902</v>
      </c>
      <c r="E116" s="378">
        <f t="shared" si="62"/>
        <v>59914.522727272728</v>
      </c>
      <c r="F116" s="55">
        <f t="shared" si="63"/>
        <v>1562019.1694972175</v>
      </c>
      <c r="G116" s="55">
        <f t="shared" si="64"/>
        <v>1591976.4308608538</v>
      </c>
      <c r="H116" s="380">
        <f t="shared" si="65"/>
        <v>258157.52087262372</v>
      </c>
      <c r="I116" s="399">
        <f t="shared" si="66"/>
        <v>258157.52087262372</v>
      </c>
      <c r="J116" s="54">
        <f t="shared" si="40"/>
        <v>0</v>
      </c>
      <c r="K116" s="54"/>
      <c r="L116" s="129"/>
      <c r="M116" s="54">
        <f t="shared" si="67"/>
        <v>0</v>
      </c>
      <c r="N116" s="129"/>
      <c r="O116" s="54">
        <f t="shared" si="41"/>
        <v>0</v>
      </c>
      <c r="P116" s="54">
        <f t="shared" si="42"/>
        <v>0</v>
      </c>
      <c r="Q116" s="1"/>
    </row>
    <row r="117" spans="2:17" ht="12.5">
      <c r="B117" s="7" t="str">
        <f t="shared" si="39"/>
        <v/>
      </c>
      <c r="C117" s="50">
        <f>IF(D93="","-",+C116+1)</f>
        <v>2031</v>
      </c>
      <c r="D117" s="12">
        <f>IF(F116+SUM(E$99:E116)=D$92,F116,D$92-SUM(E$99:E116))</f>
        <v>1562019.1694972175</v>
      </c>
      <c r="E117" s="378">
        <f t="shared" si="62"/>
        <v>59914.522727272728</v>
      </c>
      <c r="F117" s="55">
        <f t="shared" si="63"/>
        <v>1502104.6467699448</v>
      </c>
      <c r="G117" s="55">
        <f t="shared" si="64"/>
        <v>1532061.9081335813</v>
      </c>
      <c r="H117" s="380">
        <f t="shared" si="65"/>
        <v>250696.58465042131</v>
      </c>
      <c r="I117" s="399">
        <f t="shared" si="66"/>
        <v>250696.58465042131</v>
      </c>
      <c r="J117" s="54">
        <f t="shared" si="40"/>
        <v>0</v>
      </c>
      <c r="K117" s="54"/>
      <c r="L117" s="129"/>
      <c r="M117" s="54">
        <f t="shared" si="67"/>
        <v>0</v>
      </c>
      <c r="N117" s="129"/>
      <c r="O117" s="54">
        <f t="shared" si="41"/>
        <v>0</v>
      </c>
      <c r="P117" s="54">
        <f t="shared" si="42"/>
        <v>0</v>
      </c>
      <c r="Q117" s="1"/>
    </row>
    <row r="118" spans="2:17" ht="12.5">
      <c r="B118" s="7" t="str">
        <f t="shared" si="39"/>
        <v/>
      </c>
      <c r="C118" s="50">
        <f>IF(D93="","-",+C117+1)</f>
        <v>2032</v>
      </c>
      <c r="D118" s="12">
        <f>IF(F117+SUM(E$99:E117)=D$92,F117,D$92-SUM(E$99:E117))</f>
        <v>1502104.6467699448</v>
      </c>
      <c r="E118" s="378">
        <f t="shared" si="62"/>
        <v>59914.522727272728</v>
      </c>
      <c r="F118" s="55">
        <f t="shared" si="63"/>
        <v>1442190.1240426721</v>
      </c>
      <c r="G118" s="55">
        <f t="shared" si="64"/>
        <v>1472147.3854063083</v>
      </c>
      <c r="H118" s="380">
        <f t="shared" si="65"/>
        <v>243235.64842821885</v>
      </c>
      <c r="I118" s="399">
        <f t="shared" si="66"/>
        <v>243235.64842821885</v>
      </c>
      <c r="J118" s="54">
        <f t="shared" si="40"/>
        <v>0</v>
      </c>
      <c r="K118" s="54"/>
      <c r="L118" s="129"/>
      <c r="M118" s="54">
        <f t="shared" si="67"/>
        <v>0</v>
      </c>
      <c r="N118" s="129"/>
      <c r="O118" s="54">
        <f t="shared" si="41"/>
        <v>0</v>
      </c>
      <c r="P118" s="54">
        <f t="shared" si="42"/>
        <v>0</v>
      </c>
      <c r="Q118" s="1"/>
    </row>
    <row r="119" spans="2:17" ht="12.5">
      <c r="B119" s="7" t="str">
        <f t="shared" si="39"/>
        <v/>
      </c>
      <c r="C119" s="50">
        <f>IF(D93="","-",+C118+1)</f>
        <v>2033</v>
      </c>
      <c r="D119" s="12">
        <f>IF(F118+SUM(E$99:E118)=D$92,F118,D$92-SUM(E$99:E118))</f>
        <v>1442190.1240426721</v>
      </c>
      <c r="E119" s="378">
        <f t="shared" si="62"/>
        <v>59914.522727272728</v>
      </c>
      <c r="F119" s="55">
        <f t="shared" si="63"/>
        <v>1382275.6013153994</v>
      </c>
      <c r="G119" s="55">
        <f t="shared" si="64"/>
        <v>1412232.8626790359</v>
      </c>
      <c r="H119" s="380">
        <f t="shared" si="65"/>
        <v>235774.71220601641</v>
      </c>
      <c r="I119" s="399">
        <f t="shared" si="66"/>
        <v>235774.71220601641</v>
      </c>
      <c r="J119" s="54">
        <f t="shared" si="40"/>
        <v>0</v>
      </c>
      <c r="K119" s="54"/>
      <c r="L119" s="129"/>
      <c r="M119" s="54">
        <f t="shared" si="67"/>
        <v>0</v>
      </c>
      <c r="N119" s="129"/>
      <c r="O119" s="54">
        <f t="shared" si="41"/>
        <v>0</v>
      </c>
      <c r="P119" s="54">
        <f t="shared" si="42"/>
        <v>0</v>
      </c>
      <c r="Q119" s="1"/>
    </row>
    <row r="120" spans="2:17" ht="12.5">
      <c r="B120" s="7" t="str">
        <f t="shared" si="39"/>
        <v/>
      </c>
      <c r="C120" s="50">
        <f>IF(D93="","-",+C119+1)</f>
        <v>2034</v>
      </c>
      <c r="D120" s="12">
        <f>IF(F119+SUM(E$99:E119)=D$92,F119,D$92-SUM(E$99:E119))</f>
        <v>1382275.6013153994</v>
      </c>
      <c r="E120" s="378">
        <f t="shared" si="62"/>
        <v>59914.522727272728</v>
      </c>
      <c r="F120" s="55">
        <f t="shared" si="63"/>
        <v>1322361.0785881267</v>
      </c>
      <c r="G120" s="55">
        <f t="shared" si="64"/>
        <v>1352318.3399517629</v>
      </c>
      <c r="H120" s="380">
        <f t="shared" si="65"/>
        <v>228313.77598381395</v>
      </c>
      <c r="I120" s="399">
        <f t="shared" si="66"/>
        <v>228313.77598381395</v>
      </c>
      <c r="J120" s="54">
        <f t="shared" si="40"/>
        <v>0</v>
      </c>
      <c r="K120" s="54"/>
      <c r="L120" s="129"/>
      <c r="M120" s="54">
        <f t="shared" si="67"/>
        <v>0</v>
      </c>
      <c r="N120" s="129"/>
      <c r="O120" s="54">
        <f t="shared" si="41"/>
        <v>0</v>
      </c>
      <c r="P120" s="54">
        <f t="shared" si="42"/>
        <v>0</v>
      </c>
      <c r="Q120" s="1"/>
    </row>
    <row r="121" spans="2:17" ht="12.5">
      <c r="B121" s="7" t="str">
        <f t="shared" si="39"/>
        <v/>
      </c>
      <c r="C121" s="50">
        <f>IF(D93="","-",+C120+1)</f>
        <v>2035</v>
      </c>
      <c r="D121" s="12">
        <f>IF(F120+SUM(E$99:E120)=D$92,F120,D$92-SUM(E$99:E120))</f>
        <v>1322361.0785881267</v>
      </c>
      <c r="E121" s="378">
        <f t="shared" si="62"/>
        <v>59914.522727272728</v>
      </c>
      <c r="F121" s="55">
        <f t="shared" si="63"/>
        <v>1262446.555860854</v>
      </c>
      <c r="G121" s="55">
        <f t="shared" si="64"/>
        <v>1292403.8172244905</v>
      </c>
      <c r="H121" s="380">
        <f t="shared" si="65"/>
        <v>220852.83976161151</v>
      </c>
      <c r="I121" s="399">
        <f t="shared" si="66"/>
        <v>220852.83976161151</v>
      </c>
      <c r="J121" s="54">
        <f t="shared" si="40"/>
        <v>0</v>
      </c>
      <c r="K121" s="54"/>
      <c r="L121" s="129"/>
      <c r="M121" s="54">
        <f t="shared" si="67"/>
        <v>0</v>
      </c>
      <c r="N121" s="129"/>
      <c r="O121" s="54">
        <f t="shared" si="41"/>
        <v>0</v>
      </c>
      <c r="P121" s="54">
        <f t="shared" si="42"/>
        <v>0</v>
      </c>
      <c r="Q121" s="1"/>
    </row>
    <row r="122" spans="2:17" ht="12.5">
      <c r="B122" s="7" t="str">
        <f t="shared" si="39"/>
        <v/>
      </c>
      <c r="C122" s="50">
        <f>IF(D93="","-",+C121+1)</f>
        <v>2036</v>
      </c>
      <c r="D122" s="12">
        <f>IF(F121+SUM(E$99:E121)=D$92,F121,D$92-SUM(E$99:E121))</f>
        <v>1262446.555860854</v>
      </c>
      <c r="E122" s="378">
        <f t="shared" si="62"/>
        <v>59914.522727272728</v>
      </c>
      <c r="F122" s="55">
        <f t="shared" si="63"/>
        <v>1202532.0331335813</v>
      </c>
      <c r="G122" s="55">
        <f t="shared" si="64"/>
        <v>1232489.2944972175</v>
      </c>
      <c r="H122" s="380">
        <f t="shared" si="65"/>
        <v>213391.90353940905</v>
      </c>
      <c r="I122" s="399">
        <f t="shared" si="66"/>
        <v>213391.90353940905</v>
      </c>
      <c r="J122" s="54">
        <f t="shared" si="40"/>
        <v>0</v>
      </c>
      <c r="K122" s="54"/>
      <c r="L122" s="129"/>
      <c r="M122" s="54">
        <f t="shared" si="67"/>
        <v>0</v>
      </c>
      <c r="N122" s="129"/>
      <c r="O122" s="54">
        <f t="shared" si="41"/>
        <v>0</v>
      </c>
      <c r="P122" s="54">
        <f t="shared" si="42"/>
        <v>0</v>
      </c>
      <c r="Q122" s="1"/>
    </row>
    <row r="123" spans="2:17" ht="12.5">
      <c r="B123" s="7" t="str">
        <f t="shared" si="39"/>
        <v/>
      </c>
      <c r="C123" s="50">
        <f>IF(D93="","-",+C122+1)</f>
        <v>2037</v>
      </c>
      <c r="D123" s="12">
        <f>IF(F122+SUM(E$99:E122)=D$92,F122,D$92-SUM(E$99:E122))</f>
        <v>1202532.0331335813</v>
      </c>
      <c r="E123" s="378">
        <f t="shared" si="62"/>
        <v>59914.522727272728</v>
      </c>
      <c r="F123" s="55">
        <f t="shared" si="63"/>
        <v>1142617.5104063086</v>
      </c>
      <c r="G123" s="55">
        <f t="shared" si="64"/>
        <v>1172574.771769945</v>
      </c>
      <c r="H123" s="380">
        <f t="shared" si="65"/>
        <v>205930.96731720664</v>
      </c>
      <c r="I123" s="399">
        <f t="shared" si="66"/>
        <v>205930.96731720664</v>
      </c>
      <c r="J123" s="54">
        <f t="shared" si="40"/>
        <v>0</v>
      </c>
      <c r="K123" s="54"/>
      <c r="L123" s="129"/>
      <c r="M123" s="54">
        <f t="shared" si="67"/>
        <v>0</v>
      </c>
      <c r="N123" s="129"/>
      <c r="O123" s="54">
        <f t="shared" si="41"/>
        <v>0</v>
      </c>
      <c r="P123" s="54">
        <f t="shared" si="42"/>
        <v>0</v>
      </c>
      <c r="Q123" s="1"/>
    </row>
    <row r="124" spans="2:17" ht="12.5">
      <c r="B124" s="7" t="str">
        <f t="shared" si="39"/>
        <v/>
      </c>
      <c r="C124" s="50">
        <f>IF(D93="","-",+C123+1)</f>
        <v>2038</v>
      </c>
      <c r="D124" s="12">
        <f>IF(F123+SUM(E$99:E123)=D$92,F123,D$92-SUM(E$99:E123))</f>
        <v>1142617.5104063086</v>
      </c>
      <c r="E124" s="378">
        <f t="shared" si="62"/>
        <v>59914.522727272728</v>
      </c>
      <c r="F124" s="55">
        <f t="shared" si="63"/>
        <v>1082702.9876790359</v>
      </c>
      <c r="G124" s="55">
        <f t="shared" si="64"/>
        <v>1112660.2490426721</v>
      </c>
      <c r="H124" s="380">
        <f t="shared" si="65"/>
        <v>198470.03109500415</v>
      </c>
      <c r="I124" s="399">
        <f t="shared" si="66"/>
        <v>198470.03109500415</v>
      </c>
      <c r="J124" s="54">
        <f t="shared" si="40"/>
        <v>0</v>
      </c>
      <c r="K124" s="54"/>
      <c r="L124" s="129"/>
      <c r="M124" s="54">
        <f t="shared" si="67"/>
        <v>0</v>
      </c>
      <c r="N124" s="129"/>
      <c r="O124" s="54">
        <f t="shared" si="41"/>
        <v>0</v>
      </c>
      <c r="P124" s="54">
        <f t="shared" si="42"/>
        <v>0</v>
      </c>
      <c r="Q124" s="1"/>
    </row>
    <row r="125" spans="2:17" ht="12.5">
      <c r="B125" s="7" t="str">
        <f t="shared" si="39"/>
        <v/>
      </c>
      <c r="C125" s="50">
        <f>IF(D93="","-",+C124+1)</f>
        <v>2039</v>
      </c>
      <c r="D125" s="12">
        <f>IF(F124+SUM(E$99:E124)=D$92,F124,D$92-SUM(E$99:E124))</f>
        <v>1082702.9876790359</v>
      </c>
      <c r="E125" s="378">
        <f t="shared" si="62"/>
        <v>59914.522727272728</v>
      </c>
      <c r="F125" s="55">
        <f t="shared" si="63"/>
        <v>1022788.4649517632</v>
      </c>
      <c r="G125" s="55">
        <f t="shared" si="64"/>
        <v>1052745.7263153996</v>
      </c>
      <c r="H125" s="380">
        <f t="shared" si="65"/>
        <v>191009.09487280174</v>
      </c>
      <c r="I125" s="399">
        <f t="shared" si="66"/>
        <v>191009.09487280174</v>
      </c>
      <c r="J125" s="54">
        <f t="shared" si="40"/>
        <v>0</v>
      </c>
      <c r="K125" s="54"/>
      <c r="L125" s="129"/>
      <c r="M125" s="54">
        <f t="shared" si="67"/>
        <v>0</v>
      </c>
      <c r="N125" s="129"/>
      <c r="O125" s="54">
        <f t="shared" si="41"/>
        <v>0</v>
      </c>
      <c r="P125" s="54">
        <f t="shared" si="42"/>
        <v>0</v>
      </c>
      <c r="Q125" s="1"/>
    </row>
    <row r="126" spans="2:17" ht="12.5">
      <c r="B126" s="7" t="str">
        <f t="shared" si="39"/>
        <v/>
      </c>
      <c r="C126" s="50">
        <f>IF(D93="","-",+C125+1)</f>
        <v>2040</v>
      </c>
      <c r="D126" s="12">
        <f>IF(F125+SUM(E$99:E125)=D$92,F125,D$92-SUM(E$99:E125))</f>
        <v>1022788.4649517632</v>
      </c>
      <c r="E126" s="378">
        <f t="shared" si="62"/>
        <v>59914.522727272728</v>
      </c>
      <c r="F126" s="55">
        <f t="shared" si="63"/>
        <v>962873.94222449046</v>
      </c>
      <c r="G126" s="55">
        <f t="shared" si="64"/>
        <v>992831.20358812681</v>
      </c>
      <c r="H126" s="380">
        <f t="shared" si="65"/>
        <v>183548.15865059927</v>
      </c>
      <c r="I126" s="399">
        <f t="shared" si="66"/>
        <v>183548.15865059927</v>
      </c>
      <c r="J126" s="54">
        <f t="shared" si="40"/>
        <v>0</v>
      </c>
      <c r="K126" s="54"/>
      <c r="L126" s="129"/>
      <c r="M126" s="54">
        <f t="shared" si="67"/>
        <v>0</v>
      </c>
      <c r="N126" s="129"/>
      <c r="O126" s="54">
        <f t="shared" si="41"/>
        <v>0</v>
      </c>
      <c r="P126" s="54">
        <f t="shared" si="42"/>
        <v>0</v>
      </c>
      <c r="Q126" s="1"/>
    </row>
    <row r="127" spans="2:17" ht="12.5">
      <c r="B127" s="7" t="str">
        <f t="shared" si="39"/>
        <v/>
      </c>
      <c r="C127" s="50">
        <f>IF(D93="","-",+C126+1)</f>
        <v>2041</v>
      </c>
      <c r="D127" s="12">
        <f>IF(F126+SUM(E$99:E126)=D$92,F126,D$92-SUM(E$99:E126))</f>
        <v>962873.94222449046</v>
      </c>
      <c r="E127" s="378">
        <f t="shared" si="62"/>
        <v>59914.522727272728</v>
      </c>
      <c r="F127" s="55">
        <f t="shared" si="63"/>
        <v>902959.41949721775</v>
      </c>
      <c r="G127" s="55">
        <f t="shared" si="64"/>
        <v>932916.6808608541</v>
      </c>
      <c r="H127" s="380">
        <f t="shared" si="65"/>
        <v>176087.22242839681</v>
      </c>
      <c r="I127" s="399">
        <f t="shared" si="66"/>
        <v>176087.22242839681</v>
      </c>
      <c r="J127" s="54">
        <f t="shared" si="40"/>
        <v>0</v>
      </c>
      <c r="K127" s="54"/>
      <c r="L127" s="129"/>
      <c r="M127" s="54">
        <f t="shared" si="67"/>
        <v>0</v>
      </c>
      <c r="N127" s="129"/>
      <c r="O127" s="54">
        <f t="shared" si="41"/>
        <v>0</v>
      </c>
      <c r="P127" s="54">
        <f t="shared" si="42"/>
        <v>0</v>
      </c>
      <c r="Q127" s="1"/>
    </row>
    <row r="128" spans="2:17" ht="12.5">
      <c r="B128" s="7" t="str">
        <f t="shared" si="39"/>
        <v/>
      </c>
      <c r="C128" s="50">
        <f>IF(D93="","-",+C127+1)</f>
        <v>2042</v>
      </c>
      <c r="D128" s="12">
        <f>IF(F127+SUM(E$99:E127)=D$92,F127,D$92-SUM(E$99:E127))</f>
        <v>902959.41949721775</v>
      </c>
      <c r="E128" s="378">
        <f t="shared" si="62"/>
        <v>59914.522727272728</v>
      </c>
      <c r="F128" s="55">
        <f t="shared" si="63"/>
        <v>843044.89676994504</v>
      </c>
      <c r="G128" s="55">
        <f t="shared" si="64"/>
        <v>873002.1581335814</v>
      </c>
      <c r="H128" s="380">
        <f t="shared" si="65"/>
        <v>168626.28620619437</v>
      </c>
      <c r="I128" s="399">
        <f t="shared" si="66"/>
        <v>168626.28620619437</v>
      </c>
      <c r="J128" s="54">
        <f t="shared" si="40"/>
        <v>0</v>
      </c>
      <c r="K128" s="54"/>
      <c r="L128" s="129"/>
      <c r="M128" s="54">
        <f t="shared" si="67"/>
        <v>0</v>
      </c>
      <c r="N128" s="129"/>
      <c r="O128" s="54">
        <f t="shared" si="41"/>
        <v>0</v>
      </c>
      <c r="P128" s="54">
        <f t="shared" si="42"/>
        <v>0</v>
      </c>
      <c r="Q128" s="1"/>
    </row>
    <row r="129" spans="2:17" ht="12.5">
      <c r="B129" s="7" t="str">
        <f t="shared" si="39"/>
        <v/>
      </c>
      <c r="C129" s="50">
        <f>IF(D93="","-",+C128+1)</f>
        <v>2043</v>
      </c>
      <c r="D129" s="12">
        <f>IF(F128+SUM(E$99:E128)=D$92,F128,D$92-SUM(E$99:E128))</f>
        <v>843044.89676994504</v>
      </c>
      <c r="E129" s="378">
        <f t="shared" si="62"/>
        <v>59914.522727272728</v>
      </c>
      <c r="F129" s="55">
        <f t="shared" si="63"/>
        <v>783130.37404267234</v>
      </c>
      <c r="G129" s="55">
        <f t="shared" si="64"/>
        <v>813087.63540630869</v>
      </c>
      <c r="H129" s="380">
        <f t="shared" si="65"/>
        <v>161165.34998399194</v>
      </c>
      <c r="I129" s="399">
        <f t="shared" si="66"/>
        <v>161165.34998399194</v>
      </c>
      <c r="J129" s="54">
        <f t="shared" si="40"/>
        <v>0</v>
      </c>
      <c r="K129" s="54"/>
      <c r="L129" s="129"/>
      <c r="M129" s="54">
        <f t="shared" si="67"/>
        <v>0</v>
      </c>
      <c r="N129" s="129"/>
      <c r="O129" s="54">
        <f t="shared" si="41"/>
        <v>0</v>
      </c>
      <c r="P129" s="54">
        <f t="shared" si="42"/>
        <v>0</v>
      </c>
      <c r="Q129" s="1"/>
    </row>
    <row r="130" spans="2:17" ht="12.5">
      <c r="B130" s="7" t="str">
        <f t="shared" si="39"/>
        <v/>
      </c>
      <c r="C130" s="50">
        <f>IF(D93="","-",+C129+1)</f>
        <v>2044</v>
      </c>
      <c r="D130" s="12">
        <f>IF(F129+SUM(E$99:E129)=D$92,F129,D$92-SUM(E$99:E129))</f>
        <v>783130.37404267234</v>
      </c>
      <c r="E130" s="378">
        <f t="shared" si="62"/>
        <v>59914.522727272728</v>
      </c>
      <c r="F130" s="55">
        <f t="shared" si="63"/>
        <v>723215.85131539963</v>
      </c>
      <c r="G130" s="55">
        <f t="shared" si="64"/>
        <v>753173.11267903598</v>
      </c>
      <c r="H130" s="380">
        <f t="shared" si="65"/>
        <v>153704.41376178947</v>
      </c>
      <c r="I130" s="399">
        <f t="shared" si="66"/>
        <v>153704.41376178947</v>
      </c>
      <c r="J130" s="54">
        <f t="shared" si="40"/>
        <v>0</v>
      </c>
      <c r="K130" s="54"/>
      <c r="L130" s="129"/>
      <c r="M130" s="54">
        <f t="shared" si="67"/>
        <v>0</v>
      </c>
      <c r="N130" s="129"/>
      <c r="O130" s="54">
        <f t="shared" si="41"/>
        <v>0</v>
      </c>
      <c r="P130" s="54">
        <f t="shared" si="42"/>
        <v>0</v>
      </c>
      <c r="Q130" s="1"/>
    </row>
    <row r="131" spans="2:17" ht="12.5">
      <c r="B131" s="7" t="str">
        <f t="shared" si="39"/>
        <v/>
      </c>
      <c r="C131" s="50">
        <f>IF(D93="","-",+C130+1)</f>
        <v>2045</v>
      </c>
      <c r="D131" s="12">
        <f>IF(F130+SUM(E$99:E130)=D$92,F130,D$92-SUM(E$99:E130))</f>
        <v>723215.85131539963</v>
      </c>
      <c r="E131" s="378">
        <f t="shared" si="62"/>
        <v>59914.522727272728</v>
      </c>
      <c r="F131" s="55">
        <f t="shared" si="63"/>
        <v>663301.32858812693</v>
      </c>
      <c r="G131" s="55">
        <f t="shared" si="64"/>
        <v>693258.58995176328</v>
      </c>
      <c r="H131" s="380">
        <f t="shared" si="65"/>
        <v>146243.47753958704</v>
      </c>
      <c r="I131" s="399">
        <f t="shared" si="66"/>
        <v>146243.47753958704</v>
      </c>
      <c r="J131" s="54">
        <f t="shared" si="40"/>
        <v>0</v>
      </c>
      <c r="K131" s="54"/>
      <c r="L131" s="129"/>
      <c r="M131" s="54">
        <f t="shared" ref="M131:M154" si="68">IF(L541&lt;&gt;0,+H541-L541,0)</f>
        <v>0</v>
      </c>
      <c r="N131" s="129"/>
      <c r="O131" s="54">
        <f t="shared" ref="O131:O154" si="69">IF(N541&lt;&gt;0,+I541-N541,0)</f>
        <v>0</v>
      </c>
      <c r="P131" s="54">
        <f t="shared" ref="P131:P154" si="70">+O541-M541</f>
        <v>0</v>
      </c>
      <c r="Q131" s="1"/>
    </row>
    <row r="132" spans="2:17" ht="12.5">
      <c r="B132" s="7" t="str">
        <f t="shared" si="39"/>
        <v/>
      </c>
      <c r="C132" s="50">
        <f>IF(D93="","-",+C131+1)</f>
        <v>2046</v>
      </c>
      <c r="D132" s="12">
        <f>IF(F131+SUM(E$99:E131)=D$92,F131,D$92-SUM(E$99:E131))</f>
        <v>663301.32858812693</v>
      </c>
      <c r="E132" s="378">
        <f t="shared" si="62"/>
        <v>59914.522727272728</v>
      </c>
      <c r="F132" s="55">
        <f t="shared" si="63"/>
        <v>603386.80586085422</v>
      </c>
      <c r="G132" s="55">
        <f t="shared" si="64"/>
        <v>633344.06722449057</v>
      </c>
      <c r="H132" s="380">
        <f t="shared" si="65"/>
        <v>138782.54131738457</v>
      </c>
      <c r="I132" s="399">
        <f t="shared" si="66"/>
        <v>138782.54131738457</v>
      </c>
      <c r="J132" s="54">
        <f t="shared" si="40"/>
        <v>0</v>
      </c>
      <c r="K132" s="54"/>
      <c r="L132" s="129"/>
      <c r="M132" s="54">
        <f t="shared" si="68"/>
        <v>0</v>
      </c>
      <c r="N132" s="129"/>
      <c r="O132" s="54">
        <f t="shared" si="69"/>
        <v>0</v>
      </c>
      <c r="P132" s="54">
        <f t="shared" si="70"/>
        <v>0</v>
      </c>
      <c r="Q132" s="1"/>
    </row>
    <row r="133" spans="2:17" ht="12.5">
      <c r="B133" s="7" t="str">
        <f t="shared" si="39"/>
        <v/>
      </c>
      <c r="C133" s="50">
        <f>IF(D93="","-",+C132+1)</f>
        <v>2047</v>
      </c>
      <c r="D133" s="12">
        <f>IF(F132+SUM(E$99:E132)=D$92,F132,D$92-SUM(E$99:E132))</f>
        <v>603386.80586085422</v>
      </c>
      <c r="E133" s="378">
        <f t="shared" si="62"/>
        <v>59914.522727272728</v>
      </c>
      <c r="F133" s="55">
        <f t="shared" si="63"/>
        <v>543472.28313358151</v>
      </c>
      <c r="G133" s="55">
        <f t="shared" si="64"/>
        <v>573429.54449721787</v>
      </c>
      <c r="H133" s="380">
        <f t="shared" si="65"/>
        <v>131321.60509518214</v>
      </c>
      <c r="I133" s="399">
        <f t="shared" si="66"/>
        <v>131321.60509518214</v>
      </c>
      <c r="J133" s="54">
        <f t="shared" si="40"/>
        <v>0</v>
      </c>
      <c r="K133" s="54"/>
      <c r="L133" s="129"/>
      <c r="M133" s="54">
        <f t="shared" si="68"/>
        <v>0</v>
      </c>
      <c r="N133" s="129"/>
      <c r="O133" s="54">
        <f t="shared" si="69"/>
        <v>0</v>
      </c>
      <c r="P133" s="54">
        <f t="shared" si="70"/>
        <v>0</v>
      </c>
      <c r="Q133" s="1"/>
    </row>
    <row r="134" spans="2:17" ht="12.5">
      <c r="B134" s="7" t="str">
        <f t="shared" si="39"/>
        <v/>
      </c>
      <c r="C134" s="50">
        <f>IF(D93="","-",+C133+1)</f>
        <v>2048</v>
      </c>
      <c r="D134" s="12">
        <f>IF(F133+SUM(E$99:E133)=D$92,F133,D$92-SUM(E$99:E133))</f>
        <v>543472.28313358151</v>
      </c>
      <c r="E134" s="378">
        <f t="shared" si="62"/>
        <v>59914.522727272728</v>
      </c>
      <c r="F134" s="55">
        <f t="shared" si="63"/>
        <v>483557.76040630881</v>
      </c>
      <c r="G134" s="55">
        <f t="shared" si="64"/>
        <v>513515.02176994516</v>
      </c>
      <c r="H134" s="380">
        <f t="shared" si="65"/>
        <v>123860.6688729797</v>
      </c>
      <c r="I134" s="399">
        <f t="shared" si="66"/>
        <v>123860.6688729797</v>
      </c>
      <c r="J134" s="54">
        <f t="shared" si="40"/>
        <v>0</v>
      </c>
      <c r="K134" s="54"/>
      <c r="L134" s="129"/>
      <c r="M134" s="54">
        <f t="shared" si="68"/>
        <v>0</v>
      </c>
      <c r="N134" s="129"/>
      <c r="O134" s="54">
        <f t="shared" si="69"/>
        <v>0</v>
      </c>
      <c r="P134" s="54">
        <f t="shared" si="70"/>
        <v>0</v>
      </c>
      <c r="Q134" s="1"/>
    </row>
    <row r="135" spans="2:17" ht="12.5">
      <c r="B135" s="7" t="str">
        <f t="shared" si="39"/>
        <v/>
      </c>
      <c r="C135" s="50">
        <f>IF(D93="","-",+C134+1)</f>
        <v>2049</v>
      </c>
      <c r="D135" s="12">
        <f>IF(F134+SUM(E$99:E134)=D$92,F134,D$92-SUM(E$99:E134))</f>
        <v>483557.76040630881</v>
      </c>
      <c r="E135" s="378">
        <f t="shared" si="62"/>
        <v>59914.522727272728</v>
      </c>
      <c r="F135" s="55">
        <f t="shared" si="63"/>
        <v>423643.2376790361</v>
      </c>
      <c r="G135" s="55">
        <f t="shared" si="64"/>
        <v>453600.49904267245</v>
      </c>
      <c r="H135" s="380">
        <f t="shared" si="65"/>
        <v>116399.73265077724</v>
      </c>
      <c r="I135" s="399">
        <f t="shared" si="66"/>
        <v>116399.73265077724</v>
      </c>
      <c r="J135" s="54">
        <f t="shared" si="40"/>
        <v>0</v>
      </c>
      <c r="K135" s="54"/>
      <c r="L135" s="129"/>
      <c r="M135" s="54">
        <f t="shared" si="68"/>
        <v>0</v>
      </c>
      <c r="N135" s="129"/>
      <c r="O135" s="54">
        <f t="shared" si="69"/>
        <v>0</v>
      </c>
      <c r="P135" s="54">
        <f t="shared" si="70"/>
        <v>0</v>
      </c>
      <c r="Q135" s="1"/>
    </row>
    <row r="136" spans="2:17" ht="12.5">
      <c r="B136" s="7" t="str">
        <f t="shared" si="39"/>
        <v/>
      </c>
      <c r="C136" s="50">
        <f>IF(D93="","-",+C135+1)</f>
        <v>2050</v>
      </c>
      <c r="D136" s="12">
        <f>IF(F135+SUM(E$99:E135)=D$92,F135,D$92-SUM(E$99:E135))</f>
        <v>423643.2376790361</v>
      </c>
      <c r="E136" s="378">
        <f t="shared" si="62"/>
        <v>59914.522727272728</v>
      </c>
      <c r="F136" s="55">
        <f t="shared" si="63"/>
        <v>363728.7149517634</v>
      </c>
      <c r="G136" s="55">
        <f t="shared" si="64"/>
        <v>393685.97631539975</v>
      </c>
      <c r="H136" s="380">
        <f t="shared" si="65"/>
        <v>108938.7964285748</v>
      </c>
      <c r="I136" s="399">
        <f t="shared" si="66"/>
        <v>108938.7964285748</v>
      </c>
      <c r="J136" s="54">
        <f t="shared" si="40"/>
        <v>0</v>
      </c>
      <c r="K136" s="54"/>
      <c r="L136" s="129"/>
      <c r="M136" s="54">
        <f t="shared" si="68"/>
        <v>0</v>
      </c>
      <c r="N136" s="129"/>
      <c r="O136" s="54">
        <f t="shared" si="69"/>
        <v>0</v>
      </c>
      <c r="P136" s="54">
        <f t="shared" si="70"/>
        <v>0</v>
      </c>
      <c r="Q136" s="1"/>
    </row>
    <row r="137" spans="2:17" ht="12.5">
      <c r="B137" s="7" t="str">
        <f t="shared" si="39"/>
        <v/>
      </c>
      <c r="C137" s="50">
        <f>IF(D93="","-",+C136+1)</f>
        <v>2051</v>
      </c>
      <c r="D137" s="12">
        <f>IF(F136+SUM(E$99:E136)=D$92,F136,D$92-SUM(E$99:E136))</f>
        <v>363728.7149517634</v>
      </c>
      <c r="E137" s="378">
        <f t="shared" si="62"/>
        <v>59914.522727272728</v>
      </c>
      <c r="F137" s="55">
        <f t="shared" si="63"/>
        <v>303814.19222449069</v>
      </c>
      <c r="G137" s="55">
        <f t="shared" si="64"/>
        <v>333771.45358812704</v>
      </c>
      <c r="H137" s="380">
        <f t="shared" si="65"/>
        <v>101477.86020637235</v>
      </c>
      <c r="I137" s="399">
        <f t="shared" si="66"/>
        <v>101477.86020637235</v>
      </c>
      <c r="J137" s="54">
        <f t="shared" si="40"/>
        <v>0</v>
      </c>
      <c r="K137" s="54"/>
      <c r="L137" s="129"/>
      <c r="M137" s="54">
        <f t="shared" si="68"/>
        <v>0</v>
      </c>
      <c r="N137" s="129"/>
      <c r="O137" s="54">
        <f t="shared" si="69"/>
        <v>0</v>
      </c>
      <c r="P137" s="54">
        <f t="shared" si="70"/>
        <v>0</v>
      </c>
      <c r="Q137" s="1"/>
    </row>
    <row r="138" spans="2:17" ht="12.5">
      <c r="B138" s="7" t="str">
        <f t="shared" si="39"/>
        <v/>
      </c>
      <c r="C138" s="50">
        <f>IF(D93="","-",+C137+1)</f>
        <v>2052</v>
      </c>
      <c r="D138" s="12">
        <f>IF(F137+SUM(E$99:E137)=D$92,F137,D$92-SUM(E$99:E137))</f>
        <v>303814.19222449069</v>
      </c>
      <c r="E138" s="378">
        <f t="shared" si="62"/>
        <v>59914.522727272728</v>
      </c>
      <c r="F138" s="55">
        <f t="shared" si="63"/>
        <v>243899.66949721795</v>
      </c>
      <c r="G138" s="55">
        <f t="shared" si="64"/>
        <v>273856.93086085434</v>
      </c>
      <c r="H138" s="380">
        <f t="shared" si="65"/>
        <v>94016.923984169902</v>
      </c>
      <c r="I138" s="399">
        <f t="shared" si="66"/>
        <v>94016.923984169902</v>
      </c>
      <c r="J138" s="54">
        <f t="shared" si="40"/>
        <v>0</v>
      </c>
      <c r="K138" s="54"/>
      <c r="L138" s="129"/>
      <c r="M138" s="54">
        <f t="shared" si="68"/>
        <v>0</v>
      </c>
      <c r="N138" s="129"/>
      <c r="O138" s="54">
        <f t="shared" si="69"/>
        <v>0</v>
      </c>
      <c r="P138" s="54">
        <f t="shared" si="70"/>
        <v>0</v>
      </c>
      <c r="Q138" s="1"/>
    </row>
    <row r="139" spans="2:17" ht="12.5">
      <c r="B139" s="7" t="str">
        <f t="shared" si="39"/>
        <v/>
      </c>
      <c r="C139" s="50">
        <f>IF(D93="","-",+C138+1)</f>
        <v>2053</v>
      </c>
      <c r="D139" s="12">
        <f>IF(F138+SUM(E$99:E138)=D$92,F138,D$92-SUM(E$99:E138))</f>
        <v>243899.66949721795</v>
      </c>
      <c r="E139" s="378">
        <f t="shared" si="62"/>
        <v>59914.522727272728</v>
      </c>
      <c r="F139" s="55">
        <f t="shared" si="63"/>
        <v>183985.14676994522</v>
      </c>
      <c r="G139" s="55">
        <f t="shared" si="64"/>
        <v>213942.40813358157</v>
      </c>
      <c r="H139" s="380">
        <f t="shared" si="65"/>
        <v>86555.987761967452</v>
      </c>
      <c r="I139" s="399">
        <f t="shared" si="66"/>
        <v>86555.987761967452</v>
      </c>
      <c r="J139" s="54">
        <f t="shared" si="40"/>
        <v>0</v>
      </c>
      <c r="K139" s="54"/>
      <c r="L139" s="129"/>
      <c r="M139" s="54">
        <f t="shared" si="68"/>
        <v>0</v>
      </c>
      <c r="N139" s="129"/>
      <c r="O139" s="54">
        <f t="shared" si="69"/>
        <v>0</v>
      </c>
      <c r="P139" s="54">
        <f t="shared" si="70"/>
        <v>0</v>
      </c>
      <c r="Q139" s="1"/>
    </row>
    <row r="140" spans="2:17" ht="12.5">
      <c r="B140" s="7" t="str">
        <f t="shared" si="39"/>
        <v/>
      </c>
      <c r="C140" s="50">
        <f>IF(D93="","-",+C139+1)</f>
        <v>2054</v>
      </c>
      <c r="D140" s="12">
        <f>IF(F139+SUM(E$99:E139)=D$92,F139,D$92-SUM(E$99:E139))</f>
        <v>183985.14676994522</v>
      </c>
      <c r="E140" s="378">
        <f t="shared" si="62"/>
        <v>59914.522727272728</v>
      </c>
      <c r="F140" s="55">
        <f t="shared" si="63"/>
        <v>124070.62404267248</v>
      </c>
      <c r="G140" s="55">
        <f t="shared" si="64"/>
        <v>154027.88540630887</v>
      </c>
      <c r="H140" s="380">
        <f t="shared" si="65"/>
        <v>79095.051539765002</v>
      </c>
      <c r="I140" s="399">
        <f t="shared" si="66"/>
        <v>79095.051539765002</v>
      </c>
      <c r="J140" s="54">
        <f t="shared" si="40"/>
        <v>0</v>
      </c>
      <c r="K140" s="54"/>
      <c r="L140" s="129"/>
      <c r="M140" s="54">
        <f t="shared" si="68"/>
        <v>0</v>
      </c>
      <c r="N140" s="129"/>
      <c r="O140" s="54">
        <f t="shared" si="69"/>
        <v>0</v>
      </c>
      <c r="P140" s="54">
        <f t="shared" si="70"/>
        <v>0</v>
      </c>
      <c r="Q140" s="1"/>
    </row>
    <row r="141" spans="2:17" ht="12.5">
      <c r="B141" s="7" t="str">
        <f t="shared" si="39"/>
        <v/>
      </c>
      <c r="C141" s="50">
        <f>IF(D93="","-",+C140+1)</f>
        <v>2055</v>
      </c>
      <c r="D141" s="12">
        <f>IF(F140+SUM(E$99:E140)=D$92,F140,D$92-SUM(E$99:E140))</f>
        <v>124070.62404267248</v>
      </c>
      <c r="E141" s="378">
        <f t="shared" si="62"/>
        <v>59914.522727272728</v>
      </c>
      <c r="F141" s="55">
        <f t="shared" si="63"/>
        <v>64156.101315399756</v>
      </c>
      <c r="G141" s="55">
        <f t="shared" si="64"/>
        <v>94113.362679036116</v>
      </c>
      <c r="H141" s="380">
        <f t="shared" si="65"/>
        <v>71634.115317562551</v>
      </c>
      <c r="I141" s="399">
        <f t="shared" si="66"/>
        <v>71634.115317562551</v>
      </c>
      <c r="J141" s="54">
        <f t="shared" si="40"/>
        <v>0</v>
      </c>
      <c r="K141" s="54"/>
      <c r="L141" s="129"/>
      <c r="M141" s="54">
        <f t="shared" si="68"/>
        <v>0</v>
      </c>
      <c r="N141" s="129"/>
      <c r="O141" s="54">
        <f t="shared" si="69"/>
        <v>0</v>
      </c>
      <c r="P141" s="54">
        <f t="shared" si="70"/>
        <v>0</v>
      </c>
      <c r="Q141" s="1"/>
    </row>
    <row r="142" spans="2:17" ht="12.5">
      <c r="B142" s="7" t="str">
        <f t="shared" si="39"/>
        <v/>
      </c>
      <c r="C142" s="50">
        <f>IF(D93="","-",+C141+1)</f>
        <v>2056</v>
      </c>
      <c r="D142" s="12">
        <f>IF(F141+SUM(E$99:E141)=D$92,F141,D$92-SUM(E$99:E141))</f>
        <v>64156.101315399756</v>
      </c>
      <c r="E142" s="378">
        <f t="shared" si="62"/>
        <v>59914.522727272728</v>
      </c>
      <c r="F142" s="55">
        <f t="shared" si="63"/>
        <v>4241.5785881270276</v>
      </c>
      <c r="G142" s="55">
        <f t="shared" si="64"/>
        <v>34198.839951763395</v>
      </c>
      <c r="H142" s="380">
        <f t="shared" si="65"/>
        <v>64173.179095360101</v>
      </c>
      <c r="I142" s="399">
        <f t="shared" si="66"/>
        <v>64173.179095360101</v>
      </c>
      <c r="J142" s="54">
        <f t="shared" si="40"/>
        <v>0</v>
      </c>
      <c r="K142" s="54"/>
      <c r="L142" s="129"/>
      <c r="M142" s="54">
        <f t="shared" si="68"/>
        <v>0</v>
      </c>
      <c r="N142" s="129"/>
      <c r="O142" s="54">
        <f t="shared" si="69"/>
        <v>0</v>
      </c>
      <c r="P142" s="54">
        <f t="shared" si="70"/>
        <v>0</v>
      </c>
      <c r="Q142" s="1"/>
    </row>
    <row r="143" spans="2:17" ht="12.5">
      <c r="B143" s="7" t="str">
        <f t="shared" si="39"/>
        <v/>
      </c>
      <c r="C143" s="50">
        <f>IF(D93="","-",+C142+1)</f>
        <v>2057</v>
      </c>
      <c r="D143" s="12">
        <f>IF(F142+SUM(E$99:E142)=D$92,F142,D$92-SUM(E$99:E142))</f>
        <v>4241.5785881270276</v>
      </c>
      <c r="E143" s="378">
        <f t="shared" si="62"/>
        <v>4241.5785881270276</v>
      </c>
      <c r="F143" s="55">
        <f t="shared" si="63"/>
        <v>0</v>
      </c>
      <c r="G143" s="55">
        <f t="shared" si="64"/>
        <v>2120.7892940635138</v>
      </c>
      <c r="H143" s="380">
        <f t="shared" si="65"/>
        <v>4505.6727166201026</v>
      </c>
      <c r="I143" s="399">
        <f t="shared" si="66"/>
        <v>4505.6727166201026</v>
      </c>
      <c r="J143" s="54">
        <f t="shared" si="40"/>
        <v>0</v>
      </c>
      <c r="K143" s="54"/>
      <c r="L143" s="129"/>
      <c r="M143" s="54">
        <f t="shared" si="68"/>
        <v>0</v>
      </c>
      <c r="N143" s="129"/>
      <c r="O143" s="54">
        <f t="shared" si="69"/>
        <v>0</v>
      </c>
      <c r="P143" s="54">
        <f t="shared" si="70"/>
        <v>0</v>
      </c>
      <c r="Q143" s="1"/>
    </row>
    <row r="144" spans="2:17" ht="12.5">
      <c r="B144" s="7" t="str">
        <f t="shared" si="39"/>
        <v/>
      </c>
      <c r="C144" s="50">
        <f>IF(D93="","-",+C143+1)</f>
        <v>2058</v>
      </c>
      <c r="D144" s="12">
        <f>IF(F143+SUM(E$99:E143)=D$92,F143,D$92-SUM(E$99:E143))</f>
        <v>0</v>
      </c>
      <c r="E144" s="378">
        <f t="shared" si="62"/>
        <v>0</v>
      </c>
      <c r="F144" s="55">
        <f t="shared" si="63"/>
        <v>0</v>
      </c>
      <c r="G144" s="55">
        <f t="shared" si="64"/>
        <v>0</v>
      </c>
      <c r="H144" s="380">
        <f t="shared" si="65"/>
        <v>0</v>
      </c>
      <c r="I144" s="399">
        <f t="shared" si="66"/>
        <v>0</v>
      </c>
      <c r="J144" s="54">
        <f t="shared" si="40"/>
        <v>0</v>
      </c>
      <c r="K144" s="54"/>
      <c r="L144" s="129"/>
      <c r="M144" s="54">
        <f t="shared" si="68"/>
        <v>0</v>
      </c>
      <c r="N144" s="129"/>
      <c r="O144" s="54">
        <f t="shared" si="69"/>
        <v>0</v>
      </c>
      <c r="P144" s="54">
        <f t="shared" si="70"/>
        <v>0</v>
      </c>
      <c r="Q144" s="1"/>
    </row>
    <row r="145" spans="2:17" ht="12.5">
      <c r="B145" s="7" t="str">
        <f t="shared" si="39"/>
        <v/>
      </c>
      <c r="C145" s="50">
        <f>IF(D93="","-",+C144+1)</f>
        <v>2059</v>
      </c>
      <c r="D145" s="12">
        <f>IF(F144+SUM(E$99:E144)=D$92,F144,D$92-SUM(E$99:E144))</f>
        <v>0</v>
      </c>
      <c r="E145" s="378">
        <f t="shared" si="62"/>
        <v>0</v>
      </c>
      <c r="F145" s="55">
        <f t="shared" si="63"/>
        <v>0</v>
      </c>
      <c r="G145" s="55">
        <f t="shared" si="64"/>
        <v>0</v>
      </c>
      <c r="H145" s="380">
        <f t="shared" si="65"/>
        <v>0</v>
      </c>
      <c r="I145" s="399">
        <f t="shared" si="66"/>
        <v>0</v>
      </c>
      <c r="J145" s="54">
        <f t="shared" si="40"/>
        <v>0</v>
      </c>
      <c r="K145" s="54"/>
      <c r="L145" s="129"/>
      <c r="M145" s="54">
        <f t="shared" si="68"/>
        <v>0</v>
      </c>
      <c r="N145" s="129"/>
      <c r="O145" s="54">
        <f t="shared" si="69"/>
        <v>0</v>
      </c>
      <c r="P145" s="54">
        <f t="shared" si="70"/>
        <v>0</v>
      </c>
      <c r="Q145" s="1"/>
    </row>
    <row r="146" spans="2:17" ht="12.5">
      <c r="B146" s="7" t="str">
        <f t="shared" si="39"/>
        <v/>
      </c>
      <c r="C146" s="50">
        <f>IF(D93="","-",+C145+1)</f>
        <v>2060</v>
      </c>
      <c r="D146" s="12">
        <f>IF(F145+SUM(E$99:E145)=D$92,F145,D$92-SUM(E$99:E145))</f>
        <v>0</v>
      </c>
      <c r="E146" s="378">
        <f t="shared" si="62"/>
        <v>0</v>
      </c>
      <c r="F146" s="55">
        <f t="shared" si="63"/>
        <v>0</v>
      </c>
      <c r="G146" s="55">
        <f t="shared" si="64"/>
        <v>0</v>
      </c>
      <c r="H146" s="380">
        <f t="shared" si="65"/>
        <v>0</v>
      </c>
      <c r="I146" s="399">
        <f t="shared" si="66"/>
        <v>0</v>
      </c>
      <c r="J146" s="54">
        <f t="shared" si="40"/>
        <v>0</v>
      </c>
      <c r="K146" s="54"/>
      <c r="L146" s="129"/>
      <c r="M146" s="54">
        <f t="shared" si="68"/>
        <v>0</v>
      </c>
      <c r="N146" s="129"/>
      <c r="O146" s="54">
        <f t="shared" si="69"/>
        <v>0</v>
      </c>
      <c r="P146" s="54">
        <f t="shared" si="70"/>
        <v>0</v>
      </c>
      <c r="Q146" s="1"/>
    </row>
    <row r="147" spans="2:17" ht="12.5">
      <c r="B147" s="7" t="str">
        <f t="shared" si="39"/>
        <v/>
      </c>
      <c r="C147" s="50">
        <f>IF(D93="","-",+C146+1)</f>
        <v>2061</v>
      </c>
      <c r="D147" s="12">
        <f>IF(F146+SUM(E$99:E146)=D$92,F146,D$92-SUM(E$99:E146))</f>
        <v>0</v>
      </c>
      <c r="E147" s="378">
        <f t="shared" si="62"/>
        <v>0</v>
      </c>
      <c r="F147" s="55">
        <f t="shared" si="63"/>
        <v>0</v>
      </c>
      <c r="G147" s="55">
        <f t="shared" si="64"/>
        <v>0</v>
      </c>
      <c r="H147" s="380">
        <f t="shared" si="65"/>
        <v>0</v>
      </c>
      <c r="I147" s="399">
        <f t="shared" si="66"/>
        <v>0</v>
      </c>
      <c r="J147" s="54">
        <f t="shared" si="40"/>
        <v>0</v>
      </c>
      <c r="K147" s="54"/>
      <c r="L147" s="129"/>
      <c r="M147" s="54">
        <f t="shared" si="68"/>
        <v>0</v>
      </c>
      <c r="N147" s="129"/>
      <c r="O147" s="54">
        <f t="shared" si="69"/>
        <v>0</v>
      </c>
      <c r="P147" s="54">
        <f t="shared" si="70"/>
        <v>0</v>
      </c>
      <c r="Q147" s="1"/>
    </row>
    <row r="148" spans="2:17" ht="12.5">
      <c r="B148" s="7" t="str">
        <f t="shared" si="39"/>
        <v/>
      </c>
      <c r="C148" s="50">
        <f>IF(D93="","-",+C147+1)</f>
        <v>2062</v>
      </c>
      <c r="D148" s="12">
        <f>IF(F147+SUM(E$99:E147)=D$92,F147,D$92-SUM(E$99:E147))</f>
        <v>0</v>
      </c>
      <c r="E148" s="378">
        <f t="shared" si="62"/>
        <v>0</v>
      </c>
      <c r="F148" s="55">
        <f t="shared" si="63"/>
        <v>0</v>
      </c>
      <c r="G148" s="55">
        <f t="shared" si="64"/>
        <v>0</v>
      </c>
      <c r="H148" s="380">
        <f t="shared" si="65"/>
        <v>0</v>
      </c>
      <c r="I148" s="399">
        <f t="shared" si="66"/>
        <v>0</v>
      </c>
      <c r="J148" s="54">
        <f t="shared" si="40"/>
        <v>0</v>
      </c>
      <c r="K148" s="54"/>
      <c r="L148" s="129"/>
      <c r="M148" s="54">
        <f t="shared" si="68"/>
        <v>0</v>
      </c>
      <c r="N148" s="129"/>
      <c r="O148" s="54">
        <f t="shared" si="69"/>
        <v>0</v>
      </c>
      <c r="P148" s="54">
        <f t="shared" si="70"/>
        <v>0</v>
      </c>
      <c r="Q148" s="1"/>
    </row>
    <row r="149" spans="2:17" ht="12.5">
      <c r="B149" s="7" t="str">
        <f t="shared" si="39"/>
        <v/>
      </c>
      <c r="C149" s="50">
        <f>IF(D93="","-",+C148+1)</f>
        <v>2063</v>
      </c>
      <c r="D149" s="12">
        <f>IF(F148+SUM(E$99:E148)=D$92,F148,D$92-SUM(E$99:E148))</f>
        <v>0</v>
      </c>
      <c r="E149" s="378">
        <f t="shared" si="62"/>
        <v>0</v>
      </c>
      <c r="F149" s="55">
        <f t="shared" si="63"/>
        <v>0</v>
      </c>
      <c r="G149" s="55">
        <f t="shared" si="64"/>
        <v>0</v>
      </c>
      <c r="H149" s="380">
        <f t="shared" si="65"/>
        <v>0</v>
      </c>
      <c r="I149" s="399">
        <f t="shared" si="66"/>
        <v>0</v>
      </c>
      <c r="J149" s="54">
        <f t="shared" si="40"/>
        <v>0</v>
      </c>
      <c r="K149" s="54"/>
      <c r="L149" s="129"/>
      <c r="M149" s="54">
        <f t="shared" si="68"/>
        <v>0</v>
      </c>
      <c r="N149" s="129"/>
      <c r="O149" s="54">
        <f t="shared" si="69"/>
        <v>0</v>
      </c>
      <c r="P149" s="54">
        <f t="shared" si="70"/>
        <v>0</v>
      </c>
      <c r="Q149" s="1"/>
    </row>
    <row r="150" spans="2:17" ht="12.5">
      <c r="B150" s="7" t="str">
        <f t="shared" si="39"/>
        <v/>
      </c>
      <c r="C150" s="50">
        <f>IF(D93="","-",+C149+1)</f>
        <v>2064</v>
      </c>
      <c r="D150" s="12">
        <f>IF(F149+SUM(E$99:E149)=D$92,F149,D$92-SUM(E$99:E149))</f>
        <v>0</v>
      </c>
      <c r="E150" s="378">
        <f t="shared" si="62"/>
        <v>0</v>
      </c>
      <c r="F150" s="55">
        <f t="shared" si="63"/>
        <v>0</v>
      </c>
      <c r="G150" s="55">
        <f t="shared" si="64"/>
        <v>0</v>
      </c>
      <c r="H150" s="380">
        <f t="shared" si="65"/>
        <v>0</v>
      </c>
      <c r="I150" s="399">
        <f t="shared" si="66"/>
        <v>0</v>
      </c>
      <c r="J150" s="54">
        <f t="shared" si="40"/>
        <v>0</v>
      </c>
      <c r="K150" s="54"/>
      <c r="L150" s="129"/>
      <c r="M150" s="54">
        <f t="shared" si="68"/>
        <v>0</v>
      </c>
      <c r="N150" s="129"/>
      <c r="O150" s="54">
        <f t="shared" si="69"/>
        <v>0</v>
      </c>
      <c r="P150" s="54">
        <f t="shared" si="70"/>
        <v>0</v>
      </c>
      <c r="Q150" s="1"/>
    </row>
    <row r="151" spans="2:17" ht="12.5">
      <c r="B151" s="7" t="str">
        <f t="shared" si="39"/>
        <v/>
      </c>
      <c r="C151" s="50">
        <f>IF(D93="","-",+C150+1)</f>
        <v>2065</v>
      </c>
      <c r="D151" s="12">
        <f>IF(F150+SUM(E$99:E150)=D$92,F150,D$92-SUM(E$99:E150))</f>
        <v>0</v>
      </c>
      <c r="E151" s="378">
        <f t="shared" si="62"/>
        <v>0</v>
      </c>
      <c r="F151" s="55">
        <f t="shared" si="63"/>
        <v>0</v>
      </c>
      <c r="G151" s="55">
        <f t="shared" si="64"/>
        <v>0</v>
      </c>
      <c r="H151" s="380">
        <f t="shared" si="65"/>
        <v>0</v>
      </c>
      <c r="I151" s="399">
        <f t="shared" si="66"/>
        <v>0</v>
      </c>
      <c r="J151" s="54">
        <f t="shared" si="40"/>
        <v>0</v>
      </c>
      <c r="K151" s="54"/>
      <c r="L151" s="129"/>
      <c r="M151" s="54">
        <f t="shared" si="68"/>
        <v>0</v>
      </c>
      <c r="N151" s="129"/>
      <c r="O151" s="54">
        <f t="shared" si="69"/>
        <v>0</v>
      </c>
      <c r="P151" s="54">
        <f t="shared" si="70"/>
        <v>0</v>
      </c>
      <c r="Q151" s="1"/>
    </row>
    <row r="152" spans="2:17" ht="12.5">
      <c r="B152" s="7" t="str">
        <f t="shared" si="39"/>
        <v/>
      </c>
      <c r="C152" s="50">
        <f>IF(D93="","-",+C151+1)</f>
        <v>2066</v>
      </c>
      <c r="D152" s="12">
        <f>IF(F151+SUM(E$99:E151)=D$92,F151,D$92-SUM(E$99:E151))</f>
        <v>0</v>
      </c>
      <c r="E152" s="378">
        <f t="shared" si="62"/>
        <v>0</v>
      </c>
      <c r="F152" s="55">
        <f t="shared" si="63"/>
        <v>0</v>
      </c>
      <c r="G152" s="55">
        <f t="shared" si="64"/>
        <v>0</v>
      </c>
      <c r="H152" s="380">
        <f t="shared" si="65"/>
        <v>0</v>
      </c>
      <c r="I152" s="399">
        <f t="shared" si="66"/>
        <v>0</v>
      </c>
      <c r="J152" s="54">
        <f t="shared" si="40"/>
        <v>0</v>
      </c>
      <c r="K152" s="54"/>
      <c r="L152" s="129"/>
      <c r="M152" s="54">
        <f t="shared" si="68"/>
        <v>0</v>
      </c>
      <c r="N152" s="129"/>
      <c r="O152" s="54">
        <f t="shared" si="69"/>
        <v>0</v>
      </c>
      <c r="P152" s="54">
        <f t="shared" si="70"/>
        <v>0</v>
      </c>
      <c r="Q152" s="1"/>
    </row>
    <row r="153" spans="2:17" ht="12.5">
      <c r="B153" s="7" t="str">
        <f t="shared" si="39"/>
        <v/>
      </c>
      <c r="C153" s="50">
        <f>IF(D93="","-",+C152+1)</f>
        <v>2067</v>
      </c>
      <c r="D153" s="12">
        <f>IF(F152+SUM(E$99:E152)=D$92,F152,D$92-SUM(E$99:E152))</f>
        <v>0</v>
      </c>
      <c r="E153" s="378">
        <f t="shared" si="62"/>
        <v>0</v>
      </c>
      <c r="F153" s="55">
        <f t="shared" si="63"/>
        <v>0</v>
      </c>
      <c r="G153" s="55">
        <f t="shared" si="64"/>
        <v>0</v>
      </c>
      <c r="H153" s="380">
        <f t="shared" si="65"/>
        <v>0</v>
      </c>
      <c r="I153" s="399">
        <f t="shared" si="66"/>
        <v>0</v>
      </c>
      <c r="J153" s="54">
        <f t="shared" si="40"/>
        <v>0</v>
      </c>
      <c r="K153" s="54"/>
      <c r="L153" s="129"/>
      <c r="M153" s="54">
        <f t="shared" si="68"/>
        <v>0</v>
      </c>
      <c r="N153" s="129"/>
      <c r="O153" s="54">
        <f t="shared" si="69"/>
        <v>0</v>
      </c>
      <c r="P153" s="54">
        <f t="shared" si="70"/>
        <v>0</v>
      </c>
      <c r="Q153" s="1"/>
    </row>
    <row r="154" spans="2:17" ht="13" thickBot="1">
      <c r="B154" s="7" t="str">
        <f t="shared" si="39"/>
        <v/>
      </c>
      <c r="C154" s="59">
        <f>IF(D93="","-",+C153+1)</f>
        <v>2068</v>
      </c>
      <c r="D154" s="12">
        <f>IF(F153+SUM(E$99:E153)=D$92,F153,D$92-SUM(E$99:E153))</f>
        <v>0</v>
      </c>
      <c r="E154" s="378">
        <f t="shared" si="62"/>
        <v>0</v>
      </c>
      <c r="F154" s="55">
        <f t="shared" si="63"/>
        <v>0</v>
      </c>
      <c r="G154" s="55">
        <f t="shared" si="64"/>
        <v>0</v>
      </c>
      <c r="H154" s="380">
        <f t="shared" si="65"/>
        <v>0</v>
      </c>
      <c r="I154" s="399">
        <f t="shared" si="66"/>
        <v>0</v>
      </c>
      <c r="J154" s="54">
        <f t="shared" si="40"/>
        <v>0</v>
      </c>
      <c r="K154" s="54"/>
      <c r="L154" s="130"/>
      <c r="M154" s="64">
        <f t="shared" si="68"/>
        <v>0</v>
      </c>
      <c r="N154" s="130"/>
      <c r="O154" s="64">
        <f t="shared" si="69"/>
        <v>0</v>
      </c>
      <c r="P154" s="64">
        <f t="shared" si="70"/>
        <v>0</v>
      </c>
      <c r="Q154" s="1"/>
    </row>
    <row r="155" spans="2:17" ht="12.5">
      <c r="C155" s="12" t="s">
        <v>78</v>
      </c>
      <c r="D155" s="293"/>
      <c r="E155" s="293">
        <f>SUM(E99:E154)</f>
        <v>2636239.0000000028</v>
      </c>
      <c r="F155" s="293"/>
      <c r="G155" s="293"/>
      <c r="H155" s="293">
        <f>SUM(H99:H154)</f>
        <v>9632256.1972158067</v>
      </c>
      <c r="I155" s="293">
        <f>SUM(I99:I154)</f>
        <v>9632256.1972158067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 ht="12.5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 ht="12.5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 ht="13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 ht="13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  <c r="Q162" s="1"/>
    </row>
  </sheetData>
  <conditionalFormatting sqref="C17:C72">
    <cfRule type="cellIs" dxfId="81" priority="1" stopIfTrue="1" operator="equal">
      <formula>$I$10</formula>
    </cfRule>
  </conditionalFormatting>
  <conditionalFormatting sqref="C99:C154">
    <cfRule type="cellIs" dxfId="8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88"/>
  <dimension ref="A1:P162"/>
  <sheetViews>
    <sheetView topLeftCell="A74" zoomScaleNormal="100" zoomScaleSheetLayoutView="80" workbookViewId="0">
      <selection activeCell="D28" sqref="D28:H28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39 of 77</v>
      </c>
    </row>
    <row r="2" spans="1:16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474506.84810459183</v>
      </c>
      <c r="P5" s="1"/>
    </row>
    <row r="6" spans="1:16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474506.84810459183</v>
      </c>
      <c r="O6" s="1"/>
      <c r="P6" s="1"/>
    </row>
    <row r="7" spans="1:16" ht="13.5" thickBot="1">
      <c r="C7" s="25" t="s">
        <v>48</v>
      </c>
      <c r="D7" s="90" t="s">
        <v>330</v>
      </c>
      <c r="E7" s="406"/>
      <c r="F7" s="406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311</v>
      </c>
      <c r="E9" s="436" t="s">
        <v>329</v>
      </c>
      <c r="F9" s="31"/>
      <c r="G9" s="31"/>
      <c r="H9" s="31"/>
      <c r="I9" s="32"/>
      <c r="J9" s="33"/>
      <c r="P9" s="1"/>
    </row>
    <row r="10" spans="1:16" ht="13">
      <c r="C10" s="34" t="s">
        <v>51</v>
      </c>
      <c r="D10" s="363">
        <v>4316668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6" ht="12.5">
      <c r="C11" s="34" t="s">
        <v>54</v>
      </c>
      <c r="D11" s="37">
        <v>2013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3">
        <v>2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98106.090909090912</v>
      </c>
      <c r="J14" s="293"/>
      <c r="K14" s="293"/>
      <c r="L14" s="293"/>
      <c r="M14" s="293"/>
      <c r="N14" s="293"/>
      <c r="O14" s="1"/>
      <c r="P14" s="1"/>
    </row>
    <row r="15" spans="1:16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2013</v>
      </c>
      <c r="D17" s="429">
        <v>4316127</v>
      </c>
      <c r="E17" s="437">
        <v>85637.440476190473</v>
      </c>
      <c r="F17" s="429">
        <v>4230489.5595238097</v>
      </c>
      <c r="G17" s="437">
        <v>656374.9370978435</v>
      </c>
      <c r="H17" s="438">
        <v>656374.9370978435</v>
      </c>
      <c r="I17" s="423">
        <v>0</v>
      </c>
      <c r="J17" s="52"/>
      <c r="K17" s="112">
        <f t="shared" ref="K17:K22" si="0">G17</f>
        <v>656374.9370978435</v>
      </c>
      <c r="L17" s="53">
        <f t="shared" ref="L17:L22" si="1">IF(K17&lt;&gt;0,+G17-K17,0)</f>
        <v>0</v>
      </c>
      <c r="M17" s="112">
        <f t="shared" ref="M17:M22" si="2">H17</f>
        <v>656374.9370978435</v>
      </c>
      <c r="N17" s="53">
        <f t="shared" ref="N17:N22" si="3">IF(M17&lt;&gt;0,+H17-M17,0)</f>
        <v>0</v>
      </c>
      <c r="O17" s="54">
        <f t="shared" ref="O17:O22" si="4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2014</v>
      </c>
      <c r="D18" s="431">
        <v>4230489.5595238097</v>
      </c>
      <c r="E18" s="430">
        <v>102764.92857142857</v>
      </c>
      <c r="F18" s="431">
        <v>4127724.6309523811</v>
      </c>
      <c r="G18" s="430">
        <v>659638.3564492357</v>
      </c>
      <c r="H18" s="438">
        <v>659638.3564492357</v>
      </c>
      <c r="I18" s="423">
        <v>0</v>
      </c>
      <c r="J18" s="52"/>
      <c r="K18" s="113">
        <f t="shared" si="0"/>
        <v>659638.3564492357</v>
      </c>
      <c r="L18" s="54">
        <f t="shared" si="1"/>
        <v>0</v>
      </c>
      <c r="M18" s="113">
        <f t="shared" si="2"/>
        <v>659638.3564492357</v>
      </c>
      <c r="N18" s="54">
        <f t="shared" si="3"/>
        <v>0</v>
      </c>
      <c r="O18" s="54">
        <f t="shared" si="4"/>
        <v>0</v>
      </c>
      <c r="P18" s="1"/>
    </row>
    <row r="19" spans="2:16" ht="12.5">
      <c r="B19" s="7" t="str">
        <f>IF(D19=F18,"","IU")</f>
        <v/>
      </c>
      <c r="C19" s="50">
        <f>IF(D11="","-",+C18+1)</f>
        <v>2015</v>
      </c>
      <c r="D19" s="431">
        <v>4127724.6309523811</v>
      </c>
      <c r="E19" s="430">
        <v>102777.80952380953</v>
      </c>
      <c r="F19" s="431">
        <v>4024946.8214285714</v>
      </c>
      <c r="G19" s="430">
        <v>632882.6295754665</v>
      </c>
      <c r="H19" s="438">
        <v>632882.6295754665</v>
      </c>
      <c r="I19" s="52">
        <v>0</v>
      </c>
      <c r="J19" s="52"/>
      <c r="K19" s="113">
        <f t="shared" si="0"/>
        <v>632882.6295754665</v>
      </c>
      <c r="L19" s="54">
        <f t="shared" si="1"/>
        <v>0</v>
      </c>
      <c r="M19" s="113">
        <f t="shared" si="2"/>
        <v>632882.6295754665</v>
      </c>
      <c r="N19" s="54">
        <f t="shared" si="3"/>
        <v>0</v>
      </c>
      <c r="O19" s="54">
        <f t="shared" si="4"/>
        <v>0</v>
      </c>
      <c r="P19" s="1"/>
    </row>
    <row r="20" spans="2:16" ht="12.5">
      <c r="B20" s="7" t="str">
        <f t="shared" ref="B20:B72" si="5">IF(D20=F19,"","IU")</f>
        <v>IU</v>
      </c>
      <c r="C20" s="50">
        <f>IF(D11="","-",+C19+1)</f>
        <v>2016</v>
      </c>
      <c r="D20" s="431">
        <v>4025487.8214285714</v>
      </c>
      <c r="E20" s="430">
        <v>102777.80952380953</v>
      </c>
      <c r="F20" s="431">
        <v>3922710.0119047617</v>
      </c>
      <c r="G20" s="430">
        <v>613043.82987884199</v>
      </c>
      <c r="H20" s="438">
        <v>613043.82987884199</v>
      </c>
      <c r="I20" s="52">
        <f>H20-G20</f>
        <v>0</v>
      </c>
      <c r="J20" s="52"/>
      <c r="K20" s="113">
        <f t="shared" si="0"/>
        <v>613043.82987884199</v>
      </c>
      <c r="L20" s="54">
        <f t="shared" si="1"/>
        <v>0</v>
      </c>
      <c r="M20" s="113">
        <f t="shared" si="2"/>
        <v>613043.82987884199</v>
      </c>
      <c r="N20" s="54">
        <f t="shared" si="3"/>
        <v>0</v>
      </c>
      <c r="O20" s="54">
        <f t="shared" si="4"/>
        <v>0</v>
      </c>
      <c r="P20" s="1"/>
    </row>
    <row r="21" spans="2:16" ht="12.5">
      <c r="B21" s="7" t="str">
        <f t="shared" si="5"/>
        <v/>
      </c>
      <c r="C21" s="50">
        <f>IF(D11="","-",+C20+1)</f>
        <v>2017</v>
      </c>
      <c r="D21" s="431">
        <v>3922710.0119047617</v>
      </c>
      <c r="E21" s="430">
        <v>100387.62790697675</v>
      </c>
      <c r="F21" s="431">
        <v>3822322.3839977849</v>
      </c>
      <c r="G21" s="430">
        <v>580163.47114176606</v>
      </c>
      <c r="H21" s="438">
        <v>580163.47114176606</v>
      </c>
      <c r="I21" s="52">
        <f t="shared" ref="I21:I72" si="6">H21-G21</f>
        <v>0</v>
      </c>
      <c r="J21" s="52"/>
      <c r="K21" s="113">
        <f t="shared" si="0"/>
        <v>580163.47114176606</v>
      </c>
      <c r="L21" s="54">
        <f t="shared" si="1"/>
        <v>0</v>
      </c>
      <c r="M21" s="113">
        <f t="shared" si="2"/>
        <v>580163.47114176606</v>
      </c>
      <c r="N21" s="54">
        <f t="shared" si="3"/>
        <v>0</v>
      </c>
      <c r="O21" s="54">
        <f t="shared" si="4"/>
        <v>0</v>
      </c>
      <c r="P21" s="1"/>
    </row>
    <row r="22" spans="2:16" ht="12.5">
      <c r="B22" s="7" t="str">
        <f t="shared" si="5"/>
        <v/>
      </c>
      <c r="C22" s="50">
        <f>IF(D11="","-",+C21+1)</f>
        <v>2018</v>
      </c>
      <c r="D22" s="431">
        <v>3822322.3839977849</v>
      </c>
      <c r="E22" s="430">
        <v>105284.58536585367</v>
      </c>
      <c r="F22" s="431">
        <v>3717037.7986319312</v>
      </c>
      <c r="G22" s="430">
        <v>584388.67981931404</v>
      </c>
      <c r="H22" s="438">
        <v>584388.67981931404</v>
      </c>
      <c r="I22" s="52">
        <f t="shared" si="6"/>
        <v>0</v>
      </c>
      <c r="J22" s="52"/>
      <c r="K22" s="113">
        <f t="shared" si="0"/>
        <v>584388.67981931404</v>
      </c>
      <c r="L22" s="54">
        <f t="shared" si="1"/>
        <v>0</v>
      </c>
      <c r="M22" s="113">
        <f t="shared" si="2"/>
        <v>584388.67981931404</v>
      </c>
      <c r="N22" s="54">
        <f t="shared" si="3"/>
        <v>0</v>
      </c>
      <c r="O22" s="54">
        <f t="shared" si="4"/>
        <v>0</v>
      </c>
      <c r="P22" s="1"/>
    </row>
    <row r="23" spans="2:16" ht="12.5">
      <c r="B23" s="7" t="str">
        <f t="shared" si="5"/>
        <v/>
      </c>
      <c r="C23" s="50">
        <f>IF(D11="","-",+C22+1)</f>
        <v>2019</v>
      </c>
      <c r="D23" s="431">
        <v>3717037.7986319312</v>
      </c>
      <c r="E23" s="430">
        <v>105284.58536585367</v>
      </c>
      <c r="F23" s="431">
        <v>3611753.2132660775</v>
      </c>
      <c r="G23" s="430">
        <v>571007.63031120552</v>
      </c>
      <c r="H23" s="438">
        <v>571007.63031120552</v>
      </c>
      <c r="I23" s="52">
        <f t="shared" si="6"/>
        <v>0</v>
      </c>
      <c r="J23" s="52"/>
      <c r="K23" s="113">
        <f t="shared" ref="K23" si="7">G23</f>
        <v>571007.63031120552</v>
      </c>
      <c r="L23" s="54">
        <f t="shared" ref="L23" si="8">IF(K23&lt;&gt;0,+G23-K23,0)</f>
        <v>0</v>
      </c>
      <c r="M23" s="113">
        <f t="shared" ref="M23" si="9">H23</f>
        <v>571007.63031120552</v>
      </c>
      <c r="N23" s="54">
        <f t="shared" ref="N23:N72" si="10">IF(M23&lt;&gt;0,+H23-M23,0)</f>
        <v>0</v>
      </c>
      <c r="O23" s="54">
        <f t="shared" ref="O23:O72" si="11">+N23-L23</f>
        <v>0</v>
      </c>
      <c r="P23" s="1"/>
    </row>
    <row r="24" spans="2:16" ht="12.5">
      <c r="B24" s="7" t="str">
        <f t="shared" si="5"/>
        <v/>
      </c>
      <c r="C24" s="50">
        <f>IF(D11="","-",+C23+1)</f>
        <v>2020</v>
      </c>
      <c r="D24" s="431">
        <v>3611753.2132660775</v>
      </c>
      <c r="E24" s="430">
        <v>105284.58536585367</v>
      </c>
      <c r="F24" s="431">
        <v>3506468.6279002237</v>
      </c>
      <c r="G24" s="430">
        <v>469507.82183995802</v>
      </c>
      <c r="H24" s="438">
        <v>469507.82183995802</v>
      </c>
      <c r="I24" s="52">
        <f t="shared" si="6"/>
        <v>0</v>
      </c>
      <c r="J24" s="52"/>
      <c r="K24" s="113">
        <f t="shared" ref="K24" si="12">G24</f>
        <v>469507.82183995802</v>
      </c>
      <c r="L24" s="54">
        <f t="shared" ref="L24" si="13">IF(K24&lt;&gt;0,+G24-K24,0)</f>
        <v>0</v>
      </c>
      <c r="M24" s="113">
        <f t="shared" ref="M24" si="14">H24</f>
        <v>469507.82183995802</v>
      </c>
      <c r="N24" s="54">
        <f t="shared" si="10"/>
        <v>0</v>
      </c>
      <c r="O24" s="54">
        <f t="shared" si="11"/>
        <v>0</v>
      </c>
      <c r="P24" s="1"/>
    </row>
    <row r="25" spans="2:16" ht="12.5">
      <c r="B25" s="7" t="str">
        <f t="shared" si="5"/>
        <v>IU</v>
      </c>
      <c r="C25" s="50">
        <f>IF(D11="","-",+C24+1)</f>
        <v>2021</v>
      </c>
      <c r="D25" s="431">
        <v>3511365.5853591012</v>
      </c>
      <c r="E25" s="430">
        <v>102777.80952380953</v>
      </c>
      <c r="F25" s="431">
        <v>3408587.7758352915</v>
      </c>
      <c r="G25" s="430">
        <v>469551.06340859708</v>
      </c>
      <c r="H25" s="438">
        <v>469551.06340859708</v>
      </c>
      <c r="I25" s="52">
        <f t="shared" si="6"/>
        <v>0</v>
      </c>
      <c r="J25" s="52"/>
      <c r="K25" s="113">
        <f t="shared" ref="K25" si="15">G25</f>
        <v>469551.06340859708</v>
      </c>
      <c r="L25" s="54">
        <f t="shared" ref="L25" si="16">IF(K25&lt;&gt;0,+G25-K25,0)</f>
        <v>0</v>
      </c>
      <c r="M25" s="113">
        <f t="shared" ref="M25" si="17">H25</f>
        <v>469551.06340859708</v>
      </c>
      <c r="N25" s="54">
        <f t="shared" si="10"/>
        <v>0</v>
      </c>
      <c r="O25" s="54">
        <f t="shared" si="11"/>
        <v>0</v>
      </c>
      <c r="P25" s="1"/>
    </row>
    <row r="26" spans="2:16" ht="12.5">
      <c r="B26" s="7" t="str">
        <f t="shared" si="5"/>
        <v>IU</v>
      </c>
      <c r="C26" s="50">
        <f>IF(D11="","-",+C25+1)</f>
        <v>2022</v>
      </c>
      <c r="D26" s="431">
        <v>3403690.8183764145</v>
      </c>
      <c r="E26" s="430">
        <v>102777.80952380953</v>
      </c>
      <c r="F26" s="431">
        <v>3300913.0088526048</v>
      </c>
      <c r="G26" s="430">
        <v>479724.37067958177</v>
      </c>
      <c r="H26" s="438">
        <v>479724.37067958177</v>
      </c>
      <c r="I26" s="52">
        <f t="shared" si="6"/>
        <v>0</v>
      </c>
      <c r="J26" s="52"/>
      <c r="K26" s="113">
        <f t="shared" ref="K26" si="18">G26</f>
        <v>479724.37067958177</v>
      </c>
      <c r="L26" s="54">
        <f t="shared" ref="L26" si="19">IF(K26&lt;&gt;0,+G26-K26,0)</f>
        <v>0</v>
      </c>
      <c r="M26" s="113">
        <f t="shared" ref="M26" si="20">H26</f>
        <v>479724.37067958177</v>
      </c>
      <c r="N26" s="54">
        <f t="shared" si="10"/>
        <v>0</v>
      </c>
      <c r="O26" s="54">
        <f t="shared" si="11"/>
        <v>0</v>
      </c>
      <c r="P26" s="1"/>
    </row>
    <row r="27" spans="2:16" ht="12.5">
      <c r="B27" s="7" t="str">
        <f t="shared" si="5"/>
        <v/>
      </c>
      <c r="C27" s="50">
        <f>IF(D11="","-",+C26+1)</f>
        <v>2023</v>
      </c>
      <c r="D27" s="431">
        <v>3300913.0088526048</v>
      </c>
      <c r="E27" s="430">
        <v>102777.80952380953</v>
      </c>
      <c r="F27" s="431">
        <v>3198135.1993287951</v>
      </c>
      <c r="G27" s="430">
        <v>513279.7520559628</v>
      </c>
      <c r="H27" s="438">
        <v>513279.7520559628</v>
      </c>
      <c r="I27" s="52">
        <f t="shared" si="6"/>
        <v>0</v>
      </c>
      <c r="J27" s="52"/>
      <c r="K27" s="113">
        <f t="shared" ref="K27" si="21">G27</f>
        <v>513279.7520559628</v>
      </c>
      <c r="L27" s="54">
        <f t="shared" ref="L27" si="22">IF(K27&lt;&gt;0,+G27-K27,0)</f>
        <v>0</v>
      </c>
      <c r="M27" s="113">
        <f t="shared" ref="M27" si="23">H27</f>
        <v>513279.7520559628</v>
      </c>
      <c r="N27" s="54">
        <f t="shared" si="10"/>
        <v>0</v>
      </c>
      <c r="O27" s="54">
        <f t="shared" si="11"/>
        <v>0</v>
      </c>
      <c r="P27" s="1"/>
    </row>
    <row r="28" spans="2:16" ht="12.5">
      <c r="B28" s="7" t="str">
        <f t="shared" si="5"/>
        <v/>
      </c>
      <c r="C28" s="50">
        <f>IF(D11="","-",+C27+1)</f>
        <v>2024</v>
      </c>
      <c r="D28" s="431">
        <v>3198135.1993287951</v>
      </c>
      <c r="E28" s="430">
        <v>98106.090909090912</v>
      </c>
      <c r="F28" s="431">
        <v>3100029.1084197043</v>
      </c>
      <c r="G28" s="430">
        <v>474506.84810459183</v>
      </c>
      <c r="H28" s="438">
        <v>474506.84810459183</v>
      </c>
      <c r="I28" s="52">
        <f t="shared" si="6"/>
        <v>0</v>
      </c>
      <c r="J28" s="52"/>
      <c r="K28" s="113">
        <f t="shared" ref="K28" si="24">G28</f>
        <v>474506.84810459183</v>
      </c>
      <c r="L28" s="54">
        <f t="shared" ref="L28" si="25">IF(K28&lt;&gt;0,+G28-K28,0)</f>
        <v>0</v>
      </c>
      <c r="M28" s="113">
        <f t="shared" ref="M28" si="26">H28</f>
        <v>474506.84810459183</v>
      </c>
      <c r="N28" s="54">
        <f t="shared" ref="N28" si="27">IF(M28&lt;&gt;0,+H28-M28,0)</f>
        <v>0</v>
      </c>
      <c r="O28" s="54">
        <f t="shared" ref="O28" si="28">+N28-L28</f>
        <v>0</v>
      </c>
      <c r="P28" s="1"/>
    </row>
    <row r="29" spans="2:16" ht="12.5">
      <c r="B29" s="7" t="str">
        <f t="shared" si="5"/>
        <v/>
      </c>
      <c r="C29" s="50">
        <f>IF(D11="","-",+C28+1)</f>
        <v>2025</v>
      </c>
      <c r="D29" s="55">
        <f>IF(F28+SUM(E$17:E28)=D$10,F28,D$10-SUM(E$17:E28))</f>
        <v>3100029.1084197043</v>
      </c>
      <c r="E29" s="378">
        <f t="shared" ref="E29:E72" si="29">IF(+$I$14&lt;F28,$I$14,D29)</f>
        <v>98106.090909090912</v>
      </c>
      <c r="F29" s="55">
        <f t="shared" ref="F29:F72" si="30">+D29-E29</f>
        <v>3001923.0175106134</v>
      </c>
      <c r="G29" s="379">
        <f t="shared" ref="G29:G52" si="31">+I$12*((D29+F29)/2)+E29</f>
        <v>462780.50846043823</v>
      </c>
      <c r="H29" s="364">
        <f t="shared" ref="H29:H52" si="32">+I$13*((D29+F29)/2)+E29</f>
        <v>462780.50846043823</v>
      </c>
      <c r="I29" s="52">
        <f t="shared" si="6"/>
        <v>0</v>
      </c>
      <c r="J29" s="52"/>
      <c r="K29" s="129"/>
      <c r="L29" s="54">
        <f t="shared" ref="L29:L72" si="33">IF(K29&lt;&gt;0,+G29-K29,0)</f>
        <v>0</v>
      </c>
      <c r="M29" s="129"/>
      <c r="N29" s="54">
        <f t="shared" si="10"/>
        <v>0</v>
      </c>
      <c r="O29" s="54">
        <f t="shared" si="11"/>
        <v>0</v>
      </c>
      <c r="P29" s="1"/>
    </row>
    <row r="30" spans="2:16" ht="12.5">
      <c r="B30" s="7" t="str">
        <f t="shared" si="5"/>
        <v/>
      </c>
      <c r="C30" s="50">
        <f>IF(D11="","-",+C29+1)</f>
        <v>2026</v>
      </c>
      <c r="D30" s="55">
        <f>IF(F29+SUM(E$17:E29)=D$10,F29,D$10-SUM(E$17:E29))</f>
        <v>3001923.0175106134</v>
      </c>
      <c r="E30" s="378">
        <f t="shared" si="29"/>
        <v>98106.090909090912</v>
      </c>
      <c r="F30" s="55">
        <f t="shared" si="30"/>
        <v>2903816.9266015226</v>
      </c>
      <c r="G30" s="379">
        <f t="shared" si="31"/>
        <v>451054.16881628451</v>
      </c>
      <c r="H30" s="364">
        <f t="shared" si="32"/>
        <v>451054.16881628451</v>
      </c>
      <c r="I30" s="52">
        <f t="shared" si="6"/>
        <v>0</v>
      </c>
      <c r="J30" s="52"/>
      <c r="K30" s="129"/>
      <c r="L30" s="54">
        <f t="shared" si="33"/>
        <v>0</v>
      </c>
      <c r="M30" s="129"/>
      <c r="N30" s="54">
        <f t="shared" si="10"/>
        <v>0</v>
      </c>
      <c r="O30" s="54">
        <f t="shared" si="11"/>
        <v>0</v>
      </c>
      <c r="P30" s="1"/>
    </row>
    <row r="31" spans="2:16" ht="12.5">
      <c r="B31" s="7" t="str">
        <f t="shared" si="5"/>
        <v/>
      </c>
      <c r="C31" s="50">
        <f>IF(D11="","-",+C30+1)</f>
        <v>2027</v>
      </c>
      <c r="D31" s="55">
        <f>IF(F30+SUM(E$17:E30)=D$10,F30,D$10-SUM(E$17:E30))</f>
        <v>2903816.9266015226</v>
      </c>
      <c r="E31" s="378">
        <f t="shared" si="29"/>
        <v>98106.090909090912</v>
      </c>
      <c r="F31" s="55">
        <f t="shared" si="30"/>
        <v>2805710.8356924318</v>
      </c>
      <c r="G31" s="379">
        <f t="shared" si="31"/>
        <v>439327.82917213091</v>
      </c>
      <c r="H31" s="364">
        <f t="shared" si="32"/>
        <v>439327.82917213091</v>
      </c>
      <c r="I31" s="52">
        <f t="shared" si="6"/>
        <v>0</v>
      </c>
      <c r="J31" s="52"/>
      <c r="K31" s="129"/>
      <c r="L31" s="54">
        <f t="shared" si="33"/>
        <v>0</v>
      </c>
      <c r="M31" s="129"/>
      <c r="N31" s="54">
        <f t="shared" si="10"/>
        <v>0</v>
      </c>
      <c r="O31" s="54">
        <f t="shared" si="11"/>
        <v>0</v>
      </c>
      <c r="P31" s="1"/>
    </row>
    <row r="32" spans="2:16" ht="12.5">
      <c r="B32" s="7" t="str">
        <f t="shared" si="5"/>
        <v/>
      </c>
      <c r="C32" s="50">
        <f>IF(D11="","-",+C31+1)</f>
        <v>2028</v>
      </c>
      <c r="D32" s="55">
        <f>IF(F31+SUM(E$17:E31)=D$10,F31,D$10-SUM(E$17:E31))</f>
        <v>2805710.8356924318</v>
      </c>
      <c r="E32" s="378">
        <f t="shared" si="29"/>
        <v>98106.090909090912</v>
      </c>
      <c r="F32" s="55">
        <f t="shared" si="30"/>
        <v>2707604.744783341</v>
      </c>
      <c r="G32" s="379">
        <f t="shared" si="31"/>
        <v>427601.48952797719</v>
      </c>
      <c r="H32" s="364">
        <f t="shared" si="32"/>
        <v>427601.48952797719</v>
      </c>
      <c r="I32" s="52">
        <f t="shared" si="6"/>
        <v>0</v>
      </c>
      <c r="J32" s="52"/>
      <c r="K32" s="129"/>
      <c r="L32" s="54">
        <f t="shared" si="33"/>
        <v>0</v>
      </c>
      <c r="M32" s="129"/>
      <c r="N32" s="54">
        <f t="shared" si="10"/>
        <v>0</v>
      </c>
      <c r="O32" s="54">
        <f t="shared" si="11"/>
        <v>0</v>
      </c>
      <c r="P32" s="1"/>
    </row>
    <row r="33" spans="2:16" ht="12.5">
      <c r="B33" s="7" t="str">
        <f t="shared" si="5"/>
        <v/>
      </c>
      <c r="C33" s="50">
        <f>IF(D11="","-",+C32+1)</f>
        <v>2029</v>
      </c>
      <c r="D33" s="55">
        <f>IF(F32+SUM(E$17:E32)=D$10,F32,D$10-SUM(E$17:E32))</f>
        <v>2707604.744783341</v>
      </c>
      <c r="E33" s="378">
        <f t="shared" si="29"/>
        <v>98106.090909090912</v>
      </c>
      <c r="F33" s="55">
        <f t="shared" si="30"/>
        <v>2609498.6538742501</v>
      </c>
      <c r="G33" s="379">
        <f t="shared" si="31"/>
        <v>415875.14988382347</v>
      </c>
      <c r="H33" s="364">
        <f t="shared" si="32"/>
        <v>415875.14988382347</v>
      </c>
      <c r="I33" s="52">
        <f t="shared" si="6"/>
        <v>0</v>
      </c>
      <c r="J33" s="52"/>
      <c r="K33" s="129"/>
      <c r="L33" s="54">
        <f t="shared" si="33"/>
        <v>0</v>
      </c>
      <c r="M33" s="129"/>
      <c r="N33" s="54">
        <f t="shared" si="10"/>
        <v>0</v>
      </c>
      <c r="O33" s="54">
        <f t="shared" si="11"/>
        <v>0</v>
      </c>
      <c r="P33" s="1"/>
    </row>
    <row r="34" spans="2:16" ht="12.5">
      <c r="B34" s="7" t="str">
        <f t="shared" si="5"/>
        <v/>
      </c>
      <c r="C34" s="50">
        <f>IF(D11="","-",+C33+1)</f>
        <v>2030</v>
      </c>
      <c r="D34" s="55">
        <f>IF(F33+SUM(E$17:E33)=D$10,F33,D$10-SUM(E$17:E33))</f>
        <v>2609498.6538742501</v>
      </c>
      <c r="E34" s="378">
        <f t="shared" si="29"/>
        <v>98106.090909090912</v>
      </c>
      <c r="F34" s="55">
        <f t="shared" si="30"/>
        <v>2511392.5629651593</v>
      </c>
      <c r="G34" s="379">
        <f t="shared" si="31"/>
        <v>404148.81023966987</v>
      </c>
      <c r="H34" s="364">
        <f t="shared" si="32"/>
        <v>404148.81023966987</v>
      </c>
      <c r="I34" s="52">
        <f t="shared" si="6"/>
        <v>0</v>
      </c>
      <c r="J34" s="52"/>
      <c r="K34" s="129"/>
      <c r="L34" s="54">
        <f t="shared" si="33"/>
        <v>0</v>
      </c>
      <c r="M34" s="129"/>
      <c r="N34" s="54">
        <f t="shared" si="10"/>
        <v>0</v>
      </c>
      <c r="O34" s="54">
        <f t="shared" si="11"/>
        <v>0</v>
      </c>
      <c r="P34" s="1"/>
    </row>
    <row r="35" spans="2:16" ht="12.5">
      <c r="B35" s="7" t="str">
        <f t="shared" si="5"/>
        <v/>
      </c>
      <c r="C35" s="50">
        <f>IF(D11="","-",+C34+1)</f>
        <v>2031</v>
      </c>
      <c r="D35" s="55">
        <f>IF(F34+SUM(E$17:E34)=D$10,F34,D$10-SUM(E$17:E34))</f>
        <v>2511392.5629651593</v>
      </c>
      <c r="E35" s="378">
        <f t="shared" si="29"/>
        <v>98106.090909090912</v>
      </c>
      <c r="F35" s="55">
        <f t="shared" si="30"/>
        <v>2413286.4720560685</v>
      </c>
      <c r="G35" s="379">
        <f t="shared" si="31"/>
        <v>392422.47059551615</v>
      </c>
      <c r="H35" s="364">
        <f t="shared" si="32"/>
        <v>392422.47059551615</v>
      </c>
      <c r="I35" s="52">
        <f t="shared" si="6"/>
        <v>0</v>
      </c>
      <c r="J35" s="52"/>
      <c r="K35" s="129"/>
      <c r="L35" s="54">
        <f t="shared" si="33"/>
        <v>0</v>
      </c>
      <c r="M35" s="129"/>
      <c r="N35" s="54">
        <f t="shared" si="10"/>
        <v>0</v>
      </c>
      <c r="O35" s="54">
        <f t="shared" si="11"/>
        <v>0</v>
      </c>
      <c r="P35" s="1"/>
    </row>
    <row r="36" spans="2:16" ht="12.5">
      <c r="B36" s="7" t="str">
        <f t="shared" si="5"/>
        <v/>
      </c>
      <c r="C36" s="50">
        <f>IF(D11="","-",+C35+1)</f>
        <v>2032</v>
      </c>
      <c r="D36" s="55">
        <f>IF(F35+SUM(E$17:E35)=D$10,F35,D$10-SUM(E$17:E35))</f>
        <v>2413286.4720560685</v>
      </c>
      <c r="E36" s="378">
        <f t="shared" si="29"/>
        <v>98106.090909090912</v>
      </c>
      <c r="F36" s="55">
        <f t="shared" si="30"/>
        <v>2315180.3811469777</v>
      </c>
      <c r="G36" s="379">
        <f t="shared" si="31"/>
        <v>380696.13095136255</v>
      </c>
      <c r="H36" s="364">
        <f t="shared" si="32"/>
        <v>380696.13095136255</v>
      </c>
      <c r="I36" s="52">
        <f t="shared" si="6"/>
        <v>0</v>
      </c>
      <c r="J36" s="52"/>
      <c r="K36" s="129"/>
      <c r="L36" s="54">
        <f t="shared" si="33"/>
        <v>0</v>
      </c>
      <c r="M36" s="129"/>
      <c r="N36" s="54">
        <f t="shared" si="10"/>
        <v>0</v>
      </c>
      <c r="O36" s="54">
        <f t="shared" si="11"/>
        <v>0</v>
      </c>
      <c r="P36" s="1"/>
    </row>
    <row r="37" spans="2:16" ht="12.5">
      <c r="B37" s="7" t="str">
        <f t="shared" si="5"/>
        <v/>
      </c>
      <c r="C37" s="50">
        <f>IF(D11="","-",+C36+1)</f>
        <v>2033</v>
      </c>
      <c r="D37" s="55">
        <f>IF(F36+SUM(E$17:E36)=D$10,F36,D$10-SUM(E$17:E36))</f>
        <v>2315180.3811469777</v>
      </c>
      <c r="E37" s="378">
        <f t="shared" si="29"/>
        <v>98106.090909090912</v>
      </c>
      <c r="F37" s="55">
        <f t="shared" si="30"/>
        <v>2217074.2902378868</v>
      </c>
      <c r="G37" s="379">
        <f t="shared" si="31"/>
        <v>368969.79130720883</v>
      </c>
      <c r="H37" s="364">
        <f t="shared" si="32"/>
        <v>368969.79130720883</v>
      </c>
      <c r="I37" s="52">
        <f t="shared" si="6"/>
        <v>0</v>
      </c>
      <c r="J37" s="52"/>
      <c r="K37" s="129"/>
      <c r="L37" s="54">
        <f t="shared" si="33"/>
        <v>0</v>
      </c>
      <c r="M37" s="129"/>
      <c r="N37" s="54">
        <f t="shared" si="10"/>
        <v>0</v>
      </c>
      <c r="O37" s="54">
        <f t="shared" si="11"/>
        <v>0</v>
      </c>
      <c r="P37" s="1"/>
    </row>
    <row r="38" spans="2:16" ht="12.5">
      <c r="B38" s="7" t="str">
        <f t="shared" si="5"/>
        <v/>
      </c>
      <c r="C38" s="50">
        <f>IF(D11="","-",+C37+1)</f>
        <v>2034</v>
      </c>
      <c r="D38" s="55">
        <f>IF(F37+SUM(E$17:E37)=D$10,F37,D$10-SUM(E$17:E37))</f>
        <v>2217074.2902378868</v>
      </c>
      <c r="E38" s="378">
        <f t="shared" si="29"/>
        <v>98106.090909090912</v>
      </c>
      <c r="F38" s="55">
        <f t="shared" si="30"/>
        <v>2118968.199328796</v>
      </c>
      <c r="G38" s="379">
        <f t="shared" si="31"/>
        <v>357243.45166305517</v>
      </c>
      <c r="H38" s="364">
        <f t="shared" si="32"/>
        <v>357243.45166305517</v>
      </c>
      <c r="I38" s="52">
        <f t="shared" si="6"/>
        <v>0</v>
      </c>
      <c r="J38" s="52"/>
      <c r="K38" s="129"/>
      <c r="L38" s="54">
        <f t="shared" si="33"/>
        <v>0</v>
      </c>
      <c r="M38" s="129"/>
      <c r="N38" s="54">
        <f t="shared" si="10"/>
        <v>0</v>
      </c>
      <c r="O38" s="54">
        <f t="shared" si="11"/>
        <v>0</v>
      </c>
      <c r="P38" s="1"/>
    </row>
    <row r="39" spans="2:16" ht="12.5">
      <c r="B39" s="7" t="str">
        <f t="shared" si="5"/>
        <v/>
      </c>
      <c r="C39" s="50">
        <f>IF(D11="","-",+C38+1)</f>
        <v>2035</v>
      </c>
      <c r="D39" s="55">
        <f>IF(F38+SUM(E$17:E38)=D$10,F38,D$10-SUM(E$17:E38))</f>
        <v>2118968.199328796</v>
      </c>
      <c r="E39" s="378">
        <f t="shared" si="29"/>
        <v>98106.090909090912</v>
      </c>
      <c r="F39" s="55">
        <f t="shared" si="30"/>
        <v>2020862.1084197052</v>
      </c>
      <c r="G39" s="379">
        <f t="shared" si="31"/>
        <v>345517.11201890151</v>
      </c>
      <c r="H39" s="364">
        <f t="shared" si="32"/>
        <v>345517.11201890151</v>
      </c>
      <c r="I39" s="52">
        <f t="shared" si="6"/>
        <v>0</v>
      </c>
      <c r="J39" s="52"/>
      <c r="K39" s="129"/>
      <c r="L39" s="54">
        <f t="shared" si="33"/>
        <v>0</v>
      </c>
      <c r="M39" s="129"/>
      <c r="N39" s="54">
        <f t="shared" si="10"/>
        <v>0</v>
      </c>
      <c r="O39" s="54">
        <f t="shared" si="11"/>
        <v>0</v>
      </c>
      <c r="P39" s="1"/>
    </row>
    <row r="40" spans="2:16" ht="12.5">
      <c r="B40" s="7" t="str">
        <f t="shared" si="5"/>
        <v/>
      </c>
      <c r="C40" s="50">
        <f>IF(D11="","-",+C39+1)</f>
        <v>2036</v>
      </c>
      <c r="D40" s="55">
        <f>IF(F39+SUM(E$17:E39)=D$10,F39,D$10-SUM(E$17:E39))</f>
        <v>2020862.1084197052</v>
      </c>
      <c r="E40" s="378">
        <f t="shared" si="29"/>
        <v>98106.090909090912</v>
      </c>
      <c r="F40" s="55">
        <f t="shared" si="30"/>
        <v>1922756.0175106144</v>
      </c>
      <c r="G40" s="379">
        <f t="shared" si="31"/>
        <v>333790.77237474784</v>
      </c>
      <c r="H40" s="364">
        <f t="shared" si="32"/>
        <v>333790.77237474784</v>
      </c>
      <c r="I40" s="52">
        <f t="shared" si="6"/>
        <v>0</v>
      </c>
      <c r="J40" s="52"/>
      <c r="K40" s="129"/>
      <c r="L40" s="54">
        <f t="shared" si="33"/>
        <v>0</v>
      </c>
      <c r="M40" s="129"/>
      <c r="N40" s="54">
        <f t="shared" si="10"/>
        <v>0</v>
      </c>
      <c r="O40" s="54">
        <f t="shared" si="11"/>
        <v>0</v>
      </c>
      <c r="P40" s="1"/>
    </row>
    <row r="41" spans="2:16" ht="12.5">
      <c r="B41" s="7" t="str">
        <f t="shared" si="5"/>
        <v/>
      </c>
      <c r="C41" s="50">
        <f>IF(D11="","-",+C40+1)</f>
        <v>2037</v>
      </c>
      <c r="D41" s="55">
        <f>IF(F40+SUM(E$17:E40)=D$10,F40,D$10-SUM(E$17:E40))</f>
        <v>1922756.0175106144</v>
      </c>
      <c r="E41" s="378">
        <f t="shared" si="29"/>
        <v>98106.090909090912</v>
      </c>
      <c r="F41" s="55">
        <f t="shared" si="30"/>
        <v>1824649.9266015235</v>
      </c>
      <c r="G41" s="379">
        <f t="shared" si="31"/>
        <v>322064.43273059418</v>
      </c>
      <c r="H41" s="364">
        <f t="shared" si="32"/>
        <v>322064.43273059418</v>
      </c>
      <c r="I41" s="52">
        <f t="shared" si="6"/>
        <v>0</v>
      </c>
      <c r="J41" s="52"/>
      <c r="K41" s="129"/>
      <c r="L41" s="54">
        <f t="shared" si="33"/>
        <v>0</v>
      </c>
      <c r="M41" s="129"/>
      <c r="N41" s="54">
        <f t="shared" si="10"/>
        <v>0</v>
      </c>
      <c r="O41" s="54">
        <f t="shared" si="11"/>
        <v>0</v>
      </c>
      <c r="P41" s="1"/>
    </row>
    <row r="42" spans="2:16" ht="12.5">
      <c r="B42" s="7" t="str">
        <f t="shared" si="5"/>
        <v/>
      </c>
      <c r="C42" s="50">
        <f>IF(D11="","-",+C41+1)</f>
        <v>2038</v>
      </c>
      <c r="D42" s="55">
        <f>IF(F41+SUM(E$17:E41)=D$10,F41,D$10-SUM(E$17:E41))</f>
        <v>1824649.9266015235</v>
      </c>
      <c r="E42" s="378">
        <f t="shared" si="29"/>
        <v>98106.090909090912</v>
      </c>
      <c r="F42" s="55">
        <f t="shared" si="30"/>
        <v>1726543.8356924327</v>
      </c>
      <c r="G42" s="379">
        <f t="shared" si="31"/>
        <v>310338.09308644047</v>
      </c>
      <c r="H42" s="364">
        <f t="shared" si="32"/>
        <v>310338.09308644047</v>
      </c>
      <c r="I42" s="52">
        <f t="shared" si="6"/>
        <v>0</v>
      </c>
      <c r="J42" s="52"/>
      <c r="K42" s="129"/>
      <c r="L42" s="54">
        <f t="shared" si="33"/>
        <v>0</v>
      </c>
      <c r="M42" s="129"/>
      <c r="N42" s="54">
        <f t="shared" si="10"/>
        <v>0</v>
      </c>
      <c r="O42" s="54">
        <f t="shared" si="11"/>
        <v>0</v>
      </c>
      <c r="P42" s="1"/>
    </row>
    <row r="43" spans="2:16" ht="12.5">
      <c r="B43" s="7" t="str">
        <f t="shared" si="5"/>
        <v/>
      </c>
      <c r="C43" s="50">
        <f>IF(D11="","-",+C42+1)</f>
        <v>2039</v>
      </c>
      <c r="D43" s="55">
        <f>IF(F42+SUM(E$17:E42)=D$10,F42,D$10-SUM(E$17:E42))</f>
        <v>1726543.8356924327</v>
      </c>
      <c r="E43" s="378">
        <f t="shared" si="29"/>
        <v>98106.090909090912</v>
      </c>
      <c r="F43" s="55">
        <f t="shared" si="30"/>
        <v>1628437.7447833419</v>
      </c>
      <c r="G43" s="379">
        <f t="shared" si="31"/>
        <v>298611.75344228686</v>
      </c>
      <c r="H43" s="364">
        <f t="shared" si="32"/>
        <v>298611.75344228686</v>
      </c>
      <c r="I43" s="52">
        <f t="shared" si="6"/>
        <v>0</v>
      </c>
      <c r="J43" s="52"/>
      <c r="K43" s="129"/>
      <c r="L43" s="54">
        <f t="shared" si="33"/>
        <v>0</v>
      </c>
      <c r="M43" s="129"/>
      <c r="N43" s="54">
        <f t="shared" si="10"/>
        <v>0</v>
      </c>
      <c r="O43" s="54">
        <f t="shared" si="11"/>
        <v>0</v>
      </c>
      <c r="P43" s="1"/>
    </row>
    <row r="44" spans="2:16" ht="12.5">
      <c r="B44" s="7" t="str">
        <f t="shared" si="5"/>
        <v/>
      </c>
      <c r="C44" s="50">
        <f>IF(D11="","-",+C43+1)</f>
        <v>2040</v>
      </c>
      <c r="D44" s="55">
        <f>IF(F43+SUM(E$17:E43)=D$10,F43,D$10-SUM(E$17:E43))</f>
        <v>1628437.7447833419</v>
      </c>
      <c r="E44" s="378">
        <f t="shared" si="29"/>
        <v>98106.090909090912</v>
      </c>
      <c r="F44" s="55">
        <f t="shared" si="30"/>
        <v>1530331.6538742511</v>
      </c>
      <c r="G44" s="379">
        <f t="shared" si="31"/>
        <v>286885.41379813314</v>
      </c>
      <c r="H44" s="364">
        <f t="shared" si="32"/>
        <v>286885.41379813314</v>
      </c>
      <c r="I44" s="52">
        <f t="shared" si="6"/>
        <v>0</v>
      </c>
      <c r="J44" s="52"/>
      <c r="K44" s="129"/>
      <c r="L44" s="54">
        <f t="shared" si="33"/>
        <v>0</v>
      </c>
      <c r="M44" s="129"/>
      <c r="N44" s="54">
        <f t="shared" si="10"/>
        <v>0</v>
      </c>
      <c r="O44" s="54">
        <f t="shared" si="11"/>
        <v>0</v>
      </c>
      <c r="P44" s="1"/>
    </row>
    <row r="45" spans="2:16" ht="12.5">
      <c r="B45" s="7" t="str">
        <f t="shared" si="5"/>
        <v/>
      </c>
      <c r="C45" s="50">
        <f>IF(D11="","-",+C44+1)</f>
        <v>2041</v>
      </c>
      <c r="D45" s="55">
        <f>IF(F44+SUM(E$17:E44)=D$10,F44,D$10-SUM(E$17:E44))</f>
        <v>1530331.6538742511</v>
      </c>
      <c r="E45" s="378">
        <f t="shared" si="29"/>
        <v>98106.090909090912</v>
      </c>
      <c r="F45" s="55">
        <f t="shared" si="30"/>
        <v>1432225.5629651602</v>
      </c>
      <c r="G45" s="379">
        <f t="shared" si="31"/>
        <v>275159.07415397948</v>
      </c>
      <c r="H45" s="364">
        <f t="shared" si="32"/>
        <v>275159.07415397948</v>
      </c>
      <c r="I45" s="52">
        <f t="shared" si="6"/>
        <v>0</v>
      </c>
      <c r="J45" s="52"/>
      <c r="K45" s="129"/>
      <c r="L45" s="54">
        <f t="shared" si="33"/>
        <v>0</v>
      </c>
      <c r="M45" s="129"/>
      <c r="N45" s="54">
        <f t="shared" si="10"/>
        <v>0</v>
      </c>
      <c r="O45" s="54">
        <f t="shared" si="11"/>
        <v>0</v>
      </c>
      <c r="P45" s="1"/>
    </row>
    <row r="46" spans="2:16" ht="12.5">
      <c r="B46" s="7" t="str">
        <f t="shared" si="5"/>
        <v/>
      </c>
      <c r="C46" s="50">
        <f>IF(D11="","-",+C45+1)</f>
        <v>2042</v>
      </c>
      <c r="D46" s="55">
        <f>IF(F45+SUM(E$17:E45)=D$10,F45,D$10-SUM(E$17:E45))</f>
        <v>1432225.5629651602</v>
      </c>
      <c r="E46" s="378">
        <f t="shared" si="29"/>
        <v>98106.090909090912</v>
      </c>
      <c r="F46" s="55">
        <f t="shared" si="30"/>
        <v>1334119.4720560694</v>
      </c>
      <c r="G46" s="379">
        <f t="shared" si="31"/>
        <v>263432.73450982582</v>
      </c>
      <c r="H46" s="364">
        <f t="shared" si="32"/>
        <v>263432.73450982582</v>
      </c>
      <c r="I46" s="52">
        <f t="shared" si="6"/>
        <v>0</v>
      </c>
      <c r="J46" s="52"/>
      <c r="K46" s="129"/>
      <c r="L46" s="54">
        <f t="shared" si="33"/>
        <v>0</v>
      </c>
      <c r="M46" s="129"/>
      <c r="N46" s="54">
        <f t="shared" si="10"/>
        <v>0</v>
      </c>
      <c r="O46" s="54">
        <f t="shared" si="11"/>
        <v>0</v>
      </c>
      <c r="P46" s="1"/>
    </row>
    <row r="47" spans="2:16" ht="12.5">
      <c r="B47" s="7" t="str">
        <f t="shared" si="5"/>
        <v/>
      </c>
      <c r="C47" s="50">
        <f>IF(D11="","-",+C46+1)</f>
        <v>2043</v>
      </c>
      <c r="D47" s="55">
        <f>IF(F46+SUM(E$17:E46)=D$10,F46,D$10-SUM(E$17:E46))</f>
        <v>1334119.4720560694</v>
      </c>
      <c r="E47" s="378">
        <f t="shared" si="29"/>
        <v>98106.090909090912</v>
      </c>
      <c r="F47" s="55">
        <f t="shared" si="30"/>
        <v>1236013.3811469786</v>
      </c>
      <c r="G47" s="379">
        <f t="shared" si="31"/>
        <v>251706.39486567216</v>
      </c>
      <c r="H47" s="364">
        <f t="shared" si="32"/>
        <v>251706.39486567216</v>
      </c>
      <c r="I47" s="52">
        <f t="shared" si="6"/>
        <v>0</v>
      </c>
      <c r="J47" s="52"/>
      <c r="K47" s="129"/>
      <c r="L47" s="54">
        <f t="shared" si="33"/>
        <v>0</v>
      </c>
      <c r="M47" s="129"/>
      <c r="N47" s="54">
        <f t="shared" si="10"/>
        <v>0</v>
      </c>
      <c r="O47" s="54">
        <f t="shared" si="11"/>
        <v>0</v>
      </c>
      <c r="P47" s="1"/>
    </row>
    <row r="48" spans="2:16" ht="12.5">
      <c r="B48" s="7" t="str">
        <f t="shared" si="5"/>
        <v/>
      </c>
      <c r="C48" s="50">
        <f>IF(D11="","-",+C47+1)</f>
        <v>2044</v>
      </c>
      <c r="D48" s="55">
        <f>IF(F47+SUM(E$17:E47)=D$10,F47,D$10-SUM(E$17:E47))</f>
        <v>1236013.3811469786</v>
      </c>
      <c r="E48" s="378">
        <f t="shared" si="29"/>
        <v>98106.090909090912</v>
      </c>
      <c r="F48" s="55">
        <f t="shared" si="30"/>
        <v>1137907.2902378878</v>
      </c>
      <c r="G48" s="379">
        <f t="shared" si="31"/>
        <v>239980.05522151847</v>
      </c>
      <c r="H48" s="364">
        <f t="shared" si="32"/>
        <v>239980.05522151847</v>
      </c>
      <c r="I48" s="52">
        <f t="shared" si="6"/>
        <v>0</v>
      </c>
      <c r="J48" s="52"/>
      <c r="K48" s="129"/>
      <c r="L48" s="54">
        <f t="shared" si="33"/>
        <v>0</v>
      </c>
      <c r="M48" s="129"/>
      <c r="N48" s="54">
        <f t="shared" si="10"/>
        <v>0</v>
      </c>
      <c r="O48" s="54">
        <f t="shared" si="11"/>
        <v>0</v>
      </c>
      <c r="P48" s="1"/>
    </row>
    <row r="49" spans="2:16" ht="12.5">
      <c r="B49" s="7" t="str">
        <f t="shared" si="5"/>
        <v/>
      </c>
      <c r="C49" s="50">
        <f>IF(D11="","-",+C48+1)</f>
        <v>2045</v>
      </c>
      <c r="D49" s="55">
        <f>IF(F48+SUM(E$17:E48)=D$10,F48,D$10-SUM(E$17:E48))</f>
        <v>1137907.2902378878</v>
      </c>
      <c r="E49" s="378">
        <f t="shared" si="29"/>
        <v>98106.090909090912</v>
      </c>
      <c r="F49" s="55">
        <f t="shared" si="30"/>
        <v>1039801.1993287968</v>
      </c>
      <c r="G49" s="379">
        <f t="shared" si="31"/>
        <v>228253.71557736481</v>
      </c>
      <c r="H49" s="364">
        <f t="shared" si="32"/>
        <v>228253.71557736481</v>
      </c>
      <c r="I49" s="52">
        <f t="shared" si="6"/>
        <v>0</v>
      </c>
      <c r="J49" s="52"/>
      <c r="K49" s="129"/>
      <c r="L49" s="54">
        <f t="shared" si="33"/>
        <v>0</v>
      </c>
      <c r="M49" s="129"/>
      <c r="N49" s="54">
        <f t="shared" si="10"/>
        <v>0</v>
      </c>
      <c r="O49" s="54">
        <f t="shared" si="11"/>
        <v>0</v>
      </c>
      <c r="P49" s="1"/>
    </row>
    <row r="50" spans="2:16" ht="12.5">
      <c r="B50" s="7" t="str">
        <f t="shared" si="5"/>
        <v/>
      </c>
      <c r="C50" s="50">
        <f>IF(D11="","-",+C49+1)</f>
        <v>2046</v>
      </c>
      <c r="D50" s="55">
        <f>IF(F49+SUM(E$17:E49)=D$10,F49,D$10-SUM(E$17:E49))</f>
        <v>1039801.1993287968</v>
      </c>
      <c r="E50" s="378">
        <f t="shared" si="29"/>
        <v>98106.090909090912</v>
      </c>
      <c r="F50" s="55">
        <f t="shared" si="30"/>
        <v>941695.10841970588</v>
      </c>
      <c r="G50" s="379">
        <f t="shared" si="31"/>
        <v>216527.37593321112</v>
      </c>
      <c r="H50" s="364">
        <f t="shared" si="32"/>
        <v>216527.37593321112</v>
      </c>
      <c r="I50" s="52">
        <f t="shared" si="6"/>
        <v>0</v>
      </c>
      <c r="J50" s="52"/>
      <c r="K50" s="129"/>
      <c r="L50" s="54">
        <f t="shared" si="33"/>
        <v>0</v>
      </c>
      <c r="M50" s="129"/>
      <c r="N50" s="54">
        <f t="shared" si="10"/>
        <v>0</v>
      </c>
      <c r="O50" s="54">
        <f t="shared" si="11"/>
        <v>0</v>
      </c>
      <c r="P50" s="1"/>
    </row>
    <row r="51" spans="2:16" ht="12.5">
      <c r="B51" s="7" t="str">
        <f t="shared" si="5"/>
        <v/>
      </c>
      <c r="C51" s="50">
        <f>IF(D11="","-",+C50+1)</f>
        <v>2047</v>
      </c>
      <c r="D51" s="55">
        <f>IF(F50+SUM(E$17:E50)=D$10,F50,D$10-SUM(E$17:E50))</f>
        <v>941695.10841970588</v>
      </c>
      <c r="E51" s="378">
        <f t="shared" si="29"/>
        <v>98106.090909090912</v>
      </c>
      <c r="F51" s="55">
        <f t="shared" si="30"/>
        <v>843589.01751061494</v>
      </c>
      <c r="G51" s="379">
        <f t="shared" si="31"/>
        <v>204801.03628905746</v>
      </c>
      <c r="H51" s="364">
        <f t="shared" si="32"/>
        <v>204801.03628905746</v>
      </c>
      <c r="I51" s="52">
        <f t="shared" si="6"/>
        <v>0</v>
      </c>
      <c r="J51" s="52"/>
      <c r="K51" s="129"/>
      <c r="L51" s="54">
        <f t="shared" si="33"/>
        <v>0</v>
      </c>
      <c r="M51" s="129"/>
      <c r="N51" s="54">
        <f t="shared" si="10"/>
        <v>0</v>
      </c>
      <c r="O51" s="54">
        <f t="shared" si="11"/>
        <v>0</v>
      </c>
      <c r="P51" s="1"/>
    </row>
    <row r="52" spans="2:16" ht="12.5">
      <c r="B52" s="7" t="str">
        <f t="shared" si="5"/>
        <v/>
      </c>
      <c r="C52" s="50">
        <f>IF(D11="","-",+C51+1)</f>
        <v>2048</v>
      </c>
      <c r="D52" s="55">
        <f>IF(F51+SUM(E$17:E51)=D$10,F51,D$10-SUM(E$17:E51))</f>
        <v>843589.01751061494</v>
      </c>
      <c r="E52" s="378">
        <f t="shared" si="29"/>
        <v>98106.090909090912</v>
      </c>
      <c r="F52" s="55">
        <f t="shared" si="30"/>
        <v>745482.926601524</v>
      </c>
      <c r="G52" s="379">
        <f t="shared" si="31"/>
        <v>193074.69664490374</v>
      </c>
      <c r="H52" s="364">
        <f t="shared" si="32"/>
        <v>193074.69664490374</v>
      </c>
      <c r="I52" s="52">
        <f t="shared" si="6"/>
        <v>0</v>
      </c>
      <c r="J52" s="52"/>
      <c r="K52" s="129"/>
      <c r="L52" s="54">
        <f t="shared" si="33"/>
        <v>0</v>
      </c>
      <c r="M52" s="129"/>
      <c r="N52" s="54">
        <f t="shared" si="10"/>
        <v>0</v>
      </c>
      <c r="O52" s="54">
        <f t="shared" si="11"/>
        <v>0</v>
      </c>
      <c r="P52" s="1"/>
    </row>
    <row r="53" spans="2:16" ht="12.5">
      <c r="B53" s="7" t="str">
        <f t="shared" si="5"/>
        <v/>
      </c>
      <c r="C53" s="50">
        <f>IF(D11="","-",+C52+1)</f>
        <v>2049</v>
      </c>
      <c r="D53" s="55">
        <f>IF(F52+SUM(E$17:E52)=D$10,F52,D$10-SUM(E$17:E52))</f>
        <v>745482.926601524</v>
      </c>
      <c r="E53" s="378">
        <f t="shared" si="29"/>
        <v>98106.090909090912</v>
      </c>
      <c r="F53" s="55">
        <f t="shared" si="30"/>
        <v>647376.83569243306</v>
      </c>
      <c r="G53" s="379">
        <f t="shared" ref="G53:G72" si="34">+I$12*((D53+F53)/2)+E53</f>
        <v>181348.35700075008</v>
      </c>
      <c r="H53" s="364">
        <f t="shared" ref="H53:H72" si="35">+I$13*((D53+F53)/2)+E53</f>
        <v>181348.35700075008</v>
      </c>
      <c r="I53" s="52">
        <f t="shared" si="6"/>
        <v>0</v>
      </c>
      <c r="J53" s="52"/>
      <c r="K53" s="129"/>
      <c r="L53" s="54">
        <f t="shared" si="33"/>
        <v>0</v>
      </c>
      <c r="M53" s="129"/>
      <c r="N53" s="54">
        <f t="shared" si="10"/>
        <v>0</v>
      </c>
      <c r="O53" s="54">
        <f t="shared" si="11"/>
        <v>0</v>
      </c>
      <c r="P53" s="1"/>
    </row>
    <row r="54" spans="2:16" ht="12.5">
      <c r="B54" s="7" t="str">
        <f t="shared" si="5"/>
        <v/>
      </c>
      <c r="C54" s="50">
        <f>IF(D11="","-",+C53+1)</f>
        <v>2050</v>
      </c>
      <c r="D54" s="55">
        <f>IF(F53+SUM(E$17:E53)=D$10,F53,D$10-SUM(E$17:E53))</f>
        <v>647376.83569243306</v>
      </c>
      <c r="E54" s="378">
        <f t="shared" si="29"/>
        <v>98106.090909090912</v>
      </c>
      <c r="F54" s="55">
        <f t="shared" si="30"/>
        <v>549270.74478334212</v>
      </c>
      <c r="G54" s="379">
        <f t="shared" si="34"/>
        <v>169622.01735659636</v>
      </c>
      <c r="H54" s="364">
        <f t="shared" si="35"/>
        <v>169622.01735659636</v>
      </c>
      <c r="I54" s="52">
        <f t="shared" si="6"/>
        <v>0</v>
      </c>
      <c r="J54" s="52"/>
      <c r="K54" s="129"/>
      <c r="L54" s="54">
        <f t="shared" si="33"/>
        <v>0</v>
      </c>
      <c r="M54" s="129"/>
      <c r="N54" s="54">
        <f t="shared" si="10"/>
        <v>0</v>
      </c>
      <c r="O54" s="54">
        <f t="shared" si="11"/>
        <v>0</v>
      </c>
      <c r="P54" s="1"/>
    </row>
    <row r="55" spans="2:16" ht="12.5">
      <c r="B55" s="7" t="str">
        <f t="shared" si="5"/>
        <v/>
      </c>
      <c r="C55" s="50">
        <f>IF(D11="","-",+C54+1)</f>
        <v>2051</v>
      </c>
      <c r="D55" s="55">
        <f>IF(F54+SUM(E$17:E54)=D$10,F54,D$10-SUM(E$17:E54))</f>
        <v>549270.74478334212</v>
      </c>
      <c r="E55" s="378">
        <f t="shared" si="29"/>
        <v>98106.090909090912</v>
      </c>
      <c r="F55" s="55">
        <f t="shared" si="30"/>
        <v>451164.65387425118</v>
      </c>
      <c r="G55" s="379">
        <f t="shared" si="34"/>
        <v>157895.6777124427</v>
      </c>
      <c r="H55" s="364">
        <f t="shared" si="35"/>
        <v>157895.6777124427</v>
      </c>
      <c r="I55" s="52">
        <f t="shared" si="6"/>
        <v>0</v>
      </c>
      <c r="J55" s="52"/>
      <c r="K55" s="129"/>
      <c r="L55" s="54">
        <f t="shared" si="33"/>
        <v>0</v>
      </c>
      <c r="M55" s="129"/>
      <c r="N55" s="54">
        <f t="shared" si="10"/>
        <v>0</v>
      </c>
      <c r="O55" s="54">
        <f t="shared" si="11"/>
        <v>0</v>
      </c>
      <c r="P55" s="1"/>
    </row>
    <row r="56" spans="2:16" ht="12.5">
      <c r="B56" s="7" t="str">
        <f t="shared" si="5"/>
        <v/>
      </c>
      <c r="C56" s="50">
        <f>IF(D11="","-",+C55+1)</f>
        <v>2052</v>
      </c>
      <c r="D56" s="55">
        <f>IF(F55+SUM(E$17:E55)=D$10,F55,D$10-SUM(E$17:E55))</f>
        <v>451164.65387425118</v>
      </c>
      <c r="E56" s="378">
        <f t="shared" si="29"/>
        <v>98106.090909090912</v>
      </c>
      <c r="F56" s="55">
        <f t="shared" si="30"/>
        <v>353058.56296516024</v>
      </c>
      <c r="G56" s="379">
        <f t="shared" si="34"/>
        <v>146169.33806828901</v>
      </c>
      <c r="H56" s="364">
        <f t="shared" si="35"/>
        <v>146169.33806828901</v>
      </c>
      <c r="I56" s="52">
        <f t="shared" si="6"/>
        <v>0</v>
      </c>
      <c r="J56" s="52"/>
      <c r="K56" s="129"/>
      <c r="L56" s="54">
        <f t="shared" si="33"/>
        <v>0</v>
      </c>
      <c r="M56" s="129"/>
      <c r="N56" s="54">
        <f t="shared" si="10"/>
        <v>0</v>
      </c>
      <c r="O56" s="54">
        <f t="shared" si="11"/>
        <v>0</v>
      </c>
      <c r="P56" s="1"/>
    </row>
    <row r="57" spans="2:16" ht="12.5">
      <c r="B57" s="7" t="str">
        <f t="shared" si="5"/>
        <v/>
      </c>
      <c r="C57" s="50">
        <f>IF(D11="","-",+C56+1)</f>
        <v>2053</v>
      </c>
      <c r="D57" s="55">
        <f>IF(F56+SUM(E$17:E56)=D$10,F56,D$10-SUM(E$17:E56))</f>
        <v>353058.56296516024</v>
      </c>
      <c r="E57" s="378">
        <f t="shared" si="29"/>
        <v>98106.090909090912</v>
      </c>
      <c r="F57" s="55">
        <f t="shared" si="30"/>
        <v>254952.47205606932</v>
      </c>
      <c r="G57" s="379">
        <f t="shared" si="34"/>
        <v>134442.99842413532</v>
      </c>
      <c r="H57" s="364">
        <f t="shared" si="35"/>
        <v>134442.99842413532</v>
      </c>
      <c r="I57" s="52">
        <f t="shared" si="6"/>
        <v>0</v>
      </c>
      <c r="J57" s="52"/>
      <c r="K57" s="129"/>
      <c r="L57" s="54">
        <f t="shared" si="33"/>
        <v>0</v>
      </c>
      <c r="M57" s="129"/>
      <c r="N57" s="54">
        <f t="shared" si="10"/>
        <v>0</v>
      </c>
      <c r="O57" s="54">
        <f t="shared" si="11"/>
        <v>0</v>
      </c>
      <c r="P57" s="1"/>
    </row>
    <row r="58" spans="2:16" ht="12.5">
      <c r="B58" s="7" t="str">
        <f t="shared" si="5"/>
        <v/>
      </c>
      <c r="C58" s="50">
        <f>IF(D11="","-",+C57+1)</f>
        <v>2054</v>
      </c>
      <c r="D58" s="55">
        <f>IF(F57+SUM(E$17:E57)=D$10,F57,D$10-SUM(E$17:E57))</f>
        <v>254952.47205606932</v>
      </c>
      <c r="E58" s="378">
        <f t="shared" si="29"/>
        <v>98106.090909090912</v>
      </c>
      <c r="F58" s="55">
        <f t="shared" si="30"/>
        <v>156846.38114697841</v>
      </c>
      <c r="G58" s="379">
        <f t="shared" si="34"/>
        <v>122716.65877998166</v>
      </c>
      <c r="H58" s="364">
        <f t="shared" si="35"/>
        <v>122716.65877998166</v>
      </c>
      <c r="I58" s="52">
        <f t="shared" si="6"/>
        <v>0</v>
      </c>
      <c r="J58" s="52"/>
      <c r="K58" s="129"/>
      <c r="L58" s="54">
        <f t="shared" si="33"/>
        <v>0</v>
      </c>
      <c r="M58" s="129"/>
      <c r="N58" s="54">
        <f t="shared" si="10"/>
        <v>0</v>
      </c>
      <c r="O58" s="54">
        <f t="shared" si="11"/>
        <v>0</v>
      </c>
      <c r="P58" s="1"/>
    </row>
    <row r="59" spans="2:16" ht="12.5">
      <c r="B59" s="7" t="str">
        <f t="shared" si="5"/>
        <v/>
      </c>
      <c r="C59" s="50">
        <f>IF(D11="","-",+C58+1)</f>
        <v>2055</v>
      </c>
      <c r="D59" s="55">
        <f>IF(F58+SUM(E$17:E58)=D$10,F58,D$10-SUM(E$17:E58))</f>
        <v>156846.38114697841</v>
      </c>
      <c r="E59" s="378">
        <f t="shared" si="29"/>
        <v>98106.090909090912</v>
      </c>
      <c r="F59" s="55">
        <f t="shared" si="30"/>
        <v>58740.290237887501</v>
      </c>
      <c r="G59" s="379">
        <f t="shared" si="34"/>
        <v>110990.31913582799</v>
      </c>
      <c r="H59" s="364">
        <f t="shared" si="35"/>
        <v>110990.31913582799</v>
      </c>
      <c r="I59" s="52">
        <f t="shared" si="6"/>
        <v>0</v>
      </c>
      <c r="J59" s="52"/>
      <c r="K59" s="129"/>
      <c r="L59" s="54">
        <f t="shared" si="33"/>
        <v>0</v>
      </c>
      <c r="M59" s="129"/>
      <c r="N59" s="54">
        <f t="shared" si="10"/>
        <v>0</v>
      </c>
      <c r="O59" s="54">
        <f t="shared" si="11"/>
        <v>0</v>
      </c>
      <c r="P59" s="1"/>
    </row>
    <row r="60" spans="2:16" ht="12.5">
      <c r="B60" s="7" t="str">
        <f t="shared" si="5"/>
        <v/>
      </c>
      <c r="C60" s="50">
        <f>IF(D11="","-",+C59+1)</f>
        <v>2056</v>
      </c>
      <c r="D60" s="55">
        <f>IF(F59+SUM(E$17:E59)=D$10,F59,D$10-SUM(E$17:E59))</f>
        <v>58740.290237887501</v>
      </c>
      <c r="E60" s="378">
        <f t="shared" si="29"/>
        <v>58740.290237887501</v>
      </c>
      <c r="F60" s="55">
        <f t="shared" si="30"/>
        <v>0</v>
      </c>
      <c r="G60" s="379">
        <f t="shared" si="34"/>
        <v>62250.819440217616</v>
      </c>
      <c r="H60" s="364">
        <f t="shared" si="35"/>
        <v>62250.819440217616</v>
      </c>
      <c r="I60" s="52">
        <f t="shared" si="6"/>
        <v>0</v>
      </c>
      <c r="J60" s="52"/>
      <c r="K60" s="129"/>
      <c r="L60" s="54">
        <f t="shared" si="33"/>
        <v>0</v>
      </c>
      <c r="M60" s="129"/>
      <c r="N60" s="54">
        <f t="shared" si="10"/>
        <v>0</v>
      </c>
      <c r="O60" s="54">
        <f t="shared" si="11"/>
        <v>0</v>
      </c>
      <c r="P60" s="1"/>
    </row>
    <row r="61" spans="2:16" ht="12.5">
      <c r="B61" s="7" t="str">
        <f t="shared" si="5"/>
        <v/>
      </c>
      <c r="C61" s="50">
        <f>IF(D11="","-",+C60+1)</f>
        <v>2057</v>
      </c>
      <c r="D61" s="55">
        <f>IF(F60+SUM(E$17:E60)=D$10,F60,D$10-SUM(E$17:E60))</f>
        <v>0</v>
      </c>
      <c r="E61" s="378">
        <f t="shared" si="29"/>
        <v>0</v>
      </c>
      <c r="F61" s="55">
        <f t="shared" si="30"/>
        <v>0</v>
      </c>
      <c r="G61" s="379">
        <f t="shared" si="34"/>
        <v>0</v>
      </c>
      <c r="H61" s="364">
        <f t="shared" si="35"/>
        <v>0</v>
      </c>
      <c r="I61" s="52">
        <f t="shared" si="6"/>
        <v>0</v>
      </c>
      <c r="J61" s="52"/>
      <c r="K61" s="129"/>
      <c r="L61" s="54">
        <f t="shared" si="33"/>
        <v>0</v>
      </c>
      <c r="M61" s="129"/>
      <c r="N61" s="54">
        <f t="shared" si="10"/>
        <v>0</v>
      </c>
      <c r="O61" s="54">
        <f t="shared" si="11"/>
        <v>0</v>
      </c>
      <c r="P61" s="1"/>
    </row>
    <row r="62" spans="2:16" ht="12.5">
      <c r="B62" s="7" t="str">
        <f t="shared" si="5"/>
        <v/>
      </c>
      <c r="C62" s="50">
        <f>IF(D11="","-",+C61+1)</f>
        <v>2058</v>
      </c>
      <c r="D62" s="55">
        <f>IF(F61+SUM(E$17:E61)=D$10,F61,D$10-SUM(E$17:E61))</f>
        <v>0</v>
      </c>
      <c r="E62" s="378">
        <f t="shared" si="29"/>
        <v>0</v>
      </c>
      <c r="F62" s="55">
        <f t="shared" si="30"/>
        <v>0</v>
      </c>
      <c r="G62" s="379">
        <f t="shared" si="34"/>
        <v>0</v>
      </c>
      <c r="H62" s="364">
        <f t="shared" si="35"/>
        <v>0</v>
      </c>
      <c r="I62" s="52">
        <f t="shared" si="6"/>
        <v>0</v>
      </c>
      <c r="J62" s="52"/>
      <c r="K62" s="129"/>
      <c r="L62" s="54">
        <f t="shared" si="33"/>
        <v>0</v>
      </c>
      <c r="M62" s="129"/>
      <c r="N62" s="54">
        <f t="shared" si="10"/>
        <v>0</v>
      </c>
      <c r="O62" s="54">
        <f t="shared" si="11"/>
        <v>0</v>
      </c>
      <c r="P62" s="1"/>
    </row>
    <row r="63" spans="2:16" ht="12.5">
      <c r="B63" s="7" t="str">
        <f t="shared" si="5"/>
        <v/>
      </c>
      <c r="C63" s="50">
        <f>IF(D11="","-",+C62+1)</f>
        <v>2059</v>
      </c>
      <c r="D63" s="55">
        <f>IF(F62+SUM(E$17:E62)=D$10,F62,D$10-SUM(E$17:E62))</f>
        <v>0</v>
      </c>
      <c r="E63" s="378">
        <f t="shared" si="29"/>
        <v>0</v>
      </c>
      <c r="F63" s="55">
        <f t="shared" si="30"/>
        <v>0</v>
      </c>
      <c r="G63" s="379">
        <f t="shared" si="34"/>
        <v>0</v>
      </c>
      <c r="H63" s="364">
        <f t="shared" si="35"/>
        <v>0</v>
      </c>
      <c r="I63" s="52">
        <f t="shared" si="6"/>
        <v>0</v>
      </c>
      <c r="J63" s="52"/>
      <c r="K63" s="129"/>
      <c r="L63" s="54">
        <f t="shared" si="33"/>
        <v>0</v>
      </c>
      <c r="M63" s="129"/>
      <c r="N63" s="54">
        <f t="shared" si="10"/>
        <v>0</v>
      </c>
      <c r="O63" s="54">
        <f t="shared" si="11"/>
        <v>0</v>
      </c>
      <c r="P63" s="1"/>
    </row>
    <row r="64" spans="2:16" ht="12.5">
      <c r="B64" s="7" t="str">
        <f t="shared" si="5"/>
        <v/>
      </c>
      <c r="C64" s="50">
        <f>IF(D11="","-",+C63+1)</f>
        <v>2060</v>
      </c>
      <c r="D64" s="55">
        <f>IF(F63+SUM(E$17:E63)=D$10,F63,D$10-SUM(E$17:E63))</f>
        <v>0</v>
      </c>
      <c r="E64" s="378">
        <f t="shared" si="29"/>
        <v>0</v>
      </c>
      <c r="F64" s="55">
        <f t="shared" si="30"/>
        <v>0</v>
      </c>
      <c r="G64" s="379">
        <f t="shared" si="34"/>
        <v>0</v>
      </c>
      <c r="H64" s="364">
        <f t="shared" si="35"/>
        <v>0</v>
      </c>
      <c r="I64" s="52">
        <f t="shared" si="6"/>
        <v>0</v>
      </c>
      <c r="J64" s="52"/>
      <c r="K64" s="129"/>
      <c r="L64" s="54">
        <f t="shared" si="33"/>
        <v>0</v>
      </c>
      <c r="M64" s="129"/>
      <c r="N64" s="54">
        <f t="shared" si="10"/>
        <v>0</v>
      </c>
      <c r="O64" s="54">
        <f t="shared" si="11"/>
        <v>0</v>
      </c>
      <c r="P64" s="1"/>
    </row>
    <row r="65" spans="2:16" ht="12.5">
      <c r="B65" s="7" t="str">
        <f t="shared" si="5"/>
        <v/>
      </c>
      <c r="C65" s="50">
        <f>IF(D11="","-",+C64+1)</f>
        <v>2061</v>
      </c>
      <c r="D65" s="55">
        <f>IF(F64+SUM(E$17:E64)=D$10,F64,D$10-SUM(E$17:E64))</f>
        <v>0</v>
      </c>
      <c r="E65" s="378">
        <f t="shared" si="29"/>
        <v>0</v>
      </c>
      <c r="F65" s="55">
        <f t="shared" si="30"/>
        <v>0</v>
      </c>
      <c r="G65" s="379">
        <f t="shared" si="34"/>
        <v>0</v>
      </c>
      <c r="H65" s="364">
        <f t="shared" si="35"/>
        <v>0</v>
      </c>
      <c r="I65" s="52">
        <f t="shared" si="6"/>
        <v>0</v>
      </c>
      <c r="J65" s="52"/>
      <c r="K65" s="129"/>
      <c r="L65" s="54">
        <f t="shared" si="33"/>
        <v>0</v>
      </c>
      <c r="M65" s="129"/>
      <c r="N65" s="54">
        <f t="shared" si="10"/>
        <v>0</v>
      </c>
      <c r="O65" s="54">
        <f t="shared" si="11"/>
        <v>0</v>
      </c>
      <c r="P65" s="1"/>
    </row>
    <row r="66" spans="2:16" ht="12.5">
      <c r="B66" s="7" t="str">
        <f t="shared" si="5"/>
        <v/>
      </c>
      <c r="C66" s="50">
        <f>IF(D11="","-",+C65+1)</f>
        <v>2062</v>
      </c>
      <c r="D66" s="55">
        <f>IF(F65+SUM(E$17:E65)=D$10,F65,D$10-SUM(E$17:E65))</f>
        <v>0</v>
      </c>
      <c r="E66" s="378">
        <f t="shared" si="29"/>
        <v>0</v>
      </c>
      <c r="F66" s="55">
        <f t="shared" si="30"/>
        <v>0</v>
      </c>
      <c r="G66" s="379">
        <f t="shared" si="34"/>
        <v>0</v>
      </c>
      <c r="H66" s="364">
        <f t="shared" si="35"/>
        <v>0</v>
      </c>
      <c r="I66" s="52">
        <f t="shared" si="6"/>
        <v>0</v>
      </c>
      <c r="J66" s="52"/>
      <c r="K66" s="129"/>
      <c r="L66" s="54">
        <f t="shared" si="33"/>
        <v>0</v>
      </c>
      <c r="M66" s="129"/>
      <c r="N66" s="54">
        <f t="shared" si="10"/>
        <v>0</v>
      </c>
      <c r="O66" s="54">
        <f t="shared" si="11"/>
        <v>0</v>
      </c>
      <c r="P66" s="1"/>
    </row>
    <row r="67" spans="2:16" ht="12.5">
      <c r="B67" s="7" t="str">
        <f t="shared" si="5"/>
        <v/>
      </c>
      <c r="C67" s="50">
        <f>IF(D11="","-",+C66+1)</f>
        <v>2063</v>
      </c>
      <c r="D67" s="55">
        <f>IF(F66+SUM(E$17:E66)=D$10,F66,D$10-SUM(E$17:E66))</f>
        <v>0</v>
      </c>
      <c r="E67" s="378">
        <f t="shared" si="29"/>
        <v>0</v>
      </c>
      <c r="F67" s="55">
        <f t="shared" si="30"/>
        <v>0</v>
      </c>
      <c r="G67" s="379">
        <f t="shared" si="34"/>
        <v>0</v>
      </c>
      <c r="H67" s="364">
        <f t="shared" si="35"/>
        <v>0</v>
      </c>
      <c r="I67" s="52">
        <f t="shared" si="6"/>
        <v>0</v>
      </c>
      <c r="J67" s="52"/>
      <c r="K67" s="129"/>
      <c r="L67" s="54">
        <f t="shared" si="33"/>
        <v>0</v>
      </c>
      <c r="M67" s="129"/>
      <c r="N67" s="54">
        <f t="shared" si="10"/>
        <v>0</v>
      </c>
      <c r="O67" s="54">
        <f t="shared" si="11"/>
        <v>0</v>
      </c>
      <c r="P67" s="1"/>
    </row>
    <row r="68" spans="2:16" ht="12.5">
      <c r="B68" s="7" t="str">
        <f t="shared" si="5"/>
        <v/>
      </c>
      <c r="C68" s="50">
        <f>IF(D11="","-",+C67+1)</f>
        <v>2064</v>
      </c>
      <c r="D68" s="55">
        <f>IF(F67+SUM(E$17:E67)=D$10,F67,D$10-SUM(E$17:E67))</f>
        <v>0</v>
      </c>
      <c r="E68" s="378">
        <f t="shared" si="29"/>
        <v>0</v>
      </c>
      <c r="F68" s="55">
        <f t="shared" si="30"/>
        <v>0</v>
      </c>
      <c r="G68" s="379">
        <f t="shared" si="34"/>
        <v>0</v>
      </c>
      <c r="H68" s="364">
        <f t="shared" si="35"/>
        <v>0</v>
      </c>
      <c r="I68" s="52">
        <f t="shared" si="6"/>
        <v>0</v>
      </c>
      <c r="J68" s="52"/>
      <c r="K68" s="129"/>
      <c r="L68" s="54">
        <f t="shared" si="33"/>
        <v>0</v>
      </c>
      <c r="M68" s="129"/>
      <c r="N68" s="54">
        <f t="shared" si="10"/>
        <v>0</v>
      </c>
      <c r="O68" s="54">
        <f t="shared" si="11"/>
        <v>0</v>
      </c>
      <c r="P68" s="1"/>
    </row>
    <row r="69" spans="2:16" ht="12.5">
      <c r="B69" s="7" t="str">
        <f t="shared" si="5"/>
        <v/>
      </c>
      <c r="C69" s="50">
        <f>IF(D11="","-",+C68+1)</f>
        <v>2065</v>
      </c>
      <c r="D69" s="55">
        <f>IF(F68+SUM(E$17:E68)=D$10,F68,D$10-SUM(E$17:E68))</f>
        <v>0</v>
      </c>
      <c r="E69" s="378">
        <f t="shared" si="29"/>
        <v>0</v>
      </c>
      <c r="F69" s="55">
        <f t="shared" si="30"/>
        <v>0</v>
      </c>
      <c r="G69" s="379">
        <f t="shared" si="34"/>
        <v>0</v>
      </c>
      <c r="H69" s="364">
        <f t="shared" si="35"/>
        <v>0</v>
      </c>
      <c r="I69" s="52">
        <f t="shared" si="6"/>
        <v>0</v>
      </c>
      <c r="J69" s="52"/>
      <c r="K69" s="129"/>
      <c r="L69" s="54">
        <f t="shared" si="33"/>
        <v>0</v>
      </c>
      <c r="M69" s="129"/>
      <c r="N69" s="54">
        <f t="shared" si="10"/>
        <v>0</v>
      </c>
      <c r="O69" s="54">
        <f t="shared" si="11"/>
        <v>0</v>
      </c>
      <c r="P69" s="1"/>
    </row>
    <row r="70" spans="2:16" ht="12.5">
      <c r="B70" s="7" t="str">
        <f t="shared" si="5"/>
        <v/>
      </c>
      <c r="C70" s="50">
        <f>IF(D11="","-",+C69+1)</f>
        <v>2066</v>
      </c>
      <c r="D70" s="55">
        <f>IF(F69+SUM(E$17:E69)=D$10,F69,D$10-SUM(E$17:E69))</f>
        <v>0</v>
      </c>
      <c r="E70" s="378">
        <f t="shared" si="29"/>
        <v>0</v>
      </c>
      <c r="F70" s="55">
        <f t="shared" si="30"/>
        <v>0</v>
      </c>
      <c r="G70" s="379">
        <f t="shared" si="34"/>
        <v>0</v>
      </c>
      <c r="H70" s="364">
        <f t="shared" si="35"/>
        <v>0</v>
      </c>
      <c r="I70" s="52">
        <f t="shared" si="6"/>
        <v>0</v>
      </c>
      <c r="J70" s="52"/>
      <c r="K70" s="129"/>
      <c r="L70" s="54">
        <f t="shared" si="33"/>
        <v>0</v>
      </c>
      <c r="M70" s="129"/>
      <c r="N70" s="54">
        <f t="shared" si="10"/>
        <v>0</v>
      </c>
      <c r="O70" s="54">
        <f t="shared" si="11"/>
        <v>0</v>
      </c>
      <c r="P70" s="1"/>
    </row>
    <row r="71" spans="2:16" ht="12.5">
      <c r="B71" s="7" t="str">
        <f t="shared" si="5"/>
        <v/>
      </c>
      <c r="C71" s="50">
        <f>IF(D11="","-",+C70+1)</f>
        <v>2067</v>
      </c>
      <c r="D71" s="55">
        <f>IF(F70+SUM(E$17:E70)=D$10,F70,D$10-SUM(E$17:E70))</f>
        <v>0</v>
      </c>
      <c r="E71" s="378">
        <f t="shared" si="29"/>
        <v>0</v>
      </c>
      <c r="F71" s="55">
        <f t="shared" si="30"/>
        <v>0</v>
      </c>
      <c r="G71" s="379">
        <f t="shared" si="34"/>
        <v>0</v>
      </c>
      <c r="H71" s="364">
        <f t="shared" si="35"/>
        <v>0</v>
      </c>
      <c r="I71" s="52">
        <f t="shared" si="6"/>
        <v>0</v>
      </c>
      <c r="J71" s="52"/>
      <c r="K71" s="129"/>
      <c r="L71" s="54">
        <f t="shared" si="33"/>
        <v>0</v>
      </c>
      <c r="M71" s="129"/>
      <c r="N71" s="54">
        <f t="shared" si="10"/>
        <v>0</v>
      </c>
      <c r="O71" s="54">
        <f t="shared" si="11"/>
        <v>0</v>
      </c>
      <c r="P71" s="1"/>
    </row>
    <row r="72" spans="2:16" ht="13" thickBot="1">
      <c r="B72" s="7" t="str">
        <f t="shared" si="5"/>
        <v/>
      </c>
      <c r="C72" s="59">
        <f>IF(D11="","-",+C71+1)</f>
        <v>2068</v>
      </c>
      <c r="D72" s="55">
        <f>IF(F71+SUM(E$17:E71)=D$10,F71,D$10-SUM(E$17:E71))</f>
        <v>0</v>
      </c>
      <c r="E72" s="378">
        <f t="shared" si="29"/>
        <v>0</v>
      </c>
      <c r="F72" s="55">
        <f t="shared" si="30"/>
        <v>0</v>
      </c>
      <c r="G72" s="379">
        <f t="shared" si="34"/>
        <v>0</v>
      </c>
      <c r="H72" s="364">
        <f t="shared" si="35"/>
        <v>0</v>
      </c>
      <c r="I72" s="52">
        <f t="shared" si="6"/>
        <v>0</v>
      </c>
      <c r="J72" s="52"/>
      <c r="K72" s="130"/>
      <c r="L72" s="64">
        <f t="shared" si="33"/>
        <v>0</v>
      </c>
      <c r="M72" s="130"/>
      <c r="N72" s="64">
        <f t="shared" si="10"/>
        <v>0</v>
      </c>
      <c r="O72" s="64">
        <f t="shared" si="11"/>
        <v>0</v>
      </c>
      <c r="P72" s="1"/>
    </row>
    <row r="73" spans="2:16" ht="12.5">
      <c r="C73" s="12" t="s">
        <v>78</v>
      </c>
      <c r="D73" s="293"/>
      <c r="E73" s="293">
        <f>SUM(E17:E72)</f>
        <v>4316667.9999999991</v>
      </c>
      <c r="F73" s="293"/>
      <c r="G73" s="293">
        <f>SUM(G17:G72)</f>
        <v>15659768.037544711</v>
      </c>
      <c r="H73" s="293">
        <f>SUM(H17:H72)</f>
        <v>15659768.037544711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 ht="13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39 of 77</v>
      </c>
    </row>
    <row r="84" spans="1:16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474506.84810459183</v>
      </c>
      <c r="N87" s="387">
        <f>IF(J92&lt;D11,0,VLOOKUP(J92,C17:O72,11))</f>
        <v>474506.84810459183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491751.87339361978</v>
      </c>
      <c r="N88" s="390">
        <f>IF(J92&lt;D11,0,VLOOKUP(J92,C99:P154,7))</f>
        <v>491751.87339361978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Ashdown West - Craig Junction 138KV Rebuild (tie w/PSO)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17245.025289027952</v>
      </c>
      <c r="N89" s="392">
        <f>+N88-N87</f>
        <v>17245.025289027952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TP2009092</v>
      </c>
      <c r="E91" s="76" t="str">
        <f>E9</f>
        <v xml:space="preserve">  SPP Project ID = 770 (split between PSO &amp; SWEPCO)</v>
      </c>
      <c r="F91" s="76"/>
      <c r="G91" s="76"/>
      <c r="H91" s="76"/>
      <c r="I91" s="76"/>
      <c r="J91" s="76"/>
    </row>
    <row r="92" spans="1:16" ht="13">
      <c r="C92" s="34" t="s">
        <v>51</v>
      </c>
      <c r="D92" s="428">
        <f>D10</f>
        <v>4316668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</row>
    <row r="93" spans="1:16" ht="12.5">
      <c r="C93" s="34" t="s">
        <v>54</v>
      </c>
      <c r="D93" s="88">
        <f>IF(D11=I10,"",D11)</f>
        <v>2013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4">
        <f>IF(D11=I10,"",D12)</f>
        <v>2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98106.090909090912</v>
      </c>
      <c r="K96" s="293"/>
      <c r="L96" s="293"/>
      <c r="M96" s="293"/>
      <c r="N96" s="293"/>
      <c r="O96" s="293"/>
      <c r="P96" s="1"/>
    </row>
    <row r="97" spans="1:16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5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 ht="12.5">
      <c r="C99" s="50">
        <f>IF(D93= "","-",D93)</f>
        <v>2013</v>
      </c>
      <c r="D99" s="429">
        <v>0</v>
      </c>
      <c r="E99" s="430">
        <v>85637.440476190473</v>
      </c>
      <c r="F99" s="431">
        <v>4230489.5595238097</v>
      </c>
      <c r="G99" s="432">
        <v>2115244.7797619049</v>
      </c>
      <c r="H99" s="433">
        <v>371812.50753135112</v>
      </c>
      <c r="I99" s="434">
        <v>371812.50753135112</v>
      </c>
      <c r="J99" s="154">
        <v>0</v>
      </c>
      <c r="K99" s="54"/>
      <c r="L99" s="113">
        <f t="shared" ref="L99:L104" si="36">H99</f>
        <v>371812.50753135112</v>
      </c>
      <c r="M99" s="54">
        <f t="shared" ref="M99:M104" si="37">IF(L99&lt;&gt;0,+H99-L99,0)</f>
        <v>0</v>
      </c>
      <c r="N99" s="113">
        <f t="shared" ref="N99:N104" si="38">I99</f>
        <v>371812.50753135112</v>
      </c>
      <c r="O99" s="54">
        <f>IF(N99&lt;&gt;0,+I99-N99,0)</f>
        <v>0</v>
      </c>
      <c r="P99" s="54">
        <f>+O99-M99</f>
        <v>0</v>
      </c>
    </row>
    <row r="100" spans="1:16" ht="12.5">
      <c r="B100" s="7" t="str">
        <f>IF(D100=F99,"","IU")</f>
        <v/>
      </c>
      <c r="C100" s="50">
        <f>IF(D93="","-",+C99+1)</f>
        <v>2014</v>
      </c>
      <c r="D100" s="429">
        <v>4230489.5595238097</v>
      </c>
      <c r="E100" s="430">
        <v>102777.80952380953</v>
      </c>
      <c r="F100" s="431">
        <v>4127711.75</v>
      </c>
      <c r="G100" s="431">
        <v>4179100.6547619049</v>
      </c>
      <c r="H100" s="433">
        <v>670815.62922303798</v>
      </c>
      <c r="I100" s="434">
        <v>670815.62922303798</v>
      </c>
      <c r="J100" s="54">
        <f>+I100-H100</f>
        <v>0</v>
      </c>
      <c r="K100" s="54"/>
      <c r="L100" s="113">
        <f t="shared" si="36"/>
        <v>670815.62922303798</v>
      </c>
      <c r="M100" s="54">
        <f t="shared" si="37"/>
        <v>0</v>
      </c>
      <c r="N100" s="113">
        <f t="shared" si="38"/>
        <v>670815.62922303798</v>
      </c>
      <c r="O100" s="54">
        <f>IF(N100&lt;&gt;0,+I100-N100,0)</f>
        <v>0</v>
      </c>
      <c r="P100" s="54">
        <f>+O100-M100</f>
        <v>0</v>
      </c>
    </row>
    <row r="101" spans="1:16" ht="12.5">
      <c r="B101" s="7" t="str">
        <f t="shared" ref="B101:B154" si="39">IF(D101=F100,"","IU")</f>
        <v>IU</v>
      </c>
      <c r="C101" s="50">
        <f>IF(D93="","-",+C100+1)</f>
        <v>2015</v>
      </c>
      <c r="D101" s="429">
        <v>4128252.75</v>
      </c>
      <c r="E101" s="430">
        <v>102777.80952380953</v>
      </c>
      <c r="F101" s="431">
        <v>4025474.9404761903</v>
      </c>
      <c r="G101" s="431">
        <v>4076863.8452380951</v>
      </c>
      <c r="H101" s="433">
        <v>639981.58365995577</v>
      </c>
      <c r="I101" s="434">
        <v>639981.58365995577</v>
      </c>
      <c r="J101" s="54">
        <f>+I101-H101</f>
        <v>0</v>
      </c>
      <c r="K101" s="54"/>
      <c r="L101" s="113">
        <f t="shared" si="36"/>
        <v>639981.58365995577</v>
      </c>
      <c r="M101" s="54">
        <f t="shared" si="37"/>
        <v>0</v>
      </c>
      <c r="N101" s="113">
        <f t="shared" si="38"/>
        <v>639981.58365995577</v>
      </c>
      <c r="O101" s="54">
        <f>IF(N101&lt;&gt;0,+I101-N101,0)</f>
        <v>0</v>
      </c>
      <c r="P101" s="54">
        <f>+O101-M101</f>
        <v>0</v>
      </c>
    </row>
    <row r="102" spans="1:16" ht="12.5">
      <c r="B102" s="7" t="str">
        <f t="shared" si="39"/>
        <v/>
      </c>
      <c r="C102" s="50">
        <f>IF(D93="","-",+C101+1)</f>
        <v>2016</v>
      </c>
      <c r="D102" s="429">
        <v>4025474.9404761903</v>
      </c>
      <c r="E102" s="430">
        <v>100387.62790697675</v>
      </c>
      <c r="F102" s="431">
        <v>3925087.3125692136</v>
      </c>
      <c r="G102" s="431">
        <v>3975281.1265227022</v>
      </c>
      <c r="H102" s="433">
        <v>605049.52036198007</v>
      </c>
      <c r="I102" s="434">
        <v>605049.52036198007</v>
      </c>
      <c r="J102" s="54">
        <f t="shared" ref="J102:J154" si="40">+I102-H102</f>
        <v>0</v>
      </c>
      <c r="K102" s="54"/>
      <c r="L102" s="113">
        <f t="shared" si="36"/>
        <v>605049.52036198007</v>
      </c>
      <c r="M102" s="54">
        <f t="shared" si="37"/>
        <v>0</v>
      </c>
      <c r="N102" s="113">
        <f t="shared" si="38"/>
        <v>605049.52036198007</v>
      </c>
      <c r="O102" s="54">
        <f>IF(N102&lt;&gt;0,+I102-N102,0)</f>
        <v>0</v>
      </c>
      <c r="P102" s="54">
        <f>+O102-M102</f>
        <v>0</v>
      </c>
    </row>
    <row r="103" spans="1:16" ht="12.5">
      <c r="B103" s="7" t="str">
        <f t="shared" si="39"/>
        <v/>
      </c>
      <c r="C103" s="50">
        <f>IF(D93="","-",+C102+1)</f>
        <v>2017</v>
      </c>
      <c r="D103" s="429">
        <v>3925087.3125692136</v>
      </c>
      <c r="E103" s="430">
        <v>102777.80952380953</v>
      </c>
      <c r="F103" s="431">
        <v>3822309.5030454039</v>
      </c>
      <c r="G103" s="431">
        <v>3873698.4078073087</v>
      </c>
      <c r="H103" s="433">
        <v>573321.60174828372</v>
      </c>
      <c r="I103" s="434">
        <v>573321.60174828372</v>
      </c>
      <c r="J103" s="54">
        <f t="shared" si="40"/>
        <v>0</v>
      </c>
      <c r="K103" s="54"/>
      <c r="L103" s="113">
        <f t="shared" si="36"/>
        <v>573321.60174828372</v>
      </c>
      <c r="M103" s="54">
        <f t="shared" si="37"/>
        <v>0</v>
      </c>
      <c r="N103" s="113">
        <f t="shared" si="38"/>
        <v>573321.60174828372</v>
      </c>
      <c r="O103" s="54">
        <f>IF(N103&lt;&gt;0,+I103-N103,0)</f>
        <v>0</v>
      </c>
      <c r="P103" s="54">
        <f>+O103-M103</f>
        <v>0</v>
      </c>
    </row>
    <row r="104" spans="1:16" ht="12.5">
      <c r="B104" s="7" t="str">
        <f t="shared" si="39"/>
        <v/>
      </c>
      <c r="C104" s="50">
        <f>IF(D93="","-",+C103+1)</f>
        <v>2018</v>
      </c>
      <c r="D104" s="429">
        <v>3822309.5030454039</v>
      </c>
      <c r="E104" s="430">
        <v>102777.80952380953</v>
      </c>
      <c r="F104" s="431">
        <v>3719531.6935215942</v>
      </c>
      <c r="G104" s="431">
        <v>3770920.598283499</v>
      </c>
      <c r="H104" s="433">
        <v>501004.31746485061</v>
      </c>
      <c r="I104" s="434">
        <v>501004.31746485061</v>
      </c>
      <c r="J104" s="54">
        <f t="shared" si="40"/>
        <v>0</v>
      </c>
      <c r="K104" s="54"/>
      <c r="L104" s="113">
        <f t="shared" si="36"/>
        <v>501004.31746485061</v>
      </c>
      <c r="M104" s="54">
        <f t="shared" si="37"/>
        <v>0</v>
      </c>
      <c r="N104" s="113">
        <f t="shared" si="38"/>
        <v>501004.31746485061</v>
      </c>
      <c r="O104" s="54">
        <f t="shared" ref="O104:O130" si="41">IF(N104&lt;&gt;0,+I104-N104,0)</f>
        <v>0</v>
      </c>
      <c r="P104" s="54">
        <f t="shared" ref="P104:P130" si="42">+O104-M104</f>
        <v>0</v>
      </c>
    </row>
    <row r="105" spans="1:16" ht="12.5">
      <c r="B105" s="7" t="str">
        <f t="shared" si="39"/>
        <v/>
      </c>
      <c r="C105" s="50">
        <f>IF(D93="","-",+C104+1)</f>
        <v>2019</v>
      </c>
      <c r="D105" s="429">
        <v>3719531.6935215942</v>
      </c>
      <c r="E105" s="430">
        <v>100387.62790697675</v>
      </c>
      <c r="F105" s="431">
        <v>3619144.0656146174</v>
      </c>
      <c r="G105" s="431">
        <v>3669337.8795681056</v>
      </c>
      <c r="H105" s="433">
        <v>493155.55998343643</v>
      </c>
      <c r="I105" s="434">
        <v>493155.55998343643</v>
      </c>
      <c r="J105" s="54">
        <f t="shared" si="40"/>
        <v>0</v>
      </c>
      <c r="K105" s="54"/>
      <c r="L105" s="113">
        <f t="shared" ref="L105" si="43">H105</f>
        <v>493155.55998343643</v>
      </c>
      <c r="M105" s="54">
        <f t="shared" ref="M105" si="44">IF(L105&lt;&gt;0,+H105-L105,0)</f>
        <v>0</v>
      </c>
      <c r="N105" s="113">
        <f t="shared" ref="N105" si="45">I105</f>
        <v>493155.55998343643</v>
      </c>
      <c r="O105" s="54">
        <f t="shared" si="41"/>
        <v>0</v>
      </c>
      <c r="P105" s="54">
        <f t="shared" si="42"/>
        <v>0</v>
      </c>
    </row>
    <row r="106" spans="1:16" ht="12.5">
      <c r="B106" s="7" t="str">
        <f t="shared" si="39"/>
        <v/>
      </c>
      <c r="C106" s="50">
        <f>IF(D93="","-",+C105+1)</f>
        <v>2020</v>
      </c>
      <c r="D106" s="429">
        <v>3619144.0656146174</v>
      </c>
      <c r="E106" s="430">
        <v>102777.80952380953</v>
      </c>
      <c r="F106" s="431">
        <v>3516366.2560908077</v>
      </c>
      <c r="G106" s="431">
        <v>3567755.1608527126</v>
      </c>
      <c r="H106" s="433">
        <v>486574.90560102114</v>
      </c>
      <c r="I106" s="434">
        <v>486574.90560102114</v>
      </c>
      <c r="J106" s="54">
        <f t="shared" si="40"/>
        <v>0</v>
      </c>
      <c r="K106" s="54"/>
      <c r="L106" s="113">
        <f t="shared" ref="L106" si="46">H106</f>
        <v>486574.90560102114</v>
      </c>
      <c r="M106" s="54">
        <f t="shared" ref="M106" si="47">IF(L106&lt;&gt;0,+H106-L106,0)</f>
        <v>0</v>
      </c>
      <c r="N106" s="113">
        <f t="shared" ref="N106" si="48">I106</f>
        <v>486574.90560102114</v>
      </c>
      <c r="O106" s="54">
        <f t="shared" si="41"/>
        <v>0</v>
      </c>
      <c r="P106" s="54">
        <f t="shared" si="42"/>
        <v>0</v>
      </c>
    </row>
    <row r="107" spans="1:16" ht="12.5">
      <c r="B107" s="7" t="str">
        <f t="shared" si="39"/>
        <v/>
      </c>
      <c r="C107" s="50">
        <f>IF(D93="","-",+C106+1)</f>
        <v>2021</v>
      </c>
      <c r="D107" s="429">
        <v>3516366.2560908077</v>
      </c>
      <c r="E107" s="430">
        <v>105284.58536585367</v>
      </c>
      <c r="F107" s="431">
        <v>3411081.670724954</v>
      </c>
      <c r="G107" s="431">
        <v>3463723.9634078806</v>
      </c>
      <c r="H107" s="433">
        <v>498466.53143756086</v>
      </c>
      <c r="I107" s="434">
        <v>498466.53143756086</v>
      </c>
      <c r="J107" s="54">
        <f t="shared" si="40"/>
        <v>0</v>
      </c>
      <c r="K107" s="54"/>
      <c r="L107" s="113">
        <f t="shared" ref="L107" si="49">H107</f>
        <v>498466.53143756086</v>
      </c>
      <c r="M107" s="54">
        <f t="shared" ref="M107" si="50">IF(L107&lt;&gt;0,+H107-L107,0)</f>
        <v>0</v>
      </c>
      <c r="N107" s="113">
        <f t="shared" ref="N107" si="51">I107</f>
        <v>498466.53143756086</v>
      </c>
      <c r="O107" s="54">
        <f t="shared" si="41"/>
        <v>0</v>
      </c>
      <c r="P107" s="54">
        <f t="shared" si="42"/>
        <v>0</v>
      </c>
    </row>
    <row r="108" spans="1:16" ht="12.5">
      <c r="B108" s="7" t="str">
        <f t="shared" si="39"/>
        <v/>
      </c>
      <c r="C108" s="50">
        <f>IF(D93="","-",+C107+1)</f>
        <v>2022</v>
      </c>
      <c r="D108" s="429">
        <v>3411081.670724954</v>
      </c>
      <c r="E108" s="430">
        <v>102777.80952380953</v>
      </c>
      <c r="F108" s="431">
        <v>3308303.8612011443</v>
      </c>
      <c r="G108" s="431">
        <v>3359692.7659630491</v>
      </c>
      <c r="H108" s="433">
        <v>497400.0750990212</v>
      </c>
      <c r="I108" s="434">
        <v>497400.0750990212</v>
      </c>
      <c r="J108" s="54">
        <f t="shared" si="40"/>
        <v>0</v>
      </c>
      <c r="K108" s="54"/>
      <c r="L108" s="113">
        <f t="shared" ref="L108" si="52">H108</f>
        <v>497400.0750990212</v>
      </c>
      <c r="M108" s="54">
        <f t="shared" ref="M108" si="53">IF(L108&lt;&gt;0,+H108-L108,0)</f>
        <v>0</v>
      </c>
      <c r="N108" s="113">
        <f t="shared" ref="N108" si="54">I108</f>
        <v>497400.0750990212</v>
      </c>
      <c r="O108" s="54">
        <f t="shared" ref="O108" si="55">IF(N108&lt;&gt;0,+I108-N108,0)</f>
        <v>0</v>
      </c>
      <c r="P108" s="54">
        <f t="shared" ref="P108" si="56">+O108-M108</f>
        <v>0</v>
      </c>
    </row>
    <row r="109" spans="1:16" ht="12.5">
      <c r="B109" s="7" t="str">
        <f t="shared" si="39"/>
        <v/>
      </c>
      <c r="C109" s="50">
        <f>IF(D93="","-",+C108+1)</f>
        <v>2023</v>
      </c>
      <c r="D109" s="429">
        <v>3308303.8612011443</v>
      </c>
      <c r="E109" s="430">
        <v>98106.090909090912</v>
      </c>
      <c r="F109" s="431">
        <v>3210197.7702920535</v>
      </c>
      <c r="G109" s="431">
        <v>3259250.8157465989</v>
      </c>
      <c r="H109" s="433">
        <v>500183.75101273519</v>
      </c>
      <c r="I109" s="434">
        <v>500183.75101273519</v>
      </c>
      <c r="J109" s="54">
        <f t="shared" si="40"/>
        <v>0</v>
      </c>
      <c r="K109" s="54"/>
      <c r="L109" s="113">
        <f t="shared" ref="L109" si="57">H109</f>
        <v>500183.75101273519</v>
      </c>
      <c r="M109" s="54">
        <f t="shared" ref="M109" si="58">IF(L109&lt;&gt;0,+H109-L109,0)</f>
        <v>0</v>
      </c>
      <c r="N109" s="113">
        <f t="shared" ref="N109" si="59">I109</f>
        <v>500183.75101273519</v>
      </c>
      <c r="O109" s="54">
        <f t="shared" ref="O109" si="60">IF(N109&lt;&gt;0,+I109-N109,0)</f>
        <v>0</v>
      </c>
      <c r="P109" s="54">
        <f t="shared" ref="P109" si="61">+O109-M109</f>
        <v>0</v>
      </c>
    </row>
    <row r="110" spans="1:16" ht="12.5">
      <c r="B110" s="7" t="str">
        <f t="shared" si="39"/>
        <v/>
      </c>
      <c r="C110" s="50">
        <f>IF(D93="","-",+C109+1)</f>
        <v>2024</v>
      </c>
      <c r="D110" s="12">
        <f>IF(F109+SUM(E$99:E109)=D$92,F109,D$92-SUM(E$99:E109))</f>
        <v>3210197.7702920535</v>
      </c>
      <c r="E110" s="378">
        <f t="shared" ref="E110:E154" si="62">IF(+$J$96&lt;F109,$J$96,D110)</f>
        <v>98106.090909090912</v>
      </c>
      <c r="F110" s="55">
        <f t="shared" ref="F110:F154" si="63">+D110-E110</f>
        <v>3112091.6793829626</v>
      </c>
      <c r="G110" s="55">
        <f t="shared" ref="G110:G154" si="64">+(F110+D110)/2</f>
        <v>3161144.7248375081</v>
      </c>
      <c r="H110" s="380">
        <f t="shared" ref="H110:H154" si="65">+J$94*G110+E110</f>
        <v>491751.87339361978</v>
      </c>
      <c r="I110" s="399">
        <f t="shared" ref="I110:I154" si="66">+J$95*G110+E110</f>
        <v>491751.87339361978</v>
      </c>
      <c r="J110" s="54">
        <f t="shared" si="40"/>
        <v>0</v>
      </c>
      <c r="K110" s="54"/>
      <c r="L110" s="129"/>
      <c r="M110" s="54">
        <f t="shared" ref="M110:M130" si="67">IF(L110&lt;&gt;0,+H110-L110,0)</f>
        <v>0</v>
      </c>
      <c r="N110" s="129"/>
      <c r="O110" s="54">
        <f t="shared" si="41"/>
        <v>0</v>
      </c>
      <c r="P110" s="54">
        <f t="shared" si="42"/>
        <v>0</v>
      </c>
    </row>
    <row r="111" spans="1:16" ht="12.5">
      <c r="B111" s="7" t="str">
        <f t="shared" si="39"/>
        <v/>
      </c>
      <c r="C111" s="50">
        <f>IF(D93="","-",+C110+1)</f>
        <v>2025</v>
      </c>
      <c r="D111" s="12">
        <f>IF(F110+SUM(E$99:E110)=D$92,F110,D$92-SUM(E$99:E110))</f>
        <v>3112091.6793829626</v>
      </c>
      <c r="E111" s="378">
        <f t="shared" si="62"/>
        <v>98106.090909090912</v>
      </c>
      <c r="F111" s="55">
        <f t="shared" si="63"/>
        <v>3013985.5884738718</v>
      </c>
      <c r="G111" s="55">
        <f t="shared" si="64"/>
        <v>3063038.6339284172</v>
      </c>
      <c r="H111" s="380">
        <f t="shared" si="65"/>
        <v>479535.08097061783</v>
      </c>
      <c r="I111" s="399">
        <f t="shared" si="66"/>
        <v>479535.08097061783</v>
      </c>
      <c r="J111" s="54">
        <f t="shared" si="40"/>
        <v>0</v>
      </c>
      <c r="K111" s="54"/>
      <c r="L111" s="129"/>
      <c r="M111" s="54">
        <f t="shared" si="67"/>
        <v>0</v>
      </c>
      <c r="N111" s="129"/>
      <c r="O111" s="54">
        <f t="shared" si="41"/>
        <v>0</v>
      </c>
      <c r="P111" s="54">
        <f t="shared" si="42"/>
        <v>0</v>
      </c>
    </row>
    <row r="112" spans="1:16" ht="12.5">
      <c r="B112" s="7" t="str">
        <f t="shared" si="39"/>
        <v/>
      </c>
      <c r="C112" s="50">
        <f>IF(D93="","-",+C111+1)</f>
        <v>2026</v>
      </c>
      <c r="D112" s="12">
        <f>IF(F111+SUM(E$99:E111)=D$92,F111,D$92-SUM(E$99:E111))</f>
        <v>3013985.5884738718</v>
      </c>
      <c r="E112" s="378">
        <f t="shared" si="62"/>
        <v>98106.090909090912</v>
      </c>
      <c r="F112" s="55">
        <f t="shared" si="63"/>
        <v>2915879.497564781</v>
      </c>
      <c r="G112" s="55">
        <f t="shared" si="64"/>
        <v>2964932.5430193264</v>
      </c>
      <c r="H112" s="380">
        <f t="shared" si="65"/>
        <v>467318.28854761587</v>
      </c>
      <c r="I112" s="399">
        <f t="shared" si="66"/>
        <v>467318.28854761587</v>
      </c>
      <c r="J112" s="54">
        <f t="shared" si="40"/>
        <v>0</v>
      </c>
      <c r="K112" s="54"/>
      <c r="L112" s="129"/>
      <c r="M112" s="54">
        <f t="shared" si="67"/>
        <v>0</v>
      </c>
      <c r="N112" s="129"/>
      <c r="O112" s="54">
        <f t="shared" si="41"/>
        <v>0</v>
      </c>
      <c r="P112" s="54">
        <f t="shared" si="42"/>
        <v>0</v>
      </c>
    </row>
    <row r="113" spans="2:16" ht="12.5">
      <c r="B113" s="7" t="str">
        <f t="shared" si="39"/>
        <v/>
      </c>
      <c r="C113" s="50">
        <f>IF(D93="","-",+C112+1)</f>
        <v>2027</v>
      </c>
      <c r="D113" s="12">
        <f>IF(F112+SUM(E$99:E112)=D$92,F112,D$92-SUM(E$99:E112))</f>
        <v>2915879.497564781</v>
      </c>
      <c r="E113" s="378">
        <f t="shared" si="62"/>
        <v>98106.090909090912</v>
      </c>
      <c r="F113" s="55">
        <f t="shared" si="63"/>
        <v>2817773.4066556902</v>
      </c>
      <c r="G113" s="55">
        <f t="shared" si="64"/>
        <v>2866826.4521102356</v>
      </c>
      <c r="H113" s="380">
        <f t="shared" si="65"/>
        <v>455101.49612461391</v>
      </c>
      <c r="I113" s="399">
        <f t="shared" si="66"/>
        <v>455101.49612461391</v>
      </c>
      <c r="J113" s="54">
        <f t="shared" si="40"/>
        <v>0</v>
      </c>
      <c r="K113" s="54"/>
      <c r="L113" s="129"/>
      <c r="M113" s="54">
        <f t="shared" si="67"/>
        <v>0</v>
      </c>
      <c r="N113" s="129"/>
      <c r="O113" s="54">
        <f t="shared" si="41"/>
        <v>0</v>
      </c>
      <c r="P113" s="54">
        <f t="shared" si="42"/>
        <v>0</v>
      </c>
    </row>
    <row r="114" spans="2:16" ht="12.5">
      <c r="B114" s="7" t="str">
        <f t="shared" si="39"/>
        <v/>
      </c>
      <c r="C114" s="50">
        <f>IF(D93="","-",+C113+1)</f>
        <v>2028</v>
      </c>
      <c r="D114" s="12">
        <f>IF(F113+SUM(E$99:E113)=D$92,F113,D$92-SUM(E$99:E113))</f>
        <v>2817773.4066556902</v>
      </c>
      <c r="E114" s="378">
        <f t="shared" si="62"/>
        <v>98106.090909090912</v>
      </c>
      <c r="F114" s="55">
        <f t="shared" si="63"/>
        <v>2719667.3157465993</v>
      </c>
      <c r="G114" s="55">
        <f t="shared" si="64"/>
        <v>2768720.3612011448</v>
      </c>
      <c r="H114" s="380">
        <f t="shared" si="65"/>
        <v>442884.70370161207</v>
      </c>
      <c r="I114" s="399">
        <f t="shared" si="66"/>
        <v>442884.70370161207</v>
      </c>
      <c r="J114" s="54">
        <f t="shared" si="40"/>
        <v>0</v>
      </c>
      <c r="K114" s="54"/>
      <c r="L114" s="129"/>
      <c r="M114" s="54">
        <f t="shared" si="67"/>
        <v>0</v>
      </c>
      <c r="N114" s="129"/>
      <c r="O114" s="54">
        <f t="shared" si="41"/>
        <v>0</v>
      </c>
      <c r="P114" s="54">
        <f t="shared" si="42"/>
        <v>0</v>
      </c>
    </row>
    <row r="115" spans="2:16" ht="12.5">
      <c r="B115" s="7" t="str">
        <f t="shared" si="39"/>
        <v/>
      </c>
      <c r="C115" s="50">
        <f>IF(D93="","-",+C114+1)</f>
        <v>2029</v>
      </c>
      <c r="D115" s="12">
        <f>IF(F114+SUM(E$99:E114)=D$92,F114,D$92-SUM(E$99:E114))</f>
        <v>2719667.3157465993</v>
      </c>
      <c r="E115" s="378">
        <f t="shared" si="62"/>
        <v>98106.090909090912</v>
      </c>
      <c r="F115" s="55">
        <f t="shared" si="63"/>
        <v>2621561.2248375085</v>
      </c>
      <c r="G115" s="55">
        <f t="shared" si="64"/>
        <v>2670614.2702920539</v>
      </c>
      <c r="H115" s="380">
        <f t="shared" si="65"/>
        <v>430667.91127861012</v>
      </c>
      <c r="I115" s="399">
        <f t="shared" si="66"/>
        <v>430667.91127861012</v>
      </c>
      <c r="J115" s="54">
        <f t="shared" si="40"/>
        <v>0</v>
      </c>
      <c r="K115" s="54"/>
      <c r="L115" s="129"/>
      <c r="M115" s="54">
        <f t="shared" si="67"/>
        <v>0</v>
      </c>
      <c r="N115" s="129"/>
      <c r="O115" s="54">
        <f t="shared" si="41"/>
        <v>0</v>
      </c>
      <c r="P115" s="54">
        <f t="shared" si="42"/>
        <v>0</v>
      </c>
    </row>
    <row r="116" spans="2:16" ht="12.5">
      <c r="B116" s="7" t="str">
        <f t="shared" si="39"/>
        <v/>
      </c>
      <c r="C116" s="50">
        <f>IF(D93="","-",+C115+1)</f>
        <v>2030</v>
      </c>
      <c r="D116" s="12">
        <f>IF(F115+SUM(E$99:E115)=D$92,F115,D$92-SUM(E$99:E115))</f>
        <v>2621561.2248375085</v>
      </c>
      <c r="E116" s="378">
        <f t="shared" si="62"/>
        <v>98106.090909090912</v>
      </c>
      <c r="F116" s="55">
        <f t="shared" si="63"/>
        <v>2523455.1339284177</v>
      </c>
      <c r="G116" s="55">
        <f t="shared" si="64"/>
        <v>2572508.1793829631</v>
      </c>
      <c r="H116" s="380">
        <f t="shared" si="65"/>
        <v>418451.11885560816</v>
      </c>
      <c r="I116" s="399">
        <f t="shared" si="66"/>
        <v>418451.11885560816</v>
      </c>
      <c r="J116" s="54">
        <f t="shared" si="40"/>
        <v>0</v>
      </c>
      <c r="K116" s="54"/>
      <c r="L116" s="129"/>
      <c r="M116" s="54">
        <f t="shared" si="67"/>
        <v>0</v>
      </c>
      <c r="N116" s="129"/>
      <c r="O116" s="54">
        <f t="shared" si="41"/>
        <v>0</v>
      </c>
      <c r="P116" s="54">
        <f t="shared" si="42"/>
        <v>0</v>
      </c>
    </row>
    <row r="117" spans="2:16" ht="12.5">
      <c r="B117" s="7" t="str">
        <f t="shared" si="39"/>
        <v/>
      </c>
      <c r="C117" s="50">
        <f>IF(D93="","-",+C116+1)</f>
        <v>2031</v>
      </c>
      <c r="D117" s="12">
        <f>IF(F116+SUM(E$99:E116)=D$92,F116,D$92-SUM(E$99:E116))</f>
        <v>2523455.1339284177</v>
      </c>
      <c r="E117" s="378">
        <f t="shared" si="62"/>
        <v>98106.090909090912</v>
      </c>
      <c r="F117" s="55">
        <f t="shared" si="63"/>
        <v>2425349.0430193269</v>
      </c>
      <c r="G117" s="55">
        <f t="shared" si="64"/>
        <v>2474402.0884738723</v>
      </c>
      <c r="H117" s="380">
        <f t="shared" si="65"/>
        <v>406234.32643260621</v>
      </c>
      <c r="I117" s="399">
        <f t="shared" si="66"/>
        <v>406234.32643260621</v>
      </c>
      <c r="J117" s="54">
        <f t="shared" si="40"/>
        <v>0</v>
      </c>
      <c r="K117" s="54"/>
      <c r="L117" s="129"/>
      <c r="M117" s="54">
        <f t="shared" si="67"/>
        <v>0</v>
      </c>
      <c r="N117" s="129"/>
      <c r="O117" s="54">
        <f t="shared" si="41"/>
        <v>0</v>
      </c>
      <c r="P117" s="54">
        <f t="shared" si="42"/>
        <v>0</v>
      </c>
    </row>
    <row r="118" spans="2:16" ht="12.5">
      <c r="B118" s="7" t="str">
        <f t="shared" si="39"/>
        <v/>
      </c>
      <c r="C118" s="50">
        <f>IF(D93="","-",+C117+1)</f>
        <v>2032</v>
      </c>
      <c r="D118" s="12">
        <f>IF(F117+SUM(E$99:E117)=D$92,F117,D$92-SUM(E$99:E117))</f>
        <v>2425349.0430193269</v>
      </c>
      <c r="E118" s="378">
        <f t="shared" si="62"/>
        <v>98106.090909090912</v>
      </c>
      <c r="F118" s="55">
        <f t="shared" si="63"/>
        <v>2327242.952110236</v>
      </c>
      <c r="G118" s="55">
        <f t="shared" si="64"/>
        <v>2376295.9975647815</v>
      </c>
      <c r="H118" s="380">
        <f t="shared" si="65"/>
        <v>394017.53400960437</v>
      </c>
      <c r="I118" s="399">
        <f t="shared" si="66"/>
        <v>394017.53400960437</v>
      </c>
      <c r="J118" s="54">
        <f t="shared" si="40"/>
        <v>0</v>
      </c>
      <c r="K118" s="54"/>
      <c r="L118" s="129"/>
      <c r="M118" s="54">
        <f t="shared" si="67"/>
        <v>0</v>
      </c>
      <c r="N118" s="129"/>
      <c r="O118" s="54">
        <f t="shared" si="41"/>
        <v>0</v>
      </c>
      <c r="P118" s="54">
        <f t="shared" si="42"/>
        <v>0</v>
      </c>
    </row>
    <row r="119" spans="2:16" ht="12.5">
      <c r="B119" s="7" t="str">
        <f t="shared" si="39"/>
        <v/>
      </c>
      <c r="C119" s="50">
        <f>IF(D93="","-",+C118+1)</f>
        <v>2033</v>
      </c>
      <c r="D119" s="12">
        <f>IF(F118+SUM(E$99:E118)=D$92,F118,D$92-SUM(E$99:E118))</f>
        <v>2327242.952110236</v>
      </c>
      <c r="E119" s="378">
        <f t="shared" si="62"/>
        <v>98106.090909090912</v>
      </c>
      <c r="F119" s="55">
        <f t="shared" si="63"/>
        <v>2229136.8612011452</v>
      </c>
      <c r="G119" s="55">
        <f t="shared" si="64"/>
        <v>2278189.9066556906</v>
      </c>
      <c r="H119" s="380">
        <f t="shared" si="65"/>
        <v>381800.74158660241</v>
      </c>
      <c r="I119" s="399">
        <f t="shared" si="66"/>
        <v>381800.74158660241</v>
      </c>
      <c r="J119" s="54">
        <f t="shared" si="40"/>
        <v>0</v>
      </c>
      <c r="K119" s="54"/>
      <c r="L119" s="129"/>
      <c r="M119" s="54">
        <f t="shared" si="67"/>
        <v>0</v>
      </c>
      <c r="N119" s="129"/>
      <c r="O119" s="54">
        <f t="shared" si="41"/>
        <v>0</v>
      </c>
      <c r="P119" s="54">
        <f t="shared" si="42"/>
        <v>0</v>
      </c>
    </row>
    <row r="120" spans="2:16" ht="12.5">
      <c r="B120" s="7" t="str">
        <f t="shared" si="39"/>
        <v/>
      </c>
      <c r="C120" s="50">
        <f>IF(D93="","-",+C119+1)</f>
        <v>2034</v>
      </c>
      <c r="D120" s="12">
        <f>IF(F119+SUM(E$99:E119)=D$92,F119,D$92-SUM(E$99:E119))</f>
        <v>2229136.8612011452</v>
      </c>
      <c r="E120" s="378">
        <f t="shared" si="62"/>
        <v>98106.090909090912</v>
      </c>
      <c r="F120" s="55">
        <f t="shared" si="63"/>
        <v>2131030.7702920544</v>
      </c>
      <c r="G120" s="55">
        <f t="shared" si="64"/>
        <v>2180083.8157465998</v>
      </c>
      <c r="H120" s="380">
        <f t="shared" si="65"/>
        <v>369583.94916360045</v>
      </c>
      <c r="I120" s="399">
        <f t="shared" si="66"/>
        <v>369583.94916360045</v>
      </c>
      <c r="J120" s="54">
        <f t="shared" si="40"/>
        <v>0</v>
      </c>
      <c r="K120" s="54"/>
      <c r="L120" s="129"/>
      <c r="M120" s="54">
        <f t="shared" si="67"/>
        <v>0</v>
      </c>
      <c r="N120" s="129"/>
      <c r="O120" s="54">
        <f t="shared" si="41"/>
        <v>0</v>
      </c>
      <c r="P120" s="54">
        <f t="shared" si="42"/>
        <v>0</v>
      </c>
    </row>
    <row r="121" spans="2:16" ht="12.5">
      <c r="B121" s="7" t="str">
        <f t="shared" si="39"/>
        <v/>
      </c>
      <c r="C121" s="50">
        <f>IF(D93="","-",+C120+1)</f>
        <v>2035</v>
      </c>
      <c r="D121" s="12">
        <f>IF(F120+SUM(E$99:E120)=D$92,F120,D$92-SUM(E$99:E120))</f>
        <v>2131030.7702920544</v>
      </c>
      <c r="E121" s="378">
        <f t="shared" si="62"/>
        <v>98106.090909090912</v>
      </c>
      <c r="F121" s="55">
        <f t="shared" si="63"/>
        <v>2032924.6793829636</v>
      </c>
      <c r="G121" s="55">
        <f t="shared" si="64"/>
        <v>2081977.724837509</v>
      </c>
      <c r="H121" s="380">
        <f t="shared" si="65"/>
        <v>357367.15674059856</v>
      </c>
      <c r="I121" s="399">
        <f t="shared" si="66"/>
        <v>357367.15674059856</v>
      </c>
      <c r="J121" s="54">
        <f t="shared" si="40"/>
        <v>0</v>
      </c>
      <c r="K121" s="54"/>
      <c r="L121" s="129"/>
      <c r="M121" s="54">
        <f t="shared" si="67"/>
        <v>0</v>
      </c>
      <c r="N121" s="129"/>
      <c r="O121" s="54">
        <f t="shared" si="41"/>
        <v>0</v>
      </c>
      <c r="P121" s="54">
        <f t="shared" si="42"/>
        <v>0</v>
      </c>
    </row>
    <row r="122" spans="2:16" ht="12.5">
      <c r="B122" s="7" t="str">
        <f t="shared" si="39"/>
        <v/>
      </c>
      <c r="C122" s="50">
        <f>IF(D93="","-",+C121+1)</f>
        <v>2036</v>
      </c>
      <c r="D122" s="12">
        <f>IF(F121+SUM(E$99:E121)=D$92,F121,D$92-SUM(E$99:E121))</f>
        <v>2032924.6793829636</v>
      </c>
      <c r="E122" s="378">
        <f t="shared" si="62"/>
        <v>98106.090909090912</v>
      </c>
      <c r="F122" s="55">
        <f t="shared" si="63"/>
        <v>1934818.5884738727</v>
      </c>
      <c r="G122" s="55">
        <f t="shared" si="64"/>
        <v>1983871.6339284182</v>
      </c>
      <c r="H122" s="380">
        <f t="shared" si="65"/>
        <v>345150.36431759666</v>
      </c>
      <c r="I122" s="399">
        <f t="shared" si="66"/>
        <v>345150.36431759666</v>
      </c>
      <c r="J122" s="54">
        <f t="shared" si="40"/>
        <v>0</v>
      </c>
      <c r="K122" s="54"/>
      <c r="L122" s="129"/>
      <c r="M122" s="54">
        <f t="shared" si="67"/>
        <v>0</v>
      </c>
      <c r="N122" s="129"/>
      <c r="O122" s="54">
        <f t="shared" si="41"/>
        <v>0</v>
      </c>
      <c r="P122" s="54">
        <f t="shared" si="42"/>
        <v>0</v>
      </c>
    </row>
    <row r="123" spans="2:16" ht="12.5">
      <c r="B123" s="7" t="str">
        <f t="shared" si="39"/>
        <v/>
      </c>
      <c r="C123" s="50">
        <f>IF(D93="","-",+C122+1)</f>
        <v>2037</v>
      </c>
      <c r="D123" s="12">
        <f>IF(F122+SUM(E$99:E122)=D$92,F122,D$92-SUM(E$99:E122))</f>
        <v>1934818.5884738727</v>
      </c>
      <c r="E123" s="378">
        <f t="shared" si="62"/>
        <v>98106.090909090912</v>
      </c>
      <c r="F123" s="55">
        <f t="shared" si="63"/>
        <v>1836712.4975647819</v>
      </c>
      <c r="G123" s="55">
        <f t="shared" si="64"/>
        <v>1885765.5430193273</v>
      </c>
      <c r="H123" s="380">
        <f t="shared" si="65"/>
        <v>332933.5718945947</v>
      </c>
      <c r="I123" s="399">
        <f t="shared" si="66"/>
        <v>332933.5718945947</v>
      </c>
      <c r="J123" s="54">
        <f t="shared" si="40"/>
        <v>0</v>
      </c>
      <c r="K123" s="54"/>
      <c r="L123" s="129"/>
      <c r="M123" s="54">
        <f t="shared" si="67"/>
        <v>0</v>
      </c>
      <c r="N123" s="129"/>
      <c r="O123" s="54">
        <f t="shared" si="41"/>
        <v>0</v>
      </c>
      <c r="P123" s="54">
        <f t="shared" si="42"/>
        <v>0</v>
      </c>
    </row>
    <row r="124" spans="2:16" ht="12.5">
      <c r="B124" s="7" t="str">
        <f t="shared" si="39"/>
        <v/>
      </c>
      <c r="C124" s="50">
        <f>IF(D93="","-",+C123+1)</f>
        <v>2038</v>
      </c>
      <c r="D124" s="12">
        <f>IF(F123+SUM(E$99:E123)=D$92,F123,D$92-SUM(E$99:E123))</f>
        <v>1836712.4975647819</v>
      </c>
      <c r="E124" s="378">
        <f t="shared" si="62"/>
        <v>98106.090909090912</v>
      </c>
      <c r="F124" s="55">
        <f t="shared" si="63"/>
        <v>1738606.4066556911</v>
      </c>
      <c r="G124" s="55">
        <f t="shared" si="64"/>
        <v>1787659.4521102365</v>
      </c>
      <c r="H124" s="380">
        <f t="shared" si="65"/>
        <v>320716.77947159274</v>
      </c>
      <c r="I124" s="399">
        <f t="shared" si="66"/>
        <v>320716.77947159274</v>
      </c>
      <c r="J124" s="54">
        <f t="shared" si="40"/>
        <v>0</v>
      </c>
      <c r="K124" s="54"/>
      <c r="L124" s="129"/>
      <c r="M124" s="54">
        <f t="shared" si="67"/>
        <v>0</v>
      </c>
      <c r="N124" s="129"/>
      <c r="O124" s="54">
        <f t="shared" si="41"/>
        <v>0</v>
      </c>
      <c r="P124" s="54">
        <f t="shared" si="42"/>
        <v>0</v>
      </c>
    </row>
    <row r="125" spans="2:16" ht="12.5">
      <c r="B125" s="7" t="str">
        <f t="shared" si="39"/>
        <v/>
      </c>
      <c r="C125" s="50">
        <f>IF(D93="","-",+C124+1)</f>
        <v>2039</v>
      </c>
      <c r="D125" s="12">
        <f>IF(F124+SUM(E$99:E124)=D$92,F124,D$92-SUM(E$99:E124))</f>
        <v>1738606.4066556911</v>
      </c>
      <c r="E125" s="378">
        <f t="shared" si="62"/>
        <v>98106.090909090912</v>
      </c>
      <c r="F125" s="55">
        <f t="shared" si="63"/>
        <v>1640500.3157466003</v>
      </c>
      <c r="G125" s="55">
        <f t="shared" si="64"/>
        <v>1689553.3612011457</v>
      </c>
      <c r="H125" s="380">
        <f t="shared" si="65"/>
        <v>308499.98704859085</v>
      </c>
      <c r="I125" s="399">
        <f t="shared" si="66"/>
        <v>308499.98704859085</v>
      </c>
      <c r="J125" s="54">
        <f t="shared" si="40"/>
        <v>0</v>
      </c>
      <c r="K125" s="54"/>
      <c r="L125" s="129"/>
      <c r="M125" s="54">
        <f t="shared" si="67"/>
        <v>0</v>
      </c>
      <c r="N125" s="129"/>
      <c r="O125" s="54">
        <f t="shared" si="41"/>
        <v>0</v>
      </c>
      <c r="P125" s="54">
        <f t="shared" si="42"/>
        <v>0</v>
      </c>
    </row>
    <row r="126" spans="2:16" ht="12.5">
      <c r="B126" s="7" t="str">
        <f t="shared" si="39"/>
        <v/>
      </c>
      <c r="C126" s="50">
        <f>IF(D93="","-",+C125+1)</f>
        <v>2040</v>
      </c>
      <c r="D126" s="12">
        <f>IF(F125+SUM(E$99:E125)=D$92,F125,D$92-SUM(E$99:E125))</f>
        <v>1640500.3157466003</v>
      </c>
      <c r="E126" s="378">
        <f t="shared" si="62"/>
        <v>98106.090909090912</v>
      </c>
      <c r="F126" s="55">
        <f t="shared" si="63"/>
        <v>1542394.2248375094</v>
      </c>
      <c r="G126" s="55">
        <f t="shared" si="64"/>
        <v>1591447.2702920549</v>
      </c>
      <c r="H126" s="380">
        <f t="shared" si="65"/>
        <v>296283.19462558895</v>
      </c>
      <c r="I126" s="399">
        <f t="shared" si="66"/>
        <v>296283.19462558895</v>
      </c>
      <c r="J126" s="54">
        <f t="shared" si="40"/>
        <v>0</v>
      </c>
      <c r="K126" s="54"/>
      <c r="L126" s="129"/>
      <c r="M126" s="54">
        <f t="shared" si="67"/>
        <v>0</v>
      </c>
      <c r="N126" s="129"/>
      <c r="O126" s="54">
        <f t="shared" si="41"/>
        <v>0</v>
      </c>
      <c r="P126" s="54">
        <f t="shared" si="42"/>
        <v>0</v>
      </c>
    </row>
    <row r="127" spans="2:16" ht="12.5">
      <c r="B127" s="7" t="str">
        <f t="shared" si="39"/>
        <v/>
      </c>
      <c r="C127" s="50">
        <f>IF(D93="","-",+C126+1)</f>
        <v>2041</v>
      </c>
      <c r="D127" s="12">
        <f>IF(F126+SUM(E$99:E126)=D$92,F126,D$92-SUM(E$99:E126))</f>
        <v>1542394.2248375094</v>
      </c>
      <c r="E127" s="378">
        <f t="shared" si="62"/>
        <v>98106.090909090912</v>
      </c>
      <c r="F127" s="55">
        <f t="shared" si="63"/>
        <v>1444288.1339284186</v>
      </c>
      <c r="G127" s="55">
        <f t="shared" si="64"/>
        <v>1493341.179382964</v>
      </c>
      <c r="H127" s="380">
        <f t="shared" si="65"/>
        <v>284066.40220258699</v>
      </c>
      <c r="I127" s="399">
        <f t="shared" si="66"/>
        <v>284066.40220258699</v>
      </c>
      <c r="J127" s="54">
        <f t="shared" si="40"/>
        <v>0</v>
      </c>
      <c r="K127" s="54"/>
      <c r="L127" s="129"/>
      <c r="M127" s="54">
        <f t="shared" si="67"/>
        <v>0</v>
      </c>
      <c r="N127" s="129"/>
      <c r="O127" s="54">
        <f t="shared" si="41"/>
        <v>0</v>
      </c>
      <c r="P127" s="54">
        <f t="shared" si="42"/>
        <v>0</v>
      </c>
    </row>
    <row r="128" spans="2:16" ht="12.5">
      <c r="B128" s="7" t="str">
        <f t="shared" si="39"/>
        <v/>
      </c>
      <c r="C128" s="50">
        <f>IF(D93="","-",+C127+1)</f>
        <v>2042</v>
      </c>
      <c r="D128" s="12">
        <f>IF(F127+SUM(E$99:E127)=D$92,F127,D$92-SUM(E$99:E127))</f>
        <v>1444288.1339284186</v>
      </c>
      <c r="E128" s="378">
        <f t="shared" si="62"/>
        <v>98106.090909090912</v>
      </c>
      <c r="F128" s="55">
        <f t="shared" si="63"/>
        <v>1346182.0430193278</v>
      </c>
      <c r="G128" s="55">
        <f t="shared" si="64"/>
        <v>1395235.0884738732</v>
      </c>
      <c r="H128" s="380">
        <f t="shared" si="65"/>
        <v>271849.60977958504</v>
      </c>
      <c r="I128" s="399">
        <f t="shared" si="66"/>
        <v>271849.60977958504</v>
      </c>
      <c r="J128" s="54">
        <f t="shared" si="40"/>
        <v>0</v>
      </c>
      <c r="K128" s="54"/>
      <c r="L128" s="129"/>
      <c r="M128" s="54">
        <f t="shared" si="67"/>
        <v>0</v>
      </c>
      <c r="N128" s="129"/>
      <c r="O128" s="54">
        <f t="shared" si="41"/>
        <v>0</v>
      </c>
      <c r="P128" s="54">
        <f t="shared" si="42"/>
        <v>0</v>
      </c>
    </row>
    <row r="129" spans="2:16" ht="12.5">
      <c r="B129" s="7" t="str">
        <f t="shared" si="39"/>
        <v/>
      </c>
      <c r="C129" s="50">
        <f>IF(D93="","-",+C128+1)</f>
        <v>2043</v>
      </c>
      <c r="D129" s="12">
        <f>IF(F128+SUM(E$99:E128)=D$92,F128,D$92-SUM(E$99:E128))</f>
        <v>1346182.0430193278</v>
      </c>
      <c r="E129" s="378">
        <f t="shared" si="62"/>
        <v>98106.090909090912</v>
      </c>
      <c r="F129" s="55">
        <f t="shared" si="63"/>
        <v>1248075.952110237</v>
      </c>
      <c r="G129" s="55">
        <f t="shared" si="64"/>
        <v>1297128.9975647824</v>
      </c>
      <c r="H129" s="380">
        <f t="shared" si="65"/>
        <v>259632.81735658314</v>
      </c>
      <c r="I129" s="399">
        <f t="shared" si="66"/>
        <v>259632.81735658314</v>
      </c>
      <c r="J129" s="54">
        <f t="shared" si="40"/>
        <v>0</v>
      </c>
      <c r="K129" s="54"/>
      <c r="L129" s="129"/>
      <c r="M129" s="54">
        <f t="shared" si="67"/>
        <v>0</v>
      </c>
      <c r="N129" s="129"/>
      <c r="O129" s="54">
        <f t="shared" si="41"/>
        <v>0</v>
      </c>
      <c r="P129" s="54">
        <f t="shared" si="42"/>
        <v>0</v>
      </c>
    </row>
    <row r="130" spans="2:16" ht="12.5">
      <c r="B130" s="7" t="str">
        <f t="shared" si="39"/>
        <v/>
      </c>
      <c r="C130" s="50">
        <f>IF(D93="","-",+C129+1)</f>
        <v>2044</v>
      </c>
      <c r="D130" s="12">
        <f>IF(F129+SUM(E$99:E129)=D$92,F129,D$92-SUM(E$99:E129))</f>
        <v>1248075.952110237</v>
      </c>
      <c r="E130" s="378">
        <f t="shared" si="62"/>
        <v>98106.090909090912</v>
      </c>
      <c r="F130" s="55">
        <f t="shared" si="63"/>
        <v>1149969.8612011462</v>
      </c>
      <c r="G130" s="55">
        <f t="shared" si="64"/>
        <v>1199022.9066556916</v>
      </c>
      <c r="H130" s="380">
        <f t="shared" si="65"/>
        <v>247416.02493358121</v>
      </c>
      <c r="I130" s="399">
        <f t="shared" si="66"/>
        <v>247416.02493358121</v>
      </c>
      <c r="J130" s="54">
        <f t="shared" si="40"/>
        <v>0</v>
      </c>
      <c r="K130" s="54"/>
      <c r="L130" s="129"/>
      <c r="M130" s="54">
        <f t="shared" si="67"/>
        <v>0</v>
      </c>
      <c r="N130" s="129"/>
      <c r="O130" s="54">
        <f t="shared" si="41"/>
        <v>0</v>
      </c>
      <c r="P130" s="54">
        <f t="shared" si="42"/>
        <v>0</v>
      </c>
    </row>
    <row r="131" spans="2:16" ht="12.5">
      <c r="B131" s="7" t="str">
        <f t="shared" si="39"/>
        <v/>
      </c>
      <c r="C131" s="50">
        <f>IF(D93="","-",+C130+1)</f>
        <v>2045</v>
      </c>
      <c r="D131" s="12">
        <f>IF(F130+SUM(E$99:E130)=D$92,F130,D$92-SUM(E$99:E130))</f>
        <v>1149969.8612011462</v>
      </c>
      <c r="E131" s="378">
        <f t="shared" si="62"/>
        <v>98106.090909090912</v>
      </c>
      <c r="F131" s="55">
        <f t="shared" si="63"/>
        <v>1051863.7702920553</v>
      </c>
      <c r="G131" s="55">
        <f t="shared" si="64"/>
        <v>1100916.8157466007</v>
      </c>
      <c r="H131" s="380">
        <f t="shared" si="65"/>
        <v>235199.23251057928</v>
      </c>
      <c r="I131" s="399">
        <f t="shared" si="66"/>
        <v>235199.23251057928</v>
      </c>
      <c r="J131" s="54">
        <f t="shared" si="40"/>
        <v>0</v>
      </c>
      <c r="K131" s="54"/>
      <c r="L131" s="129"/>
      <c r="M131" s="54">
        <f t="shared" ref="M131:M154" si="68">IF(L541&lt;&gt;0,+H541-L541,0)</f>
        <v>0</v>
      </c>
      <c r="N131" s="129"/>
      <c r="O131" s="54">
        <f t="shared" ref="O131:O154" si="69">IF(N541&lt;&gt;0,+I541-N541,0)</f>
        <v>0</v>
      </c>
      <c r="P131" s="54">
        <f t="shared" ref="P131:P154" si="70">+O541-M541</f>
        <v>0</v>
      </c>
    </row>
    <row r="132" spans="2:16" ht="12.5">
      <c r="B132" s="7" t="str">
        <f t="shared" si="39"/>
        <v/>
      </c>
      <c r="C132" s="50">
        <f>IF(D93="","-",+C131+1)</f>
        <v>2046</v>
      </c>
      <c r="D132" s="12">
        <f>IF(F131+SUM(E$99:E131)=D$92,F131,D$92-SUM(E$99:E131))</f>
        <v>1051863.7702920553</v>
      </c>
      <c r="E132" s="378">
        <f t="shared" si="62"/>
        <v>98106.090909090912</v>
      </c>
      <c r="F132" s="55">
        <f t="shared" si="63"/>
        <v>953757.67938296439</v>
      </c>
      <c r="G132" s="55">
        <f t="shared" si="64"/>
        <v>1002810.7248375099</v>
      </c>
      <c r="H132" s="380">
        <f t="shared" si="65"/>
        <v>222982.44008757736</v>
      </c>
      <c r="I132" s="399">
        <f t="shared" si="66"/>
        <v>222982.44008757736</v>
      </c>
      <c r="J132" s="54">
        <f t="shared" si="40"/>
        <v>0</v>
      </c>
      <c r="K132" s="54"/>
      <c r="L132" s="129"/>
      <c r="M132" s="54">
        <f t="shared" si="68"/>
        <v>0</v>
      </c>
      <c r="N132" s="129"/>
      <c r="O132" s="54">
        <f t="shared" si="69"/>
        <v>0</v>
      </c>
      <c r="P132" s="54">
        <f t="shared" si="70"/>
        <v>0</v>
      </c>
    </row>
    <row r="133" spans="2:16" ht="12.5">
      <c r="B133" s="7" t="str">
        <f t="shared" si="39"/>
        <v/>
      </c>
      <c r="C133" s="50">
        <f>IF(D93="","-",+C132+1)</f>
        <v>2047</v>
      </c>
      <c r="D133" s="12">
        <f>IF(F132+SUM(E$99:E132)=D$92,F132,D$92-SUM(E$99:E132))</f>
        <v>953757.67938296439</v>
      </c>
      <c r="E133" s="378">
        <f t="shared" si="62"/>
        <v>98106.090909090912</v>
      </c>
      <c r="F133" s="55">
        <f t="shared" si="63"/>
        <v>855651.58847387345</v>
      </c>
      <c r="G133" s="55">
        <f t="shared" si="64"/>
        <v>904704.63392841886</v>
      </c>
      <c r="H133" s="380">
        <f t="shared" si="65"/>
        <v>210765.6476645754</v>
      </c>
      <c r="I133" s="399">
        <f t="shared" si="66"/>
        <v>210765.6476645754</v>
      </c>
      <c r="J133" s="54">
        <f t="shared" si="40"/>
        <v>0</v>
      </c>
      <c r="K133" s="54"/>
      <c r="L133" s="129"/>
      <c r="M133" s="54">
        <f t="shared" si="68"/>
        <v>0</v>
      </c>
      <c r="N133" s="129"/>
      <c r="O133" s="54">
        <f t="shared" si="69"/>
        <v>0</v>
      </c>
      <c r="P133" s="54">
        <f t="shared" si="70"/>
        <v>0</v>
      </c>
    </row>
    <row r="134" spans="2:16" ht="12.5">
      <c r="B134" s="7" t="str">
        <f t="shared" si="39"/>
        <v/>
      </c>
      <c r="C134" s="50">
        <f>IF(D93="","-",+C133+1)</f>
        <v>2048</v>
      </c>
      <c r="D134" s="12">
        <f>IF(F133+SUM(E$99:E133)=D$92,F133,D$92-SUM(E$99:E133))</f>
        <v>855651.58847387345</v>
      </c>
      <c r="E134" s="378">
        <f t="shared" si="62"/>
        <v>98106.090909090912</v>
      </c>
      <c r="F134" s="55">
        <f t="shared" si="63"/>
        <v>757545.4975647825</v>
      </c>
      <c r="G134" s="55">
        <f t="shared" si="64"/>
        <v>806598.54301932803</v>
      </c>
      <c r="H134" s="380">
        <f t="shared" si="65"/>
        <v>198548.85524157347</v>
      </c>
      <c r="I134" s="399">
        <f t="shared" si="66"/>
        <v>198548.85524157347</v>
      </c>
      <c r="J134" s="54">
        <f t="shared" si="40"/>
        <v>0</v>
      </c>
      <c r="K134" s="54"/>
      <c r="L134" s="129"/>
      <c r="M134" s="54">
        <f t="shared" si="68"/>
        <v>0</v>
      </c>
      <c r="N134" s="129"/>
      <c r="O134" s="54">
        <f t="shared" si="69"/>
        <v>0</v>
      </c>
      <c r="P134" s="54">
        <f t="shared" si="70"/>
        <v>0</v>
      </c>
    </row>
    <row r="135" spans="2:16" ht="12.5">
      <c r="B135" s="7" t="str">
        <f t="shared" si="39"/>
        <v/>
      </c>
      <c r="C135" s="50">
        <f>IF(D93="","-",+C134+1)</f>
        <v>2049</v>
      </c>
      <c r="D135" s="12">
        <f>IF(F134+SUM(E$99:E134)=D$92,F134,D$92-SUM(E$99:E134))</f>
        <v>757545.4975647825</v>
      </c>
      <c r="E135" s="378">
        <f t="shared" si="62"/>
        <v>98106.090909090912</v>
      </c>
      <c r="F135" s="55">
        <f t="shared" si="63"/>
        <v>659439.40665569156</v>
      </c>
      <c r="G135" s="55">
        <f t="shared" si="64"/>
        <v>708492.45211023698</v>
      </c>
      <c r="H135" s="380">
        <f t="shared" si="65"/>
        <v>186332.06281857152</v>
      </c>
      <c r="I135" s="399">
        <f t="shared" si="66"/>
        <v>186332.06281857152</v>
      </c>
      <c r="J135" s="54">
        <f t="shared" si="40"/>
        <v>0</v>
      </c>
      <c r="K135" s="54"/>
      <c r="L135" s="129"/>
      <c r="M135" s="54">
        <f t="shared" si="68"/>
        <v>0</v>
      </c>
      <c r="N135" s="129"/>
      <c r="O135" s="54">
        <f t="shared" si="69"/>
        <v>0</v>
      </c>
      <c r="P135" s="54">
        <f t="shared" si="70"/>
        <v>0</v>
      </c>
    </row>
    <row r="136" spans="2:16" ht="12.5">
      <c r="B136" s="7" t="str">
        <f t="shared" si="39"/>
        <v/>
      </c>
      <c r="C136" s="50">
        <f>IF(D93="","-",+C135+1)</f>
        <v>2050</v>
      </c>
      <c r="D136" s="12">
        <f>IF(F135+SUM(E$99:E135)=D$92,F135,D$92-SUM(E$99:E135))</f>
        <v>659439.40665569156</v>
      </c>
      <c r="E136" s="378">
        <f t="shared" si="62"/>
        <v>98106.090909090912</v>
      </c>
      <c r="F136" s="55">
        <f t="shared" si="63"/>
        <v>561333.31574660062</v>
      </c>
      <c r="G136" s="55">
        <f t="shared" si="64"/>
        <v>610386.36120114615</v>
      </c>
      <c r="H136" s="380">
        <f t="shared" si="65"/>
        <v>174115.27039556959</v>
      </c>
      <c r="I136" s="399">
        <f t="shared" si="66"/>
        <v>174115.27039556959</v>
      </c>
      <c r="J136" s="54">
        <f t="shared" si="40"/>
        <v>0</v>
      </c>
      <c r="K136" s="54"/>
      <c r="L136" s="129"/>
      <c r="M136" s="54">
        <f t="shared" si="68"/>
        <v>0</v>
      </c>
      <c r="N136" s="129"/>
      <c r="O136" s="54">
        <f t="shared" si="69"/>
        <v>0</v>
      </c>
      <c r="P136" s="54">
        <f t="shared" si="70"/>
        <v>0</v>
      </c>
    </row>
    <row r="137" spans="2:16" ht="12.5">
      <c r="B137" s="7" t="str">
        <f t="shared" si="39"/>
        <v/>
      </c>
      <c r="C137" s="50">
        <f>IF(D93="","-",+C136+1)</f>
        <v>2051</v>
      </c>
      <c r="D137" s="12">
        <f>IF(F136+SUM(E$99:E136)=D$92,F136,D$92-SUM(E$99:E136))</f>
        <v>561333.31574660062</v>
      </c>
      <c r="E137" s="378">
        <f t="shared" si="62"/>
        <v>98106.090909090912</v>
      </c>
      <c r="F137" s="55">
        <f t="shared" si="63"/>
        <v>463227.22483750968</v>
      </c>
      <c r="G137" s="55">
        <f t="shared" si="64"/>
        <v>512280.27029205515</v>
      </c>
      <c r="H137" s="380">
        <f t="shared" si="65"/>
        <v>161898.47797256766</v>
      </c>
      <c r="I137" s="399">
        <f t="shared" si="66"/>
        <v>161898.47797256766</v>
      </c>
      <c r="J137" s="54">
        <f t="shared" si="40"/>
        <v>0</v>
      </c>
      <c r="K137" s="54"/>
      <c r="L137" s="129"/>
      <c r="M137" s="54">
        <f t="shared" si="68"/>
        <v>0</v>
      </c>
      <c r="N137" s="129"/>
      <c r="O137" s="54">
        <f t="shared" si="69"/>
        <v>0</v>
      </c>
      <c r="P137" s="54">
        <f t="shared" si="70"/>
        <v>0</v>
      </c>
    </row>
    <row r="138" spans="2:16" ht="12.5">
      <c r="B138" s="7" t="str">
        <f t="shared" si="39"/>
        <v/>
      </c>
      <c r="C138" s="50">
        <f>IF(D93="","-",+C137+1)</f>
        <v>2052</v>
      </c>
      <c r="D138" s="12">
        <f>IF(F137+SUM(E$99:E137)=D$92,F137,D$92-SUM(E$99:E137))</f>
        <v>463227.22483750968</v>
      </c>
      <c r="E138" s="378">
        <f t="shared" si="62"/>
        <v>98106.090909090912</v>
      </c>
      <c r="F138" s="55">
        <f t="shared" si="63"/>
        <v>365121.13392841874</v>
      </c>
      <c r="G138" s="55">
        <f t="shared" si="64"/>
        <v>414174.17938296421</v>
      </c>
      <c r="H138" s="380">
        <f t="shared" si="65"/>
        <v>149681.68554956571</v>
      </c>
      <c r="I138" s="399">
        <f t="shared" si="66"/>
        <v>149681.68554956571</v>
      </c>
      <c r="J138" s="54">
        <f t="shared" si="40"/>
        <v>0</v>
      </c>
      <c r="K138" s="54"/>
      <c r="L138" s="129"/>
      <c r="M138" s="54">
        <f t="shared" si="68"/>
        <v>0</v>
      </c>
      <c r="N138" s="129"/>
      <c r="O138" s="54">
        <f t="shared" si="69"/>
        <v>0</v>
      </c>
      <c r="P138" s="54">
        <f t="shared" si="70"/>
        <v>0</v>
      </c>
    </row>
    <row r="139" spans="2:16" ht="12.5">
      <c r="B139" s="7" t="str">
        <f t="shared" si="39"/>
        <v/>
      </c>
      <c r="C139" s="50">
        <f>IF(D93="","-",+C138+1)</f>
        <v>2053</v>
      </c>
      <c r="D139" s="12">
        <f>IF(F138+SUM(E$99:E138)=D$92,F138,D$92-SUM(E$99:E138))</f>
        <v>365121.13392841874</v>
      </c>
      <c r="E139" s="378">
        <f t="shared" si="62"/>
        <v>98106.090909090912</v>
      </c>
      <c r="F139" s="55">
        <f t="shared" si="63"/>
        <v>267015.0430193278</v>
      </c>
      <c r="G139" s="55">
        <f t="shared" si="64"/>
        <v>316068.08847387327</v>
      </c>
      <c r="H139" s="380">
        <f t="shared" si="65"/>
        <v>137464.89312656375</v>
      </c>
      <c r="I139" s="399">
        <f t="shared" si="66"/>
        <v>137464.89312656375</v>
      </c>
      <c r="J139" s="54">
        <f t="shared" si="40"/>
        <v>0</v>
      </c>
      <c r="K139" s="54"/>
      <c r="L139" s="129"/>
      <c r="M139" s="54">
        <f t="shared" si="68"/>
        <v>0</v>
      </c>
      <c r="N139" s="129"/>
      <c r="O139" s="54">
        <f t="shared" si="69"/>
        <v>0</v>
      </c>
      <c r="P139" s="54">
        <f t="shared" si="70"/>
        <v>0</v>
      </c>
    </row>
    <row r="140" spans="2:16" ht="12.5">
      <c r="B140" s="7" t="str">
        <f t="shared" si="39"/>
        <v/>
      </c>
      <c r="C140" s="50">
        <f>IF(D93="","-",+C139+1)</f>
        <v>2054</v>
      </c>
      <c r="D140" s="12">
        <f>IF(F139+SUM(E$99:E139)=D$92,F139,D$92-SUM(E$99:E139))</f>
        <v>267015.0430193278</v>
      </c>
      <c r="E140" s="378">
        <f t="shared" si="62"/>
        <v>98106.090909090912</v>
      </c>
      <c r="F140" s="55">
        <f t="shared" si="63"/>
        <v>168908.95211023689</v>
      </c>
      <c r="G140" s="55">
        <f t="shared" si="64"/>
        <v>217961.99756478233</v>
      </c>
      <c r="H140" s="380">
        <f t="shared" si="65"/>
        <v>125248.10070356182</v>
      </c>
      <c r="I140" s="399">
        <f t="shared" si="66"/>
        <v>125248.10070356182</v>
      </c>
      <c r="J140" s="54">
        <f t="shared" si="40"/>
        <v>0</v>
      </c>
      <c r="K140" s="54"/>
      <c r="L140" s="129"/>
      <c r="M140" s="54">
        <f t="shared" si="68"/>
        <v>0</v>
      </c>
      <c r="N140" s="129"/>
      <c r="O140" s="54">
        <f t="shared" si="69"/>
        <v>0</v>
      </c>
      <c r="P140" s="54">
        <f t="shared" si="70"/>
        <v>0</v>
      </c>
    </row>
    <row r="141" spans="2:16" ht="12.5">
      <c r="B141" s="7" t="str">
        <f t="shared" si="39"/>
        <v/>
      </c>
      <c r="C141" s="50">
        <f>IF(D93="","-",+C140+1)</f>
        <v>2055</v>
      </c>
      <c r="D141" s="12">
        <f>IF(F140+SUM(E$99:E140)=D$92,F140,D$92-SUM(E$99:E140))</f>
        <v>168908.95211023689</v>
      </c>
      <c r="E141" s="378">
        <f t="shared" si="62"/>
        <v>98106.090909090912</v>
      </c>
      <c r="F141" s="55">
        <f t="shared" si="63"/>
        <v>70802.861201145977</v>
      </c>
      <c r="G141" s="55">
        <f t="shared" si="64"/>
        <v>119855.90665569143</v>
      </c>
      <c r="H141" s="380">
        <f t="shared" si="65"/>
        <v>113031.3082805599</v>
      </c>
      <c r="I141" s="399">
        <f t="shared" si="66"/>
        <v>113031.3082805599</v>
      </c>
      <c r="J141" s="54">
        <f t="shared" si="40"/>
        <v>0</v>
      </c>
      <c r="K141" s="54"/>
      <c r="L141" s="129"/>
      <c r="M141" s="54">
        <f t="shared" si="68"/>
        <v>0</v>
      </c>
      <c r="N141" s="129"/>
      <c r="O141" s="54">
        <f t="shared" si="69"/>
        <v>0</v>
      </c>
      <c r="P141" s="54">
        <f t="shared" si="70"/>
        <v>0</v>
      </c>
    </row>
    <row r="142" spans="2:16" ht="12.5">
      <c r="B142" s="7" t="str">
        <f t="shared" si="39"/>
        <v/>
      </c>
      <c r="C142" s="50">
        <f>IF(D93="","-",+C141+1)</f>
        <v>2056</v>
      </c>
      <c r="D142" s="12">
        <f>IF(F141+SUM(E$99:E141)=D$92,F141,D$92-SUM(E$99:E141))</f>
        <v>70802.861201145977</v>
      </c>
      <c r="E142" s="378">
        <f t="shared" si="62"/>
        <v>70802.861201145977</v>
      </c>
      <c r="F142" s="55">
        <f t="shared" si="63"/>
        <v>0</v>
      </c>
      <c r="G142" s="55">
        <f t="shared" si="64"/>
        <v>35401.430600572989</v>
      </c>
      <c r="H142" s="380">
        <f t="shared" si="65"/>
        <v>75211.271781129981</v>
      </c>
      <c r="I142" s="399">
        <f t="shared" si="66"/>
        <v>75211.271781129981</v>
      </c>
      <c r="J142" s="54">
        <f t="shared" si="40"/>
        <v>0</v>
      </c>
      <c r="K142" s="54"/>
      <c r="L142" s="129"/>
      <c r="M142" s="54">
        <f t="shared" si="68"/>
        <v>0</v>
      </c>
      <c r="N142" s="129"/>
      <c r="O142" s="54">
        <f t="shared" si="69"/>
        <v>0</v>
      </c>
      <c r="P142" s="54">
        <f t="shared" si="70"/>
        <v>0</v>
      </c>
    </row>
    <row r="143" spans="2:16" ht="12.5">
      <c r="B143" s="7" t="str">
        <f t="shared" si="39"/>
        <v/>
      </c>
      <c r="C143" s="50">
        <f>IF(D93="","-",+C142+1)</f>
        <v>2057</v>
      </c>
      <c r="D143" s="12">
        <f>IF(F142+SUM(E$99:E142)=D$92,F142,D$92-SUM(E$99:E142))</f>
        <v>0</v>
      </c>
      <c r="E143" s="378">
        <f t="shared" si="62"/>
        <v>0</v>
      </c>
      <c r="F143" s="55">
        <f t="shared" si="63"/>
        <v>0</v>
      </c>
      <c r="G143" s="55">
        <f t="shared" si="64"/>
        <v>0</v>
      </c>
      <c r="H143" s="380">
        <f t="shared" si="65"/>
        <v>0</v>
      </c>
      <c r="I143" s="399">
        <f t="shared" si="66"/>
        <v>0</v>
      </c>
      <c r="J143" s="54">
        <f t="shared" si="40"/>
        <v>0</v>
      </c>
      <c r="K143" s="54"/>
      <c r="L143" s="129"/>
      <c r="M143" s="54">
        <f t="shared" si="68"/>
        <v>0</v>
      </c>
      <c r="N143" s="129"/>
      <c r="O143" s="54">
        <f t="shared" si="69"/>
        <v>0</v>
      </c>
      <c r="P143" s="54">
        <f t="shared" si="70"/>
        <v>0</v>
      </c>
    </row>
    <row r="144" spans="2:16" ht="12.5">
      <c r="B144" s="7" t="str">
        <f t="shared" si="39"/>
        <v/>
      </c>
      <c r="C144" s="50">
        <f>IF(D93="","-",+C143+1)</f>
        <v>2058</v>
      </c>
      <c r="D144" s="12">
        <f>IF(F143+SUM(E$99:E143)=D$92,F143,D$92-SUM(E$99:E143))</f>
        <v>0</v>
      </c>
      <c r="E144" s="378">
        <f t="shared" si="62"/>
        <v>0</v>
      </c>
      <c r="F144" s="55">
        <f t="shared" si="63"/>
        <v>0</v>
      </c>
      <c r="G144" s="55">
        <f t="shared" si="64"/>
        <v>0</v>
      </c>
      <c r="H144" s="380">
        <f t="shared" si="65"/>
        <v>0</v>
      </c>
      <c r="I144" s="399">
        <f t="shared" si="66"/>
        <v>0</v>
      </c>
      <c r="J144" s="54">
        <f t="shared" si="40"/>
        <v>0</v>
      </c>
      <c r="K144" s="54"/>
      <c r="L144" s="129"/>
      <c r="M144" s="54">
        <f t="shared" si="68"/>
        <v>0</v>
      </c>
      <c r="N144" s="129"/>
      <c r="O144" s="54">
        <f t="shared" si="69"/>
        <v>0</v>
      </c>
      <c r="P144" s="54">
        <f t="shared" si="70"/>
        <v>0</v>
      </c>
    </row>
    <row r="145" spans="2:16" ht="12.5">
      <c r="B145" s="7" t="str">
        <f t="shared" si="39"/>
        <v/>
      </c>
      <c r="C145" s="50">
        <f>IF(D93="","-",+C144+1)</f>
        <v>2059</v>
      </c>
      <c r="D145" s="12">
        <f>IF(F144+SUM(E$99:E144)=D$92,F144,D$92-SUM(E$99:E144))</f>
        <v>0</v>
      </c>
      <c r="E145" s="378">
        <f t="shared" si="62"/>
        <v>0</v>
      </c>
      <c r="F145" s="55">
        <f t="shared" si="63"/>
        <v>0</v>
      </c>
      <c r="G145" s="55">
        <f t="shared" si="64"/>
        <v>0</v>
      </c>
      <c r="H145" s="380">
        <f t="shared" si="65"/>
        <v>0</v>
      </c>
      <c r="I145" s="399">
        <f t="shared" si="66"/>
        <v>0</v>
      </c>
      <c r="J145" s="54">
        <f t="shared" si="40"/>
        <v>0</v>
      </c>
      <c r="K145" s="54"/>
      <c r="L145" s="129"/>
      <c r="M145" s="54">
        <f t="shared" si="68"/>
        <v>0</v>
      </c>
      <c r="N145" s="129"/>
      <c r="O145" s="54">
        <f t="shared" si="69"/>
        <v>0</v>
      </c>
      <c r="P145" s="54">
        <f t="shared" si="70"/>
        <v>0</v>
      </c>
    </row>
    <row r="146" spans="2:16" ht="12.5">
      <c r="B146" s="7" t="str">
        <f t="shared" si="39"/>
        <v/>
      </c>
      <c r="C146" s="50">
        <f>IF(D93="","-",+C145+1)</f>
        <v>2060</v>
      </c>
      <c r="D146" s="12">
        <f>IF(F145+SUM(E$99:E145)=D$92,F145,D$92-SUM(E$99:E145))</f>
        <v>0</v>
      </c>
      <c r="E146" s="378">
        <f t="shared" si="62"/>
        <v>0</v>
      </c>
      <c r="F146" s="55">
        <f t="shared" si="63"/>
        <v>0</v>
      </c>
      <c r="G146" s="55">
        <f t="shared" si="64"/>
        <v>0</v>
      </c>
      <c r="H146" s="380">
        <f t="shared" si="65"/>
        <v>0</v>
      </c>
      <c r="I146" s="399">
        <f t="shared" si="66"/>
        <v>0</v>
      </c>
      <c r="J146" s="54">
        <f t="shared" si="40"/>
        <v>0</v>
      </c>
      <c r="K146" s="54"/>
      <c r="L146" s="129"/>
      <c r="M146" s="54">
        <f t="shared" si="68"/>
        <v>0</v>
      </c>
      <c r="N146" s="129"/>
      <c r="O146" s="54">
        <f t="shared" si="69"/>
        <v>0</v>
      </c>
      <c r="P146" s="54">
        <f t="shared" si="70"/>
        <v>0</v>
      </c>
    </row>
    <row r="147" spans="2:16" ht="12.5">
      <c r="B147" s="7" t="str">
        <f t="shared" si="39"/>
        <v/>
      </c>
      <c r="C147" s="50">
        <f>IF(D93="","-",+C146+1)</f>
        <v>2061</v>
      </c>
      <c r="D147" s="12">
        <f>IF(F146+SUM(E$99:E146)=D$92,F146,D$92-SUM(E$99:E146))</f>
        <v>0</v>
      </c>
      <c r="E147" s="378">
        <f t="shared" si="62"/>
        <v>0</v>
      </c>
      <c r="F147" s="55">
        <f t="shared" si="63"/>
        <v>0</v>
      </c>
      <c r="G147" s="55">
        <f t="shared" si="64"/>
        <v>0</v>
      </c>
      <c r="H147" s="380">
        <f t="shared" si="65"/>
        <v>0</v>
      </c>
      <c r="I147" s="399">
        <f t="shared" si="66"/>
        <v>0</v>
      </c>
      <c r="J147" s="54">
        <f t="shared" si="40"/>
        <v>0</v>
      </c>
      <c r="K147" s="54"/>
      <c r="L147" s="129"/>
      <c r="M147" s="54">
        <f t="shared" si="68"/>
        <v>0</v>
      </c>
      <c r="N147" s="129"/>
      <c r="O147" s="54">
        <f t="shared" si="69"/>
        <v>0</v>
      </c>
      <c r="P147" s="54">
        <f t="shared" si="70"/>
        <v>0</v>
      </c>
    </row>
    <row r="148" spans="2:16" ht="12.5">
      <c r="B148" s="7" t="str">
        <f t="shared" si="39"/>
        <v/>
      </c>
      <c r="C148" s="50">
        <f>IF(D93="","-",+C147+1)</f>
        <v>2062</v>
      </c>
      <c r="D148" s="12">
        <f>IF(F147+SUM(E$99:E147)=D$92,F147,D$92-SUM(E$99:E147))</f>
        <v>0</v>
      </c>
      <c r="E148" s="378">
        <f t="shared" si="62"/>
        <v>0</v>
      </c>
      <c r="F148" s="55">
        <f t="shared" si="63"/>
        <v>0</v>
      </c>
      <c r="G148" s="55">
        <f t="shared" si="64"/>
        <v>0</v>
      </c>
      <c r="H148" s="380">
        <f t="shared" si="65"/>
        <v>0</v>
      </c>
      <c r="I148" s="399">
        <f t="shared" si="66"/>
        <v>0</v>
      </c>
      <c r="J148" s="54">
        <f t="shared" si="40"/>
        <v>0</v>
      </c>
      <c r="K148" s="54"/>
      <c r="L148" s="129"/>
      <c r="M148" s="54">
        <f t="shared" si="68"/>
        <v>0</v>
      </c>
      <c r="N148" s="129"/>
      <c r="O148" s="54">
        <f t="shared" si="69"/>
        <v>0</v>
      </c>
      <c r="P148" s="54">
        <f t="shared" si="70"/>
        <v>0</v>
      </c>
    </row>
    <row r="149" spans="2:16" ht="12.5">
      <c r="B149" s="7" t="str">
        <f t="shared" si="39"/>
        <v/>
      </c>
      <c r="C149" s="50">
        <f>IF(D93="","-",+C148+1)</f>
        <v>2063</v>
      </c>
      <c r="D149" s="12">
        <f>IF(F148+SUM(E$99:E148)=D$92,F148,D$92-SUM(E$99:E148))</f>
        <v>0</v>
      </c>
      <c r="E149" s="378">
        <f t="shared" si="62"/>
        <v>0</v>
      </c>
      <c r="F149" s="55">
        <f t="shared" si="63"/>
        <v>0</v>
      </c>
      <c r="G149" s="55">
        <f t="shared" si="64"/>
        <v>0</v>
      </c>
      <c r="H149" s="380">
        <f t="shared" si="65"/>
        <v>0</v>
      </c>
      <c r="I149" s="399">
        <f t="shared" si="66"/>
        <v>0</v>
      </c>
      <c r="J149" s="54">
        <f t="shared" si="40"/>
        <v>0</v>
      </c>
      <c r="K149" s="54"/>
      <c r="L149" s="129"/>
      <c r="M149" s="54">
        <f t="shared" si="68"/>
        <v>0</v>
      </c>
      <c r="N149" s="129"/>
      <c r="O149" s="54">
        <f t="shared" si="69"/>
        <v>0</v>
      </c>
      <c r="P149" s="54">
        <f t="shared" si="70"/>
        <v>0</v>
      </c>
    </row>
    <row r="150" spans="2:16" ht="12.5">
      <c r="B150" s="7" t="str">
        <f t="shared" si="39"/>
        <v/>
      </c>
      <c r="C150" s="50">
        <f>IF(D93="","-",+C149+1)</f>
        <v>2064</v>
      </c>
      <c r="D150" s="12">
        <f>IF(F149+SUM(E$99:E149)=D$92,F149,D$92-SUM(E$99:E149))</f>
        <v>0</v>
      </c>
      <c r="E150" s="378">
        <f t="shared" si="62"/>
        <v>0</v>
      </c>
      <c r="F150" s="55">
        <f t="shared" si="63"/>
        <v>0</v>
      </c>
      <c r="G150" s="55">
        <f t="shared" si="64"/>
        <v>0</v>
      </c>
      <c r="H150" s="380">
        <f t="shared" si="65"/>
        <v>0</v>
      </c>
      <c r="I150" s="399">
        <f t="shared" si="66"/>
        <v>0</v>
      </c>
      <c r="J150" s="54">
        <f t="shared" si="40"/>
        <v>0</v>
      </c>
      <c r="K150" s="54"/>
      <c r="L150" s="129"/>
      <c r="M150" s="54">
        <f t="shared" si="68"/>
        <v>0</v>
      </c>
      <c r="N150" s="129"/>
      <c r="O150" s="54">
        <f t="shared" si="69"/>
        <v>0</v>
      </c>
      <c r="P150" s="54">
        <f t="shared" si="70"/>
        <v>0</v>
      </c>
    </row>
    <row r="151" spans="2:16" ht="12.5">
      <c r="B151" s="7" t="str">
        <f t="shared" si="39"/>
        <v/>
      </c>
      <c r="C151" s="50">
        <f>IF(D93="","-",+C150+1)</f>
        <v>2065</v>
      </c>
      <c r="D151" s="12">
        <f>IF(F150+SUM(E$99:E150)=D$92,F150,D$92-SUM(E$99:E150))</f>
        <v>0</v>
      </c>
      <c r="E151" s="378">
        <f t="shared" si="62"/>
        <v>0</v>
      </c>
      <c r="F151" s="55">
        <f t="shared" si="63"/>
        <v>0</v>
      </c>
      <c r="G151" s="55">
        <f t="shared" si="64"/>
        <v>0</v>
      </c>
      <c r="H151" s="380">
        <f t="shared" si="65"/>
        <v>0</v>
      </c>
      <c r="I151" s="399">
        <f t="shared" si="66"/>
        <v>0</v>
      </c>
      <c r="J151" s="54">
        <f t="shared" si="40"/>
        <v>0</v>
      </c>
      <c r="K151" s="54"/>
      <c r="L151" s="129"/>
      <c r="M151" s="54">
        <f t="shared" si="68"/>
        <v>0</v>
      </c>
      <c r="N151" s="129"/>
      <c r="O151" s="54">
        <f t="shared" si="69"/>
        <v>0</v>
      </c>
      <c r="P151" s="54">
        <f t="shared" si="70"/>
        <v>0</v>
      </c>
    </row>
    <row r="152" spans="2:16" ht="12.5">
      <c r="B152" s="7" t="str">
        <f t="shared" si="39"/>
        <v/>
      </c>
      <c r="C152" s="50">
        <f>IF(D93="","-",+C151+1)</f>
        <v>2066</v>
      </c>
      <c r="D152" s="12">
        <f>IF(F151+SUM(E$99:E151)=D$92,F151,D$92-SUM(E$99:E151))</f>
        <v>0</v>
      </c>
      <c r="E152" s="378">
        <f t="shared" si="62"/>
        <v>0</v>
      </c>
      <c r="F152" s="55">
        <f t="shared" si="63"/>
        <v>0</v>
      </c>
      <c r="G152" s="55">
        <f t="shared" si="64"/>
        <v>0</v>
      </c>
      <c r="H152" s="380">
        <f t="shared" si="65"/>
        <v>0</v>
      </c>
      <c r="I152" s="399">
        <f t="shared" si="66"/>
        <v>0</v>
      </c>
      <c r="J152" s="54">
        <f t="shared" si="40"/>
        <v>0</v>
      </c>
      <c r="K152" s="54"/>
      <c r="L152" s="129"/>
      <c r="M152" s="54">
        <f t="shared" si="68"/>
        <v>0</v>
      </c>
      <c r="N152" s="129"/>
      <c r="O152" s="54">
        <f t="shared" si="69"/>
        <v>0</v>
      </c>
      <c r="P152" s="54">
        <f t="shared" si="70"/>
        <v>0</v>
      </c>
    </row>
    <row r="153" spans="2:16" ht="12.5">
      <c r="B153" s="7" t="str">
        <f t="shared" si="39"/>
        <v/>
      </c>
      <c r="C153" s="50">
        <f>IF(D93="","-",+C152+1)</f>
        <v>2067</v>
      </c>
      <c r="D153" s="12">
        <f>IF(F152+SUM(E$99:E152)=D$92,F152,D$92-SUM(E$99:E152))</f>
        <v>0</v>
      </c>
      <c r="E153" s="378">
        <f t="shared" si="62"/>
        <v>0</v>
      </c>
      <c r="F153" s="55">
        <f t="shared" si="63"/>
        <v>0</v>
      </c>
      <c r="G153" s="55">
        <f t="shared" si="64"/>
        <v>0</v>
      </c>
      <c r="H153" s="380">
        <f t="shared" si="65"/>
        <v>0</v>
      </c>
      <c r="I153" s="399">
        <f t="shared" si="66"/>
        <v>0</v>
      </c>
      <c r="J153" s="54">
        <f t="shared" si="40"/>
        <v>0</v>
      </c>
      <c r="K153" s="54"/>
      <c r="L153" s="129"/>
      <c r="M153" s="54">
        <f t="shared" si="68"/>
        <v>0</v>
      </c>
      <c r="N153" s="129"/>
      <c r="O153" s="54">
        <f t="shared" si="69"/>
        <v>0</v>
      </c>
      <c r="P153" s="54">
        <f t="shared" si="70"/>
        <v>0</v>
      </c>
    </row>
    <row r="154" spans="2:16" ht="13" thickBot="1">
      <c r="B154" s="7" t="str">
        <f t="shared" si="39"/>
        <v/>
      </c>
      <c r="C154" s="59">
        <f>IF(D93="","-",+C153+1)</f>
        <v>2068</v>
      </c>
      <c r="D154" s="12">
        <f>IF(F153+SUM(E$99:E153)=D$92,F153,D$92-SUM(E$99:E153))</f>
        <v>0</v>
      </c>
      <c r="E154" s="378">
        <f t="shared" si="62"/>
        <v>0</v>
      </c>
      <c r="F154" s="55">
        <f t="shared" si="63"/>
        <v>0</v>
      </c>
      <c r="G154" s="55">
        <f t="shared" si="64"/>
        <v>0</v>
      </c>
      <c r="H154" s="380">
        <f t="shared" si="65"/>
        <v>0</v>
      </c>
      <c r="I154" s="399">
        <f t="shared" si="66"/>
        <v>0</v>
      </c>
      <c r="J154" s="54">
        <f t="shared" si="40"/>
        <v>0</v>
      </c>
      <c r="K154" s="54"/>
      <c r="L154" s="130"/>
      <c r="M154" s="64">
        <f t="shared" si="68"/>
        <v>0</v>
      </c>
      <c r="N154" s="130"/>
      <c r="O154" s="64">
        <f t="shared" si="69"/>
        <v>0</v>
      </c>
      <c r="P154" s="64">
        <f t="shared" si="70"/>
        <v>0</v>
      </c>
    </row>
    <row r="155" spans="2:16" ht="12.5">
      <c r="C155" s="12" t="s">
        <v>78</v>
      </c>
      <c r="D155" s="293"/>
      <c r="E155" s="293">
        <f>SUM(E99:E154)</f>
        <v>4316667.9999999981</v>
      </c>
      <c r="F155" s="293"/>
      <c r="G155" s="293"/>
      <c r="H155" s="293">
        <f>SUM(H99:H154)</f>
        <v>15589508.161691239</v>
      </c>
      <c r="I155" s="293">
        <f>SUM(I99:I154)</f>
        <v>15589508.161691239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 ht="12.5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 ht="13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79" priority="1" stopIfTrue="1" operator="equal">
      <formula>$I$10</formula>
    </cfRule>
  </conditionalFormatting>
  <conditionalFormatting sqref="C99:C154">
    <cfRule type="cellIs" dxfId="7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89"/>
  <dimension ref="A1:P162"/>
  <sheetViews>
    <sheetView topLeftCell="A83" zoomScaleNormal="100" zoomScaleSheetLayoutView="80" workbookViewId="0">
      <selection activeCell="D27" sqref="D27:H27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40 of 77</v>
      </c>
    </row>
    <row r="2" spans="1:16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1091500.1809427028</v>
      </c>
      <c r="P5" s="1"/>
    </row>
    <row r="6" spans="1:16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1091500.1809427028</v>
      </c>
      <c r="O6" s="1"/>
      <c r="P6" s="1"/>
    </row>
    <row r="7" spans="1:16" ht="13.5" thickBot="1">
      <c r="C7" s="25" t="s">
        <v>48</v>
      </c>
      <c r="D7" s="90" t="s">
        <v>313</v>
      </c>
      <c r="E7" s="406"/>
      <c r="F7" s="406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312</v>
      </c>
      <c r="E9" s="436" t="s">
        <v>328</v>
      </c>
      <c r="F9" s="31"/>
      <c r="G9" s="31"/>
      <c r="H9" s="31"/>
      <c r="I9" s="32"/>
      <c r="J9" s="33"/>
      <c r="P9" s="1"/>
    </row>
    <row r="10" spans="1:16" ht="13">
      <c r="C10" s="34" t="s">
        <v>51</v>
      </c>
      <c r="D10" s="363">
        <v>9637037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6" ht="12.5">
      <c r="C11" s="34" t="s">
        <v>54</v>
      </c>
      <c r="D11" s="37">
        <v>2014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3">
        <v>6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219023.56818181818</v>
      </c>
      <c r="J14" s="293"/>
      <c r="K14" s="293"/>
      <c r="L14" s="293"/>
      <c r="M14" s="293"/>
      <c r="N14" s="293"/>
      <c r="O14" s="1"/>
      <c r="P14" s="1"/>
    </row>
    <row r="15" spans="1:16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2014</v>
      </c>
      <c r="D17" s="429">
        <v>9550200</v>
      </c>
      <c r="E17" s="437">
        <v>151590.47619047618</v>
      </c>
      <c r="F17" s="429">
        <v>9398609.5238095243</v>
      </c>
      <c r="G17" s="437">
        <v>1419561.6638908591</v>
      </c>
      <c r="H17" s="438">
        <v>1419561.6638908591</v>
      </c>
      <c r="I17" s="423">
        <v>0</v>
      </c>
      <c r="J17" s="52"/>
      <c r="K17" s="112">
        <f t="shared" ref="K17:K22" si="0">G17</f>
        <v>1419561.6638908591</v>
      </c>
      <c r="L17" s="53">
        <f t="shared" ref="L17:L22" si="1">IF(K17&lt;&gt;0,+G17-K17,0)</f>
        <v>0</v>
      </c>
      <c r="M17" s="112">
        <f t="shared" ref="M17:M22" si="2">H17</f>
        <v>1419561.6638908591</v>
      </c>
      <c r="N17" s="53">
        <f>IF(M17&lt;&gt;0,+H17-M17,0)</f>
        <v>0</v>
      </c>
      <c r="O17" s="54">
        <f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2015</v>
      </c>
      <c r="D18" s="429">
        <v>9398609.5238095243</v>
      </c>
      <c r="E18" s="430">
        <v>229453.26190476189</v>
      </c>
      <c r="F18" s="429">
        <v>9169156.2619047631</v>
      </c>
      <c r="G18" s="430">
        <v>1437075.1624886242</v>
      </c>
      <c r="H18" s="438">
        <v>1437075.1624886242</v>
      </c>
      <c r="I18" s="52">
        <v>0</v>
      </c>
      <c r="J18" s="52"/>
      <c r="K18" s="113">
        <f t="shared" si="0"/>
        <v>1437075.1624886242</v>
      </c>
      <c r="L18" s="54">
        <f t="shared" si="1"/>
        <v>0</v>
      </c>
      <c r="M18" s="113">
        <f t="shared" si="2"/>
        <v>1437075.1624886242</v>
      </c>
      <c r="N18" s="54">
        <f>IF(M18&lt;&gt;0,+H18-M18,0)</f>
        <v>0</v>
      </c>
      <c r="O18" s="54">
        <f>+N18-L18</f>
        <v>0</v>
      </c>
      <c r="P18" s="1"/>
    </row>
    <row r="19" spans="2:16" ht="12.5">
      <c r="B19" s="7" t="str">
        <f>IF(D19=F18,"","IU")</f>
        <v>IU</v>
      </c>
      <c r="C19" s="50">
        <f>IF(D11="","-",+C18+1)</f>
        <v>2016</v>
      </c>
      <c r="D19" s="429">
        <v>9255993.2619047612</v>
      </c>
      <c r="E19" s="430">
        <v>229453.26190476189</v>
      </c>
      <c r="F19" s="429">
        <v>9026540</v>
      </c>
      <c r="G19" s="430">
        <v>1403625.3596120297</v>
      </c>
      <c r="H19" s="438">
        <v>1403625.3596120297</v>
      </c>
      <c r="I19" s="52">
        <f>H19-G19</f>
        <v>0</v>
      </c>
      <c r="J19" s="52"/>
      <c r="K19" s="113">
        <f t="shared" si="0"/>
        <v>1403625.3596120297</v>
      </c>
      <c r="L19" s="54">
        <f t="shared" si="1"/>
        <v>0</v>
      </c>
      <c r="M19" s="113">
        <f t="shared" si="2"/>
        <v>1403625.3596120297</v>
      </c>
      <c r="N19" s="54">
        <f>IF(M19&lt;&gt;0,+H19-M19,0)</f>
        <v>0</v>
      </c>
      <c r="O19" s="54">
        <f>+N19-L19</f>
        <v>0</v>
      </c>
      <c r="P19" s="1"/>
    </row>
    <row r="20" spans="2:16" ht="12.5">
      <c r="B20" s="7" t="str">
        <f t="shared" ref="B20:B72" si="3">IF(D20=F19,"","IU")</f>
        <v/>
      </c>
      <c r="C20" s="50">
        <f>IF(D11="","-",+C19+1)</f>
        <v>2017</v>
      </c>
      <c r="D20" s="429">
        <v>9026540</v>
      </c>
      <c r="E20" s="430">
        <v>224117.13953488372</v>
      </c>
      <c r="F20" s="429">
        <v>8802422.8604651168</v>
      </c>
      <c r="G20" s="430">
        <v>1328554.8298028773</v>
      </c>
      <c r="H20" s="438">
        <v>1328554.8298028773</v>
      </c>
      <c r="I20" s="52">
        <f t="shared" ref="I20:I72" si="4">H20-G20</f>
        <v>0</v>
      </c>
      <c r="J20" s="52"/>
      <c r="K20" s="113">
        <f t="shared" si="0"/>
        <v>1328554.8298028773</v>
      </c>
      <c r="L20" s="54">
        <f t="shared" si="1"/>
        <v>0</v>
      </c>
      <c r="M20" s="113">
        <f t="shared" si="2"/>
        <v>1328554.8298028773</v>
      </c>
      <c r="N20" s="54">
        <f>IF(M20&lt;&gt;0,+H20-M20,0)</f>
        <v>0</v>
      </c>
      <c r="O20" s="54">
        <f>+N20-L20</f>
        <v>0</v>
      </c>
      <c r="P20" s="1"/>
    </row>
    <row r="21" spans="2:16" ht="12.5">
      <c r="B21" s="7" t="str">
        <f t="shared" si="3"/>
        <v/>
      </c>
      <c r="C21" s="50">
        <f>IF(D11="","-",+C20+1)</f>
        <v>2018</v>
      </c>
      <c r="D21" s="429">
        <v>8802422.8604651168</v>
      </c>
      <c r="E21" s="430">
        <v>235049.68292682926</v>
      </c>
      <c r="F21" s="429">
        <v>8567373.1775382869</v>
      </c>
      <c r="G21" s="430">
        <v>1338848.9709356753</v>
      </c>
      <c r="H21" s="438">
        <v>1338848.9709356753</v>
      </c>
      <c r="I21" s="52">
        <f t="shared" si="4"/>
        <v>0</v>
      </c>
      <c r="J21" s="52"/>
      <c r="K21" s="113">
        <f t="shared" si="0"/>
        <v>1338848.9709356753</v>
      </c>
      <c r="L21" s="54">
        <f t="shared" si="1"/>
        <v>0</v>
      </c>
      <c r="M21" s="113">
        <f t="shared" si="2"/>
        <v>1338848.9709356753</v>
      </c>
      <c r="N21" s="54">
        <f>IF(M21&lt;&gt;0,+H21-M21,0)</f>
        <v>0</v>
      </c>
      <c r="O21" s="54">
        <f>+N21-L21</f>
        <v>0</v>
      </c>
      <c r="P21" s="1"/>
    </row>
    <row r="22" spans="2:16" ht="12.5">
      <c r="B22" s="7" t="str">
        <f t="shared" si="3"/>
        <v/>
      </c>
      <c r="C22" s="50">
        <f>IF(D11="","-",+C21+1)</f>
        <v>2019</v>
      </c>
      <c r="D22" s="429">
        <v>8567373.1775382869</v>
      </c>
      <c r="E22" s="430">
        <v>235049.68292682926</v>
      </c>
      <c r="F22" s="429">
        <v>8332323.4946114579</v>
      </c>
      <c r="G22" s="430">
        <v>1308975.5432807168</v>
      </c>
      <c r="H22" s="438">
        <v>1308975.5432807168</v>
      </c>
      <c r="I22" s="52">
        <f t="shared" si="4"/>
        <v>0</v>
      </c>
      <c r="J22" s="52"/>
      <c r="K22" s="113">
        <f t="shared" si="0"/>
        <v>1308975.5432807168</v>
      </c>
      <c r="L22" s="54">
        <f t="shared" si="1"/>
        <v>0</v>
      </c>
      <c r="M22" s="113">
        <f t="shared" si="2"/>
        <v>1308975.5432807168</v>
      </c>
      <c r="N22" s="54">
        <f t="shared" ref="N22:N72" si="5">IF(M22&lt;&gt;0,+H22-M22,0)</f>
        <v>0</v>
      </c>
      <c r="O22" s="54">
        <f t="shared" ref="O22:O72" si="6">+N22-L22</f>
        <v>0</v>
      </c>
      <c r="P22" s="1"/>
    </row>
    <row r="23" spans="2:16" ht="12.5">
      <c r="B23" s="7" t="str">
        <f t="shared" si="3"/>
        <v/>
      </c>
      <c r="C23" s="50">
        <f>IF(D11="","-",+C22+1)</f>
        <v>2020</v>
      </c>
      <c r="D23" s="429">
        <v>8332323.4946114579</v>
      </c>
      <c r="E23" s="430">
        <v>235049.68292682926</v>
      </c>
      <c r="F23" s="429">
        <v>8097273.8116846289</v>
      </c>
      <c r="G23" s="430">
        <v>1075714.8431861391</v>
      </c>
      <c r="H23" s="438">
        <v>1075714.8431861391</v>
      </c>
      <c r="I23" s="52">
        <f t="shared" si="4"/>
        <v>0</v>
      </c>
      <c r="J23" s="52"/>
      <c r="K23" s="113">
        <f t="shared" ref="K23" si="7">G23</f>
        <v>1075714.8431861391</v>
      </c>
      <c r="L23" s="54">
        <f t="shared" ref="L23" si="8">IF(K23&lt;&gt;0,+G23-K23,0)</f>
        <v>0</v>
      </c>
      <c r="M23" s="113">
        <f t="shared" ref="M23" si="9">H23</f>
        <v>1075714.8431861391</v>
      </c>
      <c r="N23" s="54">
        <f t="shared" si="5"/>
        <v>0</v>
      </c>
      <c r="O23" s="54">
        <f t="shared" si="6"/>
        <v>0</v>
      </c>
      <c r="P23" s="1"/>
    </row>
    <row r="24" spans="2:16" ht="12.5">
      <c r="B24" s="7" t="str">
        <f t="shared" si="3"/>
        <v>IU</v>
      </c>
      <c r="C24" s="50">
        <f>IF(D11="","-",+C23+1)</f>
        <v>2021</v>
      </c>
      <c r="D24" s="429">
        <v>8108206.3550765738</v>
      </c>
      <c r="E24" s="430">
        <v>229453.26190476189</v>
      </c>
      <c r="F24" s="429">
        <v>7878753.0931718117</v>
      </c>
      <c r="G24" s="430">
        <v>1076798.4433679713</v>
      </c>
      <c r="H24" s="438">
        <v>1076798.4433679713</v>
      </c>
      <c r="I24" s="52">
        <f t="shared" si="4"/>
        <v>0</v>
      </c>
      <c r="J24" s="52"/>
      <c r="K24" s="113">
        <f t="shared" ref="K24" si="10">G24</f>
        <v>1076798.4433679713</v>
      </c>
      <c r="L24" s="54">
        <f t="shared" ref="L24" si="11">IF(K24&lt;&gt;0,+G24-K24,0)</f>
        <v>0</v>
      </c>
      <c r="M24" s="113">
        <f t="shared" ref="M24" si="12">H24</f>
        <v>1076798.4433679713</v>
      </c>
      <c r="N24" s="54">
        <f t="shared" si="5"/>
        <v>0</v>
      </c>
      <c r="O24" s="54">
        <f t="shared" si="6"/>
        <v>0</v>
      </c>
      <c r="P24" s="1"/>
    </row>
    <row r="25" spans="2:16" ht="12.5">
      <c r="B25" s="7" t="str">
        <f t="shared" si="3"/>
        <v>IU</v>
      </c>
      <c r="C25" s="50">
        <f>IF(D11="","-",+C24+1)</f>
        <v>2022</v>
      </c>
      <c r="D25" s="429">
        <v>7867820.5497798668</v>
      </c>
      <c r="E25" s="430">
        <v>229453.26190476189</v>
      </c>
      <c r="F25" s="429">
        <v>7638367.2878751047</v>
      </c>
      <c r="G25" s="430">
        <v>1101242.9056569436</v>
      </c>
      <c r="H25" s="438">
        <v>1101242.9056569436</v>
      </c>
      <c r="I25" s="52">
        <f t="shared" si="4"/>
        <v>0</v>
      </c>
      <c r="J25" s="52"/>
      <c r="K25" s="113">
        <f t="shared" ref="K25" si="13">G25</f>
        <v>1101242.9056569436</v>
      </c>
      <c r="L25" s="54">
        <f t="shared" ref="L25" si="14">IF(K25&lt;&gt;0,+G25-K25,0)</f>
        <v>0</v>
      </c>
      <c r="M25" s="113">
        <f t="shared" ref="M25" si="15">H25</f>
        <v>1101242.9056569436</v>
      </c>
      <c r="N25" s="54">
        <f t="shared" si="5"/>
        <v>0</v>
      </c>
      <c r="O25" s="54">
        <f t="shared" si="6"/>
        <v>0</v>
      </c>
      <c r="P25" s="1"/>
    </row>
    <row r="26" spans="2:16" ht="12.5">
      <c r="B26" s="7" t="str">
        <f t="shared" si="3"/>
        <v/>
      </c>
      <c r="C26" s="50">
        <f>IF(D11="","-",+C25+1)</f>
        <v>2023</v>
      </c>
      <c r="D26" s="429">
        <v>7638367.2878751047</v>
      </c>
      <c r="E26" s="430">
        <v>229453.26190476189</v>
      </c>
      <c r="F26" s="429">
        <v>7408914.0259703426</v>
      </c>
      <c r="G26" s="430">
        <v>1179890.6200067406</v>
      </c>
      <c r="H26" s="438">
        <v>1179890.6200067406</v>
      </c>
      <c r="I26" s="52">
        <f t="shared" si="4"/>
        <v>0</v>
      </c>
      <c r="J26" s="52"/>
      <c r="K26" s="113">
        <f t="shared" ref="K26" si="16">G26</f>
        <v>1179890.6200067406</v>
      </c>
      <c r="L26" s="54">
        <f t="shared" ref="L26" si="17">IF(K26&lt;&gt;0,+G26-K26,0)</f>
        <v>0</v>
      </c>
      <c r="M26" s="113">
        <f t="shared" ref="M26" si="18">H26</f>
        <v>1179890.6200067406</v>
      </c>
      <c r="N26" s="54">
        <f t="shared" si="5"/>
        <v>0</v>
      </c>
      <c r="O26" s="54">
        <f t="shared" si="6"/>
        <v>0</v>
      </c>
      <c r="P26" s="1"/>
    </row>
    <row r="27" spans="2:16" ht="12.5">
      <c r="B27" s="7" t="str">
        <f t="shared" si="3"/>
        <v/>
      </c>
      <c r="C27" s="50">
        <f>IF(D11="","-",+C26+1)</f>
        <v>2024</v>
      </c>
      <c r="D27" s="429">
        <v>7408914.0259703426</v>
      </c>
      <c r="E27" s="430">
        <v>219023.56818181818</v>
      </c>
      <c r="F27" s="429">
        <v>7189890.4577885242</v>
      </c>
      <c r="G27" s="430">
        <v>1091500.1809427028</v>
      </c>
      <c r="H27" s="438">
        <v>1091500.1809427028</v>
      </c>
      <c r="I27" s="52">
        <f t="shared" si="4"/>
        <v>0</v>
      </c>
      <c r="J27" s="52"/>
      <c r="K27" s="113">
        <f t="shared" ref="K27" si="19">G27</f>
        <v>1091500.1809427028</v>
      </c>
      <c r="L27" s="54">
        <f t="shared" ref="L27" si="20">IF(K27&lt;&gt;0,+G27-K27,0)</f>
        <v>0</v>
      </c>
      <c r="M27" s="113">
        <f t="shared" ref="M27" si="21">H27</f>
        <v>1091500.1809427028</v>
      </c>
      <c r="N27" s="54">
        <f t="shared" ref="N27" si="22">IF(M27&lt;&gt;0,+H27-M27,0)</f>
        <v>0</v>
      </c>
      <c r="O27" s="54">
        <f t="shared" ref="O27" si="23">+N27-L27</f>
        <v>0</v>
      </c>
      <c r="P27" s="1"/>
    </row>
    <row r="28" spans="2:16" ht="12.5">
      <c r="B28" s="7" t="str">
        <f t="shared" si="3"/>
        <v/>
      </c>
      <c r="C28" s="50">
        <f>IF(D11="","-",+C27+1)</f>
        <v>2025</v>
      </c>
      <c r="D28" s="55">
        <f>IF(F27+SUM(E$17:E27)=D$10,F27,D$10-SUM(E$17:E27))</f>
        <v>7189890.4577885242</v>
      </c>
      <c r="E28" s="378">
        <f t="shared" ref="E28:E72" si="24">IF(+$I$14&lt;F27,$I$14,D28)</f>
        <v>219023.56818181818</v>
      </c>
      <c r="F28" s="55">
        <f t="shared" ref="F28:F72" si="25">+D28-E28</f>
        <v>6970866.8896067059</v>
      </c>
      <c r="G28" s="379">
        <f t="shared" ref="G28:G51" si="26">+I$12*((D28+F28)/2)+E28</f>
        <v>1065320.9220732979</v>
      </c>
      <c r="H28" s="364">
        <f t="shared" ref="H28:H51" si="27">+I$13*((D28+F28)/2)+E28</f>
        <v>1065320.9220732979</v>
      </c>
      <c r="I28" s="52">
        <f t="shared" si="4"/>
        <v>0</v>
      </c>
      <c r="J28" s="52"/>
      <c r="K28" s="129"/>
      <c r="L28" s="54">
        <f t="shared" ref="L28:L72" si="28">IF(K28&lt;&gt;0,+G28-K28,0)</f>
        <v>0</v>
      </c>
      <c r="M28" s="129"/>
      <c r="N28" s="54">
        <f t="shared" si="5"/>
        <v>0</v>
      </c>
      <c r="O28" s="54">
        <f t="shared" si="6"/>
        <v>0</v>
      </c>
      <c r="P28" s="1"/>
    </row>
    <row r="29" spans="2:16" ht="12.5">
      <c r="B29" s="7" t="str">
        <f t="shared" si="3"/>
        <v/>
      </c>
      <c r="C29" s="50">
        <f>IF(D11="","-",+C28+1)</f>
        <v>2026</v>
      </c>
      <c r="D29" s="55">
        <f>IF(F28+SUM(E$17:E28)=D$10,F28,D$10-SUM(E$17:E28))</f>
        <v>6970866.8896067059</v>
      </c>
      <c r="E29" s="378">
        <f t="shared" si="24"/>
        <v>219023.56818181818</v>
      </c>
      <c r="F29" s="55">
        <f t="shared" si="25"/>
        <v>6751843.3214248875</v>
      </c>
      <c r="G29" s="379">
        <f t="shared" si="26"/>
        <v>1039141.663203893</v>
      </c>
      <c r="H29" s="364">
        <f t="shared" si="27"/>
        <v>1039141.663203893</v>
      </c>
      <c r="I29" s="52">
        <f t="shared" si="4"/>
        <v>0</v>
      </c>
      <c r="J29" s="52"/>
      <c r="K29" s="129"/>
      <c r="L29" s="54">
        <f t="shared" si="28"/>
        <v>0</v>
      </c>
      <c r="M29" s="129"/>
      <c r="N29" s="54">
        <f t="shared" si="5"/>
        <v>0</v>
      </c>
      <c r="O29" s="54">
        <f t="shared" si="6"/>
        <v>0</v>
      </c>
      <c r="P29" s="1"/>
    </row>
    <row r="30" spans="2:16" ht="12.5">
      <c r="B30" s="7" t="str">
        <f t="shared" si="3"/>
        <v/>
      </c>
      <c r="C30" s="50">
        <f>IF(D11="","-",+C29+1)</f>
        <v>2027</v>
      </c>
      <c r="D30" s="55">
        <f>IF(F29+SUM(E$17:E29)=D$10,F29,D$10-SUM(E$17:E29))</f>
        <v>6751843.3214248875</v>
      </c>
      <c r="E30" s="378">
        <f t="shared" si="24"/>
        <v>219023.56818181818</v>
      </c>
      <c r="F30" s="55">
        <f t="shared" si="25"/>
        <v>6532819.7532430692</v>
      </c>
      <c r="G30" s="379">
        <f t="shared" si="26"/>
        <v>1012962.4043344883</v>
      </c>
      <c r="H30" s="364">
        <f t="shared" si="27"/>
        <v>1012962.4043344883</v>
      </c>
      <c r="I30" s="52">
        <f t="shared" si="4"/>
        <v>0</v>
      </c>
      <c r="J30" s="52"/>
      <c r="K30" s="129"/>
      <c r="L30" s="54">
        <f t="shared" si="28"/>
        <v>0</v>
      </c>
      <c r="M30" s="129"/>
      <c r="N30" s="54">
        <f t="shared" si="5"/>
        <v>0</v>
      </c>
      <c r="O30" s="54">
        <f t="shared" si="6"/>
        <v>0</v>
      </c>
      <c r="P30" s="1"/>
    </row>
    <row r="31" spans="2:16" ht="12.5">
      <c r="B31" s="7" t="str">
        <f t="shared" si="3"/>
        <v/>
      </c>
      <c r="C31" s="50">
        <f>IF(D11="","-",+C30+1)</f>
        <v>2028</v>
      </c>
      <c r="D31" s="55">
        <f>IF(F30+SUM(E$17:E30)=D$10,F30,D$10-SUM(E$17:E30))</f>
        <v>6532819.7532430692</v>
      </c>
      <c r="E31" s="378">
        <f t="shared" si="24"/>
        <v>219023.56818181818</v>
      </c>
      <c r="F31" s="55">
        <f t="shared" si="25"/>
        <v>6313796.1850612508</v>
      </c>
      <c r="G31" s="379">
        <f t="shared" si="26"/>
        <v>986783.14546508342</v>
      </c>
      <c r="H31" s="364">
        <f t="shared" si="27"/>
        <v>986783.14546508342</v>
      </c>
      <c r="I31" s="52">
        <f t="shared" si="4"/>
        <v>0</v>
      </c>
      <c r="J31" s="52"/>
      <c r="K31" s="129"/>
      <c r="L31" s="54">
        <f t="shared" si="28"/>
        <v>0</v>
      </c>
      <c r="M31" s="129"/>
      <c r="N31" s="54">
        <f t="shared" si="5"/>
        <v>0</v>
      </c>
      <c r="O31" s="54">
        <f t="shared" si="6"/>
        <v>0</v>
      </c>
      <c r="P31" s="1"/>
    </row>
    <row r="32" spans="2:16" ht="12.5">
      <c r="B32" s="7" t="str">
        <f t="shared" si="3"/>
        <v/>
      </c>
      <c r="C32" s="50">
        <f>IF(D11="","-",+C31+1)</f>
        <v>2029</v>
      </c>
      <c r="D32" s="55">
        <f>IF(F31+SUM(E$17:E31)=D$10,F31,D$10-SUM(E$17:E31))</f>
        <v>6313796.1850612508</v>
      </c>
      <c r="E32" s="378">
        <f t="shared" si="24"/>
        <v>219023.56818181818</v>
      </c>
      <c r="F32" s="55">
        <f t="shared" si="25"/>
        <v>6094772.6168794325</v>
      </c>
      <c r="G32" s="379">
        <f t="shared" si="26"/>
        <v>960603.88659567875</v>
      </c>
      <c r="H32" s="364">
        <f t="shared" si="27"/>
        <v>960603.88659567875</v>
      </c>
      <c r="I32" s="52">
        <f t="shared" si="4"/>
        <v>0</v>
      </c>
      <c r="J32" s="52"/>
      <c r="K32" s="129"/>
      <c r="L32" s="54">
        <f t="shared" si="28"/>
        <v>0</v>
      </c>
      <c r="M32" s="129"/>
      <c r="N32" s="54">
        <f t="shared" si="5"/>
        <v>0</v>
      </c>
      <c r="O32" s="54">
        <f t="shared" si="6"/>
        <v>0</v>
      </c>
      <c r="P32" s="1"/>
    </row>
    <row r="33" spans="2:16" ht="12.5">
      <c r="B33" s="7" t="str">
        <f t="shared" si="3"/>
        <v/>
      </c>
      <c r="C33" s="50">
        <f>IF(D11="","-",+C32+1)</f>
        <v>2030</v>
      </c>
      <c r="D33" s="55">
        <f>IF(F32+SUM(E$17:E32)=D$10,F32,D$10-SUM(E$17:E32))</f>
        <v>6094772.6168794325</v>
      </c>
      <c r="E33" s="378">
        <f t="shared" si="24"/>
        <v>219023.56818181818</v>
      </c>
      <c r="F33" s="55">
        <f t="shared" si="25"/>
        <v>5875749.0486976141</v>
      </c>
      <c r="G33" s="379">
        <f t="shared" si="26"/>
        <v>934424.62772627384</v>
      </c>
      <c r="H33" s="364">
        <f t="shared" si="27"/>
        <v>934424.62772627384</v>
      </c>
      <c r="I33" s="52">
        <f t="shared" si="4"/>
        <v>0</v>
      </c>
      <c r="J33" s="52"/>
      <c r="K33" s="129"/>
      <c r="L33" s="54">
        <f t="shared" si="28"/>
        <v>0</v>
      </c>
      <c r="M33" s="129"/>
      <c r="N33" s="54">
        <f t="shared" si="5"/>
        <v>0</v>
      </c>
      <c r="O33" s="54">
        <f t="shared" si="6"/>
        <v>0</v>
      </c>
      <c r="P33" s="1"/>
    </row>
    <row r="34" spans="2:16" ht="12.5">
      <c r="B34" s="7" t="str">
        <f t="shared" si="3"/>
        <v/>
      </c>
      <c r="C34" s="50">
        <f>IF(D11="","-",+C33+1)</f>
        <v>2031</v>
      </c>
      <c r="D34" s="55">
        <f>IF(F33+SUM(E$17:E33)=D$10,F33,D$10-SUM(E$17:E33))</f>
        <v>5875749.0486976141</v>
      </c>
      <c r="E34" s="378">
        <f t="shared" si="24"/>
        <v>219023.56818181818</v>
      </c>
      <c r="F34" s="55">
        <f t="shared" si="25"/>
        <v>5656725.4805157958</v>
      </c>
      <c r="G34" s="379">
        <f t="shared" si="26"/>
        <v>908245.36885686894</v>
      </c>
      <c r="H34" s="364">
        <f t="shared" si="27"/>
        <v>908245.36885686894</v>
      </c>
      <c r="I34" s="52">
        <f t="shared" si="4"/>
        <v>0</v>
      </c>
      <c r="J34" s="52"/>
      <c r="K34" s="129"/>
      <c r="L34" s="54">
        <f t="shared" si="28"/>
        <v>0</v>
      </c>
      <c r="M34" s="129"/>
      <c r="N34" s="54">
        <f t="shared" si="5"/>
        <v>0</v>
      </c>
      <c r="O34" s="54">
        <f t="shared" si="6"/>
        <v>0</v>
      </c>
      <c r="P34" s="1"/>
    </row>
    <row r="35" spans="2:16" ht="12.5">
      <c r="B35" s="7" t="str">
        <f t="shared" si="3"/>
        <v/>
      </c>
      <c r="C35" s="50">
        <f>IF(D11="","-",+C34+1)</f>
        <v>2032</v>
      </c>
      <c r="D35" s="55">
        <f>IF(F34+SUM(E$17:E34)=D$10,F34,D$10-SUM(E$17:E34))</f>
        <v>5656725.4805157958</v>
      </c>
      <c r="E35" s="378">
        <f t="shared" si="24"/>
        <v>219023.56818181818</v>
      </c>
      <c r="F35" s="55">
        <f t="shared" si="25"/>
        <v>5437701.9123339774</v>
      </c>
      <c r="G35" s="379">
        <f t="shared" si="26"/>
        <v>882066.10998746427</v>
      </c>
      <c r="H35" s="364">
        <f t="shared" si="27"/>
        <v>882066.10998746427</v>
      </c>
      <c r="I35" s="52">
        <f t="shared" si="4"/>
        <v>0</v>
      </c>
      <c r="J35" s="52"/>
      <c r="K35" s="129"/>
      <c r="L35" s="54">
        <f t="shared" si="28"/>
        <v>0</v>
      </c>
      <c r="M35" s="129"/>
      <c r="N35" s="54">
        <f t="shared" si="5"/>
        <v>0</v>
      </c>
      <c r="O35" s="54">
        <f t="shared" si="6"/>
        <v>0</v>
      </c>
      <c r="P35" s="1"/>
    </row>
    <row r="36" spans="2:16" ht="12.5">
      <c r="B36" s="7" t="str">
        <f t="shared" si="3"/>
        <v/>
      </c>
      <c r="C36" s="50">
        <f>IF(D11="","-",+C35+1)</f>
        <v>2033</v>
      </c>
      <c r="D36" s="55">
        <f>IF(F35+SUM(E$17:E35)=D$10,F35,D$10-SUM(E$17:E35))</f>
        <v>5437701.9123339774</v>
      </c>
      <c r="E36" s="378">
        <f t="shared" si="24"/>
        <v>219023.56818181818</v>
      </c>
      <c r="F36" s="55">
        <f t="shared" si="25"/>
        <v>5218678.3441521591</v>
      </c>
      <c r="G36" s="379">
        <f t="shared" si="26"/>
        <v>855886.85111805936</v>
      </c>
      <c r="H36" s="364">
        <f t="shared" si="27"/>
        <v>855886.85111805936</v>
      </c>
      <c r="I36" s="52">
        <f t="shared" si="4"/>
        <v>0</v>
      </c>
      <c r="J36" s="52"/>
      <c r="K36" s="129"/>
      <c r="L36" s="54">
        <f t="shared" si="28"/>
        <v>0</v>
      </c>
      <c r="M36" s="129"/>
      <c r="N36" s="54">
        <f t="shared" si="5"/>
        <v>0</v>
      </c>
      <c r="O36" s="54">
        <f t="shared" si="6"/>
        <v>0</v>
      </c>
      <c r="P36" s="1"/>
    </row>
    <row r="37" spans="2:16" ht="12.5">
      <c r="B37" s="7" t="str">
        <f t="shared" si="3"/>
        <v/>
      </c>
      <c r="C37" s="50">
        <f>IF(D11="","-",+C36+1)</f>
        <v>2034</v>
      </c>
      <c r="D37" s="55">
        <f>IF(F36+SUM(E$17:E36)=D$10,F36,D$10-SUM(E$17:E36))</f>
        <v>5218678.3441521591</v>
      </c>
      <c r="E37" s="378">
        <f t="shared" si="24"/>
        <v>219023.56818181818</v>
      </c>
      <c r="F37" s="55">
        <f t="shared" si="25"/>
        <v>4999654.7759703407</v>
      </c>
      <c r="G37" s="379">
        <f t="shared" si="26"/>
        <v>829707.59224865469</v>
      </c>
      <c r="H37" s="364">
        <f t="shared" si="27"/>
        <v>829707.59224865469</v>
      </c>
      <c r="I37" s="52">
        <f t="shared" si="4"/>
        <v>0</v>
      </c>
      <c r="J37" s="52"/>
      <c r="K37" s="129"/>
      <c r="L37" s="54">
        <f t="shared" si="28"/>
        <v>0</v>
      </c>
      <c r="M37" s="129"/>
      <c r="N37" s="54">
        <f t="shared" si="5"/>
        <v>0</v>
      </c>
      <c r="O37" s="54">
        <f t="shared" si="6"/>
        <v>0</v>
      </c>
      <c r="P37" s="1"/>
    </row>
    <row r="38" spans="2:16" ht="12.5">
      <c r="B38" s="7" t="str">
        <f t="shared" si="3"/>
        <v/>
      </c>
      <c r="C38" s="50">
        <f>IF(D11="","-",+C37+1)</f>
        <v>2035</v>
      </c>
      <c r="D38" s="55">
        <f>IF(F37+SUM(E$17:E37)=D$10,F37,D$10-SUM(E$17:E37))</f>
        <v>4999654.7759703407</v>
      </c>
      <c r="E38" s="378">
        <f t="shared" si="24"/>
        <v>219023.56818181818</v>
      </c>
      <c r="F38" s="55">
        <f t="shared" si="25"/>
        <v>4780631.2077885224</v>
      </c>
      <c r="G38" s="379">
        <f t="shared" si="26"/>
        <v>803528.33337924979</v>
      </c>
      <c r="H38" s="364">
        <f t="shared" si="27"/>
        <v>803528.33337924979</v>
      </c>
      <c r="I38" s="52">
        <f t="shared" si="4"/>
        <v>0</v>
      </c>
      <c r="J38" s="52"/>
      <c r="K38" s="129"/>
      <c r="L38" s="54">
        <f t="shared" si="28"/>
        <v>0</v>
      </c>
      <c r="M38" s="129"/>
      <c r="N38" s="54">
        <f t="shared" si="5"/>
        <v>0</v>
      </c>
      <c r="O38" s="54">
        <f t="shared" si="6"/>
        <v>0</v>
      </c>
      <c r="P38" s="1"/>
    </row>
    <row r="39" spans="2:16" ht="12.5">
      <c r="B39" s="7" t="str">
        <f t="shared" si="3"/>
        <v/>
      </c>
      <c r="C39" s="50">
        <f>IF(D11="","-",+C38+1)</f>
        <v>2036</v>
      </c>
      <c r="D39" s="55">
        <f>IF(F38+SUM(E$17:E38)=D$10,F38,D$10-SUM(E$17:E38))</f>
        <v>4780631.2077885224</v>
      </c>
      <c r="E39" s="378">
        <f t="shared" si="24"/>
        <v>219023.56818181818</v>
      </c>
      <c r="F39" s="55">
        <f t="shared" si="25"/>
        <v>4561607.639606704</v>
      </c>
      <c r="G39" s="379">
        <f t="shared" si="26"/>
        <v>777349.07450984488</v>
      </c>
      <c r="H39" s="364">
        <f t="shared" si="27"/>
        <v>777349.07450984488</v>
      </c>
      <c r="I39" s="52">
        <f t="shared" si="4"/>
        <v>0</v>
      </c>
      <c r="J39" s="52"/>
      <c r="K39" s="129"/>
      <c r="L39" s="54">
        <f t="shared" si="28"/>
        <v>0</v>
      </c>
      <c r="M39" s="129"/>
      <c r="N39" s="54">
        <f t="shared" si="5"/>
        <v>0</v>
      </c>
      <c r="O39" s="54">
        <f t="shared" si="6"/>
        <v>0</v>
      </c>
      <c r="P39" s="1"/>
    </row>
    <row r="40" spans="2:16" ht="12.5">
      <c r="B40" s="7" t="str">
        <f t="shared" si="3"/>
        <v/>
      </c>
      <c r="C40" s="50">
        <f>IF(D11="","-",+C39+1)</f>
        <v>2037</v>
      </c>
      <c r="D40" s="55">
        <f>IF(F39+SUM(E$17:E39)=D$10,F39,D$10-SUM(E$17:E39))</f>
        <v>4561607.639606704</v>
      </c>
      <c r="E40" s="378">
        <f t="shared" si="24"/>
        <v>219023.56818181818</v>
      </c>
      <c r="F40" s="55">
        <f t="shared" si="25"/>
        <v>4342584.0714248857</v>
      </c>
      <c r="G40" s="379">
        <f t="shared" si="26"/>
        <v>751169.81564044021</v>
      </c>
      <c r="H40" s="364">
        <f t="shared" si="27"/>
        <v>751169.81564044021</v>
      </c>
      <c r="I40" s="52">
        <f t="shared" si="4"/>
        <v>0</v>
      </c>
      <c r="J40" s="52"/>
      <c r="K40" s="129"/>
      <c r="L40" s="54">
        <f t="shared" si="28"/>
        <v>0</v>
      </c>
      <c r="M40" s="129"/>
      <c r="N40" s="54">
        <f t="shared" si="5"/>
        <v>0</v>
      </c>
      <c r="O40" s="54">
        <f t="shared" si="6"/>
        <v>0</v>
      </c>
      <c r="P40" s="1"/>
    </row>
    <row r="41" spans="2:16" ht="12.5">
      <c r="B41" s="7" t="str">
        <f t="shared" si="3"/>
        <v/>
      </c>
      <c r="C41" s="50">
        <f>IF(D11="","-",+C40+1)</f>
        <v>2038</v>
      </c>
      <c r="D41" s="55">
        <f>IF(F40+SUM(E$17:E40)=D$10,F40,D$10-SUM(E$17:E40))</f>
        <v>4342584.0714248857</v>
      </c>
      <c r="E41" s="378">
        <f t="shared" si="24"/>
        <v>219023.56818181818</v>
      </c>
      <c r="F41" s="55">
        <f t="shared" si="25"/>
        <v>4123560.5032430673</v>
      </c>
      <c r="G41" s="379">
        <f t="shared" si="26"/>
        <v>724990.55677103531</v>
      </c>
      <c r="H41" s="364">
        <f t="shared" si="27"/>
        <v>724990.55677103531</v>
      </c>
      <c r="I41" s="52">
        <f t="shared" si="4"/>
        <v>0</v>
      </c>
      <c r="J41" s="52"/>
      <c r="K41" s="129"/>
      <c r="L41" s="54">
        <f t="shared" si="28"/>
        <v>0</v>
      </c>
      <c r="M41" s="129"/>
      <c r="N41" s="54">
        <f t="shared" si="5"/>
        <v>0</v>
      </c>
      <c r="O41" s="54">
        <f t="shared" si="6"/>
        <v>0</v>
      </c>
      <c r="P41" s="1"/>
    </row>
    <row r="42" spans="2:16" ht="12.5">
      <c r="B42" s="7" t="str">
        <f t="shared" si="3"/>
        <v/>
      </c>
      <c r="C42" s="50">
        <f>IF(D11="","-",+C41+1)</f>
        <v>2039</v>
      </c>
      <c r="D42" s="55">
        <f>IF(F41+SUM(E$17:E41)=D$10,F41,D$10-SUM(E$17:E41))</f>
        <v>4123560.5032430673</v>
      </c>
      <c r="E42" s="378">
        <f t="shared" si="24"/>
        <v>219023.56818181818</v>
      </c>
      <c r="F42" s="55">
        <f t="shared" si="25"/>
        <v>3904536.935061249</v>
      </c>
      <c r="G42" s="379">
        <f t="shared" si="26"/>
        <v>698811.29790163052</v>
      </c>
      <c r="H42" s="364">
        <f t="shared" si="27"/>
        <v>698811.29790163052</v>
      </c>
      <c r="I42" s="52">
        <f t="shared" si="4"/>
        <v>0</v>
      </c>
      <c r="J42" s="52"/>
      <c r="K42" s="129"/>
      <c r="L42" s="54">
        <f t="shared" si="28"/>
        <v>0</v>
      </c>
      <c r="M42" s="129"/>
      <c r="N42" s="54">
        <f t="shared" si="5"/>
        <v>0</v>
      </c>
      <c r="O42" s="54">
        <f t="shared" si="6"/>
        <v>0</v>
      </c>
      <c r="P42" s="1"/>
    </row>
    <row r="43" spans="2:16" ht="12.5">
      <c r="B43" s="7" t="str">
        <f t="shared" si="3"/>
        <v/>
      </c>
      <c r="C43" s="50">
        <f>IF(D11="","-",+C42+1)</f>
        <v>2040</v>
      </c>
      <c r="D43" s="55">
        <f>IF(F42+SUM(E$17:E42)=D$10,F42,D$10-SUM(E$17:E42))</f>
        <v>3904536.935061249</v>
      </c>
      <c r="E43" s="378">
        <f t="shared" si="24"/>
        <v>219023.56818181818</v>
      </c>
      <c r="F43" s="55">
        <f t="shared" si="25"/>
        <v>3685513.3668794306</v>
      </c>
      <c r="G43" s="379">
        <f t="shared" si="26"/>
        <v>672632.03903222573</v>
      </c>
      <c r="H43" s="364">
        <f t="shared" si="27"/>
        <v>672632.03903222573</v>
      </c>
      <c r="I43" s="52">
        <f t="shared" si="4"/>
        <v>0</v>
      </c>
      <c r="J43" s="52"/>
      <c r="K43" s="129"/>
      <c r="L43" s="54">
        <f t="shared" si="28"/>
        <v>0</v>
      </c>
      <c r="M43" s="129"/>
      <c r="N43" s="54">
        <f t="shared" si="5"/>
        <v>0</v>
      </c>
      <c r="O43" s="54">
        <f t="shared" si="6"/>
        <v>0</v>
      </c>
      <c r="P43" s="1"/>
    </row>
    <row r="44" spans="2:16" ht="12.5">
      <c r="B44" s="7" t="str">
        <f t="shared" si="3"/>
        <v/>
      </c>
      <c r="C44" s="50">
        <f>IF(D11="","-",+C43+1)</f>
        <v>2041</v>
      </c>
      <c r="D44" s="55">
        <f>IF(F43+SUM(E$17:E43)=D$10,F43,D$10-SUM(E$17:E43))</f>
        <v>3685513.3668794306</v>
      </c>
      <c r="E44" s="378">
        <f t="shared" si="24"/>
        <v>219023.56818181818</v>
      </c>
      <c r="F44" s="55">
        <f t="shared" si="25"/>
        <v>3466489.7986976122</v>
      </c>
      <c r="G44" s="379">
        <f t="shared" si="26"/>
        <v>646452.78016282083</v>
      </c>
      <c r="H44" s="364">
        <f t="shared" si="27"/>
        <v>646452.78016282083</v>
      </c>
      <c r="I44" s="52">
        <f t="shared" si="4"/>
        <v>0</v>
      </c>
      <c r="J44" s="52"/>
      <c r="K44" s="129"/>
      <c r="L44" s="54">
        <f t="shared" si="28"/>
        <v>0</v>
      </c>
      <c r="M44" s="129"/>
      <c r="N44" s="54">
        <f t="shared" si="5"/>
        <v>0</v>
      </c>
      <c r="O44" s="54">
        <f t="shared" si="6"/>
        <v>0</v>
      </c>
      <c r="P44" s="1"/>
    </row>
    <row r="45" spans="2:16" ht="12.5">
      <c r="B45" s="7" t="str">
        <f t="shared" si="3"/>
        <v/>
      </c>
      <c r="C45" s="50">
        <f>IF(D11="","-",+C44+1)</f>
        <v>2042</v>
      </c>
      <c r="D45" s="55">
        <f>IF(F44+SUM(E$17:E44)=D$10,F44,D$10-SUM(E$17:E44))</f>
        <v>3466489.7986976122</v>
      </c>
      <c r="E45" s="378">
        <f t="shared" si="24"/>
        <v>219023.56818181818</v>
      </c>
      <c r="F45" s="55">
        <f t="shared" si="25"/>
        <v>3247466.2305157939</v>
      </c>
      <c r="G45" s="379">
        <f t="shared" si="26"/>
        <v>620273.52129341615</v>
      </c>
      <c r="H45" s="364">
        <f t="shared" si="27"/>
        <v>620273.52129341615</v>
      </c>
      <c r="I45" s="52">
        <f t="shared" si="4"/>
        <v>0</v>
      </c>
      <c r="J45" s="52"/>
      <c r="K45" s="129"/>
      <c r="L45" s="54">
        <f t="shared" si="28"/>
        <v>0</v>
      </c>
      <c r="M45" s="129"/>
      <c r="N45" s="54">
        <f t="shared" si="5"/>
        <v>0</v>
      </c>
      <c r="O45" s="54">
        <f t="shared" si="6"/>
        <v>0</v>
      </c>
      <c r="P45" s="1"/>
    </row>
    <row r="46" spans="2:16" ht="12.5">
      <c r="B46" s="7" t="str">
        <f t="shared" si="3"/>
        <v/>
      </c>
      <c r="C46" s="50">
        <f>IF(D11="","-",+C45+1)</f>
        <v>2043</v>
      </c>
      <c r="D46" s="55">
        <f>IF(F45+SUM(E$17:E45)=D$10,F45,D$10-SUM(E$17:E45))</f>
        <v>3247466.2305157939</v>
      </c>
      <c r="E46" s="378">
        <f t="shared" si="24"/>
        <v>219023.56818181818</v>
      </c>
      <c r="F46" s="55">
        <f t="shared" si="25"/>
        <v>3028442.6623339755</v>
      </c>
      <c r="G46" s="379">
        <f t="shared" si="26"/>
        <v>594094.26242401125</v>
      </c>
      <c r="H46" s="364">
        <f t="shared" si="27"/>
        <v>594094.26242401125</v>
      </c>
      <c r="I46" s="52">
        <f t="shared" si="4"/>
        <v>0</v>
      </c>
      <c r="J46" s="52"/>
      <c r="K46" s="129"/>
      <c r="L46" s="54">
        <f t="shared" si="28"/>
        <v>0</v>
      </c>
      <c r="M46" s="129"/>
      <c r="N46" s="54">
        <f t="shared" si="5"/>
        <v>0</v>
      </c>
      <c r="O46" s="54">
        <f t="shared" si="6"/>
        <v>0</v>
      </c>
      <c r="P46" s="1"/>
    </row>
    <row r="47" spans="2:16" ht="12.5">
      <c r="B47" s="7" t="str">
        <f t="shared" si="3"/>
        <v/>
      </c>
      <c r="C47" s="50">
        <f>IF(D11="","-",+C46+1)</f>
        <v>2044</v>
      </c>
      <c r="D47" s="55">
        <f>IF(F46+SUM(E$17:E46)=D$10,F46,D$10-SUM(E$17:E46))</f>
        <v>3028442.6623339755</v>
      </c>
      <c r="E47" s="378">
        <f t="shared" si="24"/>
        <v>219023.56818181818</v>
      </c>
      <c r="F47" s="55">
        <f t="shared" si="25"/>
        <v>2809419.0941521572</v>
      </c>
      <c r="G47" s="379">
        <f t="shared" si="26"/>
        <v>567915.00355460646</v>
      </c>
      <c r="H47" s="364">
        <f t="shared" si="27"/>
        <v>567915.00355460646</v>
      </c>
      <c r="I47" s="52">
        <f t="shared" si="4"/>
        <v>0</v>
      </c>
      <c r="J47" s="52"/>
      <c r="K47" s="129"/>
      <c r="L47" s="54">
        <f t="shared" si="28"/>
        <v>0</v>
      </c>
      <c r="M47" s="129"/>
      <c r="N47" s="54">
        <f t="shared" si="5"/>
        <v>0</v>
      </c>
      <c r="O47" s="54">
        <f t="shared" si="6"/>
        <v>0</v>
      </c>
      <c r="P47" s="1"/>
    </row>
    <row r="48" spans="2:16" ht="12.5">
      <c r="B48" s="7" t="str">
        <f t="shared" si="3"/>
        <v/>
      </c>
      <c r="C48" s="50">
        <f>IF(D11="","-",+C47+1)</f>
        <v>2045</v>
      </c>
      <c r="D48" s="55">
        <f>IF(F47+SUM(E$17:E47)=D$10,F47,D$10-SUM(E$17:E47))</f>
        <v>2809419.0941521572</v>
      </c>
      <c r="E48" s="378">
        <f t="shared" si="24"/>
        <v>219023.56818181818</v>
      </c>
      <c r="F48" s="55">
        <f t="shared" si="25"/>
        <v>2590395.5259703388</v>
      </c>
      <c r="G48" s="379">
        <f t="shared" si="26"/>
        <v>541735.74468520167</v>
      </c>
      <c r="H48" s="364">
        <f t="shared" si="27"/>
        <v>541735.74468520167</v>
      </c>
      <c r="I48" s="52">
        <f t="shared" si="4"/>
        <v>0</v>
      </c>
      <c r="J48" s="52"/>
      <c r="K48" s="129"/>
      <c r="L48" s="54">
        <f t="shared" si="28"/>
        <v>0</v>
      </c>
      <c r="M48" s="129"/>
      <c r="N48" s="54">
        <f t="shared" si="5"/>
        <v>0</v>
      </c>
      <c r="O48" s="54">
        <f t="shared" si="6"/>
        <v>0</v>
      </c>
      <c r="P48" s="1"/>
    </row>
    <row r="49" spans="2:16" ht="12.5">
      <c r="B49" s="7" t="str">
        <f t="shared" si="3"/>
        <v/>
      </c>
      <c r="C49" s="50">
        <f>IF(D11="","-",+C48+1)</f>
        <v>2046</v>
      </c>
      <c r="D49" s="55">
        <f>IF(F48+SUM(E$17:E48)=D$10,F48,D$10-SUM(E$17:E48))</f>
        <v>2590395.5259703388</v>
      </c>
      <c r="E49" s="378">
        <f t="shared" si="24"/>
        <v>219023.56818181818</v>
      </c>
      <c r="F49" s="55">
        <f t="shared" si="25"/>
        <v>2371371.9577885205</v>
      </c>
      <c r="G49" s="379">
        <f t="shared" si="26"/>
        <v>515556.48581579688</v>
      </c>
      <c r="H49" s="364">
        <f t="shared" si="27"/>
        <v>515556.48581579688</v>
      </c>
      <c r="I49" s="52">
        <f t="shared" si="4"/>
        <v>0</v>
      </c>
      <c r="J49" s="52"/>
      <c r="K49" s="129"/>
      <c r="L49" s="54">
        <f t="shared" si="28"/>
        <v>0</v>
      </c>
      <c r="M49" s="129"/>
      <c r="N49" s="54">
        <f t="shared" si="5"/>
        <v>0</v>
      </c>
      <c r="O49" s="54">
        <f t="shared" si="6"/>
        <v>0</v>
      </c>
      <c r="P49" s="1"/>
    </row>
    <row r="50" spans="2:16" ht="12.5">
      <c r="B50" s="7" t="str">
        <f t="shared" si="3"/>
        <v/>
      </c>
      <c r="C50" s="50">
        <f>IF(D11="","-",+C49+1)</f>
        <v>2047</v>
      </c>
      <c r="D50" s="55">
        <f>IF(F49+SUM(E$17:E49)=D$10,F49,D$10-SUM(E$17:E49))</f>
        <v>2371371.9577885205</v>
      </c>
      <c r="E50" s="378">
        <f t="shared" si="24"/>
        <v>219023.56818181818</v>
      </c>
      <c r="F50" s="55">
        <f t="shared" si="25"/>
        <v>2152348.3896067021</v>
      </c>
      <c r="G50" s="379">
        <f t="shared" si="26"/>
        <v>489377.22694639204</v>
      </c>
      <c r="H50" s="364">
        <f t="shared" si="27"/>
        <v>489377.22694639204</v>
      </c>
      <c r="I50" s="52">
        <f t="shared" si="4"/>
        <v>0</v>
      </c>
      <c r="J50" s="52"/>
      <c r="K50" s="129"/>
      <c r="L50" s="54">
        <f t="shared" si="28"/>
        <v>0</v>
      </c>
      <c r="M50" s="129"/>
      <c r="N50" s="54">
        <f t="shared" si="5"/>
        <v>0</v>
      </c>
      <c r="O50" s="54">
        <f t="shared" si="6"/>
        <v>0</v>
      </c>
      <c r="P50" s="1"/>
    </row>
    <row r="51" spans="2:16" ht="12.5">
      <c r="B51" s="7" t="str">
        <f t="shared" si="3"/>
        <v/>
      </c>
      <c r="C51" s="50">
        <f>IF(D11="","-",+C50+1)</f>
        <v>2048</v>
      </c>
      <c r="D51" s="55">
        <f>IF(F50+SUM(E$17:E50)=D$10,F50,D$10-SUM(E$17:E50))</f>
        <v>2152348.3896067021</v>
      </c>
      <c r="E51" s="378">
        <f t="shared" si="24"/>
        <v>219023.56818181818</v>
      </c>
      <c r="F51" s="55">
        <f t="shared" si="25"/>
        <v>1933324.821424884</v>
      </c>
      <c r="G51" s="379">
        <f t="shared" si="26"/>
        <v>463197.96807698719</v>
      </c>
      <c r="H51" s="364">
        <f t="shared" si="27"/>
        <v>463197.96807698719</v>
      </c>
      <c r="I51" s="52">
        <f t="shared" si="4"/>
        <v>0</v>
      </c>
      <c r="J51" s="52"/>
      <c r="K51" s="129"/>
      <c r="L51" s="54">
        <f t="shared" si="28"/>
        <v>0</v>
      </c>
      <c r="M51" s="129"/>
      <c r="N51" s="54">
        <f t="shared" si="5"/>
        <v>0</v>
      </c>
      <c r="O51" s="54">
        <f t="shared" si="6"/>
        <v>0</v>
      </c>
      <c r="P51" s="1"/>
    </row>
    <row r="52" spans="2:16" ht="12.5">
      <c r="B52" s="7" t="str">
        <f t="shared" si="3"/>
        <v/>
      </c>
      <c r="C52" s="50">
        <f>IF(D11="","-",+C51+1)</f>
        <v>2049</v>
      </c>
      <c r="D52" s="55">
        <f>IF(F51+SUM(E$17:E51)=D$10,F51,D$10-SUM(E$17:E51))</f>
        <v>1933324.821424884</v>
      </c>
      <c r="E52" s="378">
        <f t="shared" si="24"/>
        <v>219023.56818181818</v>
      </c>
      <c r="F52" s="55">
        <f t="shared" si="25"/>
        <v>1714301.2532430659</v>
      </c>
      <c r="G52" s="379">
        <f t="shared" ref="G52:G72" si="29">+I$12*((D52+F52)/2)+E52</f>
        <v>437018.70920758252</v>
      </c>
      <c r="H52" s="364">
        <f t="shared" ref="H52:H72" si="30">+I$13*((D52+F52)/2)+E52</f>
        <v>437018.70920758252</v>
      </c>
      <c r="I52" s="52">
        <f t="shared" si="4"/>
        <v>0</v>
      </c>
      <c r="J52" s="52"/>
      <c r="K52" s="129"/>
      <c r="L52" s="54">
        <f t="shared" si="28"/>
        <v>0</v>
      </c>
      <c r="M52" s="129"/>
      <c r="N52" s="54">
        <f t="shared" si="5"/>
        <v>0</v>
      </c>
      <c r="O52" s="54">
        <f t="shared" si="6"/>
        <v>0</v>
      </c>
      <c r="P52" s="1"/>
    </row>
    <row r="53" spans="2:16" ht="12.5">
      <c r="B53" s="7" t="str">
        <f t="shared" si="3"/>
        <v/>
      </c>
      <c r="C53" s="50">
        <f>IF(D11="","-",+C52+1)</f>
        <v>2050</v>
      </c>
      <c r="D53" s="55">
        <f>IF(F52+SUM(E$17:E52)=D$10,F52,D$10-SUM(E$17:E52))</f>
        <v>1714301.2532430659</v>
      </c>
      <c r="E53" s="378">
        <f t="shared" si="24"/>
        <v>219023.56818181818</v>
      </c>
      <c r="F53" s="55">
        <f t="shared" si="25"/>
        <v>1495277.6850612478</v>
      </c>
      <c r="G53" s="379">
        <f t="shared" si="29"/>
        <v>410839.45033817767</v>
      </c>
      <c r="H53" s="364">
        <f t="shared" si="30"/>
        <v>410839.45033817767</v>
      </c>
      <c r="I53" s="52">
        <f t="shared" si="4"/>
        <v>0</v>
      </c>
      <c r="J53" s="52"/>
      <c r="K53" s="129"/>
      <c r="L53" s="54">
        <f t="shared" si="28"/>
        <v>0</v>
      </c>
      <c r="M53" s="129"/>
      <c r="N53" s="54">
        <f t="shared" si="5"/>
        <v>0</v>
      </c>
      <c r="O53" s="54">
        <f t="shared" si="6"/>
        <v>0</v>
      </c>
      <c r="P53" s="1"/>
    </row>
    <row r="54" spans="2:16" ht="12.5">
      <c r="B54" s="7" t="str">
        <f t="shared" si="3"/>
        <v/>
      </c>
      <c r="C54" s="50">
        <f>IF(D11="","-",+C53+1)</f>
        <v>2051</v>
      </c>
      <c r="D54" s="55">
        <f>IF(F53+SUM(E$17:E53)=D$10,F53,D$10-SUM(E$17:E53))</f>
        <v>1495277.6850612478</v>
      </c>
      <c r="E54" s="378">
        <f t="shared" si="24"/>
        <v>219023.56818181818</v>
      </c>
      <c r="F54" s="55">
        <f t="shared" si="25"/>
        <v>1276254.1168794297</v>
      </c>
      <c r="G54" s="379">
        <f t="shared" si="29"/>
        <v>384660.19146877294</v>
      </c>
      <c r="H54" s="364">
        <f t="shared" si="30"/>
        <v>384660.19146877294</v>
      </c>
      <c r="I54" s="52">
        <f t="shared" si="4"/>
        <v>0</v>
      </c>
      <c r="J54" s="52"/>
      <c r="K54" s="129"/>
      <c r="L54" s="54">
        <f t="shared" si="28"/>
        <v>0</v>
      </c>
      <c r="M54" s="129"/>
      <c r="N54" s="54">
        <f t="shared" si="5"/>
        <v>0</v>
      </c>
      <c r="O54" s="54">
        <f t="shared" si="6"/>
        <v>0</v>
      </c>
      <c r="P54" s="1"/>
    </row>
    <row r="55" spans="2:16" ht="12.5">
      <c r="B55" s="7" t="str">
        <f t="shared" si="3"/>
        <v/>
      </c>
      <c r="C55" s="50">
        <f>IF(D11="","-",+C54+1)</f>
        <v>2052</v>
      </c>
      <c r="D55" s="55">
        <f>IF(F54+SUM(E$17:E54)=D$10,F54,D$10-SUM(E$17:E54))</f>
        <v>1276254.1168794297</v>
      </c>
      <c r="E55" s="378">
        <f t="shared" si="24"/>
        <v>219023.56818181818</v>
      </c>
      <c r="F55" s="55">
        <f t="shared" si="25"/>
        <v>1057230.5486976115</v>
      </c>
      <c r="G55" s="379">
        <f t="shared" si="29"/>
        <v>358480.9325993681</v>
      </c>
      <c r="H55" s="364">
        <f t="shared" si="30"/>
        <v>358480.9325993681</v>
      </c>
      <c r="I55" s="52">
        <f t="shared" si="4"/>
        <v>0</v>
      </c>
      <c r="J55" s="52"/>
      <c r="K55" s="129"/>
      <c r="L55" s="54">
        <f t="shared" si="28"/>
        <v>0</v>
      </c>
      <c r="M55" s="129"/>
      <c r="N55" s="54">
        <f t="shared" si="5"/>
        <v>0</v>
      </c>
      <c r="O55" s="54">
        <f t="shared" si="6"/>
        <v>0</v>
      </c>
      <c r="P55" s="1"/>
    </row>
    <row r="56" spans="2:16" ht="12.5">
      <c r="B56" s="7" t="str">
        <f t="shared" si="3"/>
        <v/>
      </c>
      <c r="C56" s="50">
        <f>IF(D11="","-",+C55+1)</f>
        <v>2053</v>
      </c>
      <c r="D56" s="55">
        <f>IF(F55+SUM(E$17:E55)=D$10,F55,D$10-SUM(E$17:E55))</f>
        <v>1057230.5486976115</v>
      </c>
      <c r="E56" s="378">
        <f t="shared" si="24"/>
        <v>219023.56818181818</v>
      </c>
      <c r="F56" s="55">
        <f t="shared" si="25"/>
        <v>838206.98051579343</v>
      </c>
      <c r="G56" s="379">
        <f t="shared" si="29"/>
        <v>332301.67372996337</v>
      </c>
      <c r="H56" s="364">
        <f t="shared" si="30"/>
        <v>332301.67372996337</v>
      </c>
      <c r="I56" s="52">
        <f t="shared" si="4"/>
        <v>0</v>
      </c>
      <c r="J56" s="52"/>
      <c r="K56" s="129"/>
      <c r="L56" s="54">
        <f t="shared" si="28"/>
        <v>0</v>
      </c>
      <c r="M56" s="129"/>
      <c r="N56" s="54">
        <f t="shared" si="5"/>
        <v>0</v>
      </c>
      <c r="O56" s="54">
        <f t="shared" si="6"/>
        <v>0</v>
      </c>
      <c r="P56" s="1"/>
    </row>
    <row r="57" spans="2:16" ht="12.5">
      <c r="B57" s="7" t="str">
        <f t="shared" si="3"/>
        <v/>
      </c>
      <c r="C57" s="50">
        <f>IF(D11="","-",+C56+1)</f>
        <v>2054</v>
      </c>
      <c r="D57" s="55">
        <f>IF(F56+SUM(E$17:E56)=D$10,F56,D$10-SUM(E$17:E56))</f>
        <v>838206.98051579343</v>
      </c>
      <c r="E57" s="378">
        <f t="shared" si="24"/>
        <v>219023.56818181818</v>
      </c>
      <c r="F57" s="55">
        <f t="shared" si="25"/>
        <v>619183.41233397531</v>
      </c>
      <c r="G57" s="379">
        <f t="shared" si="29"/>
        <v>306122.41486055858</v>
      </c>
      <c r="H57" s="364">
        <f t="shared" si="30"/>
        <v>306122.41486055858</v>
      </c>
      <c r="I57" s="52">
        <f t="shared" si="4"/>
        <v>0</v>
      </c>
      <c r="J57" s="52"/>
      <c r="K57" s="129"/>
      <c r="L57" s="54">
        <f t="shared" si="28"/>
        <v>0</v>
      </c>
      <c r="M57" s="129"/>
      <c r="N57" s="54">
        <f t="shared" si="5"/>
        <v>0</v>
      </c>
      <c r="O57" s="54">
        <f t="shared" si="6"/>
        <v>0</v>
      </c>
      <c r="P57" s="1"/>
    </row>
    <row r="58" spans="2:16" ht="12.5">
      <c r="B58" s="7" t="str">
        <f t="shared" si="3"/>
        <v/>
      </c>
      <c r="C58" s="50">
        <f>IF(D11="","-",+C57+1)</f>
        <v>2055</v>
      </c>
      <c r="D58" s="55">
        <f>IF(F57+SUM(E$17:E57)=D$10,F57,D$10-SUM(E$17:E57))</f>
        <v>619183.41233397531</v>
      </c>
      <c r="E58" s="378">
        <f t="shared" si="24"/>
        <v>219023.56818181818</v>
      </c>
      <c r="F58" s="55">
        <f t="shared" si="25"/>
        <v>400159.84415215714</v>
      </c>
      <c r="G58" s="379">
        <f t="shared" si="29"/>
        <v>279943.15599115379</v>
      </c>
      <c r="H58" s="364">
        <f t="shared" si="30"/>
        <v>279943.15599115379</v>
      </c>
      <c r="I58" s="52">
        <f t="shared" si="4"/>
        <v>0</v>
      </c>
      <c r="J58" s="52"/>
      <c r="K58" s="129"/>
      <c r="L58" s="54">
        <f t="shared" si="28"/>
        <v>0</v>
      </c>
      <c r="M58" s="129"/>
      <c r="N58" s="54">
        <f t="shared" si="5"/>
        <v>0</v>
      </c>
      <c r="O58" s="54">
        <f t="shared" si="6"/>
        <v>0</v>
      </c>
      <c r="P58" s="1"/>
    </row>
    <row r="59" spans="2:16" ht="12.5">
      <c r="B59" s="7" t="str">
        <f t="shared" si="3"/>
        <v/>
      </c>
      <c r="C59" s="50">
        <f>IF(D11="","-",+C58+1)</f>
        <v>2056</v>
      </c>
      <c r="D59" s="55">
        <f>IF(F58+SUM(E$17:E58)=D$10,F58,D$10-SUM(E$17:E58))</f>
        <v>400159.84415215714</v>
      </c>
      <c r="E59" s="378">
        <f t="shared" si="24"/>
        <v>219023.56818181818</v>
      </c>
      <c r="F59" s="55">
        <f t="shared" si="25"/>
        <v>181136.27597033896</v>
      </c>
      <c r="G59" s="379">
        <f t="shared" si="29"/>
        <v>253763.89712174897</v>
      </c>
      <c r="H59" s="364">
        <f t="shared" si="30"/>
        <v>253763.89712174897</v>
      </c>
      <c r="I59" s="52">
        <f t="shared" si="4"/>
        <v>0</v>
      </c>
      <c r="J59" s="52"/>
      <c r="K59" s="129"/>
      <c r="L59" s="54">
        <f t="shared" si="28"/>
        <v>0</v>
      </c>
      <c r="M59" s="129"/>
      <c r="N59" s="54">
        <f t="shared" si="5"/>
        <v>0</v>
      </c>
      <c r="O59" s="54">
        <f t="shared" si="6"/>
        <v>0</v>
      </c>
      <c r="P59" s="1"/>
    </row>
    <row r="60" spans="2:16" ht="12.5">
      <c r="B60" s="7" t="str">
        <f t="shared" si="3"/>
        <v/>
      </c>
      <c r="C60" s="50">
        <f>IF(D11="","-",+C59+1)</f>
        <v>2057</v>
      </c>
      <c r="D60" s="55">
        <f>IF(F59+SUM(E$17:E59)=D$10,F59,D$10-SUM(E$17:E59))</f>
        <v>181136.27597033896</v>
      </c>
      <c r="E60" s="378">
        <f t="shared" si="24"/>
        <v>181136.27597033896</v>
      </c>
      <c r="F60" s="55">
        <f t="shared" si="25"/>
        <v>0</v>
      </c>
      <c r="G60" s="379">
        <f t="shared" si="29"/>
        <v>191961.62572295318</v>
      </c>
      <c r="H60" s="364">
        <f t="shared" si="30"/>
        <v>191961.62572295318</v>
      </c>
      <c r="I60" s="52">
        <f t="shared" si="4"/>
        <v>0</v>
      </c>
      <c r="J60" s="52"/>
      <c r="K60" s="129"/>
      <c r="L60" s="54">
        <f t="shared" si="28"/>
        <v>0</v>
      </c>
      <c r="M60" s="129"/>
      <c r="N60" s="54">
        <f t="shared" si="5"/>
        <v>0</v>
      </c>
      <c r="O60" s="54">
        <f t="shared" si="6"/>
        <v>0</v>
      </c>
      <c r="P60" s="1"/>
    </row>
    <row r="61" spans="2:16" ht="12.5">
      <c r="B61" s="7" t="str">
        <f t="shared" si="3"/>
        <v/>
      </c>
      <c r="C61" s="50">
        <f>IF(D11="","-",+C60+1)</f>
        <v>2058</v>
      </c>
      <c r="D61" s="55">
        <f>IF(F60+SUM(E$17:E60)=D$10,F60,D$10-SUM(E$17:E60))</f>
        <v>0</v>
      </c>
      <c r="E61" s="378">
        <f t="shared" si="24"/>
        <v>0</v>
      </c>
      <c r="F61" s="55">
        <f t="shared" si="25"/>
        <v>0</v>
      </c>
      <c r="G61" s="379">
        <f t="shared" si="29"/>
        <v>0</v>
      </c>
      <c r="H61" s="364">
        <f t="shared" si="30"/>
        <v>0</v>
      </c>
      <c r="I61" s="52">
        <f t="shared" si="4"/>
        <v>0</v>
      </c>
      <c r="J61" s="52"/>
      <c r="K61" s="129"/>
      <c r="L61" s="54">
        <f t="shared" si="28"/>
        <v>0</v>
      </c>
      <c r="M61" s="129"/>
      <c r="N61" s="54">
        <f t="shared" si="5"/>
        <v>0</v>
      </c>
      <c r="O61" s="54">
        <f t="shared" si="6"/>
        <v>0</v>
      </c>
      <c r="P61" s="1"/>
    </row>
    <row r="62" spans="2:16" ht="12.5">
      <c r="B62" s="7" t="str">
        <f t="shared" si="3"/>
        <v/>
      </c>
      <c r="C62" s="50">
        <f>IF(D11="","-",+C61+1)</f>
        <v>2059</v>
      </c>
      <c r="D62" s="55">
        <f>IF(F61+SUM(E$17:E61)=D$10,F61,D$10-SUM(E$17:E61))</f>
        <v>0</v>
      </c>
      <c r="E62" s="378">
        <f t="shared" si="24"/>
        <v>0</v>
      </c>
      <c r="F62" s="55">
        <f t="shared" si="25"/>
        <v>0</v>
      </c>
      <c r="G62" s="379">
        <f t="shared" si="29"/>
        <v>0</v>
      </c>
      <c r="H62" s="364">
        <f t="shared" si="30"/>
        <v>0</v>
      </c>
      <c r="I62" s="52">
        <f t="shared" si="4"/>
        <v>0</v>
      </c>
      <c r="J62" s="52"/>
      <c r="K62" s="129"/>
      <c r="L62" s="54">
        <f t="shared" si="28"/>
        <v>0</v>
      </c>
      <c r="M62" s="129"/>
      <c r="N62" s="54">
        <f t="shared" si="5"/>
        <v>0</v>
      </c>
      <c r="O62" s="54">
        <f t="shared" si="6"/>
        <v>0</v>
      </c>
      <c r="P62" s="1"/>
    </row>
    <row r="63" spans="2:16" ht="12.5">
      <c r="B63" s="7" t="str">
        <f t="shared" si="3"/>
        <v/>
      </c>
      <c r="C63" s="50">
        <f>IF(D11="","-",+C62+1)</f>
        <v>2060</v>
      </c>
      <c r="D63" s="55">
        <f>IF(F62+SUM(E$17:E62)=D$10,F62,D$10-SUM(E$17:E62))</f>
        <v>0</v>
      </c>
      <c r="E63" s="378">
        <f t="shared" si="24"/>
        <v>0</v>
      </c>
      <c r="F63" s="55">
        <f t="shared" si="25"/>
        <v>0</v>
      </c>
      <c r="G63" s="379">
        <f t="shared" si="29"/>
        <v>0</v>
      </c>
      <c r="H63" s="364">
        <f t="shared" si="30"/>
        <v>0</v>
      </c>
      <c r="I63" s="52">
        <f t="shared" si="4"/>
        <v>0</v>
      </c>
      <c r="J63" s="52"/>
      <c r="K63" s="129"/>
      <c r="L63" s="54">
        <f t="shared" si="28"/>
        <v>0</v>
      </c>
      <c r="M63" s="129"/>
      <c r="N63" s="54">
        <f t="shared" si="5"/>
        <v>0</v>
      </c>
      <c r="O63" s="54">
        <f t="shared" si="6"/>
        <v>0</v>
      </c>
      <c r="P63" s="1"/>
    </row>
    <row r="64" spans="2:16" ht="12.5">
      <c r="B64" s="7" t="str">
        <f t="shared" si="3"/>
        <v/>
      </c>
      <c r="C64" s="50">
        <f>IF(D11="","-",+C63+1)</f>
        <v>2061</v>
      </c>
      <c r="D64" s="55">
        <f>IF(F63+SUM(E$17:E63)=D$10,F63,D$10-SUM(E$17:E63))</f>
        <v>0</v>
      </c>
      <c r="E64" s="378">
        <f t="shared" si="24"/>
        <v>0</v>
      </c>
      <c r="F64" s="55">
        <f t="shared" si="25"/>
        <v>0</v>
      </c>
      <c r="G64" s="379">
        <f t="shared" si="29"/>
        <v>0</v>
      </c>
      <c r="H64" s="364">
        <f t="shared" si="30"/>
        <v>0</v>
      </c>
      <c r="I64" s="52">
        <f t="shared" si="4"/>
        <v>0</v>
      </c>
      <c r="J64" s="52"/>
      <c r="K64" s="129"/>
      <c r="L64" s="54">
        <f t="shared" si="28"/>
        <v>0</v>
      </c>
      <c r="M64" s="129"/>
      <c r="N64" s="54">
        <f t="shared" si="5"/>
        <v>0</v>
      </c>
      <c r="O64" s="54">
        <f t="shared" si="6"/>
        <v>0</v>
      </c>
      <c r="P64" s="1"/>
    </row>
    <row r="65" spans="2:16" ht="12.5">
      <c r="B65" s="7" t="str">
        <f t="shared" si="3"/>
        <v/>
      </c>
      <c r="C65" s="50">
        <f>IF(D11="","-",+C64+1)</f>
        <v>2062</v>
      </c>
      <c r="D65" s="55">
        <f>IF(F64+SUM(E$17:E64)=D$10,F64,D$10-SUM(E$17:E64))</f>
        <v>0</v>
      </c>
      <c r="E65" s="378">
        <f t="shared" si="24"/>
        <v>0</v>
      </c>
      <c r="F65" s="55">
        <f t="shared" si="25"/>
        <v>0</v>
      </c>
      <c r="G65" s="379">
        <f t="shared" si="29"/>
        <v>0</v>
      </c>
      <c r="H65" s="364">
        <f t="shared" si="30"/>
        <v>0</v>
      </c>
      <c r="I65" s="52">
        <f t="shared" si="4"/>
        <v>0</v>
      </c>
      <c r="J65" s="52"/>
      <c r="K65" s="129"/>
      <c r="L65" s="54">
        <f t="shared" si="28"/>
        <v>0</v>
      </c>
      <c r="M65" s="129"/>
      <c r="N65" s="54">
        <f t="shared" si="5"/>
        <v>0</v>
      </c>
      <c r="O65" s="54">
        <f t="shared" si="6"/>
        <v>0</v>
      </c>
      <c r="P65" s="1"/>
    </row>
    <row r="66" spans="2:16" ht="12.5">
      <c r="B66" s="7" t="str">
        <f t="shared" si="3"/>
        <v/>
      </c>
      <c r="C66" s="50">
        <f>IF(D11="","-",+C65+1)</f>
        <v>2063</v>
      </c>
      <c r="D66" s="55">
        <f>IF(F65+SUM(E$17:E65)=D$10,F65,D$10-SUM(E$17:E65))</f>
        <v>0</v>
      </c>
      <c r="E66" s="378">
        <f t="shared" si="24"/>
        <v>0</v>
      </c>
      <c r="F66" s="55">
        <f t="shared" si="25"/>
        <v>0</v>
      </c>
      <c r="G66" s="379">
        <f t="shared" si="29"/>
        <v>0</v>
      </c>
      <c r="H66" s="364">
        <f t="shared" si="30"/>
        <v>0</v>
      </c>
      <c r="I66" s="52">
        <f t="shared" si="4"/>
        <v>0</v>
      </c>
      <c r="J66" s="52"/>
      <c r="K66" s="129"/>
      <c r="L66" s="54">
        <f t="shared" si="28"/>
        <v>0</v>
      </c>
      <c r="M66" s="129"/>
      <c r="N66" s="54">
        <f t="shared" si="5"/>
        <v>0</v>
      </c>
      <c r="O66" s="54">
        <f t="shared" si="6"/>
        <v>0</v>
      </c>
      <c r="P66" s="1"/>
    </row>
    <row r="67" spans="2:16" ht="12.5">
      <c r="B67" s="7" t="str">
        <f t="shared" si="3"/>
        <v/>
      </c>
      <c r="C67" s="50">
        <f>IF(D11="","-",+C66+1)</f>
        <v>2064</v>
      </c>
      <c r="D67" s="55">
        <f>IF(F66+SUM(E$17:E66)=D$10,F66,D$10-SUM(E$17:E66))</f>
        <v>0</v>
      </c>
      <c r="E67" s="378">
        <f t="shared" si="24"/>
        <v>0</v>
      </c>
      <c r="F67" s="55">
        <f t="shared" si="25"/>
        <v>0</v>
      </c>
      <c r="G67" s="379">
        <f t="shared" si="29"/>
        <v>0</v>
      </c>
      <c r="H67" s="364">
        <f t="shared" si="30"/>
        <v>0</v>
      </c>
      <c r="I67" s="52">
        <f t="shared" si="4"/>
        <v>0</v>
      </c>
      <c r="J67" s="52"/>
      <c r="K67" s="129"/>
      <c r="L67" s="54">
        <f t="shared" si="28"/>
        <v>0</v>
      </c>
      <c r="M67" s="129"/>
      <c r="N67" s="54">
        <f t="shared" si="5"/>
        <v>0</v>
      </c>
      <c r="O67" s="54">
        <f t="shared" si="6"/>
        <v>0</v>
      </c>
      <c r="P67" s="1"/>
    </row>
    <row r="68" spans="2:16" ht="12.5">
      <c r="B68" s="7" t="str">
        <f t="shared" si="3"/>
        <v/>
      </c>
      <c r="C68" s="50">
        <f>IF(D11="","-",+C67+1)</f>
        <v>2065</v>
      </c>
      <c r="D68" s="55">
        <f>IF(F67+SUM(E$17:E67)=D$10,F67,D$10-SUM(E$17:E67))</f>
        <v>0</v>
      </c>
      <c r="E68" s="378">
        <f t="shared" si="24"/>
        <v>0</v>
      </c>
      <c r="F68" s="55">
        <f t="shared" si="25"/>
        <v>0</v>
      </c>
      <c r="G68" s="379">
        <f t="shared" si="29"/>
        <v>0</v>
      </c>
      <c r="H68" s="364">
        <f t="shared" si="30"/>
        <v>0</v>
      </c>
      <c r="I68" s="52">
        <f t="shared" si="4"/>
        <v>0</v>
      </c>
      <c r="J68" s="52"/>
      <c r="K68" s="129"/>
      <c r="L68" s="54">
        <f t="shared" si="28"/>
        <v>0</v>
      </c>
      <c r="M68" s="129"/>
      <c r="N68" s="54">
        <f t="shared" si="5"/>
        <v>0</v>
      </c>
      <c r="O68" s="54">
        <f t="shared" si="6"/>
        <v>0</v>
      </c>
      <c r="P68" s="1"/>
    </row>
    <row r="69" spans="2:16" ht="12.5">
      <c r="B69" s="7" t="str">
        <f t="shared" si="3"/>
        <v/>
      </c>
      <c r="C69" s="50">
        <f>IF(D11="","-",+C68+1)</f>
        <v>2066</v>
      </c>
      <c r="D69" s="55">
        <f>IF(F68+SUM(E$17:E68)=D$10,F68,D$10-SUM(E$17:E68))</f>
        <v>0</v>
      </c>
      <c r="E69" s="378">
        <f t="shared" si="24"/>
        <v>0</v>
      </c>
      <c r="F69" s="55">
        <f t="shared" si="25"/>
        <v>0</v>
      </c>
      <c r="G69" s="379">
        <f t="shared" si="29"/>
        <v>0</v>
      </c>
      <c r="H69" s="364">
        <f t="shared" si="30"/>
        <v>0</v>
      </c>
      <c r="I69" s="52">
        <f t="shared" si="4"/>
        <v>0</v>
      </c>
      <c r="J69" s="52"/>
      <c r="K69" s="129"/>
      <c r="L69" s="54">
        <f t="shared" si="28"/>
        <v>0</v>
      </c>
      <c r="M69" s="129"/>
      <c r="N69" s="54">
        <f t="shared" si="5"/>
        <v>0</v>
      </c>
      <c r="O69" s="54">
        <f t="shared" si="6"/>
        <v>0</v>
      </c>
      <c r="P69" s="1"/>
    </row>
    <row r="70" spans="2:16" ht="12.5">
      <c r="B70" s="7" t="str">
        <f t="shared" si="3"/>
        <v/>
      </c>
      <c r="C70" s="50">
        <f>IF(D11="","-",+C69+1)</f>
        <v>2067</v>
      </c>
      <c r="D70" s="55">
        <f>IF(F69+SUM(E$17:E69)=D$10,F69,D$10-SUM(E$17:E69))</f>
        <v>0</v>
      </c>
      <c r="E70" s="378">
        <f t="shared" si="24"/>
        <v>0</v>
      </c>
      <c r="F70" s="55">
        <f t="shared" si="25"/>
        <v>0</v>
      </c>
      <c r="G70" s="379">
        <f t="shared" si="29"/>
        <v>0</v>
      </c>
      <c r="H70" s="364">
        <f t="shared" si="30"/>
        <v>0</v>
      </c>
      <c r="I70" s="52">
        <f t="shared" si="4"/>
        <v>0</v>
      </c>
      <c r="J70" s="52"/>
      <c r="K70" s="129"/>
      <c r="L70" s="54">
        <f t="shared" si="28"/>
        <v>0</v>
      </c>
      <c r="M70" s="129"/>
      <c r="N70" s="54">
        <f t="shared" si="5"/>
        <v>0</v>
      </c>
      <c r="O70" s="54">
        <f t="shared" si="6"/>
        <v>0</v>
      </c>
      <c r="P70" s="1"/>
    </row>
    <row r="71" spans="2:16" ht="12.5">
      <c r="B71" s="7" t="str">
        <f t="shared" si="3"/>
        <v/>
      </c>
      <c r="C71" s="50">
        <f>IF(D11="","-",+C70+1)</f>
        <v>2068</v>
      </c>
      <c r="D71" s="55">
        <f>IF(F70+SUM(E$17:E70)=D$10,F70,D$10-SUM(E$17:E70))</f>
        <v>0</v>
      </c>
      <c r="E71" s="378">
        <f t="shared" si="24"/>
        <v>0</v>
      </c>
      <c r="F71" s="55">
        <f t="shared" si="25"/>
        <v>0</v>
      </c>
      <c r="G71" s="379">
        <f t="shared" si="29"/>
        <v>0</v>
      </c>
      <c r="H71" s="364">
        <f t="shared" si="30"/>
        <v>0</v>
      </c>
      <c r="I71" s="52">
        <f t="shared" si="4"/>
        <v>0</v>
      </c>
      <c r="J71" s="52"/>
      <c r="K71" s="129"/>
      <c r="L71" s="54">
        <f t="shared" si="28"/>
        <v>0</v>
      </c>
      <c r="M71" s="129"/>
      <c r="N71" s="54">
        <f t="shared" si="5"/>
        <v>0</v>
      </c>
      <c r="O71" s="54">
        <f t="shared" si="6"/>
        <v>0</v>
      </c>
      <c r="P71" s="1"/>
    </row>
    <row r="72" spans="2:16" ht="13" thickBot="1">
      <c r="B72" s="7" t="str">
        <f t="shared" si="3"/>
        <v/>
      </c>
      <c r="C72" s="59">
        <f>IF(D11="","-",+C71+1)</f>
        <v>2069</v>
      </c>
      <c r="D72" s="55">
        <f>IF(F71+SUM(E$17:E71)=D$10,F71,D$10-SUM(E$17:E71))</f>
        <v>0</v>
      </c>
      <c r="E72" s="378">
        <f t="shared" si="24"/>
        <v>0</v>
      </c>
      <c r="F72" s="55">
        <f t="shared" si="25"/>
        <v>0</v>
      </c>
      <c r="G72" s="379">
        <f t="shared" si="29"/>
        <v>0</v>
      </c>
      <c r="H72" s="364">
        <f t="shared" si="30"/>
        <v>0</v>
      </c>
      <c r="I72" s="52">
        <f t="shared" si="4"/>
        <v>0</v>
      </c>
      <c r="J72" s="52"/>
      <c r="K72" s="130"/>
      <c r="L72" s="64">
        <f t="shared" si="28"/>
        <v>0</v>
      </c>
      <c r="M72" s="130"/>
      <c r="N72" s="64">
        <f t="shared" si="5"/>
        <v>0</v>
      </c>
      <c r="O72" s="64">
        <f t="shared" si="6"/>
        <v>0</v>
      </c>
      <c r="P72" s="1"/>
    </row>
    <row r="73" spans="2:16" ht="12.5">
      <c r="C73" s="12" t="s">
        <v>78</v>
      </c>
      <c r="D73" s="293"/>
      <c r="E73" s="293">
        <f>SUM(E17:E72)</f>
        <v>9637037.0000000019</v>
      </c>
      <c r="F73" s="293"/>
      <c r="G73" s="293">
        <f>SUM(G17:G72)</f>
        <v>35059107.256014973</v>
      </c>
      <c r="H73" s="293">
        <f>SUM(H17:H72)</f>
        <v>35059107.256014973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 ht="13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40 of 77</v>
      </c>
    </row>
    <row r="84" spans="1:16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1091500.1809427028</v>
      </c>
      <c r="N87" s="387">
        <f>IF(J92&lt;D11,0,VLOOKUP(J92,C17:O72,11))</f>
        <v>1091500.1809427028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1131176.8331035979</v>
      </c>
      <c r="N88" s="390">
        <f>IF(J92&lt;D11,0,VLOOKUP(J92,C99:P154,7))</f>
        <v>1131176.8331035979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 xml:space="preserve">Rock Hill to Carthage 69 kV Rebuild 11.4 Miles 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39676.652160895057</v>
      </c>
      <c r="N89" s="392">
        <f>+N88-N87</f>
        <v>39676.652160895057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TP20100102</v>
      </c>
      <c r="E91" s="76" t="str">
        <f>E9</f>
        <v xml:space="preserve">  SPP Project ID = 882</v>
      </c>
      <c r="F91" s="76"/>
      <c r="G91" s="76"/>
      <c r="H91" s="76"/>
      <c r="I91" s="76"/>
      <c r="J91" s="76"/>
    </row>
    <row r="92" spans="1:16" ht="13">
      <c r="C92" s="34" t="s">
        <v>51</v>
      </c>
      <c r="D92" s="363">
        <f>IF(D11=I10,0,D10)</f>
        <v>9637037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</row>
    <row r="93" spans="1:16" ht="12.5">
      <c r="C93" s="34" t="s">
        <v>54</v>
      </c>
      <c r="D93" s="88">
        <f>IF(D11=I10,"",D11)</f>
        <v>2014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4">
        <f>IF(D11=I10,"",D12)</f>
        <v>6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219023.56818181818</v>
      </c>
      <c r="K96" s="293"/>
      <c r="L96" s="293"/>
      <c r="M96" s="293"/>
      <c r="N96" s="293"/>
      <c r="O96" s="293"/>
      <c r="P96" s="1"/>
    </row>
    <row r="97" spans="1:16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 ht="12.5">
      <c r="C99" s="50">
        <f>IF(D93= "","-",D93)</f>
        <v>2014</v>
      </c>
      <c r="D99" s="429">
        <v>0</v>
      </c>
      <c r="E99" s="430">
        <v>152968.84126984127</v>
      </c>
      <c r="F99" s="431">
        <v>9484068.1587301586</v>
      </c>
      <c r="G99" s="432">
        <v>4742034.0793650793</v>
      </c>
      <c r="H99" s="433">
        <v>797522.51965819846</v>
      </c>
      <c r="I99" s="434">
        <v>797522.51965819846</v>
      </c>
      <c r="J99" s="439">
        <v>0</v>
      </c>
      <c r="K99" s="54"/>
      <c r="L99" s="113">
        <f t="shared" ref="L99:L104" si="31">H99</f>
        <v>797522.51965819846</v>
      </c>
      <c r="M99" s="54">
        <f t="shared" ref="M99:M104" si="32">IF(L99&lt;&gt;0,+H99-L99,0)</f>
        <v>0</v>
      </c>
      <c r="N99" s="113">
        <f t="shared" ref="N99:N104" si="33">I99</f>
        <v>797522.51965819846</v>
      </c>
      <c r="O99" s="54">
        <f>IF(N99&lt;&gt;0,+I99-N99,0)</f>
        <v>0</v>
      </c>
      <c r="P99" s="54">
        <f>+O99-M99</f>
        <v>0</v>
      </c>
    </row>
    <row r="100" spans="1:16" ht="12.5">
      <c r="B100" s="7" t="str">
        <f>IF(D100=F99,"","IU")</f>
        <v/>
      </c>
      <c r="C100" s="50">
        <f>IF(D93="","-",+C99+1)</f>
        <v>2015</v>
      </c>
      <c r="D100" s="429">
        <v>9484068.1587301586</v>
      </c>
      <c r="E100" s="430">
        <v>229453.26190476189</v>
      </c>
      <c r="F100" s="431">
        <v>9254614.8968253974</v>
      </c>
      <c r="G100" s="431">
        <v>9369341.527777778</v>
      </c>
      <c r="H100" s="433">
        <v>1464040.8814475967</v>
      </c>
      <c r="I100" s="434">
        <v>1464040.8814475967</v>
      </c>
      <c r="J100" s="54">
        <f>+I100-H100</f>
        <v>0</v>
      </c>
      <c r="K100" s="54"/>
      <c r="L100" s="113">
        <f t="shared" si="31"/>
        <v>1464040.8814475967</v>
      </c>
      <c r="M100" s="54">
        <f t="shared" si="32"/>
        <v>0</v>
      </c>
      <c r="N100" s="113">
        <f t="shared" si="33"/>
        <v>1464040.8814475967</v>
      </c>
      <c r="O100" s="54">
        <f>IF(N100&lt;&gt;0,+I100-N100,0)</f>
        <v>0</v>
      </c>
      <c r="P100" s="54">
        <f>+O100-M100</f>
        <v>0</v>
      </c>
    </row>
    <row r="101" spans="1:16" ht="12.5">
      <c r="B101" s="7" t="str">
        <f t="shared" ref="B101:B154" si="34">IF(D101=F100,"","IU")</f>
        <v/>
      </c>
      <c r="C101" s="50">
        <f>IF(D93="","-",+C100+1)</f>
        <v>2016</v>
      </c>
      <c r="D101" s="429">
        <v>9254614.8968253974</v>
      </c>
      <c r="E101" s="430">
        <v>224117.13953488372</v>
      </c>
      <c r="F101" s="431">
        <v>9030497.7572905142</v>
      </c>
      <c r="G101" s="431">
        <v>9142556.3270579558</v>
      </c>
      <c r="H101" s="433">
        <v>1384764.5581805804</v>
      </c>
      <c r="I101" s="434">
        <v>1384764.5581805804</v>
      </c>
      <c r="J101" s="54">
        <f t="shared" ref="J101:J154" si="35">+I101-H101</f>
        <v>0</v>
      </c>
      <c r="K101" s="54"/>
      <c r="L101" s="113">
        <f t="shared" si="31"/>
        <v>1384764.5581805804</v>
      </c>
      <c r="M101" s="54">
        <f t="shared" si="32"/>
        <v>0</v>
      </c>
      <c r="N101" s="113">
        <f t="shared" si="33"/>
        <v>1384764.5581805804</v>
      </c>
      <c r="O101" s="54">
        <f>IF(N101&lt;&gt;0,+I101-N101,0)</f>
        <v>0</v>
      </c>
      <c r="P101" s="54">
        <f>+O101-M101</f>
        <v>0</v>
      </c>
    </row>
    <row r="102" spans="1:16" ht="12.5">
      <c r="B102" s="7" t="str">
        <f t="shared" si="34"/>
        <v/>
      </c>
      <c r="C102" s="50">
        <f>IF(D93="","-",+C101+1)</f>
        <v>2017</v>
      </c>
      <c r="D102" s="429">
        <v>9030497.7572905142</v>
      </c>
      <c r="E102" s="430">
        <v>229453.26190476189</v>
      </c>
      <c r="F102" s="431">
        <v>8801044.495385753</v>
      </c>
      <c r="G102" s="431">
        <v>8915771.1263381336</v>
      </c>
      <c r="H102" s="433">
        <v>1312464.9769978134</v>
      </c>
      <c r="I102" s="434">
        <v>1312464.9769978134</v>
      </c>
      <c r="J102" s="54">
        <f t="shared" si="35"/>
        <v>0</v>
      </c>
      <c r="K102" s="54"/>
      <c r="L102" s="113">
        <f t="shared" si="31"/>
        <v>1312464.9769978134</v>
      </c>
      <c r="M102" s="54">
        <f t="shared" si="32"/>
        <v>0</v>
      </c>
      <c r="N102" s="113">
        <f t="shared" si="33"/>
        <v>1312464.9769978134</v>
      </c>
      <c r="O102" s="54">
        <f>IF(N102&lt;&gt;0,+I102-N102,0)</f>
        <v>0</v>
      </c>
      <c r="P102" s="54">
        <f>+O102-M102</f>
        <v>0</v>
      </c>
    </row>
    <row r="103" spans="1:16" ht="12.5">
      <c r="B103" s="7" t="str">
        <f t="shared" si="34"/>
        <v/>
      </c>
      <c r="C103" s="50">
        <f>IF(D93="","-",+C102+1)</f>
        <v>2018</v>
      </c>
      <c r="D103" s="429">
        <v>8801044.495385753</v>
      </c>
      <c r="E103" s="430">
        <v>229453.26190476189</v>
      </c>
      <c r="F103" s="431">
        <v>8571591.2334809918</v>
      </c>
      <c r="G103" s="431">
        <v>8686317.8644333724</v>
      </c>
      <c r="H103" s="433">
        <v>1146768.2622772851</v>
      </c>
      <c r="I103" s="434">
        <v>1146768.2622772851</v>
      </c>
      <c r="J103" s="54">
        <f t="shared" si="35"/>
        <v>0</v>
      </c>
      <c r="K103" s="54"/>
      <c r="L103" s="113">
        <f t="shared" si="31"/>
        <v>1146768.2622772851</v>
      </c>
      <c r="M103" s="54">
        <f t="shared" si="32"/>
        <v>0</v>
      </c>
      <c r="N103" s="113">
        <f t="shared" si="33"/>
        <v>1146768.2622772851</v>
      </c>
      <c r="O103" s="54">
        <f>IF(N103&lt;&gt;0,+I103-N103,0)</f>
        <v>0</v>
      </c>
      <c r="P103" s="54">
        <f>+O103-M103</f>
        <v>0</v>
      </c>
    </row>
    <row r="104" spans="1:16" ht="12.5">
      <c r="B104" s="7" t="str">
        <f t="shared" si="34"/>
        <v/>
      </c>
      <c r="C104" s="50">
        <f>IF(D93="","-",+C103+1)</f>
        <v>2019</v>
      </c>
      <c r="D104" s="429">
        <v>8571591.2334809918</v>
      </c>
      <c r="E104" s="430">
        <v>224117.13953488372</v>
      </c>
      <c r="F104" s="431">
        <v>8347474.0939461077</v>
      </c>
      <c r="G104" s="431">
        <v>8459532.6637135502</v>
      </c>
      <c r="H104" s="433">
        <v>1129630.139349205</v>
      </c>
      <c r="I104" s="434">
        <v>1129630.139349205</v>
      </c>
      <c r="J104" s="54">
        <f t="shared" si="35"/>
        <v>0</v>
      </c>
      <c r="K104" s="54"/>
      <c r="L104" s="113">
        <f t="shared" si="31"/>
        <v>1129630.139349205</v>
      </c>
      <c r="M104" s="54">
        <f t="shared" si="32"/>
        <v>0</v>
      </c>
      <c r="N104" s="113">
        <f t="shared" si="33"/>
        <v>1129630.139349205</v>
      </c>
      <c r="O104" s="54">
        <f t="shared" ref="O104:O130" si="36">IF(N104&lt;&gt;0,+I104-N104,0)</f>
        <v>0</v>
      </c>
      <c r="P104" s="54">
        <f t="shared" ref="P104:P130" si="37">+O104-M104</f>
        <v>0</v>
      </c>
    </row>
    <row r="105" spans="1:16" ht="12.5">
      <c r="B105" s="7" t="str">
        <f t="shared" si="34"/>
        <v/>
      </c>
      <c r="C105" s="50">
        <f>IF(D93="","-",+C104+1)</f>
        <v>2020</v>
      </c>
      <c r="D105" s="429">
        <v>8347474.0939461077</v>
      </c>
      <c r="E105" s="430">
        <v>229453.26190476189</v>
      </c>
      <c r="F105" s="431">
        <v>8118020.8320413455</v>
      </c>
      <c r="G105" s="431">
        <v>8232747.4629937261</v>
      </c>
      <c r="H105" s="433">
        <v>1115081.4585097209</v>
      </c>
      <c r="I105" s="434">
        <v>1115081.4585097209</v>
      </c>
      <c r="J105" s="54">
        <f t="shared" si="35"/>
        <v>0</v>
      </c>
      <c r="K105" s="54"/>
      <c r="L105" s="113">
        <f t="shared" ref="L105" si="38">H105</f>
        <v>1115081.4585097209</v>
      </c>
      <c r="M105" s="54">
        <f t="shared" ref="M105" si="39">IF(L105&lt;&gt;0,+H105-L105,0)</f>
        <v>0</v>
      </c>
      <c r="N105" s="113">
        <f t="shared" ref="N105" si="40">I105</f>
        <v>1115081.4585097209</v>
      </c>
      <c r="O105" s="54">
        <f t="shared" si="36"/>
        <v>0</v>
      </c>
      <c r="P105" s="54">
        <f t="shared" si="37"/>
        <v>0</v>
      </c>
    </row>
    <row r="106" spans="1:16" ht="12.5">
      <c r="B106" s="7" t="str">
        <f t="shared" si="34"/>
        <v/>
      </c>
      <c r="C106" s="50">
        <f>IF(D93="","-",+C105+1)</f>
        <v>2021</v>
      </c>
      <c r="D106" s="429">
        <v>8118020.8320413455</v>
      </c>
      <c r="E106" s="430">
        <v>235049.68292682926</v>
      </c>
      <c r="F106" s="431">
        <v>7882971.1491145166</v>
      </c>
      <c r="G106" s="431">
        <v>8000495.9905779306</v>
      </c>
      <c r="H106" s="433">
        <v>1143219.7958879631</v>
      </c>
      <c r="I106" s="434">
        <v>1143219.7958879631</v>
      </c>
      <c r="J106" s="54">
        <f t="shared" si="35"/>
        <v>0</v>
      </c>
      <c r="K106" s="54"/>
      <c r="L106" s="113">
        <f t="shared" ref="L106" si="41">H106</f>
        <v>1143219.7958879631</v>
      </c>
      <c r="M106" s="54">
        <f t="shared" ref="M106" si="42">IF(L106&lt;&gt;0,+H106-L106,0)</f>
        <v>0</v>
      </c>
      <c r="N106" s="113">
        <f t="shared" ref="N106" si="43">I106</f>
        <v>1143219.7958879631</v>
      </c>
      <c r="O106" s="54">
        <f t="shared" si="36"/>
        <v>0</v>
      </c>
      <c r="P106" s="54">
        <f t="shared" si="37"/>
        <v>0</v>
      </c>
    </row>
    <row r="107" spans="1:16" ht="12.5">
      <c r="B107" s="7" t="str">
        <f t="shared" si="34"/>
        <v/>
      </c>
      <c r="C107" s="50">
        <f>IF(D93="","-",+C106+1)</f>
        <v>2022</v>
      </c>
      <c r="D107" s="429">
        <v>7882971.1491145166</v>
      </c>
      <c r="E107" s="430">
        <v>229453.26190476189</v>
      </c>
      <c r="F107" s="431">
        <v>7653517.8872097544</v>
      </c>
      <c r="G107" s="431">
        <v>7768244.518162135</v>
      </c>
      <c r="H107" s="433">
        <v>1141894.50723412</v>
      </c>
      <c r="I107" s="434">
        <v>1141894.50723412</v>
      </c>
      <c r="J107" s="54">
        <f t="shared" si="35"/>
        <v>0</v>
      </c>
      <c r="K107" s="54"/>
      <c r="L107" s="113">
        <f t="shared" ref="L107" si="44">H107</f>
        <v>1141894.50723412</v>
      </c>
      <c r="M107" s="54">
        <f t="shared" ref="M107" si="45">IF(L107&lt;&gt;0,+H107-L107,0)</f>
        <v>0</v>
      </c>
      <c r="N107" s="113">
        <f t="shared" ref="N107" si="46">I107</f>
        <v>1141894.50723412</v>
      </c>
      <c r="O107" s="54">
        <f t="shared" ref="O107" si="47">IF(N107&lt;&gt;0,+I107-N107,0)</f>
        <v>0</v>
      </c>
      <c r="P107" s="54">
        <f t="shared" ref="P107" si="48">+O107-M107</f>
        <v>0</v>
      </c>
    </row>
    <row r="108" spans="1:16" ht="12.5">
      <c r="B108" s="7" t="str">
        <f t="shared" si="34"/>
        <v/>
      </c>
      <c r="C108" s="50">
        <f>IF(D93="","-",+C107+1)</f>
        <v>2023</v>
      </c>
      <c r="D108" s="429">
        <v>7653517.8872097544</v>
      </c>
      <c r="E108" s="430">
        <v>219023.56818181818</v>
      </c>
      <c r="F108" s="431">
        <v>7434494.3190279361</v>
      </c>
      <c r="G108" s="431">
        <v>7544006.1031188453</v>
      </c>
      <c r="H108" s="433">
        <v>1149690.3051800267</v>
      </c>
      <c r="I108" s="434">
        <v>1149690.3051800267</v>
      </c>
      <c r="J108" s="54">
        <f t="shared" si="35"/>
        <v>0</v>
      </c>
      <c r="K108" s="54"/>
      <c r="L108" s="113">
        <f t="shared" ref="L108" si="49">H108</f>
        <v>1149690.3051800267</v>
      </c>
      <c r="M108" s="54">
        <f t="shared" ref="M108" si="50">IF(L108&lt;&gt;0,+H108-L108,0)</f>
        <v>0</v>
      </c>
      <c r="N108" s="113">
        <f t="shared" ref="N108" si="51">I108</f>
        <v>1149690.3051800267</v>
      </c>
      <c r="O108" s="54">
        <f t="shared" ref="O108" si="52">IF(N108&lt;&gt;0,+I108-N108,0)</f>
        <v>0</v>
      </c>
      <c r="P108" s="54">
        <f t="shared" ref="P108" si="53">+O108-M108</f>
        <v>0</v>
      </c>
    </row>
    <row r="109" spans="1:16" ht="12.5">
      <c r="B109" s="7" t="str">
        <f t="shared" si="34"/>
        <v/>
      </c>
      <c r="C109" s="50">
        <f>IF(D93="","-",+C108+1)</f>
        <v>2024</v>
      </c>
      <c r="D109" s="12">
        <f>IF(F108+SUM(E$99:E108)=D$92,F108,D$92-SUM(E$99:E108))</f>
        <v>7434494.3190279361</v>
      </c>
      <c r="E109" s="378">
        <f t="shared" ref="E109:E154" si="54">IF(+$J$96&lt;F108,$J$96,D109)</f>
        <v>219023.56818181818</v>
      </c>
      <c r="F109" s="55">
        <f t="shared" ref="F109:F154" si="55">+D109-E109</f>
        <v>7215470.7508461177</v>
      </c>
      <c r="G109" s="55">
        <f t="shared" ref="G109:G154" si="56">+(F109+D109)/2</f>
        <v>7324982.5349370269</v>
      </c>
      <c r="H109" s="380">
        <f t="shared" ref="H109:H154" si="57">+J$94*G109+E109</f>
        <v>1131176.8331035979</v>
      </c>
      <c r="I109" s="399">
        <f t="shared" ref="I109:I154" si="58">+J$95*G109+E109</f>
        <v>1131176.8331035979</v>
      </c>
      <c r="J109" s="54">
        <f t="shared" si="35"/>
        <v>0</v>
      </c>
      <c r="K109" s="54"/>
      <c r="L109" s="129"/>
      <c r="M109" s="54">
        <f t="shared" ref="M109:M130" si="59">IF(L109&lt;&gt;0,+H109-L109,0)</f>
        <v>0</v>
      </c>
      <c r="N109" s="129"/>
      <c r="O109" s="54">
        <f t="shared" si="36"/>
        <v>0</v>
      </c>
      <c r="P109" s="54">
        <f t="shared" si="37"/>
        <v>0</v>
      </c>
    </row>
    <row r="110" spans="1:16" ht="12.5">
      <c r="B110" s="7" t="str">
        <f t="shared" si="34"/>
        <v/>
      </c>
      <c r="C110" s="50">
        <f>IF(D93="","-",+C109+1)</f>
        <v>2025</v>
      </c>
      <c r="D110" s="12">
        <f>IF(F109+SUM(E$99:E109)=D$92,F109,D$92-SUM(E$99:E109))</f>
        <v>7215470.7508461177</v>
      </c>
      <c r="E110" s="378">
        <f t="shared" si="54"/>
        <v>219023.56818181818</v>
      </c>
      <c r="F110" s="55">
        <f t="shared" si="55"/>
        <v>6996447.1826642994</v>
      </c>
      <c r="G110" s="55">
        <f t="shared" si="56"/>
        <v>7105958.9667552086</v>
      </c>
      <c r="H110" s="380">
        <f t="shared" si="57"/>
        <v>1103902.6298056399</v>
      </c>
      <c r="I110" s="399">
        <f t="shared" si="58"/>
        <v>1103902.6298056399</v>
      </c>
      <c r="J110" s="54">
        <f t="shared" si="35"/>
        <v>0</v>
      </c>
      <c r="K110" s="54"/>
      <c r="L110" s="129"/>
      <c r="M110" s="54">
        <f t="shared" si="59"/>
        <v>0</v>
      </c>
      <c r="N110" s="129"/>
      <c r="O110" s="54">
        <f t="shared" si="36"/>
        <v>0</v>
      </c>
      <c r="P110" s="54">
        <f t="shared" si="37"/>
        <v>0</v>
      </c>
    </row>
    <row r="111" spans="1:16" ht="12.5">
      <c r="B111" s="7" t="str">
        <f t="shared" si="34"/>
        <v/>
      </c>
      <c r="C111" s="50">
        <f>IF(D93="","-",+C110+1)</f>
        <v>2026</v>
      </c>
      <c r="D111" s="12">
        <f>IF(F110+SUM(E$99:E110)=D$92,F110,D$92-SUM(E$99:E110))</f>
        <v>6996447.1826642994</v>
      </c>
      <c r="E111" s="378">
        <f t="shared" si="54"/>
        <v>219023.56818181818</v>
      </c>
      <c r="F111" s="55">
        <f t="shared" si="55"/>
        <v>6777423.614482481</v>
      </c>
      <c r="G111" s="55">
        <f t="shared" si="56"/>
        <v>6886935.3985733902</v>
      </c>
      <c r="H111" s="380">
        <f t="shared" si="57"/>
        <v>1076628.4265076818</v>
      </c>
      <c r="I111" s="399">
        <f t="shared" si="58"/>
        <v>1076628.4265076818</v>
      </c>
      <c r="J111" s="54">
        <f t="shared" si="35"/>
        <v>0</v>
      </c>
      <c r="K111" s="54"/>
      <c r="L111" s="129"/>
      <c r="M111" s="54">
        <f t="shared" si="59"/>
        <v>0</v>
      </c>
      <c r="N111" s="129"/>
      <c r="O111" s="54">
        <f t="shared" si="36"/>
        <v>0</v>
      </c>
      <c r="P111" s="54">
        <f t="shared" si="37"/>
        <v>0</v>
      </c>
    </row>
    <row r="112" spans="1:16" ht="12.5">
      <c r="B112" s="7" t="str">
        <f t="shared" si="34"/>
        <v/>
      </c>
      <c r="C112" s="50">
        <f>IF(D93="","-",+C111+1)</f>
        <v>2027</v>
      </c>
      <c r="D112" s="12">
        <f>IF(F111+SUM(E$99:E111)=D$92,F111,D$92-SUM(E$99:E111))</f>
        <v>6777423.614482481</v>
      </c>
      <c r="E112" s="378">
        <f t="shared" si="54"/>
        <v>219023.56818181818</v>
      </c>
      <c r="F112" s="55">
        <f t="shared" si="55"/>
        <v>6558400.0463006627</v>
      </c>
      <c r="G112" s="55">
        <f t="shared" si="56"/>
        <v>6667911.8303915719</v>
      </c>
      <c r="H112" s="380">
        <f t="shared" si="57"/>
        <v>1049354.2232097241</v>
      </c>
      <c r="I112" s="399">
        <f t="shared" si="58"/>
        <v>1049354.2232097241</v>
      </c>
      <c r="J112" s="54">
        <f t="shared" si="35"/>
        <v>0</v>
      </c>
      <c r="K112" s="54"/>
      <c r="L112" s="129"/>
      <c r="M112" s="54">
        <f t="shared" si="59"/>
        <v>0</v>
      </c>
      <c r="N112" s="129"/>
      <c r="O112" s="54">
        <f t="shared" si="36"/>
        <v>0</v>
      </c>
      <c r="P112" s="54">
        <f t="shared" si="37"/>
        <v>0</v>
      </c>
    </row>
    <row r="113" spans="2:16" ht="12.5">
      <c r="B113" s="7" t="str">
        <f t="shared" si="34"/>
        <v/>
      </c>
      <c r="C113" s="50">
        <f>IF(D93="","-",+C112+1)</f>
        <v>2028</v>
      </c>
      <c r="D113" s="12">
        <f>IF(F112+SUM(E$99:E112)=D$92,F112,D$92-SUM(E$99:E112))</f>
        <v>6558400.0463006627</v>
      </c>
      <c r="E113" s="378">
        <f t="shared" si="54"/>
        <v>219023.56818181818</v>
      </c>
      <c r="F113" s="55">
        <f t="shared" si="55"/>
        <v>6339376.4781188443</v>
      </c>
      <c r="G113" s="55">
        <f t="shared" si="56"/>
        <v>6448888.2622097535</v>
      </c>
      <c r="H113" s="380">
        <f t="shared" si="57"/>
        <v>1022080.0199117661</v>
      </c>
      <c r="I113" s="399">
        <f t="shared" si="58"/>
        <v>1022080.0199117661</v>
      </c>
      <c r="J113" s="54">
        <f t="shared" si="35"/>
        <v>0</v>
      </c>
      <c r="K113" s="54"/>
      <c r="L113" s="129"/>
      <c r="M113" s="54">
        <f t="shared" si="59"/>
        <v>0</v>
      </c>
      <c r="N113" s="129"/>
      <c r="O113" s="54">
        <f t="shared" si="36"/>
        <v>0</v>
      </c>
      <c r="P113" s="54">
        <f t="shared" si="37"/>
        <v>0</v>
      </c>
    </row>
    <row r="114" spans="2:16" ht="12.5">
      <c r="B114" s="7" t="str">
        <f t="shared" si="34"/>
        <v/>
      </c>
      <c r="C114" s="50">
        <f>IF(D93="","-",+C113+1)</f>
        <v>2029</v>
      </c>
      <c r="D114" s="12">
        <f>IF(F113+SUM(E$99:E113)=D$92,F113,D$92-SUM(E$99:E113))</f>
        <v>6339376.4781188443</v>
      </c>
      <c r="E114" s="378">
        <f t="shared" si="54"/>
        <v>219023.56818181818</v>
      </c>
      <c r="F114" s="55">
        <f t="shared" si="55"/>
        <v>6120352.909937026</v>
      </c>
      <c r="G114" s="55">
        <f t="shared" si="56"/>
        <v>6229864.6940279352</v>
      </c>
      <c r="H114" s="380">
        <f t="shared" si="57"/>
        <v>994805.81661380827</v>
      </c>
      <c r="I114" s="399">
        <f t="shared" si="58"/>
        <v>994805.81661380827</v>
      </c>
      <c r="J114" s="54">
        <f t="shared" si="35"/>
        <v>0</v>
      </c>
      <c r="K114" s="54"/>
      <c r="L114" s="129"/>
      <c r="M114" s="54">
        <f t="shared" si="59"/>
        <v>0</v>
      </c>
      <c r="N114" s="129"/>
      <c r="O114" s="54">
        <f t="shared" si="36"/>
        <v>0</v>
      </c>
      <c r="P114" s="54">
        <f t="shared" si="37"/>
        <v>0</v>
      </c>
    </row>
    <row r="115" spans="2:16" ht="12.5">
      <c r="B115" s="7" t="str">
        <f t="shared" si="34"/>
        <v/>
      </c>
      <c r="C115" s="50">
        <f>IF(D93="","-",+C114+1)</f>
        <v>2030</v>
      </c>
      <c r="D115" s="12">
        <f>IF(F114+SUM(E$99:E114)=D$92,F114,D$92-SUM(E$99:E114))</f>
        <v>6120352.909937026</v>
      </c>
      <c r="E115" s="378">
        <f t="shared" si="54"/>
        <v>219023.56818181818</v>
      </c>
      <c r="F115" s="55">
        <f t="shared" si="55"/>
        <v>5901329.3417552076</v>
      </c>
      <c r="G115" s="55">
        <f t="shared" si="56"/>
        <v>6010841.1258461168</v>
      </c>
      <c r="H115" s="380">
        <f t="shared" si="57"/>
        <v>967531.61331585026</v>
      </c>
      <c r="I115" s="399">
        <f t="shared" si="58"/>
        <v>967531.61331585026</v>
      </c>
      <c r="J115" s="54">
        <f t="shared" si="35"/>
        <v>0</v>
      </c>
      <c r="K115" s="54"/>
      <c r="L115" s="129"/>
      <c r="M115" s="54">
        <f t="shared" si="59"/>
        <v>0</v>
      </c>
      <c r="N115" s="129"/>
      <c r="O115" s="54">
        <f t="shared" si="36"/>
        <v>0</v>
      </c>
      <c r="P115" s="54">
        <f t="shared" si="37"/>
        <v>0</v>
      </c>
    </row>
    <row r="116" spans="2:16" ht="12.5">
      <c r="B116" s="7" t="str">
        <f t="shared" si="34"/>
        <v/>
      </c>
      <c r="C116" s="50">
        <f>IF(D93="","-",+C115+1)</f>
        <v>2031</v>
      </c>
      <c r="D116" s="12">
        <f>IF(F115+SUM(E$99:E115)=D$92,F115,D$92-SUM(E$99:E115))</f>
        <v>5901329.3417552076</v>
      </c>
      <c r="E116" s="378">
        <f t="shared" si="54"/>
        <v>219023.56818181818</v>
      </c>
      <c r="F116" s="55">
        <f t="shared" si="55"/>
        <v>5682305.7735733893</v>
      </c>
      <c r="G116" s="55">
        <f t="shared" si="56"/>
        <v>5791817.5576642985</v>
      </c>
      <c r="H116" s="380">
        <f t="shared" si="57"/>
        <v>940257.41001789225</v>
      </c>
      <c r="I116" s="399">
        <f t="shared" si="58"/>
        <v>940257.41001789225</v>
      </c>
      <c r="J116" s="54">
        <f t="shared" si="35"/>
        <v>0</v>
      </c>
      <c r="K116" s="54"/>
      <c r="L116" s="129"/>
      <c r="M116" s="54">
        <f t="shared" si="59"/>
        <v>0</v>
      </c>
      <c r="N116" s="129"/>
      <c r="O116" s="54">
        <f t="shared" si="36"/>
        <v>0</v>
      </c>
      <c r="P116" s="54">
        <f t="shared" si="37"/>
        <v>0</v>
      </c>
    </row>
    <row r="117" spans="2:16" ht="12.5">
      <c r="B117" s="7" t="str">
        <f t="shared" si="34"/>
        <v/>
      </c>
      <c r="C117" s="50">
        <f>IF(D93="","-",+C116+1)</f>
        <v>2032</v>
      </c>
      <c r="D117" s="12">
        <f>IF(F116+SUM(E$99:E116)=D$92,F116,D$92-SUM(E$99:E116))</f>
        <v>5682305.7735733893</v>
      </c>
      <c r="E117" s="378">
        <f t="shared" si="54"/>
        <v>219023.56818181818</v>
      </c>
      <c r="F117" s="55">
        <f t="shared" si="55"/>
        <v>5463282.2053915709</v>
      </c>
      <c r="G117" s="55">
        <f t="shared" si="56"/>
        <v>5572793.9894824801</v>
      </c>
      <c r="H117" s="380">
        <f t="shared" si="57"/>
        <v>912983.20671993447</v>
      </c>
      <c r="I117" s="399">
        <f t="shared" si="58"/>
        <v>912983.20671993447</v>
      </c>
      <c r="J117" s="54">
        <f t="shared" si="35"/>
        <v>0</v>
      </c>
      <c r="K117" s="54"/>
      <c r="L117" s="129"/>
      <c r="M117" s="54">
        <f t="shared" si="59"/>
        <v>0</v>
      </c>
      <c r="N117" s="129"/>
      <c r="O117" s="54">
        <f t="shared" si="36"/>
        <v>0</v>
      </c>
      <c r="P117" s="54">
        <f t="shared" si="37"/>
        <v>0</v>
      </c>
    </row>
    <row r="118" spans="2:16" ht="12.5">
      <c r="B118" s="7" t="str">
        <f t="shared" si="34"/>
        <v/>
      </c>
      <c r="C118" s="50">
        <f>IF(D93="","-",+C117+1)</f>
        <v>2033</v>
      </c>
      <c r="D118" s="12">
        <f>IF(F117+SUM(E$99:E117)=D$92,F117,D$92-SUM(E$99:E117))</f>
        <v>5463282.2053915709</v>
      </c>
      <c r="E118" s="378">
        <f t="shared" si="54"/>
        <v>219023.56818181818</v>
      </c>
      <c r="F118" s="55">
        <f t="shared" si="55"/>
        <v>5244258.6372097526</v>
      </c>
      <c r="G118" s="55">
        <f t="shared" si="56"/>
        <v>5353770.4213006618</v>
      </c>
      <c r="H118" s="380">
        <f t="shared" si="57"/>
        <v>885709.00342197646</v>
      </c>
      <c r="I118" s="399">
        <f t="shared" si="58"/>
        <v>885709.00342197646</v>
      </c>
      <c r="J118" s="54">
        <f t="shared" si="35"/>
        <v>0</v>
      </c>
      <c r="K118" s="54"/>
      <c r="L118" s="129"/>
      <c r="M118" s="54">
        <f t="shared" si="59"/>
        <v>0</v>
      </c>
      <c r="N118" s="129"/>
      <c r="O118" s="54">
        <f t="shared" si="36"/>
        <v>0</v>
      </c>
      <c r="P118" s="54">
        <f t="shared" si="37"/>
        <v>0</v>
      </c>
    </row>
    <row r="119" spans="2:16" ht="12.5">
      <c r="B119" s="7" t="str">
        <f t="shared" si="34"/>
        <v/>
      </c>
      <c r="C119" s="50">
        <f>IF(D93="","-",+C118+1)</f>
        <v>2034</v>
      </c>
      <c r="D119" s="12">
        <f>IF(F118+SUM(E$99:E118)=D$92,F118,D$92-SUM(E$99:E118))</f>
        <v>5244258.6372097526</v>
      </c>
      <c r="E119" s="378">
        <f t="shared" si="54"/>
        <v>219023.56818181818</v>
      </c>
      <c r="F119" s="55">
        <f t="shared" si="55"/>
        <v>5025235.0690279342</v>
      </c>
      <c r="G119" s="55">
        <f t="shared" si="56"/>
        <v>5134746.8531188434</v>
      </c>
      <c r="H119" s="380">
        <f t="shared" si="57"/>
        <v>858434.80012401869</v>
      </c>
      <c r="I119" s="399">
        <f t="shared" si="58"/>
        <v>858434.80012401869</v>
      </c>
      <c r="J119" s="54">
        <f t="shared" si="35"/>
        <v>0</v>
      </c>
      <c r="K119" s="54"/>
      <c r="L119" s="129"/>
      <c r="M119" s="54">
        <f t="shared" si="59"/>
        <v>0</v>
      </c>
      <c r="N119" s="129"/>
      <c r="O119" s="54">
        <f t="shared" si="36"/>
        <v>0</v>
      </c>
      <c r="P119" s="54">
        <f t="shared" si="37"/>
        <v>0</v>
      </c>
    </row>
    <row r="120" spans="2:16" ht="12.5">
      <c r="B120" s="7" t="str">
        <f t="shared" si="34"/>
        <v/>
      </c>
      <c r="C120" s="50">
        <f>IF(D93="","-",+C119+1)</f>
        <v>2035</v>
      </c>
      <c r="D120" s="12">
        <f>IF(F119+SUM(E$99:E119)=D$92,F119,D$92-SUM(E$99:E119))</f>
        <v>5025235.0690279342</v>
      </c>
      <c r="E120" s="378">
        <f t="shared" si="54"/>
        <v>219023.56818181818</v>
      </c>
      <c r="F120" s="55">
        <f t="shared" si="55"/>
        <v>4806211.5008461159</v>
      </c>
      <c r="G120" s="55">
        <f t="shared" si="56"/>
        <v>4915723.284937025</v>
      </c>
      <c r="H120" s="380">
        <f t="shared" si="57"/>
        <v>831160.59682606068</v>
      </c>
      <c r="I120" s="399">
        <f t="shared" si="58"/>
        <v>831160.59682606068</v>
      </c>
      <c r="J120" s="54">
        <f t="shared" si="35"/>
        <v>0</v>
      </c>
      <c r="K120" s="54"/>
      <c r="L120" s="129"/>
      <c r="M120" s="54">
        <f t="shared" si="59"/>
        <v>0</v>
      </c>
      <c r="N120" s="129"/>
      <c r="O120" s="54">
        <f t="shared" si="36"/>
        <v>0</v>
      </c>
      <c r="P120" s="54">
        <f t="shared" si="37"/>
        <v>0</v>
      </c>
    </row>
    <row r="121" spans="2:16" ht="12.5">
      <c r="B121" s="7" t="str">
        <f t="shared" si="34"/>
        <v/>
      </c>
      <c r="C121" s="50">
        <f>IF(D93="","-",+C120+1)</f>
        <v>2036</v>
      </c>
      <c r="D121" s="12">
        <f>IF(F120+SUM(E$99:E120)=D$92,F120,D$92-SUM(E$99:E120))</f>
        <v>4806211.5008461159</v>
      </c>
      <c r="E121" s="378">
        <f t="shared" si="54"/>
        <v>219023.56818181818</v>
      </c>
      <c r="F121" s="55">
        <f t="shared" si="55"/>
        <v>4587187.9326642975</v>
      </c>
      <c r="G121" s="55">
        <f t="shared" si="56"/>
        <v>4696699.7167552067</v>
      </c>
      <c r="H121" s="380">
        <f t="shared" si="57"/>
        <v>803886.39352810266</v>
      </c>
      <c r="I121" s="399">
        <f t="shared" si="58"/>
        <v>803886.39352810266</v>
      </c>
      <c r="J121" s="54">
        <f t="shared" si="35"/>
        <v>0</v>
      </c>
      <c r="K121" s="54"/>
      <c r="L121" s="129"/>
      <c r="M121" s="54">
        <f t="shared" si="59"/>
        <v>0</v>
      </c>
      <c r="N121" s="129"/>
      <c r="O121" s="54">
        <f t="shared" si="36"/>
        <v>0</v>
      </c>
      <c r="P121" s="54">
        <f t="shared" si="37"/>
        <v>0</v>
      </c>
    </row>
    <row r="122" spans="2:16" ht="12.5">
      <c r="B122" s="7" t="str">
        <f t="shared" si="34"/>
        <v/>
      </c>
      <c r="C122" s="50">
        <f>IF(D93="","-",+C121+1)</f>
        <v>2037</v>
      </c>
      <c r="D122" s="12">
        <f>IF(F121+SUM(E$99:E121)=D$92,F121,D$92-SUM(E$99:E121))</f>
        <v>4587187.9326642975</v>
      </c>
      <c r="E122" s="378">
        <f t="shared" si="54"/>
        <v>219023.56818181818</v>
      </c>
      <c r="F122" s="55">
        <f t="shared" si="55"/>
        <v>4368164.3644824792</v>
      </c>
      <c r="G122" s="55">
        <f t="shared" si="56"/>
        <v>4477676.1485733883</v>
      </c>
      <c r="H122" s="380">
        <f t="shared" si="57"/>
        <v>776612.19023014489</v>
      </c>
      <c r="I122" s="399">
        <f t="shared" si="58"/>
        <v>776612.19023014489</v>
      </c>
      <c r="J122" s="54">
        <f t="shared" si="35"/>
        <v>0</v>
      </c>
      <c r="K122" s="54"/>
      <c r="L122" s="129"/>
      <c r="M122" s="54">
        <f t="shared" si="59"/>
        <v>0</v>
      </c>
      <c r="N122" s="129"/>
      <c r="O122" s="54">
        <f t="shared" si="36"/>
        <v>0</v>
      </c>
      <c r="P122" s="54">
        <f t="shared" si="37"/>
        <v>0</v>
      </c>
    </row>
    <row r="123" spans="2:16" ht="12.5">
      <c r="B123" s="7" t="str">
        <f t="shared" si="34"/>
        <v/>
      </c>
      <c r="C123" s="50">
        <f>IF(D93="","-",+C122+1)</f>
        <v>2038</v>
      </c>
      <c r="D123" s="12">
        <f>IF(F122+SUM(E$99:E122)=D$92,F122,D$92-SUM(E$99:E122))</f>
        <v>4368164.3644824792</v>
      </c>
      <c r="E123" s="378">
        <f t="shared" si="54"/>
        <v>219023.56818181818</v>
      </c>
      <c r="F123" s="55">
        <f t="shared" si="55"/>
        <v>4149140.7963006608</v>
      </c>
      <c r="G123" s="55">
        <f t="shared" si="56"/>
        <v>4258652.58039157</v>
      </c>
      <c r="H123" s="380">
        <f t="shared" si="57"/>
        <v>749337.98693218688</v>
      </c>
      <c r="I123" s="399">
        <f t="shared" si="58"/>
        <v>749337.98693218688</v>
      </c>
      <c r="J123" s="54">
        <f t="shared" si="35"/>
        <v>0</v>
      </c>
      <c r="K123" s="54"/>
      <c r="L123" s="129"/>
      <c r="M123" s="54">
        <f t="shared" si="59"/>
        <v>0</v>
      </c>
      <c r="N123" s="129"/>
      <c r="O123" s="54">
        <f t="shared" si="36"/>
        <v>0</v>
      </c>
      <c r="P123" s="54">
        <f t="shared" si="37"/>
        <v>0</v>
      </c>
    </row>
    <row r="124" spans="2:16" ht="12.5">
      <c r="B124" s="7" t="str">
        <f t="shared" si="34"/>
        <v/>
      </c>
      <c r="C124" s="50">
        <f>IF(D93="","-",+C123+1)</f>
        <v>2039</v>
      </c>
      <c r="D124" s="12">
        <f>IF(F123+SUM(E$99:E123)=D$92,F123,D$92-SUM(E$99:E123))</f>
        <v>4149140.7963006608</v>
      </c>
      <c r="E124" s="378">
        <f t="shared" si="54"/>
        <v>219023.56818181818</v>
      </c>
      <c r="F124" s="55">
        <f t="shared" si="55"/>
        <v>3930117.2281188425</v>
      </c>
      <c r="G124" s="55">
        <f t="shared" si="56"/>
        <v>4039629.0122097516</v>
      </c>
      <c r="H124" s="380">
        <f t="shared" si="57"/>
        <v>722063.78363422898</v>
      </c>
      <c r="I124" s="399">
        <f t="shared" si="58"/>
        <v>722063.78363422898</v>
      </c>
      <c r="J124" s="54">
        <f t="shared" si="35"/>
        <v>0</v>
      </c>
      <c r="K124" s="54"/>
      <c r="L124" s="129"/>
      <c r="M124" s="54">
        <f t="shared" si="59"/>
        <v>0</v>
      </c>
      <c r="N124" s="129"/>
      <c r="O124" s="54">
        <f t="shared" si="36"/>
        <v>0</v>
      </c>
      <c r="P124" s="54">
        <f t="shared" si="37"/>
        <v>0</v>
      </c>
    </row>
    <row r="125" spans="2:16" ht="12.5">
      <c r="B125" s="7" t="str">
        <f t="shared" si="34"/>
        <v/>
      </c>
      <c r="C125" s="50">
        <f>IF(D93="","-",+C124+1)</f>
        <v>2040</v>
      </c>
      <c r="D125" s="12">
        <f>IF(F124+SUM(E$99:E124)=D$92,F124,D$92-SUM(E$99:E124))</f>
        <v>3930117.2281188425</v>
      </c>
      <c r="E125" s="378">
        <f t="shared" si="54"/>
        <v>219023.56818181818</v>
      </c>
      <c r="F125" s="55">
        <f t="shared" si="55"/>
        <v>3711093.6599370241</v>
      </c>
      <c r="G125" s="55">
        <f t="shared" si="56"/>
        <v>3820605.4440279333</v>
      </c>
      <c r="H125" s="380">
        <f t="shared" si="57"/>
        <v>694789.58033627109</v>
      </c>
      <c r="I125" s="399">
        <f t="shared" si="58"/>
        <v>694789.58033627109</v>
      </c>
      <c r="J125" s="54">
        <f t="shared" si="35"/>
        <v>0</v>
      </c>
      <c r="K125" s="54"/>
      <c r="L125" s="129"/>
      <c r="M125" s="54">
        <f t="shared" si="59"/>
        <v>0</v>
      </c>
      <c r="N125" s="129"/>
      <c r="O125" s="54">
        <f t="shared" si="36"/>
        <v>0</v>
      </c>
      <c r="P125" s="54">
        <f t="shared" si="37"/>
        <v>0</v>
      </c>
    </row>
    <row r="126" spans="2:16" ht="12.5">
      <c r="B126" s="7" t="str">
        <f t="shared" si="34"/>
        <v/>
      </c>
      <c r="C126" s="50">
        <f>IF(D93="","-",+C125+1)</f>
        <v>2041</v>
      </c>
      <c r="D126" s="12">
        <f>IF(F125+SUM(E$99:E125)=D$92,F125,D$92-SUM(E$99:E125))</f>
        <v>3711093.6599370241</v>
      </c>
      <c r="E126" s="378">
        <f t="shared" si="54"/>
        <v>219023.56818181818</v>
      </c>
      <c r="F126" s="55">
        <f t="shared" si="55"/>
        <v>3492070.0917552058</v>
      </c>
      <c r="G126" s="55">
        <f t="shared" si="56"/>
        <v>3601581.8758461149</v>
      </c>
      <c r="H126" s="380">
        <f t="shared" si="57"/>
        <v>667515.37703831308</v>
      </c>
      <c r="I126" s="399">
        <f t="shared" si="58"/>
        <v>667515.37703831308</v>
      </c>
      <c r="J126" s="54">
        <f t="shared" si="35"/>
        <v>0</v>
      </c>
      <c r="K126" s="54"/>
      <c r="L126" s="129"/>
      <c r="M126" s="54">
        <f t="shared" si="59"/>
        <v>0</v>
      </c>
      <c r="N126" s="129"/>
      <c r="O126" s="54">
        <f t="shared" si="36"/>
        <v>0</v>
      </c>
      <c r="P126" s="54">
        <f t="shared" si="37"/>
        <v>0</v>
      </c>
    </row>
    <row r="127" spans="2:16" ht="12.5">
      <c r="B127" s="7" t="str">
        <f t="shared" si="34"/>
        <v/>
      </c>
      <c r="C127" s="50">
        <f>IF(D93="","-",+C126+1)</f>
        <v>2042</v>
      </c>
      <c r="D127" s="12">
        <f>IF(F126+SUM(E$99:E126)=D$92,F126,D$92-SUM(E$99:E126))</f>
        <v>3492070.0917552058</v>
      </c>
      <c r="E127" s="378">
        <f t="shared" si="54"/>
        <v>219023.56818181818</v>
      </c>
      <c r="F127" s="55">
        <f t="shared" si="55"/>
        <v>3273046.5235733874</v>
      </c>
      <c r="G127" s="55">
        <f t="shared" si="56"/>
        <v>3382558.3076642966</v>
      </c>
      <c r="H127" s="380">
        <f t="shared" si="57"/>
        <v>640241.1737403553</v>
      </c>
      <c r="I127" s="399">
        <f t="shared" si="58"/>
        <v>640241.1737403553</v>
      </c>
      <c r="J127" s="54">
        <f t="shared" si="35"/>
        <v>0</v>
      </c>
      <c r="K127" s="54"/>
      <c r="L127" s="129"/>
      <c r="M127" s="54">
        <f t="shared" si="59"/>
        <v>0</v>
      </c>
      <c r="N127" s="129"/>
      <c r="O127" s="54">
        <f t="shared" si="36"/>
        <v>0</v>
      </c>
      <c r="P127" s="54">
        <f t="shared" si="37"/>
        <v>0</v>
      </c>
    </row>
    <row r="128" spans="2:16" ht="12.5">
      <c r="B128" s="7" t="str">
        <f t="shared" si="34"/>
        <v/>
      </c>
      <c r="C128" s="50">
        <f>IF(D93="","-",+C127+1)</f>
        <v>2043</v>
      </c>
      <c r="D128" s="12">
        <f>IF(F127+SUM(E$99:E127)=D$92,F127,D$92-SUM(E$99:E127))</f>
        <v>3273046.5235733874</v>
      </c>
      <c r="E128" s="378">
        <f t="shared" si="54"/>
        <v>219023.56818181818</v>
      </c>
      <c r="F128" s="55">
        <f t="shared" si="55"/>
        <v>3054022.9553915691</v>
      </c>
      <c r="G128" s="55">
        <f t="shared" si="56"/>
        <v>3163534.7394824782</v>
      </c>
      <c r="H128" s="380">
        <f t="shared" si="57"/>
        <v>612966.97044239729</v>
      </c>
      <c r="I128" s="399">
        <f t="shared" si="58"/>
        <v>612966.97044239729</v>
      </c>
      <c r="J128" s="54">
        <f t="shared" si="35"/>
        <v>0</v>
      </c>
      <c r="K128" s="54"/>
      <c r="L128" s="129"/>
      <c r="M128" s="54">
        <f t="shared" si="59"/>
        <v>0</v>
      </c>
      <c r="N128" s="129"/>
      <c r="O128" s="54">
        <f t="shared" si="36"/>
        <v>0</v>
      </c>
      <c r="P128" s="54">
        <f t="shared" si="37"/>
        <v>0</v>
      </c>
    </row>
    <row r="129" spans="2:16" ht="12.5">
      <c r="B129" s="7" t="str">
        <f t="shared" si="34"/>
        <v/>
      </c>
      <c r="C129" s="50">
        <f>IF(D93="","-",+C128+1)</f>
        <v>2044</v>
      </c>
      <c r="D129" s="12">
        <f>IF(F128+SUM(E$99:E128)=D$92,F128,D$92-SUM(E$99:E128))</f>
        <v>3054022.9553915691</v>
      </c>
      <c r="E129" s="378">
        <f t="shared" si="54"/>
        <v>219023.56818181818</v>
      </c>
      <c r="F129" s="55">
        <f t="shared" si="55"/>
        <v>2834999.3872097507</v>
      </c>
      <c r="G129" s="55">
        <f t="shared" si="56"/>
        <v>2944511.1713006599</v>
      </c>
      <c r="H129" s="380">
        <f t="shared" si="57"/>
        <v>585692.76714443939</v>
      </c>
      <c r="I129" s="399">
        <f t="shared" si="58"/>
        <v>585692.76714443939</v>
      </c>
      <c r="J129" s="54">
        <f t="shared" si="35"/>
        <v>0</v>
      </c>
      <c r="K129" s="54"/>
      <c r="L129" s="129"/>
      <c r="M129" s="54">
        <f t="shared" si="59"/>
        <v>0</v>
      </c>
      <c r="N129" s="129"/>
      <c r="O129" s="54">
        <f t="shared" si="36"/>
        <v>0</v>
      </c>
      <c r="P129" s="54">
        <f t="shared" si="37"/>
        <v>0</v>
      </c>
    </row>
    <row r="130" spans="2:16" ht="12.5">
      <c r="B130" s="7" t="str">
        <f t="shared" si="34"/>
        <v/>
      </c>
      <c r="C130" s="50">
        <f>IF(D93="","-",+C129+1)</f>
        <v>2045</v>
      </c>
      <c r="D130" s="12">
        <f>IF(F129+SUM(E$99:E129)=D$92,F129,D$92-SUM(E$99:E129))</f>
        <v>2834999.3872097507</v>
      </c>
      <c r="E130" s="378">
        <f t="shared" si="54"/>
        <v>219023.56818181818</v>
      </c>
      <c r="F130" s="55">
        <f t="shared" si="55"/>
        <v>2615975.8190279324</v>
      </c>
      <c r="G130" s="55">
        <f t="shared" si="56"/>
        <v>2725487.6031188415</v>
      </c>
      <c r="H130" s="380">
        <f t="shared" si="57"/>
        <v>558418.5638464815</v>
      </c>
      <c r="I130" s="399">
        <f t="shared" si="58"/>
        <v>558418.5638464815</v>
      </c>
      <c r="J130" s="54">
        <f t="shared" si="35"/>
        <v>0</v>
      </c>
      <c r="K130" s="54"/>
      <c r="L130" s="129"/>
      <c r="M130" s="54">
        <f t="shared" si="59"/>
        <v>0</v>
      </c>
      <c r="N130" s="129"/>
      <c r="O130" s="54">
        <f t="shared" si="36"/>
        <v>0</v>
      </c>
      <c r="P130" s="54">
        <f t="shared" si="37"/>
        <v>0</v>
      </c>
    </row>
    <row r="131" spans="2:16" ht="12.5">
      <c r="B131" s="7" t="str">
        <f t="shared" si="34"/>
        <v/>
      </c>
      <c r="C131" s="50">
        <f>IF(D93="","-",+C130+1)</f>
        <v>2046</v>
      </c>
      <c r="D131" s="12">
        <f>IF(F130+SUM(E$99:E130)=D$92,F130,D$92-SUM(E$99:E130))</f>
        <v>2615975.8190279324</v>
      </c>
      <c r="E131" s="378">
        <f t="shared" si="54"/>
        <v>219023.56818181818</v>
      </c>
      <c r="F131" s="55">
        <f t="shared" si="55"/>
        <v>2396952.250846114</v>
      </c>
      <c r="G131" s="55">
        <f t="shared" si="56"/>
        <v>2506464.0349370232</v>
      </c>
      <c r="H131" s="380">
        <f t="shared" si="57"/>
        <v>531144.36054852349</v>
      </c>
      <c r="I131" s="399">
        <f t="shared" si="58"/>
        <v>531144.36054852349</v>
      </c>
      <c r="J131" s="54">
        <f t="shared" si="35"/>
        <v>0</v>
      </c>
      <c r="K131" s="54"/>
      <c r="L131" s="129"/>
      <c r="M131" s="54">
        <f t="shared" ref="M131:M154" si="60">IF(L541&lt;&gt;0,+H541-L541,0)</f>
        <v>0</v>
      </c>
      <c r="N131" s="129"/>
      <c r="O131" s="54">
        <f t="shared" ref="O131:O154" si="61">IF(N541&lt;&gt;0,+I541-N541,0)</f>
        <v>0</v>
      </c>
      <c r="P131" s="54">
        <f t="shared" ref="P131:P154" si="62">+O541-M541</f>
        <v>0</v>
      </c>
    </row>
    <row r="132" spans="2:16" ht="12.5">
      <c r="B132" s="7" t="str">
        <f t="shared" si="34"/>
        <v/>
      </c>
      <c r="C132" s="50">
        <f>IF(D93="","-",+C131+1)</f>
        <v>2047</v>
      </c>
      <c r="D132" s="12">
        <f>IF(F131+SUM(E$99:E131)=D$92,F131,D$92-SUM(E$99:E131))</f>
        <v>2396952.250846114</v>
      </c>
      <c r="E132" s="378">
        <f t="shared" si="54"/>
        <v>219023.56818181818</v>
      </c>
      <c r="F132" s="55">
        <f t="shared" si="55"/>
        <v>2177928.6826642957</v>
      </c>
      <c r="G132" s="55">
        <f t="shared" si="56"/>
        <v>2287440.4667552048</v>
      </c>
      <c r="H132" s="380">
        <f t="shared" si="57"/>
        <v>503870.15725056565</v>
      </c>
      <c r="I132" s="399">
        <f t="shared" si="58"/>
        <v>503870.15725056565</v>
      </c>
      <c r="J132" s="54">
        <f t="shared" si="35"/>
        <v>0</v>
      </c>
      <c r="K132" s="54"/>
      <c r="L132" s="129"/>
      <c r="M132" s="54">
        <f t="shared" si="60"/>
        <v>0</v>
      </c>
      <c r="N132" s="129"/>
      <c r="O132" s="54">
        <f t="shared" si="61"/>
        <v>0</v>
      </c>
      <c r="P132" s="54">
        <f t="shared" si="62"/>
        <v>0</v>
      </c>
    </row>
    <row r="133" spans="2:16" ht="12.5">
      <c r="B133" s="7" t="str">
        <f t="shared" si="34"/>
        <v/>
      </c>
      <c r="C133" s="50">
        <f>IF(D93="","-",+C132+1)</f>
        <v>2048</v>
      </c>
      <c r="D133" s="12">
        <f>IF(F132+SUM(E$99:E132)=D$92,F132,D$92-SUM(E$99:E132))</f>
        <v>2177928.6826642957</v>
      </c>
      <c r="E133" s="378">
        <f t="shared" si="54"/>
        <v>219023.56818181818</v>
      </c>
      <c r="F133" s="55">
        <f t="shared" si="55"/>
        <v>1958905.1144824775</v>
      </c>
      <c r="G133" s="55">
        <f t="shared" si="56"/>
        <v>2068416.8985733865</v>
      </c>
      <c r="H133" s="380">
        <f t="shared" si="57"/>
        <v>476595.9539526077</v>
      </c>
      <c r="I133" s="399">
        <f t="shared" si="58"/>
        <v>476595.9539526077</v>
      </c>
      <c r="J133" s="54">
        <f t="shared" si="35"/>
        <v>0</v>
      </c>
      <c r="K133" s="54"/>
      <c r="L133" s="129"/>
      <c r="M133" s="54">
        <f t="shared" si="60"/>
        <v>0</v>
      </c>
      <c r="N133" s="129"/>
      <c r="O133" s="54">
        <f t="shared" si="61"/>
        <v>0</v>
      </c>
      <c r="P133" s="54">
        <f t="shared" si="62"/>
        <v>0</v>
      </c>
    </row>
    <row r="134" spans="2:16" ht="12.5">
      <c r="B134" s="7" t="str">
        <f t="shared" si="34"/>
        <v/>
      </c>
      <c r="C134" s="50">
        <f>IF(D93="","-",+C133+1)</f>
        <v>2049</v>
      </c>
      <c r="D134" s="12">
        <f>IF(F133+SUM(E$99:E133)=D$92,F133,D$92-SUM(E$99:E133))</f>
        <v>1958905.1144824775</v>
      </c>
      <c r="E134" s="378">
        <f t="shared" si="54"/>
        <v>219023.56818181818</v>
      </c>
      <c r="F134" s="55">
        <f t="shared" si="55"/>
        <v>1739881.5463006594</v>
      </c>
      <c r="G134" s="55">
        <f t="shared" si="56"/>
        <v>1849393.3303915686</v>
      </c>
      <c r="H134" s="380">
        <f t="shared" si="57"/>
        <v>449321.75065464986</v>
      </c>
      <c r="I134" s="399">
        <f t="shared" si="58"/>
        <v>449321.75065464986</v>
      </c>
      <c r="J134" s="54">
        <f t="shared" si="35"/>
        <v>0</v>
      </c>
      <c r="K134" s="54"/>
      <c r="L134" s="129"/>
      <c r="M134" s="54">
        <f t="shared" si="60"/>
        <v>0</v>
      </c>
      <c r="N134" s="129"/>
      <c r="O134" s="54">
        <f t="shared" si="61"/>
        <v>0</v>
      </c>
      <c r="P134" s="54">
        <f t="shared" si="62"/>
        <v>0</v>
      </c>
    </row>
    <row r="135" spans="2:16" ht="12.5">
      <c r="B135" s="7" t="str">
        <f t="shared" si="34"/>
        <v/>
      </c>
      <c r="C135" s="50">
        <f>IF(D93="","-",+C134+1)</f>
        <v>2050</v>
      </c>
      <c r="D135" s="12">
        <f>IF(F134+SUM(E$99:E134)=D$92,F134,D$92-SUM(E$99:E134))</f>
        <v>1739881.5463006594</v>
      </c>
      <c r="E135" s="378">
        <f t="shared" si="54"/>
        <v>219023.56818181818</v>
      </c>
      <c r="F135" s="55">
        <f t="shared" si="55"/>
        <v>1520857.9781188413</v>
      </c>
      <c r="G135" s="55">
        <f t="shared" si="56"/>
        <v>1630369.7622097502</v>
      </c>
      <c r="H135" s="380">
        <f t="shared" si="57"/>
        <v>422047.54735669197</v>
      </c>
      <c r="I135" s="399">
        <f t="shared" si="58"/>
        <v>422047.54735669197</v>
      </c>
      <c r="J135" s="54">
        <f t="shared" si="35"/>
        <v>0</v>
      </c>
      <c r="K135" s="54"/>
      <c r="L135" s="129"/>
      <c r="M135" s="54">
        <f t="shared" si="60"/>
        <v>0</v>
      </c>
      <c r="N135" s="129"/>
      <c r="O135" s="54">
        <f t="shared" si="61"/>
        <v>0</v>
      </c>
      <c r="P135" s="54">
        <f t="shared" si="62"/>
        <v>0</v>
      </c>
    </row>
    <row r="136" spans="2:16" ht="12.5">
      <c r="B136" s="7" t="str">
        <f t="shared" si="34"/>
        <v/>
      </c>
      <c r="C136" s="50">
        <f>IF(D93="","-",+C135+1)</f>
        <v>2051</v>
      </c>
      <c r="D136" s="12">
        <f>IF(F135+SUM(E$99:E135)=D$92,F135,D$92-SUM(E$99:E135))</f>
        <v>1520857.9781188413</v>
      </c>
      <c r="E136" s="378">
        <f t="shared" si="54"/>
        <v>219023.56818181818</v>
      </c>
      <c r="F136" s="55">
        <f t="shared" si="55"/>
        <v>1301834.4099370232</v>
      </c>
      <c r="G136" s="55">
        <f t="shared" si="56"/>
        <v>1411346.1940279324</v>
      </c>
      <c r="H136" s="380">
        <f t="shared" si="57"/>
        <v>394773.34405873413</v>
      </c>
      <c r="I136" s="399">
        <f t="shared" si="58"/>
        <v>394773.34405873413</v>
      </c>
      <c r="J136" s="54">
        <f t="shared" si="35"/>
        <v>0</v>
      </c>
      <c r="K136" s="54"/>
      <c r="L136" s="129"/>
      <c r="M136" s="54">
        <f t="shared" si="60"/>
        <v>0</v>
      </c>
      <c r="N136" s="129"/>
      <c r="O136" s="54">
        <f t="shared" si="61"/>
        <v>0</v>
      </c>
      <c r="P136" s="54">
        <f t="shared" si="62"/>
        <v>0</v>
      </c>
    </row>
    <row r="137" spans="2:16" ht="12.5">
      <c r="B137" s="7" t="str">
        <f t="shared" si="34"/>
        <v/>
      </c>
      <c r="C137" s="50">
        <f>IF(D93="","-",+C136+1)</f>
        <v>2052</v>
      </c>
      <c r="D137" s="12">
        <f>IF(F136+SUM(E$99:E136)=D$92,F136,D$92-SUM(E$99:E136))</f>
        <v>1301834.4099370232</v>
      </c>
      <c r="E137" s="378">
        <f t="shared" si="54"/>
        <v>219023.56818181818</v>
      </c>
      <c r="F137" s="55">
        <f t="shared" si="55"/>
        <v>1082810.8417552051</v>
      </c>
      <c r="G137" s="55">
        <f t="shared" si="56"/>
        <v>1192322.625846114</v>
      </c>
      <c r="H137" s="380">
        <f t="shared" si="57"/>
        <v>367499.14076077618</v>
      </c>
      <c r="I137" s="399">
        <f t="shared" si="58"/>
        <v>367499.14076077618</v>
      </c>
      <c r="J137" s="54">
        <f t="shared" si="35"/>
        <v>0</v>
      </c>
      <c r="K137" s="54"/>
      <c r="L137" s="129"/>
      <c r="M137" s="54">
        <f t="shared" si="60"/>
        <v>0</v>
      </c>
      <c r="N137" s="129"/>
      <c r="O137" s="54">
        <f t="shared" si="61"/>
        <v>0</v>
      </c>
      <c r="P137" s="54">
        <f t="shared" si="62"/>
        <v>0</v>
      </c>
    </row>
    <row r="138" spans="2:16" ht="12.5">
      <c r="B138" s="7" t="str">
        <f t="shared" si="34"/>
        <v/>
      </c>
      <c r="C138" s="50">
        <f>IF(D93="","-",+C137+1)</f>
        <v>2053</v>
      </c>
      <c r="D138" s="12">
        <f>IF(F137+SUM(E$99:E137)=D$92,F137,D$92-SUM(E$99:E137))</f>
        <v>1082810.8417552051</v>
      </c>
      <c r="E138" s="378">
        <f t="shared" si="54"/>
        <v>219023.56818181818</v>
      </c>
      <c r="F138" s="55">
        <f t="shared" si="55"/>
        <v>863787.27357338695</v>
      </c>
      <c r="G138" s="55">
        <f t="shared" si="56"/>
        <v>973299.05766429601</v>
      </c>
      <c r="H138" s="380">
        <f t="shared" si="57"/>
        <v>340224.93746281828</v>
      </c>
      <c r="I138" s="399">
        <f t="shared" si="58"/>
        <v>340224.93746281828</v>
      </c>
      <c r="J138" s="54">
        <f t="shared" si="35"/>
        <v>0</v>
      </c>
      <c r="K138" s="54"/>
      <c r="L138" s="129"/>
      <c r="M138" s="54">
        <f t="shared" si="60"/>
        <v>0</v>
      </c>
      <c r="N138" s="129"/>
      <c r="O138" s="54">
        <f t="shared" si="61"/>
        <v>0</v>
      </c>
      <c r="P138" s="54">
        <f t="shared" si="62"/>
        <v>0</v>
      </c>
    </row>
    <row r="139" spans="2:16" ht="12.5">
      <c r="B139" s="7" t="str">
        <f t="shared" si="34"/>
        <v/>
      </c>
      <c r="C139" s="50">
        <f>IF(D93="","-",+C138+1)</f>
        <v>2054</v>
      </c>
      <c r="D139" s="12">
        <f>IF(F138+SUM(E$99:E138)=D$92,F138,D$92-SUM(E$99:E138))</f>
        <v>863787.27357338695</v>
      </c>
      <c r="E139" s="378">
        <f t="shared" si="54"/>
        <v>219023.56818181818</v>
      </c>
      <c r="F139" s="55">
        <f t="shared" si="55"/>
        <v>644763.70539156883</v>
      </c>
      <c r="G139" s="55">
        <f t="shared" si="56"/>
        <v>754275.48948247789</v>
      </c>
      <c r="H139" s="380">
        <f t="shared" si="57"/>
        <v>312950.73416486045</v>
      </c>
      <c r="I139" s="399">
        <f t="shared" si="58"/>
        <v>312950.73416486045</v>
      </c>
      <c r="J139" s="54">
        <f t="shared" si="35"/>
        <v>0</v>
      </c>
      <c r="K139" s="54"/>
      <c r="L139" s="129"/>
      <c r="M139" s="54">
        <f t="shared" si="60"/>
        <v>0</v>
      </c>
      <c r="N139" s="129"/>
      <c r="O139" s="54">
        <f t="shared" si="61"/>
        <v>0</v>
      </c>
      <c r="P139" s="54">
        <f t="shared" si="62"/>
        <v>0</v>
      </c>
    </row>
    <row r="140" spans="2:16" ht="12.5">
      <c r="B140" s="7" t="str">
        <f t="shared" si="34"/>
        <v/>
      </c>
      <c r="C140" s="50">
        <f>IF(D93="","-",+C139+1)</f>
        <v>2055</v>
      </c>
      <c r="D140" s="12">
        <f>IF(F139+SUM(E$99:E139)=D$92,F139,D$92-SUM(E$99:E139))</f>
        <v>644763.70539156883</v>
      </c>
      <c r="E140" s="378">
        <f t="shared" si="54"/>
        <v>219023.56818181818</v>
      </c>
      <c r="F140" s="55">
        <f t="shared" si="55"/>
        <v>425740.13720975065</v>
      </c>
      <c r="G140" s="55">
        <f t="shared" si="56"/>
        <v>535251.92130065977</v>
      </c>
      <c r="H140" s="380">
        <f t="shared" si="57"/>
        <v>285676.53086690255</v>
      </c>
      <c r="I140" s="399">
        <f t="shared" si="58"/>
        <v>285676.53086690255</v>
      </c>
      <c r="J140" s="54">
        <f t="shared" si="35"/>
        <v>0</v>
      </c>
      <c r="K140" s="54"/>
      <c r="L140" s="129"/>
      <c r="M140" s="54">
        <f t="shared" si="60"/>
        <v>0</v>
      </c>
      <c r="N140" s="129"/>
      <c r="O140" s="54">
        <f t="shared" si="61"/>
        <v>0</v>
      </c>
      <c r="P140" s="54">
        <f t="shared" si="62"/>
        <v>0</v>
      </c>
    </row>
    <row r="141" spans="2:16" ht="12.5">
      <c r="B141" s="7" t="str">
        <f t="shared" si="34"/>
        <v/>
      </c>
      <c r="C141" s="50">
        <f>IF(D93="","-",+C140+1)</f>
        <v>2056</v>
      </c>
      <c r="D141" s="12">
        <f>IF(F140+SUM(E$99:E140)=D$92,F140,D$92-SUM(E$99:E140))</f>
        <v>425740.13720975065</v>
      </c>
      <c r="E141" s="378">
        <f t="shared" si="54"/>
        <v>219023.56818181818</v>
      </c>
      <c r="F141" s="55">
        <f t="shared" si="55"/>
        <v>206716.56902793248</v>
      </c>
      <c r="G141" s="55">
        <f t="shared" si="56"/>
        <v>316228.35311884154</v>
      </c>
      <c r="H141" s="380">
        <f t="shared" si="57"/>
        <v>258402.32756894463</v>
      </c>
      <c r="I141" s="399">
        <f t="shared" si="58"/>
        <v>258402.32756894463</v>
      </c>
      <c r="J141" s="54">
        <f t="shared" si="35"/>
        <v>0</v>
      </c>
      <c r="K141" s="54"/>
      <c r="L141" s="129"/>
      <c r="M141" s="54">
        <f t="shared" si="60"/>
        <v>0</v>
      </c>
      <c r="N141" s="129"/>
      <c r="O141" s="54">
        <f t="shared" si="61"/>
        <v>0</v>
      </c>
      <c r="P141" s="54">
        <f t="shared" si="62"/>
        <v>0</v>
      </c>
    </row>
    <row r="142" spans="2:16" ht="12.5">
      <c r="B142" s="7" t="str">
        <f t="shared" si="34"/>
        <v/>
      </c>
      <c r="C142" s="50">
        <f>IF(D93="","-",+C141+1)</f>
        <v>2057</v>
      </c>
      <c r="D142" s="12">
        <f>IF(F141+SUM(E$99:E141)=D$92,F141,D$92-SUM(E$99:E141))</f>
        <v>206716.56902793248</v>
      </c>
      <c r="E142" s="378">
        <f t="shared" si="54"/>
        <v>206716.56902793248</v>
      </c>
      <c r="F142" s="55">
        <f t="shared" si="55"/>
        <v>0</v>
      </c>
      <c r="G142" s="55">
        <f t="shared" si="56"/>
        <v>103358.28451396624</v>
      </c>
      <c r="H142" s="380">
        <f t="shared" si="57"/>
        <v>219587.39789700622</v>
      </c>
      <c r="I142" s="399">
        <f t="shared" si="58"/>
        <v>219587.39789700622</v>
      </c>
      <c r="J142" s="54">
        <f t="shared" si="35"/>
        <v>0</v>
      </c>
      <c r="K142" s="54"/>
      <c r="L142" s="129"/>
      <c r="M142" s="54">
        <f t="shared" si="60"/>
        <v>0</v>
      </c>
      <c r="N142" s="129"/>
      <c r="O142" s="54">
        <f t="shared" si="61"/>
        <v>0</v>
      </c>
      <c r="P142" s="54">
        <f t="shared" si="62"/>
        <v>0</v>
      </c>
    </row>
    <row r="143" spans="2:16" ht="12.5">
      <c r="B143" s="7" t="str">
        <f t="shared" si="34"/>
        <v/>
      </c>
      <c r="C143" s="50">
        <f>IF(D93="","-",+C142+1)</f>
        <v>2058</v>
      </c>
      <c r="D143" s="12">
        <f>IF(F142+SUM(E$99:E142)=D$92,F142,D$92-SUM(E$99:E142))</f>
        <v>0</v>
      </c>
      <c r="E143" s="378">
        <f t="shared" si="54"/>
        <v>0</v>
      </c>
      <c r="F143" s="55">
        <f t="shared" si="55"/>
        <v>0</v>
      </c>
      <c r="G143" s="55">
        <f t="shared" si="56"/>
        <v>0</v>
      </c>
      <c r="H143" s="380">
        <f t="shared" si="57"/>
        <v>0</v>
      </c>
      <c r="I143" s="399">
        <f t="shared" si="58"/>
        <v>0</v>
      </c>
      <c r="J143" s="54">
        <f t="shared" si="35"/>
        <v>0</v>
      </c>
      <c r="K143" s="54"/>
      <c r="L143" s="129"/>
      <c r="M143" s="54">
        <f t="shared" si="60"/>
        <v>0</v>
      </c>
      <c r="N143" s="129"/>
      <c r="O143" s="54">
        <f t="shared" si="61"/>
        <v>0</v>
      </c>
      <c r="P143" s="54">
        <f t="shared" si="62"/>
        <v>0</v>
      </c>
    </row>
    <row r="144" spans="2:16" ht="12.5">
      <c r="B144" s="7" t="str">
        <f t="shared" si="34"/>
        <v/>
      </c>
      <c r="C144" s="50">
        <f>IF(D93="","-",+C143+1)</f>
        <v>2059</v>
      </c>
      <c r="D144" s="12">
        <f>IF(F143+SUM(E$99:E143)=D$92,F143,D$92-SUM(E$99:E143))</f>
        <v>0</v>
      </c>
      <c r="E144" s="378">
        <f t="shared" si="54"/>
        <v>0</v>
      </c>
      <c r="F144" s="55">
        <f t="shared" si="55"/>
        <v>0</v>
      </c>
      <c r="G144" s="55">
        <f t="shared" si="56"/>
        <v>0</v>
      </c>
      <c r="H144" s="380">
        <f t="shared" si="57"/>
        <v>0</v>
      </c>
      <c r="I144" s="399">
        <f t="shared" si="58"/>
        <v>0</v>
      </c>
      <c r="J144" s="54">
        <f t="shared" si="35"/>
        <v>0</v>
      </c>
      <c r="K144" s="54"/>
      <c r="L144" s="129"/>
      <c r="M144" s="54">
        <f t="shared" si="60"/>
        <v>0</v>
      </c>
      <c r="N144" s="129"/>
      <c r="O144" s="54">
        <f t="shared" si="61"/>
        <v>0</v>
      </c>
      <c r="P144" s="54">
        <f t="shared" si="62"/>
        <v>0</v>
      </c>
    </row>
    <row r="145" spans="2:16" ht="12.5">
      <c r="B145" s="7" t="str">
        <f t="shared" si="34"/>
        <v/>
      </c>
      <c r="C145" s="50">
        <f>IF(D93="","-",+C144+1)</f>
        <v>2060</v>
      </c>
      <c r="D145" s="12">
        <f>IF(F144+SUM(E$99:E144)=D$92,F144,D$92-SUM(E$99:E144))</f>
        <v>0</v>
      </c>
      <c r="E145" s="378">
        <f t="shared" si="54"/>
        <v>0</v>
      </c>
      <c r="F145" s="55">
        <f t="shared" si="55"/>
        <v>0</v>
      </c>
      <c r="G145" s="55">
        <f t="shared" si="56"/>
        <v>0</v>
      </c>
      <c r="H145" s="380">
        <f t="shared" si="57"/>
        <v>0</v>
      </c>
      <c r="I145" s="399">
        <f t="shared" si="58"/>
        <v>0</v>
      </c>
      <c r="J145" s="54">
        <f t="shared" si="35"/>
        <v>0</v>
      </c>
      <c r="K145" s="54"/>
      <c r="L145" s="129"/>
      <c r="M145" s="54">
        <f t="shared" si="60"/>
        <v>0</v>
      </c>
      <c r="N145" s="129"/>
      <c r="O145" s="54">
        <f t="shared" si="61"/>
        <v>0</v>
      </c>
      <c r="P145" s="54">
        <f t="shared" si="62"/>
        <v>0</v>
      </c>
    </row>
    <row r="146" spans="2:16" ht="12.5">
      <c r="B146" s="7" t="str">
        <f t="shared" si="34"/>
        <v/>
      </c>
      <c r="C146" s="50">
        <f>IF(D93="","-",+C145+1)</f>
        <v>2061</v>
      </c>
      <c r="D146" s="12">
        <f>IF(F145+SUM(E$99:E145)=D$92,F145,D$92-SUM(E$99:E145))</f>
        <v>0</v>
      </c>
      <c r="E146" s="378">
        <f t="shared" si="54"/>
        <v>0</v>
      </c>
      <c r="F146" s="55">
        <f t="shared" si="55"/>
        <v>0</v>
      </c>
      <c r="G146" s="55">
        <f t="shared" si="56"/>
        <v>0</v>
      </c>
      <c r="H146" s="380">
        <f t="shared" si="57"/>
        <v>0</v>
      </c>
      <c r="I146" s="399">
        <f t="shared" si="58"/>
        <v>0</v>
      </c>
      <c r="J146" s="54">
        <f t="shared" si="35"/>
        <v>0</v>
      </c>
      <c r="K146" s="54"/>
      <c r="L146" s="129"/>
      <c r="M146" s="54">
        <f t="shared" si="60"/>
        <v>0</v>
      </c>
      <c r="N146" s="129"/>
      <c r="O146" s="54">
        <f t="shared" si="61"/>
        <v>0</v>
      </c>
      <c r="P146" s="54">
        <f t="shared" si="62"/>
        <v>0</v>
      </c>
    </row>
    <row r="147" spans="2:16" ht="12.5">
      <c r="B147" s="7" t="str">
        <f t="shared" si="34"/>
        <v/>
      </c>
      <c r="C147" s="50">
        <f>IF(D93="","-",+C146+1)</f>
        <v>2062</v>
      </c>
      <c r="D147" s="12">
        <f>IF(F146+SUM(E$99:E146)=D$92,F146,D$92-SUM(E$99:E146))</f>
        <v>0</v>
      </c>
      <c r="E147" s="378">
        <f t="shared" si="54"/>
        <v>0</v>
      </c>
      <c r="F147" s="55">
        <f t="shared" si="55"/>
        <v>0</v>
      </c>
      <c r="G147" s="55">
        <f t="shared" si="56"/>
        <v>0</v>
      </c>
      <c r="H147" s="380">
        <f t="shared" si="57"/>
        <v>0</v>
      </c>
      <c r="I147" s="399">
        <f t="shared" si="58"/>
        <v>0</v>
      </c>
      <c r="J147" s="54">
        <f t="shared" si="35"/>
        <v>0</v>
      </c>
      <c r="K147" s="54"/>
      <c r="L147" s="129"/>
      <c r="M147" s="54">
        <f t="shared" si="60"/>
        <v>0</v>
      </c>
      <c r="N147" s="129"/>
      <c r="O147" s="54">
        <f t="shared" si="61"/>
        <v>0</v>
      </c>
      <c r="P147" s="54">
        <f t="shared" si="62"/>
        <v>0</v>
      </c>
    </row>
    <row r="148" spans="2:16" ht="12.5">
      <c r="B148" s="7" t="str">
        <f t="shared" si="34"/>
        <v/>
      </c>
      <c r="C148" s="50">
        <f>IF(D93="","-",+C147+1)</f>
        <v>2063</v>
      </c>
      <c r="D148" s="12">
        <f>IF(F147+SUM(E$99:E147)=D$92,F147,D$92-SUM(E$99:E147))</f>
        <v>0</v>
      </c>
      <c r="E148" s="378">
        <f t="shared" si="54"/>
        <v>0</v>
      </c>
      <c r="F148" s="55">
        <f t="shared" si="55"/>
        <v>0</v>
      </c>
      <c r="G148" s="55">
        <f t="shared" si="56"/>
        <v>0</v>
      </c>
      <c r="H148" s="380">
        <f t="shared" si="57"/>
        <v>0</v>
      </c>
      <c r="I148" s="399">
        <f t="shared" si="58"/>
        <v>0</v>
      </c>
      <c r="J148" s="54">
        <f t="shared" si="35"/>
        <v>0</v>
      </c>
      <c r="K148" s="54"/>
      <c r="L148" s="129"/>
      <c r="M148" s="54">
        <f t="shared" si="60"/>
        <v>0</v>
      </c>
      <c r="N148" s="129"/>
      <c r="O148" s="54">
        <f t="shared" si="61"/>
        <v>0</v>
      </c>
      <c r="P148" s="54">
        <f t="shared" si="62"/>
        <v>0</v>
      </c>
    </row>
    <row r="149" spans="2:16" ht="12.5">
      <c r="B149" s="7" t="str">
        <f t="shared" si="34"/>
        <v/>
      </c>
      <c r="C149" s="50">
        <f>IF(D93="","-",+C148+1)</f>
        <v>2064</v>
      </c>
      <c r="D149" s="12">
        <f>IF(F148+SUM(E$99:E148)=D$92,F148,D$92-SUM(E$99:E148))</f>
        <v>0</v>
      </c>
      <c r="E149" s="378">
        <f t="shared" si="54"/>
        <v>0</v>
      </c>
      <c r="F149" s="55">
        <f t="shared" si="55"/>
        <v>0</v>
      </c>
      <c r="G149" s="55">
        <f t="shared" si="56"/>
        <v>0</v>
      </c>
      <c r="H149" s="380">
        <f t="shared" si="57"/>
        <v>0</v>
      </c>
      <c r="I149" s="399">
        <f t="shared" si="58"/>
        <v>0</v>
      </c>
      <c r="J149" s="54">
        <f t="shared" si="35"/>
        <v>0</v>
      </c>
      <c r="K149" s="54"/>
      <c r="L149" s="129"/>
      <c r="M149" s="54">
        <f t="shared" si="60"/>
        <v>0</v>
      </c>
      <c r="N149" s="129"/>
      <c r="O149" s="54">
        <f t="shared" si="61"/>
        <v>0</v>
      </c>
      <c r="P149" s="54">
        <f t="shared" si="62"/>
        <v>0</v>
      </c>
    </row>
    <row r="150" spans="2:16" ht="12.5">
      <c r="B150" s="7" t="str">
        <f t="shared" si="34"/>
        <v/>
      </c>
      <c r="C150" s="50">
        <f>IF(D93="","-",+C149+1)</f>
        <v>2065</v>
      </c>
      <c r="D150" s="12">
        <f>IF(F149+SUM(E$99:E149)=D$92,F149,D$92-SUM(E$99:E149))</f>
        <v>0</v>
      </c>
      <c r="E150" s="378">
        <f t="shared" si="54"/>
        <v>0</v>
      </c>
      <c r="F150" s="55">
        <f t="shared" si="55"/>
        <v>0</v>
      </c>
      <c r="G150" s="55">
        <f t="shared" si="56"/>
        <v>0</v>
      </c>
      <c r="H150" s="380">
        <f t="shared" si="57"/>
        <v>0</v>
      </c>
      <c r="I150" s="399">
        <f t="shared" si="58"/>
        <v>0</v>
      </c>
      <c r="J150" s="54">
        <f t="shared" si="35"/>
        <v>0</v>
      </c>
      <c r="K150" s="54"/>
      <c r="L150" s="129"/>
      <c r="M150" s="54">
        <f t="shared" si="60"/>
        <v>0</v>
      </c>
      <c r="N150" s="129"/>
      <c r="O150" s="54">
        <f t="shared" si="61"/>
        <v>0</v>
      </c>
      <c r="P150" s="54">
        <f t="shared" si="62"/>
        <v>0</v>
      </c>
    </row>
    <row r="151" spans="2:16" ht="12.5">
      <c r="B151" s="7" t="str">
        <f t="shared" si="34"/>
        <v/>
      </c>
      <c r="C151" s="50">
        <f>IF(D93="","-",+C150+1)</f>
        <v>2066</v>
      </c>
      <c r="D151" s="12">
        <f>IF(F150+SUM(E$99:E150)=D$92,F150,D$92-SUM(E$99:E150))</f>
        <v>0</v>
      </c>
      <c r="E151" s="378">
        <f t="shared" si="54"/>
        <v>0</v>
      </c>
      <c r="F151" s="55">
        <f t="shared" si="55"/>
        <v>0</v>
      </c>
      <c r="G151" s="55">
        <f t="shared" si="56"/>
        <v>0</v>
      </c>
      <c r="H151" s="380">
        <f t="shared" si="57"/>
        <v>0</v>
      </c>
      <c r="I151" s="399">
        <f t="shared" si="58"/>
        <v>0</v>
      </c>
      <c r="J151" s="54">
        <f t="shared" si="35"/>
        <v>0</v>
      </c>
      <c r="K151" s="54"/>
      <c r="L151" s="129"/>
      <c r="M151" s="54">
        <f t="shared" si="60"/>
        <v>0</v>
      </c>
      <c r="N151" s="129"/>
      <c r="O151" s="54">
        <f t="shared" si="61"/>
        <v>0</v>
      </c>
      <c r="P151" s="54">
        <f t="shared" si="62"/>
        <v>0</v>
      </c>
    </row>
    <row r="152" spans="2:16" ht="12.5">
      <c r="B152" s="7" t="str">
        <f t="shared" si="34"/>
        <v/>
      </c>
      <c r="C152" s="50">
        <f>IF(D93="","-",+C151+1)</f>
        <v>2067</v>
      </c>
      <c r="D152" s="12">
        <f>IF(F151+SUM(E$99:E151)=D$92,F151,D$92-SUM(E$99:E151))</f>
        <v>0</v>
      </c>
      <c r="E152" s="378">
        <f t="shared" si="54"/>
        <v>0</v>
      </c>
      <c r="F152" s="55">
        <f t="shared" si="55"/>
        <v>0</v>
      </c>
      <c r="G152" s="55">
        <f t="shared" si="56"/>
        <v>0</v>
      </c>
      <c r="H152" s="380">
        <f t="shared" si="57"/>
        <v>0</v>
      </c>
      <c r="I152" s="399">
        <f t="shared" si="58"/>
        <v>0</v>
      </c>
      <c r="J152" s="54">
        <f t="shared" si="35"/>
        <v>0</v>
      </c>
      <c r="K152" s="54"/>
      <c r="L152" s="129"/>
      <c r="M152" s="54">
        <f t="shared" si="60"/>
        <v>0</v>
      </c>
      <c r="N152" s="129"/>
      <c r="O152" s="54">
        <f t="shared" si="61"/>
        <v>0</v>
      </c>
      <c r="P152" s="54">
        <f t="shared" si="62"/>
        <v>0</v>
      </c>
    </row>
    <row r="153" spans="2:16" ht="12.5">
      <c r="B153" s="7" t="str">
        <f t="shared" si="34"/>
        <v/>
      </c>
      <c r="C153" s="50">
        <f>IF(D93="","-",+C152+1)</f>
        <v>2068</v>
      </c>
      <c r="D153" s="12">
        <f>IF(F152+SUM(E$99:E152)=D$92,F152,D$92-SUM(E$99:E152))</f>
        <v>0</v>
      </c>
      <c r="E153" s="378">
        <f t="shared" si="54"/>
        <v>0</v>
      </c>
      <c r="F153" s="55">
        <f t="shared" si="55"/>
        <v>0</v>
      </c>
      <c r="G153" s="55">
        <f t="shared" si="56"/>
        <v>0</v>
      </c>
      <c r="H153" s="380">
        <f t="shared" si="57"/>
        <v>0</v>
      </c>
      <c r="I153" s="399">
        <f t="shared" si="58"/>
        <v>0</v>
      </c>
      <c r="J153" s="54">
        <f t="shared" si="35"/>
        <v>0</v>
      </c>
      <c r="K153" s="54"/>
      <c r="L153" s="129"/>
      <c r="M153" s="54">
        <f t="shared" si="60"/>
        <v>0</v>
      </c>
      <c r="N153" s="129"/>
      <c r="O153" s="54">
        <f t="shared" si="61"/>
        <v>0</v>
      </c>
      <c r="P153" s="54">
        <f t="shared" si="62"/>
        <v>0</v>
      </c>
    </row>
    <row r="154" spans="2:16" ht="13" thickBot="1">
      <c r="B154" s="7" t="str">
        <f t="shared" si="34"/>
        <v/>
      </c>
      <c r="C154" s="59">
        <f>IF(D93="","-",+C153+1)</f>
        <v>2069</v>
      </c>
      <c r="D154" s="12">
        <f>IF(F153+SUM(E$99:E153)=D$92,F153,D$92-SUM(E$99:E153))</f>
        <v>0</v>
      </c>
      <c r="E154" s="378">
        <f t="shared" si="54"/>
        <v>0</v>
      </c>
      <c r="F154" s="55">
        <f t="shared" si="55"/>
        <v>0</v>
      </c>
      <c r="G154" s="55">
        <f t="shared" si="56"/>
        <v>0</v>
      </c>
      <c r="H154" s="380">
        <f t="shared" si="57"/>
        <v>0</v>
      </c>
      <c r="I154" s="399">
        <f t="shared" si="58"/>
        <v>0</v>
      </c>
      <c r="J154" s="54">
        <f t="shared" si="35"/>
        <v>0</v>
      </c>
      <c r="K154" s="54"/>
      <c r="L154" s="130"/>
      <c r="M154" s="64">
        <f t="shared" si="60"/>
        <v>0</v>
      </c>
      <c r="N154" s="130"/>
      <c r="O154" s="64">
        <f t="shared" si="61"/>
        <v>0</v>
      </c>
      <c r="P154" s="64">
        <f t="shared" si="62"/>
        <v>0</v>
      </c>
    </row>
    <row r="155" spans="2:16" ht="12.5">
      <c r="C155" s="12" t="s">
        <v>78</v>
      </c>
      <c r="D155" s="293"/>
      <c r="E155" s="293">
        <f>SUM(E99:E154)</f>
        <v>9637037.0000000037</v>
      </c>
      <c r="F155" s="293"/>
      <c r="G155" s="293"/>
      <c r="H155" s="293">
        <f>SUM(H99:H154)</f>
        <v>34932720.953716479</v>
      </c>
      <c r="I155" s="293">
        <f>SUM(I99:I154)</f>
        <v>34932720.953716479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 ht="12.5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 ht="13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77" priority="1" stopIfTrue="1" operator="equal">
      <formula>$I$10</formula>
    </cfRule>
  </conditionalFormatting>
  <conditionalFormatting sqref="C99:C154">
    <cfRule type="cellIs" dxfId="7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90"/>
  <dimension ref="A1:P162"/>
  <sheetViews>
    <sheetView topLeftCell="A71" zoomScaleNormal="100" zoomScaleSheetLayoutView="81" workbookViewId="0">
      <selection activeCell="D27" sqref="D27:H27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41 of 77</v>
      </c>
    </row>
    <row r="2" spans="1:16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560684.29322186462</v>
      </c>
      <c r="P5" s="1"/>
    </row>
    <row r="6" spans="1:16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560684.29322186462</v>
      </c>
      <c r="O6" s="1"/>
      <c r="P6" s="1"/>
    </row>
    <row r="7" spans="1:16" ht="13.5" thickBot="1">
      <c r="C7" s="25" t="s">
        <v>48</v>
      </c>
      <c r="D7" s="90" t="s">
        <v>315</v>
      </c>
      <c r="E7" s="406"/>
      <c r="F7" s="406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314</v>
      </c>
      <c r="E9" s="436" t="s">
        <v>325</v>
      </c>
      <c r="F9" s="31"/>
      <c r="G9" s="31"/>
      <c r="H9" s="31"/>
      <c r="I9" s="32"/>
      <c r="J9" s="33"/>
      <c r="P9" s="1"/>
    </row>
    <row r="10" spans="1:16" ht="13">
      <c r="C10" s="34" t="s">
        <v>51</v>
      </c>
      <c r="D10" s="363">
        <v>4866028.3099999996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6" ht="12.5">
      <c r="C11" s="34" t="s">
        <v>54</v>
      </c>
      <c r="D11" s="37">
        <v>2014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3">
        <v>12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110591.55249999999</v>
      </c>
      <c r="J14" s="293"/>
      <c r="K14" s="293"/>
      <c r="L14" s="293"/>
      <c r="M14" s="293"/>
      <c r="N14" s="293"/>
      <c r="O14" s="1"/>
      <c r="P14" s="1"/>
    </row>
    <row r="15" spans="1:16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2014</v>
      </c>
      <c r="D17" s="429">
        <v>3846600</v>
      </c>
      <c r="E17" s="437">
        <v>0</v>
      </c>
      <c r="F17" s="429">
        <v>3846600</v>
      </c>
      <c r="G17" s="437">
        <v>518946.76103442931</v>
      </c>
      <c r="H17" s="438">
        <v>518946.76103442931</v>
      </c>
      <c r="I17" s="423">
        <v>0</v>
      </c>
      <c r="J17" s="52"/>
      <c r="K17" s="112">
        <f t="shared" ref="K17:K22" si="0">G17</f>
        <v>518946.76103442931</v>
      </c>
      <c r="L17" s="53">
        <f t="shared" ref="L17:L22" si="1">IF(K17&lt;&gt;0,+G17-K17,0)</f>
        <v>0</v>
      </c>
      <c r="M17" s="112">
        <f t="shared" ref="M17:M22" si="2">H17</f>
        <v>518946.76103442931</v>
      </c>
      <c r="N17" s="53">
        <f>IF(M17&lt;&gt;0,+H17-M17,0)</f>
        <v>0</v>
      </c>
      <c r="O17" s="54">
        <f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2015</v>
      </c>
      <c r="D18" s="429">
        <v>3846600</v>
      </c>
      <c r="E18" s="430">
        <v>114166.66666666667</v>
      </c>
      <c r="F18" s="429">
        <v>3732433.3333333335</v>
      </c>
      <c r="G18" s="430">
        <v>605746.05598620465</v>
      </c>
      <c r="H18" s="438">
        <v>605746.05598620465</v>
      </c>
      <c r="I18" s="52">
        <v>0</v>
      </c>
      <c r="J18" s="52"/>
      <c r="K18" s="113">
        <f t="shared" si="0"/>
        <v>605746.05598620465</v>
      </c>
      <c r="L18" s="54">
        <f t="shared" si="1"/>
        <v>0</v>
      </c>
      <c r="M18" s="113">
        <f t="shared" si="2"/>
        <v>605746.05598620465</v>
      </c>
      <c r="N18" s="54">
        <f>IF(M18&lt;&gt;0,+H18-M18,0)</f>
        <v>0</v>
      </c>
      <c r="O18" s="54">
        <f>+N18-L18</f>
        <v>0</v>
      </c>
      <c r="P18" s="1"/>
    </row>
    <row r="19" spans="2:16" ht="12.5">
      <c r="B19" s="7" t="str">
        <f>IF(D19=F18,"","IU")</f>
        <v>IU</v>
      </c>
      <c r="C19" s="50">
        <f>IF(D11="","-",+C18+1)</f>
        <v>2016</v>
      </c>
      <c r="D19" s="429">
        <v>4680833.333333333</v>
      </c>
      <c r="E19" s="430">
        <v>114166.66666666667</v>
      </c>
      <c r="F19" s="429">
        <v>4566666.666666666</v>
      </c>
      <c r="G19" s="430">
        <v>708198.5525863939</v>
      </c>
      <c r="H19" s="438">
        <v>708198.5525863939</v>
      </c>
      <c r="I19" s="52">
        <f>H19-G19</f>
        <v>0</v>
      </c>
      <c r="J19" s="52"/>
      <c r="K19" s="113">
        <f t="shared" si="0"/>
        <v>708198.5525863939</v>
      </c>
      <c r="L19" s="54">
        <f t="shared" si="1"/>
        <v>0</v>
      </c>
      <c r="M19" s="113">
        <f t="shared" si="2"/>
        <v>708198.5525863939</v>
      </c>
      <c r="N19" s="54">
        <f>IF(M19&lt;&gt;0,+H19-M19,0)</f>
        <v>0</v>
      </c>
      <c r="O19" s="54">
        <f>+N19-L19</f>
        <v>0</v>
      </c>
      <c r="P19" s="1"/>
    </row>
    <row r="20" spans="2:16" ht="12.5">
      <c r="B20" s="7" t="str">
        <f t="shared" ref="B20:B72" si="3">IF(D20=F19,"","IU")</f>
        <v>IU</v>
      </c>
      <c r="C20" s="50">
        <f>IF(D11="","-",+C19+1)</f>
        <v>2017</v>
      </c>
      <c r="D20" s="429">
        <v>4637694.666666667</v>
      </c>
      <c r="E20" s="430">
        <v>113163.44186046511</v>
      </c>
      <c r="F20" s="429">
        <v>4524531.2248062016</v>
      </c>
      <c r="G20" s="430">
        <v>680729.13149070973</v>
      </c>
      <c r="H20" s="438">
        <v>680729.13149070973</v>
      </c>
      <c r="I20" s="52">
        <f t="shared" ref="I20:I72" si="4">H20-G20</f>
        <v>0</v>
      </c>
      <c r="J20" s="52"/>
      <c r="K20" s="113">
        <f t="shared" si="0"/>
        <v>680729.13149070973</v>
      </c>
      <c r="L20" s="54">
        <f t="shared" si="1"/>
        <v>0</v>
      </c>
      <c r="M20" s="113">
        <f t="shared" si="2"/>
        <v>680729.13149070973</v>
      </c>
      <c r="N20" s="54">
        <f>IF(M20&lt;&gt;0,+H20-M20,0)</f>
        <v>0</v>
      </c>
      <c r="O20" s="54">
        <f>+N20-L20</f>
        <v>0</v>
      </c>
      <c r="P20" s="1"/>
    </row>
    <row r="21" spans="2:16" ht="12.5">
      <c r="B21" s="7" t="str">
        <f t="shared" si="3"/>
        <v/>
      </c>
      <c r="C21" s="50">
        <f>IF(D11="","-",+C20+1)</f>
        <v>2018</v>
      </c>
      <c r="D21" s="429">
        <v>4524531.2248062016</v>
      </c>
      <c r="E21" s="430">
        <v>118683.60975609756</v>
      </c>
      <c r="F21" s="429">
        <v>4405847.6150501044</v>
      </c>
      <c r="G21" s="430">
        <v>686182.83562586328</v>
      </c>
      <c r="H21" s="438">
        <v>686182.83562586328</v>
      </c>
      <c r="I21" s="52">
        <f t="shared" si="4"/>
        <v>0</v>
      </c>
      <c r="J21" s="52"/>
      <c r="K21" s="113">
        <f t="shared" si="0"/>
        <v>686182.83562586328</v>
      </c>
      <c r="L21" s="54">
        <f t="shared" si="1"/>
        <v>0</v>
      </c>
      <c r="M21" s="113">
        <f t="shared" si="2"/>
        <v>686182.83562586328</v>
      </c>
      <c r="N21" s="54">
        <f>IF(M21&lt;&gt;0,+H21-M21,0)</f>
        <v>0</v>
      </c>
      <c r="O21" s="54">
        <f>+N21-L21</f>
        <v>0</v>
      </c>
      <c r="P21" s="1"/>
    </row>
    <row r="22" spans="2:16" ht="12.5">
      <c r="B22" s="7" t="str">
        <f t="shared" si="3"/>
        <v/>
      </c>
      <c r="C22" s="50">
        <f>IF(D11="","-",+C21+1)</f>
        <v>2019</v>
      </c>
      <c r="D22" s="429">
        <v>4405847.6150501044</v>
      </c>
      <c r="E22" s="430">
        <v>118683.60975609756</v>
      </c>
      <c r="F22" s="429">
        <v>4287164.0052940072</v>
      </c>
      <c r="G22" s="430">
        <v>671098.84918635897</v>
      </c>
      <c r="H22" s="438">
        <v>671098.84918635897</v>
      </c>
      <c r="I22" s="52">
        <f t="shared" si="4"/>
        <v>0</v>
      </c>
      <c r="J22" s="52"/>
      <c r="K22" s="113">
        <f t="shared" si="0"/>
        <v>671098.84918635897</v>
      </c>
      <c r="L22" s="54">
        <f t="shared" si="1"/>
        <v>0</v>
      </c>
      <c r="M22" s="113">
        <f t="shared" si="2"/>
        <v>671098.84918635897</v>
      </c>
      <c r="N22" s="54">
        <f t="shared" ref="N22:N72" si="5">IF(M22&lt;&gt;0,+H22-M22,0)</f>
        <v>0</v>
      </c>
      <c r="O22" s="54">
        <f t="shared" ref="O22:O72" si="6">+N22-L22</f>
        <v>0</v>
      </c>
      <c r="P22" s="1"/>
    </row>
    <row r="23" spans="2:16" ht="12.5">
      <c r="B23" s="7" t="str">
        <f t="shared" si="3"/>
        <v/>
      </c>
      <c r="C23" s="50">
        <f>IF(D11="","-",+C22+1)</f>
        <v>2020</v>
      </c>
      <c r="D23" s="429">
        <v>4287164.0052940072</v>
      </c>
      <c r="E23" s="430">
        <v>118683.60975609756</v>
      </c>
      <c r="F23" s="429">
        <v>4168480.3955379096</v>
      </c>
      <c r="G23" s="430">
        <v>551339.71950731217</v>
      </c>
      <c r="H23" s="438">
        <v>551339.71950731217</v>
      </c>
      <c r="I23" s="52">
        <f t="shared" si="4"/>
        <v>0</v>
      </c>
      <c r="J23" s="52"/>
      <c r="K23" s="113">
        <f t="shared" ref="K23" si="7">G23</f>
        <v>551339.71950731217</v>
      </c>
      <c r="L23" s="54">
        <f t="shared" ref="L23" si="8">IF(K23&lt;&gt;0,+G23-K23,0)</f>
        <v>0</v>
      </c>
      <c r="M23" s="113">
        <f t="shared" ref="M23" si="9">H23</f>
        <v>551339.71950731217</v>
      </c>
      <c r="N23" s="54">
        <f t="shared" si="5"/>
        <v>0</v>
      </c>
      <c r="O23" s="54">
        <f t="shared" si="6"/>
        <v>0</v>
      </c>
      <c r="P23" s="1"/>
    </row>
    <row r="24" spans="2:16" ht="12.5">
      <c r="B24" s="7" t="str">
        <f t="shared" si="3"/>
        <v>IU</v>
      </c>
      <c r="C24" s="50">
        <f>IF(D11="","-",+C23+1)</f>
        <v>2021</v>
      </c>
      <c r="D24" s="429">
        <v>4174000.5634335415</v>
      </c>
      <c r="E24" s="430">
        <v>115857.80952380953</v>
      </c>
      <c r="F24" s="429">
        <v>4058142.7539097317</v>
      </c>
      <c r="G24" s="430">
        <v>552180.11306412728</v>
      </c>
      <c r="H24" s="438">
        <v>552180.11306412728</v>
      </c>
      <c r="I24" s="52">
        <f t="shared" si="4"/>
        <v>0</v>
      </c>
      <c r="J24" s="52"/>
      <c r="K24" s="113">
        <f t="shared" ref="K24" si="10">G24</f>
        <v>552180.11306412728</v>
      </c>
      <c r="L24" s="54">
        <f t="shared" ref="L24" si="11">IF(K24&lt;&gt;0,+G24-K24,0)</f>
        <v>0</v>
      </c>
      <c r="M24" s="113">
        <f t="shared" ref="M24" si="12">H24</f>
        <v>552180.11306412728</v>
      </c>
      <c r="N24" s="54">
        <f t="shared" si="5"/>
        <v>0</v>
      </c>
      <c r="O24" s="54">
        <f t="shared" si="6"/>
        <v>0</v>
      </c>
      <c r="P24" s="1"/>
    </row>
    <row r="25" spans="2:16" ht="12.5">
      <c r="B25" s="7" t="str">
        <f t="shared" si="3"/>
        <v>IU</v>
      </c>
      <c r="C25" s="50">
        <f>IF(D11="","-",+C24+1)</f>
        <v>2022</v>
      </c>
      <c r="D25" s="429">
        <v>4052622.5860140994</v>
      </c>
      <c r="E25" s="430">
        <v>115857.80952380953</v>
      </c>
      <c r="F25" s="429">
        <v>3936764.7764902897</v>
      </c>
      <c r="G25" s="430">
        <v>565037.53283672058</v>
      </c>
      <c r="H25" s="438">
        <v>565037.53283672058</v>
      </c>
      <c r="I25" s="52">
        <f t="shared" si="4"/>
        <v>0</v>
      </c>
      <c r="J25" s="52"/>
      <c r="K25" s="113">
        <f t="shared" ref="K25" si="13">G25</f>
        <v>565037.53283672058</v>
      </c>
      <c r="L25" s="54">
        <f t="shared" ref="L25" si="14">IF(K25&lt;&gt;0,+G25-K25,0)</f>
        <v>0</v>
      </c>
      <c r="M25" s="113">
        <f t="shared" ref="M25" si="15">H25</f>
        <v>565037.53283672058</v>
      </c>
      <c r="N25" s="54">
        <f t="shared" si="5"/>
        <v>0</v>
      </c>
      <c r="O25" s="54">
        <f t="shared" si="6"/>
        <v>0</v>
      </c>
      <c r="P25" s="1"/>
    </row>
    <row r="26" spans="2:16" ht="12.5">
      <c r="B26" s="7" t="str">
        <f t="shared" si="3"/>
        <v>IU</v>
      </c>
      <c r="C26" s="50">
        <f>IF(D11="","-",+C25+1)</f>
        <v>2023</v>
      </c>
      <c r="D26" s="429">
        <v>3936765.0864902893</v>
      </c>
      <c r="E26" s="430">
        <v>115857.8169047619</v>
      </c>
      <c r="F26" s="429">
        <v>3820907.2695855275</v>
      </c>
      <c r="G26" s="430">
        <v>605858.73237546359</v>
      </c>
      <c r="H26" s="438">
        <v>605858.73237546359</v>
      </c>
      <c r="I26" s="52">
        <f t="shared" si="4"/>
        <v>0</v>
      </c>
      <c r="J26" s="52"/>
      <c r="K26" s="113">
        <f t="shared" ref="K26" si="16">G26</f>
        <v>605858.73237546359</v>
      </c>
      <c r="L26" s="54">
        <f t="shared" ref="L26" si="17">IF(K26&lt;&gt;0,+G26-K26,0)</f>
        <v>0</v>
      </c>
      <c r="M26" s="113">
        <f t="shared" ref="M26" si="18">H26</f>
        <v>605858.73237546359</v>
      </c>
      <c r="N26" s="54">
        <f t="shared" si="5"/>
        <v>0</v>
      </c>
      <c r="O26" s="54">
        <f t="shared" si="6"/>
        <v>0</v>
      </c>
      <c r="P26" s="1"/>
    </row>
    <row r="27" spans="2:16" ht="12.5">
      <c r="B27" s="7" t="str">
        <f t="shared" si="3"/>
        <v/>
      </c>
      <c r="C27" s="50">
        <f>IF(D11="","-",+C26+1)</f>
        <v>2024</v>
      </c>
      <c r="D27" s="429">
        <v>3820907.2695855275</v>
      </c>
      <c r="E27" s="430">
        <v>110591.55249999999</v>
      </c>
      <c r="F27" s="429">
        <v>3710315.7170855273</v>
      </c>
      <c r="G27" s="430">
        <v>560684.29322186462</v>
      </c>
      <c r="H27" s="438">
        <v>560684.29322186462</v>
      </c>
      <c r="I27" s="52">
        <f t="shared" si="4"/>
        <v>0</v>
      </c>
      <c r="J27" s="52"/>
      <c r="K27" s="113">
        <f t="shared" ref="K27" si="19">G27</f>
        <v>560684.29322186462</v>
      </c>
      <c r="L27" s="54">
        <f t="shared" ref="L27" si="20">IF(K27&lt;&gt;0,+G27-K27,0)</f>
        <v>0</v>
      </c>
      <c r="M27" s="113">
        <f t="shared" ref="M27" si="21">H27</f>
        <v>560684.29322186462</v>
      </c>
      <c r="N27" s="54">
        <f t="shared" ref="N27" si="22">IF(M27&lt;&gt;0,+H27-M27,0)</f>
        <v>0</v>
      </c>
      <c r="O27" s="54">
        <f t="shared" ref="O27" si="23">+N27-L27</f>
        <v>0</v>
      </c>
      <c r="P27" s="1"/>
    </row>
    <row r="28" spans="2:16" ht="12.5">
      <c r="B28" s="7" t="str">
        <f t="shared" si="3"/>
        <v/>
      </c>
      <c r="C28" s="50">
        <f>IF(D11="","-",+C27+1)</f>
        <v>2025</v>
      </c>
      <c r="D28" s="55">
        <f>IF(F27+SUM(E$17:E27)=D$10,F27,D$10-SUM(E$17:E27))</f>
        <v>3710315.7170855273</v>
      </c>
      <c r="E28" s="378">
        <f t="shared" ref="E28:E72" si="24">IF(+$I$14&lt;F27,$I$14,D28)</f>
        <v>110591.55249999999</v>
      </c>
      <c r="F28" s="55">
        <f t="shared" ref="F28:F72" si="25">+D28-E28</f>
        <v>3599724.164585527</v>
      </c>
      <c r="G28" s="379">
        <f t="shared" ref="G28:G51" si="26">+I$12*((D28+F28)/2)+E28</f>
        <v>547465.60216637282</v>
      </c>
      <c r="H28" s="364">
        <f t="shared" ref="H28:H51" si="27">+I$13*((D28+F28)/2)+E28</f>
        <v>547465.60216637282</v>
      </c>
      <c r="I28" s="52">
        <f t="shared" si="4"/>
        <v>0</v>
      </c>
      <c r="J28" s="52"/>
      <c r="K28" s="129"/>
      <c r="L28" s="54">
        <f t="shared" ref="L28:L72" si="28">IF(K28&lt;&gt;0,+G28-K28,0)</f>
        <v>0</v>
      </c>
      <c r="M28" s="129"/>
      <c r="N28" s="54">
        <f t="shared" si="5"/>
        <v>0</v>
      </c>
      <c r="O28" s="54">
        <f t="shared" si="6"/>
        <v>0</v>
      </c>
      <c r="P28" s="1"/>
    </row>
    <row r="29" spans="2:16" ht="12.5">
      <c r="B29" s="7" t="str">
        <f t="shared" si="3"/>
        <v/>
      </c>
      <c r="C29" s="50">
        <f>IF(D11="","-",+C28+1)</f>
        <v>2026</v>
      </c>
      <c r="D29" s="55">
        <f>IF(F28+SUM(E$17:E28)=D$10,F28,D$10-SUM(E$17:E28))</f>
        <v>3599724.164585527</v>
      </c>
      <c r="E29" s="378">
        <f t="shared" si="24"/>
        <v>110591.55249999999</v>
      </c>
      <c r="F29" s="55">
        <f t="shared" si="25"/>
        <v>3489132.6120855268</v>
      </c>
      <c r="G29" s="379">
        <f t="shared" si="26"/>
        <v>534246.91111088125</v>
      </c>
      <c r="H29" s="364">
        <f t="shared" si="27"/>
        <v>534246.91111088125</v>
      </c>
      <c r="I29" s="52">
        <f t="shared" si="4"/>
        <v>0</v>
      </c>
      <c r="J29" s="52"/>
      <c r="K29" s="129"/>
      <c r="L29" s="54">
        <f t="shared" si="28"/>
        <v>0</v>
      </c>
      <c r="M29" s="129"/>
      <c r="N29" s="54">
        <f t="shared" si="5"/>
        <v>0</v>
      </c>
      <c r="O29" s="54">
        <f t="shared" si="6"/>
        <v>0</v>
      </c>
      <c r="P29" s="1"/>
    </row>
    <row r="30" spans="2:16" ht="12.5">
      <c r="B30" s="7" t="str">
        <f t="shared" si="3"/>
        <v/>
      </c>
      <c r="C30" s="50">
        <f>IF(D11="","-",+C29+1)</f>
        <v>2027</v>
      </c>
      <c r="D30" s="55">
        <f>IF(F29+SUM(E$17:E29)=D$10,F29,D$10-SUM(E$17:E29))</f>
        <v>3489132.6120855268</v>
      </c>
      <c r="E30" s="378">
        <f t="shared" si="24"/>
        <v>110591.55249999999</v>
      </c>
      <c r="F30" s="55">
        <f t="shared" si="25"/>
        <v>3378541.0595855266</v>
      </c>
      <c r="G30" s="379">
        <f t="shared" si="26"/>
        <v>521028.22005538951</v>
      </c>
      <c r="H30" s="364">
        <f t="shared" si="27"/>
        <v>521028.22005538951</v>
      </c>
      <c r="I30" s="52">
        <f t="shared" si="4"/>
        <v>0</v>
      </c>
      <c r="J30" s="52"/>
      <c r="K30" s="129"/>
      <c r="L30" s="54">
        <f t="shared" si="28"/>
        <v>0</v>
      </c>
      <c r="M30" s="129"/>
      <c r="N30" s="54">
        <f t="shared" si="5"/>
        <v>0</v>
      </c>
      <c r="O30" s="54">
        <f t="shared" si="6"/>
        <v>0</v>
      </c>
      <c r="P30" s="1"/>
    </row>
    <row r="31" spans="2:16" ht="12.5">
      <c r="B31" s="7" t="str">
        <f t="shared" si="3"/>
        <v/>
      </c>
      <c r="C31" s="50">
        <f>IF(D11="","-",+C30+1)</f>
        <v>2028</v>
      </c>
      <c r="D31" s="55">
        <f>IF(F30+SUM(E$17:E30)=D$10,F30,D$10-SUM(E$17:E30))</f>
        <v>3378541.0595855266</v>
      </c>
      <c r="E31" s="378">
        <f t="shared" si="24"/>
        <v>110591.55249999999</v>
      </c>
      <c r="F31" s="55">
        <f t="shared" si="25"/>
        <v>3267949.5070855264</v>
      </c>
      <c r="G31" s="379">
        <f t="shared" si="26"/>
        <v>507809.52899989777</v>
      </c>
      <c r="H31" s="364">
        <f t="shared" si="27"/>
        <v>507809.52899989777</v>
      </c>
      <c r="I31" s="52">
        <f t="shared" si="4"/>
        <v>0</v>
      </c>
      <c r="J31" s="52"/>
      <c r="K31" s="129"/>
      <c r="L31" s="54">
        <f t="shared" si="28"/>
        <v>0</v>
      </c>
      <c r="M31" s="129"/>
      <c r="N31" s="54">
        <f t="shared" si="5"/>
        <v>0</v>
      </c>
      <c r="O31" s="54">
        <f t="shared" si="6"/>
        <v>0</v>
      </c>
      <c r="P31" s="1"/>
    </row>
    <row r="32" spans="2:16" ht="12.5">
      <c r="B32" s="7" t="str">
        <f t="shared" si="3"/>
        <v/>
      </c>
      <c r="C32" s="50">
        <f>IF(D11="","-",+C31+1)</f>
        <v>2029</v>
      </c>
      <c r="D32" s="55">
        <f>IF(F31+SUM(E$17:E31)=D$10,F31,D$10-SUM(E$17:E31))</f>
        <v>3267949.5070855264</v>
      </c>
      <c r="E32" s="378">
        <f t="shared" si="24"/>
        <v>110591.55249999999</v>
      </c>
      <c r="F32" s="55">
        <f t="shared" si="25"/>
        <v>3157357.9545855261</v>
      </c>
      <c r="G32" s="379">
        <f t="shared" si="26"/>
        <v>494590.83794440608</v>
      </c>
      <c r="H32" s="364">
        <f t="shared" si="27"/>
        <v>494590.83794440608</v>
      </c>
      <c r="I32" s="52">
        <f t="shared" si="4"/>
        <v>0</v>
      </c>
      <c r="J32" s="52"/>
      <c r="K32" s="129"/>
      <c r="L32" s="54">
        <f t="shared" si="28"/>
        <v>0</v>
      </c>
      <c r="M32" s="129"/>
      <c r="N32" s="54">
        <f t="shared" si="5"/>
        <v>0</v>
      </c>
      <c r="O32" s="54">
        <f t="shared" si="6"/>
        <v>0</v>
      </c>
      <c r="P32" s="1"/>
    </row>
    <row r="33" spans="2:16" ht="12.5">
      <c r="B33" s="7" t="str">
        <f t="shared" si="3"/>
        <v/>
      </c>
      <c r="C33" s="50">
        <f>IF(D11="","-",+C32+1)</f>
        <v>2030</v>
      </c>
      <c r="D33" s="55">
        <f>IF(F32+SUM(E$17:E32)=D$10,F32,D$10-SUM(E$17:E32))</f>
        <v>3157357.9545855261</v>
      </c>
      <c r="E33" s="378">
        <f t="shared" si="24"/>
        <v>110591.55249999999</v>
      </c>
      <c r="F33" s="55">
        <f t="shared" si="25"/>
        <v>3046766.4020855259</v>
      </c>
      <c r="G33" s="379">
        <f t="shared" si="26"/>
        <v>481372.1468889144</v>
      </c>
      <c r="H33" s="364">
        <f t="shared" si="27"/>
        <v>481372.1468889144</v>
      </c>
      <c r="I33" s="52">
        <f t="shared" si="4"/>
        <v>0</v>
      </c>
      <c r="J33" s="52"/>
      <c r="K33" s="129"/>
      <c r="L33" s="54">
        <f t="shared" si="28"/>
        <v>0</v>
      </c>
      <c r="M33" s="129"/>
      <c r="N33" s="54">
        <f t="shared" si="5"/>
        <v>0</v>
      </c>
      <c r="O33" s="54">
        <f t="shared" si="6"/>
        <v>0</v>
      </c>
      <c r="P33" s="1"/>
    </row>
    <row r="34" spans="2:16" ht="12.5">
      <c r="B34" s="7" t="str">
        <f t="shared" si="3"/>
        <v/>
      </c>
      <c r="C34" s="50">
        <f>IF(D11="","-",+C33+1)</f>
        <v>2031</v>
      </c>
      <c r="D34" s="55">
        <f>IF(F33+SUM(E$17:E33)=D$10,F33,D$10-SUM(E$17:E33))</f>
        <v>3046766.4020855259</v>
      </c>
      <c r="E34" s="378">
        <f t="shared" si="24"/>
        <v>110591.55249999999</v>
      </c>
      <c r="F34" s="55">
        <f t="shared" si="25"/>
        <v>2936174.8495855257</v>
      </c>
      <c r="G34" s="379">
        <f t="shared" si="26"/>
        <v>468153.45583342272</v>
      </c>
      <c r="H34" s="364">
        <f t="shared" si="27"/>
        <v>468153.45583342272</v>
      </c>
      <c r="I34" s="52">
        <f t="shared" si="4"/>
        <v>0</v>
      </c>
      <c r="J34" s="52"/>
      <c r="K34" s="129"/>
      <c r="L34" s="54">
        <f t="shared" si="28"/>
        <v>0</v>
      </c>
      <c r="M34" s="129"/>
      <c r="N34" s="54">
        <f t="shared" si="5"/>
        <v>0</v>
      </c>
      <c r="O34" s="54">
        <f t="shared" si="6"/>
        <v>0</v>
      </c>
      <c r="P34" s="1"/>
    </row>
    <row r="35" spans="2:16" ht="12.5">
      <c r="B35" s="7" t="str">
        <f t="shared" si="3"/>
        <v/>
      </c>
      <c r="C35" s="50">
        <f>IF(D11="","-",+C34+1)</f>
        <v>2032</v>
      </c>
      <c r="D35" s="55">
        <f>IF(F34+SUM(E$17:E34)=D$10,F34,D$10-SUM(E$17:E34))</f>
        <v>2936174.8495855257</v>
      </c>
      <c r="E35" s="378">
        <f t="shared" si="24"/>
        <v>110591.55249999999</v>
      </c>
      <c r="F35" s="55">
        <f t="shared" si="25"/>
        <v>2825583.2970855255</v>
      </c>
      <c r="G35" s="379">
        <f t="shared" si="26"/>
        <v>454934.76477793098</v>
      </c>
      <c r="H35" s="364">
        <f t="shared" si="27"/>
        <v>454934.76477793098</v>
      </c>
      <c r="I35" s="52">
        <f t="shared" si="4"/>
        <v>0</v>
      </c>
      <c r="J35" s="52"/>
      <c r="K35" s="129"/>
      <c r="L35" s="54">
        <f t="shared" si="28"/>
        <v>0</v>
      </c>
      <c r="M35" s="129"/>
      <c r="N35" s="54">
        <f t="shared" si="5"/>
        <v>0</v>
      </c>
      <c r="O35" s="54">
        <f t="shared" si="6"/>
        <v>0</v>
      </c>
      <c r="P35" s="1"/>
    </row>
    <row r="36" spans="2:16" ht="12.5">
      <c r="B36" s="7" t="str">
        <f t="shared" si="3"/>
        <v/>
      </c>
      <c r="C36" s="50">
        <f>IF(D11="","-",+C35+1)</f>
        <v>2033</v>
      </c>
      <c r="D36" s="55">
        <f>IF(F35+SUM(E$17:E35)=D$10,F35,D$10-SUM(E$17:E35))</f>
        <v>2825583.2970855255</v>
      </c>
      <c r="E36" s="378">
        <f t="shared" si="24"/>
        <v>110591.55249999999</v>
      </c>
      <c r="F36" s="55">
        <f t="shared" si="25"/>
        <v>2714991.7445855252</v>
      </c>
      <c r="G36" s="379">
        <f t="shared" si="26"/>
        <v>441716.07372243929</v>
      </c>
      <c r="H36" s="364">
        <f t="shared" si="27"/>
        <v>441716.07372243929</v>
      </c>
      <c r="I36" s="52">
        <f t="shared" si="4"/>
        <v>0</v>
      </c>
      <c r="J36" s="52"/>
      <c r="K36" s="129"/>
      <c r="L36" s="54">
        <f t="shared" si="28"/>
        <v>0</v>
      </c>
      <c r="M36" s="129"/>
      <c r="N36" s="54">
        <f t="shared" si="5"/>
        <v>0</v>
      </c>
      <c r="O36" s="54">
        <f t="shared" si="6"/>
        <v>0</v>
      </c>
      <c r="P36" s="1"/>
    </row>
    <row r="37" spans="2:16" ht="12.5">
      <c r="B37" s="7" t="str">
        <f t="shared" si="3"/>
        <v/>
      </c>
      <c r="C37" s="50">
        <f>IF(D11="","-",+C36+1)</f>
        <v>2034</v>
      </c>
      <c r="D37" s="55">
        <f>IF(F36+SUM(E$17:E36)=D$10,F36,D$10-SUM(E$17:E36))</f>
        <v>2714991.7445855252</v>
      </c>
      <c r="E37" s="378">
        <f t="shared" si="24"/>
        <v>110591.55249999999</v>
      </c>
      <c r="F37" s="55">
        <f t="shared" si="25"/>
        <v>2604400.192085525</v>
      </c>
      <c r="G37" s="379">
        <f t="shared" si="26"/>
        <v>428497.38266694761</v>
      </c>
      <c r="H37" s="364">
        <f t="shared" si="27"/>
        <v>428497.38266694761</v>
      </c>
      <c r="I37" s="52">
        <f t="shared" si="4"/>
        <v>0</v>
      </c>
      <c r="J37" s="52"/>
      <c r="K37" s="129"/>
      <c r="L37" s="54">
        <f t="shared" si="28"/>
        <v>0</v>
      </c>
      <c r="M37" s="129"/>
      <c r="N37" s="54">
        <f t="shared" si="5"/>
        <v>0</v>
      </c>
      <c r="O37" s="54">
        <f t="shared" si="6"/>
        <v>0</v>
      </c>
      <c r="P37" s="1"/>
    </row>
    <row r="38" spans="2:16" ht="12.5">
      <c r="B38" s="7" t="str">
        <f t="shared" si="3"/>
        <v/>
      </c>
      <c r="C38" s="50">
        <f>IF(D11="","-",+C37+1)</f>
        <v>2035</v>
      </c>
      <c r="D38" s="55">
        <f>IF(F37+SUM(E$17:E37)=D$10,F37,D$10-SUM(E$17:E37))</f>
        <v>2604400.192085525</v>
      </c>
      <c r="E38" s="378">
        <f t="shared" si="24"/>
        <v>110591.55249999999</v>
      </c>
      <c r="F38" s="55">
        <f t="shared" si="25"/>
        <v>2493808.6395855248</v>
      </c>
      <c r="G38" s="379">
        <f t="shared" si="26"/>
        <v>415278.69161145587</v>
      </c>
      <c r="H38" s="364">
        <f t="shared" si="27"/>
        <v>415278.69161145587</v>
      </c>
      <c r="I38" s="52">
        <f t="shared" si="4"/>
        <v>0</v>
      </c>
      <c r="J38" s="52"/>
      <c r="K38" s="129"/>
      <c r="L38" s="54">
        <f t="shared" si="28"/>
        <v>0</v>
      </c>
      <c r="M38" s="129"/>
      <c r="N38" s="54">
        <f t="shared" si="5"/>
        <v>0</v>
      </c>
      <c r="O38" s="54">
        <f t="shared" si="6"/>
        <v>0</v>
      </c>
      <c r="P38" s="1"/>
    </row>
    <row r="39" spans="2:16" ht="12.5">
      <c r="B39" s="7" t="str">
        <f t="shared" si="3"/>
        <v/>
      </c>
      <c r="C39" s="50">
        <f>IF(D11="","-",+C38+1)</f>
        <v>2036</v>
      </c>
      <c r="D39" s="55">
        <f>IF(F38+SUM(E$17:E38)=D$10,F38,D$10-SUM(E$17:E38))</f>
        <v>2493808.6395855248</v>
      </c>
      <c r="E39" s="378">
        <f t="shared" si="24"/>
        <v>110591.55249999999</v>
      </c>
      <c r="F39" s="55">
        <f t="shared" si="25"/>
        <v>2383217.0870855246</v>
      </c>
      <c r="G39" s="379">
        <f t="shared" si="26"/>
        <v>402060.00055596419</v>
      </c>
      <c r="H39" s="364">
        <f t="shared" si="27"/>
        <v>402060.00055596419</v>
      </c>
      <c r="I39" s="52">
        <f t="shared" si="4"/>
        <v>0</v>
      </c>
      <c r="J39" s="52"/>
      <c r="K39" s="129"/>
      <c r="L39" s="54">
        <f t="shared" si="28"/>
        <v>0</v>
      </c>
      <c r="M39" s="129"/>
      <c r="N39" s="54">
        <f t="shared" si="5"/>
        <v>0</v>
      </c>
      <c r="O39" s="54">
        <f t="shared" si="6"/>
        <v>0</v>
      </c>
      <c r="P39" s="1"/>
    </row>
    <row r="40" spans="2:16" ht="12.5">
      <c r="B40" s="7" t="str">
        <f t="shared" si="3"/>
        <v/>
      </c>
      <c r="C40" s="50">
        <f>IF(D11="","-",+C39+1)</f>
        <v>2037</v>
      </c>
      <c r="D40" s="55">
        <f>IF(F39+SUM(E$17:E39)=D$10,F39,D$10-SUM(E$17:E39))</f>
        <v>2383217.0870855246</v>
      </c>
      <c r="E40" s="378">
        <f t="shared" si="24"/>
        <v>110591.55249999999</v>
      </c>
      <c r="F40" s="55">
        <f t="shared" si="25"/>
        <v>2272625.5345855244</v>
      </c>
      <c r="G40" s="379">
        <f t="shared" si="26"/>
        <v>388841.3095004725</v>
      </c>
      <c r="H40" s="364">
        <f t="shared" si="27"/>
        <v>388841.3095004725</v>
      </c>
      <c r="I40" s="52">
        <f t="shared" si="4"/>
        <v>0</v>
      </c>
      <c r="J40" s="52"/>
      <c r="K40" s="129"/>
      <c r="L40" s="54">
        <f t="shared" si="28"/>
        <v>0</v>
      </c>
      <c r="M40" s="129"/>
      <c r="N40" s="54">
        <f t="shared" si="5"/>
        <v>0</v>
      </c>
      <c r="O40" s="54">
        <f t="shared" si="6"/>
        <v>0</v>
      </c>
      <c r="P40" s="1"/>
    </row>
    <row r="41" spans="2:16" ht="12.5">
      <c r="B41" s="7" t="str">
        <f t="shared" si="3"/>
        <v/>
      </c>
      <c r="C41" s="50">
        <f>IF(D11="","-",+C40+1)</f>
        <v>2038</v>
      </c>
      <c r="D41" s="55">
        <f>IF(F40+SUM(E$17:E40)=D$10,F40,D$10-SUM(E$17:E40))</f>
        <v>2272625.5345855244</v>
      </c>
      <c r="E41" s="378">
        <f t="shared" si="24"/>
        <v>110591.55249999999</v>
      </c>
      <c r="F41" s="55">
        <f t="shared" si="25"/>
        <v>2162033.9820855241</v>
      </c>
      <c r="G41" s="379">
        <f t="shared" si="26"/>
        <v>375622.61844498082</v>
      </c>
      <c r="H41" s="364">
        <f t="shared" si="27"/>
        <v>375622.61844498082</v>
      </c>
      <c r="I41" s="52">
        <f t="shared" si="4"/>
        <v>0</v>
      </c>
      <c r="J41" s="52"/>
      <c r="K41" s="129"/>
      <c r="L41" s="54">
        <f t="shared" si="28"/>
        <v>0</v>
      </c>
      <c r="M41" s="129"/>
      <c r="N41" s="54">
        <f t="shared" si="5"/>
        <v>0</v>
      </c>
      <c r="O41" s="54">
        <f t="shared" si="6"/>
        <v>0</v>
      </c>
      <c r="P41" s="1"/>
    </row>
    <row r="42" spans="2:16" ht="12.5">
      <c r="B42" s="7" t="str">
        <f t="shared" si="3"/>
        <v/>
      </c>
      <c r="C42" s="50">
        <f>IF(D11="","-",+C41+1)</f>
        <v>2039</v>
      </c>
      <c r="D42" s="55">
        <f>IF(F41+SUM(E$17:E41)=D$10,F41,D$10-SUM(E$17:E41))</f>
        <v>2162033.9820855241</v>
      </c>
      <c r="E42" s="378">
        <f t="shared" si="24"/>
        <v>110591.55249999999</v>
      </c>
      <c r="F42" s="55">
        <f t="shared" si="25"/>
        <v>2051442.4295855241</v>
      </c>
      <c r="G42" s="379">
        <f t="shared" si="26"/>
        <v>362403.92738948914</v>
      </c>
      <c r="H42" s="364">
        <f t="shared" si="27"/>
        <v>362403.92738948914</v>
      </c>
      <c r="I42" s="52">
        <f t="shared" si="4"/>
        <v>0</v>
      </c>
      <c r="J42" s="52"/>
      <c r="K42" s="129"/>
      <c r="L42" s="54">
        <f t="shared" si="28"/>
        <v>0</v>
      </c>
      <c r="M42" s="129"/>
      <c r="N42" s="54">
        <f t="shared" si="5"/>
        <v>0</v>
      </c>
      <c r="O42" s="54">
        <f t="shared" si="6"/>
        <v>0</v>
      </c>
      <c r="P42" s="1"/>
    </row>
    <row r="43" spans="2:16" ht="12.5">
      <c r="B43" s="7" t="str">
        <f t="shared" si="3"/>
        <v/>
      </c>
      <c r="C43" s="50">
        <f>IF(D11="","-",+C42+1)</f>
        <v>2040</v>
      </c>
      <c r="D43" s="55">
        <f>IF(F42+SUM(E$17:E42)=D$10,F42,D$10-SUM(E$17:E42))</f>
        <v>2051442.4295855241</v>
      </c>
      <c r="E43" s="378">
        <f t="shared" si="24"/>
        <v>110591.55249999999</v>
      </c>
      <c r="F43" s="55">
        <f t="shared" si="25"/>
        <v>1940850.8770855241</v>
      </c>
      <c r="G43" s="379">
        <f t="shared" si="26"/>
        <v>349185.23633399745</v>
      </c>
      <c r="H43" s="364">
        <f t="shared" si="27"/>
        <v>349185.23633399745</v>
      </c>
      <c r="I43" s="52">
        <f t="shared" si="4"/>
        <v>0</v>
      </c>
      <c r="J43" s="52"/>
      <c r="K43" s="129"/>
      <c r="L43" s="54">
        <f t="shared" si="28"/>
        <v>0</v>
      </c>
      <c r="M43" s="129"/>
      <c r="N43" s="54">
        <f t="shared" si="5"/>
        <v>0</v>
      </c>
      <c r="O43" s="54">
        <f t="shared" si="6"/>
        <v>0</v>
      </c>
      <c r="P43" s="1"/>
    </row>
    <row r="44" spans="2:16" ht="12.5">
      <c r="B44" s="7" t="str">
        <f t="shared" si="3"/>
        <v/>
      </c>
      <c r="C44" s="50">
        <f>IF(D11="","-",+C43+1)</f>
        <v>2041</v>
      </c>
      <c r="D44" s="55">
        <f>IF(F43+SUM(E$17:E43)=D$10,F43,D$10-SUM(E$17:E43))</f>
        <v>1940850.8770855241</v>
      </c>
      <c r="E44" s="378">
        <f t="shared" si="24"/>
        <v>110591.55249999999</v>
      </c>
      <c r="F44" s="55">
        <f t="shared" si="25"/>
        <v>1830259.3245855242</v>
      </c>
      <c r="G44" s="379">
        <f t="shared" si="26"/>
        <v>335966.54527850577</v>
      </c>
      <c r="H44" s="364">
        <f t="shared" si="27"/>
        <v>335966.54527850577</v>
      </c>
      <c r="I44" s="52">
        <f t="shared" si="4"/>
        <v>0</v>
      </c>
      <c r="J44" s="52"/>
      <c r="K44" s="129"/>
      <c r="L44" s="54">
        <f t="shared" si="28"/>
        <v>0</v>
      </c>
      <c r="M44" s="129"/>
      <c r="N44" s="54">
        <f t="shared" si="5"/>
        <v>0</v>
      </c>
      <c r="O44" s="54">
        <f t="shared" si="6"/>
        <v>0</v>
      </c>
      <c r="P44" s="1"/>
    </row>
    <row r="45" spans="2:16" ht="12.5">
      <c r="B45" s="7" t="str">
        <f t="shared" si="3"/>
        <v/>
      </c>
      <c r="C45" s="50">
        <f>IF(D11="","-",+C44+1)</f>
        <v>2042</v>
      </c>
      <c r="D45" s="55">
        <f>IF(F44+SUM(E$17:E44)=D$10,F44,D$10-SUM(E$17:E44))</f>
        <v>1830259.3245855242</v>
      </c>
      <c r="E45" s="378">
        <f t="shared" si="24"/>
        <v>110591.55249999999</v>
      </c>
      <c r="F45" s="55">
        <f t="shared" si="25"/>
        <v>1719667.7720855242</v>
      </c>
      <c r="G45" s="379">
        <f t="shared" si="26"/>
        <v>322747.85422301409</v>
      </c>
      <c r="H45" s="364">
        <f t="shared" si="27"/>
        <v>322747.85422301409</v>
      </c>
      <c r="I45" s="52">
        <f t="shared" si="4"/>
        <v>0</v>
      </c>
      <c r="J45" s="52"/>
      <c r="K45" s="129"/>
      <c r="L45" s="54">
        <f t="shared" si="28"/>
        <v>0</v>
      </c>
      <c r="M45" s="129"/>
      <c r="N45" s="54">
        <f t="shared" si="5"/>
        <v>0</v>
      </c>
      <c r="O45" s="54">
        <f t="shared" si="6"/>
        <v>0</v>
      </c>
      <c r="P45" s="1"/>
    </row>
    <row r="46" spans="2:16" ht="12.5">
      <c r="B46" s="7" t="str">
        <f t="shared" si="3"/>
        <v/>
      </c>
      <c r="C46" s="50">
        <f>IF(D11="","-",+C45+1)</f>
        <v>2043</v>
      </c>
      <c r="D46" s="55">
        <f>IF(F45+SUM(E$17:E45)=D$10,F45,D$10-SUM(E$17:E45))</f>
        <v>1719667.7720855242</v>
      </c>
      <c r="E46" s="378">
        <f t="shared" si="24"/>
        <v>110591.55249999999</v>
      </c>
      <c r="F46" s="55">
        <f t="shared" si="25"/>
        <v>1609076.2195855242</v>
      </c>
      <c r="G46" s="379">
        <f t="shared" si="26"/>
        <v>309529.16316752241</v>
      </c>
      <c r="H46" s="364">
        <f t="shared" si="27"/>
        <v>309529.16316752241</v>
      </c>
      <c r="I46" s="52">
        <f t="shared" si="4"/>
        <v>0</v>
      </c>
      <c r="J46" s="52"/>
      <c r="K46" s="129"/>
      <c r="L46" s="54">
        <f t="shared" si="28"/>
        <v>0</v>
      </c>
      <c r="M46" s="129"/>
      <c r="N46" s="54">
        <f t="shared" si="5"/>
        <v>0</v>
      </c>
      <c r="O46" s="54">
        <f t="shared" si="6"/>
        <v>0</v>
      </c>
      <c r="P46" s="1"/>
    </row>
    <row r="47" spans="2:16" ht="12.5">
      <c r="B47" s="7" t="str">
        <f t="shared" si="3"/>
        <v/>
      </c>
      <c r="C47" s="50">
        <f>IF(D11="","-",+C46+1)</f>
        <v>2044</v>
      </c>
      <c r="D47" s="55">
        <f>IF(F46+SUM(E$17:E46)=D$10,F46,D$10-SUM(E$17:E46))</f>
        <v>1609076.2195855242</v>
      </c>
      <c r="E47" s="378">
        <f t="shared" si="24"/>
        <v>110591.55249999999</v>
      </c>
      <c r="F47" s="55">
        <f t="shared" si="25"/>
        <v>1498484.6670855242</v>
      </c>
      <c r="G47" s="379">
        <f t="shared" si="26"/>
        <v>296310.47211203072</v>
      </c>
      <c r="H47" s="364">
        <f t="shared" si="27"/>
        <v>296310.47211203072</v>
      </c>
      <c r="I47" s="52">
        <f t="shared" si="4"/>
        <v>0</v>
      </c>
      <c r="J47" s="52"/>
      <c r="K47" s="129"/>
      <c r="L47" s="54">
        <f t="shared" si="28"/>
        <v>0</v>
      </c>
      <c r="M47" s="129"/>
      <c r="N47" s="54">
        <f t="shared" si="5"/>
        <v>0</v>
      </c>
      <c r="O47" s="54">
        <f t="shared" si="6"/>
        <v>0</v>
      </c>
      <c r="P47" s="1"/>
    </row>
    <row r="48" spans="2:16" ht="12.5">
      <c r="B48" s="7" t="str">
        <f t="shared" si="3"/>
        <v/>
      </c>
      <c r="C48" s="50">
        <f>IF(D11="","-",+C47+1)</f>
        <v>2045</v>
      </c>
      <c r="D48" s="55">
        <f>IF(F47+SUM(E$17:E47)=D$10,F47,D$10-SUM(E$17:E47))</f>
        <v>1498484.6670855242</v>
      </c>
      <c r="E48" s="378">
        <f t="shared" si="24"/>
        <v>110591.55249999999</v>
      </c>
      <c r="F48" s="55">
        <f t="shared" si="25"/>
        <v>1387893.1145855242</v>
      </c>
      <c r="G48" s="379">
        <f t="shared" si="26"/>
        <v>283091.78105653904</v>
      </c>
      <c r="H48" s="364">
        <f t="shared" si="27"/>
        <v>283091.78105653904</v>
      </c>
      <c r="I48" s="52">
        <f t="shared" si="4"/>
        <v>0</v>
      </c>
      <c r="J48" s="52"/>
      <c r="K48" s="129"/>
      <c r="L48" s="54">
        <f t="shared" si="28"/>
        <v>0</v>
      </c>
      <c r="M48" s="129"/>
      <c r="N48" s="54">
        <f t="shared" si="5"/>
        <v>0</v>
      </c>
      <c r="O48" s="54">
        <f t="shared" si="6"/>
        <v>0</v>
      </c>
      <c r="P48" s="1"/>
    </row>
    <row r="49" spans="2:16" ht="12.5">
      <c r="B49" s="7" t="str">
        <f t="shared" si="3"/>
        <v/>
      </c>
      <c r="C49" s="50">
        <f>IF(D11="","-",+C48+1)</f>
        <v>2046</v>
      </c>
      <c r="D49" s="55">
        <f>IF(F48+SUM(E$17:E48)=D$10,F48,D$10-SUM(E$17:E48))</f>
        <v>1387893.1145855242</v>
      </c>
      <c r="E49" s="378">
        <f t="shared" si="24"/>
        <v>110591.55249999999</v>
      </c>
      <c r="F49" s="55">
        <f t="shared" si="25"/>
        <v>1277301.5620855242</v>
      </c>
      <c r="G49" s="379">
        <f t="shared" si="26"/>
        <v>269873.09000104741</v>
      </c>
      <c r="H49" s="364">
        <f t="shared" si="27"/>
        <v>269873.09000104741</v>
      </c>
      <c r="I49" s="52">
        <f t="shared" si="4"/>
        <v>0</v>
      </c>
      <c r="J49" s="52"/>
      <c r="K49" s="129"/>
      <c r="L49" s="54">
        <f t="shared" si="28"/>
        <v>0</v>
      </c>
      <c r="M49" s="129"/>
      <c r="N49" s="54">
        <f t="shared" si="5"/>
        <v>0</v>
      </c>
      <c r="O49" s="54">
        <f t="shared" si="6"/>
        <v>0</v>
      </c>
      <c r="P49" s="1"/>
    </row>
    <row r="50" spans="2:16" ht="12.5">
      <c r="B50" s="7" t="str">
        <f t="shared" si="3"/>
        <v/>
      </c>
      <c r="C50" s="50">
        <f>IF(D11="","-",+C49+1)</f>
        <v>2047</v>
      </c>
      <c r="D50" s="55">
        <f>IF(F49+SUM(E$17:E49)=D$10,F49,D$10-SUM(E$17:E49))</f>
        <v>1277301.5620855242</v>
      </c>
      <c r="E50" s="378">
        <f t="shared" si="24"/>
        <v>110591.55249999999</v>
      </c>
      <c r="F50" s="55">
        <f t="shared" si="25"/>
        <v>1166710.0095855242</v>
      </c>
      <c r="G50" s="379">
        <f t="shared" si="26"/>
        <v>256654.39894555573</v>
      </c>
      <c r="H50" s="364">
        <f t="shared" si="27"/>
        <v>256654.39894555573</v>
      </c>
      <c r="I50" s="52">
        <f t="shared" si="4"/>
        <v>0</v>
      </c>
      <c r="J50" s="52"/>
      <c r="K50" s="129"/>
      <c r="L50" s="54">
        <f t="shared" si="28"/>
        <v>0</v>
      </c>
      <c r="M50" s="129"/>
      <c r="N50" s="54">
        <f t="shared" si="5"/>
        <v>0</v>
      </c>
      <c r="O50" s="54">
        <f t="shared" si="6"/>
        <v>0</v>
      </c>
      <c r="P50" s="1"/>
    </row>
    <row r="51" spans="2:16" ht="12.5">
      <c r="B51" s="7" t="str">
        <f t="shared" si="3"/>
        <v/>
      </c>
      <c r="C51" s="50">
        <f>IF(D11="","-",+C50+1)</f>
        <v>2048</v>
      </c>
      <c r="D51" s="55">
        <f>IF(F50+SUM(E$17:E50)=D$10,F50,D$10-SUM(E$17:E50))</f>
        <v>1166710.0095855242</v>
      </c>
      <c r="E51" s="378">
        <f t="shared" si="24"/>
        <v>110591.55249999999</v>
      </c>
      <c r="F51" s="55">
        <f t="shared" si="25"/>
        <v>1056118.4570855242</v>
      </c>
      <c r="G51" s="379">
        <f t="shared" si="26"/>
        <v>243435.70789006408</v>
      </c>
      <c r="H51" s="364">
        <f t="shared" si="27"/>
        <v>243435.70789006408</v>
      </c>
      <c r="I51" s="52">
        <f t="shared" si="4"/>
        <v>0</v>
      </c>
      <c r="J51" s="52"/>
      <c r="K51" s="129"/>
      <c r="L51" s="54">
        <f t="shared" si="28"/>
        <v>0</v>
      </c>
      <c r="M51" s="129"/>
      <c r="N51" s="54">
        <f t="shared" si="5"/>
        <v>0</v>
      </c>
      <c r="O51" s="54">
        <f t="shared" si="6"/>
        <v>0</v>
      </c>
      <c r="P51" s="1"/>
    </row>
    <row r="52" spans="2:16" ht="12.5">
      <c r="B52" s="7" t="str">
        <f t="shared" si="3"/>
        <v/>
      </c>
      <c r="C52" s="50">
        <f>IF(D11="","-",+C51+1)</f>
        <v>2049</v>
      </c>
      <c r="D52" s="55">
        <f>IF(F51+SUM(E$17:E51)=D$10,F51,D$10-SUM(E$17:E51))</f>
        <v>1056118.4570855242</v>
      </c>
      <c r="E52" s="378">
        <f t="shared" si="24"/>
        <v>110591.55249999999</v>
      </c>
      <c r="F52" s="55">
        <f t="shared" si="25"/>
        <v>945526.90458552423</v>
      </c>
      <c r="G52" s="379">
        <f t="shared" ref="G52:G72" si="29">+I$12*((D52+F52)/2)+E52</f>
        <v>230217.01683457239</v>
      </c>
      <c r="H52" s="364">
        <f t="shared" ref="H52:H72" si="30">+I$13*((D52+F52)/2)+E52</f>
        <v>230217.01683457239</v>
      </c>
      <c r="I52" s="52">
        <f t="shared" si="4"/>
        <v>0</v>
      </c>
      <c r="J52" s="52"/>
      <c r="K52" s="129"/>
      <c r="L52" s="54">
        <f t="shared" si="28"/>
        <v>0</v>
      </c>
      <c r="M52" s="129"/>
      <c r="N52" s="54">
        <f t="shared" si="5"/>
        <v>0</v>
      </c>
      <c r="O52" s="54">
        <f t="shared" si="6"/>
        <v>0</v>
      </c>
      <c r="P52" s="1"/>
    </row>
    <row r="53" spans="2:16" ht="12.5">
      <c r="B53" s="7" t="str">
        <f t="shared" si="3"/>
        <v/>
      </c>
      <c r="C53" s="50">
        <f>IF(D11="","-",+C52+1)</f>
        <v>2050</v>
      </c>
      <c r="D53" s="55">
        <f>IF(F52+SUM(E$17:E52)=D$10,F52,D$10-SUM(E$17:E52))</f>
        <v>945526.90458552423</v>
      </c>
      <c r="E53" s="378">
        <f t="shared" si="24"/>
        <v>110591.55249999999</v>
      </c>
      <c r="F53" s="55">
        <f t="shared" si="25"/>
        <v>834935.35208552424</v>
      </c>
      <c r="G53" s="379">
        <f t="shared" si="29"/>
        <v>216998.32577908074</v>
      </c>
      <c r="H53" s="364">
        <f t="shared" si="30"/>
        <v>216998.32577908074</v>
      </c>
      <c r="I53" s="52">
        <f t="shared" si="4"/>
        <v>0</v>
      </c>
      <c r="J53" s="52"/>
      <c r="K53" s="129"/>
      <c r="L53" s="54">
        <f t="shared" si="28"/>
        <v>0</v>
      </c>
      <c r="M53" s="129"/>
      <c r="N53" s="54">
        <f t="shared" si="5"/>
        <v>0</v>
      </c>
      <c r="O53" s="54">
        <f t="shared" si="6"/>
        <v>0</v>
      </c>
      <c r="P53" s="1"/>
    </row>
    <row r="54" spans="2:16" ht="12.5">
      <c r="B54" s="7" t="str">
        <f t="shared" si="3"/>
        <v/>
      </c>
      <c r="C54" s="50">
        <f>IF(D11="","-",+C53+1)</f>
        <v>2051</v>
      </c>
      <c r="D54" s="55">
        <f>IF(F53+SUM(E$17:E53)=D$10,F53,D$10-SUM(E$17:E53))</f>
        <v>834935.35208552424</v>
      </c>
      <c r="E54" s="378">
        <f t="shared" si="24"/>
        <v>110591.55249999999</v>
      </c>
      <c r="F54" s="55">
        <f t="shared" si="25"/>
        <v>724343.79958552425</v>
      </c>
      <c r="G54" s="379">
        <f t="shared" si="29"/>
        <v>203779.63472358906</v>
      </c>
      <c r="H54" s="364">
        <f t="shared" si="30"/>
        <v>203779.63472358906</v>
      </c>
      <c r="I54" s="52">
        <f t="shared" si="4"/>
        <v>0</v>
      </c>
      <c r="J54" s="52"/>
      <c r="K54" s="129"/>
      <c r="L54" s="54">
        <f t="shared" si="28"/>
        <v>0</v>
      </c>
      <c r="M54" s="129"/>
      <c r="N54" s="54">
        <f t="shared" si="5"/>
        <v>0</v>
      </c>
      <c r="O54" s="54">
        <f t="shared" si="6"/>
        <v>0</v>
      </c>
      <c r="P54" s="1"/>
    </row>
    <row r="55" spans="2:16" ht="12.5">
      <c r="B55" s="7" t="str">
        <f t="shared" si="3"/>
        <v/>
      </c>
      <c r="C55" s="50">
        <f>IF(D11="","-",+C54+1)</f>
        <v>2052</v>
      </c>
      <c r="D55" s="55">
        <f>IF(F54+SUM(E$17:E54)=D$10,F54,D$10-SUM(E$17:E54))</f>
        <v>724343.79958552425</v>
      </c>
      <c r="E55" s="378">
        <f t="shared" si="24"/>
        <v>110591.55249999999</v>
      </c>
      <c r="F55" s="55">
        <f t="shared" si="25"/>
        <v>613752.24708552426</v>
      </c>
      <c r="G55" s="379">
        <f t="shared" si="29"/>
        <v>190560.94366809737</v>
      </c>
      <c r="H55" s="364">
        <f t="shared" si="30"/>
        <v>190560.94366809737</v>
      </c>
      <c r="I55" s="52">
        <f t="shared" si="4"/>
        <v>0</v>
      </c>
      <c r="J55" s="52"/>
      <c r="K55" s="129"/>
      <c r="L55" s="54">
        <f t="shared" si="28"/>
        <v>0</v>
      </c>
      <c r="M55" s="129"/>
      <c r="N55" s="54">
        <f t="shared" si="5"/>
        <v>0</v>
      </c>
      <c r="O55" s="54">
        <f t="shared" si="6"/>
        <v>0</v>
      </c>
      <c r="P55" s="1"/>
    </row>
    <row r="56" spans="2:16" ht="12.5">
      <c r="B56" s="7" t="str">
        <f t="shared" si="3"/>
        <v/>
      </c>
      <c r="C56" s="50">
        <f>IF(D11="","-",+C55+1)</f>
        <v>2053</v>
      </c>
      <c r="D56" s="55">
        <f>IF(F55+SUM(E$17:E55)=D$10,F55,D$10-SUM(E$17:E55))</f>
        <v>613752.24708552426</v>
      </c>
      <c r="E56" s="378">
        <f t="shared" si="24"/>
        <v>110591.55249999999</v>
      </c>
      <c r="F56" s="55">
        <f t="shared" si="25"/>
        <v>503160.69458552427</v>
      </c>
      <c r="G56" s="379">
        <f t="shared" si="29"/>
        <v>177342.25261260569</v>
      </c>
      <c r="H56" s="364">
        <f t="shared" si="30"/>
        <v>177342.25261260569</v>
      </c>
      <c r="I56" s="52">
        <f t="shared" si="4"/>
        <v>0</v>
      </c>
      <c r="J56" s="52"/>
      <c r="K56" s="129"/>
      <c r="L56" s="54">
        <f t="shared" si="28"/>
        <v>0</v>
      </c>
      <c r="M56" s="129"/>
      <c r="N56" s="54">
        <f t="shared" si="5"/>
        <v>0</v>
      </c>
      <c r="O56" s="54">
        <f t="shared" si="6"/>
        <v>0</v>
      </c>
      <c r="P56" s="1"/>
    </row>
    <row r="57" spans="2:16" ht="12.5">
      <c r="B57" s="7" t="str">
        <f t="shared" si="3"/>
        <v/>
      </c>
      <c r="C57" s="50">
        <f>IF(D11="","-",+C56+1)</f>
        <v>2054</v>
      </c>
      <c r="D57" s="55">
        <f>IF(F56+SUM(E$17:E56)=D$10,F56,D$10-SUM(E$17:E56))</f>
        <v>503160.69458552427</v>
      </c>
      <c r="E57" s="378">
        <f t="shared" si="24"/>
        <v>110591.55249999999</v>
      </c>
      <c r="F57" s="55">
        <f t="shared" si="25"/>
        <v>392569.14208552428</v>
      </c>
      <c r="G57" s="379">
        <f t="shared" si="29"/>
        <v>164123.56155711404</v>
      </c>
      <c r="H57" s="364">
        <f t="shared" si="30"/>
        <v>164123.56155711404</v>
      </c>
      <c r="I57" s="52">
        <f t="shared" si="4"/>
        <v>0</v>
      </c>
      <c r="J57" s="52"/>
      <c r="K57" s="129"/>
      <c r="L57" s="54">
        <f t="shared" si="28"/>
        <v>0</v>
      </c>
      <c r="M57" s="129"/>
      <c r="N57" s="54">
        <f t="shared" si="5"/>
        <v>0</v>
      </c>
      <c r="O57" s="54">
        <f t="shared" si="6"/>
        <v>0</v>
      </c>
      <c r="P57" s="1"/>
    </row>
    <row r="58" spans="2:16" ht="12.5">
      <c r="B58" s="7" t="str">
        <f t="shared" si="3"/>
        <v/>
      </c>
      <c r="C58" s="50">
        <f>IF(D11="","-",+C57+1)</f>
        <v>2055</v>
      </c>
      <c r="D58" s="55">
        <f>IF(F57+SUM(E$17:E57)=D$10,F57,D$10-SUM(E$17:E57))</f>
        <v>392569.14208552428</v>
      </c>
      <c r="E58" s="378">
        <f t="shared" si="24"/>
        <v>110591.55249999999</v>
      </c>
      <c r="F58" s="55">
        <f t="shared" si="25"/>
        <v>281977.58958552429</v>
      </c>
      <c r="G58" s="379">
        <f t="shared" si="29"/>
        <v>150904.87050162235</v>
      </c>
      <c r="H58" s="364">
        <f t="shared" si="30"/>
        <v>150904.87050162235</v>
      </c>
      <c r="I58" s="52">
        <f t="shared" si="4"/>
        <v>0</v>
      </c>
      <c r="J58" s="52"/>
      <c r="K58" s="129"/>
      <c r="L58" s="54">
        <f t="shared" si="28"/>
        <v>0</v>
      </c>
      <c r="M58" s="129"/>
      <c r="N58" s="54">
        <f t="shared" si="5"/>
        <v>0</v>
      </c>
      <c r="O58" s="54">
        <f t="shared" si="6"/>
        <v>0</v>
      </c>
      <c r="P58" s="1"/>
    </row>
    <row r="59" spans="2:16" ht="12.5">
      <c r="B59" s="7" t="str">
        <f t="shared" si="3"/>
        <v/>
      </c>
      <c r="C59" s="50">
        <f>IF(D11="","-",+C58+1)</f>
        <v>2056</v>
      </c>
      <c r="D59" s="55">
        <f>IF(F58+SUM(E$17:E58)=D$10,F58,D$10-SUM(E$17:E58))</f>
        <v>281977.58958552429</v>
      </c>
      <c r="E59" s="378">
        <f t="shared" si="24"/>
        <v>110591.55249999999</v>
      </c>
      <c r="F59" s="55">
        <f t="shared" si="25"/>
        <v>171386.03708552429</v>
      </c>
      <c r="G59" s="379">
        <f t="shared" si="29"/>
        <v>137686.1794461307</v>
      </c>
      <c r="H59" s="364">
        <f t="shared" si="30"/>
        <v>137686.1794461307</v>
      </c>
      <c r="I59" s="52">
        <f t="shared" si="4"/>
        <v>0</v>
      </c>
      <c r="J59" s="52"/>
      <c r="K59" s="129"/>
      <c r="L59" s="54">
        <f t="shared" si="28"/>
        <v>0</v>
      </c>
      <c r="M59" s="129"/>
      <c r="N59" s="54">
        <f t="shared" si="5"/>
        <v>0</v>
      </c>
      <c r="O59" s="54">
        <f t="shared" si="6"/>
        <v>0</v>
      </c>
      <c r="P59" s="1"/>
    </row>
    <row r="60" spans="2:16" ht="12.5">
      <c r="B60" s="7" t="str">
        <f t="shared" si="3"/>
        <v/>
      </c>
      <c r="C60" s="50">
        <f>IF(D11="","-",+C59+1)</f>
        <v>2057</v>
      </c>
      <c r="D60" s="55">
        <f>IF(F59+SUM(E$17:E59)=D$10,F59,D$10-SUM(E$17:E59))</f>
        <v>171386.03708552429</v>
      </c>
      <c r="E60" s="378">
        <f t="shared" si="24"/>
        <v>110591.55249999999</v>
      </c>
      <c r="F60" s="55">
        <f t="shared" si="25"/>
        <v>60794.484585524304</v>
      </c>
      <c r="G60" s="379">
        <f t="shared" si="29"/>
        <v>124467.48839063902</v>
      </c>
      <c r="H60" s="364">
        <f t="shared" si="30"/>
        <v>124467.48839063902</v>
      </c>
      <c r="I60" s="52">
        <f t="shared" si="4"/>
        <v>0</v>
      </c>
      <c r="J60" s="52"/>
      <c r="K60" s="129"/>
      <c r="L60" s="54">
        <f t="shared" si="28"/>
        <v>0</v>
      </c>
      <c r="M60" s="129"/>
      <c r="N60" s="54">
        <f t="shared" si="5"/>
        <v>0</v>
      </c>
      <c r="O60" s="54">
        <f t="shared" si="6"/>
        <v>0</v>
      </c>
      <c r="P60" s="1"/>
    </row>
    <row r="61" spans="2:16" ht="12.5">
      <c r="B61" s="7" t="str">
        <f t="shared" si="3"/>
        <v/>
      </c>
      <c r="C61" s="50">
        <f>IF(D11="","-",+C60+1)</f>
        <v>2058</v>
      </c>
      <c r="D61" s="55">
        <f>IF(F60+SUM(E$17:E60)=D$10,F60,D$10-SUM(E$17:E60))</f>
        <v>60794.484585524304</v>
      </c>
      <c r="E61" s="378">
        <f t="shared" si="24"/>
        <v>60794.484585524304</v>
      </c>
      <c r="F61" s="55">
        <f t="shared" si="25"/>
        <v>0</v>
      </c>
      <c r="G61" s="379">
        <f t="shared" si="29"/>
        <v>64427.779766970896</v>
      </c>
      <c r="H61" s="364">
        <f t="shared" si="30"/>
        <v>64427.779766970896</v>
      </c>
      <c r="I61" s="52">
        <f t="shared" si="4"/>
        <v>0</v>
      </c>
      <c r="J61" s="52"/>
      <c r="K61" s="129"/>
      <c r="L61" s="54">
        <f t="shared" si="28"/>
        <v>0</v>
      </c>
      <c r="M61" s="129"/>
      <c r="N61" s="54">
        <f t="shared" si="5"/>
        <v>0</v>
      </c>
      <c r="O61" s="54">
        <f t="shared" si="6"/>
        <v>0</v>
      </c>
      <c r="P61" s="1"/>
    </row>
    <row r="62" spans="2:16" ht="12.5">
      <c r="B62" s="7" t="str">
        <f t="shared" si="3"/>
        <v/>
      </c>
      <c r="C62" s="50">
        <f>IF(D11="","-",+C61+1)</f>
        <v>2059</v>
      </c>
      <c r="D62" s="55">
        <f>IF(F61+SUM(E$17:E61)=D$10,F61,D$10-SUM(E$17:E61))</f>
        <v>0</v>
      </c>
      <c r="E62" s="378">
        <f t="shared" si="24"/>
        <v>0</v>
      </c>
      <c r="F62" s="55">
        <f t="shared" si="25"/>
        <v>0</v>
      </c>
      <c r="G62" s="379">
        <f t="shared" si="29"/>
        <v>0</v>
      </c>
      <c r="H62" s="364">
        <f t="shared" si="30"/>
        <v>0</v>
      </c>
      <c r="I62" s="52">
        <f t="shared" si="4"/>
        <v>0</v>
      </c>
      <c r="J62" s="52"/>
      <c r="K62" s="129"/>
      <c r="L62" s="54">
        <f t="shared" si="28"/>
        <v>0</v>
      </c>
      <c r="M62" s="129"/>
      <c r="N62" s="54">
        <f t="shared" si="5"/>
        <v>0</v>
      </c>
      <c r="O62" s="54">
        <f t="shared" si="6"/>
        <v>0</v>
      </c>
      <c r="P62" s="1"/>
    </row>
    <row r="63" spans="2:16" ht="12.5">
      <c r="B63" s="7" t="str">
        <f t="shared" si="3"/>
        <v/>
      </c>
      <c r="C63" s="50">
        <f>IF(D11="","-",+C62+1)</f>
        <v>2060</v>
      </c>
      <c r="D63" s="55">
        <f>IF(F62+SUM(E$17:E62)=D$10,F62,D$10-SUM(E$17:E62))</f>
        <v>0</v>
      </c>
      <c r="E63" s="378">
        <f t="shared" si="24"/>
        <v>0</v>
      </c>
      <c r="F63" s="55">
        <f t="shared" si="25"/>
        <v>0</v>
      </c>
      <c r="G63" s="379">
        <f t="shared" si="29"/>
        <v>0</v>
      </c>
      <c r="H63" s="364">
        <f t="shared" si="30"/>
        <v>0</v>
      </c>
      <c r="I63" s="52">
        <f t="shared" si="4"/>
        <v>0</v>
      </c>
      <c r="J63" s="52"/>
      <c r="K63" s="129"/>
      <c r="L63" s="54">
        <f t="shared" si="28"/>
        <v>0</v>
      </c>
      <c r="M63" s="129"/>
      <c r="N63" s="54">
        <f t="shared" si="5"/>
        <v>0</v>
      </c>
      <c r="O63" s="54">
        <f t="shared" si="6"/>
        <v>0</v>
      </c>
      <c r="P63" s="1"/>
    </row>
    <row r="64" spans="2:16" ht="12.5">
      <c r="B64" s="7" t="str">
        <f t="shared" si="3"/>
        <v/>
      </c>
      <c r="C64" s="50">
        <f>IF(D11="","-",+C63+1)</f>
        <v>2061</v>
      </c>
      <c r="D64" s="55">
        <f>IF(F63+SUM(E$17:E63)=D$10,F63,D$10-SUM(E$17:E63))</f>
        <v>0</v>
      </c>
      <c r="E64" s="378">
        <f t="shared" si="24"/>
        <v>0</v>
      </c>
      <c r="F64" s="55">
        <f t="shared" si="25"/>
        <v>0</v>
      </c>
      <c r="G64" s="379">
        <f t="shared" si="29"/>
        <v>0</v>
      </c>
      <c r="H64" s="364">
        <f t="shared" si="30"/>
        <v>0</v>
      </c>
      <c r="I64" s="52">
        <f t="shared" si="4"/>
        <v>0</v>
      </c>
      <c r="J64" s="52"/>
      <c r="K64" s="129"/>
      <c r="L64" s="54">
        <f t="shared" si="28"/>
        <v>0</v>
      </c>
      <c r="M64" s="129"/>
      <c r="N64" s="54">
        <f t="shared" si="5"/>
        <v>0</v>
      </c>
      <c r="O64" s="54">
        <f t="shared" si="6"/>
        <v>0</v>
      </c>
      <c r="P64" s="1"/>
    </row>
    <row r="65" spans="2:16" ht="12.5">
      <c r="B65" s="7" t="str">
        <f t="shared" si="3"/>
        <v/>
      </c>
      <c r="C65" s="50">
        <f>IF(D11="","-",+C64+1)</f>
        <v>2062</v>
      </c>
      <c r="D65" s="55">
        <f>IF(F64+SUM(E$17:E64)=D$10,F64,D$10-SUM(E$17:E64))</f>
        <v>0</v>
      </c>
      <c r="E65" s="378">
        <f t="shared" si="24"/>
        <v>0</v>
      </c>
      <c r="F65" s="55">
        <f t="shared" si="25"/>
        <v>0</v>
      </c>
      <c r="G65" s="379">
        <f t="shared" si="29"/>
        <v>0</v>
      </c>
      <c r="H65" s="364">
        <f t="shared" si="30"/>
        <v>0</v>
      </c>
      <c r="I65" s="52">
        <f t="shared" si="4"/>
        <v>0</v>
      </c>
      <c r="J65" s="52"/>
      <c r="K65" s="129"/>
      <c r="L65" s="54">
        <f t="shared" si="28"/>
        <v>0</v>
      </c>
      <c r="M65" s="129"/>
      <c r="N65" s="54">
        <f t="shared" si="5"/>
        <v>0</v>
      </c>
      <c r="O65" s="54">
        <f t="shared" si="6"/>
        <v>0</v>
      </c>
      <c r="P65" s="1"/>
    </row>
    <row r="66" spans="2:16" ht="12.5">
      <c r="B66" s="7" t="str">
        <f t="shared" si="3"/>
        <v/>
      </c>
      <c r="C66" s="50">
        <f>IF(D11="","-",+C65+1)</f>
        <v>2063</v>
      </c>
      <c r="D66" s="55">
        <f>IF(F65+SUM(E$17:E65)=D$10,F65,D$10-SUM(E$17:E65))</f>
        <v>0</v>
      </c>
      <c r="E66" s="378">
        <f t="shared" si="24"/>
        <v>0</v>
      </c>
      <c r="F66" s="55">
        <f t="shared" si="25"/>
        <v>0</v>
      </c>
      <c r="G66" s="379">
        <f t="shared" si="29"/>
        <v>0</v>
      </c>
      <c r="H66" s="364">
        <f t="shared" si="30"/>
        <v>0</v>
      </c>
      <c r="I66" s="52">
        <f t="shared" si="4"/>
        <v>0</v>
      </c>
      <c r="J66" s="52"/>
      <c r="K66" s="129"/>
      <c r="L66" s="54">
        <f t="shared" si="28"/>
        <v>0</v>
      </c>
      <c r="M66" s="129"/>
      <c r="N66" s="54">
        <f t="shared" si="5"/>
        <v>0</v>
      </c>
      <c r="O66" s="54">
        <f t="shared" si="6"/>
        <v>0</v>
      </c>
      <c r="P66" s="1"/>
    </row>
    <row r="67" spans="2:16" ht="12.5">
      <c r="B67" s="7" t="str">
        <f t="shared" si="3"/>
        <v/>
      </c>
      <c r="C67" s="50">
        <f>IF(D11="","-",+C66+1)</f>
        <v>2064</v>
      </c>
      <c r="D67" s="55">
        <f>IF(F66+SUM(E$17:E66)=D$10,F66,D$10-SUM(E$17:E66))</f>
        <v>0</v>
      </c>
      <c r="E67" s="378">
        <f t="shared" si="24"/>
        <v>0</v>
      </c>
      <c r="F67" s="55">
        <f t="shared" si="25"/>
        <v>0</v>
      </c>
      <c r="G67" s="379">
        <f t="shared" si="29"/>
        <v>0</v>
      </c>
      <c r="H67" s="364">
        <f t="shared" si="30"/>
        <v>0</v>
      </c>
      <c r="I67" s="52">
        <f t="shared" si="4"/>
        <v>0</v>
      </c>
      <c r="J67" s="52"/>
      <c r="K67" s="129"/>
      <c r="L67" s="54">
        <f t="shared" si="28"/>
        <v>0</v>
      </c>
      <c r="M67" s="129"/>
      <c r="N67" s="54">
        <f t="shared" si="5"/>
        <v>0</v>
      </c>
      <c r="O67" s="54">
        <f t="shared" si="6"/>
        <v>0</v>
      </c>
      <c r="P67" s="1"/>
    </row>
    <row r="68" spans="2:16" ht="12.5">
      <c r="B68" s="7" t="str">
        <f t="shared" si="3"/>
        <v/>
      </c>
      <c r="C68" s="50">
        <f>IF(D11="","-",+C67+1)</f>
        <v>2065</v>
      </c>
      <c r="D68" s="55">
        <f>IF(F67+SUM(E$17:E67)=D$10,F67,D$10-SUM(E$17:E67))</f>
        <v>0</v>
      </c>
      <c r="E68" s="378">
        <f t="shared" si="24"/>
        <v>0</v>
      </c>
      <c r="F68" s="55">
        <f t="shared" si="25"/>
        <v>0</v>
      </c>
      <c r="G68" s="379">
        <f t="shared" si="29"/>
        <v>0</v>
      </c>
      <c r="H68" s="364">
        <f t="shared" si="30"/>
        <v>0</v>
      </c>
      <c r="I68" s="52">
        <f t="shared" si="4"/>
        <v>0</v>
      </c>
      <c r="J68" s="52"/>
      <c r="K68" s="129"/>
      <c r="L68" s="54">
        <f t="shared" si="28"/>
        <v>0</v>
      </c>
      <c r="M68" s="129"/>
      <c r="N68" s="54">
        <f t="shared" si="5"/>
        <v>0</v>
      </c>
      <c r="O68" s="54">
        <f t="shared" si="6"/>
        <v>0</v>
      </c>
      <c r="P68" s="1"/>
    </row>
    <row r="69" spans="2:16" ht="12.5">
      <c r="B69" s="7" t="str">
        <f t="shared" si="3"/>
        <v/>
      </c>
      <c r="C69" s="50">
        <f>IF(D11="","-",+C68+1)</f>
        <v>2066</v>
      </c>
      <c r="D69" s="55">
        <f>IF(F68+SUM(E$17:E68)=D$10,F68,D$10-SUM(E$17:E68))</f>
        <v>0</v>
      </c>
      <c r="E69" s="378">
        <f t="shared" si="24"/>
        <v>0</v>
      </c>
      <c r="F69" s="55">
        <f t="shared" si="25"/>
        <v>0</v>
      </c>
      <c r="G69" s="379">
        <f t="shared" si="29"/>
        <v>0</v>
      </c>
      <c r="H69" s="364">
        <f t="shared" si="30"/>
        <v>0</v>
      </c>
      <c r="I69" s="52">
        <f t="shared" si="4"/>
        <v>0</v>
      </c>
      <c r="J69" s="52"/>
      <c r="K69" s="129"/>
      <c r="L69" s="54">
        <f t="shared" si="28"/>
        <v>0</v>
      </c>
      <c r="M69" s="129"/>
      <c r="N69" s="54">
        <f t="shared" si="5"/>
        <v>0</v>
      </c>
      <c r="O69" s="54">
        <f t="shared" si="6"/>
        <v>0</v>
      </c>
      <c r="P69" s="1"/>
    </row>
    <row r="70" spans="2:16" ht="12.5">
      <c r="B70" s="7" t="str">
        <f t="shared" si="3"/>
        <v/>
      </c>
      <c r="C70" s="50">
        <f>IF(D11="","-",+C69+1)</f>
        <v>2067</v>
      </c>
      <c r="D70" s="55">
        <f>IF(F69+SUM(E$17:E69)=D$10,F69,D$10-SUM(E$17:E69))</f>
        <v>0</v>
      </c>
      <c r="E70" s="378">
        <f t="shared" si="24"/>
        <v>0</v>
      </c>
      <c r="F70" s="55">
        <f t="shared" si="25"/>
        <v>0</v>
      </c>
      <c r="G70" s="379">
        <f t="shared" si="29"/>
        <v>0</v>
      </c>
      <c r="H70" s="364">
        <f t="shared" si="30"/>
        <v>0</v>
      </c>
      <c r="I70" s="52">
        <f t="shared" si="4"/>
        <v>0</v>
      </c>
      <c r="J70" s="52"/>
      <c r="K70" s="129"/>
      <c r="L70" s="54">
        <f t="shared" si="28"/>
        <v>0</v>
      </c>
      <c r="M70" s="129"/>
      <c r="N70" s="54">
        <f t="shared" si="5"/>
        <v>0</v>
      </c>
      <c r="O70" s="54">
        <f t="shared" si="6"/>
        <v>0</v>
      </c>
      <c r="P70" s="1"/>
    </row>
    <row r="71" spans="2:16" ht="12.5">
      <c r="B71" s="7" t="str">
        <f t="shared" si="3"/>
        <v/>
      </c>
      <c r="C71" s="50">
        <f>IF(D11="","-",+C70+1)</f>
        <v>2068</v>
      </c>
      <c r="D71" s="55">
        <f>IF(F70+SUM(E$17:E70)=D$10,F70,D$10-SUM(E$17:E70))</f>
        <v>0</v>
      </c>
      <c r="E71" s="378">
        <f t="shared" si="24"/>
        <v>0</v>
      </c>
      <c r="F71" s="55">
        <f t="shared" si="25"/>
        <v>0</v>
      </c>
      <c r="G71" s="379">
        <f t="shared" si="29"/>
        <v>0</v>
      </c>
      <c r="H71" s="364">
        <f t="shared" si="30"/>
        <v>0</v>
      </c>
      <c r="I71" s="52">
        <f t="shared" si="4"/>
        <v>0</v>
      </c>
      <c r="J71" s="52"/>
      <c r="K71" s="129"/>
      <c r="L71" s="54">
        <f t="shared" si="28"/>
        <v>0</v>
      </c>
      <c r="M71" s="129"/>
      <c r="N71" s="54">
        <f t="shared" si="5"/>
        <v>0</v>
      </c>
      <c r="O71" s="54">
        <f t="shared" si="6"/>
        <v>0</v>
      </c>
      <c r="P71" s="1"/>
    </row>
    <row r="72" spans="2:16" ht="13" thickBot="1">
      <c r="B72" s="7" t="str">
        <f t="shared" si="3"/>
        <v/>
      </c>
      <c r="C72" s="59">
        <f>IF(D11="","-",+C71+1)</f>
        <v>2069</v>
      </c>
      <c r="D72" s="55">
        <f>IF(F71+SUM(E$17:E71)=D$10,F71,D$10-SUM(E$17:E71))</f>
        <v>0</v>
      </c>
      <c r="E72" s="378">
        <f t="shared" si="24"/>
        <v>0</v>
      </c>
      <c r="F72" s="55">
        <f t="shared" si="25"/>
        <v>0</v>
      </c>
      <c r="G72" s="379">
        <f t="shared" si="29"/>
        <v>0</v>
      </c>
      <c r="H72" s="364">
        <f t="shared" si="30"/>
        <v>0</v>
      </c>
      <c r="I72" s="52">
        <f t="shared" si="4"/>
        <v>0</v>
      </c>
      <c r="J72" s="52"/>
      <c r="K72" s="130"/>
      <c r="L72" s="64">
        <f t="shared" si="28"/>
        <v>0</v>
      </c>
      <c r="M72" s="130"/>
      <c r="N72" s="64">
        <f t="shared" si="5"/>
        <v>0</v>
      </c>
      <c r="O72" s="64">
        <f t="shared" si="6"/>
        <v>0</v>
      </c>
      <c r="P72" s="1"/>
    </row>
    <row r="73" spans="2:16" ht="12.5">
      <c r="C73" s="12" t="s">
        <v>78</v>
      </c>
      <c r="D73" s="293"/>
      <c r="E73" s="293">
        <f>SUM(E17:E72)</f>
        <v>4866028.3100000015</v>
      </c>
      <c r="F73" s="293"/>
      <c r="G73" s="293">
        <f>SUM(G17:G72)</f>
        <v>17857326.350873105</v>
      </c>
      <c r="H73" s="293">
        <f>SUM(H17:H72)</f>
        <v>17857326.350873105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 ht="13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41 of 77</v>
      </c>
    </row>
    <row r="84" spans="1:16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560684.29322186462</v>
      </c>
      <c r="N87" s="387">
        <f>IF(J92&lt;D11,0,VLOOKUP(J92,C17:O72,11))</f>
        <v>560684.29322186462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581347.54337736522</v>
      </c>
      <c r="N88" s="390">
        <f>IF(J92&lt;D11,0,VLOOKUP(J92,C99:P154,7))</f>
        <v>581347.54337736522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Broadmoor to Fern Street 69 kV Rebuild 1 mile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20663.250155500602</v>
      </c>
      <c r="N89" s="392">
        <f>+N88-N87</f>
        <v>20663.250155500602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TP2010103</v>
      </c>
      <c r="E91" s="76" t="str">
        <f>E9</f>
        <v xml:space="preserve">  SPP Project ID = 681</v>
      </c>
      <c r="F91" s="76"/>
      <c r="G91" s="76"/>
      <c r="H91" s="76"/>
      <c r="I91" s="76"/>
      <c r="J91" s="76"/>
    </row>
    <row r="92" spans="1:16" ht="13">
      <c r="C92" s="34" t="s">
        <v>51</v>
      </c>
      <c r="D92" s="428">
        <f>D10</f>
        <v>4866028.3099999996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</row>
    <row r="93" spans="1:16" ht="12.5">
      <c r="C93" s="34" t="s">
        <v>54</v>
      </c>
      <c r="D93" s="88">
        <f>IF(D11=I10,"",D11)</f>
        <v>2014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4">
        <f>IF(D11=I10,"",D12)</f>
        <v>12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110591.55249999999</v>
      </c>
      <c r="K96" s="293"/>
      <c r="L96" s="293"/>
      <c r="M96" s="293"/>
      <c r="N96" s="293"/>
      <c r="O96" s="293"/>
      <c r="P96" s="1"/>
    </row>
    <row r="97" spans="1:16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 ht="12.5">
      <c r="C99" s="50">
        <f>IF(D93= "","-",D93)</f>
        <v>2014</v>
      </c>
      <c r="D99" s="429">
        <v>0</v>
      </c>
      <c r="E99" s="430">
        <v>0</v>
      </c>
      <c r="F99" s="431">
        <v>4675710</v>
      </c>
      <c r="G99" s="432">
        <v>2337855</v>
      </c>
      <c r="H99" s="433">
        <v>317769.34002768091</v>
      </c>
      <c r="I99" s="434">
        <v>317769.34002768091</v>
      </c>
      <c r="J99" s="439">
        <v>0</v>
      </c>
      <c r="K99" s="54"/>
      <c r="L99" s="113">
        <f t="shared" ref="L99:L104" si="31">H99</f>
        <v>317769.34002768091</v>
      </c>
      <c r="M99" s="54">
        <f t="shared" ref="M99:M104" si="32">IF(L99&lt;&gt;0,+H99-L99,0)</f>
        <v>0</v>
      </c>
      <c r="N99" s="113">
        <f t="shared" ref="N99:N104" si="33">I99</f>
        <v>317769.34002768091</v>
      </c>
      <c r="O99" s="54">
        <f>IF(N99&lt;&gt;0,+I99-N99,0)</f>
        <v>0</v>
      </c>
      <c r="P99" s="54">
        <f>+O99-M99</f>
        <v>0</v>
      </c>
    </row>
    <row r="100" spans="1:16" ht="12.5">
      <c r="B100" s="7" t="str">
        <f>IF(D100=F99,"","IU")</f>
        <v/>
      </c>
      <c r="C100" s="50">
        <f>IF(D93="","-",+C99+1)</f>
        <v>2015</v>
      </c>
      <c r="D100" s="429">
        <v>4675710</v>
      </c>
      <c r="E100" s="430">
        <v>111326.42857142857</v>
      </c>
      <c r="F100" s="431">
        <v>4564383.5714285718</v>
      </c>
      <c r="G100" s="431">
        <v>4620046.7857142854</v>
      </c>
      <c r="H100" s="433">
        <v>720104.80925496051</v>
      </c>
      <c r="I100" s="434">
        <v>720104.80925496051</v>
      </c>
      <c r="J100" s="54">
        <f>+I100-H100</f>
        <v>0</v>
      </c>
      <c r="K100" s="54"/>
      <c r="L100" s="113">
        <f t="shared" si="31"/>
        <v>720104.80925496051</v>
      </c>
      <c r="M100" s="54">
        <f t="shared" si="32"/>
        <v>0</v>
      </c>
      <c r="N100" s="113">
        <f t="shared" si="33"/>
        <v>720104.80925496051</v>
      </c>
      <c r="O100" s="54">
        <f>IF(N100&lt;&gt;0,+I100-N100,0)</f>
        <v>0</v>
      </c>
      <c r="P100" s="54">
        <f>+O100-M100</f>
        <v>0</v>
      </c>
    </row>
    <row r="101" spans="1:16" ht="12.5">
      <c r="B101" s="7" t="str">
        <f t="shared" ref="B101:B154" si="34">IF(D101=F100,"","IU")</f>
        <v>IU</v>
      </c>
      <c r="C101" s="50">
        <f>IF(D93="","-",+C100+1)</f>
        <v>2016</v>
      </c>
      <c r="D101" s="429">
        <v>4754701.5714285718</v>
      </c>
      <c r="E101" s="430">
        <v>113163.44186046511</v>
      </c>
      <c r="F101" s="431">
        <v>4641538.1295681065</v>
      </c>
      <c r="G101" s="431">
        <v>4698119.8504983392</v>
      </c>
      <c r="H101" s="433">
        <v>709589.70185854996</v>
      </c>
      <c r="I101" s="434">
        <v>709589.70185854996</v>
      </c>
      <c r="J101" s="54">
        <f t="shared" ref="J101:J154" si="35">+I101-H101</f>
        <v>0</v>
      </c>
      <c r="K101" s="54"/>
      <c r="L101" s="113">
        <f t="shared" si="31"/>
        <v>709589.70185854996</v>
      </c>
      <c r="M101" s="54">
        <f t="shared" si="32"/>
        <v>0</v>
      </c>
      <c r="N101" s="113">
        <f t="shared" si="33"/>
        <v>709589.70185854996</v>
      </c>
      <c r="O101" s="54">
        <f>IF(N101&lt;&gt;0,+I101-N101,0)</f>
        <v>0</v>
      </c>
      <c r="P101" s="54">
        <f>+O101-M101</f>
        <v>0</v>
      </c>
    </row>
    <row r="102" spans="1:16" ht="12.5">
      <c r="B102" s="7" t="str">
        <f t="shared" si="34"/>
        <v/>
      </c>
      <c r="C102" s="50">
        <f>IF(D93="","-",+C101+1)</f>
        <v>2017</v>
      </c>
      <c r="D102" s="429">
        <v>4641538.1295681065</v>
      </c>
      <c r="E102" s="430">
        <v>115857.80952380953</v>
      </c>
      <c r="F102" s="431">
        <v>4525680.3200442968</v>
      </c>
      <c r="G102" s="431">
        <v>4583609.2248062016</v>
      </c>
      <c r="H102" s="433">
        <v>672635.50351476576</v>
      </c>
      <c r="I102" s="434">
        <v>672635.50351476576</v>
      </c>
      <c r="J102" s="54">
        <f t="shared" si="35"/>
        <v>0</v>
      </c>
      <c r="K102" s="54"/>
      <c r="L102" s="113">
        <f t="shared" si="31"/>
        <v>672635.50351476576</v>
      </c>
      <c r="M102" s="54">
        <f t="shared" si="32"/>
        <v>0</v>
      </c>
      <c r="N102" s="113">
        <f t="shared" si="33"/>
        <v>672635.50351476576</v>
      </c>
      <c r="O102" s="54">
        <f>IF(N102&lt;&gt;0,+I102-N102,0)</f>
        <v>0</v>
      </c>
      <c r="P102" s="54">
        <f>+O102-M102</f>
        <v>0</v>
      </c>
    </row>
    <row r="103" spans="1:16" ht="12.5">
      <c r="B103" s="7" t="str">
        <f t="shared" si="34"/>
        <v/>
      </c>
      <c r="C103" s="50">
        <f>IF(D93="","-",+C102+1)</f>
        <v>2018</v>
      </c>
      <c r="D103" s="429">
        <v>4525680.3200442968</v>
      </c>
      <c r="E103" s="430">
        <v>115857.80952380953</v>
      </c>
      <c r="F103" s="431">
        <v>4409822.5105204871</v>
      </c>
      <c r="G103" s="431">
        <v>4467751.4152823919</v>
      </c>
      <c r="H103" s="433">
        <v>587672.84728048416</v>
      </c>
      <c r="I103" s="434">
        <v>587672.84728048416</v>
      </c>
      <c r="J103" s="54">
        <f t="shared" si="35"/>
        <v>0</v>
      </c>
      <c r="K103" s="54"/>
      <c r="L103" s="113">
        <f t="shared" si="31"/>
        <v>587672.84728048416</v>
      </c>
      <c r="M103" s="54">
        <f t="shared" si="32"/>
        <v>0</v>
      </c>
      <c r="N103" s="113">
        <f t="shared" si="33"/>
        <v>587672.84728048416</v>
      </c>
      <c r="O103" s="54">
        <f>IF(N103&lt;&gt;0,+I103-N103,0)</f>
        <v>0</v>
      </c>
      <c r="P103" s="54">
        <f>+O103-M103</f>
        <v>0</v>
      </c>
    </row>
    <row r="104" spans="1:16" ht="12.5">
      <c r="B104" s="7" t="str">
        <f t="shared" si="34"/>
        <v/>
      </c>
      <c r="C104" s="50">
        <f>IF(D93="","-",+C103+1)</f>
        <v>2019</v>
      </c>
      <c r="D104" s="429">
        <v>4409822.5105204871</v>
      </c>
      <c r="E104" s="430">
        <v>113163.44186046511</v>
      </c>
      <c r="F104" s="431">
        <v>4296659.0686600218</v>
      </c>
      <c r="G104" s="431">
        <v>4353240.7895902544</v>
      </c>
      <c r="H104" s="433">
        <v>579136.71520740201</v>
      </c>
      <c r="I104" s="434">
        <v>579136.71520740201</v>
      </c>
      <c r="J104" s="54">
        <f t="shared" si="35"/>
        <v>0</v>
      </c>
      <c r="K104" s="54"/>
      <c r="L104" s="113">
        <f t="shared" si="31"/>
        <v>579136.71520740201</v>
      </c>
      <c r="M104" s="54">
        <f t="shared" si="32"/>
        <v>0</v>
      </c>
      <c r="N104" s="113">
        <f t="shared" si="33"/>
        <v>579136.71520740201</v>
      </c>
      <c r="O104" s="54">
        <f t="shared" ref="O104:O130" si="36">IF(N104&lt;&gt;0,+I104-N104,0)</f>
        <v>0</v>
      </c>
      <c r="P104" s="54">
        <f t="shared" ref="P104:P130" si="37">+O104-M104</f>
        <v>0</v>
      </c>
    </row>
    <row r="105" spans="1:16" ht="12.5">
      <c r="B105" s="7" t="str">
        <f t="shared" si="34"/>
        <v/>
      </c>
      <c r="C105" s="50">
        <f>IF(D93="","-",+C104+1)</f>
        <v>2020</v>
      </c>
      <c r="D105" s="429">
        <v>4296659.0686600218</v>
      </c>
      <c r="E105" s="430">
        <v>115857.80952380953</v>
      </c>
      <c r="F105" s="431">
        <v>4180801.2591362121</v>
      </c>
      <c r="G105" s="431">
        <v>4238730.1638981169</v>
      </c>
      <c r="H105" s="433">
        <v>571834.25819080928</v>
      </c>
      <c r="I105" s="434">
        <v>571834.25819080928</v>
      </c>
      <c r="J105" s="54">
        <f t="shared" si="35"/>
        <v>0</v>
      </c>
      <c r="K105" s="54"/>
      <c r="L105" s="113">
        <f t="shared" ref="L105" si="38">H105</f>
        <v>571834.25819080928</v>
      </c>
      <c r="M105" s="54">
        <f t="shared" ref="M105" si="39">IF(L105&lt;&gt;0,+H105-L105,0)</f>
        <v>0</v>
      </c>
      <c r="N105" s="113">
        <f t="shared" ref="N105" si="40">I105</f>
        <v>571834.25819080928</v>
      </c>
      <c r="O105" s="54">
        <f t="shared" si="36"/>
        <v>0</v>
      </c>
      <c r="P105" s="54">
        <f t="shared" si="37"/>
        <v>0</v>
      </c>
    </row>
    <row r="106" spans="1:16" ht="12.5">
      <c r="B106" s="7" t="str">
        <f t="shared" si="34"/>
        <v/>
      </c>
      <c r="C106" s="50">
        <f>IF(D93="","-",+C105+1)</f>
        <v>2021</v>
      </c>
      <c r="D106" s="429">
        <v>4180801.2591362121</v>
      </c>
      <c r="E106" s="430">
        <v>118683.60975609756</v>
      </c>
      <c r="F106" s="431">
        <v>4062117.6493801144</v>
      </c>
      <c r="G106" s="431">
        <v>4121459.4542581635</v>
      </c>
      <c r="H106" s="433">
        <v>586527.89122895012</v>
      </c>
      <c r="I106" s="434">
        <v>586527.89122895012</v>
      </c>
      <c r="J106" s="54">
        <f t="shared" si="35"/>
        <v>0</v>
      </c>
      <c r="K106" s="54"/>
      <c r="L106" s="113">
        <f t="shared" ref="L106" si="41">H106</f>
        <v>586527.89122895012</v>
      </c>
      <c r="M106" s="54">
        <f t="shared" ref="M106" si="42">IF(L106&lt;&gt;0,+H106-L106,0)</f>
        <v>0</v>
      </c>
      <c r="N106" s="113">
        <f t="shared" ref="N106" si="43">I106</f>
        <v>586527.89122895012</v>
      </c>
      <c r="O106" s="54">
        <f t="shared" si="36"/>
        <v>0</v>
      </c>
      <c r="P106" s="54">
        <f t="shared" si="37"/>
        <v>0</v>
      </c>
    </row>
    <row r="107" spans="1:16" ht="12.5">
      <c r="B107" s="7" t="str">
        <f t="shared" si="34"/>
        <v/>
      </c>
      <c r="C107" s="50">
        <f>IF(D93="","-",+C106+1)</f>
        <v>2022</v>
      </c>
      <c r="D107" s="429">
        <v>4062117.6493801144</v>
      </c>
      <c r="E107" s="430">
        <v>115857.80952380953</v>
      </c>
      <c r="F107" s="431">
        <v>3946259.8398563047</v>
      </c>
      <c r="G107" s="431">
        <v>4004188.7446182095</v>
      </c>
      <c r="H107" s="433">
        <v>586181.1826013641</v>
      </c>
      <c r="I107" s="434">
        <v>586181.1826013641</v>
      </c>
      <c r="J107" s="54">
        <f t="shared" si="35"/>
        <v>0</v>
      </c>
      <c r="K107" s="54"/>
      <c r="L107" s="113">
        <f t="shared" ref="L107" si="44">H107</f>
        <v>586181.1826013641</v>
      </c>
      <c r="M107" s="54">
        <f t="shared" ref="M107" si="45">IF(L107&lt;&gt;0,+H107-L107,0)</f>
        <v>0</v>
      </c>
      <c r="N107" s="113">
        <f t="shared" ref="N107" si="46">I107</f>
        <v>586181.1826013641</v>
      </c>
      <c r="O107" s="54">
        <f t="shared" ref="O107" si="47">IF(N107&lt;&gt;0,+I107-N107,0)</f>
        <v>0</v>
      </c>
      <c r="P107" s="54">
        <f t="shared" ref="P107" si="48">+O107-M107</f>
        <v>0</v>
      </c>
    </row>
    <row r="108" spans="1:16" ht="12.5">
      <c r="B108" s="7" t="str">
        <f t="shared" si="34"/>
        <v>IU</v>
      </c>
      <c r="C108" s="50">
        <f>IF(D93="","-",+C107+1)</f>
        <v>2023</v>
      </c>
      <c r="D108" s="429">
        <v>3946260.1498563047</v>
      </c>
      <c r="E108" s="430">
        <v>110591.55249999999</v>
      </c>
      <c r="F108" s="431">
        <v>3835668.5973563045</v>
      </c>
      <c r="G108" s="431">
        <v>3890964.3736063046</v>
      </c>
      <c r="H108" s="433">
        <v>590600.59118083888</v>
      </c>
      <c r="I108" s="434">
        <v>590600.59118083888</v>
      </c>
      <c r="J108" s="54">
        <f t="shared" si="35"/>
        <v>0</v>
      </c>
      <c r="K108" s="54"/>
      <c r="L108" s="113">
        <f t="shared" ref="L108" si="49">H108</f>
        <v>590600.59118083888</v>
      </c>
      <c r="M108" s="54">
        <f t="shared" ref="M108" si="50">IF(L108&lt;&gt;0,+H108-L108,0)</f>
        <v>0</v>
      </c>
      <c r="N108" s="113">
        <f t="shared" ref="N108" si="51">I108</f>
        <v>590600.59118083888</v>
      </c>
      <c r="O108" s="54">
        <f t="shared" ref="O108" si="52">IF(N108&lt;&gt;0,+I108-N108,0)</f>
        <v>0</v>
      </c>
      <c r="P108" s="54">
        <f t="shared" ref="P108" si="53">+O108-M108</f>
        <v>0</v>
      </c>
    </row>
    <row r="109" spans="1:16" ht="12.5">
      <c r="B109" s="7" t="str">
        <f t="shared" si="34"/>
        <v/>
      </c>
      <c r="C109" s="50">
        <f>IF(D93="","-",+C108+1)</f>
        <v>2024</v>
      </c>
      <c r="D109" s="12">
        <f>IF(F108+SUM(E$99:E108)=D$92,F108,D$92-SUM(E$99:E108))</f>
        <v>3835668.5973563045</v>
      </c>
      <c r="E109" s="378">
        <f t="shared" ref="E109:E154" si="54">IF(+$J$96&lt;F108,$J$96,D109)</f>
        <v>110591.55249999999</v>
      </c>
      <c r="F109" s="55">
        <f t="shared" ref="F109:F154" si="55">+D109-E109</f>
        <v>3725077.0448563043</v>
      </c>
      <c r="G109" s="55">
        <f t="shared" ref="G109:G154" si="56">+(F109+D109)/2</f>
        <v>3780372.8211063044</v>
      </c>
      <c r="H109" s="380">
        <f t="shared" ref="H109:H154" si="57">+J$94*G109+E109</f>
        <v>581347.54337736522</v>
      </c>
      <c r="I109" s="399">
        <f t="shared" ref="I109:I154" si="58">+J$95*G109+E109</f>
        <v>581347.54337736522</v>
      </c>
      <c r="J109" s="54">
        <f t="shared" si="35"/>
        <v>0</v>
      </c>
      <c r="K109" s="54"/>
      <c r="L109" s="129"/>
      <c r="M109" s="54">
        <f t="shared" ref="M109:M130" si="59">IF(L109&lt;&gt;0,+H109-L109,0)</f>
        <v>0</v>
      </c>
      <c r="N109" s="129"/>
      <c r="O109" s="54">
        <f t="shared" si="36"/>
        <v>0</v>
      </c>
      <c r="P109" s="54">
        <f t="shared" si="37"/>
        <v>0</v>
      </c>
    </row>
    <row r="110" spans="1:16" ht="12.5">
      <c r="B110" s="7" t="str">
        <f t="shared" si="34"/>
        <v/>
      </c>
      <c r="C110" s="50">
        <f>IF(D93="","-",+C109+1)</f>
        <v>2025</v>
      </c>
      <c r="D110" s="12">
        <f>IF(F109+SUM(E$99:E109)=D$92,F109,D$92-SUM(E$99:E109))</f>
        <v>3725077.0448563043</v>
      </c>
      <c r="E110" s="378">
        <f t="shared" si="54"/>
        <v>110591.55249999999</v>
      </c>
      <c r="F110" s="55">
        <f t="shared" si="55"/>
        <v>3614485.4923563041</v>
      </c>
      <c r="G110" s="55">
        <f t="shared" si="56"/>
        <v>3669781.2686063042</v>
      </c>
      <c r="H110" s="380">
        <f t="shared" si="57"/>
        <v>567575.98212046025</v>
      </c>
      <c r="I110" s="399">
        <f t="shared" si="58"/>
        <v>567575.98212046025</v>
      </c>
      <c r="J110" s="54">
        <f t="shared" si="35"/>
        <v>0</v>
      </c>
      <c r="K110" s="54"/>
      <c r="L110" s="129"/>
      <c r="M110" s="54">
        <f t="shared" si="59"/>
        <v>0</v>
      </c>
      <c r="N110" s="129"/>
      <c r="O110" s="54">
        <f t="shared" si="36"/>
        <v>0</v>
      </c>
      <c r="P110" s="54">
        <f t="shared" si="37"/>
        <v>0</v>
      </c>
    </row>
    <row r="111" spans="1:16" ht="12.5">
      <c r="B111" s="7" t="str">
        <f t="shared" si="34"/>
        <v/>
      </c>
      <c r="C111" s="50">
        <f>IF(D93="","-",+C110+1)</f>
        <v>2026</v>
      </c>
      <c r="D111" s="12">
        <f>IF(F110+SUM(E$99:E110)=D$92,F110,D$92-SUM(E$99:E110))</f>
        <v>3614485.4923563041</v>
      </c>
      <c r="E111" s="378">
        <f t="shared" si="54"/>
        <v>110591.55249999999</v>
      </c>
      <c r="F111" s="55">
        <f t="shared" si="55"/>
        <v>3503893.9398563039</v>
      </c>
      <c r="G111" s="55">
        <f t="shared" si="56"/>
        <v>3559189.716106304</v>
      </c>
      <c r="H111" s="380">
        <f t="shared" si="57"/>
        <v>553804.4208635554</v>
      </c>
      <c r="I111" s="399">
        <f t="shared" si="58"/>
        <v>553804.4208635554</v>
      </c>
      <c r="J111" s="54">
        <f t="shared" si="35"/>
        <v>0</v>
      </c>
      <c r="K111" s="54"/>
      <c r="L111" s="129"/>
      <c r="M111" s="54">
        <f t="shared" si="59"/>
        <v>0</v>
      </c>
      <c r="N111" s="129"/>
      <c r="O111" s="54">
        <f t="shared" si="36"/>
        <v>0</v>
      </c>
      <c r="P111" s="54">
        <f t="shared" si="37"/>
        <v>0</v>
      </c>
    </row>
    <row r="112" spans="1:16" ht="12.5">
      <c r="B112" s="7" t="str">
        <f t="shared" si="34"/>
        <v/>
      </c>
      <c r="C112" s="50">
        <f>IF(D93="","-",+C111+1)</f>
        <v>2027</v>
      </c>
      <c r="D112" s="12">
        <f>IF(F111+SUM(E$99:E111)=D$92,F111,D$92-SUM(E$99:E111))</f>
        <v>3503893.9398563039</v>
      </c>
      <c r="E112" s="378">
        <f t="shared" si="54"/>
        <v>110591.55249999999</v>
      </c>
      <c r="F112" s="55">
        <f t="shared" si="55"/>
        <v>3393302.3873563036</v>
      </c>
      <c r="G112" s="55">
        <f t="shared" si="56"/>
        <v>3448598.1636063037</v>
      </c>
      <c r="H112" s="380">
        <f t="shared" si="57"/>
        <v>540032.85960665054</v>
      </c>
      <c r="I112" s="399">
        <f t="shared" si="58"/>
        <v>540032.85960665054</v>
      </c>
      <c r="J112" s="54">
        <f t="shared" si="35"/>
        <v>0</v>
      </c>
      <c r="K112" s="54"/>
      <c r="L112" s="129"/>
      <c r="M112" s="54">
        <f t="shared" si="59"/>
        <v>0</v>
      </c>
      <c r="N112" s="129"/>
      <c r="O112" s="54">
        <f t="shared" si="36"/>
        <v>0</v>
      </c>
      <c r="P112" s="54">
        <f t="shared" si="37"/>
        <v>0</v>
      </c>
    </row>
    <row r="113" spans="2:16" ht="12.5">
      <c r="B113" s="7" t="str">
        <f t="shared" si="34"/>
        <v/>
      </c>
      <c r="C113" s="50">
        <f>IF(D93="","-",+C112+1)</f>
        <v>2028</v>
      </c>
      <c r="D113" s="12">
        <f>IF(F112+SUM(E$99:E112)=D$92,F112,D$92-SUM(E$99:E112))</f>
        <v>3393302.3873563036</v>
      </c>
      <c r="E113" s="378">
        <f t="shared" si="54"/>
        <v>110591.55249999999</v>
      </c>
      <c r="F113" s="55">
        <f t="shared" si="55"/>
        <v>3282710.8348563034</v>
      </c>
      <c r="G113" s="55">
        <f t="shared" si="56"/>
        <v>3338006.6111063035</v>
      </c>
      <c r="H113" s="380">
        <f t="shared" si="57"/>
        <v>526261.29834974569</v>
      </c>
      <c r="I113" s="399">
        <f t="shared" si="58"/>
        <v>526261.29834974569</v>
      </c>
      <c r="J113" s="54">
        <f t="shared" si="35"/>
        <v>0</v>
      </c>
      <c r="K113" s="54"/>
      <c r="L113" s="129"/>
      <c r="M113" s="54">
        <f t="shared" si="59"/>
        <v>0</v>
      </c>
      <c r="N113" s="129"/>
      <c r="O113" s="54">
        <f t="shared" si="36"/>
        <v>0</v>
      </c>
      <c r="P113" s="54">
        <f t="shared" si="37"/>
        <v>0</v>
      </c>
    </row>
    <row r="114" spans="2:16" ht="12.5">
      <c r="B114" s="7" t="str">
        <f t="shared" si="34"/>
        <v/>
      </c>
      <c r="C114" s="50">
        <f>IF(D93="","-",+C113+1)</f>
        <v>2029</v>
      </c>
      <c r="D114" s="12">
        <f>IF(F113+SUM(E$99:E113)=D$92,F113,D$92-SUM(E$99:E113))</f>
        <v>3282710.8348563034</v>
      </c>
      <c r="E114" s="378">
        <f t="shared" si="54"/>
        <v>110591.55249999999</v>
      </c>
      <c r="F114" s="55">
        <f t="shared" si="55"/>
        <v>3172119.2823563032</v>
      </c>
      <c r="G114" s="55">
        <f t="shared" si="56"/>
        <v>3227415.0586063033</v>
      </c>
      <c r="H114" s="380">
        <f t="shared" si="57"/>
        <v>512489.73709284078</v>
      </c>
      <c r="I114" s="399">
        <f t="shared" si="58"/>
        <v>512489.73709284078</v>
      </c>
      <c r="J114" s="54">
        <f t="shared" si="35"/>
        <v>0</v>
      </c>
      <c r="K114" s="54"/>
      <c r="L114" s="129"/>
      <c r="M114" s="54">
        <f t="shared" si="59"/>
        <v>0</v>
      </c>
      <c r="N114" s="129"/>
      <c r="O114" s="54">
        <f t="shared" si="36"/>
        <v>0</v>
      </c>
      <c r="P114" s="54">
        <f t="shared" si="37"/>
        <v>0</v>
      </c>
    </row>
    <row r="115" spans="2:16" ht="12.5">
      <c r="B115" s="7" t="str">
        <f t="shared" si="34"/>
        <v/>
      </c>
      <c r="C115" s="50">
        <f>IF(D93="","-",+C114+1)</f>
        <v>2030</v>
      </c>
      <c r="D115" s="12">
        <f>IF(F114+SUM(E$99:E114)=D$92,F114,D$92-SUM(E$99:E114))</f>
        <v>3172119.2823563032</v>
      </c>
      <c r="E115" s="378">
        <f t="shared" si="54"/>
        <v>110591.55249999999</v>
      </c>
      <c r="F115" s="55">
        <f t="shared" si="55"/>
        <v>3061527.729856303</v>
      </c>
      <c r="G115" s="55">
        <f t="shared" si="56"/>
        <v>3116823.5061063031</v>
      </c>
      <c r="H115" s="380">
        <f t="shared" si="57"/>
        <v>498718.17583593592</v>
      </c>
      <c r="I115" s="399">
        <f t="shared" si="58"/>
        <v>498718.17583593592</v>
      </c>
      <c r="J115" s="54">
        <f t="shared" si="35"/>
        <v>0</v>
      </c>
      <c r="K115" s="54"/>
      <c r="L115" s="129"/>
      <c r="M115" s="54">
        <f t="shared" si="59"/>
        <v>0</v>
      </c>
      <c r="N115" s="129"/>
      <c r="O115" s="54">
        <f t="shared" si="36"/>
        <v>0</v>
      </c>
      <c r="P115" s="54">
        <f t="shared" si="37"/>
        <v>0</v>
      </c>
    </row>
    <row r="116" spans="2:16" ht="12.5">
      <c r="B116" s="7" t="str">
        <f t="shared" si="34"/>
        <v/>
      </c>
      <c r="C116" s="50">
        <f>IF(D93="","-",+C115+1)</f>
        <v>2031</v>
      </c>
      <c r="D116" s="12">
        <f>IF(F115+SUM(E$99:E115)=D$92,F115,D$92-SUM(E$99:E115))</f>
        <v>3061527.729856303</v>
      </c>
      <c r="E116" s="378">
        <f t="shared" si="54"/>
        <v>110591.55249999999</v>
      </c>
      <c r="F116" s="55">
        <f t="shared" si="55"/>
        <v>2950936.1773563027</v>
      </c>
      <c r="G116" s="55">
        <f t="shared" si="56"/>
        <v>3006231.9536063028</v>
      </c>
      <c r="H116" s="380">
        <f t="shared" si="57"/>
        <v>484946.61457903107</v>
      </c>
      <c r="I116" s="399">
        <f t="shared" si="58"/>
        <v>484946.61457903107</v>
      </c>
      <c r="J116" s="54">
        <f t="shared" si="35"/>
        <v>0</v>
      </c>
      <c r="K116" s="54"/>
      <c r="L116" s="129"/>
      <c r="M116" s="54">
        <f t="shared" si="59"/>
        <v>0</v>
      </c>
      <c r="N116" s="129"/>
      <c r="O116" s="54">
        <f t="shared" si="36"/>
        <v>0</v>
      </c>
      <c r="P116" s="54">
        <f t="shared" si="37"/>
        <v>0</v>
      </c>
    </row>
    <row r="117" spans="2:16" ht="12.5">
      <c r="B117" s="7" t="str">
        <f t="shared" si="34"/>
        <v/>
      </c>
      <c r="C117" s="50">
        <f>IF(D93="","-",+C116+1)</f>
        <v>2032</v>
      </c>
      <c r="D117" s="12">
        <f>IF(F116+SUM(E$99:E116)=D$92,F116,D$92-SUM(E$99:E116))</f>
        <v>2950936.1773563027</v>
      </c>
      <c r="E117" s="378">
        <f t="shared" si="54"/>
        <v>110591.55249999999</v>
      </c>
      <c r="F117" s="55">
        <f t="shared" si="55"/>
        <v>2840344.6248563025</v>
      </c>
      <c r="G117" s="55">
        <f t="shared" si="56"/>
        <v>2895640.4011063026</v>
      </c>
      <c r="H117" s="380">
        <f t="shared" si="57"/>
        <v>471175.05332212616</v>
      </c>
      <c r="I117" s="399">
        <f t="shared" si="58"/>
        <v>471175.05332212616</v>
      </c>
      <c r="J117" s="54">
        <f t="shared" si="35"/>
        <v>0</v>
      </c>
      <c r="K117" s="54"/>
      <c r="L117" s="129"/>
      <c r="M117" s="54">
        <f t="shared" si="59"/>
        <v>0</v>
      </c>
      <c r="N117" s="129"/>
      <c r="O117" s="54">
        <f t="shared" si="36"/>
        <v>0</v>
      </c>
      <c r="P117" s="54">
        <f t="shared" si="37"/>
        <v>0</v>
      </c>
    </row>
    <row r="118" spans="2:16" ht="12.5">
      <c r="B118" s="7" t="str">
        <f t="shared" si="34"/>
        <v/>
      </c>
      <c r="C118" s="50">
        <f>IF(D93="","-",+C117+1)</f>
        <v>2033</v>
      </c>
      <c r="D118" s="12">
        <f>IF(F117+SUM(E$99:E117)=D$92,F117,D$92-SUM(E$99:E117))</f>
        <v>2840344.6248563025</v>
      </c>
      <c r="E118" s="378">
        <f t="shared" si="54"/>
        <v>110591.55249999999</v>
      </c>
      <c r="F118" s="55">
        <f t="shared" si="55"/>
        <v>2729753.0723563023</v>
      </c>
      <c r="G118" s="55">
        <f t="shared" si="56"/>
        <v>2785048.8486063024</v>
      </c>
      <c r="H118" s="380">
        <f t="shared" si="57"/>
        <v>457403.4920652213</v>
      </c>
      <c r="I118" s="399">
        <f t="shared" si="58"/>
        <v>457403.4920652213</v>
      </c>
      <c r="J118" s="54">
        <f t="shared" si="35"/>
        <v>0</v>
      </c>
      <c r="K118" s="54"/>
      <c r="L118" s="129"/>
      <c r="M118" s="54">
        <f t="shared" si="59"/>
        <v>0</v>
      </c>
      <c r="N118" s="129"/>
      <c r="O118" s="54">
        <f t="shared" si="36"/>
        <v>0</v>
      </c>
      <c r="P118" s="54">
        <f t="shared" si="37"/>
        <v>0</v>
      </c>
    </row>
    <row r="119" spans="2:16" ht="12.5">
      <c r="B119" s="7" t="str">
        <f t="shared" si="34"/>
        <v/>
      </c>
      <c r="C119" s="50">
        <f>IF(D93="","-",+C118+1)</f>
        <v>2034</v>
      </c>
      <c r="D119" s="12">
        <f>IF(F118+SUM(E$99:E118)=D$92,F118,D$92-SUM(E$99:E118))</f>
        <v>2729753.0723563023</v>
      </c>
      <c r="E119" s="378">
        <f t="shared" si="54"/>
        <v>110591.55249999999</v>
      </c>
      <c r="F119" s="55">
        <f t="shared" si="55"/>
        <v>2619161.5198563021</v>
      </c>
      <c r="G119" s="55">
        <f t="shared" si="56"/>
        <v>2674457.2961063022</v>
      </c>
      <c r="H119" s="380">
        <f t="shared" si="57"/>
        <v>443631.93080831645</v>
      </c>
      <c r="I119" s="399">
        <f t="shared" si="58"/>
        <v>443631.93080831645</v>
      </c>
      <c r="J119" s="54">
        <f t="shared" si="35"/>
        <v>0</v>
      </c>
      <c r="K119" s="54"/>
      <c r="L119" s="129"/>
      <c r="M119" s="54">
        <f t="shared" si="59"/>
        <v>0</v>
      </c>
      <c r="N119" s="129"/>
      <c r="O119" s="54">
        <f t="shared" si="36"/>
        <v>0</v>
      </c>
      <c r="P119" s="54">
        <f t="shared" si="37"/>
        <v>0</v>
      </c>
    </row>
    <row r="120" spans="2:16" ht="12.5">
      <c r="B120" s="7" t="str">
        <f t="shared" si="34"/>
        <v/>
      </c>
      <c r="C120" s="50">
        <f>IF(D93="","-",+C119+1)</f>
        <v>2035</v>
      </c>
      <c r="D120" s="12">
        <f>IF(F119+SUM(E$99:E119)=D$92,F119,D$92-SUM(E$99:E119))</f>
        <v>2619161.5198563021</v>
      </c>
      <c r="E120" s="378">
        <f t="shared" si="54"/>
        <v>110591.55249999999</v>
      </c>
      <c r="F120" s="55">
        <f t="shared" si="55"/>
        <v>2508569.9673563018</v>
      </c>
      <c r="G120" s="55">
        <f t="shared" si="56"/>
        <v>2563865.743606302</v>
      </c>
      <c r="H120" s="380">
        <f t="shared" si="57"/>
        <v>429860.36955141154</v>
      </c>
      <c r="I120" s="399">
        <f t="shared" si="58"/>
        <v>429860.36955141154</v>
      </c>
      <c r="J120" s="54">
        <f t="shared" si="35"/>
        <v>0</v>
      </c>
      <c r="K120" s="54"/>
      <c r="L120" s="129"/>
      <c r="M120" s="54">
        <f t="shared" si="59"/>
        <v>0</v>
      </c>
      <c r="N120" s="129"/>
      <c r="O120" s="54">
        <f t="shared" si="36"/>
        <v>0</v>
      </c>
      <c r="P120" s="54">
        <f t="shared" si="37"/>
        <v>0</v>
      </c>
    </row>
    <row r="121" spans="2:16" ht="12.5">
      <c r="B121" s="7" t="str">
        <f t="shared" si="34"/>
        <v/>
      </c>
      <c r="C121" s="50">
        <f>IF(D93="","-",+C120+1)</f>
        <v>2036</v>
      </c>
      <c r="D121" s="12">
        <f>IF(F120+SUM(E$99:E120)=D$92,F120,D$92-SUM(E$99:E120))</f>
        <v>2508569.9673563018</v>
      </c>
      <c r="E121" s="378">
        <f t="shared" si="54"/>
        <v>110591.55249999999</v>
      </c>
      <c r="F121" s="55">
        <f t="shared" si="55"/>
        <v>2397978.4148563016</v>
      </c>
      <c r="G121" s="55">
        <f t="shared" si="56"/>
        <v>2453274.1911063017</v>
      </c>
      <c r="H121" s="380">
        <f t="shared" si="57"/>
        <v>416088.80829450669</v>
      </c>
      <c r="I121" s="399">
        <f t="shared" si="58"/>
        <v>416088.80829450669</v>
      </c>
      <c r="J121" s="54">
        <f t="shared" si="35"/>
        <v>0</v>
      </c>
      <c r="K121" s="54"/>
      <c r="L121" s="129"/>
      <c r="M121" s="54">
        <f t="shared" si="59"/>
        <v>0</v>
      </c>
      <c r="N121" s="129"/>
      <c r="O121" s="54">
        <f t="shared" si="36"/>
        <v>0</v>
      </c>
      <c r="P121" s="54">
        <f t="shared" si="37"/>
        <v>0</v>
      </c>
    </row>
    <row r="122" spans="2:16" ht="12.5">
      <c r="B122" s="7" t="str">
        <f t="shared" si="34"/>
        <v/>
      </c>
      <c r="C122" s="50">
        <f>IF(D93="","-",+C121+1)</f>
        <v>2037</v>
      </c>
      <c r="D122" s="12">
        <f>IF(F121+SUM(E$99:E121)=D$92,F121,D$92-SUM(E$99:E121))</f>
        <v>2397978.4148563016</v>
      </c>
      <c r="E122" s="378">
        <f t="shared" si="54"/>
        <v>110591.55249999999</v>
      </c>
      <c r="F122" s="55">
        <f t="shared" si="55"/>
        <v>2287386.8623563014</v>
      </c>
      <c r="G122" s="55">
        <f t="shared" si="56"/>
        <v>2342682.6386063015</v>
      </c>
      <c r="H122" s="380">
        <f t="shared" si="57"/>
        <v>402317.24703760183</v>
      </c>
      <c r="I122" s="399">
        <f t="shared" si="58"/>
        <v>402317.24703760183</v>
      </c>
      <c r="J122" s="54">
        <f t="shared" si="35"/>
        <v>0</v>
      </c>
      <c r="K122" s="54"/>
      <c r="L122" s="129"/>
      <c r="M122" s="54">
        <f t="shared" si="59"/>
        <v>0</v>
      </c>
      <c r="N122" s="129"/>
      <c r="O122" s="54">
        <f t="shared" si="36"/>
        <v>0</v>
      </c>
      <c r="P122" s="54">
        <f t="shared" si="37"/>
        <v>0</v>
      </c>
    </row>
    <row r="123" spans="2:16" ht="12.5">
      <c r="B123" s="7" t="str">
        <f t="shared" si="34"/>
        <v/>
      </c>
      <c r="C123" s="50">
        <f>IF(D93="","-",+C122+1)</f>
        <v>2038</v>
      </c>
      <c r="D123" s="12">
        <f>IF(F122+SUM(E$99:E122)=D$92,F122,D$92-SUM(E$99:E122))</f>
        <v>2287386.8623563014</v>
      </c>
      <c r="E123" s="378">
        <f t="shared" si="54"/>
        <v>110591.55249999999</v>
      </c>
      <c r="F123" s="55">
        <f t="shared" si="55"/>
        <v>2176795.3098563012</v>
      </c>
      <c r="G123" s="55">
        <f t="shared" si="56"/>
        <v>2232091.0861063013</v>
      </c>
      <c r="H123" s="380">
        <f t="shared" si="57"/>
        <v>388545.68578069692</v>
      </c>
      <c r="I123" s="399">
        <f t="shared" si="58"/>
        <v>388545.68578069692</v>
      </c>
      <c r="J123" s="54">
        <f t="shared" si="35"/>
        <v>0</v>
      </c>
      <c r="K123" s="54"/>
      <c r="L123" s="129"/>
      <c r="M123" s="54">
        <f t="shared" si="59"/>
        <v>0</v>
      </c>
      <c r="N123" s="129"/>
      <c r="O123" s="54">
        <f t="shared" si="36"/>
        <v>0</v>
      </c>
      <c r="P123" s="54">
        <f t="shared" si="37"/>
        <v>0</v>
      </c>
    </row>
    <row r="124" spans="2:16" ht="12.5">
      <c r="B124" s="7" t="str">
        <f t="shared" si="34"/>
        <v/>
      </c>
      <c r="C124" s="50">
        <f>IF(D93="","-",+C123+1)</f>
        <v>2039</v>
      </c>
      <c r="D124" s="12">
        <f>IF(F123+SUM(E$99:E123)=D$92,F123,D$92-SUM(E$99:E123))</f>
        <v>2176795.3098563012</v>
      </c>
      <c r="E124" s="378">
        <f t="shared" si="54"/>
        <v>110591.55249999999</v>
      </c>
      <c r="F124" s="55">
        <f t="shared" si="55"/>
        <v>2066203.7573563012</v>
      </c>
      <c r="G124" s="55">
        <f t="shared" si="56"/>
        <v>2121499.5336063011</v>
      </c>
      <c r="H124" s="380">
        <f t="shared" si="57"/>
        <v>374774.12452379207</v>
      </c>
      <c r="I124" s="399">
        <f t="shared" si="58"/>
        <v>374774.12452379207</v>
      </c>
      <c r="J124" s="54">
        <f t="shared" si="35"/>
        <v>0</v>
      </c>
      <c r="K124" s="54"/>
      <c r="L124" s="129"/>
      <c r="M124" s="54">
        <f t="shared" si="59"/>
        <v>0</v>
      </c>
      <c r="N124" s="129"/>
      <c r="O124" s="54">
        <f t="shared" si="36"/>
        <v>0</v>
      </c>
      <c r="P124" s="54">
        <f t="shared" si="37"/>
        <v>0</v>
      </c>
    </row>
    <row r="125" spans="2:16" ht="12.5">
      <c r="B125" s="7" t="str">
        <f t="shared" si="34"/>
        <v/>
      </c>
      <c r="C125" s="50">
        <f>IF(D93="","-",+C124+1)</f>
        <v>2040</v>
      </c>
      <c r="D125" s="12">
        <f>IF(F124+SUM(E$99:E124)=D$92,F124,D$92-SUM(E$99:E124))</f>
        <v>2066203.7573563012</v>
      </c>
      <c r="E125" s="378">
        <f t="shared" si="54"/>
        <v>110591.55249999999</v>
      </c>
      <c r="F125" s="55">
        <f t="shared" si="55"/>
        <v>1955612.2048563012</v>
      </c>
      <c r="G125" s="55">
        <f t="shared" si="56"/>
        <v>2010907.9811063013</v>
      </c>
      <c r="H125" s="380">
        <f t="shared" si="57"/>
        <v>361002.56326688721</v>
      </c>
      <c r="I125" s="399">
        <f t="shared" si="58"/>
        <v>361002.56326688721</v>
      </c>
      <c r="J125" s="54">
        <f t="shared" si="35"/>
        <v>0</v>
      </c>
      <c r="K125" s="54"/>
      <c r="L125" s="129"/>
      <c r="M125" s="54">
        <f t="shared" si="59"/>
        <v>0</v>
      </c>
      <c r="N125" s="129"/>
      <c r="O125" s="54">
        <f t="shared" si="36"/>
        <v>0</v>
      </c>
      <c r="P125" s="54">
        <f t="shared" si="37"/>
        <v>0</v>
      </c>
    </row>
    <row r="126" spans="2:16" ht="12.5">
      <c r="B126" s="7" t="str">
        <f t="shared" si="34"/>
        <v/>
      </c>
      <c r="C126" s="50">
        <f>IF(D93="","-",+C125+1)</f>
        <v>2041</v>
      </c>
      <c r="D126" s="12">
        <f>IF(F125+SUM(E$99:E125)=D$92,F125,D$92-SUM(E$99:E125))</f>
        <v>1955612.2048563012</v>
      </c>
      <c r="E126" s="378">
        <f t="shared" si="54"/>
        <v>110591.55249999999</v>
      </c>
      <c r="F126" s="55">
        <f t="shared" si="55"/>
        <v>1845020.6523563012</v>
      </c>
      <c r="G126" s="55">
        <f t="shared" si="56"/>
        <v>1900316.4286063011</v>
      </c>
      <c r="H126" s="380">
        <f t="shared" si="57"/>
        <v>347231.00200998236</v>
      </c>
      <c r="I126" s="399">
        <f t="shared" si="58"/>
        <v>347231.00200998236</v>
      </c>
      <c r="J126" s="54">
        <f t="shared" si="35"/>
        <v>0</v>
      </c>
      <c r="K126" s="54"/>
      <c r="L126" s="129"/>
      <c r="M126" s="54">
        <f t="shared" si="59"/>
        <v>0</v>
      </c>
      <c r="N126" s="129"/>
      <c r="O126" s="54">
        <f t="shared" si="36"/>
        <v>0</v>
      </c>
      <c r="P126" s="54">
        <f t="shared" si="37"/>
        <v>0</v>
      </c>
    </row>
    <row r="127" spans="2:16" ht="12.5">
      <c r="B127" s="7" t="str">
        <f t="shared" si="34"/>
        <v/>
      </c>
      <c r="C127" s="50">
        <f>IF(D93="","-",+C126+1)</f>
        <v>2042</v>
      </c>
      <c r="D127" s="12">
        <f>IF(F126+SUM(E$99:E126)=D$92,F126,D$92-SUM(E$99:E126))</f>
        <v>1845020.6523563012</v>
      </c>
      <c r="E127" s="378">
        <f t="shared" si="54"/>
        <v>110591.55249999999</v>
      </c>
      <c r="F127" s="55">
        <f t="shared" si="55"/>
        <v>1734429.0998563012</v>
      </c>
      <c r="G127" s="55">
        <f t="shared" si="56"/>
        <v>1789724.8761063013</v>
      </c>
      <c r="H127" s="380">
        <f t="shared" si="57"/>
        <v>333459.44075307756</v>
      </c>
      <c r="I127" s="399">
        <f t="shared" si="58"/>
        <v>333459.44075307756</v>
      </c>
      <c r="J127" s="54">
        <f t="shared" si="35"/>
        <v>0</v>
      </c>
      <c r="K127" s="54"/>
      <c r="L127" s="129"/>
      <c r="M127" s="54">
        <f t="shared" si="59"/>
        <v>0</v>
      </c>
      <c r="N127" s="129"/>
      <c r="O127" s="54">
        <f t="shared" si="36"/>
        <v>0</v>
      </c>
      <c r="P127" s="54">
        <f t="shared" si="37"/>
        <v>0</v>
      </c>
    </row>
    <row r="128" spans="2:16" ht="12.5">
      <c r="B128" s="7" t="str">
        <f t="shared" si="34"/>
        <v/>
      </c>
      <c r="C128" s="50">
        <f>IF(D93="","-",+C127+1)</f>
        <v>2043</v>
      </c>
      <c r="D128" s="12">
        <f>IF(F127+SUM(E$99:E127)=D$92,F127,D$92-SUM(E$99:E127))</f>
        <v>1734429.0998563012</v>
      </c>
      <c r="E128" s="378">
        <f t="shared" si="54"/>
        <v>110591.55249999999</v>
      </c>
      <c r="F128" s="55">
        <f t="shared" si="55"/>
        <v>1623837.5473563012</v>
      </c>
      <c r="G128" s="55">
        <f t="shared" si="56"/>
        <v>1679133.3236063011</v>
      </c>
      <c r="H128" s="380">
        <f t="shared" si="57"/>
        <v>319687.87949617265</v>
      </c>
      <c r="I128" s="399">
        <f t="shared" si="58"/>
        <v>319687.87949617265</v>
      </c>
      <c r="J128" s="54">
        <f t="shared" si="35"/>
        <v>0</v>
      </c>
      <c r="K128" s="54"/>
      <c r="L128" s="129"/>
      <c r="M128" s="54">
        <f t="shared" si="59"/>
        <v>0</v>
      </c>
      <c r="N128" s="129"/>
      <c r="O128" s="54">
        <f t="shared" si="36"/>
        <v>0</v>
      </c>
      <c r="P128" s="54">
        <f t="shared" si="37"/>
        <v>0</v>
      </c>
    </row>
    <row r="129" spans="2:16" ht="12.5">
      <c r="B129" s="7" t="str">
        <f t="shared" si="34"/>
        <v/>
      </c>
      <c r="C129" s="50">
        <f>IF(D93="","-",+C128+1)</f>
        <v>2044</v>
      </c>
      <c r="D129" s="12">
        <f>IF(F128+SUM(E$99:E128)=D$92,F128,D$92-SUM(E$99:E128))</f>
        <v>1623837.5473563012</v>
      </c>
      <c r="E129" s="378">
        <f t="shared" si="54"/>
        <v>110591.55249999999</v>
      </c>
      <c r="F129" s="55">
        <f t="shared" si="55"/>
        <v>1513245.9948563012</v>
      </c>
      <c r="G129" s="55">
        <f t="shared" si="56"/>
        <v>1568541.7711063013</v>
      </c>
      <c r="H129" s="380">
        <f t="shared" si="57"/>
        <v>305916.31823926792</v>
      </c>
      <c r="I129" s="399">
        <f t="shared" si="58"/>
        <v>305916.31823926792</v>
      </c>
      <c r="J129" s="54">
        <f t="shared" si="35"/>
        <v>0</v>
      </c>
      <c r="K129" s="54"/>
      <c r="L129" s="129"/>
      <c r="M129" s="54">
        <f t="shared" si="59"/>
        <v>0</v>
      </c>
      <c r="N129" s="129"/>
      <c r="O129" s="54">
        <f t="shared" si="36"/>
        <v>0</v>
      </c>
      <c r="P129" s="54">
        <f t="shared" si="37"/>
        <v>0</v>
      </c>
    </row>
    <row r="130" spans="2:16" ht="12.5">
      <c r="B130" s="7" t="str">
        <f t="shared" si="34"/>
        <v/>
      </c>
      <c r="C130" s="50">
        <f>IF(D93="","-",+C129+1)</f>
        <v>2045</v>
      </c>
      <c r="D130" s="12">
        <f>IF(F129+SUM(E$99:E129)=D$92,F129,D$92-SUM(E$99:E129))</f>
        <v>1513245.9948563012</v>
      </c>
      <c r="E130" s="378">
        <f t="shared" si="54"/>
        <v>110591.55249999999</v>
      </c>
      <c r="F130" s="55">
        <f t="shared" si="55"/>
        <v>1402654.4423563012</v>
      </c>
      <c r="G130" s="55">
        <f t="shared" si="56"/>
        <v>1457950.2186063011</v>
      </c>
      <c r="H130" s="380">
        <f t="shared" si="57"/>
        <v>292144.756982363</v>
      </c>
      <c r="I130" s="399">
        <f t="shared" si="58"/>
        <v>292144.756982363</v>
      </c>
      <c r="J130" s="54">
        <f t="shared" si="35"/>
        <v>0</v>
      </c>
      <c r="K130" s="54"/>
      <c r="L130" s="129"/>
      <c r="M130" s="54">
        <f t="shared" si="59"/>
        <v>0</v>
      </c>
      <c r="N130" s="129"/>
      <c r="O130" s="54">
        <f t="shared" si="36"/>
        <v>0</v>
      </c>
      <c r="P130" s="54">
        <f t="shared" si="37"/>
        <v>0</v>
      </c>
    </row>
    <row r="131" spans="2:16" ht="12.5">
      <c r="B131" s="7" t="str">
        <f t="shared" si="34"/>
        <v/>
      </c>
      <c r="C131" s="50">
        <f>IF(D93="","-",+C130+1)</f>
        <v>2046</v>
      </c>
      <c r="D131" s="12">
        <f>IF(F130+SUM(E$99:E130)=D$92,F130,D$92-SUM(E$99:E130))</f>
        <v>1402654.4423563012</v>
      </c>
      <c r="E131" s="378">
        <f t="shared" si="54"/>
        <v>110591.55249999999</v>
      </c>
      <c r="F131" s="55">
        <f t="shared" si="55"/>
        <v>1292062.8898563012</v>
      </c>
      <c r="G131" s="55">
        <f t="shared" si="56"/>
        <v>1347358.6661063014</v>
      </c>
      <c r="H131" s="380">
        <f t="shared" si="57"/>
        <v>278373.19572545821</v>
      </c>
      <c r="I131" s="399">
        <f t="shared" si="58"/>
        <v>278373.19572545821</v>
      </c>
      <c r="J131" s="54">
        <f t="shared" si="35"/>
        <v>0</v>
      </c>
      <c r="K131" s="54"/>
      <c r="L131" s="129"/>
      <c r="M131" s="54">
        <f t="shared" ref="M131:M154" si="60">IF(L541&lt;&gt;0,+H541-L541,0)</f>
        <v>0</v>
      </c>
      <c r="N131" s="129"/>
      <c r="O131" s="54">
        <f t="shared" ref="O131:O154" si="61">IF(N541&lt;&gt;0,+I541-N541,0)</f>
        <v>0</v>
      </c>
      <c r="P131" s="54">
        <f t="shared" ref="P131:P154" si="62">+O541-M541</f>
        <v>0</v>
      </c>
    </row>
    <row r="132" spans="2:16" ht="12.5">
      <c r="B132" s="7" t="str">
        <f t="shared" si="34"/>
        <v/>
      </c>
      <c r="C132" s="50">
        <f>IF(D93="","-",+C131+1)</f>
        <v>2047</v>
      </c>
      <c r="D132" s="12">
        <f>IF(F131+SUM(E$99:E131)=D$92,F131,D$92-SUM(E$99:E131))</f>
        <v>1292062.8898563012</v>
      </c>
      <c r="E132" s="378">
        <f t="shared" si="54"/>
        <v>110591.55249999999</v>
      </c>
      <c r="F132" s="55">
        <f t="shared" si="55"/>
        <v>1181471.3373563013</v>
      </c>
      <c r="G132" s="55">
        <f t="shared" si="56"/>
        <v>1236767.1136063011</v>
      </c>
      <c r="H132" s="380">
        <f t="shared" si="57"/>
        <v>264601.63446855335</v>
      </c>
      <c r="I132" s="399">
        <f t="shared" si="58"/>
        <v>264601.63446855335</v>
      </c>
      <c r="J132" s="54">
        <f t="shared" si="35"/>
        <v>0</v>
      </c>
      <c r="K132" s="54"/>
      <c r="L132" s="129"/>
      <c r="M132" s="54">
        <f t="shared" si="60"/>
        <v>0</v>
      </c>
      <c r="N132" s="129"/>
      <c r="O132" s="54">
        <f t="shared" si="61"/>
        <v>0</v>
      </c>
      <c r="P132" s="54">
        <f t="shared" si="62"/>
        <v>0</v>
      </c>
    </row>
    <row r="133" spans="2:16" ht="12.5">
      <c r="B133" s="7" t="str">
        <f t="shared" si="34"/>
        <v/>
      </c>
      <c r="C133" s="50">
        <f>IF(D93="","-",+C132+1)</f>
        <v>2048</v>
      </c>
      <c r="D133" s="12">
        <f>IF(F132+SUM(E$99:E132)=D$92,F132,D$92-SUM(E$99:E132))</f>
        <v>1181471.3373563013</v>
      </c>
      <c r="E133" s="378">
        <f t="shared" si="54"/>
        <v>110591.55249999999</v>
      </c>
      <c r="F133" s="55">
        <f t="shared" si="55"/>
        <v>1070879.7848563013</v>
      </c>
      <c r="G133" s="55">
        <f t="shared" si="56"/>
        <v>1126175.5611063014</v>
      </c>
      <c r="H133" s="380">
        <f t="shared" si="57"/>
        <v>250830.0732116485</v>
      </c>
      <c r="I133" s="399">
        <f t="shared" si="58"/>
        <v>250830.0732116485</v>
      </c>
      <c r="J133" s="54">
        <f t="shared" si="35"/>
        <v>0</v>
      </c>
      <c r="K133" s="54"/>
      <c r="L133" s="129"/>
      <c r="M133" s="54">
        <f t="shared" si="60"/>
        <v>0</v>
      </c>
      <c r="N133" s="129"/>
      <c r="O133" s="54">
        <f t="shared" si="61"/>
        <v>0</v>
      </c>
      <c r="P133" s="54">
        <f t="shared" si="62"/>
        <v>0</v>
      </c>
    </row>
    <row r="134" spans="2:16" ht="12.5">
      <c r="B134" s="7" t="str">
        <f t="shared" si="34"/>
        <v/>
      </c>
      <c r="C134" s="50">
        <f>IF(D93="","-",+C133+1)</f>
        <v>2049</v>
      </c>
      <c r="D134" s="12">
        <f>IF(F133+SUM(E$99:E133)=D$92,F133,D$92-SUM(E$99:E133))</f>
        <v>1070879.7848563013</v>
      </c>
      <c r="E134" s="378">
        <f t="shared" si="54"/>
        <v>110591.55249999999</v>
      </c>
      <c r="F134" s="55">
        <f t="shared" si="55"/>
        <v>960288.23235630128</v>
      </c>
      <c r="G134" s="55">
        <f t="shared" si="56"/>
        <v>1015584.0086063013</v>
      </c>
      <c r="H134" s="380">
        <f t="shared" si="57"/>
        <v>237058.51195474365</v>
      </c>
      <c r="I134" s="399">
        <f t="shared" si="58"/>
        <v>237058.51195474365</v>
      </c>
      <c r="J134" s="54">
        <f t="shared" si="35"/>
        <v>0</v>
      </c>
      <c r="K134" s="54"/>
      <c r="L134" s="129"/>
      <c r="M134" s="54">
        <f t="shared" si="60"/>
        <v>0</v>
      </c>
      <c r="N134" s="129"/>
      <c r="O134" s="54">
        <f t="shared" si="61"/>
        <v>0</v>
      </c>
      <c r="P134" s="54">
        <f t="shared" si="62"/>
        <v>0</v>
      </c>
    </row>
    <row r="135" spans="2:16" ht="12.5">
      <c r="B135" s="7" t="str">
        <f t="shared" si="34"/>
        <v/>
      </c>
      <c r="C135" s="50">
        <f>IF(D93="","-",+C134+1)</f>
        <v>2050</v>
      </c>
      <c r="D135" s="12">
        <f>IF(F134+SUM(E$99:E134)=D$92,F134,D$92-SUM(E$99:E134))</f>
        <v>960288.23235630128</v>
      </c>
      <c r="E135" s="378">
        <f t="shared" si="54"/>
        <v>110591.55249999999</v>
      </c>
      <c r="F135" s="55">
        <f t="shared" si="55"/>
        <v>849696.67985630129</v>
      </c>
      <c r="G135" s="55">
        <f t="shared" si="56"/>
        <v>904992.45610630128</v>
      </c>
      <c r="H135" s="380">
        <f t="shared" si="57"/>
        <v>223286.95069783879</v>
      </c>
      <c r="I135" s="399">
        <f t="shared" si="58"/>
        <v>223286.95069783879</v>
      </c>
      <c r="J135" s="54">
        <f t="shared" si="35"/>
        <v>0</v>
      </c>
      <c r="K135" s="54"/>
      <c r="L135" s="129"/>
      <c r="M135" s="54">
        <f t="shared" si="60"/>
        <v>0</v>
      </c>
      <c r="N135" s="129"/>
      <c r="O135" s="54">
        <f t="shared" si="61"/>
        <v>0</v>
      </c>
      <c r="P135" s="54">
        <f t="shared" si="62"/>
        <v>0</v>
      </c>
    </row>
    <row r="136" spans="2:16" ht="12.5">
      <c r="B136" s="7" t="str">
        <f t="shared" si="34"/>
        <v/>
      </c>
      <c r="C136" s="50">
        <f>IF(D93="","-",+C135+1)</f>
        <v>2051</v>
      </c>
      <c r="D136" s="12">
        <f>IF(F135+SUM(E$99:E135)=D$92,F135,D$92-SUM(E$99:E135))</f>
        <v>849696.67985630129</v>
      </c>
      <c r="E136" s="378">
        <f t="shared" si="54"/>
        <v>110591.55249999999</v>
      </c>
      <c r="F136" s="55">
        <f t="shared" si="55"/>
        <v>739105.12735630129</v>
      </c>
      <c r="G136" s="55">
        <f t="shared" si="56"/>
        <v>794400.90360630129</v>
      </c>
      <c r="H136" s="380">
        <f t="shared" si="57"/>
        <v>209515.38944093394</v>
      </c>
      <c r="I136" s="399">
        <f t="shared" si="58"/>
        <v>209515.38944093394</v>
      </c>
      <c r="J136" s="54">
        <f t="shared" si="35"/>
        <v>0</v>
      </c>
      <c r="K136" s="54"/>
      <c r="L136" s="129"/>
      <c r="M136" s="54">
        <f t="shared" si="60"/>
        <v>0</v>
      </c>
      <c r="N136" s="129"/>
      <c r="O136" s="54">
        <f t="shared" si="61"/>
        <v>0</v>
      </c>
      <c r="P136" s="54">
        <f t="shared" si="62"/>
        <v>0</v>
      </c>
    </row>
    <row r="137" spans="2:16" ht="12.5">
      <c r="B137" s="7" t="str">
        <f t="shared" si="34"/>
        <v/>
      </c>
      <c r="C137" s="50">
        <f>IF(D93="","-",+C136+1)</f>
        <v>2052</v>
      </c>
      <c r="D137" s="12">
        <f>IF(F136+SUM(E$99:E136)=D$92,F136,D$92-SUM(E$99:E136))</f>
        <v>739105.12735630129</v>
      </c>
      <c r="E137" s="378">
        <f t="shared" si="54"/>
        <v>110591.55249999999</v>
      </c>
      <c r="F137" s="55">
        <f t="shared" si="55"/>
        <v>628513.5748563013</v>
      </c>
      <c r="G137" s="55">
        <f t="shared" si="56"/>
        <v>683809.3511063013</v>
      </c>
      <c r="H137" s="380">
        <f t="shared" si="57"/>
        <v>195743.82818402912</v>
      </c>
      <c r="I137" s="399">
        <f t="shared" si="58"/>
        <v>195743.82818402912</v>
      </c>
      <c r="J137" s="54">
        <f t="shared" si="35"/>
        <v>0</v>
      </c>
      <c r="K137" s="54"/>
      <c r="L137" s="129"/>
      <c r="M137" s="54">
        <f t="shared" si="60"/>
        <v>0</v>
      </c>
      <c r="N137" s="129"/>
      <c r="O137" s="54">
        <f t="shared" si="61"/>
        <v>0</v>
      </c>
      <c r="P137" s="54">
        <f t="shared" si="62"/>
        <v>0</v>
      </c>
    </row>
    <row r="138" spans="2:16" ht="12.5">
      <c r="B138" s="7" t="str">
        <f t="shared" si="34"/>
        <v/>
      </c>
      <c r="C138" s="50">
        <f>IF(D93="","-",+C137+1)</f>
        <v>2053</v>
      </c>
      <c r="D138" s="12">
        <f>IF(F137+SUM(E$99:E137)=D$92,F137,D$92-SUM(E$99:E137))</f>
        <v>628513.5748563013</v>
      </c>
      <c r="E138" s="378">
        <f t="shared" si="54"/>
        <v>110591.55249999999</v>
      </c>
      <c r="F138" s="55">
        <f t="shared" si="55"/>
        <v>517922.02235630131</v>
      </c>
      <c r="G138" s="55">
        <f t="shared" si="56"/>
        <v>573217.79860630131</v>
      </c>
      <c r="H138" s="380">
        <f t="shared" si="57"/>
        <v>181972.26692712429</v>
      </c>
      <c r="I138" s="399">
        <f t="shared" si="58"/>
        <v>181972.26692712429</v>
      </c>
      <c r="J138" s="54">
        <f t="shared" si="35"/>
        <v>0</v>
      </c>
      <c r="K138" s="54"/>
      <c r="L138" s="129"/>
      <c r="M138" s="54">
        <f t="shared" si="60"/>
        <v>0</v>
      </c>
      <c r="N138" s="129"/>
      <c r="O138" s="54">
        <f t="shared" si="61"/>
        <v>0</v>
      </c>
      <c r="P138" s="54">
        <f t="shared" si="62"/>
        <v>0</v>
      </c>
    </row>
    <row r="139" spans="2:16" ht="12.5">
      <c r="B139" s="7" t="str">
        <f t="shared" si="34"/>
        <v/>
      </c>
      <c r="C139" s="50">
        <f>IF(D93="","-",+C138+1)</f>
        <v>2054</v>
      </c>
      <c r="D139" s="12">
        <f>IF(F138+SUM(E$99:E138)=D$92,F138,D$92-SUM(E$99:E138))</f>
        <v>517922.02235630131</v>
      </c>
      <c r="E139" s="378">
        <f t="shared" si="54"/>
        <v>110591.55249999999</v>
      </c>
      <c r="F139" s="55">
        <f t="shared" si="55"/>
        <v>407330.46985630132</v>
      </c>
      <c r="G139" s="55">
        <f t="shared" si="56"/>
        <v>462626.24610630132</v>
      </c>
      <c r="H139" s="380">
        <f t="shared" si="57"/>
        <v>168200.70567021944</v>
      </c>
      <c r="I139" s="399">
        <f t="shared" si="58"/>
        <v>168200.70567021944</v>
      </c>
      <c r="J139" s="54">
        <f t="shared" si="35"/>
        <v>0</v>
      </c>
      <c r="K139" s="54"/>
      <c r="L139" s="129"/>
      <c r="M139" s="54">
        <f t="shared" si="60"/>
        <v>0</v>
      </c>
      <c r="N139" s="129"/>
      <c r="O139" s="54">
        <f t="shared" si="61"/>
        <v>0</v>
      </c>
      <c r="P139" s="54">
        <f t="shared" si="62"/>
        <v>0</v>
      </c>
    </row>
    <row r="140" spans="2:16" ht="12.5">
      <c r="B140" s="7" t="str">
        <f t="shared" si="34"/>
        <v/>
      </c>
      <c r="C140" s="50">
        <f>IF(D93="","-",+C139+1)</f>
        <v>2055</v>
      </c>
      <c r="D140" s="12">
        <f>IF(F139+SUM(E$99:E139)=D$92,F139,D$92-SUM(E$99:E139))</f>
        <v>407330.46985630132</v>
      </c>
      <c r="E140" s="378">
        <f t="shared" si="54"/>
        <v>110591.55249999999</v>
      </c>
      <c r="F140" s="55">
        <f t="shared" si="55"/>
        <v>296738.91735630133</v>
      </c>
      <c r="G140" s="55">
        <f t="shared" si="56"/>
        <v>352034.69360630133</v>
      </c>
      <c r="H140" s="380">
        <f t="shared" si="57"/>
        <v>154429.14441331459</v>
      </c>
      <c r="I140" s="399">
        <f t="shared" si="58"/>
        <v>154429.14441331459</v>
      </c>
      <c r="J140" s="54">
        <f t="shared" si="35"/>
        <v>0</v>
      </c>
      <c r="K140" s="54"/>
      <c r="L140" s="129"/>
      <c r="M140" s="54">
        <f t="shared" si="60"/>
        <v>0</v>
      </c>
      <c r="N140" s="129"/>
      <c r="O140" s="54">
        <f t="shared" si="61"/>
        <v>0</v>
      </c>
      <c r="P140" s="54">
        <f t="shared" si="62"/>
        <v>0</v>
      </c>
    </row>
    <row r="141" spans="2:16" ht="12.5">
      <c r="B141" s="7" t="str">
        <f t="shared" si="34"/>
        <v/>
      </c>
      <c r="C141" s="50">
        <f>IF(D93="","-",+C140+1)</f>
        <v>2056</v>
      </c>
      <c r="D141" s="12">
        <f>IF(F140+SUM(E$99:E140)=D$92,F140,D$92-SUM(E$99:E140))</f>
        <v>296738.91735630133</v>
      </c>
      <c r="E141" s="378">
        <f t="shared" si="54"/>
        <v>110591.55249999999</v>
      </c>
      <c r="F141" s="55">
        <f t="shared" si="55"/>
        <v>186147.36485630134</v>
      </c>
      <c r="G141" s="55">
        <f t="shared" si="56"/>
        <v>241443.14110630134</v>
      </c>
      <c r="H141" s="380">
        <f t="shared" si="57"/>
        <v>140657.58315640973</v>
      </c>
      <c r="I141" s="399">
        <f t="shared" si="58"/>
        <v>140657.58315640973</v>
      </c>
      <c r="J141" s="54">
        <f t="shared" si="35"/>
        <v>0</v>
      </c>
      <c r="K141" s="54"/>
      <c r="L141" s="129"/>
      <c r="M141" s="54">
        <f t="shared" si="60"/>
        <v>0</v>
      </c>
      <c r="N141" s="129"/>
      <c r="O141" s="54">
        <f t="shared" si="61"/>
        <v>0</v>
      </c>
      <c r="P141" s="54">
        <f t="shared" si="62"/>
        <v>0</v>
      </c>
    </row>
    <row r="142" spans="2:16" ht="12.5">
      <c r="B142" s="7" t="str">
        <f t="shared" si="34"/>
        <v/>
      </c>
      <c r="C142" s="50">
        <f>IF(D93="","-",+C141+1)</f>
        <v>2057</v>
      </c>
      <c r="D142" s="12">
        <f>IF(F141+SUM(E$99:E141)=D$92,F141,D$92-SUM(E$99:E141))</f>
        <v>186147.36485630134</v>
      </c>
      <c r="E142" s="378">
        <f t="shared" si="54"/>
        <v>110591.55249999999</v>
      </c>
      <c r="F142" s="55">
        <f t="shared" si="55"/>
        <v>75555.812356301351</v>
      </c>
      <c r="G142" s="55">
        <f t="shared" si="56"/>
        <v>130851.58860630135</v>
      </c>
      <c r="H142" s="380">
        <f t="shared" si="57"/>
        <v>126886.02189950491</v>
      </c>
      <c r="I142" s="399">
        <f t="shared" si="58"/>
        <v>126886.02189950491</v>
      </c>
      <c r="J142" s="54">
        <f t="shared" si="35"/>
        <v>0</v>
      </c>
      <c r="K142" s="54"/>
      <c r="L142" s="129"/>
      <c r="M142" s="54">
        <f t="shared" si="60"/>
        <v>0</v>
      </c>
      <c r="N142" s="129"/>
      <c r="O142" s="54">
        <f t="shared" si="61"/>
        <v>0</v>
      </c>
      <c r="P142" s="54">
        <f t="shared" si="62"/>
        <v>0</v>
      </c>
    </row>
    <row r="143" spans="2:16" ht="12.5">
      <c r="B143" s="7" t="str">
        <f t="shared" si="34"/>
        <v/>
      </c>
      <c r="C143" s="50">
        <f>IF(D93="","-",+C142+1)</f>
        <v>2058</v>
      </c>
      <c r="D143" s="12">
        <f>IF(F142+SUM(E$99:E142)=D$92,F142,D$92-SUM(E$99:E142))</f>
        <v>75555.812356301351</v>
      </c>
      <c r="E143" s="378">
        <f t="shared" si="54"/>
        <v>75555.812356301351</v>
      </c>
      <c r="F143" s="55">
        <f t="shared" si="55"/>
        <v>0</v>
      </c>
      <c r="G143" s="55">
        <f t="shared" si="56"/>
        <v>37777.906178150675</v>
      </c>
      <c r="H143" s="380">
        <f t="shared" si="57"/>
        <v>80260.156741827595</v>
      </c>
      <c r="I143" s="399">
        <f t="shared" si="58"/>
        <v>80260.156741827595</v>
      </c>
      <c r="J143" s="54">
        <f t="shared" si="35"/>
        <v>0</v>
      </c>
      <c r="K143" s="54"/>
      <c r="L143" s="129"/>
      <c r="M143" s="54">
        <f t="shared" si="60"/>
        <v>0</v>
      </c>
      <c r="N143" s="129"/>
      <c r="O143" s="54">
        <f t="shared" si="61"/>
        <v>0</v>
      </c>
      <c r="P143" s="54">
        <f t="shared" si="62"/>
        <v>0</v>
      </c>
    </row>
    <row r="144" spans="2:16" ht="12.5">
      <c r="B144" s="7" t="str">
        <f t="shared" si="34"/>
        <v/>
      </c>
      <c r="C144" s="50">
        <f>IF(D93="","-",+C143+1)</f>
        <v>2059</v>
      </c>
      <c r="D144" s="12">
        <f>IF(F143+SUM(E$99:E143)=D$92,F143,D$92-SUM(E$99:E143))</f>
        <v>0</v>
      </c>
      <c r="E144" s="378">
        <f t="shared" si="54"/>
        <v>0</v>
      </c>
      <c r="F144" s="55">
        <f t="shared" si="55"/>
        <v>0</v>
      </c>
      <c r="G144" s="55">
        <f t="shared" si="56"/>
        <v>0</v>
      </c>
      <c r="H144" s="380">
        <f t="shared" si="57"/>
        <v>0</v>
      </c>
      <c r="I144" s="399">
        <f t="shared" si="58"/>
        <v>0</v>
      </c>
      <c r="J144" s="54">
        <f t="shared" si="35"/>
        <v>0</v>
      </c>
      <c r="K144" s="54"/>
      <c r="L144" s="129"/>
      <c r="M144" s="54">
        <f t="shared" si="60"/>
        <v>0</v>
      </c>
      <c r="N144" s="129"/>
      <c r="O144" s="54">
        <f t="shared" si="61"/>
        <v>0</v>
      </c>
      <c r="P144" s="54">
        <f t="shared" si="62"/>
        <v>0</v>
      </c>
    </row>
    <row r="145" spans="2:16" ht="12.5">
      <c r="B145" s="7" t="str">
        <f t="shared" si="34"/>
        <v/>
      </c>
      <c r="C145" s="50">
        <f>IF(D93="","-",+C144+1)</f>
        <v>2060</v>
      </c>
      <c r="D145" s="12">
        <f>IF(F144+SUM(E$99:E144)=D$92,F144,D$92-SUM(E$99:E144))</f>
        <v>0</v>
      </c>
      <c r="E145" s="378">
        <f t="shared" si="54"/>
        <v>0</v>
      </c>
      <c r="F145" s="55">
        <f t="shared" si="55"/>
        <v>0</v>
      </c>
      <c r="G145" s="55">
        <f t="shared" si="56"/>
        <v>0</v>
      </c>
      <c r="H145" s="380">
        <f t="shared" si="57"/>
        <v>0</v>
      </c>
      <c r="I145" s="399">
        <f t="shared" si="58"/>
        <v>0</v>
      </c>
      <c r="J145" s="54">
        <f t="shared" si="35"/>
        <v>0</v>
      </c>
      <c r="K145" s="54"/>
      <c r="L145" s="129"/>
      <c r="M145" s="54">
        <f t="shared" si="60"/>
        <v>0</v>
      </c>
      <c r="N145" s="129"/>
      <c r="O145" s="54">
        <f t="shared" si="61"/>
        <v>0</v>
      </c>
      <c r="P145" s="54">
        <f t="shared" si="62"/>
        <v>0</v>
      </c>
    </row>
    <row r="146" spans="2:16" ht="12.5">
      <c r="B146" s="7" t="str">
        <f t="shared" si="34"/>
        <v/>
      </c>
      <c r="C146" s="50">
        <f>IF(D93="","-",+C145+1)</f>
        <v>2061</v>
      </c>
      <c r="D146" s="12">
        <f>IF(F145+SUM(E$99:E145)=D$92,F145,D$92-SUM(E$99:E145))</f>
        <v>0</v>
      </c>
      <c r="E146" s="378">
        <f t="shared" si="54"/>
        <v>0</v>
      </c>
      <c r="F146" s="55">
        <f t="shared" si="55"/>
        <v>0</v>
      </c>
      <c r="G146" s="55">
        <f t="shared" si="56"/>
        <v>0</v>
      </c>
      <c r="H146" s="380">
        <f t="shared" si="57"/>
        <v>0</v>
      </c>
      <c r="I146" s="399">
        <f t="shared" si="58"/>
        <v>0</v>
      </c>
      <c r="J146" s="54">
        <f t="shared" si="35"/>
        <v>0</v>
      </c>
      <c r="K146" s="54"/>
      <c r="L146" s="129"/>
      <c r="M146" s="54">
        <f t="shared" si="60"/>
        <v>0</v>
      </c>
      <c r="N146" s="129"/>
      <c r="O146" s="54">
        <f t="shared" si="61"/>
        <v>0</v>
      </c>
      <c r="P146" s="54">
        <f t="shared" si="62"/>
        <v>0</v>
      </c>
    </row>
    <row r="147" spans="2:16" ht="12.5">
      <c r="B147" s="7" t="str">
        <f t="shared" si="34"/>
        <v/>
      </c>
      <c r="C147" s="50">
        <f>IF(D93="","-",+C146+1)</f>
        <v>2062</v>
      </c>
      <c r="D147" s="12">
        <f>IF(F146+SUM(E$99:E146)=D$92,F146,D$92-SUM(E$99:E146))</f>
        <v>0</v>
      </c>
      <c r="E147" s="378">
        <f t="shared" si="54"/>
        <v>0</v>
      </c>
      <c r="F147" s="55">
        <f t="shared" si="55"/>
        <v>0</v>
      </c>
      <c r="G147" s="55">
        <f t="shared" si="56"/>
        <v>0</v>
      </c>
      <c r="H147" s="380">
        <f t="shared" si="57"/>
        <v>0</v>
      </c>
      <c r="I147" s="399">
        <f t="shared" si="58"/>
        <v>0</v>
      </c>
      <c r="J147" s="54">
        <f t="shared" si="35"/>
        <v>0</v>
      </c>
      <c r="K147" s="54"/>
      <c r="L147" s="129"/>
      <c r="M147" s="54">
        <f t="shared" si="60"/>
        <v>0</v>
      </c>
      <c r="N147" s="129"/>
      <c r="O147" s="54">
        <f t="shared" si="61"/>
        <v>0</v>
      </c>
      <c r="P147" s="54">
        <f t="shared" si="62"/>
        <v>0</v>
      </c>
    </row>
    <row r="148" spans="2:16" ht="12.5">
      <c r="B148" s="7" t="str">
        <f t="shared" si="34"/>
        <v/>
      </c>
      <c r="C148" s="50">
        <f>IF(D93="","-",+C147+1)</f>
        <v>2063</v>
      </c>
      <c r="D148" s="12">
        <f>IF(F147+SUM(E$99:E147)=D$92,F147,D$92-SUM(E$99:E147))</f>
        <v>0</v>
      </c>
      <c r="E148" s="378">
        <f t="shared" si="54"/>
        <v>0</v>
      </c>
      <c r="F148" s="55">
        <f t="shared" si="55"/>
        <v>0</v>
      </c>
      <c r="G148" s="55">
        <f t="shared" si="56"/>
        <v>0</v>
      </c>
      <c r="H148" s="380">
        <f t="shared" si="57"/>
        <v>0</v>
      </c>
      <c r="I148" s="399">
        <f t="shared" si="58"/>
        <v>0</v>
      </c>
      <c r="J148" s="54">
        <f t="shared" si="35"/>
        <v>0</v>
      </c>
      <c r="K148" s="54"/>
      <c r="L148" s="129"/>
      <c r="M148" s="54">
        <f t="shared" si="60"/>
        <v>0</v>
      </c>
      <c r="N148" s="129"/>
      <c r="O148" s="54">
        <f t="shared" si="61"/>
        <v>0</v>
      </c>
      <c r="P148" s="54">
        <f t="shared" si="62"/>
        <v>0</v>
      </c>
    </row>
    <row r="149" spans="2:16" ht="12.5">
      <c r="B149" s="7" t="str">
        <f t="shared" si="34"/>
        <v/>
      </c>
      <c r="C149" s="50">
        <f>IF(D93="","-",+C148+1)</f>
        <v>2064</v>
      </c>
      <c r="D149" s="12">
        <f>IF(F148+SUM(E$99:E148)=D$92,F148,D$92-SUM(E$99:E148))</f>
        <v>0</v>
      </c>
      <c r="E149" s="378">
        <f t="shared" si="54"/>
        <v>0</v>
      </c>
      <c r="F149" s="55">
        <f t="shared" si="55"/>
        <v>0</v>
      </c>
      <c r="G149" s="55">
        <f t="shared" si="56"/>
        <v>0</v>
      </c>
      <c r="H149" s="380">
        <f t="shared" si="57"/>
        <v>0</v>
      </c>
      <c r="I149" s="399">
        <f t="shared" si="58"/>
        <v>0</v>
      </c>
      <c r="J149" s="54">
        <f t="shared" si="35"/>
        <v>0</v>
      </c>
      <c r="K149" s="54"/>
      <c r="L149" s="129"/>
      <c r="M149" s="54">
        <f t="shared" si="60"/>
        <v>0</v>
      </c>
      <c r="N149" s="129"/>
      <c r="O149" s="54">
        <f t="shared" si="61"/>
        <v>0</v>
      </c>
      <c r="P149" s="54">
        <f t="shared" si="62"/>
        <v>0</v>
      </c>
    </row>
    <row r="150" spans="2:16" ht="12.5">
      <c r="B150" s="7" t="str">
        <f t="shared" si="34"/>
        <v/>
      </c>
      <c r="C150" s="50">
        <f>IF(D93="","-",+C149+1)</f>
        <v>2065</v>
      </c>
      <c r="D150" s="12">
        <f>IF(F149+SUM(E$99:E149)=D$92,F149,D$92-SUM(E$99:E149))</f>
        <v>0</v>
      </c>
      <c r="E150" s="378">
        <f t="shared" si="54"/>
        <v>0</v>
      </c>
      <c r="F150" s="55">
        <f t="shared" si="55"/>
        <v>0</v>
      </c>
      <c r="G150" s="55">
        <f t="shared" si="56"/>
        <v>0</v>
      </c>
      <c r="H150" s="380">
        <f t="shared" si="57"/>
        <v>0</v>
      </c>
      <c r="I150" s="399">
        <f t="shared" si="58"/>
        <v>0</v>
      </c>
      <c r="J150" s="54">
        <f t="shared" si="35"/>
        <v>0</v>
      </c>
      <c r="K150" s="54"/>
      <c r="L150" s="129"/>
      <c r="M150" s="54">
        <f t="shared" si="60"/>
        <v>0</v>
      </c>
      <c r="N150" s="129"/>
      <c r="O150" s="54">
        <f t="shared" si="61"/>
        <v>0</v>
      </c>
      <c r="P150" s="54">
        <f t="shared" si="62"/>
        <v>0</v>
      </c>
    </row>
    <row r="151" spans="2:16" ht="12.5">
      <c r="B151" s="7" t="str">
        <f t="shared" si="34"/>
        <v/>
      </c>
      <c r="C151" s="50">
        <f>IF(D93="","-",+C150+1)</f>
        <v>2066</v>
      </c>
      <c r="D151" s="12">
        <f>IF(F150+SUM(E$99:E150)=D$92,F150,D$92-SUM(E$99:E150))</f>
        <v>0</v>
      </c>
      <c r="E151" s="378">
        <f t="shared" si="54"/>
        <v>0</v>
      </c>
      <c r="F151" s="55">
        <f t="shared" si="55"/>
        <v>0</v>
      </c>
      <c r="G151" s="55">
        <f t="shared" si="56"/>
        <v>0</v>
      </c>
      <c r="H151" s="380">
        <f t="shared" si="57"/>
        <v>0</v>
      </c>
      <c r="I151" s="399">
        <f t="shared" si="58"/>
        <v>0</v>
      </c>
      <c r="J151" s="54">
        <f t="shared" si="35"/>
        <v>0</v>
      </c>
      <c r="K151" s="54"/>
      <c r="L151" s="129"/>
      <c r="M151" s="54">
        <f t="shared" si="60"/>
        <v>0</v>
      </c>
      <c r="N151" s="129"/>
      <c r="O151" s="54">
        <f t="shared" si="61"/>
        <v>0</v>
      </c>
      <c r="P151" s="54">
        <f t="shared" si="62"/>
        <v>0</v>
      </c>
    </row>
    <row r="152" spans="2:16" ht="12.5">
      <c r="B152" s="7" t="str">
        <f t="shared" si="34"/>
        <v/>
      </c>
      <c r="C152" s="50">
        <f>IF(D93="","-",+C151+1)</f>
        <v>2067</v>
      </c>
      <c r="D152" s="12">
        <f>IF(F151+SUM(E$99:E151)=D$92,F151,D$92-SUM(E$99:E151))</f>
        <v>0</v>
      </c>
      <c r="E152" s="378">
        <f t="shared" si="54"/>
        <v>0</v>
      </c>
      <c r="F152" s="55">
        <f t="shared" si="55"/>
        <v>0</v>
      </c>
      <c r="G152" s="55">
        <f t="shared" si="56"/>
        <v>0</v>
      </c>
      <c r="H152" s="380">
        <f t="shared" si="57"/>
        <v>0</v>
      </c>
      <c r="I152" s="399">
        <f t="shared" si="58"/>
        <v>0</v>
      </c>
      <c r="J152" s="54">
        <f t="shared" si="35"/>
        <v>0</v>
      </c>
      <c r="K152" s="54"/>
      <c r="L152" s="129"/>
      <c r="M152" s="54">
        <f t="shared" si="60"/>
        <v>0</v>
      </c>
      <c r="N152" s="129"/>
      <c r="O152" s="54">
        <f t="shared" si="61"/>
        <v>0</v>
      </c>
      <c r="P152" s="54">
        <f t="shared" si="62"/>
        <v>0</v>
      </c>
    </row>
    <row r="153" spans="2:16" ht="12.5">
      <c r="B153" s="7" t="str">
        <f t="shared" si="34"/>
        <v/>
      </c>
      <c r="C153" s="50">
        <f>IF(D93="","-",+C152+1)</f>
        <v>2068</v>
      </c>
      <c r="D153" s="12">
        <f>IF(F152+SUM(E$99:E152)=D$92,F152,D$92-SUM(E$99:E152))</f>
        <v>0</v>
      </c>
      <c r="E153" s="378">
        <f t="shared" si="54"/>
        <v>0</v>
      </c>
      <c r="F153" s="55">
        <f t="shared" si="55"/>
        <v>0</v>
      </c>
      <c r="G153" s="55">
        <f t="shared" si="56"/>
        <v>0</v>
      </c>
      <c r="H153" s="380">
        <f t="shared" si="57"/>
        <v>0</v>
      </c>
      <c r="I153" s="399">
        <f t="shared" si="58"/>
        <v>0</v>
      </c>
      <c r="J153" s="54">
        <f t="shared" si="35"/>
        <v>0</v>
      </c>
      <c r="K153" s="54"/>
      <c r="L153" s="129"/>
      <c r="M153" s="54">
        <f t="shared" si="60"/>
        <v>0</v>
      </c>
      <c r="N153" s="129"/>
      <c r="O153" s="54">
        <f t="shared" si="61"/>
        <v>0</v>
      </c>
      <c r="P153" s="54">
        <f t="shared" si="62"/>
        <v>0</v>
      </c>
    </row>
    <row r="154" spans="2:16" ht="13" thickBot="1">
      <c r="B154" s="7" t="str">
        <f t="shared" si="34"/>
        <v/>
      </c>
      <c r="C154" s="59">
        <f>IF(D93="","-",+C153+1)</f>
        <v>2069</v>
      </c>
      <c r="D154" s="12">
        <f>IF(F153+SUM(E$99:E153)=D$92,F153,D$92-SUM(E$99:E153))</f>
        <v>0</v>
      </c>
      <c r="E154" s="378">
        <f t="shared" si="54"/>
        <v>0</v>
      </c>
      <c r="F154" s="55">
        <f t="shared" si="55"/>
        <v>0</v>
      </c>
      <c r="G154" s="55">
        <f t="shared" si="56"/>
        <v>0</v>
      </c>
      <c r="H154" s="380">
        <f t="shared" si="57"/>
        <v>0</v>
      </c>
      <c r="I154" s="399">
        <f t="shared" si="58"/>
        <v>0</v>
      </c>
      <c r="J154" s="54">
        <f t="shared" si="35"/>
        <v>0</v>
      </c>
      <c r="K154" s="54"/>
      <c r="L154" s="130"/>
      <c r="M154" s="64">
        <f t="shared" si="60"/>
        <v>0</v>
      </c>
      <c r="N154" s="130"/>
      <c r="O154" s="64">
        <f t="shared" si="61"/>
        <v>0</v>
      </c>
      <c r="P154" s="64">
        <f t="shared" si="62"/>
        <v>0</v>
      </c>
    </row>
    <row r="155" spans="2:16" ht="12.5">
      <c r="C155" s="12" t="s">
        <v>78</v>
      </c>
      <c r="D155" s="293"/>
      <c r="E155" s="293">
        <f>SUM(E99:E154)</f>
        <v>4866028.3100000015</v>
      </c>
      <c r="F155" s="293"/>
      <c r="G155" s="293"/>
      <c r="H155" s="293">
        <f>SUM(H99:H154)</f>
        <v>18042283.606794424</v>
      </c>
      <c r="I155" s="293">
        <f>SUM(I99:I154)</f>
        <v>18042283.606794424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 ht="12.5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 ht="13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75" priority="1" stopIfTrue="1" operator="equal">
      <formula>$I$10</formula>
    </cfRule>
  </conditionalFormatting>
  <conditionalFormatting sqref="C99:C154">
    <cfRule type="cellIs" dxfId="7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91"/>
  <dimension ref="A1:P162"/>
  <sheetViews>
    <sheetView topLeftCell="A77" zoomScaleNormal="100" zoomScaleSheetLayoutView="72" workbookViewId="0">
      <selection activeCell="D27" sqref="D27:H27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54296875" customWidth="1"/>
    <col min="10" max="10" width="18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42 of 77</v>
      </c>
    </row>
    <row r="2" spans="1:16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602572.0900265798</v>
      </c>
      <c r="P5" s="1"/>
    </row>
    <row r="6" spans="1:16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602572.0900265798</v>
      </c>
      <c r="O6" s="1"/>
      <c r="P6" s="1"/>
    </row>
    <row r="7" spans="1:16" ht="13.5" thickBot="1">
      <c r="C7" s="25" t="s">
        <v>48</v>
      </c>
      <c r="D7" s="90" t="s">
        <v>317</v>
      </c>
      <c r="E7" s="406"/>
      <c r="F7" s="406"/>
      <c r="G7" s="406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316</v>
      </c>
      <c r="E9" s="436" t="s">
        <v>326</v>
      </c>
      <c r="F9" s="31"/>
      <c r="G9" s="31"/>
      <c r="H9" s="31"/>
      <c r="I9" s="32"/>
      <c r="J9" s="33"/>
      <c r="P9" s="1"/>
    </row>
    <row r="10" spans="1:16" ht="13">
      <c r="C10" s="34" t="s">
        <v>51</v>
      </c>
      <c r="D10" s="363">
        <v>5289194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6" ht="12.5">
      <c r="C11" s="34" t="s">
        <v>54</v>
      </c>
      <c r="D11" s="37">
        <v>2014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3">
        <v>6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120208.95454545454</v>
      </c>
      <c r="J14" s="293"/>
      <c r="K14" s="293"/>
      <c r="L14" s="293"/>
      <c r="M14" s="293"/>
      <c r="N14" s="293"/>
      <c r="O14" s="1"/>
      <c r="P14" s="1"/>
    </row>
    <row r="15" spans="1:16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2014</v>
      </c>
      <c r="D17" s="429">
        <v>4520000</v>
      </c>
      <c r="E17" s="437">
        <v>53809.523809523809</v>
      </c>
      <c r="F17" s="429">
        <v>4466190.4761904757</v>
      </c>
      <c r="G17" s="437">
        <v>656345.55089366634</v>
      </c>
      <c r="H17" s="438">
        <v>656345.55089366634</v>
      </c>
      <c r="I17" s="423">
        <v>0</v>
      </c>
      <c r="J17" s="52"/>
      <c r="K17" s="440">
        <f t="shared" ref="K17:K22" si="0">G17</f>
        <v>656345.55089366634</v>
      </c>
      <c r="L17" s="441">
        <f t="shared" ref="L17:L22" si="1">IF(K17&lt;&gt;0,+G17-K17,0)</f>
        <v>0</v>
      </c>
      <c r="M17" s="442">
        <f t="shared" ref="M17:M22" si="2">H17</f>
        <v>656345.55089366634</v>
      </c>
      <c r="N17" s="443">
        <f>IF(M17&lt;&gt;0,+H17-M17,0)</f>
        <v>0</v>
      </c>
      <c r="O17" s="54">
        <f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2015</v>
      </c>
      <c r="D18" s="429">
        <v>4466190.4761904757</v>
      </c>
      <c r="E18" s="430">
        <v>125933.19047619047</v>
      </c>
      <c r="F18" s="429">
        <v>4340257.2857142854</v>
      </c>
      <c r="G18" s="430">
        <v>697565.91247196728</v>
      </c>
      <c r="H18" s="438">
        <v>697565.91247196728</v>
      </c>
      <c r="I18" s="52">
        <v>0</v>
      </c>
      <c r="J18" s="52"/>
      <c r="K18" s="113">
        <f t="shared" si="0"/>
        <v>697565.91247196728</v>
      </c>
      <c r="L18" s="54">
        <f t="shared" si="1"/>
        <v>0</v>
      </c>
      <c r="M18" s="113">
        <f t="shared" si="2"/>
        <v>697565.91247196728</v>
      </c>
      <c r="N18" s="54">
        <f>IF(M18&lt;&gt;0,+H18-M18,0)</f>
        <v>0</v>
      </c>
      <c r="O18" s="54">
        <f>+N18-L18</f>
        <v>0</v>
      </c>
      <c r="P18" s="1"/>
    </row>
    <row r="19" spans="2:16" ht="12.5">
      <c r="B19" s="7" t="str">
        <f>IF(D19=F18,"","IU")</f>
        <v>IU</v>
      </c>
      <c r="C19" s="50">
        <f>IF(D11="","-",+C18+1)</f>
        <v>2016</v>
      </c>
      <c r="D19" s="429">
        <v>5109451.2857142854</v>
      </c>
      <c r="E19" s="430">
        <v>125933.19047619047</v>
      </c>
      <c r="F19" s="429">
        <v>4983518.0952380951</v>
      </c>
      <c r="G19" s="430">
        <v>774189.09981108969</v>
      </c>
      <c r="H19" s="438">
        <v>774189.09981108969</v>
      </c>
      <c r="I19" s="52">
        <f>H19-G19</f>
        <v>0</v>
      </c>
      <c r="J19" s="52"/>
      <c r="K19" s="113">
        <f t="shared" si="0"/>
        <v>774189.09981108969</v>
      </c>
      <c r="L19" s="54">
        <f t="shared" si="1"/>
        <v>0</v>
      </c>
      <c r="M19" s="113">
        <f t="shared" si="2"/>
        <v>774189.09981108969</v>
      </c>
      <c r="N19" s="54">
        <f>IF(M19&lt;&gt;0,+H19-M19,0)</f>
        <v>0</v>
      </c>
      <c r="O19" s="54">
        <f>+N19-L19</f>
        <v>0</v>
      </c>
      <c r="P19" s="1"/>
    </row>
    <row r="20" spans="2:16" ht="12.5">
      <c r="B20" s="7" t="str">
        <f t="shared" ref="B20:B72" si="3">IF(D20=F19,"","IU")</f>
        <v/>
      </c>
      <c r="C20" s="50">
        <f>IF(D11="","-",+C19+1)</f>
        <v>2017</v>
      </c>
      <c r="D20" s="429">
        <v>4983518.0952380951</v>
      </c>
      <c r="E20" s="430">
        <v>123004.51162790698</v>
      </c>
      <c r="F20" s="429">
        <v>4860513.5836101882</v>
      </c>
      <c r="G20" s="430">
        <v>732805.52447428892</v>
      </c>
      <c r="H20" s="438">
        <v>732805.52447428892</v>
      </c>
      <c r="I20" s="52">
        <f t="shared" ref="I20:I72" si="4">H20-G20</f>
        <v>0</v>
      </c>
      <c r="J20" s="52"/>
      <c r="K20" s="113">
        <f t="shared" si="0"/>
        <v>732805.52447428892</v>
      </c>
      <c r="L20" s="54">
        <f t="shared" si="1"/>
        <v>0</v>
      </c>
      <c r="M20" s="113">
        <f t="shared" si="2"/>
        <v>732805.52447428892</v>
      </c>
      <c r="N20" s="54">
        <f>IF(M20&lt;&gt;0,+H20-M20,0)</f>
        <v>0</v>
      </c>
      <c r="O20" s="54">
        <f>+N20-L20</f>
        <v>0</v>
      </c>
      <c r="P20" s="1"/>
    </row>
    <row r="21" spans="2:16" ht="12.5">
      <c r="B21" s="7" t="str">
        <f t="shared" si="3"/>
        <v/>
      </c>
      <c r="C21" s="50">
        <f>IF(D11="","-",+C20+1)</f>
        <v>2018</v>
      </c>
      <c r="D21" s="429">
        <v>4860513.5836101882</v>
      </c>
      <c r="E21" s="430">
        <v>129004.73170731707</v>
      </c>
      <c r="F21" s="429">
        <v>4731508.8519028714</v>
      </c>
      <c r="G21" s="430">
        <v>738549.45587790722</v>
      </c>
      <c r="H21" s="438">
        <v>738549.45587790722</v>
      </c>
      <c r="I21" s="52">
        <f t="shared" si="4"/>
        <v>0</v>
      </c>
      <c r="J21" s="52"/>
      <c r="K21" s="113">
        <f t="shared" si="0"/>
        <v>738549.45587790722</v>
      </c>
      <c r="L21" s="54">
        <f t="shared" si="1"/>
        <v>0</v>
      </c>
      <c r="M21" s="113">
        <f t="shared" si="2"/>
        <v>738549.45587790722</v>
      </c>
      <c r="N21" s="54">
        <f>IF(M21&lt;&gt;0,+H21-M21,0)</f>
        <v>0</v>
      </c>
      <c r="O21" s="54">
        <f>+N21-L21</f>
        <v>0</v>
      </c>
      <c r="P21" s="1"/>
    </row>
    <row r="22" spans="2:16" ht="12.5">
      <c r="B22" s="7" t="str">
        <f t="shared" si="3"/>
        <v/>
      </c>
      <c r="C22" s="50">
        <f>IF(D11="","-",+C21+1)</f>
        <v>2019</v>
      </c>
      <c r="D22" s="429">
        <v>4731508.8519028714</v>
      </c>
      <c r="E22" s="430">
        <v>129004.73170731707</v>
      </c>
      <c r="F22" s="429">
        <v>4602504.1201955546</v>
      </c>
      <c r="G22" s="430">
        <v>722153.71574408386</v>
      </c>
      <c r="H22" s="438">
        <v>722153.71574408386</v>
      </c>
      <c r="I22" s="52">
        <f t="shared" si="4"/>
        <v>0</v>
      </c>
      <c r="J22" s="52"/>
      <c r="K22" s="113">
        <f t="shared" si="0"/>
        <v>722153.71574408386</v>
      </c>
      <c r="L22" s="54">
        <f t="shared" si="1"/>
        <v>0</v>
      </c>
      <c r="M22" s="113">
        <f t="shared" si="2"/>
        <v>722153.71574408386</v>
      </c>
      <c r="N22" s="54">
        <f t="shared" ref="N22:N72" si="5">IF(M22&lt;&gt;0,+H22-M22,0)</f>
        <v>0</v>
      </c>
      <c r="O22" s="54">
        <f t="shared" ref="O22:O72" si="6">+N22-L22</f>
        <v>0</v>
      </c>
      <c r="P22" s="1"/>
    </row>
    <row r="23" spans="2:16" ht="12.5">
      <c r="B23" s="7" t="str">
        <f t="shared" si="3"/>
        <v/>
      </c>
      <c r="C23" s="50">
        <f>IF(D11="","-",+C22+1)</f>
        <v>2020</v>
      </c>
      <c r="D23" s="429">
        <v>4602504.1201955546</v>
      </c>
      <c r="E23" s="430">
        <v>129004.73170731707</v>
      </c>
      <c r="F23" s="429">
        <v>4473499.3884882377</v>
      </c>
      <c r="G23" s="430">
        <v>593403.20733019966</v>
      </c>
      <c r="H23" s="438">
        <v>593403.20733019966</v>
      </c>
      <c r="I23" s="52">
        <f t="shared" si="4"/>
        <v>0</v>
      </c>
      <c r="J23" s="52"/>
      <c r="K23" s="113">
        <f t="shared" ref="K23" si="7">G23</f>
        <v>593403.20733019966</v>
      </c>
      <c r="L23" s="54">
        <f t="shared" ref="L23" si="8">IF(K23&lt;&gt;0,+G23-K23,0)</f>
        <v>0</v>
      </c>
      <c r="M23" s="113">
        <f t="shared" ref="M23" si="9">H23</f>
        <v>593403.20733019966</v>
      </c>
      <c r="N23" s="54">
        <f t="shared" si="5"/>
        <v>0</v>
      </c>
      <c r="O23" s="54">
        <f t="shared" si="6"/>
        <v>0</v>
      </c>
      <c r="P23" s="1"/>
    </row>
    <row r="24" spans="2:16" ht="12.5">
      <c r="B24" s="7" t="str">
        <f t="shared" si="3"/>
        <v>IU</v>
      </c>
      <c r="C24" s="50">
        <f>IF(D11="","-",+C23+1)</f>
        <v>2021</v>
      </c>
      <c r="D24" s="429">
        <v>4479499.6085676476</v>
      </c>
      <c r="E24" s="430">
        <v>125933.19047619047</v>
      </c>
      <c r="F24" s="429">
        <v>4353566.4180914573</v>
      </c>
      <c r="G24" s="430">
        <v>594105.76321991044</v>
      </c>
      <c r="H24" s="438">
        <v>594105.76321991044</v>
      </c>
      <c r="I24" s="52">
        <f t="shared" si="4"/>
        <v>0</v>
      </c>
      <c r="J24" s="52"/>
      <c r="K24" s="113">
        <f t="shared" ref="K24" si="10">G24</f>
        <v>594105.76321991044</v>
      </c>
      <c r="L24" s="54">
        <f t="shared" ref="L24" si="11">IF(K24&lt;&gt;0,+G24-K24,0)</f>
        <v>0</v>
      </c>
      <c r="M24" s="113">
        <f t="shared" ref="M24" si="12">H24</f>
        <v>594105.76321991044</v>
      </c>
      <c r="N24" s="54">
        <f t="shared" si="5"/>
        <v>0</v>
      </c>
      <c r="O24" s="54">
        <f t="shared" si="6"/>
        <v>0</v>
      </c>
      <c r="P24" s="1"/>
    </row>
    <row r="25" spans="2:16" ht="12.5">
      <c r="B25" s="7" t="str">
        <f t="shared" si="3"/>
        <v>IU</v>
      </c>
      <c r="C25" s="50">
        <f>IF(D11="","-",+C24+1)</f>
        <v>2022</v>
      </c>
      <c r="D25" s="429">
        <v>4347566.1980120465</v>
      </c>
      <c r="E25" s="430">
        <v>125933.19047619047</v>
      </c>
      <c r="F25" s="429">
        <v>4221633.0075358562</v>
      </c>
      <c r="G25" s="430">
        <v>607711.1233156696</v>
      </c>
      <c r="H25" s="438">
        <v>607711.1233156696</v>
      </c>
      <c r="I25" s="52">
        <f t="shared" si="4"/>
        <v>0</v>
      </c>
      <c r="J25" s="52"/>
      <c r="K25" s="113">
        <f t="shared" ref="K25" si="13">G25</f>
        <v>607711.1233156696</v>
      </c>
      <c r="L25" s="54">
        <f t="shared" ref="L25" si="14">IF(K25&lt;&gt;0,+G25-K25,0)</f>
        <v>0</v>
      </c>
      <c r="M25" s="113">
        <f t="shared" ref="M25" si="15">H25</f>
        <v>607711.1233156696</v>
      </c>
      <c r="N25" s="54">
        <f t="shared" si="5"/>
        <v>0</v>
      </c>
      <c r="O25" s="54">
        <f t="shared" si="6"/>
        <v>0</v>
      </c>
      <c r="P25" s="1"/>
    </row>
    <row r="26" spans="2:16" ht="12.5">
      <c r="B26" s="7" t="str">
        <f t="shared" si="3"/>
        <v/>
      </c>
      <c r="C26" s="50">
        <f>IF(D11="","-",+C25+1)</f>
        <v>2023</v>
      </c>
      <c r="D26" s="429">
        <v>4221633.0075358562</v>
      </c>
      <c r="E26" s="430">
        <v>125933.19047619047</v>
      </c>
      <c r="F26" s="429">
        <v>4095699.8170596659</v>
      </c>
      <c r="G26" s="430">
        <v>651284.16062052594</v>
      </c>
      <c r="H26" s="438">
        <v>651284.16062052594</v>
      </c>
      <c r="I26" s="52">
        <f t="shared" si="4"/>
        <v>0</v>
      </c>
      <c r="J26" s="52"/>
      <c r="K26" s="113">
        <f t="shared" ref="K26" si="16">G26</f>
        <v>651284.16062052594</v>
      </c>
      <c r="L26" s="54">
        <f t="shared" ref="L26" si="17">IF(K26&lt;&gt;0,+G26-K26,0)</f>
        <v>0</v>
      </c>
      <c r="M26" s="113">
        <f t="shared" ref="M26" si="18">H26</f>
        <v>651284.16062052594</v>
      </c>
      <c r="N26" s="54">
        <f t="shared" si="5"/>
        <v>0</v>
      </c>
      <c r="O26" s="54">
        <f t="shared" si="6"/>
        <v>0</v>
      </c>
      <c r="P26" s="1"/>
    </row>
    <row r="27" spans="2:16" ht="12.5">
      <c r="B27" s="7" t="str">
        <f t="shared" si="3"/>
        <v/>
      </c>
      <c r="C27" s="50">
        <f>IF(D11="","-",+C26+1)</f>
        <v>2024</v>
      </c>
      <c r="D27" s="429">
        <v>4095699.8170596659</v>
      </c>
      <c r="E27" s="430">
        <v>120208.95454545454</v>
      </c>
      <c r="F27" s="429">
        <v>3975490.8625142113</v>
      </c>
      <c r="G27" s="430">
        <v>602572.0900265798</v>
      </c>
      <c r="H27" s="438">
        <v>602572.0900265798</v>
      </c>
      <c r="I27" s="52">
        <f t="shared" si="4"/>
        <v>0</v>
      </c>
      <c r="J27" s="52"/>
      <c r="K27" s="113">
        <f t="shared" ref="K27" si="19">G27</f>
        <v>602572.0900265798</v>
      </c>
      <c r="L27" s="54">
        <f t="shared" ref="L27" si="20">IF(K27&lt;&gt;0,+G27-K27,0)</f>
        <v>0</v>
      </c>
      <c r="M27" s="113">
        <f t="shared" ref="M27" si="21">H27</f>
        <v>602572.0900265798</v>
      </c>
      <c r="N27" s="54">
        <f t="shared" ref="N27" si="22">IF(M27&lt;&gt;0,+H27-M27,0)</f>
        <v>0</v>
      </c>
      <c r="O27" s="54">
        <f t="shared" ref="O27" si="23">+N27-L27</f>
        <v>0</v>
      </c>
      <c r="P27" s="1"/>
    </row>
    <row r="28" spans="2:16" ht="12.5">
      <c r="B28" s="7" t="str">
        <f t="shared" si="3"/>
        <v/>
      </c>
      <c r="C28" s="50">
        <f>IF(D11="","-",+C27+1)</f>
        <v>2025</v>
      </c>
      <c r="D28" s="55">
        <f>IF(F27+SUM(E$17:E27)=D$10,F27,D$10-SUM(E$17:E27))</f>
        <v>3975490.8625142113</v>
      </c>
      <c r="E28" s="378">
        <f t="shared" ref="E28:E72" si="24">IF(+$I$14&lt;F27,$I$14,D28)</f>
        <v>120208.95454545454</v>
      </c>
      <c r="F28" s="55">
        <f t="shared" ref="F28:F72" si="25">+D28-E28</f>
        <v>3855281.9079687567</v>
      </c>
      <c r="G28" s="379">
        <f t="shared" ref="G28:G51" si="26">+I$12*((D28+F28)/2)+E28</f>
        <v>588203.85849063145</v>
      </c>
      <c r="H28" s="364">
        <f t="shared" ref="H28:H51" si="27">+I$13*((D28+F28)/2)+E28</f>
        <v>588203.85849063145</v>
      </c>
      <c r="I28" s="52">
        <f t="shared" si="4"/>
        <v>0</v>
      </c>
      <c r="J28" s="52"/>
      <c r="K28" s="129"/>
      <c r="L28" s="54">
        <f t="shared" ref="L28:L72" si="28">IF(K28&lt;&gt;0,+G28-K28,0)</f>
        <v>0</v>
      </c>
      <c r="M28" s="129"/>
      <c r="N28" s="54">
        <f t="shared" si="5"/>
        <v>0</v>
      </c>
      <c r="O28" s="54">
        <f t="shared" si="6"/>
        <v>0</v>
      </c>
      <c r="P28" s="1"/>
    </row>
    <row r="29" spans="2:16" ht="12.5">
      <c r="B29" s="7" t="str">
        <f t="shared" si="3"/>
        <v/>
      </c>
      <c r="C29" s="50">
        <f>IF(D11="","-",+C28+1)</f>
        <v>2026</v>
      </c>
      <c r="D29" s="55">
        <f>IF(F28+SUM(E$17:E28)=D$10,F28,D$10-SUM(E$17:E28))</f>
        <v>3855281.9079687567</v>
      </c>
      <c r="E29" s="378">
        <f t="shared" si="24"/>
        <v>120208.95454545454</v>
      </c>
      <c r="F29" s="55">
        <f t="shared" si="25"/>
        <v>3735072.9534233022</v>
      </c>
      <c r="G29" s="379">
        <f t="shared" si="26"/>
        <v>573835.62695468287</v>
      </c>
      <c r="H29" s="364">
        <f t="shared" si="27"/>
        <v>573835.62695468287</v>
      </c>
      <c r="I29" s="52">
        <f t="shared" si="4"/>
        <v>0</v>
      </c>
      <c r="J29" s="52"/>
      <c r="K29" s="129"/>
      <c r="L29" s="54">
        <f t="shared" si="28"/>
        <v>0</v>
      </c>
      <c r="M29" s="129"/>
      <c r="N29" s="54">
        <f t="shared" si="5"/>
        <v>0</v>
      </c>
      <c r="O29" s="54">
        <f t="shared" si="6"/>
        <v>0</v>
      </c>
      <c r="P29" s="1"/>
    </row>
    <row r="30" spans="2:16" ht="12.5">
      <c r="B30" s="7" t="str">
        <f t="shared" si="3"/>
        <v/>
      </c>
      <c r="C30" s="50">
        <f>IF(D11="","-",+C29+1)</f>
        <v>2027</v>
      </c>
      <c r="D30" s="55">
        <f>IF(F29+SUM(E$17:E29)=D$10,F29,D$10-SUM(E$17:E29))</f>
        <v>3735072.9534233022</v>
      </c>
      <c r="E30" s="378">
        <f t="shared" si="24"/>
        <v>120208.95454545454</v>
      </c>
      <c r="F30" s="55">
        <f t="shared" si="25"/>
        <v>3614863.9988778476</v>
      </c>
      <c r="G30" s="379">
        <f t="shared" si="26"/>
        <v>559467.39541873441</v>
      </c>
      <c r="H30" s="364">
        <f t="shared" si="27"/>
        <v>559467.39541873441</v>
      </c>
      <c r="I30" s="52">
        <f t="shared" si="4"/>
        <v>0</v>
      </c>
      <c r="J30" s="52"/>
      <c r="K30" s="129"/>
      <c r="L30" s="54">
        <f t="shared" si="28"/>
        <v>0</v>
      </c>
      <c r="M30" s="129"/>
      <c r="N30" s="54">
        <f t="shared" si="5"/>
        <v>0</v>
      </c>
      <c r="O30" s="54">
        <f t="shared" si="6"/>
        <v>0</v>
      </c>
      <c r="P30" s="1"/>
    </row>
    <row r="31" spans="2:16" ht="12.5">
      <c r="B31" s="7" t="str">
        <f t="shared" si="3"/>
        <v/>
      </c>
      <c r="C31" s="50">
        <f>IF(D11="","-",+C30+1)</f>
        <v>2028</v>
      </c>
      <c r="D31" s="55">
        <f>IF(F30+SUM(E$17:E30)=D$10,F30,D$10-SUM(E$17:E30))</f>
        <v>3614863.9988778476</v>
      </c>
      <c r="E31" s="378">
        <f t="shared" si="24"/>
        <v>120208.95454545454</v>
      </c>
      <c r="F31" s="55">
        <f t="shared" si="25"/>
        <v>3494655.044332393</v>
      </c>
      <c r="G31" s="379">
        <f t="shared" si="26"/>
        <v>545099.16388278583</v>
      </c>
      <c r="H31" s="364">
        <f t="shared" si="27"/>
        <v>545099.16388278583</v>
      </c>
      <c r="I31" s="52">
        <f t="shared" si="4"/>
        <v>0</v>
      </c>
      <c r="J31" s="52"/>
      <c r="K31" s="129"/>
      <c r="L31" s="54">
        <f t="shared" si="28"/>
        <v>0</v>
      </c>
      <c r="M31" s="129"/>
      <c r="N31" s="54">
        <f t="shared" si="5"/>
        <v>0</v>
      </c>
      <c r="O31" s="54">
        <f t="shared" si="6"/>
        <v>0</v>
      </c>
      <c r="P31" s="1"/>
    </row>
    <row r="32" spans="2:16" ht="12.5">
      <c r="B32" s="7" t="str">
        <f t="shared" si="3"/>
        <v/>
      </c>
      <c r="C32" s="50">
        <f>IF(D11="","-",+C31+1)</f>
        <v>2029</v>
      </c>
      <c r="D32" s="55">
        <f>IF(F31+SUM(E$17:E31)=D$10,F31,D$10-SUM(E$17:E31))</f>
        <v>3494655.044332393</v>
      </c>
      <c r="E32" s="378">
        <f t="shared" si="24"/>
        <v>120208.95454545454</v>
      </c>
      <c r="F32" s="55">
        <f t="shared" si="25"/>
        <v>3374446.0897869384</v>
      </c>
      <c r="G32" s="379">
        <f t="shared" si="26"/>
        <v>530730.93234683736</v>
      </c>
      <c r="H32" s="364">
        <f t="shared" si="27"/>
        <v>530730.93234683736</v>
      </c>
      <c r="I32" s="52">
        <f t="shared" si="4"/>
        <v>0</v>
      </c>
      <c r="J32" s="52"/>
      <c r="K32" s="129"/>
      <c r="L32" s="54">
        <f t="shared" si="28"/>
        <v>0</v>
      </c>
      <c r="M32" s="129"/>
      <c r="N32" s="54">
        <f t="shared" si="5"/>
        <v>0</v>
      </c>
      <c r="O32" s="54">
        <f t="shared" si="6"/>
        <v>0</v>
      </c>
      <c r="P32" s="1"/>
    </row>
    <row r="33" spans="2:16" ht="12.5">
      <c r="B33" s="7" t="str">
        <f t="shared" si="3"/>
        <v/>
      </c>
      <c r="C33" s="50">
        <f>IF(D11="","-",+C32+1)</f>
        <v>2030</v>
      </c>
      <c r="D33" s="55">
        <f>IF(F32+SUM(E$17:E32)=D$10,F32,D$10-SUM(E$17:E32))</f>
        <v>3374446.0897869384</v>
      </c>
      <c r="E33" s="378">
        <f t="shared" si="24"/>
        <v>120208.95454545454</v>
      </c>
      <c r="F33" s="55">
        <f t="shared" si="25"/>
        <v>3254237.1352414838</v>
      </c>
      <c r="G33" s="379">
        <f t="shared" si="26"/>
        <v>516362.70081088872</v>
      </c>
      <c r="H33" s="364">
        <f t="shared" si="27"/>
        <v>516362.70081088872</v>
      </c>
      <c r="I33" s="52">
        <f t="shared" si="4"/>
        <v>0</v>
      </c>
      <c r="J33" s="52"/>
      <c r="K33" s="129"/>
      <c r="L33" s="54">
        <f t="shared" si="28"/>
        <v>0</v>
      </c>
      <c r="M33" s="129"/>
      <c r="N33" s="54">
        <f t="shared" si="5"/>
        <v>0</v>
      </c>
      <c r="O33" s="54">
        <f t="shared" si="6"/>
        <v>0</v>
      </c>
      <c r="P33" s="1"/>
    </row>
    <row r="34" spans="2:16" ht="12.5">
      <c r="B34" s="7" t="str">
        <f t="shared" si="3"/>
        <v/>
      </c>
      <c r="C34" s="50">
        <f>IF(D11="","-",+C33+1)</f>
        <v>2031</v>
      </c>
      <c r="D34" s="55">
        <f>IF(F33+SUM(E$17:E33)=D$10,F33,D$10-SUM(E$17:E33))</f>
        <v>3254237.1352414838</v>
      </c>
      <c r="E34" s="378">
        <f t="shared" si="24"/>
        <v>120208.95454545454</v>
      </c>
      <c r="F34" s="55">
        <f t="shared" si="25"/>
        <v>3134028.1806960292</v>
      </c>
      <c r="G34" s="379">
        <f t="shared" si="26"/>
        <v>501994.46927494026</v>
      </c>
      <c r="H34" s="364">
        <f t="shared" si="27"/>
        <v>501994.46927494026</v>
      </c>
      <c r="I34" s="52">
        <f t="shared" si="4"/>
        <v>0</v>
      </c>
      <c r="J34" s="52"/>
      <c r="K34" s="129"/>
      <c r="L34" s="54">
        <f t="shared" si="28"/>
        <v>0</v>
      </c>
      <c r="M34" s="129"/>
      <c r="N34" s="54">
        <f t="shared" si="5"/>
        <v>0</v>
      </c>
      <c r="O34" s="54">
        <f t="shared" si="6"/>
        <v>0</v>
      </c>
      <c r="P34" s="1"/>
    </row>
    <row r="35" spans="2:16" ht="12.5">
      <c r="B35" s="7" t="str">
        <f t="shared" si="3"/>
        <v/>
      </c>
      <c r="C35" s="50">
        <f>IF(D11="","-",+C34+1)</f>
        <v>2032</v>
      </c>
      <c r="D35" s="55">
        <f>IF(F34+SUM(E$17:E34)=D$10,F34,D$10-SUM(E$17:E34))</f>
        <v>3134028.1806960292</v>
      </c>
      <c r="E35" s="378">
        <f t="shared" si="24"/>
        <v>120208.95454545454</v>
      </c>
      <c r="F35" s="55">
        <f t="shared" si="25"/>
        <v>3013819.2261505746</v>
      </c>
      <c r="G35" s="379">
        <f t="shared" si="26"/>
        <v>487626.23773899174</v>
      </c>
      <c r="H35" s="364">
        <f t="shared" si="27"/>
        <v>487626.23773899174</v>
      </c>
      <c r="I35" s="52">
        <f t="shared" si="4"/>
        <v>0</v>
      </c>
      <c r="J35" s="52"/>
      <c r="K35" s="129"/>
      <c r="L35" s="54">
        <f t="shared" si="28"/>
        <v>0</v>
      </c>
      <c r="M35" s="129"/>
      <c r="N35" s="54">
        <f t="shared" si="5"/>
        <v>0</v>
      </c>
      <c r="O35" s="54">
        <f t="shared" si="6"/>
        <v>0</v>
      </c>
      <c r="P35" s="1"/>
    </row>
    <row r="36" spans="2:16" ht="12.5">
      <c r="B36" s="7" t="str">
        <f t="shared" si="3"/>
        <v/>
      </c>
      <c r="C36" s="50">
        <f>IF(D11="","-",+C35+1)</f>
        <v>2033</v>
      </c>
      <c r="D36" s="55">
        <f>IF(F35+SUM(E$17:E35)=D$10,F35,D$10-SUM(E$17:E35))</f>
        <v>3013819.2261505746</v>
      </c>
      <c r="E36" s="378">
        <f t="shared" si="24"/>
        <v>120208.95454545454</v>
      </c>
      <c r="F36" s="55">
        <f t="shared" si="25"/>
        <v>2893610.27160512</v>
      </c>
      <c r="G36" s="379">
        <f t="shared" si="26"/>
        <v>473258.00620304327</v>
      </c>
      <c r="H36" s="364">
        <f t="shared" si="27"/>
        <v>473258.00620304327</v>
      </c>
      <c r="I36" s="52">
        <f t="shared" si="4"/>
        <v>0</v>
      </c>
      <c r="J36" s="52"/>
      <c r="K36" s="129"/>
      <c r="L36" s="54">
        <f t="shared" si="28"/>
        <v>0</v>
      </c>
      <c r="M36" s="129"/>
      <c r="N36" s="54">
        <f t="shared" si="5"/>
        <v>0</v>
      </c>
      <c r="O36" s="54">
        <f t="shared" si="6"/>
        <v>0</v>
      </c>
      <c r="P36" s="1"/>
    </row>
    <row r="37" spans="2:16" ht="12.5">
      <c r="B37" s="7" t="str">
        <f t="shared" si="3"/>
        <v/>
      </c>
      <c r="C37" s="50">
        <f>IF(D11="","-",+C36+1)</f>
        <v>2034</v>
      </c>
      <c r="D37" s="55">
        <f>IF(F36+SUM(E$17:E36)=D$10,F36,D$10-SUM(E$17:E36))</f>
        <v>2893610.27160512</v>
      </c>
      <c r="E37" s="378">
        <f t="shared" si="24"/>
        <v>120208.95454545454</v>
      </c>
      <c r="F37" s="55">
        <f t="shared" si="25"/>
        <v>2773401.3170596655</v>
      </c>
      <c r="G37" s="379">
        <f t="shared" si="26"/>
        <v>458889.77466709469</v>
      </c>
      <c r="H37" s="364">
        <f t="shared" si="27"/>
        <v>458889.77466709469</v>
      </c>
      <c r="I37" s="52">
        <f t="shared" si="4"/>
        <v>0</v>
      </c>
      <c r="J37" s="52"/>
      <c r="K37" s="129"/>
      <c r="L37" s="54">
        <f t="shared" si="28"/>
        <v>0</v>
      </c>
      <c r="M37" s="129"/>
      <c r="N37" s="54">
        <f t="shared" si="5"/>
        <v>0</v>
      </c>
      <c r="O37" s="54">
        <f t="shared" si="6"/>
        <v>0</v>
      </c>
      <c r="P37" s="1"/>
    </row>
    <row r="38" spans="2:16" ht="12.5">
      <c r="B38" s="7" t="str">
        <f t="shared" si="3"/>
        <v/>
      </c>
      <c r="C38" s="50">
        <f>IF(D11="","-",+C37+1)</f>
        <v>2035</v>
      </c>
      <c r="D38" s="55">
        <f>IF(F37+SUM(E$17:E37)=D$10,F37,D$10-SUM(E$17:E37))</f>
        <v>2773401.3170596655</v>
      </c>
      <c r="E38" s="378">
        <f t="shared" si="24"/>
        <v>120208.95454545454</v>
      </c>
      <c r="F38" s="55">
        <f t="shared" si="25"/>
        <v>2653192.3625142109</v>
      </c>
      <c r="G38" s="379">
        <f t="shared" si="26"/>
        <v>444521.54313114623</v>
      </c>
      <c r="H38" s="364">
        <f t="shared" si="27"/>
        <v>444521.54313114623</v>
      </c>
      <c r="I38" s="52">
        <f t="shared" si="4"/>
        <v>0</v>
      </c>
      <c r="J38" s="52"/>
      <c r="K38" s="129"/>
      <c r="L38" s="54">
        <f t="shared" si="28"/>
        <v>0</v>
      </c>
      <c r="M38" s="129"/>
      <c r="N38" s="54">
        <f t="shared" si="5"/>
        <v>0</v>
      </c>
      <c r="O38" s="54">
        <f t="shared" si="6"/>
        <v>0</v>
      </c>
      <c r="P38" s="1"/>
    </row>
    <row r="39" spans="2:16" ht="12.5">
      <c r="B39" s="7" t="str">
        <f t="shared" si="3"/>
        <v/>
      </c>
      <c r="C39" s="50">
        <f>IF(D11="","-",+C38+1)</f>
        <v>2036</v>
      </c>
      <c r="D39" s="55">
        <f>IF(F38+SUM(E$17:E38)=D$10,F38,D$10-SUM(E$17:E38))</f>
        <v>2653192.3625142109</v>
      </c>
      <c r="E39" s="378">
        <f t="shared" si="24"/>
        <v>120208.95454545454</v>
      </c>
      <c r="F39" s="55">
        <f t="shared" si="25"/>
        <v>2532983.4079687563</v>
      </c>
      <c r="G39" s="379">
        <f t="shared" si="26"/>
        <v>430153.31159519765</v>
      </c>
      <c r="H39" s="364">
        <f t="shared" si="27"/>
        <v>430153.31159519765</v>
      </c>
      <c r="I39" s="52">
        <f t="shared" si="4"/>
        <v>0</v>
      </c>
      <c r="J39" s="52"/>
      <c r="K39" s="129"/>
      <c r="L39" s="54">
        <f t="shared" si="28"/>
        <v>0</v>
      </c>
      <c r="M39" s="129"/>
      <c r="N39" s="54">
        <f t="shared" si="5"/>
        <v>0</v>
      </c>
      <c r="O39" s="54">
        <f t="shared" si="6"/>
        <v>0</v>
      </c>
      <c r="P39" s="1"/>
    </row>
    <row r="40" spans="2:16" ht="12.5">
      <c r="B40" s="7" t="str">
        <f t="shared" si="3"/>
        <v/>
      </c>
      <c r="C40" s="50">
        <f>IF(D11="","-",+C39+1)</f>
        <v>2037</v>
      </c>
      <c r="D40" s="55">
        <f>IF(F39+SUM(E$17:E39)=D$10,F39,D$10-SUM(E$17:E39))</f>
        <v>2532983.4079687563</v>
      </c>
      <c r="E40" s="378">
        <f t="shared" si="24"/>
        <v>120208.95454545454</v>
      </c>
      <c r="F40" s="55">
        <f t="shared" si="25"/>
        <v>2412774.4534233017</v>
      </c>
      <c r="G40" s="379">
        <f t="shared" si="26"/>
        <v>415785.08005924919</v>
      </c>
      <c r="H40" s="364">
        <f t="shared" si="27"/>
        <v>415785.08005924919</v>
      </c>
      <c r="I40" s="52">
        <f t="shared" si="4"/>
        <v>0</v>
      </c>
      <c r="J40" s="52"/>
      <c r="K40" s="129"/>
      <c r="L40" s="54">
        <f t="shared" si="28"/>
        <v>0</v>
      </c>
      <c r="M40" s="129"/>
      <c r="N40" s="54">
        <f t="shared" si="5"/>
        <v>0</v>
      </c>
      <c r="O40" s="54">
        <f t="shared" si="6"/>
        <v>0</v>
      </c>
      <c r="P40" s="1"/>
    </row>
    <row r="41" spans="2:16" ht="12.5">
      <c r="B41" s="7" t="str">
        <f t="shared" si="3"/>
        <v/>
      </c>
      <c r="C41" s="50">
        <f>IF(D11="","-",+C40+1)</f>
        <v>2038</v>
      </c>
      <c r="D41" s="55">
        <f>IF(F40+SUM(E$17:E40)=D$10,F40,D$10-SUM(E$17:E40))</f>
        <v>2412774.4534233017</v>
      </c>
      <c r="E41" s="378">
        <f t="shared" si="24"/>
        <v>120208.95454545454</v>
      </c>
      <c r="F41" s="55">
        <f t="shared" si="25"/>
        <v>2292565.4988778471</v>
      </c>
      <c r="G41" s="379">
        <f t="shared" si="26"/>
        <v>401416.84852330066</v>
      </c>
      <c r="H41" s="364">
        <f t="shared" si="27"/>
        <v>401416.84852330066</v>
      </c>
      <c r="I41" s="52">
        <f t="shared" si="4"/>
        <v>0</v>
      </c>
      <c r="J41" s="52"/>
      <c r="K41" s="129"/>
      <c r="L41" s="54">
        <f t="shared" si="28"/>
        <v>0</v>
      </c>
      <c r="M41" s="129"/>
      <c r="N41" s="54">
        <f t="shared" si="5"/>
        <v>0</v>
      </c>
      <c r="O41" s="54">
        <f t="shared" si="6"/>
        <v>0</v>
      </c>
      <c r="P41" s="1"/>
    </row>
    <row r="42" spans="2:16" ht="12.5">
      <c r="B42" s="7" t="str">
        <f t="shared" si="3"/>
        <v/>
      </c>
      <c r="C42" s="50">
        <f>IF(D11="","-",+C41+1)</f>
        <v>2039</v>
      </c>
      <c r="D42" s="55">
        <f>IF(F41+SUM(E$17:E41)=D$10,F41,D$10-SUM(E$17:E41))</f>
        <v>2292565.4988778471</v>
      </c>
      <c r="E42" s="378">
        <f t="shared" si="24"/>
        <v>120208.95454545454</v>
      </c>
      <c r="F42" s="55">
        <f t="shared" si="25"/>
        <v>2172356.5443323925</v>
      </c>
      <c r="G42" s="379">
        <f t="shared" si="26"/>
        <v>387048.6169873522</v>
      </c>
      <c r="H42" s="364">
        <f t="shared" si="27"/>
        <v>387048.6169873522</v>
      </c>
      <c r="I42" s="52">
        <f t="shared" si="4"/>
        <v>0</v>
      </c>
      <c r="J42" s="52"/>
      <c r="K42" s="129"/>
      <c r="L42" s="54">
        <f t="shared" si="28"/>
        <v>0</v>
      </c>
      <c r="M42" s="129"/>
      <c r="N42" s="54">
        <f t="shared" si="5"/>
        <v>0</v>
      </c>
      <c r="O42" s="54">
        <f t="shared" si="6"/>
        <v>0</v>
      </c>
      <c r="P42" s="1"/>
    </row>
    <row r="43" spans="2:16" ht="12.5">
      <c r="B43" s="7" t="str">
        <f t="shared" si="3"/>
        <v/>
      </c>
      <c r="C43" s="50">
        <f>IF(D11="","-",+C42+1)</f>
        <v>2040</v>
      </c>
      <c r="D43" s="55">
        <f>IF(F42+SUM(E$17:E42)=D$10,F42,D$10-SUM(E$17:E42))</f>
        <v>2172356.5443323925</v>
      </c>
      <c r="E43" s="378">
        <f t="shared" si="24"/>
        <v>120208.95454545454</v>
      </c>
      <c r="F43" s="55">
        <f t="shared" si="25"/>
        <v>2052147.5897869379</v>
      </c>
      <c r="G43" s="379">
        <f t="shared" si="26"/>
        <v>372680.38545140362</v>
      </c>
      <c r="H43" s="364">
        <f t="shared" si="27"/>
        <v>372680.38545140362</v>
      </c>
      <c r="I43" s="52">
        <f t="shared" si="4"/>
        <v>0</v>
      </c>
      <c r="J43" s="52"/>
      <c r="K43" s="129"/>
      <c r="L43" s="54">
        <f t="shared" si="28"/>
        <v>0</v>
      </c>
      <c r="M43" s="129"/>
      <c r="N43" s="54">
        <f t="shared" si="5"/>
        <v>0</v>
      </c>
      <c r="O43" s="54">
        <f t="shared" si="6"/>
        <v>0</v>
      </c>
      <c r="P43" s="1"/>
    </row>
    <row r="44" spans="2:16" ht="12.5">
      <c r="B44" s="7" t="str">
        <f t="shared" si="3"/>
        <v/>
      </c>
      <c r="C44" s="50">
        <f>IF(D11="","-",+C43+1)</f>
        <v>2041</v>
      </c>
      <c r="D44" s="55">
        <f>IF(F43+SUM(E$17:E43)=D$10,F43,D$10-SUM(E$17:E43))</f>
        <v>2052147.5897869379</v>
      </c>
      <c r="E44" s="378">
        <f t="shared" si="24"/>
        <v>120208.95454545454</v>
      </c>
      <c r="F44" s="55">
        <f t="shared" si="25"/>
        <v>1931938.6352414833</v>
      </c>
      <c r="G44" s="379">
        <f t="shared" si="26"/>
        <v>358312.15391545516</v>
      </c>
      <c r="H44" s="364">
        <f t="shared" si="27"/>
        <v>358312.15391545516</v>
      </c>
      <c r="I44" s="52">
        <f t="shared" si="4"/>
        <v>0</v>
      </c>
      <c r="J44" s="52"/>
      <c r="K44" s="129"/>
      <c r="L44" s="54">
        <f t="shared" si="28"/>
        <v>0</v>
      </c>
      <c r="M44" s="129"/>
      <c r="N44" s="54">
        <f t="shared" si="5"/>
        <v>0</v>
      </c>
      <c r="O44" s="54">
        <f t="shared" si="6"/>
        <v>0</v>
      </c>
      <c r="P44" s="1"/>
    </row>
    <row r="45" spans="2:16" ht="12.5">
      <c r="B45" s="7" t="str">
        <f t="shared" si="3"/>
        <v/>
      </c>
      <c r="C45" s="50">
        <f>IF(D11="","-",+C44+1)</f>
        <v>2042</v>
      </c>
      <c r="D45" s="55">
        <f>IF(F44+SUM(E$17:E44)=D$10,F44,D$10-SUM(E$17:E44))</f>
        <v>1931938.6352414833</v>
      </c>
      <c r="E45" s="378">
        <f t="shared" si="24"/>
        <v>120208.95454545454</v>
      </c>
      <c r="F45" s="55">
        <f t="shared" si="25"/>
        <v>1811729.6806960288</v>
      </c>
      <c r="G45" s="379">
        <f t="shared" si="26"/>
        <v>343943.92237950664</v>
      </c>
      <c r="H45" s="364">
        <f t="shared" si="27"/>
        <v>343943.92237950664</v>
      </c>
      <c r="I45" s="52">
        <f t="shared" si="4"/>
        <v>0</v>
      </c>
      <c r="J45" s="52"/>
      <c r="K45" s="129"/>
      <c r="L45" s="54">
        <f t="shared" si="28"/>
        <v>0</v>
      </c>
      <c r="M45" s="129"/>
      <c r="N45" s="54">
        <f t="shared" si="5"/>
        <v>0</v>
      </c>
      <c r="O45" s="54">
        <f t="shared" si="6"/>
        <v>0</v>
      </c>
      <c r="P45" s="1"/>
    </row>
    <row r="46" spans="2:16" ht="12.5">
      <c r="B46" s="7" t="str">
        <f t="shared" si="3"/>
        <v/>
      </c>
      <c r="C46" s="50">
        <f>IF(D11="","-",+C45+1)</f>
        <v>2043</v>
      </c>
      <c r="D46" s="55">
        <f>IF(F45+SUM(E$17:E45)=D$10,F45,D$10-SUM(E$17:E45))</f>
        <v>1811729.6806960288</v>
      </c>
      <c r="E46" s="378">
        <f t="shared" si="24"/>
        <v>120208.95454545454</v>
      </c>
      <c r="F46" s="55">
        <f t="shared" si="25"/>
        <v>1691520.7261505742</v>
      </c>
      <c r="G46" s="379">
        <f t="shared" si="26"/>
        <v>329575.69084355811</v>
      </c>
      <c r="H46" s="364">
        <f t="shared" si="27"/>
        <v>329575.69084355811</v>
      </c>
      <c r="I46" s="52">
        <f t="shared" si="4"/>
        <v>0</v>
      </c>
      <c r="J46" s="52"/>
      <c r="K46" s="129"/>
      <c r="L46" s="54">
        <f t="shared" si="28"/>
        <v>0</v>
      </c>
      <c r="M46" s="129"/>
      <c r="N46" s="54">
        <f t="shared" si="5"/>
        <v>0</v>
      </c>
      <c r="O46" s="54">
        <f t="shared" si="6"/>
        <v>0</v>
      </c>
      <c r="P46" s="1"/>
    </row>
    <row r="47" spans="2:16" ht="12.5">
      <c r="B47" s="7" t="str">
        <f t="shared" si="3"/>
        <v/>
      </c>
      <c r="C47" s="50">
        <f>IF(D11="","-",+C46+1)</f>
        <v>2044</v>
      </c>
      <c r="D47" s="55">
        <f>IF(F46+SUM(E$17:E46)=D$10,F46,D$10-SUM(E$17:E46))</f>
        <v>1691520.7261505742</v>
      </c>
      <c r="E47" s="378">
        <f t="shared" si="24"/>
        <v>120208.95454545454</v>
      </c>
      <c r="F47" s="55">
        <f t="shared" si="25"/>
        <v>1571311.7716051196</v>
      </c>
      <c r="G47" s="379">
        <f t="shared" si="26"/>
        <v>315207.45930760959</v>
      </c>
      <c r="H47" s="364">
        <f t="shared" si="27"/>
        <v>315207.45930760959</v>
      </c>
      <c r="I47" s="52">
        <f t="shared" si="4"/>
        <v>0</v>
      </c>
      <c r="J47" s="52"/>
      <c r="K47" s="129"/>
      <c r="L47" s="54">
        <f t="shared" si="28"/>
        <v>0</v>
      </c>
      <c r="M47" s="129"/>
      <c r="N47" s="54">
        <f t="shared" si="5"/>
        <v>0</v>
      </c>
      <c r="O47" s="54">
        <f t="shared" si="6"/>
        <v>0</v>
      </c>
      <c r="P47" s="1"/>
    </row>
    <row r="48" spans="2:16" ht="12.5">
      <c r="B48" s="7" t="str">
        <f t="shared" si="3"/>
        <v/>
      </c>
      <c r="C48" s="50">
        <f>IF(D11="","-",+C47+1)</f>
        <v>2045</v>
      </c>
      <c r="D48" s="55">
        <f>IF(F47+SUM(E$17:E47)=D$10,F47,D$10-SUM(E$17:E47))</f>
        <v>1571311.7716051196</v>
      </c>
      <c r="E48" s="378">
        <f t="shared" si="24"/>
        <v>120208.95454545454</v>
      </c>
      <c r="F48" s="55">
        <f t="shared" si="25"/>
        <v>1451102.817059665</v>
      </c>
      <c r="G48" s="379">
        <f t="shared" si="26"/>
        <v>300839.22777166107</v>
      </c>
      <c r="H48" s="364">
        <f t="shared" si="27"/>
        <v>300839.22777166107</v>
      </c>
      <c r="I48" s="52">
        <f t="shared" si="4"/>
        <v>0</v>
      </c>
      <c r="J48" s="52"/>
      <c r="K48" s="129"/>
      <c r="L48" s="54">
        <f t="shared" si="28"/>
        <v>0</v>
      </c>
      <c r="M48" s="129"/>
      <c r="N48" s="54">
        <f t="shared" si="5"/>
        <v>0</v>
      </c>
      <c r="O48" s="54">
        <f t="shared" si="6"/>
        <v>0</v>
      </c>
      <c r="P48" s="1"/>
    </row>
    <row r="49" spans="2:16" ht="12.5">
      <c r="B49" s="7" t="str">
        <f t="shared" si="3"/>
        <v/>
      </c>
      <c r="C49" s="50">
        <f>IF(D11="","-",+C48+1)</f>
        <v>2046</v>
      </c>
      <c r="D49" s="55">
        <f>IF(F48+SUM(E$17:E48)=D$10,F48,D$10-SUM(E$17:E48))</f>
        <v>1451102.817059665</v>
      </c>
      <c r="E49" s="378">
        <f t="shared" si="24"/>
        <v>120208.95454545454</v>
      </c>
      <c r="F49" s="55">
        <f t="shared" si="25"/>
        <v>1330893.8625142104</v>
      </c>
      <c r="G49" s="379">
        <f t="shared" si="26"/>
        <v>286470.99623571255</v>
      </c>
      <c r="H49" s="364">
        <f t="shared" si="27"/>
        <v>286470.99623571255</v>
      </c>
      <c r="I49" s="52">
        <f t="shared" si="4"/>
        <v>0</v>
      </c>
      <c r="J49" s="52"/>
      <c r="K49" s="129"/>
      <c r="L49" s="54">
        <f t="shared" si="28"/>
        <v>0</v>
      </c>
      <c r="M49" s="129"/>
      <c r="N49" s="54">
        <f t="shared" si="5"/>
        <v>0</v>
      </c>
      <c r="O49" s="54">
        <f t="shared" si="6"/>
        <v>0</v>
      </c>
      <c r="P49" s="1"/>
    </row>
    <row r="50" spans="2:16" ht="12.5">
      <c r="B50" s="7" t="str">
        <f t="shared" si="3"/>
        <v/>
      </c>
      <c r="C50" s="50">
        <f>IF(D11="","-",+C49+1)</f>
        <v>2047</v>
      </c>
      <c r="D50" s="55">
        <f>IF(F49+SUM(E$17:E49)=D$10,F49,D$10-SUM(E$17:E49))</f>
        <v>1330893.8625142104</v>
      </c>
      <c r="E50" s="378">
        <f t="shared" si="24"/>
        <v>120208.95454545454</v>
      </c>
      <c r="F50" s="55">
        <f t="shared" si="25"/>
        <v>1210684.9079687558</v>
      </c>
      <c r="G50" s="379">
        <f t="shared" si="26"/>
        <v>272102.76469976408</v>
      </c>
      <c r="H50" s="364">
        <f t="shared" si="27"/>
        <v>272102.76469976408</v>
      </c>
      <c r="I50" s="52">
        <f t="shared" si="4"/>
        <v>0</v>
      </c>
      <c r="J50" s="52"/>
      <c r="K50" s="129"/>
      <c r="L50" s="54">
        <f t="shared" si="28"/>
        <v>0</v>
      </c>
      <c r="M50" s="129"/>
      <c r="N50" s="54">
        <f t="shared" si="5"/>
        <v>0</v>
      </c>
      <c r="O50" s="54">
        <f t="shared" si="6"/>
        <v>0</v>
      </c>
      <c r="P50" s="1"/>
    </row>
    <row r="51" spans="2:16" ht="12.5">
      <c r="B51" s="7" t="str">
        <f t="shared" si="3"/>
        <v/>
      </c>
      <c r="C51" s="50">
        <f>IF(D11="","-",+C50+1)</f>
        <v>2048</v>
      </c>
      <c r="D51" s="55">
        <f>IF(F50+SUM(E$17:E50)=D$10,F50,D$10-SUM(E$17:E50))</f>
        <v>1210684.9079687558</v>
      </c>
      <c r="E51" s="378">
        <f t="shared" si="24"/>
        <v>120208.95454545454</v>
      </c>
      <c r="F51" s="55">
        <f t="shared" si="25"/>
        <v>1090475.9534233012</v>
      </c>
      <c r="G51" s="379">
        <f t="shared" si="26"/>
        <v>257734.53316381556</v>
      </c>
      <c r="H51" s="364">
        <f t="shared" si="27"/>
        <v>257734.53316381556</v>
      </c>
      <c r="I51" s="52">
        <f t="shared" si="4"/>
        <v>0</v>
      </c>
      <c r="J51" s="52"/>
      <c r="K51" s="129"/>
      <c r="L51" s="54">
        <f t="shared" si="28"/>
        <v>0</v>
      </c>
      <c r="M51" s="129"/>
      <c r="N51" s="54">
        <f t="shared" si="5"/>
        <v>0</v>
      </c>
      <c r="O51" s="54">
        <f t="shared" si="6"/>
        <v>0</v>
      </c>
      <c r="P51" s="1"/>
    </row>
    <row r="52" spans="2:16" ht="12.5">
      <c r="B52" s="7" t="str">
        <f t="shared" si="3"/>
        <v/>
      </c>
      <c r="C52" s="50">
        <f>IF(D11="","-",+C51+1)</f>
        <v>2049</v>
      </c>
      <c r="D52" s="55">
        <f>IF(F51+SUM(E$17:E51)=D$10,F51,D$10-SUM(E$17:E51))</f>
        <v>1090475.9534233012</v>
      </c>
      <c r="E52" s="378">
        <f t="shared" si="24"/>
        <v>120208.95454545454</v>
      </c>
      <c r="F52" s="55">
        <f t="shared" si="25"/>
        <v>970266.99887784664</v>
      </c>
      <c r="G52" s="379">
        <f t="shared" ref="G52:G72" si="29">+I$12*((D52+F52)/2)+E52</f>
        <v>243366.30162786704</v>
      </c>
      <c r="H52" s="364">
        <f t="shared" ref="H52:H72" si="30">+I$13*((D52+F52)/2)+E52</f>
        <v>243366.30162786704</v>
      </c>
      <c r="I52" s="52">
        <f t="shared" si="4"/>
        <v>0</v>
      </c>
      <c r="J52" s="52"/>
      <c r="K52" s="129"/>
      <c r="L52" s="54">
        <f t="shared" si="28"/>
        <v>0</v>
      </c>
      <c r="M52" s="129"/>
      <c r="N52" s="54">
        <f t="shared" si="5"/>
        <v>0</v>
      </c>
      <c r="O52" s="54">
        <f t="shared" si="6"/>
        <v>0</v>
      </c>
      <c r="P52" s="1"/>
    </row>
    <row r="53" spans="2:16" ht="12.5">
      <c r="B53" s="7" t="str">
        <f t="shared" si="3"/>
        <v/>
      </c>
      <c r="C53" s="50">
        <f>IF(D11="","-",+C52+1)</f>
        <v>2050</v>
      </c>
      <c r="D53" s="55">
        <f>IF(F52+SUM(E$17:E52)=D$10,F52,D$10-SUM(E$17:E52))</f>
        <v>970266.99887784664</v>
      </c>
      <c r="E53" s="378">
        <f t="shared" si="24"/>
        <v>120208.95454545454</v>
      </c>
      <c r="F53" s="55">
        <f t="shared" si="25"/>
        <v>850058.04433239205</v>
      </c>
      <c r="G53" s="379">
        <f t="shared" si="29"/>
        <v>228998.07009191852</v>
      </c>
      <c r="H53" s="364">
        <f t="shared" si="30"/>
        <v>228998.07009191852</v>
      </c>
      <c r="I53" s="52">
        <f t="shared" si="4"/>
        <v>0</v>
      </c>
      <c r="J53" s="52"/>
      <c r="K53" s="129"/>
      <c r="L53" s="54">
        <f t="shared" si="28"/>
        <v>0</v>
      </c>
      <c r="M53" s="129"/>
      <c r="N53" s="54">
        <f t="shared" si="5"/>
        <v>0</v>
      </c>
      <c r="O53" s="54">
        <f t="shared" si="6"/>
        <v>0</v>
      </c>
      <c r="P53" s="1"/>
    </row>
    <row r="54" spans="2:16" ht="12.5">
      <c r="B54" s="7" t="str">
        <f t="shared" si="3"/>
        <v/>
      </c>
      <c r="C54" s="50">
        <f>IF(D11="","-",+C53+1)</f>
        <v>2051</v>
      </c>
      <c r="D54" s="55">
        <f>IF(F53+SUM(E$17:E53)=D$10,F53,D$10-SUM(E$17:E53))</f>
        <v>850058.04433239205</v>
      </c>
      <c r="E54" s="378">
        <f t="shared" si="24"/>
        <v>120208.95454545454</v>
      </c>
      <c r="F54" s="55">
        <f t="shared" si="25"/>
        <v>729849.08978693746</v>
      </c>
      <c r="G54" s="379">
        <f t="shared" si="29"/>
        <v>214629.83855597</v>
      </c>
      <c r="H54" s="364">
        <f t="shared" si="30"/>
        <v>214629.83855597</v>
      </c>
      <c r="I54" s="52">
        <f t="shared" si="4"/>
        <v>0</v>
      </c>
      <c r="J54" s="52"/>
      <c r="K54" s="129"/>
      <c r="L54" s="54">
        <f t="shared" si="28"/>
        <v>0</v>
      </c>
      <c r="M54" s="129"/>
      <c r="N54" s="54">
        <f t="shared" si="5"/>
        <v>0</v>
      </c>
      <c r="O54" s="54">
        <f t="shared" si="6"/>
        <v>0</v>
      </c>
      <c r="P54" s="1"/>
    </row>
    <row r="55" spans="2:16" ht="12.5">
      <c r="B55" s="7" t="str">
        <f t="shared" si="3"/>
        <v/>
      </c>
      <c r="C55" s="50">
        <f>IF(D11="","-",+C54+1)</f>
        <v>2052</v>
      </c>
      <c r="D55" s="55">
        <f>IF(F54+SUM(E$17:E54)=D$10,F54,D$10-SUM(E$17:E54))</f>
        <v>729849.08978693746</v>
      </c>
      <c r="E55" s="378">
        <f t="shared" si="24"/>
        <v>120208.95454545454</v>
      </c>
      <c r="F55" s="55">
        <f t="shared" si="25"/>
        <v>609640.13524148287</v>
      </c>
      <c r="G55" s="379">
        <f t="shared" si="29"/>
        <v>200261.6070200215</v>
      </c>
      <c r="H55" s="364">
        <f t="shared" si="30"/>
        <v>200261.6070200215</v>
      </c>
      <c r="I55" s="52">
        <f t="shared" si="4"/>
        <v>0</v>
      </c>
      <c r="J55" s="52"/>
      <c r="K55" s="129"/>
      <c r="L55" s="54">
        <f t="shared" si="28"/>
        <v>0</v>
      </c>
      <c r="M55" s="129"/>
      <c r="N55" s="54">
        <f t="shared" si="5"/>
        <v>0</v>
      </c>
      <c r="O55" s="54">
        <f t="shared" si="6"/>
        <v>0</v>
      </c>
      <c r="P55" s="1"/>
    </row>
    <row r="56" spans="2:16" ht="12.5">
      <c r="B56" s="7" t="str">
        <f t="shared" si="3"/>
        <v/>
      </c>
      <c r="C56" s="50">
        <f>IF(D11="","-",+C55+1)</f>
        <v>2053</v>
      </c>
      <c r="D56" s="55">
        <f>IF(F55+SUM(E$17:E55)=D$10,F55,D$10-SUM(E$17:E55))</f>
        <v>609640.13524148287</v>
      </c>
      <c r="E56" s="378">
        <f t="shared" si="24"/>
        <v>120208.95454545454</v>
      </c>
      <c r="F56" s="55">
        <f t="shared" si="25"/>
        <v>489431.18069602834</v>
      </c>
      <c r="G56" s="379">
        <f t="shared" si="29"/>
        <v>185893.37548407298</v>
      </c>
      <c r="H56" s="364">
        <f t="shared" si="30"/>
        <v>185893.37548407298</v>
      </c>
      <c r="I56" s="52">
        <f t="shared" si="4"/>
        <v>0</v>
      </c>
      <c r="J56" s="52"/>
      <c r="K56" s="129"/>
      <c r="L56" s="54">
        <f t="shared" si="28"/>
        <v>0</v>
      </c>
      <c r="M56" s="129"/>
      <c r="N56" s="54">
        <f t="shared" si="5"/>
        <v>0</v>
      </c>
      <c r="O56" s="54">
        <f t="shared" si="6"/>
        <v>0</v>
      </c>
      <c r="P56" s="1"/>
    </row>
    <row r="57" spans="2:16" ht="12.5">
      <c r="B57" s="7" t="str">
        <f t="shared" si="3"/>
        <v/>
      </c>
      <c r="C57" s="50">
        <f>IF(D11="","-",+C56+1)</f>
        <v>2054</v>
      </c>
      <c r="D57" s="55">
        <f>IF(F56+SUM(E$17:E56)=D$10,F56,D$10-SUM(E$17:E56))</f>
        <v>489431.18069602834</v>
      </c>
      <c r="E57" s="378">
        <f t="shared" si="24"/>
        <v>120208.95454545454</v>
      </c>
      <c r="F57" s="55">
        <f t="shared" si="25"/>
        <v>369222.22615057381</v>
      </c>
      <c r="G57" s="379">
        <f t="shared" si="29"/>
        <v>171525.14394812449</v>
      </c>
      <c r="H57" s="364">
        <f t="shared" si="30"/>
        <v>171525.14394812449</v>
      </c>
      <c r="I57" s="52">
        <f t="shared" si="4"/>
        <v>0</v>
      </c>
      <c r="J57" s="52"/>
      <c r="K57" s="129"/>
      <c r="L57" s="54">
        <f t="shared" si="28"/>
        <v>0</v>
      </c>
      <c r="M57" s="129"/>
      <c r="N57" s="54">
        <f t="shared" si="5"/>
        <v>0</v>
      </c>
      <c r="O57" s="54">
        <f t="shared" si="6"/>
        <v>0</v>
      </c>
      <c r="P57" s="1"/>
    </row>
    <row r="58" spans="2:16" ht="12.5">
      <c r="B58" s="7" t="str">
        <f t="shared" si="3"/>
        <v/>
      </c>
      <c r="C58" s="50">
        <f>IF(D11="","-",+C57+1)</f>
        <v>2055</v>
      </c>
      <c r="D58" s="55">
        <f>IF(F57+SUM(E$17:E57)=D$10,F57,D$10-SUM(E$17:E57))</f>
        <v>369222.22615057381</v>
      </c>
      <c r="E58" s="378">
        <f t="shared" si="24"/>
        <v>120208.95454545454</v>
      </c>
      <c r="F58" s="55">
        <f t="shared" si="25"/>
        <v>249013.27160511928</v>
      </c>
      <c r="G58" s="379">
        <f t="shared" si="29"/>
        <v>157156.91241217597</v>
      </c>
      <c r="H58" s="364">
        <f t="shared" si="30"/>
        <v>157156.91241217597</v>
      </c>
      <c r="I58" s="52">
        <f t="shared" si="4"/>
        <v>0</v>
      </c>
      <c r="J58" s="52"/>
      <c r="K58" s="129"/>
      <c r="L58" s="54">
        <f t="shared" si="28"/>
        <v>0</v>
      </c>
      <c r="M58" s="129"/>
      <c r="N58" s="54">
        <f t="shared" si="5"/>
        <v>0</v>
      </c>
      <c r="O58" s="54">
        <f t="shared" si="6"/>
        <v>0</v>
      </c>
      <c r="P58" s="1"/>
    </row>
    <row r="59" spans="2:16" ht="12.5">
      <c r="B59" s="7" t="str">
        <f t="shared" si="3"/>
        <v/>
      </c>
      <c r="C59" s="50">
        <f>IF(D11="","-",+C58+1)</f>
        <v>2056</v>
      </c>
      <c r="D59" s="55">
        <f>IF(F58+SUM(E$17:E58)=D$10,F58,D$10-SUM(E$17:E58))</f>
        <v>249013.27160511928</v>
      </c>
      <c r="E59" s="378">
        <f t="shared" si="24"/>
        <v>120208.95454545454</v>
      </c>
      <c r="F59" s="55">
        <f t="shared" si="25"/>
        <v>128804.31705966474</v>
      </c>
      <c r="G59" s="379">
        <f t="shared" si="29"/>
        <v>142788.68087622747</v>
      </c>
      <c r="H59" s="364">
        <f t="shared" si="30"/>
        <v>142788.68087622747</v>
      </c>
      <c r="I59" s="52">
        <f t="shared" si="4"/>
        <v>0</v>
      </c>
      <c r="J59" s="52"/>
      <c r="K59" s="129"/>
      <c r="L59" s="54">
        <f t="shared" si="28"/>
        <v>0</v>
      </c>
      <c r="M59" s="129"/>
      <c r="N59" s="54">
        <f t="shared" si="5"/>
        <v>0</v>
      </c>
      <c r="O59" s="54">
        <f t="shared" si="6"/>
        <v>0</v>
      </c>
      <c r="P59" s="1"/>
    </row>
    <row r="60" spans="2:16" ht="12.5">
      <c r="B60" s="7" t="str">
        <f t="shared" si="3"/>
        <v/>
      </c>
      <c r="C60" s="50">
        <f>IF(D11="","-",+C59+1)</f>
        <v>2057</v>
      </c>
      <c r="D60" s="55">
        <f>IF(F59+SUM(E$17:E59)=D$10,F59,D$10-SUM(E$17:E59))</f>
        <v>128804.31705966474</v>
      </c>
      <c r="E60" s="378">
        <f t="shared" si="24"/>
        <v>120208.95454545454</v>
      </c>
      <c r="F60" s="55">
        <f t="shared" si="25"/>
        <v>8595.3625142101955</v>
      </c>
      <c r="G60" s="379">
        <f t="shared" si="29"/>
        <v>128420.44934027897</v>
      </c>
      <c r="H60" s="364">
        <f t="shared" si="30"/>
        <v>128420.44934027897</v>
      </c>
      <c r="I60" s="52">
        <f t="shared" si="4"/>
        <v>0</v>
      </c>
      <c r="J60" s="52"/>
      <c r="K60" s="129"/>
      <c r="L60" s="54">
        <f t="shared" si="28"/>
        <v>0</v>
      </c>
      <c r="M60" s="129"/>
      <c r="N60" s="54">
        <f t="shared" si="5"/>
        <v>0</v>
      </c>
      <c r="O60" s="54">
        <f t="shared" si="6"/>
        <v>0</v>
      </c>
      <c r="P60" s="1"/>
    </row>
    <row r="61" spans="2:16" ht="12.5">
      <c r="B61" s="7" t="str">
        <f t="shared" si="3"/>
        <v/>
      </c>
      <c r="C61" s="50">
        <f>IF(D11="","-",+C60+1)</f>
        <v>2058</v>
      </c>
      <c r="D61" s="55">
        <f>IF(F60+SUM(E$17:E60)=D$10,F60,D$10-SUM(E$17:E60))</f>
        <v>8595.3625142101955</v>
      </c>
      <c r="E61" s="378">
        <f t="shared" si="24"/>
        <v>8595.3625142101955</v>
      </c>
      <c r="F61" s="55">
        <f t="shared" si="25"/>
        <v>0</v>
      </c>
      <c r="G61" s="379">
        <f t="shared" si="29"/>
        <v>9109.0520276352763</v>
      </c>
      <c r="H61" s="364">
        <f t="shared" si="30"/>
        <v>9109.0520276352763</v>
      </c>
      <c r="I61" s="52">
        <f t="shared" si="4"/>
        <v>0</v>
      </c>
      <c r="J61" s="52"/>
      <c r="K61" s="129"/>
      <c r="L61" s="54">
        <f t="shared" si="28"/>
        <v>0</v>
      </c>
      <c r="M61" s="129"/>
      <c r="N61" s="54">
        <f t="shared" si="5"/>
        <v>0</v>
      </c>
      <c r="O61" s="54">
        <f t="shared" si="6"/>
        <v>0</v>
      </c>
      <c r="P61" s="1"/>
    </row>
    <row r="62" spans="2:16" ht="12.5">
      <c r="B62" s="7" t="str">
        <f t="shared" si="3"/>
        <v/>
      </c>
      <c r="C62" s="50">
        <f>IF(D11="","-",+C61+1)</f>
        <v>2059</v>
      </c>
      <c r="D62" s="55">
        <f>IF(F61+SUM(E$17:E61)=D$10,F61,D$10-SUM(E$17:E61))</f>
        <v>0</v>
      </c>
      <c r="E62" s="378">
        <f t="shared" si="24"/>
        <v>0</v>
      </c>
      <c r="F62" s="55">
        <f t="shared" si="25"/>
        <v>0</v>
      </c>
      <c r="G62" s="379">
        <f t="shared" si="29"/>
        <v>0</v>
      </c>
      <c r="H62" s="364">
        <f t="shared" si="30"/>
        <v>0</v>
      </c>
      <c r="I62" s="52">
        <f t="shared" si="4"/>
        <v>0</v>
      </c>
      <c r="J62" s="52"/>
      <c r="K62" s="129"/>
      <c r="L62" s="54">
        <f t="shared" si="28"/>
        <v>0</v>
      </c>
      <c r="M62" s="129"/>
      <c r="N62" s="54">
        <f t="shared" si="5"/>
        <v>0</v>
      </c>
      <c r="O62" s="54">
        <f t="shared" si="6"/>
        <v>0</v>
      </c>
      <c r="P62" s="1"/>
    </row>
    <row r="63" spans="2:16" ht="12.5">
      <c r="B63" s="7" t="str">
        <f t="shared" si="3"/>
        <v/>
      </c>
      <c r="C63" s="50">
        <f>IF(D11="","-",+C62+1)</f>
        <v>2060</v>
      </c>
      <c r="D63" s="55">
        <f>IF(F62+SUM(E$17:E62)=D$10,F62,D$10-SUM(E$17:E62))</f>
        <v>0</v>
      </c>
      <c r="E63" s="378">
        <f t="shared" si="24"/>
        <v>0</v>
      </c>
      <c r="F63" s="55">
        <f t="shared" si="25"/>
        <v>0</v>
      </c>
      <c r="G63" s="379">
        <f t="shared" si="29"/>
        <v>0</v>
      </c>
      <c r="H63" s="364">
        <f t="shared" si="30"/>
        <v>0</v>
      </c>
      <c r="I63" s="52">
        <f t="shared" si="4"/>
        <v>0</v>
      </c>
      <c r="J63" s="52"/>
      <c r="K63" s="129"/>
      <c r="L63" s="54">
        <f t="shared" si="28"/>
        <v>0</v>
      </c>
      <c r="M63" s="129"/>
      <c r="N63" s="54">
        <f t="shared" si="5"/>
        <v>0</v>
      </c>
      <c r="O63" s="54">
        <f t="shared" si="6"/>
        <v>0</v>
      </c>
      <c r="P63" s="1"/>
    </row>
    <row r="64" spans="2:16" ht="12.5">
      <c r="B64" s="7" t="str">
        <f t="shared" si="3"/>
        <v/>
      </c>
      <c r="C64" s="50">
        <f>IF(D11="","-",+C63+1)</f>
        <v>2061</v>
      </c>
      <c r="D64" s="55">
        <f>IF(F63+SUM(E$17:E63)=D$10,F63,D$10-SUM(E$17:E63))</f>
        <v>0</v>
      </c>
      <c r="E64" s="378">
        <f t="shared" si="24"/>
        <v>0</v>
      </c>
      <c r="F64" s="55">
        <f t="shared" si="25"/>
        <v>0</v>
      </c>
      <c r="G64" s="379">
        <f t="shared" si="29"/>
        <v>0</v>
      </c>
      <c r="H64" s="364">
        <f t="shared" si="30"/>
        <v>0</v>
      </c>
      <c r="I64" s="52">
        <f t="shared" si="4"/>
        <v>0</v>
      </c>
      <c r="J64" s="52"/>
      <c r="K64" s="129"/>
      <c r="L64" s="54">
        <f t="shared" si="28"/>
        <v>0</v>
      </c>
      <c r="M64" s="129"/>
      <c r="N64" s="54">
        <f t="shared" si="5"/>
        <v>0</v>
      </c>
      <c r="O64" s="54">
        <f t="shared" si="6"/>
        <v>0</v>
      </c>
      <c r="P64" s="1"/>
    </row>
    <row r="65" spans="2:16" ht="12.5">
      <c r="B65" s="7" t="str">
        <f t="shared" si="3"/>
        <v/>
      </c>
      <c r="C65" s="50">
        <f>IF(D11="","-",+C64+1)</f>
        <v>2062</v>
      </c>
      <c r="D65" s="55">
        <f>IF(F64+SUM(E$17:E64)=D$10,F64,D$10-SUM(E$17:E64))</f>
        <v>0</v>
      </c>
      <c r="E65" s="378">
        <f t="shared" si="24"/>
        <v>0</v>
      </c>
      <c r="F65" s="55">
        <f t="shared" si="25"/>
        <v>0</v>
      </c>
      <c r="G65" s="379">
        <f t="shared" si="29"/>
        <v>0</v>
      </c>
      <c r="H65" s="364">
        <f t="shared" si="30"/>
        <v>0</v>
      </c>
      <c r="I65" s="52">
        <f t="shared" si="4"/>
        <v>0</v>
      </c>
      <c r="J65" s="52"/>
      <c r="K65" s="129"/>
      <c r="L65" s="54">
        <f t="shared" si="28"/>
        <v>0</v>
      </c>
      <c r="M65" s="129"/>
      <c r="N65" s="54">
        <f t="shared" si="5"/>
        <v>0</v>
      </c>
      <c r="O65" s="54">
        <f t="shared" si="6"/>
        <v>0</v>
      </c>
      <c r="P65" s="1"/>
    </row>
    <row r="66" spans="2:16" ht="12.5">
      <c r="B66" s="7" t="str">
        <f t="shared" si="3"/>
        <v/>
      </c>
      <c r="C66" s="50">
        <f>IF(D11="","-",+C65+1)</f>
        <v>2063</v>
      </c>
      <c r="D66" s="55">
        <f>IF(F65+SUM(E$17:E65)=D$10,F65,D$10-SUM(E$17:E65))</f>
        <v>0</v>
      </c>
      <c r="E66" s="378">
        <f t="shared" si="24"/>
        <v>0</v>
      </c>
      <c r="F66" s="55">
        <f t="shared" si="25"/>
        <v>0</v>
      </c>
      <c r="G66" s="379">
        <f t="shared" si="29"/>
        <v>0</v>
      </c>
      <c r="H66" s="364">
        <f t="shared" si="30"/>
        <v>0</v>
      </c>
      <c r="I66" s="52">
        <f t="shared" si="4"/>
        <v>0</v>
      </c>
      <c r="J66" s="52"/>
      <c r="K66" s="129"/>
      <c r="L66" s="54">
        <f t="shared" si="28"/>
        <v>0</v>
      </c>
      <c r="M66" s="129"/>
      <c r="N66" s="54">
        <f t="shared" si="5"/>
        <v>0</v>
      </c>
      <c r="O66" s="54">
        <f t="shared" si="6"/>
        <v>0</v>
      </c>
      <c r="P66" s="1"/>
    </row>
    <row r="67" spans="2:16" ht="12.5">
      <c r="B67" s="7" t="str">
        <f t="shared" si="3"/>
        <v/>
      </c>
      <c r="C67" s="50">
        <f>IF(D11="","-",+C66+1)</f>
        <v>2064</v>
      </c>
      <c r="D67" s="55">
        <f>IF(F66+SUM(E$17:E66)=D$10,F66,D$10-SUM(E$17:E66))</f>
        <v>0</v>
      </c>
      <c r="E67" s="378">
        <f t="shared" si="24"/>
        <v>0</v>
      </c>
      <c r="F67" s="55">
        <f t="shared" si="25"/>
        <v>0</v>
      </c>
      <c r="G67" s="379">
        <f t="shared" si="29"/>
        <v>0</v>
      </c>
      <c r="H67" s="364">
        <f t="shared" si="30"/>
        <v>0</v>
      </c>
      <c r="I67" s="52">
        <f t="shared" si="4"/>
        <v>0</v>
      </c>
      <c r="J67" s="52"/>
      <c r="K67" s="129"/>
      <c r="L67" s="54">
        <f t="shared" si="28"/>
        <v>0</v>
      </c>
      <c r="M67" s="129"/>
      <c r="N67" s="54">
        <f t="shared" si="5"/>
        <v>0</v>
      </c>
      <c r="O67" s="54">
        <f t="shared" si="6"/>
        <v>0</v>
      </c>
      <c r="P67" s="1"/>
    </row>
    <row r="68" spans="2:16" ht="12.5">
      <c r="B68" s="7" t="str">
        <f t="shared" si="3"/>
        <v/>
      </c>
      <c r="C68" s="50">
        <f>IF(D11="","-",+C67+1)</f>
        <v>2065</v>
      </c>
      <c r="D68" s="55">
        <f>IF(F67+SUM(E$17:E67)=D$10,F67,D$10-SUM(E$17:E67))</f>
        <v>0</v>
      </c>
      <c r="E68" s="378">
        <f t="shared" si="24"/>
        <v>0</v>
      </c>
      <c r="F68" s="55">
        <f t="shared" si="25"/>
        <v>0</v>
      </c>
      <c r="G68" s="379">
        <f t="shared" si="29"/>
        <v>0</v>
      </c>
      <c r="H68" s="364">
        <f t="shared" si="30"/>
        <v>0</v>
      </c>
      <c r="I68" s="52">
        <f t="shared" si="4"/>
        <v>0</v>
      </c>
      <c r="J68" s="52"/>
      <c r="K68" s="129"/>
      <c r="L68" s="54">
        <f t="shared" si="28"/>
        <v>0</v>
      </c>
      <c r="M68" s="129"/>
      <c r="N68" s="54">
        <f t="shared" si="5"/>
        <v>0</v>
      </c>
      <c r="O68" s="54">
        <f t="shared" si="6"/>
        <v>0</v>
      </c>
      <c r="P68" s="1"/>
    </row>
    <row r="69" spans="2:16" ht="12.5">
      <c r="B69" s="7" t="str">
        <f t="shared" si="3"/>
        <v/>
      </c>
      <c r="C69" s="50">
        <f>IF(D11="","-",+C68+1)</f>
        <v>2066</v>
      </c>
      <c r="D69" s="55">
        <f>IF(F68+SUM(E$17:E68)=D$10,F68,D$10-SUM(E$17:E68))</f>
        <v>0</v>
      </c>
      <c r="E69" s="378">
        <f t="shared" si="24"/>
        <v>0</v>
      </c>
      <c r="F69" s="55">
        <f t="shared" si="25"/>
        <v>0</v>
      </c>
      <c r="G69" s="379">
        <f t="shared" si="29"/>
        <v>0</v>
      </c>
      <c r="H69" s="364">
        <f t="shared" si="30"/>
        <v>0</v>
      </c>
      <c r="I69" s="52">
        <f t="shared" si="4"/>
        <v>0</v>
      </c>
      <c r="J69" s="52"/>
      <c r="K69" s="129"/>
      <c r="L69" s="54">
        <f t="shared" si="28"/>
        <v>0</v>
      </c>
      <c r="M69" s="129"/>
      <c r="N69" s="54">
        <f t="shared" si="5"/>
        <v>0</v>
      </c>
      <c r="O69" s="54">
        <f t="shared" si="6"/>
        <v>0</v>
      </c>
      <c r="P69" s="1"/>
    </row>
    <row r="70" spans="2:16" ht="12.5">
      <c r="B70" s="7" t="str">
        <f t="shared" si="3"/>
        <v/>
      </c>
      <c r="C70" s="50">
        <f>IF(D11="","-",+C69+1)</f>
        <v>2067</v>
      </c>
      <c r="D70" s="55">
        <f>IF(F69+SUM(E$17:E69)=D$10,F69,D$10-SUM(E$17:E69))</f>
        <v>0</v>
      </c>
      <c r="E70" s="378">
        <f t="shared" si="24"/>
        <v>0</v>
      </c>
      <c r="F70" s="55">
        <f t="shared" si="25"/>
        <v>0</v>
      </c>
      <c r="G70" s="379">
        <f t="shared" si="29"/>
        <v>0</v>
      </c>
      <c r="H70" s="364">
        <f t="shared" si="30"/>
        <v>0</v>
      </c>
      <c r="I70" s="52">
        <f t="shared" si="4"/>
        <v>0</v>
      </c>
      <c r="J70" s="52"/>
      <c r="K70" s="129"/>
      <c r="L70" s="54">
        <f t="shared" si="28"/>
        <v>0</v>
      </c>
      <c r="M70" s="129"/>
      <c r="N70" s="54">
        <f t="shared" si="5"/>
        <v>0</v>
      </c>
      <c r="O70" s="54">
        <f t="shared" si="6"/>
        <v>0</v>
      </c>
      <c r="P70" s="1"/>
    </row>
    <row r="71" spans="2:16" ht="12.5">
      <c r="B71" s="7" t="str">
        <f t="shared" si="3"/>
        <v/>
      </c>
      <c r="C71" s="50">
        <f>IF(D11="","-",+C70+1)</f>
        <v>2068</v>
      </c>
      <c r="D71" s="55">
        <f>IF(F70+SUM(E$17:E70)=D$10,F70,D$10-SUM(E$17:E70))</f>
        <v>0</v>
      </c>
      <c r="E71" s="378">
        <f t="shared" si="24"/>
        <v>0</v>
      </c>
      <c r="F71" s="55">
        <f t="shared" si="25"/>
        <v>0</v>
      </c>
      <c r="G71" s="379">
        <f t="shared" si="29"/>
        <v>0</v>
      </c>
      <c r="H71" s="364">
        <f t="shared" si="30"/>
        <v>0</v>
      </c>
      <c r="I71" s="52">
        <f t="shared" si="4"/>
        <v>0</v>
      </c>
      <c r="J71" s="52"/>
      <c r="K71" s="129"/>
      <c r="L71" s="54">
        <f t="shared" si="28"/>
        <v>0</v>
      </c>
      <c r="M71" s="129"/>
      <c r="N71" s="54">
        <f t="shared" si="5"/>
        <v>0</v>
      </c>
      <c r="O71" s="54">
        <f t="shared" si="6"/>
        <v>0</v>
      </c>
      <c r="P71" s="1"/>
    </row>
    <row r="72" spans="2:16" ht="13" thickBot="1">
      <c r="B72" s="7" t="str">
        <f t="shared" si="3"/>
        <v/>
      </c>
      <c r="C72" s="59">
        <f>IF(D11="","-",+C71+1)</f>
        <v>2069</v>
      </c>
      <c r="D72" s="55">
        <f>IF(F71+SUM(E$17:E71)=D$10,F71,D$10-SUM(E$17:E71))</f>
        <v>0</v>
      </c>
      <c r="E72" s="378">
        <f t="shared" si="24"/>
        <v>0</v>
      </c>
      <c r="F72" s="55">
        <f t="shared" si="25"/>
        <v>0</v>
      </c>
      <c r="G72" s="379">
        <f t="shared" si="29"/>
        <v>0</v>
      </c>
      <c r="H72" s="364">
        <f t="shared" si="30"/>
        <v>0</v>
      </c>
      <c r="I72" s="52">
        <f t="shared" si="4"/>
        <v>0</v>
      </c>
      <c r="J72" s="52"/>
      <c r="K72" s="130"/>
      <c r="L72" s="64">
        <f t="shared" si="28"/>
        <v>0</v>
      </c>
      <c r="M72" s="130"/>
      <c r="N72" s="64">
        <f t="shared" si="5"/>
        <v>0</v>
      </c>
      <c r="O72" s="64">
        <f t="shared" si="6"/>
        <v>0</v>
      </c>
      <c r="P72" s="1"/>
    </row>
    <row r="73" spans="2:16" ht="12.5">
      <c r="C73" s="12" t="s">
        <v>78</v>
      </c>
      <c r="D73" s="293"/>
      <c r="E73" s="293">
        <f>SUM(E17:E72)</f>
        <v>5289193.9999999963</v>
      </c>
      <c r="F73" s="293"/>
      <c r="G73" s="293">
        <f>SUM(G17:G72)</f>
        <v>19204095.735023543</v>
      </c>
      <c r="H73" s="293">
        <f>SUM(H17:H72)</f>
        <v>19204095.735023543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 ht="13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42 of 77</v>
      </c>
    </row>
    <row r="84" spans="1:16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602572.0900265798</v>
      </c>
      <c r="N87" s="387">
        <f>IF(J92&lt;D11,0,VLOOKUP(J92,C17:O72,11))</f>
        <v>602572.0900265798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623449.06632712355</v>
      </c>
      <c r="N88" s="390">
        <f>IF(J92&lt;D11,0,VLOOKUP(J92,C99:P154,7))</f>
        <v>623449.06632712355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Northwest Henderson to Poynter 69 kV Rebuild 3.2 miles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20876.976300543756</v>
      </c>
      <c r="N89" s="392">
        <f>+N88-N87</f>
        <v>20876.976300543756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TP2004031</v>
      </c>
      <c r="E91" s="76" t="str">
        <f>E9</f>
        <v xml:space="preserve">  SPP Project ID = 502</v>
      </c>
      <c r="F91" s="76"/>
      <c r="G91" s="76"/>
      <c r="H91" s="76"/>
      <c r="I91" s="76"/>
      <c r="J91" s="76"/>
    </row>
    <row r="92" spans="1:16" ht="13">
      <c r="C92" s="34" t="s">
        <v>51</v>
      </c>
      <c r="D92" s="428">
        <f>D10</f>
        <v>5289194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</row>
    <row r="93" spans="1:16" ht="12.5">
      <c r="C93" s="34" t="s">
        <v>54</v>
      </c>
      <c r="D93" s="88">
        <f>IF(D11=I10,"",D11)</f>
        <v>2014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4">
        <f>IF(D11=I10,"",D12)</f>
        <v>6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120208.95454545454</v>
      </c>
      <c r="K96" s="293"/>
      <c r="L96" s="293"/>
      <c r="M96" s="293"/>
      <c r="N96" s="293"/>
      <c r="O96" s="293"/>
      <c r="P96" s="1"/>
    </row>
    <row r="97" spans="1:16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 ht="12.5">
      <c r="C99" s="50">
        <f>IF(D93= "","-",D93)</f>
        <v>2014</v>
      </c>
      <c r="D99" s="429">
        <v>0</v>
      </c>
      <c r="E99" s="430">
        <v>62966.595238095237</v>
      </c>
      <c r="F99" s="431">
        <v>5226227.4047619049</v>
      </c>
      <c r="G99" s="432">
        <v>2613113.7023809524</v>
      </c>
      <c r="H99" s="433">
        <v>418150</v>
      </c>
      <c r="I99" s="434">
        <v>418150</v>
      </c>
      <c r="J99" s="54">
        <f>+I99-H99</f>
        <v>0</v>
      </c>
      <c r="K99" s="54"/>
      <c r="L99" s="113">
        <f t="shared" ref="L99:L104" si="31">H99</f>
        <v>418150</v>
      </c>
      <c r="M99" s="54">
        <f t="shared" ref="M99:M104" si="32">IF(L99&lt;&gt;0,+H99-L99,0)</f>
        <v>0</v>
      </c>
      <c r="N99" s="113">
        <f t="shared" ref="N99:N104" si="33">I99</f>
        <v>418150</v>
      </c>
      <c r="O99" s="54">
        <f>IF(N99&lt;&gt;0,+I99-N99,0)</f>
        <v>0</v>
      </c>
      <c r="P99" s="54">
        <f>+O99-M99</f>
        <v>0</v>
      </c>
    </row>
    <row r="100" spans="1:16" ht="12.5">
      <c r="B100" s="7" t="str">
        <f>IF(D100=F99,"","IU")</f>
        <v/>
      </c>
      <c r="C100" s="50">
        <f>IF(D93="","-",+C99+1)</f>
        <v>2015</v>
      </c>
      <c r="D100" s="429">
        <v>5226227.4047619049</v>
      </c>
      <c r="E100" s="430">
        <v>125933.19047619047</v>
      </c>
      <c r="F100" s="431">
        <v>5100294.2142857146</v>
      </c>
      <c r="G100" s="431">
        <v>5163260.8095238097</v>
      </c>
      <c r="H100" s="433">
        <v>806290.27352306223</v>
      </c>
      <c r="I100" s="434">
        <v>806290.27352306223</v>
      </c>
      <c r="J100" s="54">
        <f>+I100-H100</f>
        <v>0</v>
      </c>
      <c r="K100" s="54"/>
      <c r="L100" s="113">
        <f t="shared" si="31"/>
        <v>806290.27352306223</v>
      </c>
      <c r="M100" s="54">
        <f t="shared" si="32"/>
        <v>0</v>
      </c>
      <c r="N100" s="113">
        <f t="shared" si="33"/>
        <v>806290.27352306223</v>
      </c>
      <c r="O100" s="54">
        <f>IF(N100&lt;&gt;0,+I100-N100,0)</f>
        <v>0</v>
      </c>
      <c r="P100" s="54">
        <f>+O100-M100</f>
        <v>0</v>
      </c>
    </row>
    <row r="101" spans="1:16" ht="12.5">
      <c r="B101" s="7" t="str">
        <f t="shared" ref="B101:B154" si="34">IF(D101=F100,"","IU")</f>
        <v/>
      </c>
      <c r="C101" s="50">
        <f>IF(D93="","-",+C100+1)</f>
        <v>2016</v>
      </c>
      <c r="D101" s="429">
        <v>5100294.2142857146</v>
      </c>
      <c r="E101" s="430">
        <v>123004.51162790698</v>
      </c>
      <c r="F101" s="431">
        <v>4977289.7026578076</v>
      </c>
      <c r="G101" s="431">
        <v>5038791.9584717611</v>
      </c>
      <c r="H101" s="433">
        <v>762679.09174338926</v>
      </c>
      <c r="I101" s="434">
        <v>762679.09174338926</v>
      </c>
      <c r="J101" s="54">
        <f t="shared" ref="J101:J154" si="35">+I101-H101</f>
        <v>0</v>
      </c>
      <c r="K101" s="54"/>
      <c r="L101" s="113">
        <f t="shared" si="31"/>
        <v>762679.09174338926</v>
      </c>
      <c r="M101" s="54">
        <f t="shared" si="32"/>
        <v>0</v>
      </c>
      <c r="N101" s="113">
        <f t="shared" si="33"/>
        <v>762679.09174338926</v>
      </c>
      <c r="O101" s="54">
        <f>IF(N101&lt;&gt;0,+I101-N101,0)</f>
        <v>0</v>
      </c>
      <c r="P101" s="54">
        <f>+O101-M101</f>
        <v>0</v>
      </c>
    </row>
    <row r="102" spans="1:16" ht="12.5">
      <c r="B102" s="7" t="str">
        <f t="shared" si="34"/>
        <v/>
      </c>
      <c r="C102" s="50">
        <f>IF(D93="","-",+C101+1)</f>
        <v>2017</v>
      </c>
      <c r="D102" s="429">
        <v>4977289.7026578076</v>
      </c>
      <c r="E102" s="430">
        <v>125933.19047619047</v>
      </c>
      <c r="F102" s="431">
        <v>4851356.5121816173</v>
      </c>
      <c r="G102" s="431">
        <v>4914323.1074197125</v>
      </c>
      <c r="H102" s="433">
        <v>722883.18186453939</v>
      </c>
      <c r="I102" s="434">
        <v>722883.18186453939</v>
      </c>
      <c r="J102" s="54">
        <f t="shared" si="35"/>
        <v>0</v>
      </c>
      <c r="K102" s="54"/>
      <c r="L102" s="113">
        <f t="shared" si="31"/>
        <v>722883.18186453939</v>
      </c>
      <c r="M102" s="54">
        <f t="shared" si="32"/>
        <v>0</v>
      </c>
      <c r="N102" s="113">
        <f t="shared" si="33"/>
        <v>722883.18186453939</v>
      </c>
      <c r="O102" s="54">
        <f>IF(N102&lt;&gt;0,+I102-N102,0)</f>
        <v>0</v>
      </c>
      <c r="P102" s="54">
        <f>+O102-M102</f>
        <v>0</v>
      </c>
    </row>
    <row r="103" spans="1:16" ht="12.5">
      <c r="B103" s="7" t="str">
        <f t="shared" si="34"/>
        <v/>
      </c>
      <c r="C103" s="50">
        <f>IF(D93="","-",+C102+1)</f>
        <v>2018</v>
      </c>
      <c r="D103" s="429">
        <v>4851356.5121816173</v>
      </c>
      <c r="E103" s="430">
        <v>125933.19047619047</v>
      </c>
      <c r="F103" s="431">
        <v>4725423.321705427</v>
      </c>
      <c r="G103" s="431">
        <v>4788389.9169435222</v>
      </c>
      <c r="H103" s="433">
        <v>631609.12439866643</v>
      </c>
      <c r="I103" s="434">
        <v>631609.12439866643</v>
      </c>
      <c r="J103" s="54">
        <f t="shared" si="35"/>
        <v>0</v>
      </c>
      <c r="K103" s="54"/>
      <c r="L103" s="113">
        <f t="shared" si="31"/>
        <v>631609.12439866643</v>
      </c>
      <c r="M103" s="54">
        <f t="shared" si="32"/>
        <v>0</v>
      </c>
      <c r="N103" s="113">
        <f t="shared" si="33"/>
        <v>631609.12439866643</v>
      </c>
      <c r="O103" s="54">
        <f t="shared" ref="O103:O130" si="36">IF(N103&lt;&gt;0,+I103-N103,0)</f>
        <v>0</v>
      </c>
      <c r="P103" s="54">
        <f t="shared" ref="P103:P130" si="37">+O103-M103</f>
        <v>0</v>
      </c>
    </row>
    <row r="104" spans="1:16" ht="12.5">
      <c r="B104" s="7" t="str">
        <f t="shared" si="34"/>
        <v/>
      </c>
      <c r="C104" s="50">
        <f>IF(D93="","-",+C103+1)</f>
        <v>2019</v>
      </c>
      <c r="D104" s="429">
        <v>4725423.321705427</v>
      </c>
      <c r="E104" s="430">
        <v>123004.51162790698</v>
      </c>
      <c r="F104" s="431">
        <v>4602418.8100775201</v>
      </c>
      <c r="G104" s="431">
        <v>4663921.0658914736</v>
      </c>
      <c r="H104" s="433">
        <v>622233.17154996516</v>
      </c>
      <c r="I104" s="434">
        <v>622233.17154996516</v>
      </c>
      <c r="J104" s="54">
        <f t="shared" si="35"/>
        <v>0</v>
      </c>
      <c r="K104" s="54"/>
      <c r="L104" s="113">
        <f t="shared" si="31"/>
        <v>622233.17154996516</v>
      </c>
      <c r="M104" s="54">
        <f t="shared" si="32"/>
        <v>0</v>
      </c>
      <c r="N104" s="113">
        <f t="shared" si="33"/>
        <v>622233.17154996516</v>
      </c>
      <c r="O104" s="54">
        <f t="shared" si="36"/>
        <v>0</v>
      </c>
      <c r="P104" s="54">
        <f t="shared" si="37"/>
        <v>0</v>
      </c>
    </row>
    <row r="105" spans="1:16" ht="12.5">
      <c r="B105" s="7" t="str">
        <f t="shared" si="34"/>
        <v/>
      </c>
      <c r="C105" s="50">
        <f>IF(D93="","-",+C104+1)</f>
        <v>2020</v>
      </c>
      <c r="D105" s="429">
        <v>4602418.8100775201</v>
      </c>
      <c r="E105" s="430">
        <v>125933.19047619047</v>
      </c>
      <c r="F105" s="431">
        <v>4476485.6196013298</v>
      </c>
      <c r="G105" s="431">
        <v>4539452.2148394249</v>
      </c>
      <c r="H105" s="433">
        <v>614259.46268042875</v>
      </c>
      <c r="I105" s="434">
        <v>614259.46268042875</v>
      </c>
      <c r="J105" s="54">
        <f t="shared" si="35"/>
        <v>0</v>
      </c>
      <c r="K105" s="54"/>
      <c r="L105" s="113">
        <f t="shared" ref="L105" si="38">H105</f>
        <v>614259.46268042875</v>
      </c>
      <c r="M105" s="54">
        <f t="shared" ref="M105" si="39">IF(L105&lt;&gt;0,+H105-L105,0)</f>
        <v>0</v>
      </c>
      <c r="N105" s="113">
        <f t="shared" ref="N105" si="40">I105</f>
        <v>614259.46268042875</v>
      </c>
      <c r="O105" s="54">
        <f t="shared" si="36"/>
        <v>0</v>
      </c>
      <c r="P105" s="54">
        <f t="shared" si="37"/>
        <v>0</v>
      </c>
    </row>
    <row r="106" spans="1:16" ht="12.5">
      <c r="B106" s="7" t="str">
        <f t="shared" si="34"/>
        <v/>
      </c>
      <c r="C106" s="50">
        <f>IF(D93="","-",+C105+1)</f>
        <v>2021</v>
      </c>
      <c r="D106" s="429">
        <v>4476485.6196013298</v>
      </c>
      <c r="E106" s="430">
        <v>129004.73170731707</v>
      </c>
      <c r="F106" s="431">
        <v>4347480.887894013</v>
      </c>
      <c r="G106" s="431">
        <v>4411983.2537476718</v>
      </c>
      <c r="H106" s="433">
        <v>629827.59752181685</v>
      </c>
      <c r="I106" s="434">
        <v>629827.59752181685</v>
      </c>
      <c r="J106" s="54">
        <f t="shared" si="35"/>
        <v>0</v>
      </c>
      <c r="K106" s="54"/>
      <c r="L106" s="113">
        <f t="shared" ref="L106" si="41">H106</f>
        <v>629827.59752181685</v>
      </c>
      <c r="M106" s="54">
        <f t="shared" ref="M106" si="42">IF(L106&lt;&gt;0,+H106-L106,0)</f>
        <v>0</v>
      </c>
      <c r="N106" s="113">
        <f t="shared" ref="N106" si="43">I106</f>
        <v>629827.59752181685</v>
      </c>
      <c r="O106" s="54">
        <f t="shared" si="36"/>
        <v>0</v>
      </c>
      <c r="P106" s="54">
        <f t="shared" si="37"/>
        <v>0</v>
      </c>
    </row>
    <row r="107" spans="1:16" ht="12.5">
      <c r="B107" s="7" t="str">
        <f t="shared" si="34"/>
        <v/>
      </c>
      <c r="C107" s="50">
        <f>IF(D93="","-",+C106+1)</f>
        <v>2022</v>
      </c>
      <c r="D107" s="429">
        <v>4347480.887894013</v>
      </c>
      <c r="E107" s="430">
        <v>125933.19047619047</v>
      </c>
      <c r="F107" s="431">
        <v>4221547.6974178227</v>
      </c>
      <c r="G107" s="431">
        <v>4284514.2926559178</v>
      </c>
      <c r="H107" s="433">
        <v>629182.99777593603</v>
      </c>
      <c r="I107" s="434">
        <v>629182.99777593603</v>
      </c>
      <c r="J107" s="54">
        <f t="shared" si="35"/>
        <v>0</v>
      </c>
      <c r="K107" s="54"/>
      <c r="L107" s="113">
        <f t="shared" ref="L107" si="44">H107</f>
        <v>629182.99777593603</v>
      </c>
      <c r="M107" s="54">
        <f t="shared" ref="M107" si="45">IF(L107&lt;&gt;0,+H107-L107,0)</f>
        <v>0</v>
      </c>
      <c r="N107" s="113">
        <f t="shared" ref="N107" si="46">I107</f>
        <v>629182.99777593603</v>
      </c>
      <c r="O107" s="54">
        <f t="shared" ref="O107" si="47">IF(N107&lt;&gt;0,+I107-N107,0)</f>
        <v>0</v>
      </c>
      <c r="P107" s="54">
        <f t="shared" ref="P107" si="48">+O107-M107</f>
        <v>0</v>
      </c>
    </row>
    <row r="108" spans="1:16" ht="12.5">
      <c r="B108" s="7" t="str">
        <f t="shared" si="34"/>
        <v/>
      </c>
      <c r="C108" s="50">
        <f>IF(D93="","-",+C107+1)</f>
        <v>2023</v>
      </c>
      <c r="D108" s="429">
        <v>4221547.6974178227</v>
      </c>
      <c r="E108" s="430">
        <v>120208.95454545454</v>
      </c>
      <c r="F108" s="431">
        <v>4101338.7428723681</v>
      </c>
      <c r="G108" s="431">
        <v>4161443.2201450951</v>
      </c>
      <c r="H108" s="433">
        <v>633585.63133454288</v>
      </c>
      <c r="I108" s="434">
        <v>633585.63133454288</v>
      </c>
      <c r="J108" s="54">
        <f t="shared" si="35"/>
        <v>0</v>
      </c>
      <c r="K108" s="54"/>
      <c r="L108" s="113">
        <f t="shared" ref="L108" si="49">H108</f>
        <v>633585.63133454288</v>
      </c>
      <c r="M108" s="54">
        <f t="shared" ref="M108" si="50">IF(L108&lt;&gt;0,+H108-L108,0)</f>
        <v>0</v>
      </c>
      <c r="N108" s="113">
        <f t="shared" ref="N108" si="51">I108</f>
        <v>633585.63133454288</v>
      </c>
      <c r="O108" s="54">
        <f t="shared" ref="O108" si="52">IF(N108&lt;&gt;0,+I108-N108,0)</f>
        <v>0</v>
      </c>
      <c r="P108" s="54">
        <f t="shared" ref="P108" si="53">+O108-M108</f>
        <v>0</v>
      </c>
    </row>
    <row r="109" spans="1:16" ht="12.5">
      <c r="B109" s="7" t="str">
        <f t="shared" si="34"/>
        <v/>
      </c>
      <c r="C109" s="50">
        <f>IF(D93="","-",+C108+1)</f>
        <v>2024</v>
      </c>
      <c r="D109" s="12">
        <f>IF(F108+SUM(E$99:E108)=D$92,F108,D$92-SUM(E$99:E108))</f>
        <v>4101338.7428723681</v>
      </c>
      <c r="E109" s="378">
        <f t="shared" ref="E109:E154" si="54">IF(+$J$96&lt;F108,$J$96,D109)</f>
        <v>120208.95454545454</v>
      </c>
      <c r="F109" s="55">
        <f t="shared" ref="F109:F154" si="55">+D109-E109</f>
        <v>3981129.7883269135</v>
      </c>
      <c r="G109" s="55">
        <f t="shared" ref="G109:G154" si="56">+(F109+D109)/2</f>
        <v>4041234.265599641</v>
      </c>
      <c r="H109" s="380">
        <f t="shared" ref="H109:H154" si="57">+J$94*G109+E109</f>
        <v>623449.06632712355</v>
      </c>
      <c r="I109" s="399">
        <f t="shared" ref="I109:I154" si="58">+J$95*G109+E109</f>
        <v>623449.06632712355</v>
      </c>
      <c r="J109" s="54">
        <f t="shared" si="35"/>
        <v>0</v>
      </c>
      <c r="K109" s="54"/>
      <c r="L109" s="129"/>
      <c r="M109" s="54">
        <f t="shared" ref="M109:M130" si="59">IF(L109&lt;&gt;0,+H109-L109,0)</f>
        <v>0</v>
      </c>
      <c r="N109" s="129"/>
      <c r="O109" s="54">
        <f t="shared" si="36"/>
        <v>0</v>
      </c>
      <c r="P109" s="54">
        <f t="shared" si="37"/>
        <v>0</v>
      </c>
    </row>
    <row r="110" spans="1:16" ht="12.5">
      <c r="B110" s="7" t="str">
        <f t="shared" si="34"/>
        <v/>
      </c>
      <c r="C110" s="50">
        <f>IF(D93="","-",+C109+1)</f>
        <v>2025</v>
      </c>
      <c r="D110" s="12">
        <f>IF(F109+SUM(E$99:E109)=D$92,F109,D$92-SUM(E$99:E109))</f>
        <v>3981129.7883269135</v>
      </c>
      <c r="E110" s="378">
        <f t="shared" si="54"/>
        <v>120208.95454545454</v>
      </c>
      <c r="F110" s="55">
        <f t="shared" si="55"/>
        <v>3860920.8337814589</v>
      </c>
      <c r="G110" s="55">
        <f t="shared" si="56"/>
        <v>3921025.311054186</v>
      </c>
      <c r="H110" s="380">
        <f t="shared" si="57"/>
        <v>608479.88519413222</v>
      </c>
      <c r="I110" s="399">
        <f t="shared" si="58"/>
        <v>608479.88519413222</v>
      </c>
      <c r="J110" s="54">
        <f t="shared" si="35"/>
        <v>0</v>
      </c>
      <c r="K110" s="54"/>
      <c r="L110" s="129"/>
      <c r="M110" s="54">
        <f t="shared" si="59"/>
        <v>0</v>
      </c>
      <c r="N110" s="129"/>
      <c r="O110" s="54">
        <f t="shared" si="36"/>
        <v>0</v>
      </c>
      <c r="P110" s="54">
        <f t="shared" si="37"/>
        <v>0</v>
      </c>
    </row>
    <row r="111" spans="1:16" ht="12.5">
      <c r="B111" s="7" t="str">
        <f t="shared" si="34"/>
        <v/>
      </c>
      <c r="C111" s="50">
        <f>IF(D93="","-",+C110+1)</f>
        <v>2026</v>
      </c>
      <c r="D111" s="12">
        <f>IF(F110+SUM(E$99:E110)=D$92,F110,D$92-SUM(E$99:E110))</f>
        <v>3860920.8337814589</v>
      </c>
      <c r="E111" s="378">
        <f t="shared" si="54"/>
        <v>120208.95454545454</v>
      </c>
      <c r="F111" s="55">
        <f t="shared" si="55"/>
        <v>3740711.8792360043</v>
      </c>
      <c r="G111" s="55">
        <f t="shared" si="56"/>
        <v>3800816.3565087318</v>
      </c>
      <c r="H111" s="380">
        <f t="shared" si="57"/>
        <v>593510.704061141</v>
      </c>
      <c r="I111" s="399">
        <f t="shared" si="58"/>
        <v>593510.704061141</v>
      </c>
      <c r="J111" s="54">
        <f t="shared" si="35"/>
        <v>0</v>
      </c>
      <c r="K111" s="54"/>
      <c r="L111" s="129"/>
      <c r="M111" s="54">
        <f t="shared" si="59"/>
        <v>0</v>
      </c>
      <c r="N111" s="129"/>
      <c r="O111" s="54">
        <f t="shared" si="36"/>
        <v>0</v>
      </c>
      <c r="P111" s="54">
        <f t="shared" si="37"/>
        <v>0</v>
      </c>
    </row>
    <row r="112" spans="1:16" ht="12.5">
      <c r="B112" s="7" t="str">
        <f t="shared" si="34"/>
        <v/>
      </c>
      <c r="C112" s="50">
        <f>IF(D93="","-",+C111+1)</f>
        <v>2027</v>
      </c>
      <c r="D112" s="12">
        <f>IF(F111+SUM(E$99:E111)=D$92,F111,D$92-SUM(E$99:E111))</f>
        <v>3740711.8792360043</v>
      </c>
      <c r="E112" s="378">
        <f t="shared" si="54"/>
        <v>120208.95454545454</v>
      </c>
      <c r="F112" s="55">
        <f t="shared" si="55"/>
        <v>3620502.9246905497</v>
      </c>
      <c r="G112" s="55">
        <f t="shared" si="56"/>
        <v>3680607.4019632768</v>
      </c>
      <c r="H112" s="380">
        <f t="shared" si="57"/>
        <v>578541.52292814956</v>
      </c>
      <c r="I112" s="399">
        <f t="shared" si="58"/>
        <v>578541.52292814956</v>
      </c>
      <c r="J112" s="54">
        <f t="shared" si="35"/>
        <v>0</v>
      </c>
      <c r="K112" s="54"/>
      <c r="L112" s="129"/>
      <c r="M112" s="54">
        <f t="shared" si="59"/>
        <v>0</v>
      </c>
      <c r="N112" s="129"/>
      <c r="O112" s="54">
        <f t="shared" si="36"/>
        <v>0</v>
      </c>
      <c r="P112" s="54">
        <f t="shared" si="37"/>
        <v>0</v>
      </c>
    </row>
    <row r="113" spans="2:16" ht="12.5">
      <c r="B113" s="7" t="str">
        <f t="shared" si="34"/>
        <v/>
      </c>
      <c r="C113" s="50">
        <f>IF(D93="","-",+C112+1)</f>
        <v>2028</v>
      </c>
      <c r="D113" s="12">
        <f>IF(F112+SUM(E$99:E112)=D$92,F112,D$92-SUM(E$99:E112))</f>
        <v>3620502.9246905497</v>
      </c>
      <c r="E113" s="378">
        <f t="shared" si="54"/>
        <v>120208.95454545454</v>
      </c>
      <c r="F113" s="55">
        <f t="shared" si="55"/>
        <v>3500293.9701450951</v>
      </c>
      <c r="G113" s="55">
        <f t="shared" si="56"/>
        <v>3560398.4474178227</v>
      </c>
      <c r="H113" s="380">
        <f t="shared" si="57"/>
        <v>563572.34179515834</v>
      </c>
      <c r="I113" s="399">
        <f t="shared" si="58"/>
        <v>563572.34179515834</v>
      </c>
      <c r="J113" s="54">
        <f t="shared" si="35"/>
        <v>0</v>
      </c>
      <c r="K113" s="54"/>
      <c r="L113" s="129"/>
      <c r="M113" s="54">
        <f t="shared" si="59"/>
        <v>0</v>
      </c>
      <c r="N113" s="129"/>
      <c r="O113" s="54">
        <f t="shared" si="36"/>
        <v>0</v>
      </c>
      <c r="P113" s="54">
        <f t="shared" si="37"/>
        <v>0</v>
      </c>
    </row>
    <row r="114" spans="2:16" ht="12.5">
      <c r="B114" s="7" t="str">
        <f t="shared" si="34"/>
        <v/>
      </c>
      <c r="C114" s="50">
        <f>IF(D93="","-",+C113+1)</f>
        <v>2029</v>
      </c>
      <c r="D114" s="12">
        <f>IF(F113+SUM(E$99:E113)=D$92,F113,D$92-SUM(E$99:E113))</f>
        <v>3500293.9701450951</v>
      </c>
      <c r="E114" s="378">
        <f t="shared" si="54"/>
        <v>120208.95454545454</v>
      </c>
      <c r="F114" s="55">
        <f t="shared" si="55"/>
        <v>3380085.0155996406</v>
      </c>
      <c r="G114" s="55">
        <f t="shared" si="56"/>
        <v>3440189.4928723676</v>
      </c>
      <c r="H114" s="380">
        <f t="shared" si="57"/>
        <v>548603.16066216701</v>
      </c>
      <c r="I114" s="399">
        <f t="shared" si="58"/>
        <v>548603.16066216701</v>
      </c>
      <c r="J114" s="54">
        <f t="shared" si="35"/>
        <v>0</v>
      </c>
      <c r="K114" s="54"/>
      <c r="L114" s="129"/>
      <c r="M114" s="54">
        <f t="shared" si="59"/>
        <v>0</v>
      </c>
      <c r="N114" s="129"/>
      <c r="O114" s="54">
        <f t="shared" si="36"/>
        <v>0</v>
      </c>
      <c r="P114" s="54">
        <f t="shared" si="37"/>
        <v>0</v>
      </c>
    </row>
    <row r="115" spans="2:16" ht="12.5">
      <c r="B115" s="7" t="str">
        <f t="shared" si="34"/>
        <v/>
      </c>
      <c r="C115" s="50">
        <f>IF(D93="","-",+C114+1)</f>
        <v>2030</v>
      </c>
      <c r="D115" s="12">
        <f>IF(F114+SUM(E$99:E114)=D$92,F114,D$92-SUM(E$99:E114))</f>
        <v>3380085.0155996406</v>
      </c>
      <c r="E115" s="378">
        <f t="shared" si="54"/>
        <v>120208.95454545454</v>
      </c>
      <c r="F115" s="55">
        <f t="shared" si="55"/>
        <v>3259876.061054186</v>
      </c>
      <c r="G115" s="55">
        <f t="shared" si="56"/>
        <v>3319980.5383269135</v>
      </c>
      <c r="H115" s="380">
        <f t="shared" si="57"/>
        <v>533633.97952917567</v>
      </c>
      <c r="I115" s="399">
        <f t="shared" si="58"/>
        <v>533633.97952917567</v>
      </c>
      <c r="J115" s="54">
        <f t="shared" si="35"/>
        <v>0</v>
      </c>
      <c r="K115" s="54"/>
      <c r="L115" s="129"/>
      <c r="M115" s="54">
        <f t="shared" si="59"/>
        <v>0</v>
      </c>
      <c r="N115" s="129"/>
      <c r="O115" s="54">
        <f t="shared" si="36"/>
        <v>0</v>
      </c>
      <c r="P115" s="54">
        <f t="shared" si="37"/>
        <v>0</v>
      </c>
    </row>
    <row r="116" spans="2:16" ht="12.5">
      <c r="B116" s="7" t="str">
        <f t="shared" si="34"/>
        <v/>
      </c>
      <c r="C116" s="50">
        <f>IF(D93="","-",+C115+1)</f>
        <v>2031</v>
      </c>
      <c r="D116" s="12">
        <f>IF(F115+SUM(E$99:E115)=D$92,F115,D$92-SUM(E$99:E115))</f>
        <v>3259876.061054186</v>
      </c>
      <c r="E116" s="378">
        <f t="shared" si="54"/>
        <v>120208.95454545454</v>
      </c>
      <c r="F116" s="55">
        <f t="shared" si="55"/>
        <v>3139667.1065087314</v>
      </c>
      <c r="G116" s="55">
        <f t="shared" si="56"/>
        <v>3199771.5837814584</v>
      </c>
      <c r="H116" s="380">
        <f t="shared" si="57"/>
        <v>518664.79839618434</v>
      </c>
      <c r="I116" s="399">
        <f t="shared" si="58"/>
        <v>518664.79839618434</v>
      </c>
      <c r="J116" s="54">
        <f t="shared" si="35"/>
        <v>0</v>
      </c>
      <c r="K116" s="54"/>
      <c r="L116" s="129"/>
      <c r="M116" s="54">
        <f t="shared" si="59"/>
        <v>0</v>
      </c>
      <c r="N116" s="129"/>
      <c r="O116" s="54">
        <f t="shared" si="36"/>
        <v>0</v>
      </c>
      <c r="P116" s="54">
        <f t="shared" si="37"/>
        <v>0</v>
      </c>
    </row>
    <row r="117" spans="2:16" ht="12.5">
      <c r="B117" s="7" t="str">
        <f t="shared" si="34"/>
        <v/>
      </c>
      <c r="C117" s="50">
        <f>IF(D93="","-",+C116+1)</f>
        <v>2032</v>
      </c>
      <c r="D117" s="12">
        <f>IF(F116+SUM(E$99:E116)=D$92,F116,D$92-SUM(E$99:E116))</f>
        <v>3139667.1065087314</v>
      </c>
      <c r="E117" s="378">
        <f t="shared" si="54"/>
        <v>120208.95454545454</v>
      </c>
      <c r="F117" s="55">
        <f t="shared" si="55"/>
        <v>3019458.1519632768</v>
      </c>
      <c r="G117" s="55">
        <f t="shared" si="56"/>
        <v>3079562.6292360043</v>
      </c>
      <c r="H117" s="380">
        <f t="shared" si="57"/>
        <v>503695.61726319307</v>
      </c>
      <c r="I117" s="399">
        <f t="shared" si="58"/>
        <v>503695.61726319307</v>
      </c>
      <c r="J117" s="54">
        <f t="shared" si="35"/>
        <v>0</v>
      </c>
      <c r="K117" s="54"/>
      <c r="L117" s="129"/>
      <c r="M117" s="54">
        <f t="shared" si="59"/>
        <v>0</v>
      </c>
      <c r="N117" s="129"/>
      <c r="O117" s="54">
        <f t="shared" si="36"/>
        <v>0</v>
      </c>
      <c r="P117" s="54">
        <f t="shared" si="37"/>
        <v>0</v>
      </c>
    </row>
    <row r="118" spans="2:16" ht="12.5">
      <c r="B118" s="7" t="str">
        <f t="shared" si="34"/>
        <v/>
      </c>
      <c r="C118" s="50">
        <f>IF(D93="","-",+C117+1)</f>
        <v>2033</v>
      </c>
      <c r="D118" s="12">
        <f>IF(F117+SUM(E$99:E117)=D$92,F117,D$92-SUM(E$99:E117))</f>
        <v>3019458.1519632768</v>
      </c>
      <c r="E118" s="378">
        <f t="shared" si="54"/>
        <v>120208.95454545454</v>
      </c>
      <c r="F118" s="55">
        <f t="shared" si="55"/>
        <v>2899249.1974178222</v>
      </c>
      <c r="G118" s="55">
        <f t="shared" si="56"/>
        <v>2959353.6746905493</v>
      </c>
      <c r="H118" s="380">
        <f t="shared" si="57"/>
        <v>488726.43613020168</v>
      </c>
      <c r="I118" s="399">
        <f t="shared" si="58"/>
        <v>488726.43613020168</v>
      </c>
      <c r="J118" s="54">
        <f t="shared" si="35"/>
        <v>0</v>
      </c>
      <c r="K118" s="54"/>
      <c r="L118" s="129"/>
      <c r="M118" s="54">
        <f t="shared" si="59"/>
        <v>0</v>
      </c>
      <c r="N118" s="129"/>
      <c r="O118" s="54">
        <f t="shared" si="36"/>
        <v>0</v>
      </c>
      <c r="P118" s="54">
        <f t="shared" si="37"/>
        <v>0</v>
      </c>
    </row>
    <row r="119" spans="2:16" ht="12.5">
      <c r="B119" s="7" t="str">
        <f t="shared" si="34"/>
        <v/>
      </c>
      <c r="C119" s="50">
        <f>IF(D93="","-",+C118+1)</f>
        <v>2034</v>
      </c>
      <c r="D119" s="12">
        <f>IF(F118+SUM(E$99:E118)=D$92,F118,D$92-SUM(E$99:E118))</f>
        <v>2899249.1974178222</v>
      </c>
      <c r="E119" s="378">
        <f t="shared" si="54"/>
        <v>120208.95454545454</v>
      </c>
      <c r="F119" s="55">
        <f t="shared" si="55"/>
        <v>2779040.2428723676</v>
      </c>
      <c r="G119" s="55">
        <f t="shared" si="56"/>
        <v>2839144.7201450951</v>
      </c>
      <c r="H119" s="380">
        <f t="shared" si="57"/>
        <v>473757.25499721046</v>
      </c>
      <c r="I119" s="399">
        <f t="shared" si="58"/>
        <v>473757.25499721046</v>
      </c>
      <c r="J119" s="54">
        <f t="shared" si="35"/>
        <v>0</v>
      </c>
      <c r="K119" s="54"/>
      <c r="L119" s="129"/>
      <c r="M119" s="54">
        <f t="shared" si="59"/>
        <v>0</v>
      </c>
      <c r="N119" s="129"/>
      <c r="O119" s="54">
        <f t="shared" si="36"/>
        <v>0</v>
      </c>
      <c r="P119" s="54">
        <f t="shared" si="37"/>
        <v>0</v>
      </c>
    </row>
    <row r="120" spans="2:16" ht="12.5">
      <c r="B120" s="7" t="str">
        <f t="shared" si="34"/>
        <v/>
      </c>
      <c r="C120" s="50">
        <f>IF(D93="","-",+C119+1)</f>
        <v>2035</v>
      </c>
      <c r="D120" s="12">
        <f>IF(F119+SUM(E$99:E119)=D$92,F119,D$92-SUM(E$99:E119))</f>
        <v>2779040.2428723676</v>
      </c>
      <c r="E120" s="378">
        <f t="shared" si="54"/>
        <v>120208.95454545454</v>
      </c>
      <c r="F120" s="55">
        <f t="shared" si="55"/>
        <v>2658831.288326913</v>
      </c>
      <c r="G120" s="55">
        <f t="shared" si="56"/>
        <v>2718935.7655996401</v>
      </c>
      <c r="H120" s="380">
        <f t="shared" si="57"/>
        <v>458788.07386421907</v>
      </c>
      <c r="I120" s="399">
        <f t="shared" si="58"/>
        <v>458788.07386421907</v>
      </c>
      <c r="J120" s="54">
        <f t="shared" si="35"/>
        <v>0</v>
      </c>
      <c r="K120" s="54"/>
      <c r="L120" s="129"/>
      <c r="M120" s="54">
        <f t="shared" si="59"/>
        <v>0</v>
      </c>
      <c r="N120" s="129"/>
      <c r="O120" s="54">
        <f t="shared" si="36"/>
        <v>0</v>
      </c>
      <c r="P120" s="54">
        <f t="shared" si="37"/>
        <v>0</v>
      </c>
    </row>
    <row r="121" spans="2:16" ht="12.5">
      <c r="B121" s="7" t="str">
        <f t="shared" si="34"/>
        <v/>
      </c>
      <c r="C121" s="50">
        <f>IF(D93="","-",+C120+1)</f>
        <v>2036</v>
      </c>
      <c r="D121" s="12">
        <f>IF(F120+SUM(E$99:E120)=D$92,F120,D$92-SUM(E$99:E120))</f>
        <v>2658831.288326913</v>
      </c>
      <c r="E121" s="378">
        <f t="shared" si="54"/>
        <v>120208.95454545454</v>
      </c>
      <c r="F121" s="55">
        <f t="shared" si="55"/>
        <v>2538622.3337814584</v>
      </c>
      <c r="G121" s="55">
        <f t="shared" si="56"/>
        <v>2598726.811054186</v>
      </c>
      <c r="H121" s="380">
        <f t="shared" si="57"/>
        <v>443818.89273122785</v>
      </c>
      <c r="I121" s="399">
        <f t="shared" si="58"/>
        <v>443818.89273122785</v>
      </c>
      <c r="J121" s="54">
        <f t="shared" si="35"/>
        <v>0</v>
      </c>
      <c r="K121" s="54"/>
      <c r="L121" s="129"/>
      <c r="M121" s="54">
        <f t="shared" si="59"/>
        <v>0</v>
      </c>
      <c r="N121" s="129"/>
      <c r="O121" s="54">
        <f t="shared" si="36"/>
        <v>0</v>
      </c>
      <c r="P121" s="54">
        <f t="shared" si="37"/>
        <v>0</v>
      </c>
    </row>
    <row r="122" spans="2:16" ht="12.5">
      <c r="B122" s="7" t="str">
        <f t="shared" si="34"/>
        <v/>
      </c>
      <c r="C122" s="50">
        <f>IF(D93="","-",+C121+1)</f>
        <v>2037</v>
      </c>
      <c r="D122" s="12">
        <f>IF(F121+SUM(E$99:E121)=D$92,F121,D$92-SUM(E$99:E121))</f>
        <v>2538622.3337814584</v>
      </c>
      <c r="E122" s="378">
        <f t="shared" si="54"/>
        <v>120208.95454545454</v>
      </c>
      <c r="F122" s="55">
        <f t="shared" si="55"/>
        <v>2418413.3792360038</v>
      </c>
      <c r="G122" s="55">
        <f t="shared" si="56"/>
        <v>2478517.8565087309</v>
      </c>
      <c r="H122" s="380">
        <f t="shared" si="57"/>
        <v>428849.71159823646</v>
      </c>
      <c r="I122" s="399">
        <f t="shared" si="58"/>
        <v>428849.71159823646</v>
      </c>
      <c r="J122" s="54">
        <f t="shared" si="35"/>
        <v>0</v>
      </c>
      <c r="K122" s="54"/>
      <c r="L122" s="129"/>
      <c r="M122" s="54">
        <f t="shared" si="59"/>
        <v>0</v>
      </c>
      <c r="N122" s="129"/>
      <c r="O122" s="54">
        <f t="shared" si="36"/>
        <v>0</v>
      </c>
      <c r="P122" s="54">
        <f t="shared" si="37"/>
        <v>0</v>
      </c>
    </row>
    <row r="123" spans="2:16" ht="12.5">
      <c r="B123" s="7" t="str">
        <f t="shared" si="34"/>
        <v/>
      </c>
      <c r="C123" s="50">
        <f>IF(D93="","-",+C122+1)</f>
        <v>2038</v>
      </c>
      <c r="D123" s="12">
        <f>IF(F122+SUM(E$99:E122)=D$92,F122,D$92-SUM(E$99:E122))</f>
        <v>2418413.3792360038</v>
      </c>
      <c r="E123" s="378">
        <f t="shared" si="54"/>
        <v>120208.95454545454</v>
      </c>
      <c r="F123" s="55">
        <f t="shared" si="55"/>
        <v>2298204.4246905493</v>
      </c>
      <c r="G123" s="55">
        <f t="shared" si="56"/>
        <v>2358308.9019632768</v>
      </c>
      <c r="H123" s="380">
        <f t="shared" si="57"/>
        <v>413880.53046524519</v>
      </c>
      <c r="I123" s="399">
        <f t="shared" si="58"/>
        <v>413880.53046524519</v>
      </c>
      <c r="J123" s="54">
        <f t="shared" si="35"/>
        <v>0</v>
      </c>
      <c r="K123" s="54"/>
      <c r="L123" s="129"/>
      <c r="M123" s="54">
        <f t="shared" si="59"/>
        <v>0</v>
      </c>
      <c r="N123" s="129"/>
      <c r="O123" s="54">
        <f t="shared" si="36"/>
        <v>0</v>
      </c>
      <c r="P123" s="54">
        <f t="shared" si="37"/>
        <v>0</v>
      </c>
    </row>
    <row r="124" spans="2:16" ht="12.5">
      <c r="B124" s="7" t="str">
        <f t="shared" si="34"/>
        <v/>
      </c>
      <c r="C124" s="50">
        <f>IF(D93="","-",+C123+1)</f>
        <v>2039</v>
      </c>
      <c r="D124" s="12">
        <f>IF(F123+SUM(E$99:E123)=D$92,F123,D$92-SUM(E$99:E123))</f>
        <v>2298204.4246905493</v>
      </c>
      <c r="E124" s="378">
        <f t="shared" si="54"/>
        <v>120208.95454545454</v>
      </c>
      <c r="F124" s="55">
        <f t="shared" si="55"/>
        <v>2177995.4701450947</v>
      </c>
      <c r="G124" s="55">
        <f t="shared" si="56"/>
        <v>2238099.9474178217</v>
      </c>
      <c r="H124" s="380">
        <f t="shared" si="57"/>
        <v>398911.34933225386</v>
      </c>
      <c r="I124" s="399">
        <f t="shared" si="58"/>
        <v>398911.34933225386</v>
      </c>
      <c r="J124" s="54">
        <f t="shared" si="35"/>
        <v>0</v>
      </c>
      <c r="K124" s="54"/>
      <c r="L124" s="129"/>
      <c r="M124" s="54">
        <f t="shared" si="59"/>
        <v>0</v>
      </c>
      <c r="N124" s="129"/>
      <c r="O124" s="54">
        <f t="shared" si="36"/>
        <v>0</v>
      </c>
      <c r="P124" s="54">
        <f t="shared" si="37"/>
        <v>0</v>
      </c>
    </row>
    <row r="125" spans="2:16" ht="12.5">
      <c r="B125" s="7" t="str">
        <f t="shared" si="34"/>
        <v/>
      </c>
      <c r="C125" s="50">
        <f>IF(D93="","-",+C124+1)</f>
        <v>2040</v>
      </c>
      <c r="D125" s="12">
        <f>IF(F124+SUM(E$99:E124)=D$92,F124,D$92-SUM(E$99:E124))</f>
        <v>2177995.4701450947</v>
      </c>
      <c r="E125" s="378">
        <f t="shared" si="54"/>
        <v>120208.95454545454</v>
      </c>
      <c r="F125" s="55">
        <f t="shared" si="55"/>
        <v>2057786.5155996401</v>
      </c>
      <c r="G125" s="55">
        <f t="shared" si="56"/>
        <v>2117890.9928723676</v>
      </c>
      <c r="H125" s="380">
        <f t="shared" si="57"/>
        <v>383942.16819926258</v>
      </c>
      <c r="I125" s="399">
        <f t="shared" si="58"/>
        <v>383942.16819926258</v>
      </c>
      <c r="J125" s="54">
        <f t="shared" si="35"/>
        <v>0</v>
      </c>
      <c r="K125" s="54"/>
      <c r="L125" s="129"/>
      <c r="M125" s="54">
        <f t="shared" si="59"/>
        <v>0</v>
      </c>
      <c r="N125" s="129"/>
      <c r="O125" s="54">
        <f t="shared" si="36"/>
        <v>0</v>
      </c>
      <c r="P125" s="54">
        <f t="shared" si="37"/>
        <v>0</v>
      </c>
    </row>
    <row r="126" spans="2:16" ht="12.5">
      <c r="B126" s="7" t="str">
        <f t="shared" si="34"/>
        <v/>
      </c>
      <c r="C126" s="50">
        <f>IF(D93="","-",+C125+1)</f>
        <v>2041</v>
      </c>
      <c r="D126" s="12">
        <f>IF(F125+SUM(E$99:E125)=D$92,F125,D$92-SUM(E$99:E125))</f>
        <v>2057786.5155996401</v>
      </c>
      <c r="E126" s="378">
        <f t="shared" si="54"/>
        <v>120208.95454545454</v>
      </c>
      <c r="F126" s="55">
        <f t="shared" si="55"/>
        <v>1937577.5610541855</v>
      </c>
      <c r="G126" s="55">
        <f t="shared" si="56"/>
        <v>1997682.0383269128</v>
      </c>
      <c r="H126" s="380">
        <f t="shared" si="57"/>
        <v>368972.98706627125</v>
      </c>
      <c r="I126" s="399">
        <f t="shared" si="58"/>
        <v>368972.98706627125</v>
      </c>
      <c r="J126" s="54">
        <f t="shared" si="35"/>
        <v>0</v>
      </c>
      <c r="K126" s="54"/>
      <c r="L126" s="129"/>
      <c r="M126" s="54">
        <f t="shared" si="59"/>
        <v>0</v>
      </c>
      <c r="N126" s="129"/>
      <c r="O126" s="54">
        <f t="shared" si="36"/>
        <v>0</v>
      </c>
      <c r="P126" s="54">
        <f t="shared" si="37"/>
        <v>0</v>
      </c>
    </row>
    <row r="127" spans="2:16" ht="12.5">
      <c r="B127" s="7" t="str">
        <f t="shared" si="34"/>
        <v/>
      </c>
      <c r="C127" s="50">
        <f>IF(D93="","-",+C126+1)</f>
        <v>2042</v>
      </c>
      <c r="D127" s="12">
        <f>IF(F126+SUM(E$99:E126)=D$92,F126,D$92-SUM(E$99:E126))</f>
        <v>1937577.5610541855</v>
      </c>
      <c r="E127" s="378">
        <f t="shared" si="54"/>
        <v>120208.95454545454</v>
      </c>
      <c r="F127" s="55">
        <f t="shared" si="55"/>
        <v>1817368.6065087309</v>
      </c>
      <c r="G127" s="55">
        <f t="shared" si="56"/>
        <v>1877473.0837814582</v>
      </c>
      <c r="H127" s="380">
        <f t="shared" si="57"/>
        <v>354003.80593327997</v>
      </c>
      <c r="I127" s="399">
        <f t="shared" si="58"/>
        <v>354003.80593327997</v>
      </c>
      <c r="J127" s="54">
        <f t="shared" si="35"/>
        <v>0</v>
      </c>
      <c r="K127" s="54"/>
      <c r="L127" s="129"/>
      <c r="M127" s="54">
        <f t="shared" si="59"/>
        <v>0</v>
      </c>
      <c r="N127" s="129"/>
      <c r="O127" s="54">
        <f t="shared" si="36"/>
        <v>0</v>
      </c>
      <c r="P127" s="54">
        <f t="shared" si="37"/>
        <v>0</v>
      </c>
    </row>
    <row r="128" spans="2:16" ht="12.5">
      <c r="B128" s="7" t="str">
        <f t="shared" si="34"/>
        <v/>
      </c>
      <c r="C128" s="50">
        <f>IF(D93="","-",+C127+1)</f>
        <v>2043</v>
      </c>
      <c r="D128" s="12">
        <f>IF(F127+SUM(E$99:E127)=D$92,F127,D$92-SUM(E$99:E127))</f>
        <v>1817368.6065087309</v>
      </c>
      <c r="E128" s="378">
        <f t="shared" si="54"/>
        <v>120208.95454545454</v>
      </c>
      <c r="F128" s="55">
        <f t="shared" si="55"/>
        <v>1697159.6519632763</v>
      </c>
      <c r="G128" s="55">
        <f t="shared" si="56"/>
        <v>1757264.1292360036</v>
      </c>
      <c r="H128" s="380">
        <f t="shared" si="57"/>
        <v>339034.62480028864</v>
      </c>
      <c r="I128" s="399">
        <f t="shared" si="58"/>
        <v>339034.62480028864</v>
      </c>
      <c r="J128" s="54">
        <f t="shared" si="35"/>
        <v>0</v>
      </c>
      <c r="K128" s="54"/>
      <c r="L128" s="129"/>
      <c r="M128" s="54">
        <f t="shared" si="59"/>
        <v>0</v>
      </c>
      <c r="N128" s="129"/>
      <c r="O128" s="54">
        <f t="shared" si="36"/>
        <v>0</v>
      </c>
      <c r="P128" s="54">
        <f t="shared" si="37"/>
        <v>0</v>
      </c>
    </row>
    <row r="129" spans="2:16" ht="12.5">
      <c r="B129" s="7" t="str">
        <f t="shared" si="34"/>
        <v/>
      </c>
      <c r="C129" s="50">
        <f>IF(D93="","-",+C128+1)</f>
        <v>2044</v>
      </c>
      <c r="D129" s="12">
        <f>IF(F128+SUM(E$99:E128)=D$92,F128,D$92-SUM(E$99:E128))</f>
        <v>1697159.6519632763</v>
      </c>
      <c r="E129" s="378">
        <f t="shared" si="54"/>
        <v>120208.95454545454</v>
      </c>
      <c r="F129" s="55">
        <f t="shared" si="55"/>
        <v>1576950.6974178217</v>
      </c>
      <c r="G129" s="55">
        <f t="shared" si="56"/>
        <v>1637055.174690549</v>
      </c>
      <c r="H129" s="380">
        <f t="shared" si="57"/>
        <v>324065.44366729737</v>
      </c>
      <c r="I129" s="399">
        <f t="shared" si="58"/>
        <v>324065.44366729737</v>
      </c>
      <c r="J129" s="54">
        <f t="shared" si="35"/>
        <v>0</v>
      </c>
      <c r="K129" s="54"/>
      <c r="L129" s="129"/>
      <c r="M129" s="54">
        <f t="shared" si="59"/>
        <v>0</v>
      </c>
      <c r="N129" s="129"/>
      <c r="O129" s="54">
        <f t="shared" si="36"/>
        <v>0</v>
      </c>
      <c r="P129" s="54">
        <f t="shared" si="37"/>
        <v>0</v>
      </c>
    </row>
    <row r="130" spans="2:16" ht="12.5">
      <c r="B130" s="7" t="str">
        <f t="shared" si="34"/>
        <v/>
      </c>
      <c r="C130" s="50">
        <f>IF(D93="","-",+C129+1)</f>
        <v>2045</v>
      </c>
      <c r="D130" s="12">
        <f>IF(F129+SUM(E$99:E129)=D$92,F129,D$92-SUM(E$99:E129))</f>
        <v>1576950.6974178217</v>
      </c>
      <c r="E130" s="378">
        <f t="shared" si="54"/>
        <v>120208.95454545454</v>
      </c>
      <c r="F130" s="55">
        <f t="shared" si="55"/>
        <v>1456741.7428723671</v>
      </c>
      <c r="G130" s="55">
        <f t="shared" si="56"/>
        <v>1516846.2201450944</v>
      </c>
      <c r="H130" s="380">
        <f t="shared" si="57"/>
        <v>309096.26253430604</v>
      </c>
      <c r="I130" s="399">
        <f t="shared" si="58"/>
        <v>309096.26253430604</v>
      </c>
      <c r="J130" s="54">
        <f t="shared" si="35"/>
        <v>0</v>
      </c>
      <c r="K130" s="54"/>
      <c r="L130" s="129"/>
      <c r="M130" s="54">
        <f t="shared" si="59"/>
        <v>0</v>
      </c>
      <c r="N130" s="129"/>
      <c r="O130" s="54">
        <f t="shared" si="36"/>
        <v>0</v>
      </c>
      <c r="P130" s="54">
        <f t="shared" si="37"/>
        <v>0</v>
      </c>
    </row>
    <row r="131" spans="2:16" ht="12.5">
      <c r="B131" s="7" t="str">
        <f t="shared" si="34"/>
        <v/>
      </c>
      <c r="C131" s="50">
        <f>IF(D93="","-",+C130+1)</f>
        <v>2046</v>
      </c>
      <c r="D131" s="12">
        <f>IF(F130+SUM(E$99:E130)=D$92,F130,D$92-SUM(E$99:E130))</f>
        <v>1456741.7428723671</v>
      </c>
      <c r="E131" s="378">
        <f t="shared" si="54"/>
        <v>120208.95454545454</v>
      </c>
      <c r="F131" s="55">
        <f t="shared" si="55"/>
        <v>1336532.7883269126</v>
      </c>
      <c r="G131" s="55">
        <f t="shared" si="56"/>
        <v>1396637.2655996399</v>
      </c>
      <c r="H131" s="380">
        <f t="shared" si="57"/>
        <v>294127.0814013147</v>
      </c>
      <c r="I131" s="399">
        <f t="shared" si="58"/>
        <v>294127.0814013147</v>
      </c>
      <c r="J131" s="54">
        <f t="shared" si="35"/>
        <v>0</v>
      </c>
      <c r="K131" s="54"/>
      <c r="L131" s="129"/>
      <c r="M131" s="54">
        <f t="shared" ref="M131:M154" si="60">IF(L541&lt;&gt;0,+H541-L541,0)</f>
        <v>0</v>
      </c>
      <c r="N131" s="129"/>
      <c r="O131" s="54">
        <f t="shared" ref="O131:O154" si="61">IF(N541&lt;&gt;0,+I541-N541,0)</f>
        <v>0</v>
      </c>
      <c r="P131" s="54">
        <f t="shared" ref="P131:P154" si="62">+O541-M541</f>
        <v>0</v>
      </c>
    </row>
    <row r="132" spans="2:16" ht="12.5">
      <c r="B132" s="7" t="str">
        <f t="shared" si="34"/>
        <v/>
      </c>
      <c r="C132" s="50">
        <f>IF(D93="","-",+C131+1)</f>
        <v>2047</v>
      </c>
      <c r="D132" s="12">
        <f>IF(F131+SUM(E$99:E131)=D$92,F131,D$92-SUM(E$99:E131))</f>
        <v>1336532.7883269126</v>
      </c>
      <c r="E132" s="378">
        <f t="shared" si="54"/>
        <v>120208.95454545454</v>
      </c>
      <c r="F132" s="55">
        <f t="shared" si="55"/>
        <v>1216323.833781458</v>
      </c>
      <c r="G132" s="55">
        <f t="shared" si="56"/>
        <v>1276428.3110541853</v>
      </c>
      <c r="H132" s="380">
        <f t="shared" si="57"/>
        <v>279157.90026832343</v>
      </c>
      <c r="I132" s="399">
        <f t="shared" si="58"/>
        <v>279157.90026832343</v>
      </c>
      <c r="J132" s="54">
        <f t="shared" si="35"/>
        <v>0</v>
      </c>
      <c r="K132" s="54"/>
      <c r="L132" s="129"/>
      <c r="M132" s="54">
        <f t="shared" si="60"/>
        <v>0</v>
      </c>
      <c r="N132" s="129"/>
      <c r="O132" s="54">
        <f t="shared" si="61"/>
        <v>0</v>
      </c>
      <c r="P132" s="54">
        <f t="shared" si="62"/>
        <v>0</v>
      </c>
    </row>
    <row r="133" spans="2:16" ht="12.5">
      <c r="B133" s="7" t="str">
        <f t="shared" si="34"/>
        <v/>
      </c>
      <c r="C133" s="50">
        <f>IF(D93="","-",+C132+1)</f>
        <v>2048</v>
      </c>
      <c r="D133" s="12">
        <f>IF(F132+SUM(E$99:E132)=D$92,F132,D$92-SUM(E$99:E132))</f>
        <v>1216323.833781458</v>
      </c>
      <c r="E133" s="378">
        <f t="shared" si="54"/>
        <v>120208.95454545454</v>
      </c>
      <c r="F133" s="55">
        <f t="shared" si="55"/>
        <v>1096114.8792360034</v>
      </c>
      <c r="G133" s="55">
        <f t="shared" si="56"/>
        <v>1156219.3565087307</v>
      </c>
      <c r="H133" s="380">
        <f t="shared" si="57"/>
        <v>264188.7191353321</v>
      </c>
      <c r="I133" s="399">
        <f t="shared" si="58"/>
        <v>264188.7191353321</v>
      </c>
      <c r="J133" s="54">
        <f t="shared" si="35"/>
        <v>0</v>
      </c>
      <c r="K133" s="54"/>
      <c r="L133" s="129"/>
      <c r="M133" s="54">
        <f t="shared" si="60"/>
        <v>0</v>
      </c>
      <c r="N133" s="129"/>
      <c r="O133" s="54">
        <f t="shared" si="61"/>
        <v>0</v>
      </c>
      <c r="P133" s="54">
        <f t="shared" si="62"/>
        <v>0</v>
      </c>
    </row>
    <row r="134" spans="2:16" ht="12.5">
      <c r="B134" s="7" t="str">
        <f t="shared" si="34"/>
        <v/>
      </c>
      <c r="C134" s="50">
        <f>IF(D93="","-",+C133+1)</f>
        <v>2049</v>
      </c>
      <c r="D134" s="12">
        <f>IF(F133+SUM(E$99:E133)=D$92,F133,D$92-SUM(E$99:E133))</f>
        <v>1096114.8792360034</v>
      </c>
      <c r="E134" s="378">
        <f t="shared" si="54"/>
        <v>120208.95454545454</v>
      </c>
      <c r="F134" s="55">
        <f t="shared" si="55"/>
        <v>975905.9246905488</v>
      </c>
      <c r="G134" s="55">
        <f t="shared" si="56"/>
        <v>1036010.4019632761</v>
      </c>
      <c r="H134" s="380">
        <f t="shared" si="57"/>
        <v>249219.53800234079</v>
      </c>
      <c r="I134" s="399">
        <f t="shared" si="58"/>
        <v>249219.53800234079</v>
      </c>
      <c r="J134" s="54">
        <f t="shared" si="35"/>
        <v>0</v>
      </c>
      <c r="K134" s="54"/>
      <c r="L134" s="129"/>
      <c r="M134" s="54">
        <f t="shared" si="60"/>
        <v>0</v>
      </c>
      <c r="N134" s="129"/>
      <c r="O134" s="54">
        <f t="shared" si="61"/>
        <v>0</v>
      </c>
      <c r="P134" s="54">
        <f t="shared" si="62"/>
        <v>0</v>
      </c>
    </row>
    <row r="135" spans="2:16" ht="12.5">
      <c r="B135" s="7" t="str">
        <f t="shared" si="34"/>
        <v/>
      </c>
      <c r="C135" s="50">
        <f>IF(D93="","-",+C134+1)</f>
        <v>2050</v>
      </c>
      <c r="D135" s="12">
        <f>IF(F134+SUM(E$99:E134)=D$92,F134,D$92-SUM(E$99:E134))</f>
        <v>975905.9246905488</v>
      </c>
      <c r="E135" s="378">
        <f t="shared" si="54"/>
        <v>120208.95454545454</v>
      </c>
      <c r="F135" s="55">
        <f t="shared" si="55"/>
        <v>855696.97014509421</v>
      </c>
      <c r="G135" s="55">
        <f t="shared" si="56"/>
        <v>915801.4474178215</v>
      </c>
      <c r="H135" s="380">
        <f t="shared" si="57"/>
        <v>234250.35686934949</v>
      </c>
      <c r="I135" s="399">
        <f t="shared" si="58"/>
        <v>234250.35686934949</v>
      </c>
      <c r="J135" s="54">
        <f t="shared" si="35"/>
        <v>0</v>
      </c>
      <c r="K135" s="54"/>
      <c r="L135" s="129"/>
      <c r="M135" s="54">
        <f t="shared" si="60"/>
        <v>0</v>
      </c>
      <c r="N135" s="129"/>
      <c r="O135" s="54">
        <f t="shared" si="61"/>
        <v>0</v>
      </c>
      <c r="P135" s="54">
        <f t="shared" si="62"/>
        <v>0</v>
      </c>
    </row>
    <row r="136" spans="2:16" ht="12.5">
      <c r="B136" s="7" t="str">
        <f t="shared" si="34"/>
        <v/>
      </c>
      <c r="C136" s="50">
        <f>IF(D93="","-",+C135+1)</f>
        <v>2051</v>
      </c>
      <c r="D136" s="12">
        <f>IF(F135+SUM(E$99:E135)=D$92,F135,D$92-SUM(E$99:E135))</f>
        <v>855696.97014509421</v>
      </c>
      <c r="E136" s="378">
        <f t="shared" si="54"/>
        <v>120208.95454545454</v>
      </c>
      <c r="F136" s="55">
        <f t="shared" si="55"/>
        <v>735488.01559963962</v>
      </c>
      <c r="G136" s="55">
        <f t="shared" si="56"/>
        <v>795592.49287236691</v>
      </c>
      <c r="H136" s="380">
        <f t="shared" si="57"/>
        <v>219281.17573635816</v>
      </c>
      <c r="I136" s="399">
        <f t="shared" si="58"/>
        <v>219281.17573635816</v>
      </c>
      <c r="J136" s="54">
        <f t="shared" si="35"/>
        <v>0</v>
      </c>
      <c r="K136" s="54"/>
      <c r="L136" s="129"/>
      <c r="M136" s="54">
        <f t="shared" si="60"/>
        <v>0</v>
      </c>
      <c r="N136" s="129"/>
      <c r="O136" s="54">
        <f t="shared" si="61"/>
        <v>0</v>
      </c>
      <c r="P136" s="54">
        <f t="shared" si="62"/>
        <v>0</v>
      </c>
    </row>
    <row r="137" spans="2:16" ht="12.5">
      <c r="B137" s="7" t="str">
        <f t="shared" si="34"/>
        <v/>
      </c>
      <c r="C137" s="50">
        <f>IF(D93="","-",+C136+1)</f>
        <v>2052</v>
      </c>
      <c r="D137" s="12">
        <f>IF(F136+SUM(E$99:E136)=D$92,F136,D$92-SUM(E$99:E136))</f>
        <v>735488.01559963962</v>
      </c>
      <c r="E137" s="378">
        <f t="shared" si="54"/>
        <v>120208.95454545454</v>
      </c>
      <c r="F137" s="55">
        <f t="shared" si="55"/>
        <v>615279.06105418503</v>
      </c>
      <c r="G137" s="55">
        <f t="shared" si="56"/>
        <v>675383.53832691233</v>
      </c>
      <c r="H137" s="380">
        <f t="shared" si="57"/>
        <v>204311.99460336688</v>
      </c>
      <c r="I137" s="399">
        <f t="shared" si="58"/>
        <v>204311.99460336688</v>
      </c>
      <c r="J137" s="54">
        <f t="shared" si="35"/>
        <v>0</v>
      </c>
      <c r="K137" s="54"/>
      <c r="L137" s="129"/>
      <c r="M137" s="54">
        <f t="shared" si="60"/>
        <v>0</v>
      </c>
      <c r="N137" s="129"/>
      <c r="O137" s="54">
        <f t="shared" si="61"/>
        <v>0</v>
      </c>
      <c r="P137" s="54">
        <f t="shared" si="62"/>
        <v>0</v>
      </c>
    </row>
    <row r="138" spans="2:16" ht="12.5">
      <c r="B138" s="7" t="str">
        <f t="shared" si="34"/>
        <v/>
      </c>
      <c r="C138" s="50">
        <f>IF(D93="","-",+C137+1)</f>
        <v>2053</v>
      </c>
      <c r="D138" s="12">
        <f>IF(F137+SUM(E$99:E137)=D$92,F137,D$92-SUM(E$99:E137))</f>
        <v>615279.06105418503</v>
      </c>
      <c r="E138" s="378">
        <f t="shared" si="54"/>
        <v>120208.95454545454</v>
      </c>
      <c r="F138" s="55">
        <f t="shared" si="55"/>
        <v>495070.1065087305</v>
      </c>
      <c r="G138" s="55">
        <f t="shared" si="56"/>
        <v>555174.58378145774</v>
      </c>
      <c r="H138" s="380">
        <f t="shared" si="57"/>
        <v>189342.81347037555</v>
      </c>
      <c r="I138" s="399">
        <f t="shared" si="58"/>
        <v>189342.81347037555</v>
      </c>
      <c r="J138" s="54">
        <f t="shared" si="35"/>
        <v>0</v>
      </c>
      <c r="K138" s="54"/>
      <c r="L138" s="129"/>
      <c r="M138" s="54">
        <f t="shared" si="60"/>
        <v>0</v>
      </c>
      <c r="N138" s="129"/>
      <c r="O138" s="54">
        <f t="shared" si="61"/>
        <v>0</v>
      </c>
      <c r="P138" s="54">
        <f t="shared" si="62"/>
        <v>0</v>
      </c>
    </row>
    <row r="139" spans="2:16" ht="12.5">
      <c r="B139" s="7" t="str">
        <f t="shared" si="34"/>
        <v/>
      </c>
      <c r="C139" s="50">
        <f>IF(D93="","-",+C138+1)</f>
        <v>2054</v>
      </c>
      <c r="D139" s="12">
        <f>IF(F138+SUM(E$99:E138)=D$92,F138,D$92-SUM(E$99:E138))</f>
        <v>495070.1065087305</v>
      </c>
      <c r="E139" s="378">
        <f t="shared" si="54"/>
        <v>120208.95454545454</v>
      </c>
      <c r="F139" s="55">
        <f t="shared" si="55"/>
        <v>374861.15196327597</v>
      </c>
      <c r="G139" s="55">
        <f t="shared" si="56"/>
        <v>434965.62923600327</v>
      </c>
      <c r="H139" s="380">
        <f t="shared" si="57"/>
        <v>174373.63233738428</v>
      </c>
      <c r="I139" s="399">
        <f t="shared" si="58"/>
        <v>174373.63233738428</v>
      </c>
      <c r="J139" s="54">
        <f t="shared" si="35"/>
        <v>0</v>
      </c>
      <c r="K139" s="54"/>
      <c r="L139" s="129"/>
      <c r="M139" s="54">
        <f t="shared" si="60"/>
        <v>0</v>
      </c>
      <c r="N139" s="129"/>
      <c r="O139" s="54">
        <f t="shared" si="61"/>
        <v>0</v>
      </c>
      <c r="P139" s="54">
        <f t="shared" si="62"/>
        <v>0</v>
      </c>
    </row>
    <row r="140" spans="2:16" ht="12.5">
      <c r="B140" s="7" t="str">
        <f t="shared" si="34"/>
        <v/>
      </c>
      <c r="C140" s="50">
        <f>IF(D93="","-",+C139+1)</f>
        <v>2055</v>
      </c>
      <c r="D140" s="12">
        <f>IF(F139+SUM(E$99:E139)=D$92,F139,D$92-SUM(E$99:E139))</f>
        <v>374861.15196327597</v>
      </c>
      <c r="E140" s="378">
        <f t="shared" si="54"/>
        <v>120208.95454545454</v>
      </c>
      <c r="F140" s="55">
        <f t="shared" si="55"/>
        <v>254652.19741782144</v>
      </c>
      <c r="G140" s="55">
        <f t="shared" si="56"/>
        <v>314756.67469054868</v>
      </c>
      <c r="H140" s="380">
        <f t="shared" si="57"/>
        <v>159404.45120439294</v>
      </c>
      <c r="I140" s="399">
        <f t="shared" si="58"/>
        <v>159404.45120439294</v>
      </c>
      <c r="J140" s="54">
        <f t="shared" si="35"/>
        <v>0</v>
      </c>
      <c r="K140" s="54"/>
      <c r="L140" s="129"/>
      <c r="M140" s="54">
        <f t="shared" si="60"/>
        <v>0</v>
      </c>
      <c r="N140" s="129"/>
      <c r="O140" s="54">
        <f t="shared" si="61"/>
        <v>0</v>
      </c>
      <c r="P140" s="54">
        <f t="shared" si="62"/>
        <v>0</v>
      </c>
    </row>
    <row r="141" spans="2:16" ht="12.5">
      <c r="B141" s="7" t="str">
        <f t="shared" si="34"/>
        <v/>
      </c>
      <c r="C141" s="50">
        <f>IF(D93="","-",+C140+1)</f>
        <v>2056</v>
      </c>
      <c r="D141" s="12">
        <f>IF(F140+SUM(E$99:E140)=D$92,F140,D$92-SUM(E$99:E140))</f>
        <v>254652.19741782144</v>
      </c>
      <c r="E141" s="378">
        <f t="shared" si="54"/>
        <v>120208.95454545454</v>
      </c>
      <c r="F141" s="55">
        <f t="shared" si="55"/>
        <v>134443.24287236691</v>
      </c>
      <c r="G141" s="55">
        <f t="shared" si="56"/>
        <v>194547.72014509418</v>
      </c>
      <c r="H141" s="380">
        <f t="shared" si="57"/>
        <v>144435.27007140167</v>
      </c>
      <c r="I141" s="399">
        <f t="shared" si="58"/>
        <v>144435.27007140167</v>
      </c>
      <c r="J141" s="54">
        <f t="shared" si="35"/>
        <v>0</v>
      </c>
      <c r="K141" s="54"/>
      <c r="L141" s="129"/>
      <c r="M141" s="54">
        <f t="shared" si="60"/>
        <v>0</v>
      </c>
      <c r="N141" s="129"/>
      <c r="O141" s="54">
        <f t="shared" si="61"/>
        <v>0</v>
      </c>
      <c r="P141" s="54">
        <f t="shared" si="62"/>
        <v>0</v>
      </c>
    </row>
    <row r="142" spans="2:16" ht="12.5">
      <c r="B142" s="7" t="str">
        <f t="shared" si="34"/>
        <v/>
      </c>
      <c r="C142" s="50">
        <f>IF(D93="","-",+C141+1)</f>
        <v>2057</v>
      </c>
      <c r="D142" s="12">
        <f>IF(F141+SUM(E$99:E141)=D$92,F141,D$92-SUM(E$99:E141))</f>
        <v>134443.24287236691</v>
      </c>
      <c r="E142" s="378">
        <f t="shared" si="54"/>
        <v>120208.95454545454</v>
      </c>
      <c r="F142" s="55">
        <f t="shared" si="55"/>
        <v>14234.28832691237</v>
      </c>
      <c r="G142" s="55">
        <f t="shared" si="56"/>
        <v>74338.76559963965</v>
      </c>
      <c r="H142" s="380">
        <f t="shared" si="57"/>
        <v>129466.08893841035</v>
      </c>
      <c r="I142" s="399">
        <f t="shared" si="58"/>
        <v>129466.08893841035</v>
      </c>
      <c r="J142" s="54">
        <f t="shared" si="35"/>
        <v>0</v>
      </c>
      <c r="K142" s="54"/>
      <c r="L142" s="129"/>
      <c r="M142" s="54">
        <f t="shared" si="60"/>
        <v>0</v>
      </c>
      <c r="N142" s="129"/>
      <c r="O142" s="54">
        <f t="shared" si="61"/>
        <v>0</v>
      </c>
      <c r="P142" s="54">
        <f t="shared" si="62"/>
        <v>0</v>
      </c>
    </row>
    <row r="143" spans="2:16" ht="12.5">
      <c r="B143" s="7" t="str">
        <f t="shared" si="34"/>
        <v/>
      </c>
      <c r="C143" s="50">
        <f>IF(D93="","-",+C142+1)</f>
        <v>2058</v>
      </c>
      <c r="D143" s="12">
        <f>IF(F142+SUM(E$99:E142)=D$92,F142,D$92-SUM(E$99:E142))</f>
        <v>14234.28832691237</v>
      </c>
      <c r="E143" s="378">
        <f t="shared" si="54"/>
        <v>14234.28832691237</v>
      </c>
      <c r="F143" s="55">
        <f t="shared" si="55"/>
        <v>0</v>
      </c>
      <c r="G143" s="55">
        <f t="shared" si="56"/>
        <v>7117.1441634561852</v>
      </c>
      <c r="H143" s="380">
        <f t="shared" si="57"/>
        <v>15120.560240142449</v>
      </c>
      <c r="I143" s="399">
        <f t="shared" si="58"/>
        <v>15120.560240142449</v>
      </c>
      <c r="J143" s="54">
        <f t="shared" si="35"/>
        <v>0</v>
      </c>
      <c r="K143" s="54"/>
      <c r="L143" s="129"/>
      <c r="M143" s="54">
        <f t="shared" si="60"/>
        <v>0</v>
      </c>
      <c r="N143" s="129"/>
      <c r="O143" s="54">
        <f t="shared" si="61"/>
        <v>0</v>
      </c>
      <c r="P143" s="54">
        <f t="shared" si="62"/>
        <v>0</v>
      </c>
    </row>
    <row r="144" spans="2:16" ht="12.5">
      <c r="B144" s="7" t="str">
        <f t="shared" si="34"/>
        <v/>
      </c>
      <c r="C144" s="50">
        <f>IF(D93="","-",+C143+1)</f>
        <v>2059</v>
      </c>
      <c r="D144" s="12">
        <f>IF(F143+SUM(E$99:E143)=D$92,F143,D$92-SUM(E$99:E143))</f>
        <v>0</v>
      </c>
      <c r="E144" s="378">
        <f t="shared" si="54"/>
        <v>0</v>
      </c>
      <c r="F144" s="55">
        <f t="shared" si="55"/>
        <v>0</v>
      </c>
      <c r="G144" s="55">
        <f t="shared" si="56"/>
        <v>0</v>
      </c>
      <c r="H144" s="380">
        <f t="shared" si="57"/>
        <v>0</v>
      </c>
      <c r="I144" s="399">
        <f t="shared" si="58"/>
        <v>0</v>
      </c>
      <c r="J144" s="54">
        <f t="shared" si="35"/>
        <v>0</v>
      </c>
      <c r="K144" s="54"/>
      <c r="L144" s="129"/>
      <c r="M144" s="54">
        <f t="shared" si="60"/>
        <v>0</v>
      </c>
      <c r="N144" s="129"/>
      <c r="O144" s="54">
        <f t="shared" si="61"/>
        <v>0</v>
      </c>
      <c r="P144" s="54">
        <f t="shared" si="62"/>
        <v>0</v>
      </c>
    </row>
    <row r="145" spans="2:16" ht="12.5">
      <c r="B145" s="7" t="str">
        <f t="shared" si="34"/>
        <v/>
      </c>
      <c r="C145" s="50">
        <f>IF(D93="","-",+C144+1)</f>
        <v>2060</v>
      </c>
      <c r="D145" s="12">
        <f>IF(F144+SUM(E$99:E144)=D$92,F144,D$92-SUM(E$99:E144))</f>
        <v>0</v>
      </c>
      <c r="E145" s="378">
        <f t="shared" si="54"/>
        <v>0</v>
      </c>
      <c r="F145" s="55">
        <f t="shared" si="55"/>
        <v>0</v>
      </c>
      <c r="G145" s="55">
        <f t="shared" si="56"/>
        <v>0</v>
      </c>
      <c r="H145" s="380">
        <f t="shared" si="57"/>
        <v>0</v>
      </c>
      <c r="I145" s="399">
        <f t="shared" si="58"/>
        <v>0</v>
      </c>
      <c r="J145" s="54">
        <f t="shared" si="35"/>
        <v>0</v>
      </c>
      <c r="K145" s="54"/>
      <c r="L145" s="129"/>
      <c r="M145" s="54">
        <f t="shared" si="60"/>
        <v>0</v>
      </c>
      <c r="N145" s="129"/>
      <c r="O145" s="54">
        <f t="shared" si="61"/>
        <v>0</v>
      </c>
      <c r="P145" s="54">
        <f t="shared" si="62"/>
        <v>0</v>
      </c>
    </row>
    <row r="146" spans="2:16" ht="12.5">
      <c r="B146" s="7" t="str">
        <f t="shared" si="34"/>
        <v/>
      </c>
      <c r="C146" s="50">
        <f>IF(D93="","-",+C145+1)</f>
        <v>2061</v>
      </c>
      <c r="D146" s="12">
        <f>IF(F145+SUM(E$99:E145)=D$92,F145,D$92-SUM(E$99:E145))</f>
        <v>0</v>
      </c>
      <c r="E146" s="378">
        <f t="shared" si="54"/>
        <v>0</v>
      </c>
      <c r="F146" s="55">
        <f t="shared" si="55"/>
        <v>0</v>
      </c>
      <c r="G146" s="55">
        <f t="shared" si="56"/>
        <v>0</v>
      </c>
      <c r="H146" s="380">
        <f t="shared" si="57"/>
        <v>0</v>
      </c>
      <c r="I146" s="399">
        <f t="shared" si="58"/>
        <v>0</v>
      </c>
      <c r="J146" s="54">
        <f t="shared" si="35"/>
        <v>0</v>
      </c>
      <c r="K146" s="54"/>
      <c r="L146" s="129"/>
      <c r="M146" s="54">
        <f t="shared" si="60"/>
        <v>0</v>
      </c>
      <c r="N146" s="129"/>
      <c r="O146" s="54">
        <f t="shared" si="61"/>
        <v>0</v>
      </c>
      <c r="P146" s="54">
        <f t="shared" si="62"/>
        <v>0</v>
      </c>
    </row>
    <row r="147" spans="2:16" ht="12.5">
      <c r="B147" s="7" t="str">
        <f t="shared" si="34"/>
        <v/>
      </c>
      <c r="C147" s="50">
        <f>IF(D93="","-",+C146+1)</f>
        <v>2062</v>
      </c>
      <c r="D147" s="12">
        <f>IF(F146+SUM(E$99:E146)=D$92,F146,D$92-SUM(E$99:E146))</f>
        <v>0</v>
      </c>
      <c r="E147" s="378">
        <f t="shared" si="54"/>
        <v>0</v>
      </c>
      <c r="F147" s="55">
        <f t="shared" si="55"/>
        <v>0</v>
      </c>
      <c r="G147" s="55">
        <f t="shared" si="56"/>
        <v>0</v>
      </c>
      <c r="H147" s="380">
        <f t="shared" si="57"/>
        <v>0</v>
      </c>
      <c r="I147" s="399">
        <f t="shared" si="58"/>
        <v>0</v>
      </c>
      <c r="J147" s="54">
        <f t="shared" si="35"/>
        <v>0</v>
      </c>
      <c r="K147" s="54"/>
      <c r="L147" s="129"/>
      <c r="M147" s="54">
        <f t="shared" si="60"/>
        <v>0</v>
      </c>
      <c r="N147" s="129"/>
      <c r="O147" s="54">
        <f t="shared" si="61"/>
        <v>0</v>
      </c>
      <c r="P147" s="54">
        <f t="shared" si="62"/>
        <v>0</v>
      </c>
    </row>
    <row r="148" spans="2:16" ht="12.5">
      <c r="B148" s="7" t="str">
        <f t="shared" si="34"/>
        <v/>
      </c>
      <c r="C148" s="50">
        <f>IF(D93="","-",+C147+1)</f>
        <v>2063</v>
      </c>
      <c r="D148" s="12">
        <f>IF(F147+SUM(E$99:E147)=D$92,F147,D$92-SUM(E$99:E147))</f>
        <v>0</v>
      </c>
      <c r="E148" s="378">
        <f t="shared" si="54"/>
        <v>0</v>
      </c>
      <c r="F148" s="55">
        <f t="shared" si="55"/>
        <v>0</v>
      </c>
      <c r="G148" s="55">
        <f t="shared" si="56"/>
        <v>0</v>
      </c>
      <c r="H148" s="380">
        <f t="shared" si="57"/>
        <v>0</v>
      </c>
      <c r="I148" s="399">
        <f t="shared" si="58"/>
        <v>0</v>
      </c>
      <c r="J148" s="54">
        <f t="shared" si="35"/>
        <v>0</v>
      </c>
      <c r="K148" s="54"/>
      <c r="L148" s="129"/>
      <c r="M148" s="54">
        <f t="shared" si="60"/>
        <v>0</v>
      </c>
      <c r="N148" s="129"/>
      <c r="O148" s="54">
        <f t="shared" si="61"/>
        <v>0</v>
      </c>
      <c r="P148" s="54">
        <f t="shared" si="62"/>
        <v>0</v>
      </c>
    </row>
    <row r="149" spans="2:16" ht="12.5">
      <c r="B149" s="7" t="str">
        <f t="shared" si="34"/>
        <v/>
      </c>
      <c r="C149" s="50">
        <f>IF(D93="","-",+C148+1)</f>
        <v>2064</v>
      </c>
      <c r="D149" s="12">
        <f>IF(F148+SUM(E$99:E148)=D$92,F148,D$92-SUM(E$99:E148))</f>
        <v>0</v>
      </c>
      <c r="E149" s="378">
        <f t="shared" si="54"/>
        <v>0</v>
      </c>
      <c r="F149" s="55">
        <f t="shared" si="55"/>
        <v>0</v>
      </c>
      <c r="G149" s="55">
        <f t="shared" si="56"/>
        <v>0</v>
      </c>
      <c r="H149" s="380">
        <f t="shared" si="57"/>
        <v>0</v>
      </c>
      <c r="I149" s="399">
        <f t="shared" si="58"/>
        <v>0</v>
      </c>
      <c r="J149" s="54">
        <f t="shared" si="35"/>
        <v>0</v>
      </c>
      <c r="K149" s="54"/>
      <c r="L149" s="129"/>
      <c r="M149" s="54">
        <f t="shared" si="60"/>
        <v>0</v>
      </c>
      <c r="N149" s="129"/>
      <c r="O149" s="54">
        <f t="shared" si="61"/>
        <v>0</v>
      </c>
      <c r="P149" s="54">
        <f t="shared" si="62"/>
        <v>0</v>
      </c>
    </row>
    <row r="150" spans="2:16" ht="12.5">
      <c r="B150" s="7" t="str">
        <f t="shared" si="34"/>
        <v/>
      </c>
      <c r="C150" s="50">
        <f>IF(D93="","-",+C149+1)</f>
        <v>2065</v>
      </c>
      <c r="D150" s="12">
        <f>IF(F149+SUM(E$99:E149)=D$92,F149,D$92-SUM(E$99:E149))</f>
        <v>0</v>
      </c>
      <c r="E150" s="378">
        <f t="shared" si="54"/>
        <v>0</v>
      </c>
      <c r="F150" s="55">
        <f t="shared" si="55"/>
        <v>0</v>
      </c>
      <c r="G150" s="55">
        <f t="shared" si="56"/>
        <v>0</v>
      </c>
      <c r="H150" s="380">
        <f t="shared" si="57"/>
        <v>0</v>
      </c>
      <c r="I150" s="399">
        <f t="shared" si="58"/>
        <v>0</v>
      </c>
      <c r="J150" s="54">
        <f t="shared" si="35"/>
        <v>0</v>
      </c>
      <c r="K150" s="54"/>
      <c r="L150" s="129"/>
      <c r="M150" s="54">
        <f t="shared" si="60"/>
        <v>0</v>
      </c>
      <c r="N150" s="129"/>
      <c r="O150" s="54">
        <f t="shared" si="61"/>
        <v>0</v>
      </c>
      <c r="P150" s="54">
        <f t="shared" si="62"/>
        <v>0</v>
      </c>
    </row>
    <row r="151" spans="2:16" ht="12.5">
      <c r="B151" s="7" t="str">
        <f t="shared" si="34"/>
        <v/>
      </c>
      <c r="C151" s="50">
        <f>IF(D93="","-",+C150+1)</f>
        <v>2066</v>
      </c>
      <c r="D151" s="12">
        <f>IF(F150+SUM(E$99:E150)=D$92,F150,D$92-SUM(E$99:E150))</f>
        <v>0</v>
      </c>
      <c r="E151" s="378">
        <f t="shared" si="54"/>
        <v>0</v>
      </c>
      <c r="F151" s="55">
        <f t="shared" si="55"/>
        <v>0</v>
      </c>
      <c r="G151" s="55">
        <f t="shared" si="56"/>
        <v>0</v>
      </c>
      <c r="H151" s="380">
        <f t="shared" si="57"/>
        <v>0</v>
      </c>
      <c r="I151" s="399">
        <f t="shared" si="58"/>
        <v>0</v>
      </c>
      <c r="J151" s="54">
        <f t="shared" si="35"/>
        <v>0</v>
      </c>
      <c r="K151" s="54"/>
      <c r="L151" s="129"/>
      <c r="M151" s="54">
        <f t="shared" si="60"/>
        <v>0</v>
      </c>
      <c r="N151" s="129"/>
      <c r="O151" s="54">
        <f t="shared" si="61"/>
        <v>0</v>
      </c>
      <c r="P151" s="54">
        <f t="shared" si="62"/>
        <v>0</v>
      </c>
    </row>
    <row r="152" spans="2:16" ht="12.5">
      <c r="B152" s="7" t="str">
        <f t="shared" si="34"/>
        <v/>
      </c>
      <c r="C152" s="50">
        <f>IF(D93="","-",+C151+1)</f>
        <v>2067</v>
      </c>
      <c r="D152" s="12">
        <f>IF(F151+SUM(E$99:E151)=D$92,F151,D$92-SUM(E$99:E151))</f>
        <v>0</v>
      </c>
      <c r="E152" s="378">
        <f t="shared" si="54"/>
        <v>0</v>
      </c>
      <c r="F152" s="55">
        <f t="shared" si="55"/>
        <v>0</v>
      </c>
      <c r="G152" s="55">
        <f t="shared" si="56"/>
        <v>0</v>
      </c>
      <c r="H152" s="380">
        <f t="shared" si="57"/>
        <v>0</v>
      </c>
      <c r="I152" s="399">
        <f t="shared" si="58"/>
        <v>0</v>
      </c>
      <c r="J152" s="54">
        <f t="shared" si="35"/>
        <v>0</v>
      </c>
      <c r="K152" s="54"/>
      <c r="L152" s="129"/>
      <c r="M152" s="54">
        <f t="shared" si="60"/>
        <v>0</v>
      </c>
      <c r="N152" s="129"/>
      <c r="O152" s="54">
        <f t="shared" si="61"/>
        <v>0</v>
      </c>
      <c r="P152" s="54">
        <f t="shared" si="62"/>
        <v>0</v>
      </c>
    </row>
    <row r="153" spans="2:16" ht="12.5">
      <c r="B153" s="7" t="str">
        <f t="shared" si="34"/>
        <v/>
      </c>
      <c r="C153" s="50">
        <f>IF(D93="","-",+C152+1)</f>
        <v>2068</v>
      </c>
      <c r="D153" s="12">
        <f>IF(F152+SUM(E$99:E152)=D$92,F152,D$92-SUM(E$99:E152))</f>
        <v>0</v>
      </c>
      <c r="E153" s="378">
        <f t="shared" si="54"/>
        <v>0</v>
      </c>
      <c r="F153" s="55">
        <f t="shared" si="55"/>
        <v>0</v>
      </c>
      <c r="G153" s="55">
        <f t="shared" si="56"/>
        <v>0</v>
      </c>
      <c r="H153" s="380">
        <f t="shared" si="57"/>
        <v>0</v>
      </c>
      <c r="I153" s="399">
        <f t="shared" si="58"/>
        <v>0</v>
      </c>
      <c r="J153" s="54">
        <f t="shared" si="35"/>
        <v>0</v>
      </c>
      <c r="K153" s="54"/>
      <c r="L153" s="129"/>
      <c r="M153" s="54">
        <f t="shared" si="60"/>
        <v>0</v>
      </c>
      <c r="N153" s="129"/>
      <c r="O153" s="54">
        <f t="shared" si="61"/>
        <v>0</v>
      </c>
      <c r="P153" s="54">
        <f t="shared" si="62"/>
        <v>0</v>
      </c>
    </row>
    <row r="154" spans="2:16" ht="13" thickBot="1">
      <c r="B154" s="7" t="str">
        <f t="shared" si="34"/>
        <v/>
      </c>
      <c r="C154" s="59">
        <f>IF(D93="","-",+C153+1)</f>
        <v>2069</v>
      </c>
      <c r="D154" s="12">
        <f>IF(F153+SUM(E$99:E153)=D$92,F153,D$92-SUM(E$99:E153))</f>
        <v>0</v>
      </c>
      <c r="E154" s="378">
        <f t="shared" si="54"/>
        <v>0</v>
      </c>
      <c r="F154" s="55">
        <f t="shared" si="55"/>
        <v>0</v>
      </c>
      <c r="G154" s="55">
        <f t="shared" si="56"/>
        <v>0</v>
      </c>
      <c r="H154" s="380">
        <f t="shared" si="57"/>
        <v>0</v>
      </c>
      <c r="I154" s="399">
        <f t="shared" si="58"/>
        <v>0</v>
      </c>
      <c r="J154" s="54">
        <f t="shared" si="35"/>
        <v>0</v>
      </c>
      <c r="K154" s="54"/>
      <c r="L154" s="130"/>
      <c r="M154" s="64">
        <f t="shared" si="60"/>
        <v>0</v>
      </c>
      <c r="N154" s="130"/>
      <c r="O154" s="64">
        <f t="shared" si="61"/>
        <v>0</v>
      </c>
      <c r="P154" s="64">
        <f t="shared" si="62"/>
        <v>0</v>
      </c>
    </row>
    <row r="155" spans="2:16" ht="12.5">
      <c r="C155" s="12" t="s">
        <v>78</v>
      </c>
      <c r="D155" s="293"/>
      <c r="E155" s="293">
        <f>SUM(E99:E154)</f>
        <v>5289193.9999999981</v>
      </c>
      <c r="F155" s="293"/>
      <c r="G155" s="293"/>
      <c r="H155" s="293">
        <f>SUM(H99:H154)</f>
        <v>19285378.732146565</v>
      </c>
      <c r="I155" s="293">
        <f>SUM(I99:I154)</f>
        <v>19285378.732146565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 ht="12.5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 ht="13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73" priority="1" stopIfTrue="1" operator="equal">
      <formula>$I$10</formula>
    </cfRule>
  </conditionalFormatting>
  <conditionalFormatting sqref="C99:C154">
    <cfRule type="cellIs" dxfId="7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92"/>
  <dimension ref="A1:P162"/>
  <sheetViews>
    <sheetView topLeftCell="A85" zoomScaleNormal="100" zoomScaleSheetLayoutView="82" workbookViewId="0">
      <selection activeCell="D27" sqref="D27:H27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43 of 77</v>
      </c>
    </row>
    <row r="2" spans="1:16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1710884.0949343792</v>
      </c>
      <c r="P5" s="1"/>
    </row>
    <row r="6" spans="1:16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1710884.0949343792</v>
      </c>
      <c r="O6" s="1"/>
      <c r="P6" s="1"/>
    </row>
    <row r="7" spans="1:16" ht="13.5" thickBot="1">
      <c r="C7" s="25" t="s">
        <v>48</v>
      </c>
      <c r="D7" s="90" t="s">
        <v>319</v>
      </c>
      <c r="E7" s="406"/>
      <c r="F7" s="406"/>
      <c r="G7" s="406"/>
      <c r="H7" s="40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318</v>
      </c>
      <c r="E9" s="436" t="s">
        <v>327</v>
      </c>
      <c r="F9" s="31"/>
      <c r="G9" s="31"/>
      <c r="H9" s="31"/>
      <c r="I9" s="32"/>
      <c r="J9" s="33"/>
      <c r="P9" s="1"/>
    </row>
    <row r="10" spans="1:16" ht="13">
      <c r="C10" s="34" t="s">
        <v>51</v>
      </c>
      <c r="D10" s="363">
        <v>14866883.030000001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6" ht="12.5">
      <c r="C11" s="34" t="s">
        <v>54</v>
      </c>
      <c r="D11" s="37">
        <v>2014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3">
        <v>11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337883.70522727276</v>
      </c>
      <c r="J14" s="293"/>
      <c r="K14" s="293"/>
      <c r="L14" s="293"/>
      <c r="M14" s="293"/>
      <c r="N14" s="293"/>
      <c r="O14" s="1"/>
      <c r="P14" s="1"/>
    </row>
    <row r="15" spans="1:16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2014</v>
      </c>
      <c r="D17" s="429">
        <v>14332500</v>
      </c>
      <c r="E17" s="437">
        <v>0</v>
      </c>
      <c r="F17" s="429">
        <v>14332500</v>
      </c>
      <c r="G17" s="437">
        <v>1933604.8594930479</v>
      </c>
      <c r="H17" s="438">
        <v>1933604.8594930479</v>
      </c>
      <c r="I17" s="423">
        <v>0</v>
      </c>
      <c r="J17" s="52"/>
      <c r="K17" s="440">
        <f t="shared" ref="K17:K22" si="0">G17</f>
        <v>1933604.8594930479</v>
      </c>
      <c r="L17" s="441">
        <f t="shared" ref="L17:L22" si="1">IF(K17&lt;&gt;0,+G17-K17,0)</f>
        <v>0</v>
      </c>
      <c r="M17" s="442">
        <f t="shared" ref="M17:M22" si="2">H17</f>
        <v>1933604.8594930479</v>
      </c>
      <c r="N17" s="443">
        <f>IF(M17&lt;&gt;0,+H17-M17,0)</f>
        <v>0</v>
      </c>
      <c r="O17" s="54">
        <f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2015</v>
      </c>
      <c r="D18" s="429">
        <v>14332500</v>
      </c>
      <c r="E18" s="430">
        <v>357761.90476190473</v>
      </c>
      <c r="F18" s="429">
        <v>13974738.095238095</v>
      </c>
      <c r="G18" s="430">
        <v>2198302.0042745443</v>
      </c>
      <c r="H18" s="438">
        <v>2198302.0042745443</v>
      </c>
      <c r="I18" s="52">
        <v>0</v>
      </c>
      <c r="J18" s="52"/>
      <c r="K18" s="113">
        <f t="shared" si="0"/>
        <v>2198302.0042745443</v>
      </c>
      <c r="L18" s="54">
        <f t="shared" si="1"/>
        <v>0</v>
      </c>
      <c r="M18" s="113">
        <f t="shared" si="2"/>
        <v>2198302.0042745443</v>
      </c>
      <c r="N18" s="54">
        <f>IF(M18&lt;&gt;0,+H18-M18,0)</f>
        <v>0</v>
      </c>
      <c r="O18" s="54">
        <f>+N18-L18</f>
        <v>0</v>
      </c>
      <c r="P18" s="1"/>
    </row>
    <row r="19" spans="2:16" ht="12.5">
      <c r="B19" s="7" t="str">
        <f>IF(D19=F18,"","IU")</f>
        <v>IU</v>
      </c>
      <c r="C19" s="50">
        <f>IF(D11="","-",+C18+1)</f>
        <v>2016</v>
      </c>
      <c r="D19" s="429">
        <v>14668238.095238095</v>
      </c>
      <c r="E19" s="430">
        <v>357761.90476190473</v>
      </c>
      <c r="F19" s="429">
        <v>14310476.19047619</v>
      </c>
      <c r="G19" s="430">
        <v>2219268.2901278744</v>
      </c>
      <c r="H19" s="438">
        <v>2219268.2901278744</v>
      </c>
      <c r="I19" s="52">
        <f>H19-G19</f>
        <v>0</v>
      </c>
      <c r="J19" s="52"/>
      <c r="K19" s="113">
        <f t="shared" si="0"/>
        <v>2219268.2901278744</v>
      </c>
      <c r="L19" s="54">
        <f t="shared" si="1"/>
        <v>0</v>
      </c>
      <c r="M19" s="113">
        <f t="shared" si="2"/>
        <v>2219268.2901278744</v>
      </c>
      <c r="N19" s="54">
        <f>IF(M19&lt;&gt;0,+H19-M19,0)</f>
        <v>0</v>
      </c>
      <c r="O19" s="54">
        <f>+N19-L19</f>
        <v>0</v>
      </c>
      <c r="P19" s="1"/>
    </row>
    <row r="20" spans="2:16" ht="12.5">
      <c r="B20" s="7" t="str">
        <f t="shared" ref="B20:B72" si="3">IF(D20=F19,"","IU")</f>
        <v>IU</v>
      </c>
      <c r="C20" s="50">
        <f>IF(D11="","-",+C19+1)</f>
        <v>2017</v>
      </c>
      <c r="D20" s="429">
        <v>14151359.19047619</v>
      </c>
      <c r="E20" s="430">
        <v>345741.46511627908</v>
      </c>
      <c r="F20" s="429">
        <v>13805617.725359911</v>
      </c>
      <c r="G20" s="430">
        <v>2077571.8162955591</v>
      </c>
      <c r="H20" s="438">
        <v>2077571.8162955591</v>
      </c>
      <c r="I20" s="52">
        <f t="shared" ref="I20:I72" si="4">H20-G20</f>
        <v>0</v>
      </c>
      <c r="J20" s="52"/>
      <c r="K20" s="113">
        <f t="shared" si="0"/>
        <v>2077571.8162955591</v>
      </c>
      <c r="L20" s="54">
        <f t="shared" si="1"/>
        <v>0</v>
      </c>
      <c r="M20" s="113">
        <f t="shared" si="2"/>
        <v>2077571.8162955591</v>
      </c>
      <c r="N20" s="54">
        <f>IF(M20&lt;&gt;0,+H20-M20,0)</f>
        <v>0</v>
      </c>
      <c r="O20" s="54">
        <f>+N20-L20</f>
        <v>0</v>
      </c>
      <c r="P20" s="1"/>
    </row>
    <row r="21" spans="2:16" ht="12.5">
      <c r="B21" s="7" t="str">
        <f t="shared" si="3"/>
        <v/>
      </c>
      <c r="C21" s="50">
        <f>IF(D11="","-",+C20+1)</f>
        <v>2018</v>
      </c>
      <c r="D21" s="429">
        <v>13805617.725359911</v>
      </c>
      <c r="E21" s="430">
        <v>362606.90243902442</v>
      </c>
      <c r="F21" s="429">
        <v>13443010.822920887</v>
      </c>
      <c r="G21" s="430">
        <v>2094176.8486263207</v>
      </c>
      <c r="H21" s="438">
        <v>2094176.8486263207</v>
      </c>
      <c r="I21" s="52">
        <f t="shared" si="4"/>
        <v>0</v>
      </c>
      <c r="J21" s="52"/>
      <c r="K21" s="113">
        <f t="shared" si="0"/>
        <v>2094176.8486263207</v>
      </c>
      <c r="L21" s="54">
        <f t="shared" si="1"/>
        <v>0</v>
      </c>
      <c r="M21" s="113">
        <f t="shared" si="2"/>
        <v>2094176.8486263207</v>
      </c>
      <c r="N21" s="54">
        <f>IF(M21&lt;&gt;0,+H21-M21,0)</f>
        <v>0</v>
      </c>
      <c r="O21" s="54">
        <f>+N21-L21</f>
        <v>0</v>
      </c>
      <c r="P21" s="1"/>
    </row>
    <row r="22" spans="2:16" ht="12.5">
      <c r="B22" s="7" t="str">
        <f t="shared" si="3"/>
        <v/>
      </c>
      <c r="C22" s="50">
        <f>IF(D11="","-",+C21+1)</f>
        <v>2019</v>
      </c>
      <c r="D22" s="429">
        <v>13443010.822920887</v>
      </c>
      <c r="E22" s="430">
        <v>362606.90243902442</v>
      </c>
      <c r="F22" s="429">
        <v>13080403.920481863</v>
      </c>
      <c r="G22" s="430">
        <v>2048091.6510956655</v>
      </c>
      <c r="H22" s="438">
        <v>2048091.6510956655</v>
      </c>
      <c r="I22" s="52">
        <f t="shared" si="4"/>
        <v>0</v>
      </c>
      <c r="J22" s="52"/>
      <c r="K22" s="113">
        <f t="shared" si="0"/>
        <v>2048091.6510956655</v>
      </c>
      <c r="L22" s="54">
        <f t="shared" si="1"/>
        <v>0</v>
      </c>
      <c r="M22" s="113">
        <f t="shared" si="2"/>
        <v>2048091.6510956655</v>
      </c>
      <c r="N22" s="54">
        <f t="shared" ref="N22:N72" si="5">IF(M22&lt;&gt;0,+H22-M22,0)</f>
        <v>0</v>
      </c>
      <c r="O22" s="54">
        <f t="shared" ref="O22:O72" si="6">+N22-L22</f>
        <v>0</v>
      </c>
      <c r="P22" s="1"/>
    </row>
    <row r="23" spans="2:16" ht="12.5">
      <c r="B23" s="7" t="str">
        <f t="shared" si="3"/>
        <v/>
      </c>
      <c r="C23" s="50">
        <f>IF(D11="","-",+C22+1)</f>
        <v>2020</v>
      </c>
      <c r="D23" s="429">
        <v>13080403.920481863</v>
      </c>
      <c r="E23" s="430">
        <v>362606.90243902442</v>
      </c>
      <c r="F23" s="429">
        <v>12717797.018042838</v>
      </c>
      <c r="G23" s="430">
        <v>1682642.2217511837</v>
      </c>
      <c r="H23" s="438">
        <v>1682642.2217511837</v>
      </c>
      <c r="I23" s="52">
        <f t="shared" si="4"/>
        <v>0</v>
      </c>
      <c r="J23" s="52"/>
      <c r="K23" s="113">
        <f t="shared" ref="K23" si="7">G23</f>
        <v>1682642.2217511837</v>
      </c>
      <c r="L23" s="54">
        <f t="shared" ref="L23" si="8">IF(K23&lt;&gt;0,+G23-K23,0)</f>
        <v>0</v>
      </c>
      <c r="M23" s="113">
        <f t="shared" ref="M23" si="9">H23</f>
        <v>1682642.2217511837</v>
      </c>
      <c r="N23" s="54">
        <f t="shared" si="5"/>
        <v>0</v>
      </c>
      <c r="O23" s="54">
        <f t="shared" si="6"/>
        <v>0</v>
      </c>
      <c r="P23" s="1"/>
    </row>
    <row r="24" spans="2:16" ht="12.5">
      <c r="B24" s="7" t="str">
        <f t="shared" si="3"/>
        <v>IU</v>
      </c>
      <c r="C24" s="50">
        <f>IF(D11="","-",+C23+1)</f>
        <v>2021</v>
      </c>
      <c r="D24" s="429">
        <v>12736606.246063258</v>
      </c>
      <c r="E24" s="430">
        <v>353973.40476190473</v>
      </c>
      <c r="F24" s="429">
        <v>12382632.841301354</v>
      </c>
      <c r="G24" s="430">
        <v>1685350.1603983724</v>
      </c>
      <c r="H24" s="438">
        <v>1685350.1603983724</v>
      </c>
      <c r="I24" s="52">
        <f t="shared" si="4"/>
        <v>0</v>
      </c>
      <c r="J24" s="52"/>
      <c r="K24" s="113">
        <f t="shared" ref="K24" si="10">G24</f>
        <v>1685350.1603983724</v>
      </c>
      <c r="L24" s="54">
        <f t="shared" ref="L24" si="11">IF(K24&lt;&gt;0,+G24-K24,0)</f>
        <v>0</v>
      </c>
      <c r="M24" s="113">
        <f t="shared" ref="M24" si="12">H24</f>
        <v>1685350.1603983724</v>
      </c>
      <c r="N24" s="54">
        <f t="shared" si="5"/>
        <v>0</v>
      </c>
      <c r="O24" s="54">
        <f t="shared" si="6"/>
        <v>0</v>
      </c>
      <c r="P24" s="1"/>
    </row>
    <row r="25" spans="2:16" ht="12.5">
      <c r="B25" s="7" t="str">
        <f t="shared" si="3"/>
        <v>IU</v>
      </c>
      <c r="C25" s="50">
        <f>IF(D11="","-",+C24+1)</f>
        <v>2022</v>
      </c>
      <c r="D25" s="429">
        <v>12363823.613280933</v>
      </c>
      <c r="E25" s="430">
        <v>353973.40476190473</v>
      </c>
      <c r="F25" s="429">
        <v>12009850.208519028</v>
      </c>
      <c r="G25" s="430">
        <v>1724311.275069321</v>
      </c>
      <c r="H25" s="438">
        <v>1724311.275069321</v>
      </c>
      <c r="I25" s="52">
        <f t="shared" si="4"/>
        <v>0</v>
      </c>
      <c r="J25" s="52"/>
      <c r="K25" s="113">
        <f t="shared" ref="K25" si="13">G25</f>
        <v>1724311.275069321</v>
      </c>
      <c r="L25" s="54">
        <f t="shared" ref="L25" si="14">IF(K25&lt;&gt;0,+G25-K25,0)</f>
        <v>0</v>
      </c>
      <c r="M25" s="113">
        <f t="shared" ref="M25" si="15">H25</f>
        <v>1724311.275069321</v>
      </c>
      <c r="N25" s="54">
        <f t="shared" si="5"/>
        <v>0</v>
      </c>
      <c r="O25" s="54">
        <f t="shared" si="6"/>
        <v>0</v>
      </c>
      <c r="P25" s="1"/>
    </row>
    <row r="26" spans="2:16" ht="12.5">
      <c r="B26" s="7" t="str">
        <f t="shared" si="3"/>
        <v>IU</v>
      </c>
      <c r="C26" s="50">
        <f>IF(D11="","-",+C25+1)</f>
        <v>2023</v>
      </c>
      <c r="D26" s="429">
        <v>12009850.23851903</v>
      </c>
      <c r="E26" s="430">
        <v>353973.4054761905</v>
      </c>
      <c r="F26" s="429">
        <v>11655876.83304284</v>
      </c>
      <c r="G26" s="430">
        <v>1848781.0485526482</v>
      </c>
      <c r="H26" s="438">
        <v>1848781.0485526482</v>
      </c>
      <c r="I26" s="52">
        <f t="shared" si="4"/>
        <v>0</v>
      </c>
      <c r="J26" s="52"/>
      <c r="K26" s="113">
        <f t="shared" ref="K26" si="16">G26</f>
        <v>1848781.0485526482</v>
      </c>
      <c r="L26" s="54">
        <f t="shared" ref="L26" si="17">IF(K26&lt;&gt;0,+G26-K26,0)</f>
        <v>0</v>
      </c>
      <c r="M26" s="113">
        <f t="shared" ref="M26" si="18">H26</f>
        <v>1848781.0485526482</v>
      </c>
      <c r="N26" s="54">
        <f t="shared" si="5"/>
        <v>0</v>
      </c>
      <c r="O26" s="54">
        <f t="shared" si="6"/>
        <v>0</v>
      </c>
      <c r="P26" s="1"/>
    </row>
    <row r="27" spans="2:16" ht="12.5">
      <c r="B27" s="7" t="str">
        <f t="shared" si="3"/>
        <v/>
      </c>
      <c r="C27" s="50">
        <f>IF(D11="","-",+C26+1)</f>
        <v>2024</v>
      </c>
      <c r="D27" s="429">
        <v>11655876.83304284</v>
      </c>
      <c r="E27" s="430">
        <v>337883.70522727276</v>
      </c>
      <c r="F27" s="429">
        <v>11317993.127815567</v>
      </c>
      <c r="G27" s="430">
        <v>1710884.0949343792</v>
      </c>
      <c r="H27" s="438">
        <v>1710884.0949343792</v>
      </c>
      <c r="I27" s="52">
        <f t="shared" si="4"/>
        <v>0</v>
      </c>
      <c r="J27" s="52"/>
      <c r="K27" s="113">
        <f t="shared" ref="K27" si="19">G27</f>
        <v>1710884.0949343792</v>
      </c>
      <c r="L27" s="54">
        <f t="shared" ref="L27" si="20">IF(K27&lt;&gt;0,+G27-K27,0)</f>
        <v>0</v>
      </c>
      <c r="M27" s="113">
        <f t="shared" ref="M27" si="21">H27</f>
        <v>1710884.0949343792</v>
      </c>
      <c r="N27" s="54">
        <f t="shared" ref="N27" si="22">IF(M27&lt;&gt;0,+H27-M27,0)</f>
        <v>0</v>
      </c>
      <c r="O27" s="54">
        <f t="shared" ref="O27" si="23">+N27-L27</f>
        <v>0</v>
      </c>
      <c r="P27" s="1"/>
    </row>
    <row r="28" spans="2:16" ht="12.5">
      <c r="B28" s="7" t="str">
        <f t="shared" si="3"/>
        <v/>
      </c>
      <c r="C28" s="50">
        <f>IF(D11="","-",+C27+1)</f>
        <v>2025</v>
      </c>
      <c r="D28" s="55">
        <f>IF(F27+SUM(E$17:E27)=D$10,F27,D$10-SUM(E$17:E27))</f>
        <v>11317993.127815567</v>
      </c>
      <c r="E28" s="378">
        <f t="shared" ref="E28:E72" si="24">IF(+$I$14&lt;F27,$I$14,D28)</f>
        <v>337883.70522727276</v>
      </c>
      <c r="F28" s="55">
        <f t="shared" ref="F28:F72" si="25">+D28-E28</f>
        <v>10980109.422588294</v>
      </c>
      <c r="G28" s="379">
        <f t="shared" ref="G28:G51" si="26">+I$12*((D28+F28)/2)+E28</f>
        <v>1670497.8248159259</v>
      </c>
      <c r="H28" s="364">
        <f t="shared" ref="H28:H51" si="27">+I$13*((D28+F28)/2)+E28</f>
        <v>1670497.8248159259</v>
      </c>
      <c r="I28" s="52">
        <f t="shared" si="4"/>
        <v>0</v>
      </c>
      <c r="J28" s="52"/>
      <c r="K28" s="129"/>
      <c r="L28" s="54">
        <f t="shared" ref="L28:L72" si="28">IF(K28&lt;&gt;0,+G28-K28,0)</f>
        <v>0</v>
      </c>
      <c r="M28" s="129"/>
      <c r="N28" s="54">
        <f t="shared" si="5"/>
        <v>0</v>
      </c>
      <c r="O28" s="54">
        <f t="shared" si="6"/>
        <v>0</v>
      </c>
      <c r="P28" s="1"/>
    </row>
    <row r="29" spans="2:16" ht="12.5">
      <c r="B29" s="7" t="str">
        <f t="shared" si="3"/>
        <v/>
      </c>
      <c r="C29" s="50">
        <f>IF(D11="","-",+C28+1)</f>
        <v>2026</v>
      </c>
      <c r="D29" s="55">
        <f>IF(F28+SUM(E$17:E28)=D$10,F28,D$10-SUM(E$17:E28))</f>
        <v>10980109.422588294</v>
      </c>
      <c r="E29" s="378">
        <f t="shared" si="24"/>
        <v>337883.70522727276</v>
      </c>
      <c r="F29" s="55">
        <f t="shared" si="25"/>
        <v>10642225.717361022</v>
      </c>
      <c r="G29" s="379">
        <f t="shared" si="26"/>
        <v>1630111.5546974721</v>
      </c>
      <c r="H29" s="364">
        <f t="shared" si="27"/>
        <v>1630111.5546974721</v>
      </c>
      <c r="I29" s="52">
        <f t="shared" si="4"/>
        <v>0</v>
      </c>
      <c r="J29" s="52"/>
      <c r="K29" s="129"/>
      <c r="L29" s="54">
        <f t="shared" si="28"/>
        <v>0</v>
      </c>
      <c r="M29" s="129"/>
      <c r="N29" s="54">
        <f t="shared" si="5"/>
        <v>0</v>
      </c>
      <c r="O29" s="54">
        <f t="shared" si="6"/>
        <v>0</v>
      </c>
      <c r="P29" s="1"/>
    </row>
    <row r="30" spans="2:16" ht="12.5">
      <c r="B30" s="7" t="str">
        <f t="shared" si="3"/>
        <v/>
      </c>
      <c r="C30" s="50">
        <f>IF(D11="","-",+C29+1)</f>
        <v>2027</v>
      </c>
      <c r="D30" s="55">
        <f>IF(F29+SUM(E$17:E29)=D$10,F29,D$10-SUM(E$17:E29))</f>
        <v>10642225.717361022</v>
      </c>
      <c r="E30" s="378">
        <f t="shared" si="24"/>
        <v>337883.70522727276</v>
      </c>
      <c r="F30" s="55">
        <f t="shared" si="25"/>
        <v>10304342.012133749</v>
      </c>
      <c r="G30" s="379">
        <f t="shared" si="26"/>
        <v>1589725.2845790188</v>
      </c>
      <c r="H30" s="364">
        <f t="shared" si="27"/>
        <v>1589725.2845790188</v>
      </c>
      <c r="I30" s="52">
        <f t="shared" si="4"/>
        <v>0</v>
      </c>
      <c r="J30" s="52"/>
      <c r="K30" s="129"/>
      <c r="L30" s="54">
        <f t="shared" si="28"/>
        <v>0</v>
      </c>
      <c r="M30" s="129"/>
      <c r="N30" s="54">
        <f t="shared" si="5"/>
        <v>0</v>
      </c>
      <c r="O30" s="54">
        <f t="shared" si="6"/>
        <v>0</v>
      </c>
      <c r="P30" s="1"/>
    </row>
    <row r="31" spans="2:16" ht="12.5">
      <c r="B31" s="7" t="str">
        <f t="shared" si="3"/>
        <v/>
      </c>
      <c r="C31" s="50">
        <f>IF(D11="","-",+C30+1)</f>
        <v>2028</v>
      </c>
      <c r="D31" s="55">
        <f>IF(F30+SUM(E$17:E30)=D$10,F30,D$10-SUM(E$17:E30))</f>
        <v>10304342.012133749</v>
      </c>
      <c r="E31" s="378">
        <f t="shared" si="24"/>
        <v>337883.70522727276</v>
      </c>
      <c r="F31" s="55">
        <f t="shared" si="25"/>
        <v>9966458.3069064766</v>
      </c>
      <c r="G31" s="379">
        <f t="shared" si="26"/>
        <v>1549339.0144605651</v>
      </c>
      <c r="H31" s="364">
        <f t="shared" si="27"/>
        <v>1549339.0144605651</v>
      </c>
      <c r="I31" s="52">
        <f t="shared" si="4"/>
        <v>0</v>
      </c>
      <c r="J31" s="52"/>
      <c r="K31" s="129"/>
      <c r="L31" s="54">
        <f t="shared" si="28"/>
        <v>0</v>
      </c>
      <c r="M31" s="129"/>
      <c r="N31" s="54">
        <f t="shared" si="5"/>
        <v>0</v>
      </c>
      <c r="O31" s="54">
        <f t="shared" si="6"/>
        <v>0</v>
      </c>
      <c r="P31" s="1"/>
    </row>
    <row r="32" spans="2:16" ht="12.5">
      <c r="B32" s="7" t="str">
        <f t="shared" si="3"/>
        <v/>
      </c>
      <c r="C32" s="50">
        <f>IF(D11="","-",+C31+1)</f>
        <v>2029</v>
      </c>
      <c r="D32" s="55">
        <f>IF(F31+SUM(E$17:E31)=D$10,F31,D$10-SUM(E$17:E31))</f>
        <v>9966458.3069064766</v>
      </c>
      <c r="E32" s="378">
        <f t="shared" si="24"/>
        <v>337883.70522727276</v>
      </c>
      <c r="F32" s="55">
        <f t="shared" si="25"/>
        <v>9628574.601679204</v>
      </c>
      <c r="G32" s="379">
        <f t="shared" si="26"/>
        <v>1508952.7443421117</v>
      </c>
      <c r="H32" s="364">
        <f t="shared" si="27"/>
        <v>1508952.7443421117</v>
      </c>
      <c r="I32" s="52">
        <f t="shared" si="4"/>
        <v>0</v>
      </c>
      <c r="J32" s="52"/>
      <c r="K32" s="129"/>
      <c r="L32" s="54">
        <f t="shared" si="28"/>
        <v>0</v>
      </c>
      <c r="M32" s="129"/>
      <c r="N32" s="54">
        <f t="shared" si="5"/>
        <v>0</v>
      </c>
      <c r="O32" s="54">
        <f t="shared" si="6"/>
        <v>0</v>
      </c>
      <c r="P32" s="1"/>
    </row>
    <row r="33" spans="2:16" ht="12.5">
      <c r="B33" s="7" t="str">
        <f t="shared" si="3"/>
        <v/>
      </c>
      <c r="C33" s="50">
        <f>IF(D11="","-",+C32+1)</f>
        <v>2030</v>
      </c>
      <c r="D33" s="55">
        <f>IF(F32+SUM(E$17:E32)=D$10,F32,D$10-SUM(E$17:E32))</f>
        <v>9628574.601679204</v>
      </c>
      <c r="E33" s="378">
        <f t="shared" si="24"/>
        <v>337883.70522727276</v>
      </c>
      <c r="F33" s="55">
        <f t="shared" si="25"/>
        <v>9290690.8964519314</v>
      </c>
      <c r="G33" s="379">
        <f t="shared" si="26"/>
        <v>1468566.474223658</v>
      </c>
      <c r="H33" s="364">
        <f t="shared" si="27"/>
        <v>1468566.474223658</v>
      </c>
      <c r="I33" s="52">
        <f t="shared" si="4"/>
        <v>0</v>
      </c>
      <c r="J33" s="52"/>
      <c r="K33" s="129"/>
      <c r="L33" s="54">
        <f t="shared" si="28"/>
        <v>0</v>
      </c>
      <c r="M33" s="129"/>
      <c r="N33" s="54">
        <f t="shared" si="5"/>
        <v>0</v>
      </c>
      <c r="O33" s="54">
        <f t="shared" si="6"/>
        <v>0</v>
      </c>
      <c r="P33" s="1"/>
    </row>
    <row r="34" spans="2:16" ht="12.5">
      <c r="B34" s="7" t="str">
        <f t="shared" si="3"/>
        <v/>
      </c>
      <c r="C34" s="50">
        <f>IF(D11="","-",+C33+1)</f>
        <v>2031</v>
      </c>
      <c r="D34" s="55">
        <f>IF(F33+SUM(E$17:E33)=D$10,F33,D$10-SUM(E$17:E33))</f>
        <v>9290690.8964519314</v>
      </c>
      <c r="E34" s="378">
        <f t="shared" si="24"/>
        <v>337883.70522727276</v>
      </c>
      <c r="F34" s="55">
        <f t="shared" si="25"/>
        <v>8952807.1912246589</v>
      </c>
      <c r="G34" s="379">
        <f t="shared" si="26"/>
        <v>1428180.2041052047</v>
      </c>
      <c r="H34" s="364">
        <f t="shared" si="27"/>
        <v>1428180.2041052047</v>
      </c>
      <c r="I34" s="52">
        <f t="shared" si="4"/>
        <v>0</v>
      </c>
      <c r="J34" s="52"/>
      <c r="K34" s="129"/>
      <c r="L34" s="54">
        <f t="shared" si="28"/>
        <v>0</v>
      </c>
      <c r="M34" s="129"/>
      <c r="N34" s="54">
        <f t="shared" si="5"/>
        <v>0</v>
      </c>
      <c r="O34" s="54">
        <f t="shared" si="6"/>
        <v>0</v>
      </c>
      <c r="P34" s="1"/>
    </row>
    <row r="35" spans="2:16" ht="12.5">
      <c r="B35" s="7" t="str">
        <f t="shared" si="3"/>
        <v/>
      </c>
      <c r="C35" s="50">
        <f>IF(D11="","-",+C34+1)</f>
        <v>2032</v>
      </c>
      <c r="D35" s="55">
        <f>IF(F34+SUM(E$17:E34)=D$10,F34,D$10-SUM(E$17:E34))</f>
        <v>8952807.1912246589</v>
      </c>
      <c r="E35" s="378">
        <f t="shared" si="24"/>
        <v>337883.70522727276</v>
      </c>
      <c r="F35" s="55">
        <f t="shared" si="25"/>
        <v>8614923.4859973863</v>
      </c>
      <c r="G35" s="379">
        <f t="shared" si="26"/>
        <v>1387793.9339867511</v>
      </c>
      <c r="H35" s="364">
        <f t="shared" si="27"/>
        <v>1387793.9339867511</v>
      </c>
      <c r="I35" s="52">
        <f t="shared" si="4"/>
        <v>0</v>
      </c>
      <c r="J35" s="52"/>
      <c r="K35" s="129"/>
      <c r="L35" s="54">
        <f t="shared" si="28"/>
        <v>0</v>
      </c>
      <c r="M35" s="129"/>
      <c r="N35" s="54">
        <f t="shared" si="5"/>
        <v>0</v>
      </c>
      <c r="O35" s="54">
        <f t="shared" si="6"/>
        <v>0</v>
      </c>
      <c r="P35" s="1"/>
    </row>
    <row r="36" spans="2:16" ht="12.5">
      <c r="B36" s="7" t="str">
        <f t="shared" si="3"/>
        <v/>
      </c>
      <c r="C36" s="50">
        <f>IF(D11="","-",+C35+1)</f>
        <v>2033</v>
      </c>
      <c r="D36" s="55">
        <f>IF(F35+SUM(E$17:E35)=D$10,F35,D$10-SUM(E$17:E35))</f>
        <v>8614923.4859973863</v>
      </c>
      <c r="E36" s="378">
        <f t="shared" si="24"/>
        <v>337883.70522727276</v>
      </c>
      <c r="F36" s="55">
        <f t="shared" si="25"/>
        <v>8277039.7807701137</v>
      </c>
      <c r="G36" s="379">
        <f t="shared" si="26"/>
        <v>1347407.6638682976</v>
      </c>
      <c r="H36" s="364">
        <f t="shared" si="27"/>
        <v>1347407.6638682976</v>
      </c>
      <c r="I36" s="52">
        <f t="shared" si="4"/>
        <v>0</v>
      </c>
      <c r="J36" s="52"/>
      <c r="K36" s="129"/>
      <c r="L36" s="54">
        <f t="shared" si="28"/>
        <v>0</v>
      </c>
      <c r="M36" s="129"/>
      <c r="N36" s="54">
        <f t="shared" si="5"/>
        <v>0</v>
      </c>
      <c r="O36" s="54">
        <f t="shared" si="6"/>
        <v>0</v>
      </c>
      <c r="P36" s="1"/>
    </row>
    <row r="37" spans="2:16" ht="12.5">
      <c r="B37" s="7" t="str">
        <f t="shared" si="3"/>
        <v/>
      </c>
      <c r="C37" s="50">
        <f>IF(D11="","-",+C36+1)</f>
        <v>2034</v>
      </c>
      <c r="D37" s="55">
        <f>IF(F36+SUM(E$17:E36)=D$10,F36,D$10-SUM(E$17:E36))</f>
        <v>8277039.7807701137</v>
      </c>
      <c r="E37" s="378">
        <f t="shared" si="24"/>
        <v>337883.70522727276</v>
      </c>
      <c r="F37" s="55">
        <f t="shared" si="25"/>
        <v>7939156.0755428411</v>
      </c>
      <c r="G37" s="379">
        <f t="shared" si="26"/>
        <v>1307021.3937498441</v>
      </c>
      <c r="H37" s="364">
        <f t="shared" si="27"/>
        <v>1307021.3937498441</v>
      </c>
      <c r="I37" s="52">
        <f t="shared" si="4"/>
        <v>0</v>
      </c>
      <c r="J37" s="52"/>
      <c r="K37" s="129"/>
      <c r="L37" s="54">
        <f t="shared" si="28"/>
        <v>0</v>
      </c>
      <c r="M37" s="129"/>
      <c r="N37" s="54">
        <f t="shared" si="5"/>
        <v>0</v>
      </c>
      <c r="O37" s="54">
        <f t="shared" si="6"/>
        <v>0</v>
      </c>
      <c r="P37" s="1"/>
    </row>
    <row r="38" spans="2:16" ht="12.5">
      <c r="B38" s="7" t="str">
        <f t="shared" si="3"/>
        <v/>
      </c>
      <c r="C38" s="50">
        <f>IF(D11="","-",+C37+1)</f>
        <v>2035</v>
      </c>
      <c r="D38" s="55">
        <f>IF(F37+SUM(E$17:E37)=D$10,F37,D$10-SUM(E$17:E37))</f>
        <v>7939156.0755428411</v>
      </c>
      <c r="E38" s="378">
        <f t="shared" si="24"/>
        <v>337883.70522727276</v>
      </c>
      <c r="F38" s="55">
        <f t="shared" si="25"/>
        <v>7601272.3703155685</v>
      </c>
      <c r="G38" s="379">
        <f t="shared" si="26"/>
        <v>1266635.1236313905</v>
      </c>
      <c r="H38" s="364">
        <f t="shared" si="27"/>
        <v>1266635.1236313905</v>
      </c>
      <c r="I38" s="52">
        <f t="shared" si="4"/>
        <v>0</v>
      </c>
      <c r="J38" s="52"/>
      <c r="K38" s="129"/>
      <c r="L38" s="54">
        <f t="shared" si="28"/>
        <v>0</v>
      </c>
      <c r="M38" s="129"/>
      <c r="N38" s="54">
        <f t="shared" si="5"/>
        <v>0</v>
      </c>
      <c r="O38" s="54">
        <f t="shared" si="6"/>
        <v>0</v>
      </c>
      <c r="P38" s="1"/>
    </row>
    <row r="39" spans="2:16" ht="12.5">
      <c r="B39" s="7" t="str">
        <f t="shared" si="3"/>
        <v/>
      </c>
      <c r="C39" s="50">
        <f>IF(D11="","-",+C38+1)</f>
        <v>2036</v>
      </c>
      <c r="D39" s="55">
        <f>IF(F38+SUM(E$17:E38)=D$10,F38,D$10-SUM(E$17:E38))</f>
        <v>7601272.3703155685</v>
      </c>
      <c r="E39" s="378">
        <f t="shared" si="24"/>
        <v>337883.70522727276</v>
      </c>
      <c r="F39" s="55">
        <f t="shared" si="25"/>
        <v>7263388.6650882959</v>
      </c>
      <c r="G39" s="379">
        <f t="shared" si="26"/>
        <v>1226248.853512937</v>
      </c>
      <c r="H39" s="364">
        <f t="shared" si="27"/>
        <v>1226248.853512937</v>
      </c>
      <c r="I39" s="52">
        <f t="shared" si="4"/>
        <v>0</v>
      </c>
      <c r="J39" s="52"/>
      <c r="K39" s="129"/>
      <c r="L39" s="54">
        <f t="shared" si="28"/>
        <v>0</v>
      </c>
      <c r="M39" s="129"/>
      <c r="N39" s="54">
        <f t="shared" si="5"/>
        <v>0</v>
      </c>
      <c r="O39" s="54">
        <f t="shared" si="6"/>
        <v>0</v>
      </c>
      <c r="P39" s="1"/>
    </row>
    <row r="40" spans="2:16" ht="12.5">
      <c r="B40" s="7" t="str">
        <f t="shared" si="3"/>
        <v/>
      </c>
      <c r="C40" s="50">
        <f>IF(D11="","-",+C39+1)</f>
        <v>2037</v>
      </c>
      <c r="D40" s="55">
        <f>IF(F39+SUM(E$17:E39)=D$10,F39,D$10-SUM(E$17:E39))</f>
        <v>7263388.6650882959</v>
      </c>
      <c r="E40" s="378">
        <f t="shared" si="24"/>
        <v>337883.70522727276</v>
      </c>
      <c r="F40" s="55">
        <f t="shared" si="25"/>
        <v>6925504.9598610234</v>
      </c>
      <c r="G40" s="379">
        <f t="shared" si="26"/>
        <v>1185862.5833944834</v>
      </c>
      <c r="H40" s="364">
        <f t="shared" si="27"/>
        <v>1185862.5833944834</v>
      </c>
      <c r="I40" s="52">
        <f t="shared" si="4"/>
        <v>0</v>
      </c>
      <c r="J40" s="52"/>
      <c r="K40" s="129"/>
      <c r="L40" s="54">
        <f t="shared" si="28"/>
        <v>0</v>
      </c>
      <c r="M40" s="129"/>
      <c r="N40" s="54">
        <f t="shared" si="5"/>
        <v>0</v>
      </c>
      <c r="O40" s="54">
        <f t="shared" si="6"/>
        <v>0</v>
      </c>
      <c r="P40" s="1"/>
    </row>
    <row r="41" spans="2:16" ht="12.5">
      <c r="B41" s="7" t="str">
        <f t="shared" si="3"/>
        <v/>
      </c>
      <c r="C41" s="50">
        <f>IF(D11="","-",+C40+1)</f>
        <v>2038</v>
      </c>
      <c r="D41" s="55">
        <f>IF(F40+SUM(E$17:E40)=D$10,F40,D$10-SUM(E$17:E40))</f>
        <v>6925504.9598610234</v>
      </c>
      <c r="E41" s="378">
        <f t="shared" si="24"/>
        <v>337883.70522727276</v>
      </c>
      <c r="F41" s="55">
        <f t="shared" si="25"/>
        <v>6587621.2546337508</v>
      </c>
      <c r="G41" s="379">
        <f t="shared" si="26"/>
        <v>1145476.3132760299</v>
      </c>
      <c r="H41" s="364">
        <f t="shared" si="27"/>
        <v>1145476.3132760299</v>
      </c>
      <c r="I41" s="52">
        <f t="shared" si="4"/>
        <v>0</v>
      </c>
      <c r="J41" s="52"/>
      <c r="K41" s="129"/>
      <c r="L41" s="54">
        <f t="shared" si="28"/>
        <v>0</v>
      </c>
      <c r="M41" s="129"/>
      <c r="N41" s="54">
        <f t="shared" si="5"/>
        <v>0</v>
      </c>
      <c r="O41" s="54">
        <f t="shared" si="6"/>
        <v>0</v>
      </c>
      <c r="P41" s="1"/>
    </row>
    <row r="42" spans="2:16" ht="12.5">
      <c r="B42" s="7" t="str">
        <f t="shared" si="3"/>
        <v/>
      </c>
      <c r="C42" s="50">
        <f>IF(D11="","-",+C41+1)</f>
        <v>2039</v>
      </c>
      <c r="D42" s="55">
        <f>IF(F41+SUM(E$17:E41)=D$10,F41,D$10-SUM(E$17:E41))</f>
        <v>6587621.2546337508</v>
      </c>
      <c r="E42" s="378">
        <f t="shared" si="24"/>
        <v>337883.70522727276</v>
      </c>
      <c r="F42" s="55">
        <f t="shared" si="25"/>
        <v>6249737.5494064782</v>
      </c>
      <c r="G42" s="379">
        <f t="shared" si="26"/>
        <v>1105090.0431575766</v>
      </c>
      <c r="H42" s="364">
        <f t="shared" si="27"/>
        <v>1105090.0431575766</v>
      </c>
      <c r="I42" s="52">
        <f t="shared" si="4"/>
        <v>0</v>
      </c>
      <c r="J42" s="52"/>
      <c r="K42" s="129"/>
      <c r="L42" s="54">
        <f t="shared" si="28"/>
        <v>0</v>
      </c>
      <c r="M42" s="129"/>
      <c r="N42" s="54">
        <f t="shared" si="5"/>
        <v>0</v>
      </c>
      <c r="O42" s="54">
        <f t="shared" si="6"/>
        <v>0</v>
      </c>
      <c r="P42" s="1"/>
    </row>
    <row r="43" spans="2:16" ht="12.5">
      <c r="B43" s="7" t="str">
        <f t="shared" si="3"/>
        <v/>
      </c>
      <c r="C43" s="50">
        <f>IF(D11="","-",+C42+1)</f>
        <v>2040</v>
      </c>
      <c r="D43" s="55">
        <f>IF(F42+SUM(E$17:E42)=D$10,F42,D$10-SUM(E$17:E42))</f>
        <v>6249737.5494064782</v>
      </c>
      <c r="E43" s="378">
        <f t="shared" si="24"/>
        <v>337883.70522727276</v>
      </c>
      <c r="F43" s="55">
        <f t="shared" si="25"/>
        <v>5911853.8441792056</v>
      </c>
      <c r="G43" s="379">
        <f t="shared" si="26"/>
        <v>1064703.773039123</v>
      </c>
      <c r="H43" s="364">
        <f t="shared" si="27"/>
        <v>1064703.773039123</v>
      </c>
      <c r="I43" s="52">
        <f t="shared" si="4"/>
        <v>0</v>
      </c>
      <c r="J43" s="52"/>
      <c r="K43" s="129"/>
      <c r="L43" s="54">
        <f t="shared" si="28"/>
        <v>0</v>
      </c>
      <c r="M43" s="129"/>
      <c r="N43" s="54">
        <f t="shared" si="5"/>
        <v>0</v>
      </c>
      <c r="O43" s="54">
        <f t="shared" si="6"/>
        <v>0</v>
      </c>
      <c r="P43" s="1"/>
    </row>
    <row r="44" spans="2:16" ht="12.5">
      <c r="B44" s="7" t="str">
        <f t="shared" si="3"/>
        <v/>
      </c>
      <c r="C44" s="50">
        <f>IF(D11="","-",+C43+1)</f>
        <v>2041</v>
      </c>
      <c r="D44" s="55">
        <f>IF(F43+SUM(E$17:E43)=D$10,F43,D$10-SUM(E$17:E43))</f>
        <v>5911853.8441792056</v>
      </c>
      <c r="E44" s="378">
        <f t="shared" si="24"/>
        <v>337883.70522727276</v>
      </c>
      <c r="F44" s="55">
        <f t="shared" si="25"/>
        <v>5573970.138951933</v>
      </c>
      <c r="G44" s="379">
        <f t="shared" si="26"/>
        <v>1024317.5029206695</v>
      </c>
      <c r="H44" s="364">
        <f t="shared" si="27"/>
        <v>1024317.5029206695</v>
      </c>
      <c r="I44" s="52">
        <f t="shared" si="4"/>
        <v>0</v>
      </c>
      <c r="J44" s="52"/>
      <c r="K44" s="129"/>
      <c r="L44" s="54">
        <f t="shared" si="28"/>
        <v>0</v>
      </c>
      <c r="M44" s="129"/>
      <c r="N44" s="54">
        <f t="shared" si="5"/>
        <v>0</v>
      </c>
      <c r="O44" s="54">
        <f t="shared" si="6"/>
        <v>0</v>
      </c>
      <c r="P44" s="1"/>
    </row>
    <row r="45" spans="2:16" ht="12.5">
      <c r="B45" s="7" t="str">
        <f t="shared" si="3"/>
        <v/>
      </c>
      <c r="C45" s="50">
        <f>IF(D11="","-",+C44+1)</f>
        <v>2042</v>
      </c>
      <c r="D45" s="55">
        <f>IF(F44+SUM(E$17:E44)=D$10,F44,D$10-SUM(E$17:E44))</f>
        <v>5573970.138951933</v>
      </c>
      <c r="E45" s="378">
        <f t="shared" si="24"/>
        <v>337883.70522727276</v>
      </c>
      <c r="F45" s="55">
        <f t="shared" si="25"/>
        <v>5236086.4337246604</v>
      </c>
      <c r="G45" s="379">
        <f t="shared" si="26"/>
        <v>983931.23280221596</v>
      </c>
      <c r="H45" s="364">
        <f t="shared" si="27"/>
        <v>983931.23280221596</v>
      </c>
      <c r="I45" s="52">
        <f t="shared" si="4"/>
        <v>0</v>
      </c>
      <c r="J45" s="52"/>
      <c r="K45" s="129"/>
      <c r="L45" s="54">
        <f t="shared" si="28"/>
        <v>0</v>
      </c>
      <c r="M45" s="129"/>
      <c r="N45" s="54">
        <f t="shared" si="5"/>
        <v>0</v>
      </c>
      <c r="O45" s="54">
        <f t="shared" si="6"/>
        <v>0</v>
      </c>
      <c r="P45" s="1"/>
    </row>
    <row r="46" spans="2:16" ht="12.5">
      <c r="B46" s="7" t="str">
        <f t="shared" si="3"/>
        <v/>
      </c>
      <c r="C46" s="50">
        <f>IF(D11="","-",+C45+1)</f>
        <v>2043</v>
      </c>
      <c r="D46" s="55">
        <f>IF(F45+SUM(E$17:E45)=D$10,F45,D$10-SUM(E$17:E45))</f>
        <v>5236086.4337246604</v>
      </c>
      <c r="E46" s="378">
        <f t="shared" si="24"/>
        <v>337883.70522727276</v>
      </c>
      <c r="F46" s="55">
        <f t="shared" si="25"/>
        <v>4898202.7284973878</v>
      </c>
      <c r="G46" s="379">
        <f t="shared" si="26"/>
        <v>943544.96268376242</v>
      </c>
      <c r="H46" s="364">
        <f t="shared" si="27"/>
        <v>943544.96268376242</v>
      </c>
      <c r="I46" s="52">
        <f t="shared" si="4"/>
        <v>0</v>
      </c>
      <c r="J46" s="52"/>
      <c r="K46" s="129"/>
      <c r="L46" s="54">
        <f t="shared" si="28"/>
        <v>0</v>
      </c>
      <c r="M46" s="129"/>
      <c r="N46" s="54">
        <f t="shared" si="5"/>
        <v>0</v>
      </c>
      <c r="O46" s="54">
        <f t="shared" si="6"/>
        <v>0</v>
      </c>
      <c r="P46" s="1"/>
    </row>
    <row r="47" spans="2:16" ht="12.5">
      <c r="B47" s="7" t="str">
        <f t="shared" si="3"/>
        <v/>
      </c>
      <c r="C47" s="50">
        <f>IF(D11="","-",+C46+1)</f>
        <v>2044</v>
      </c>
      <c r="D47" s="55">
        <f>IF(F46+SUM(E$17:E46)=D$10,F46,D$10-SUM(E$17:E46))</f>
        <v>4898202.7284973878</v>
      </c>
      <c r="E47" s="378">
        <f t="shared" si="24"/>
        <v>337883.70522727276</v>
      </c>
      <c r="F47" s="55">
        <f t="shared" si="25"/>
        <v>4560319.0232701153</v>
      </c>
      <c r="G47" s="379">
        <f t="shared" si="26"/>
        <v>903158.69256530888</v>
      </c>
      <c r="H47" s="364">
        <f t="shared" si="27"/>
        <v>903158.69256530888</v>
      </c>
      <c r="I47" s="52">
        <f t="shared" si="4"/>
        <v>0</v>
      </c>
      <c r="J47" s="52"/>
      <c r="K47" s="129"/>
      <c r="L47" s="54">
        <f t="shared" si="28"/>
        <v>0</v>
      </c>
      <c r="M47" s="129"/>
      <c r="N47" s="54">
        <f t="shared" si="5"/>
        <v>0</v>
      </c>
      <c r="O47" s="54">
        <f t="shared" si="6"/>
        <v>0</v>
      </c>
      <c r="P47" s="1"/>
    </row>
    <row r="48" spans="2:16" ht="12.5">
      <c r="B48" s="7" t="str">
        <f t="shared" si="3"/>
        <v/>
      </c>
      <c r="C48" s="50">
        <f>IF(D11="","-",+C47+1)</f>
        <v>2045</v>
      </c>
      <c r="D48" s="55">
        <f>IF(F47+SUM(E$17:E47)=D$10,F47,D$10-SUM(E$17:E47))</f>
        <v>4560319.0232701153</v>
      </c>
      <c r="E48" s="378">
        <f t="shared" si="24"/>
        <v>337883.70522727276</v>
      </c>
      <c r="F48" s="55">
        <f t="shared" si="25"/>
        <v>4222435.3180428427</v>
      </c>
      <c r="G48" s="379">
        <f t="shared" si="26"/>
        <v>862772.42244685534</v>
      </c>
      <c r="H48" s="364">
        <f t="shared" si="27"/>
        <v>862772.42244685534</v>
      </c>
      <c r="I48" s="52">
        <f t="shared" si="4"/>
        <v>0</v>
      </c>
      <c r="J48" s="52"/>
      <c r="K48" s="129"/>
      <c r="L48" s="54">
        <f t="shared" si="28"/>
        <v>0</v>
      </c>
      <c r="M48" s="129"/>
      <c r="N48" s="54">
        <f t="shared" si="5"/>
        <v>0</v>
      </c>
      <c r="O48" s="54">
        <f t="shared" si="6"/>
        <v>0</v>
      </c>
      <c r="P48" s="1"/>
    </row>
    <row r="49" spans="2:16" ht="12.5">
      <c r="B49" s="7" t="str">
        <f t="shared" si="3"/>
        <v/>
      </c>
      <c r="C49" s="50">
        <f>IF(D11="","-",+C48+1)</f>
        <v>2046</v>
      </c>
      <c r="D49" s="55">
        <f>IF(F48+SUM(E$17:E48)=D$10,F48,D$10-SUM(E$17:E48))</f>
        <v>4222435.3180428427</v>
      </c>
      <c r="E49" s="378">
        <f t="shared" si="24"/>
        <v>337883.70522727276</v>
      </c>
      <c r="F49" s="55">
        <f t="shared" si="25"/>
        <v>3884551.6128155701</v>
      </c>
      <c r="G49" s="379">
        <f t="shared" si="26"/>
        <v>822386.1523284018</v>
      </c>
      <c r="H49" s="364">
        <f t="shared" si="27"/>
        <v>822386.1523284018</v>
      </c>
      <c r="I49" s="52">
        <f t="shared" si="4"/>
        <v>0</v>
      </c>
      <c r="J49" s="52"/>
      <c r="K49" s="129"/>
      <c r="L49" s="54">
        <f t="shared" si="28"/>
        <v>0</v>
      </c>
      <c r="M49" s="129"/>
      <c r="N49" s="54">
        <f t="shared" si="5"/>
        <v>0</v>
      </c>
      <c r="O49" s="54">
        <f t="shared" si="6"/>
        <v>0</v>
      </c>
      <c r="P49" s="1"/>
    </row>
    <row r="50" spans="2:16" ht="12.5">
      <c r="B50" s="7" t="str">
        <f t="shared" si="3"/>
        <v/>
      </c>
      <c r="C50" s="50">
        <f>IF(D11="","-",+C49+1)</f>
        <v>2047</v>
      </c>
      <c r="D50" s="55">
        <f>IF(F49+SUM(E$17:E49)=D$10,F49,D$10-SUM(E$17:E49))</f>
        <v>3884551.6128155701</v>
      </c>
      <c r="E50" s="378">
        <f t="shared" si="24"/>
        <v>337883.70522727276</v>
      </c>
      <c r="F50" s="55">
        <f t="shared" si="25"/>
        <v>3546667.9075882975</v>
      </c>
      <c r="G50" s="379">
        <f t="shared" si="26"/>
        <v>781999.88220994838</v>
      </c>
      <c r="H50" s="364">
        <f t="shared" si="27"/>
        <v>781999.88220994838</v>
      </c>
      <c r="I50" s="52">
        <f t="shared" si="4"/>
        <v>0</v>
      </c>
      <c r="J50" s="52"/>
      <c r="K50" s="129"/>
      <c r="L50" s="54">
        <f t="shared" si="28"/>
        <v>0</v>
      </c>
      <c r="M50" s="129"/>
      <c r="N50" s="54">
        <f t="shared" si="5"/>
        <v>0</v>
      </c>
      <c r="O50" s="54">
        <f t="shared" si="6"/>
        <v>0</v>
      </c>
      <c r="P50" s="1"/>
    </row>
    <row r="51" spans="2:16" ht="12.5">
      <c r="B51" s="7" t="str">
        <f t="shared" si="3"/>
        <v/>
      </c>
      <c r="C51" s="50">
        <f>IF(D11="","-",+C50+1)</f>
        <v>2048</v>
      </c>
      <c r="D51" s="55">
        <f>IF(F50+SUM(E$17:E50)=D$10,F50,D$10-SUM(E$17:E50))</f>
        <v>3546667.9075882975</v>
      </c>
      <c r="E51" s="378">
        <f t="shared" si="24"/>
        <v>337883.70522727276</v>
      </c>
      <c r="F51" s="55">
        <f t="shared" si="25"/>
        <v>3208784.2023610249</v>
      </c>
      <c r="G51" s="379">
        <f t="shared" si="26"/>
        <v>741613.61209149484</v>
      </c>
      <c r="H51" s="364">
        <f t="shared" si="27"/>
        <v>741613.61209149484</v>
      </c>
      <c r="I51" s="52">
        <f t="shared" si="4"/>
        <v>0</v>
      </c>
      <c r="J51" s="52"/>
      <c r="K51" s="129"/>
      <c r="L51" s="54">
        <f t="shared" si="28"/>
        <v>0</v>
      </c>
      <c r="M51" s="129"/>
      <c r="N51" s="54">
        <f t="shared" si="5"/>
        <v>0</v>
      </c>
      <c r="O51" s="54">
        <f t="shared" si="6"/>
        <v>0</v>
      </c>
      <c r="P51" s="1"/>
    </row>
    <row r="52" spans="2:16" ht="12.5">
      <c r="B52" s="7" t="str">
        <f t="shared" si="3"/>
        <v/>
      </c>
      <c r="C52" s="50">
        <f>IF(D11="","-",+C51+1)</f>
        <v>2049</v>
      </c>
      <c r="D52" s="55">
        <f>IF(F51+SUM(E$17:E51)=D$10,F51,D$10-SUM(E$17:E51))</f>
        <v>3208784.2023610249</v>
      </c>
      <c r="E52" s="378">
        <f t="shared" si="24"/>
        <v>337883.70522727276</v>
      </c>
      <c r="F52" s="55">
        <f t="shared" si="25"/>
        <v>2870900.4971337523</v>
      </c>
      <c r="G52" s="379">
        <f t="shared" ref="G52:G72" si="29">+I$12*((D52+F52)/2)+E52</f>
        <v>701227.34197304142</v>
      </c>
      <c r="H52" s="364">
        <f t="shared" ref="H52:H72" si="30">+I$13*((D52+F52)/2)+E52</f>
        <v>701227.34197304142</v>
      </c>
      <c r="I52" s="52">
        <f t="shared" si="4"/>
        <v>0</v>
      </c>
      <c r="J52" s="52"/>
      <c r="K52" s="129"/>
      <c r="L52" s="54">
        <f t="shared" si="28"/>
        <v>0</v>
      </c>
      <c r="M52" s="129"/>
      <c r="N52" s="54">
        <f t="shared" si="5"/>
        <v>0</v>
      </c>
      <c r="O52" s="54">
        <f t="shared" si="6"/>
        <v>0</v>
      </c>
      <c r="P52" s="1"/>
    </row>
    <row r="53" spans="2:16" ht="12.5">
      <c r="B53" s="7" t="str">
        <f t="shared" si="3"/>
        <v/>
      </c>
      <c r="C53" s="50">
        <f>IF(D11="","-",+C52+1)</f>
        <v>2050</v>
      </c>
      <c r="D53" s="55">
        <f>IF(F52+SUM(E$17:E52)=D$10,F52,D$10-SUM(E$17:E52))</f>
        <v>2870900.4971337523</v>
      </c>
      <c r="E53" s="378">
        <f t="shared" si="24"/>
        <v>337883.70522727276</v>
      </c>
      <c r="F53" s="55">
        <f t="shared" si="25"/>
        <v>2533016.7919064797</v>
      </c>
      <c r="G53" s="379">
        <f t="shared" si="29"/>
        <v>660841.07185458788</v>
      </c>
      <c r="H53" s="364">
        <f t="shared" si="30"/>
        <v>660841.07185458788</v>
      </c>
      <c r="I53" s="52">
        <f t="shared" si="4"/>
        <v>0</v>
      </c>
      <c r="J53" s="52"/>
      <c r="K53" s="129"/>
      <c r="L53" s="54">
        <f t="shared" si="28"/>
        <v>0</v>
      </c>
      <c r="M53" s="129"/>
      <c r="N53" s="54">
        <f t="shared" si="5"/>
        <v>0</v>
      </c>
      <c r="O53" s="54">
        <f t="shared" si="6"/>
        <v>0</v>
      </c>
      <c r="P53" s="1"/>
    </row>
    <row r="54" spans="2:16" ht="12.5">
      <c r="B54" s="7" t="str">
        <f t="shared" si="3"/>
        <v/>
      </c>
      <c r="C54" s="50">
        <f>IF(D11="","-",+C53+1)</f>
        <v>2051</v>
      </c>
      <c r="D54" s="55">
        <f>IF(F53+SUM(E$17:E53)=D$10,F53,D$10-SUM(E$17:E53))</f>
        <v>2533016.7919064797</v>
      </c>
      <c r="E54" s="378">
        <f t="shared" si="24"/>
        <v>337883.70522727276</v>
      </c>
      <c r="F54" s="55">
        <f t="shared" si="25"/>
        <v>2195133.0866792072</v>
      </c>
      <c r="G54" s="379">
        <f t="shared" si="29"/>
        <v>620454.80173613434</v>
      </c>
      <c r="H54" s="364">
        <f t="shared" si="30"/>
        <v>620454.80173613434</v>
      </c>
      <c r="I54" s="52">
        <f t="shared" si="4"/>
        <v>0</v>
      </c>
      <c r="J54" s="52"/>
      <c r="K54" s="129"/>
      <c r="L54" s="54">
        <f t="shared" si="28"/>
        <v>0</v>
      </c>
      <c r="M54" s="129"/>
      <c r="N54" s="54">
        <f t="shared" si="5"/>
        <v>0</v>
      </c>
      <c r="O54" s="54">
        <f t="shared" si="6"/>
        <v>0</v>
      </c>
      <c r="P54" s="1"/>
    </row>
    <row r="55" spans="2:16" ht="12.5">
      <c r="B55" s="7" t="str">
        <f t="shared" si="3"/>
        <v/>
      </c>
      <c r="C55" s="50">
        <f>IF(D11="","-",+C54+1)</f>
        <v>2052</v>
      </c>
      <c r="D55" s="55">
        <f>IF(F54+SUM(E$17:E54)=D$10,F54,D$10-SUM(E$17:E54))</f>
        <v>2195133.0866792072</v>
      </c>
      <c r="E55" s="378">
        <f t="shared" si="24"/>
        <v>337883.70522727276</v>
      </c>
      <c r="F55" s="55">
        <f t="shared" si="25"/>
        <v>1857249.3814519343</v>
      </c>
      <c r="G55" s="379">
        <f t="shared" si="29"/>
        <v>580068.5316176808</v>
      </c>
      <c r="H55" s="364">
        <f t="shared" si="30"/>
        <v>580068.5316176808</v>
      </c>
      <c r="I55" s="52">
        <f t="shared" si="4"/>
        <v>0</v>
      </c>
      <c r="J55" s="52"/>
      <c r="K55" s="129"/>
      <c r="L55" s="54">
        <f t="shared" si="28"/>
        <v>0</v>
      </c>
      <c r="M55" s="129"/>
      <c r="N55" s="54">
        <f t="shared" si="5"/>
        <v>0</v>
      </c>
      <c r="O55" s="54">
        <f t="shared" si="6"/>
        <v>0</v>
      </c>
      <c r="P55" s="1"/>
    </row>
    <row r="56" spans="2:16" ht="12.5">
      <c r="B56" s="7" t="str">
        <f t="shared" si="3"/>
        <v/>
      </c>
      <c r="C56" s="50">
        <f>IF(D11="","-",+C55+1)</f>
        <v>2053</v>
      </c>
      <c r="D56" s="55">
        <f>IF(F55+SUM(E$17:E55)=D$10,F55,D$10-SUM(E$17:E55))</f>
        <v>1857249.3814519343</v>
      </c>
      <c r="E56" s="378">
        <f t="shared" si="24"/>
        <v>337883.70522727276</v>
      </c>
      <c r="F56" s="55">
        <f t="shared" si="25"/>
        <v>1519365.6762246615</v>
      </c>
      <c r="G56" s="379">
        <f t="shared" si="29"/>
        <v>539682.26149922726</v>
      </c>
      <c r="H56" s="364">
        <f t="shared" si="30"/>
        <v>539682.26149922726</v>
      </c>
      <c r="I56" s="52">
        <f t="shared" si="4"/>
        <v>0</v>
      </c>
      <c r="J56" s="52"/>
      <c r="K56" s="129"/>
      <c r="L56" s="54">
        <f t="shared" si="28"/>
        <v>0</v>
      </c>
      <c r="M56" s="129"/>
      <c r="N56" s="54">
        <f t="shared" si="5"/>
        <v>0</v>
      </c>
      <c r="O56" s="54">
        <f t="shared" si="6"/>
        <v>0</v>
      </c>
      <c r="P56" s="1"/>
    </row>
    <row r="57" spans="2:16" ht="12.5">
      <c r="B57" s="7" t="str">
        <f t="shared" si="3"/>
        <v/>
      </c>
      <c r="C57" s="50">
        <f>IF(D11="","-",+C56+1)</f>
        <v>2054</v>
      </c>
      <c r="D57" s="55">
        <f>IF(F56+SUM(E$17:E56)=D$10,F56,D$10-SUM(E$17:E56))</f>
        <v>1519365.6762246615</v>
      </c>
      <c r="E57" s="378">
        <f t="shared" si="24"/>
        <v>337883.70522727276</v>
      </c>
      <c r="F57" s="55">
        <f t="shared" si="25"/>
        <v>1181481.9709973887</v>
      </c>
      <c r="G57" s="379">
        <f t="shared" si="29"/>
        <v>499295.99138077372</v>
      </c>
      <c r="H57" s="364">
        <f t="shared" si="30"/>
        <v>499295.99138077372</v>
      </c>
      <c r="I57" s="52">
        <f t="shared" si="4"/>
        <v>0</v>
      </c>
      <c r="J57" s="52"/>
      <c r="K57" s="129"/>
      <c r="L57" s="54">
        <f t="shared" si="28"/>
        <v>0</v>
      </c>
      <c r="M57" s="129"/>
      <c r="N57" s="54">
        <f t="shared" si="5"/>
        <v>0</v>
      </c>
      <c r="O57" s="54">
        <f t="shared" si="6"/>
        <v>0</v>
      </c>
      <c r="P57" s="1"/>
    </row>
    <row r="58" spans="2:16" ht="12.5">
      <c r="B58" s="7" t="str">
        <f t="shared" si="3"/>
        <v/>
      </c>
      <c r="C58" s="50">
        <f>IF(D11="","-",+C57+1)</f>
        <v>2055</v>
      </c>
      <c r="D58" s="55">
        <f>IF(F57+SUM(E$17:E57)=D$10,F57,D$10-SUM(E$17:E57))</f>
        <v>1181481.9709973887</v>
      </c>
      <c r="E58" s="378">
        <f t="shared" si="24"/>
        <v>337883.70522727276</v>
      </c>
      <c r="F58" s="55">
        <f t="shared" si="25"/>
        <v>843598.26577011589</v>
      </c>
      <c r="G58" s="379">
        <f t="shared" si="29"/>
        <v>458909.72126232018</v>
      </c>
      <c r="H58" s="364">
        <f t="shared" si="30"/>
        <v>458909.72126232018</v>
      </c>
      <c r="I58" s="52">
        <f t="shared" si="4"/>
        <v>0</v>
      </c>
      <c r="J58" s="52"/>
      <c r="K58" s="129"/>
      <c r="L58" s="54">
        <f t="shared" si="28"/>
        <v>0</v>
      </c>
      <c r="M58" s="129"/>
      <c r="N58" s="54">
        <f t="shared" si="5"/>
        <v>0</v>
      </c>
      <c r="O58" s="54">
        <f t="shared" si="6"/>
        <v>0</v>
      </c>
      <c r="P58" s="1"/>
    </row>
    <row r="59" spans="2:16" ht="12.5">
      <c r="B59" s="7" t="str">
        <f t="shared" si="3"/>
        <v/>
      </c>
      <c r="C59" s="50">
        <f>IF(D11="","-",+C58+1)</f>
        <v>2056</v>
      </c>
      <c r="D59" s="55">
        <f>IF(F58+SUM(E$17:E58)=D$10,F58,D$10-SUM(E$17:E58))</f>
        <v>843598.26577011589</v>
      </c>
      <c r="E59" s="378">
        <f t="shared" si="24"/>
        <v>337883.70522727276</v>
      </c>
      <c r="F59" s="55">
        <f t="shared" si="25"/>
        <v>505714.56054284313</v>
      </c>
      <c r="G59" s="379">
        <f t="shared" si="29"/>
        <v>418523.45114386664</v>
      </c>
      <c r="H59" s="364">
        <f t="shared" si="30"/>
        <v>418523.45114386664</v>
      </c>
      <c r="I59" s="52">
        <f t="shared" si="4"/>
        <v>0</v>
      </c>
      <c r="J59" s="52"/>
      <c r="K59" s="129"/>
      <c r="L59" s="54">
        <f t="shared" si="28"/>
        <v>0</v>
      </c>
      <c r="M59" s="129"/>
      <c r="N59" s="54">
        <f t="shared" si="5"/>
        <v>0</v>
      </c>
      <c r="O59" s="54">
        <f t="shared" si="6"/>
        <v>0</v>
      </c>
      <c r="P59" s="1"/>
    </row>
    <row r="60" spans="2:16" ht="12.5">
      <c r="B60" s="7" t="str">
        <f t="shared" si="3"/>
        <v/>
      </c>
      <c r="C60" s="50">
        <f>IF(D11="","-",+C59+1)</f>
        <v>2057</v>
      </c>
      <c r="D60" s="55">
        <f>IF(F59+SUM(E$17:E59)=D$10,F59,D$10-SUM(E$17:E59))</f>
        <v>505714.56054284313</v>
      </c>
      <c r="E60" s="378">
        <f t="shared" si="24"/>
        <v>337883.70522727276</v>
      </c>
      <c r="F60" s="55">
        <f t="shared" si="25"/>
        <v>167830.85531557037</v>
      </c>
      <c r="G60" s="379">
        <f t="shared" si="29"/>
        <v>378137.1810254131</v>
      </c>
      <c r="H60" s="364">
        <f t="shared" si="30"/>
        <v>378137.1810254131</v>
      </c>
      <c r="I60" s="52">
        <f t="shared" si="4"/>
        <v>0</v>
      </c>
      <c r="J60" s="52"/>
      <c r="K60" s="129"/>
      <c r="L60" s="54">
        <f t="shared" si="28"/>
        <v>0</v>
      </c>
      <c r="M60" s="129"/>
      <c r="N60" s="54">
        <f t="shared" si="5"/>
        <v>0</v>
      </c>
      <c r="O60" s="54">
        <f t="shared" si="6"/>
        <v>0</v>
      </c>
      <c r="P60" s="1"/>
    </row>
    <row r="61" spans="2:16" ht="12.5">
      <c r="B61" s="7" t="str">
        <f t="shared" si="3"/>
        <v/>
      </c>
      <c r="C61" s="50">
        <f>IF(D11="","-",+C60+1)</f>
        <v>2058</v>
      </c>
      <c r="D61" s="55">
        <f>IF(F60+SUM(E$17:E60)=D$10,F60,D$10-SUM(E$17:E60))</f>
        <v>167830.85531557037</v>
      </c>
      <c r="E61" s="378">
        <f t="shared" si="24"/>
        <v>167830.85531557037</v>
      </c>
      <c r="F61" s="55">
        <f t="shared" si="25"/>
        <v>0</v>
      </c>
      <c r="G61" s="379">
        <f t="shared" si="29"/>
        <v>177861.02568502715</v>
      </c>
      <c r="H61" s="364">
        <f t="shared" si="30"/>
        <v>177861.02568502715</v>
      </c>
      <c r="I61" s="52">
        <f t="shared" si="4"/>
        <v>0</v>
      </c>
      <c r="J61" s="52"/>
      <c r="K61" s="129"/>
      <c r="L61" s="54">
        <f t="shared" si="28"/>
        <v>0</v>
      </c>
      <c r="M61" s="129"/>
      <c r="N61" s="54">
        <f t="shared" si="5"/>
        <v>0</v>
      </c>
      <c r="O61" s="54">
        <f t="shared" si="6"/>
        <v>0</v>
      </c>
      <c r="P61" s="1"/>
    </row>
    <row r="62" spans="2:16" ht="12.5">
      <c r="B62" s="7" t="str">
        <f t="shared" si="3"/>
        <v/>
      </c>
      <c r="C62" s="50">
        <f>IF(D11="","-",+C61+1)</f>
        <v>2059</v>
      </c>
      <c r="D62" s="55">
        <f>IF(F61+SUM(E$17:E61)=D$10,F61,D$10-SUM(E$17:E61))</f>
        <v>0</v>
      </c>
      <c r="E62" s="378">
        <f t="shared" si="24"/>
        <v>0</v>
      </c>
      <c r="F62" s="55">
        <f t="shared" si="25"/>
        <v>0</v>
      </c>
      <c r="G62" s="379">
        <f t="shared" si="29"/>
        <v>0</v>
      </c>
      <c r="H62" s="364">
        <f t="shared" si="30"/>
        <v>0</v>
      </c>
      <c r="I62" s="52">
        <f t="shared" si="4"/>
        <v>0</v>
      </c>
      <c r="J62" s="52"/>
      <c r="K62" s="129"/>
      <c r="L62" s="54">
        <f t="shared" si="28"/>
        <v>0</v>
      </c>
      <c r="M62" s="129"/>
      <c r="N62" s="54">
        <f t="shared" si="5"/>
        <v>0</v>
      </c>
      <c r="O62" s="54">
        <f t="shared" si="6"/>
        <v>0</v>
      </c>
      <c r="P62" s="1"/>
    </row>
    <row r="63" spans="2:16" ht="12.5">
      <c r="B63" s="7" t="str">
        <f t="shared" si="3"/>
        <v/>
      </c>
      <c r="C63" s="50">
        <f>IF(D11="","-",+C62+1)</f>
        <v>2060</v>
      </c>
      <c r="D63" s="55">
        <f>IF(F62+SUM(E$17:E62)=D$10,F62,D$10-SUM(E$17:E62))</f>
        <v>0</v>
      </c>
      <c r="E63" s="378">
        <f t="shared" si="24"/>
        <v>0</v>
      </c>
      <c r="F63" s="55">
        <f t="shared" si="25"/>
        <v>0</v>
      </c>
      <c r="G63" s="379">
        <f t="shared" si="29"/>
        <v>0</v>
      </c>
      <c r="H63" s="364">
        <f t="shared" si="30"/>
        <v>0</v>
      </c>
      <c r="I63" s="52">
        <f t="shared" si="4"/>
        <v>0</v>
      </c>
      <c r="J63" s="52"/>
      <c r="K63" s="129"/>
      <c r="L63" s="54">
        <f t="shared" si="28"/>
        <v>0</v>
      </c>
      <c r="M63" s="129"/>
      <c r="N63" s="54">
        <f t="shared" si="5"/>
        <v>0</v>
      </c>
      <c r="O63" s="54">
        <f t="shared" si="6"/>
        <v>0</v>
      </c>
      <c r="P63" s="1"/>
    </row>
    <row r="64" spans="2:16" ht="12.5">
      <c r="B64" s="7" t="str">
        <f t="shared" si="3"/>
        <v/>
      </c>
      <c r="C64" s="50">
        <f>IF(D11="","-",+C63+1)</f>
        <v>2061</v>
      </c>
      <c r="D64" s="55">
        <f>IF(F63+SUM(E$17:E63)=D$10,F63,D$10-SUM(E$17:E63))</f>
        <v>0</v>
      </c>
      <c r="E64" s="378">
        <f t="shared" si="24"/>
        <v>0</v>
      </c>
      <c r="F64" s="55">
        <f t="shared" si="25"/>
        <v>0</v>
      </c>
      <c r="G64" s="379">
        <f t="shared" si="29"/>
        <v>0</v>
      </c>
      <c r="H64" s="364">
        <f t="shared" si="30"/>
        <v>0</v>
      </c>
      <c r="I64" s="52">
        <f t="shared" si="4"/>
        <v>0</v>
      </c>
      <c r="J64" s="52"/>
      <c r="K64" s="129"/>
      <c r="L64" s="54">
        <f t="shared" si="28"/>
        <v>0</v>
      </c>
      <c r="M64" s="129"/>
      <c r="N64" s="54">
        <f t="shared" si="5"/>
        <v>0</v>
      </c>
      <c r="O64" s="54">
        <f t="shared" si="6"/>
        <v>0</v>
      </c>
      <c r="P64" s="1"/>
    </row>
    <row r="65" spans="2:16" ht="12.5">
      <c r="B65" s="7" t="str">
        <f t="shared" si="3"/>
        <v/>
      </c>
      <c r="C65" s="50">
        <f>IF(D11="","-",+C64+1)</f>
        <v>2062</v>
      </c>
      <c r="D65" s="55">
        <f>IF(F64+SUM(E$17:E64)=D$10,F64,D$10-SUM(E$17:E64))</f>
        <v>0</v>
      </c>
      <c r="E65" s="378">
        <f t="shared" si="24"/>
        <v>0</v>
      </c>
      <c r="F65" s="55">
        <f t="shared" si="25"/>
        <v>0</v>
      </c>
      <c r="G65" s="379">
        <f t="shared" si="29"/>
        <v>0</v>
      </c>
      <c r="H65" s="364">
        <f t="shared" si="30"/>
        <v>0</v>
      </c>
      <c r="I65" s="52">
        <f t="shared" si="4"/>
        <v>0</v>
      </c>
      <c r="J65" s="52"/>
      <c r="K65" s="129"/>
      <c r="L65" s="54">
        <f t="shared" si="28"/>
        <v>0</v>
      </c>
      <c r="M65" s="129"/>
      <c r="N65" s="54">
        <f t="shared" si="5"/>
        <v>0</v>
      </c>
      <c r="O65" s="54">
        <f t="shared" si="6"/>
        <v>0</v>
      </c>
      <c r="P65" s="1"/>
    </row>
    <row r="66" spans="2:16" ht="12.5">
      <c r="B66" s="7" t="str">
        <f t="shared" si="3"/>
        <v/>
      </c>
      <c r="C66" s="50">
        <f>IF(D11="","-",+C65+1)</f>
        <v>2063</v>
      </c>
      <c r="D66" s="55">
        <f>IF(F65+SUM(E$17:E65)=D$10,F65,D$10-SUM(E$17:E65))</f>
        <v>0</v>
      </c>
      <c r="E66" s="378">
        <f t="shared" si="24"/>
        <v>0</v>
      </c>
      <c r="F66" s="55">
        <f t="shared" si="25"/>
        <v>0</v>
      </c>
      <c r="G66" s="379">
        <f t="shared" si="29"/>
        <v>0</v>
      </c>
      <c r="H66" s="364">
        <f t="shared" si="30"/>
        <v>0</v>
      </c>
      <c r="I66" s="52">
        <f t="shared" si="4"/>
        <v>0</v>
      </c>
      <c r="J66" s="52"/>
      <c r="K66" s="129"/>
      <c r="L66" s="54">
        <f t="shared" si="28"/>
        <v>0</v>
      </c>
      <c r="M66" s="129"/>
      <c r="N66" s="54">
        <f t="shared" si="5"/>
        <v>0</v>
      </c>
      <c r="O66" s="54">
        <f t="shared" si="6"/>
        <v>0</v>
      </c>
      <c r="P66" s="1"/>
    </row>
    <row r="67" spans="2:16" ht="12.5">
      <c r="B67" s="7" t="str">
        <f t="shared" si="3"/>
        <v/>
      </c>
      <c r="C67" s="50">
        <f>IF(D11="","-",+C66+1)</f>
        <v>2064</v>
      </c>
      <c r="D67" s="55">
        <f>IF(F66+SUM(E$17:E66)=D$10,F66,D$10-SUM(E$17:E66))</f>
        <v>0</v>
      </c>
      <c r="E67" s="378">
        <f t="shared" si="24"/>
        <v>0</v>
      </c>
      <c r="F67" s="55">
        <f t="shared" si="25"/>
        <v>0</v>
      </c>
      <c r="G67" s="379">
        <f t="shared" si="29"/>
        <v>0</v>
      </c>
      <c r="H67" s="364">
        <f t="shared" si="30"/>
        <v>0</v>
      </c>
      <c r="I67" s="52">
        <f t="shared" si="4"/>
        <v>0</v>
      </c>
      <c r="J67" s="52"/>
      <c r="K67" s="129"/>
      <c r="L67" s="54">
        <f t="shared" si="28"/>
        <v>0</v>
      </c>
      <c r="M67" s="129"/>
      <c r="N67" s="54">
        <f t="shared" si="5"/>
        <v>0</v>
      </c>
      <c r="O67" s="54">
        <f t="shared" si="6"/>
        <v>0</v>
      </c>
      <c r="P67" s="1"/>
    </row>
    <row r="68" spans="2:16" ht="12.5">
      <c r="B68" s="7" t="str">
        <f t="shared" si="3"/>
        <v/>
      </c>
      <c r="C68" s="50">
        <f>IF(D11="","-",+C67+1)</f>
        <v>2065</v>
      </c>
      <c r="D68" s="55">
        <f>IF(F67+SUM(E$17:E67)=D$10,F67,D$10-SUM(E$17:E67))</f>
        <v>0</v>
      </c>
      <c r="E68" s="378">
        <f t="shared" si="24"/>
        <v>0</v>
      </c>
      <c r="F68" s="55">
        <f t="shared" si="25"/>
        <v>0</v>
      </c>
      <c r="G68" s="379">
        <f t="shared" si="29"/>
        <v>0</v>
      </c>
      <c r="H68" s="364">
        <f t="shared" si="30"/>
        <v>0</v>
      </c>
      <c r="I68" s="52">
        <f t="shared" si="4"/>
        <v>0</v>
      </c>
      <c r="J68" s="52"/>
      <c r="K68" s="129"/>
      <c r="L68" s="54">
        <f t="shared" si="28"/>
        <v>0</v>
      </c>
      <c r="M68" s="129"/>
      <c r="N68" s="54">
        <f t="shared" si="5"/>
        <v>0</v>
      </c>
      <c r="O68" s="54">
        <f t="shared" si="6"/>
        <v>0</v>
      </c>
      <c r="P68" s="1"/>
    </row>
    <row r="69" spans="2:16" ht="12.5">
      <c r="B69" s="7" t="str">
        <f t="shared" si="3"/>
        <v/>
      </c>
      <c r="C69" s="50">
        <f>IF(D11="","-",+C68+1)</f>
        <v>2066</v>
      </c>
      <c r="D69" s="55">
        <f>IF(F68+SUM(E$17:E68)=D$10,F68,D$10-SUM(E$17:E68))</f>
        <v>0</v>
      </c>
      <c r="E69" s="378">
        <f t="shared" si="24"/>
        <v>0</v>
      </c>
      <c r="F69" s="55">
        <f t="shared" si="25"/>
        <v>0</v>
      </c>
      <c r="G69" s="379">
        <f t="shared" si="29"/>
        <v>0</v>
      </c>
      <c r="H69" s="364">
        <f t="shared" si="30"/>
        <v>0</v>
      </c>
      <c r="I69" s="52">
        <f t="shared" si="4"/>
        <v>0</v>
      </c>
      <c r="J69" s="52"/>
      <c r="K69" s="129"/>
      <c r="L69" s="54">
        <f t="shared" si="28"/>
        <v>0</v>
      </c>
      <c r="M69" s="129"/>
      <c r="N69" s="54">
        <f t="shared" si="5"/>
        <v>0</v>
      </c>
      <c r="O69" s="54">
        <f t="shared" si="6"/>
        <v>0</v>
      </c>
      <c r="P69" s="1"/>
    </row>
    <row r="70" spans="2:16" ht="12.5">
      <c r="B70" s="7" t="str">
        <f t="shared" si="3"/>
        <v/>
      </c>
      <c r="C70" s="50">
        <f>IF(D11="","-",+C69+1)</f>
        <v>2067</v>
      </c>
      <c r="D70" s="55">
        <f>IF(F69+SUM(E$17:E69)=D$10,F69,D$10-SUM(E$17:E69))</f>
        <v>0</v>
      </c>
      <c r="E70" s="378">
        <f t="shared" si="24"/>
        <v>0</v>
      </c>
      <c r="F70" s="55">
        <f t="shared" si="25"/>
        <v>0</v>
      </c>
      <c r="G70" s="379">
        <f t="shared" si="29"/>
        <v>0</v>
      </c>
      <c r="H70" s="364">
        <f t="shared" si="30"/>
        <v>0</v>
      </c>
      <c r="I70" s="52">
        <f t="shared" si="4"/>
        <v>0</v>
      </c>
      <c r="J70" s="52"/>
      <c r="K70" s="129"/>
      <c r="L70" s="54">
        <f t="shared" si="28"/>
        <v>0</v>
      </c>
      <c r="M70" s="129"/>
      <c r="N70" s="54">
        <f t="shared" si="5"/>
        <v>0</v>
      </c>
      <c r="O70" s="54">
        <f t="shared" si="6"/>
        <v>0</v>
      </c>
      <c r="P70" s="1"/>
    </row>
    <row r="71" spans="2:16" ht="12.5">
      <c r="B71" s="7" t="str">
        <f t="shared" si="3"/>
        <v/>
      </c>
      <c r="C71" s="50">
        <f>IF(D11="","-",+C70+1)</f>
        <v>2068</v>
      </c>
      <c r="D71" s="55">
        <f>IF(F70+SUM(E$17:E70)=D$10,F70,D$10-SUM(E$17:E70))</f>
        <v>0</v>
      </c>
      <c r="E71" s="378">
        <f t="shared" si="24"/>
        <v>0</v>
      </c>
      <c r="F71" s="55">
        <f t="shared" si="25"/>
        <v>0</v>
      </c>
      <c r="G71" s="379">
        <f t="shared" si="29"/>
        <v>0</v>
      </c>
      <c r="H71" s="364">
        <f t="shared" si="30"/>
        <v>0</v>
      </c>
      <c r="I71" s="52">
        <f t="shared" si="4"/>
        <v>0</v>
      </c>
      <c r="J71" s="52"/>
      <c r="K71" s="129"/>
      <c r="L71" s="54">
        <f t="shared" si="28"/>
        <v>0</v>
      </c>
      <c r="M71" s="129"/>
      <c r="N71" s="54">
        <f t="shared" si="5"/>
        <v>0</v>
      </c>
      <c r="O71" s="54">
        <f t="shared" si="6"/>
        <v>0</v>
      </c>
      <c r="P71" s="1"/>
    </row>
    <row r="72" spans="2:16" ht="13" thickBot="1">
      <c r="B72" s="7" t="str">
        <f t="shared" si="3"/>
        <v/>
      </c>
      <c r="C72" s="59">
        <f>IF(D11="","-",+C71+1)</f>
        <v>2069</v>
      </c>
      <c r="D72" s="55">
        <f>IF(F71+SUM(E$17:E71)=D$10,F71,D$10-SUM(E$17:E71))</f>
        <v>0</v>
      </c>
      <c r="E72" s="378">
        <f t="shared" si="24"/>
        <v>0</v>
      </c>
      <c r="F72" s="55">
        <f t="shared" si="25"/>
        <v>0</v>
      </c>
      <c r="G72" s="379">
        <f t="shared" si="29"/>
        <v>0</v>
      </c>
      <c r="H72" s="364">
        <f t="shared" si="30"/>
        <v>0</v>
      </c>
      <c r="I72" s="52">
        <f t="shared" si="4"/>
        <v>0</v>
      </c>
      <c r="J72" s="52"/>
      <c r="K72" s="130"/>
      <c r="L72" s="64">
        <f t="shared" si="28"/>
        <v>0</v>
      </c>
      <c r="M72" s="130"/>
      <c r="N72" s="64">
        <f t="shared" si="5"/>
        <v>0</v>
      </c>
      <c r="O72" s="64">
        <f t="shared" si="6"/>
        <v>0</v>
      </c>
      <c r="P72" s="1"/>
    </row>
    <row r="73" spans="2:16" ht="12.5">
      <c r="C73" s="12" t="s">
        <v>78</v>
      </c>
      <c r="D73" s="293"/>
      <c r="E73" s="293">
        <f>SUM(E17:E72)</f>
        <v>14866883.029999999</v>
      </c>
      <c r="F73" s="293"/>
      <c r="G73" s="293">
        <f>SUM(G17:G72)</f>
        <v>55203322.892686032</v>
      </c>
      <c r="H73" s="293">
        <f>SUM(H17:H72)</f>
        <v>55203322.892686032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 ht="13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43 of 77</v>
      </c>
    </row>
    <row r="84" spans="1:16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1710884.0949343792</v>
      </c>
      <c r="N87" s="387">
        <f>IF(J92&lt;D11,0,VLOOKUP(J92,C17:O72,11))</f>
        <v>1710884.0949343792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1774325.3551318741</v>
      </c>
      <c r="N88" s="390">
        <f>IF(J92&lt;D11,0,VLOOKUP(J92,C99:P154,7))</f>
        <v>1774325.3551318741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Diana to Perdue 138 kV Rebuild 21.8 miles; Station Upgrades at Diana and Perdue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63441.260197494878</v>
      </c>
      <c r="N89" s="392">
        <f>+N88-N87</f>
        <v>63441.260197494878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TP2011023</v>
      </c>
      <c r="E91" s="76" t="str">
        <f>E9</f>
        <v xml:space="preserve">  SPP Project ID = 503/1012</v>
      </c>
      <c r="F91" s="76"/>
      <c r="G91" s="76"/>
      <c r="H91" s="76"/>
      <c r="I91" s="76"/>
      <c r="J91" s="76"/>
    </row>
    <row r="92" spans="1:16" ht="13">
      <c r="C92" s="34" t="s">
        <v>51</v>
      </c>
      <c r="D92" s="363">
        <f>D10</f>
        <v>14866883.030000001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</row>
    <row r="93" spans="1:16" ht="12.5">
      <c r="C93" s="34" t="s">
        <v>54</v>
      </c>
      <c r="D93" s="88">
        <f>IF(D11=I10,"",D11)</f>
        <v>2014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4">
        <f>IF(D11=I10,"",D12)</f>
        <v>11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337883.70522727276</v>
      </c>
      <c r="K96" s="293"/>
      <c r="L96" s="293"/>
      <c r="M96" s="293"/>
      <c r="N96" s="293"/>
      <c r="O96" s="293"/>
      <c r="P96" s="1"/>
    </row>
    <row r="97" spans="1:16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 ht="12.5">
      <c r="C99" s="50">
        <f>IF(D93= "","-",D93)</f>
        <v>2014</v>
      </c>
      <c r="D99" s="429">
        <v>0</v>
      </c>
      <c r="E99" s="430">
        <v>0</v>
      </c>
      <c r="F99" s="431">
        <v>14986466</v>
      </c>
      <c r="G99" s="432">
        <v>7493233</v>
      </c>
      <c r="H99" s="433">
        <v>1018506.1541813499</v>
      </c>
      <c r="I99" s="434">
        <v>1018506.1541813499</v>
      </c>
      <c r="J99" s="54">
        <v>0</v>
      </c>
      <c r="K99" s="54"/>
      <c r="L99" s="113">
        <f t="shared" ref="L99:L104" si="31">H99</f>
        <v>1018506.1541813499</v>
      </c>
      <c r="M99" s="54">
        <f t="shared" ref="M99:M104" si="32">IF(L99&lt;&gt;0,+H99-L99,0)</f>
        <v>0</v>
      </c>
      <c r="N99" s="113">
        <f t="shared" ref="N99:N104" si="33">I99</f>
        <v>1018506.1541813499</v>
      </c>
      <c r="O99" s="54">
        <f>IF(N99&lt;&gt;0,+I99-N99,0)</f>
        <v>0</v>
      </c>
      <c r="P99" s="54">
        <f>+O99-M99</f>
        <v>0</v>
      </c>
    </row>
    <row r="100" spans="1:16" ht="12.5">
      <c r="B100" s="7" t="str">
        <f>IF(D100=F99,"","IU")</f>
        <v>IU</v>
      </c>
      <c r="C100" s="50">
        <f>IF(D93="","-",+C99+1)</f>
        <v>2015</v>
      </c>
      <c r="D100" s="429">
        <v>14902882.880000001</v>
      </c>
      <c r="E100" s="430">
        <v>354830.54476190481</v>
      </c>
      <c r="F100" s="431">
        <v>14548052.335238095</v>
      </c>
      <c r="G100" s="431">
        <v>14725467.607619047</v>
      </c>
      <c r="H100" s="433">
        <v>2295188.8876024</v>
      </c>
      <c r="I100" s="434">
        <v>2295188.8876024</v>
      </c>
      <c r="J100" s="54">
        <f>+I100-H100</f>
        <v>0</v>
      </c>
      <c r="K100" s="54"/>
      <c r="L100" s="113">
        <f t="shared" si="31"/>
        <v>2295188.8876024</v>
      </c>
      <c r="M100" s="54">
        <f t="shared" si="32"/>
        <v>0</v>
      </c>
      <c r="N100" s="113">
        <f t="shared" si="33"/>
        <v>2295188.8876024</v>
      </c>
      <c r="O100" s="54">
        <f>IF(N100&lt;&gt;0,+I100-N100,0)</f>
        <v>0</v>
      </c>
      <c r="P100" s="54">
        <f>+O100-M100</f>
        <v>0</v>
      </c>
    </row>
    <row r="101" spans="1:16" ht="12.5">
      <c r="B101" s="7" t="str">
        <f t="shared" ref="B101:B154" si="34">IF(D101=F100,"","IU")</f>
        <v>IU</v>
      </c>
      <c r="C101" s="50">
        <f>IF(D93="","-",+C100+1)</f>
        <v>2016</v>
      </c>
      <c r="D101" s="429">
        <v>14512052.455238095</v>
      </c>
      <c r="E101" s="430">
        <v>345741.46511627908</v>
      </c>
      <c r="F101" s="431">
        <v>14166310.990121815</v>
      </c>
      <c r="G101" s="431">
        <v>14339181.722679954</v>
      </c>
      <c r="H101" s="433">
        <v>2166100.4168751929</v>
      </c>
      <c r="I101" s="434">
        <v>2166100.4168751929</v>
      </c>
      <c r="J101" s="54">
        <f t="shared" ref="J101:J154" si="35">+I101-H101</f>
        <v>0</v>
      </c>
      <c r="K101" s="54"/>
      <c r="L101" s="113">
        <f t="shared" si="31"/>
        <v>2166100.4168751929</v>
      </c>
      <c r="M101" s="54">
        <f t="shared" si="32"/>
        <v>0</v>
      </c>
      <c r="N101" s="113">
        <f t="shared" si="33"/>
        <v>2166100.4168751929</v>
      </c>
      <c r="O101" s="54">
        <f>IF(N101&lt;&gt;0,+I101-N101,0)</f>
        <v>0</v>
      </c>
      <c r="P101" s="54">
        <f>+O101-M101</f>
        <v>0</v>
      </c>
    </row>
    <row r="102" spans="1:16" ht="12.5">
      <c r="B102" s="7" t="str">
        <f t="shared" si="34"/>
        <v/>
      </c>
      <c r="C102" s="50">
        <f>IF(D93="","-",+C101+1)</f>
        <v>2017</v>
      </c>
      <c r="D102" s="429">
        <v>14166310.990121815</v>
      </c>
      <c r="E102" s="430">
        <v>353973.40476190473</v>
      </c>
      <c r="F102" s="431">
        <v>13812337.585359911</v>
      </c>
      <c r="G102" s="431">
        <v>13989324.287740864</v>
      </c>
      <c r="H102" s="433">
        <v>2053277.0180077213</v>
      </c>
      <c r="I102" s="434">
        <v>2053277.0180077213</v>
      </c>
      <c r="J102" s="54">
        <f t="shared" si="35"/>
        <v>0</v>
      </c>
      <c r="K102" s="54"/>
      <c r="L102" s="113">
        <f t="shared" si="31"/>
        <v>2053277.0180077213</v>
      </c>
      <c r="M102" s="54">
        <f t="shared" si="32"/>
        <v>0</v>
      </c>
      <c r="N102" s="113">
        <f t="shared" si="33"/>
        <v>2053277.0180077213</v>
      </c>
      <c r="O102" s="54">
        <f>IF(N102&lt;&gt;0,+I102-N102,0)</f>
        <v>0</v>
      </c>
      <c r="P102" s="54">
        <f>+O102-M102</f>
        <v>0</v>
      </c>
    </row>
    <row r="103" spans="1:16" ht="12.5">
      <c r="B103" s="7" t="str">
        <f t="shared" si="34"/>
        <v/>
      </c>
      <c r="C103" s="50">
        <f>IF(D93="","-",+C102+1)</f>
        <v>2018</v>
      </c>
      <c r="D103" s="429">
        <v>13812337.585359911</v>
      </c>
      <c r="E103" s="430">
        <v>353973.40476190473</v>
      </c>
      <c r="F103" s="431">
        <v>13458364.180598006</v>
      </c>
      <c r="G103" s="431">
        <v>13635350.882978957</v>
      </c>
      <c r="H103" s="433">
        <v>1793928.9872663962</v>
      </c>
      <c r="I103" s="434">
        <v>1793928.9872663962</v>
      </c>
      <c r="J103" s="54">
        <f t="shared" si="35"/>
        <v>0</v>
      </c>
      <c r="K103" s="54"/>
      <c r="L103" s="113">
        <f t="shared" si="31"/>
        <v>1793928.9872663962</v>
      </c>
      <c r="M103" s="54">
        <f t="shared" si="32"/>
        <v>0</v>
      </c>
      <c r="N103" s="113">
        <f t="shared" si="33"/>
        <v>1793928.9872663962</v>
      </c>
      <c r="O103" s="54">
        <f>IF(N103&lt;&gt;0,+I103-N103,0)</f>
        <v>0</v>
      </c>
      <c r="P103" s="54">
        <f>+O103-M103</f>
        <v>0</v>
      </c>
    </row>
    <row r="104" spans="1:16" ht="12.5">
      <c r="B104" s="7" t="str">
        <f t="shared" si="34"/>
        <v/>
      </c>
      <c r="C104" s="50">
        <f>IF(D93="","-",+C103+1)</f>
        <v>2019</v>
      </c>
      <c r="D104" s="429">
        <v>13458364.180598006</v>
      </c>
      <c r="E104" s="430">
        <v>345741.46511627908</v>
      </c>
      <c r="F104" s="431">
        <v>13112622.715481726</v>
      </c>
      <c r="G104" s="431">
        <v>13285493.448039867</v>
      </c>
      <c r="H104" s="433">
        <v>1767827.9448754457</v>
      </c>
      <c r="I104" s="434">
        <v>1767827.9448754457</v>
      </c>
      <c r="J104" s="54">
        <f t="shared" si="35"/>
        <v>0</v>
      </c>
      <c r="K104" s="54"/>
      <c r="L104" s="113">
        <f t="shared" si="31"/>
        <v>1767827.9448754457</v>
      </c>
      <c r="M104" s="54">
        <f t="shared" si="32"/>
        <v>0</v>
      </c>
      <c r="N104" s="113">
        <f t="shared" si="33"/>
        <v>1767827.9448754457</v>
      </c>
      <c r="O104" s="54">
        <f t="shared" ref="O104:O130" si="36">IF(N104&lt;&gt;0,+I104-N104,0)</f>
        <v>0</v>
      </c>
      <c r="P104" s="54">
        <f t="shared" ref="P104:P130" si="37">+O104-M104</f>
        <v>0</v>
      </c>
    </row>
    <row r="105" spans="1:16" ht="12.5">
      <c r="B105" s="7" t="str">
        <f t="shared" si="34"/>
        <v/>
      </c>
      <c r="C105" s="50">
        <f>IF(D93="","-",+C104+1)</f>
        <v>2020</v>
      </c>
      <c r="D105" s="429">
        <v>13112622.715481726</v>
      </c>
      <c r="E105" s="430">
        <v>353973.40476190473</v>
      </c>
      <c r="F105" s="431">
        <v>12758649.310719822</v>
      </c>
      <c r="G105" s="431">
        <v>12935636.013100773</v>
      </c>
      <c r="H105" s="433">
        <v>1745509.3465257157</v>
      </c>
      <c r="I105" s="434">
        <v>1745509.3465257157</v>
      </c>
      <c r="J105" s="54">
        <f t="shared" si="35"/>
        <v>0</v>
      </c>
      <c r="K105" s="54"/>
      <c r="L105" s="113">
        <f t="shared" ref="L105" si="38">H105</f>
        <v>1745509.3465257157</v>
      </c>
      <c r="M105" s="54">
        <f t="shared" ref="M105" si="39">IF(L105&lt;&gt;0,+H105-L105,0)</f>
        <v>0</v>
      </c>
      <c r="N105" s="113">
        <f t="shared" ref="N105" si="40">I105</f>
        <v>1745509.3465257157</v>
      </c>
      <c r="O105" s="54">
        <f t="shared" si="36"/>
        <v>0</v>
      </c>
      <c r="P105" s="54">
        <f t="shared" si="37"/>
        <v>0</v>
      </c>
    </row>
    <row r="106" spans="1:16" ht="12.5">
      <c r="B106" s="7" t="str">
        <f t="shared" si="34"/>
        <v/>
      </c>
      <c r="C106" s="50">
        <f>IF(D93="","-",+C105+1)</f>
        <v>2021</v>
      </c>
      <c r="D106" s="429">
        <v>12758649.310719822</v>
      </c>
      <c r="E106" s="430">
        <v>362606.90243902442</v>
      </c>
      <c r="F106" s="431">
        <v>12396042.408280797</v>
      </c>
      <c r="G106" s="431">
        <v>12577345.859500309</v>
      </c>
      <c r="H106" s="433">
        <v>1790314.5874907523</v>
      </c>
      <c r="I106" s="434">
        <v>1790314.5874907523</v>
      </c>
      <c r="J106" s="54">
        <f t="shared" si="35"/>
        <v>0</v>
      </c>
      <c r="K106" s="54"/>
      <c r="L106" s="113">
        <f t="shared" ref="L106" si="41">H106</f>
        <v>1790314.5874907523</v>
      </c>
      <c r="M106" s="54">
        <f t="shared" ref="M106" si="42">IF(L106&lt;&gt;0,+H106-L106,0)</f>
        <v>0</v>
      </c>
      <c r="N106" s="113">
        <f t="shared" ref="N106" si="43">I106</f>
        <v>1790314.5874907523</v>
      </c>
      <c r="O106" s="54">
        <f t="shared" si="36"/>
        <v>0</v>
      </c>
      <c r="P106" s="54">
        <f t="shared" si="37"/>
        <v>0</v>
      </c>
    </row>
    <row r="107" spans="1:16" ht="12.5">
      <c r="B107" s="7" t="str">
        <f t="shared" si="34"/>
        <v/>
      </c>
      <c r="C107" s="50">
        <f>IF(D93="","-",+C106+1)</f>
        <v>2022</v>
      </c>
      <c r="D107" s="429">
        <v>12396042.408280797</v>
      </c>
      <c r="E107" s="430">
        <v>353973.40476190473</v>
      </c>
      <c r="F107" s="431">
        <v>12042069.003518892</v>
      </c>
      <c r="G107" s="431">
        <v>12219055.705899846</v>
      </c>
      <c r="H107" s="433">
        <v>1789197.3319919659</v>
      </c>
      <c r="I107" s="434">
        <v>1789197.3319919659</v>
      </c>
      <c r="J107" s="54">
        <f t="shared" si="35"/>
        <v>0</v>
      </c>
      <c r="K107" s="54"/>
      <c r="L107" s="113">
        <f t="shared" ref="L107" si="44">H107</f>
        <v>1789197.3319919659</v>
      </c>
      <c r="M107" s="54">
        <f t="shared" ref="M107" si="45">IF(L107&lt;&gt;0,+H107-L107,0)</f>
        <v>0</v>
      </c>
      <c r="N107" s="113">
        <f t="shared" ref="N107" si="46">I107</f>
        <v>1789197.3319919659</v>
      </c>
      <c r="O107" s="54">
        <f t="shared" ref="O107" si="47">IF(N107&lt;&gt;0,+I107-N107,0)</f>
        <v>0</v>
      </c>
      <c r="P107" s="54">
        <f t="shared" ref="P107" si="48">+O107-M107</f>
        <v>0</v>
      </c>
    </row>
    <row r="108" spans="1:16" ht="12.5">
      <c r="B108" s="7" t="str">
        <f t="shared" si="34"/>
        <v>IU</v>
      </c>
      <c r="C108" s="50">
        <f>IF(D93="","-",+C107+1)</f>
        <v>2023</v>
      </c>
      <c r="D108" s="429">
        <v>12042069.033518896</v>
      </c>
      <c r="E108" s="430">
        <v>337883.70522727276</v>
      </c>
      <c r="F108" s="431">
        <v>11704185.328291623</v>
      </c>
      <c r="G108" s="431">
        <v>11873127.18090526</v>
      </c>
      <c r="H108" s="433">
        <v>1802612.7073485164</v>
      </c>
      <c r="I108" s="434">
        <v>1802612.7073485164</v>
      </c>
      <c r="J108" s="54">
        <f t="shared" si="35"/>
        <v>0</v>
      </c>
      <c r="K108" s="54"/>
      <c r="L108" s="113">
        <f t="shared" ref="L108" si="49">H108</f>
        <v>1802612.7073485164</v>
      </c>
      <c r="M108" s="54">
        <f t="shared" ref="M108" si="50">IF(L108&lt;&gt;0,+H108-L108,0)</f>
        <v>0</v>
      </c>
      <c r="N108" s="113">
        <f t="shared" ref="N108" si="51">I108</f>
        <v>1802612.7073485164</v>
      </c>
      <c r="O108" s="54">
        <f t="shared" ref="O108" si="52">IF(N108&lt;&gt;0,+I108-N108,0)</f>
        <v>0</v>
      </c>
      <c r="P108" s="54">
        <f t="shared" si="37"/>
        <v>0</v>
      </c>
    </row>
    <row r="109" spans="1:16" ht="12.5">
      <c r="B109" s="7" t="str">
        <f t="shared" si="34"/>
        <v/>
      </c>
      <c r="C109" s="50">
        <f>IF(D93="","-",+C108+1)</f>
        <v>2024</v>
      </c>
      <c r="D109" s="12">
        <f>IF(F108+SUM(E$99:E108)=D$92,F108,D$92-SUM(E$99:E108))</f>
        <v>11704185.328291623</v>
      </c>
      <c r="E109" s="378">
        <f t="shared" ref="E109:E154" si="53">IF(+$J$96&lt;F108,$J$96,D109)</f>
        <v>337883.70522727276</v>
      </c>
      <c r="F109" s="55">
        <f t="shared" ref="F109:F154" si="54">+D109-E109</f>
        <v>11366301.62306435</v>
      </c>
      <c r="G109" s="55">
        <f t="shared" ref="G109:G154" si="55">+(F109+D109)/2</f>
        <v>11535243.475677986</v>
      </c>
      <c r="H109" s="380">
        <f t="shared" ref="H109:H154" si="56">+J$94*G109+E109</f>
        <v>1774325.3551318741</v>
      </c>
      <c r="I109" s="399">
        <f t="shared" ref="I109:I154" si="57">+J$95*G109+E109</f>
        <v>1774325.3551318741</v>
      </c>
      <c r="J109" s="54">
        <f t="shared" si="35"/>
        <v>0</v>
      </c>
      <c r="K109" s="54"/>
      <c r="L109" s="129"/>
      <c r="M109" s="54">
        <f t="shared" ref="M109:M130" si="58">IF(L109&lt;&gt;0,+H109-L109,0)</f>
        <v>0</v>
      </c>
      <c r="N109" s="129"/>
      <c r="O109" s="54">
        <f t="shared" si="36"/>
        <v>0</v>
      </c>
      <c r="P109" s="54">
        <f t="shared" si="37"/>
        <v>0</v>
      </c>
    </row>
    <row r="110" spans="1:16" ht="12.5">
      <c r="B110" s="7" t="str">
        <f t="shared" si="34"/>
        <v/>
      </c>
      <c r="C110" s="50">
        <f>IF(D93="","-",+C109+1)</f>
        <v>2025</v>
      </c>
      <c r="D110" s="12">
        <f>IF(F109+SUM(E$99:E109)=D$92,F109,D$92-SUM(E$99:E109))</f>
        <v>11366301.62306435</v>
      </c>
      <c r="E110" s="378">
        <f t="shared" si="53"/>
        <v>337883.70522727276</v>
      </c>
      <c r="F110" s="55">
        <f t="shared" si="54"/>
        <v>11028417.917837078</v>
      </c>
      <c r="G110" s="55">
        <f t="shared" si="55"/>
        <v>11197359.770450715</v>
      </c>
      <c r="H110" s="380">
        <f t="shared" si="56"/>
        <v>1732249.9340073958</v>
      </c>
      <c r="I110" s="399">
        <f t="shared" si="57"/>
        <v>1732249.9340073958</v>
      </c>
      <c r="J110" s="54">
        <f t="shared" si="35"/>
        <v>0</v>
      </c>
      <c r="K110" s="54"/>
      <c r="L110" s="129"/>
      <c r="M110" s="54">
        <f t="shared" si="58"/>
        <v>0</v>
      </c>
      <c r="N110" s="129"/>
      <c r="O110" s="54">
        <f t="shared" si="36"/>
        <v>0</v>
      </c>
      <c r="P110" s="54">
        <f t="shared" si="37"/>
        <v>0</v>
      </c>
    </row>
    <row r="111" spans="1:16" ht="12.5">
      <c r="B111" s="7" t="str">
        <f t="shared" si="34"/>
        <v/>
      </c>
      <c r="C111" s="50">
        <f>IF(D93="","-",+C110+1)</f>
        <v>2026</v>
      </c>
      <c r="D111" s="12">
        <f>IF(F110+SUM(E$99:E110)=D$92,F110,D$92-SUM(E$99:E110))</f>
        <v>11028417.917837078</v>
      </c>
      <c r="E111" s="378">
        <f t="shared" si="53"/>
        <v>337883.70522727276</v>
      </c>
      <c r="F111" s="55">
        <f t="shared" si="54"/>
        <v>10690534.212609805</v>
      </c>
      <c r="G111" s="55">
        <f t="shared" si="55"/>
        <v>10859476.065223441</v>
      </c>
      <c r="H111" s="380">
        <f t="shared" si="56"/>
        <v>1690174.5128829172</v>
      </c>
      <c r="I111" s="399">
        <f t="shared" si="57"/>
        <v>1690174.5128829172</v>
      </c>
      <c r="J111" s="54">
        <f t="shared" si="35"/>
        <v>0</v>
      </c>
      <c r="K111" s="54"/>
      <c r="L111" s="129"/>
      <c r="M111" s="54">
        <f t="shared" si="58"/>
        <v>0</v>
      </c>
      <c r="N111" s="129"/>
      <c r="O111" s="54">
        <f t="shared" si="36"/>
        <v>0</v>
      </c>
      <c r="P111" s="54">
        <f t="shared" si="37"/>
        <v>0</v>
      </c>
    </row>
    <row r="112" spans="1:16" ht="12.5">
      <c r="B112" s="7" t="str">
        <f t="shared" si="34"/>
        <v/>
      </c>
      <c r="C112" s="50">
        <f>IF(D93="","-",+C111+1)</f>
        <v>2027</v>
      </c>
      <c r="D112" s="12">
        <f>IF(F111+SUM(E$99:E111)=D$92,F111,D$92-SUM(E$99:E111))</f>
        <v>10690534.212609805</v>
      </c>
      <c r="E112" s="378">
        <f t="shared" si="53"/>
        <v>337883.70522727276</v>
      </c>
      <c r="F112" s="55">
        <f t="shared" si="54"/>
        <v>10352650.507382533</v>
      </c>
      <c r="G112" s="55">
        <f t="shared" si="55"/>
        <v>10521592.35999617</v>
      </c>
      <c r="H112" s="380">
        <f t="shared" si="56"/>
        <v>1648099.0917584391</v>
      </c>
      <c r="I112" s="399">
        <f t="shared" si="57"/>
        <v>1648099.0917584391</v>
      </c>
      <c r="J112" s="54">
        <f t="shared" si="35"/>
        <v>0</v>
      </c>
      <c r="K112" s="54"/>
      <c r="L112" s="129"/>
      <c r="M112" s="54">
        <f t="shared" si="58"/>
        <v>0</v>
      </c>
      <c r="N112" s="129"/>
      <c r="O112" s="54">
        <f t="shared" si="36"/>
        <v>0</v>
      </c>
      <c r="P112" s="54">
        <f t="shared" si="37"/>
        <v>0</v>
      </c>
    </row>
    <row r="113" spans="2:16" ht="12.5">
      <c r="B113" s="7" t="str">
        <f t="shared" si="34"/>
        <v/>
      </c>
      <c r="C113" s="50">
        <f>IF(D93="","-",+C112+1)</f>
        <v>2028</v>
      </c>
      <c r="D113" s="12">
        <f>IF(F112+SUM(E$99:E112)=D$92,F112,D$92-SUM(E$99:E112))</f>
        <v>10352650.507382533</v>
      </c>
      <c r="E113" s="378">
        <f t="shared" si="53"/>
        <v>337883.70522727276</v>
      </c>
      <c r="F113" s="55">
        <f t="shared" si="54"/>
        <v>10014766.80215526</v>
      </c>
      <c r="G113" s="55">
        <f t="shared" si="55"/>
        <v>10183708.654768895</v>
      </c>
      <c r="H113" s="380">
        <f t="shared" si="56"/>
        <v>1606023.6706339603</v>
      </c>
      <c r="I113" s="399">
        <f t="shared" si="57"/>
        <v>1606023.6706339603</v>
      </c>
      <c r="J113" s="54">
        <f t="shared" si="35"/>
        <v>0</v>
      </c>
      <c r="K113" s="54"/>
      <c r="L113" s="129"/>
      <c r="M113" s="54">
        <f t="shared" si="58"/>
        <v>0</v>
      </c>
      <c r="N113" s="129"/>
      <c r="O113" s="54">
        <f t="shared" si="36"/>
        <v>0</v>
      </c>
      <c r="P113" s="54">
        <f t="shared" si="37"/>
        <v>0</v>
      </c>
    </row>
    <row r="114" spans="2:16" ht="12.5">
      <c r="B114" s="7" t="str">
        <f t="shared" si="34"/>
        <v/>
      </c>
      <c r="C114" s="50">
        <f>IF(D93="","-",+C113+1)</f>
        <v>2029</v>
      </c>
      <c r="D114" s="12">
        <f>IF(F113+SUM(E$99:E113)=D$92,F113,D$92-SUM(E$99:E113))</f>
        <v>10014766.80215526</v>
      </c>
      <c r="E114" s="378">
        <f t="shared" si="53"/>
        <v>337883.70522727276</v>
      </c>
      <c r="F114" s="55">
        <f t="shared" si="54"/>
        <v>9676883.0969279874</v>
      </c>
      <c r="G114" s="55">
        <f t="shared" si="55"/>
        <v>9845824.9495416246</v>
      </c>
      <c r="H114" s="380">
        <f t="shared" si="56"/>
        <v>1563948.2495094822</v>
      </c>
      <c r="I114" s="399">
        <f t="shared" si="57"/>
        <v>1563948.2495094822</v>
      </c>
      <c r="J114" s="54">
        <f t="shared" si="35"/>
        <v>0</v>
      </c>
      <c r="K114" s="54"/>
      <c r="L114" s="129"/>
      <c r="M114" s="54">
        <f t="shared" si="58"/>
        <v>0</v>
      </c>
      <c r="N114" s="129"/>
      <c r="O114" s="54">
        <f t="shared" si="36"/>
        <v>0</v>
      </c>
      <c r="P114" s="54">
        <f t="shared" si="37"/>
        <v>0</v>
      </c>
    </row>
    <row r="115" spans="2:16" ht="12.5">
      <c r="B115" s="7" t="str">
        <f t="shared" si="34"/>
        <v/>
      </c>
      <c r="C115" s="50">
        <f>IF(D93="","-",+C114+1)</f>
        <v>2030</v>
      </c>
      <c r="D115" s="12">
        <f>IF(F114+SUM(E$99:E114)=D$92,F114,D$92-SUM(E$99:E114))</f>
        <v>9676883.0969279874</v>
      </c>
      <c r="E115" s="378">
        <f t="shared" si="53"/>
        <v>337883.70522727276</v>
      </c>
      <c r="F115" s="55">
        <f t="shared" si="54"/>
        <v>9338999.3917007148</v>
      </c>
      <c r="G115" s="55">
        <f t="shared" si="55"/>
        <v>9507941.2443143502</v>
      </c>
      <c r="H115" s="380">
        <f t="shared" si="56"/>
        <v>1521872.8283850036</v>
      </c>
      <c r="I115" s="399">
        <f t="shared" si="57"/>
        <v>1521872.8283850036</v>
      </c>
      <c r="J115" s="54">
        <f t="shared" si="35"/>
        <v>0</v>
      </c>
      <c r="K115" s="54"/>
      <c r="L115" s="129"/>
      <c r="M115" s="54">
        <f t="shared" si="58"/>
        <v>0</v>
      </c>
      <c r="N115" s="129"/>
      <c r="O115" s="54">
        <f t="shared" si="36"/>
        <v>0</v>
      </c>
      <c r="P115" s="54">
        <f t="shared" si="37"/>
        <v>0</v>
      </c>
    </row>
    <row r="116" spans="2:16" ht="12.5">
      <c r="B116" s="7" t="str">
        <f t="shared" si="34"/>
        <v/>
      </c>
      <c r="C116" s="50">
        <f>IF(D93="","-",+C115+1)</f>
        <v>2031</v>
      </c>
      <c r="D116" s="12">
        <f>IF(F115+SUM(E$99:E115)=D$92,F115,D$92-SUM(E$99:E115))</f>
        <v>9338999.3917007148</v>
      </c>
      <c r="E116" s="378">
        <f t="shared" si="53"/>
        <v>337883.70522727276</v>
      </c>
      <c r="F116" s="55">
        <f t="shared" si="54"/>
        <v>9001115.6864734422</v>
      </c>
      <c r="G116" s="55">
        <f t="shared" si="55"/>
        <v>9170057.5390870795</v>
      </c>
      <c r="H116" s="380">
        <f t="shared" si="56"/>
        <v>1479797.4072605253</v>
      </c>
      <c r="I116" s="399">
        <f t="shared" si="57"/>
        <v>1479797.4072605253</v>
      </c>
      <c r="J116" s="54">
        <f t="shared" si="35"/>
        <v>0</v>
      </c>
      <c r="K116" s="54"/>
      <c r="L116" s="129"/>
      <c r="M116" s="54">
        <f t="shared" si="58"/>
        <v>0</v>
      </c>
      <c r="N116" s="129"/>
      <c r="O116" s="54">
        <f t="shared" si="36"/>
        <v>0</v>
      </c>
      <c r="P116" s="54">
        <f t="shared" si="37"/>
        <v>0</v>
      </c>
    </row>
    <row r="117" spans="2:16" ht="12.5">
      <c r="B117" s="7" t="str">
        <f t="shared" si="34"/>
        <v/>
      </c>
      <c r="C117" s="50">
        <f>IF(D93="","-",+C116+1)</f>
        <v>2032</v>
      </c>
      <c r="D117" s="12">
        <f>IF(F116+SUM(E$99:E116)=D$92,F116,D$92-SUM(E$99:E116))</f>
        <v>9001115.6864734422</v>
      </c>
      <c r="E117" s="378">
        <f t="shared" si="53"/>
        <v>337883.70522727276</v>
      </c>
      <c r="F117" s="55">
        <f t="shared" si="54"/>
        <v>8663231.9812461697</v>
      </c>
      <c r="G117" s="55">
        <f t="shared" si="55"/>
        <v>8832173.833859805</v>
      </c>
      <c r="H117" s="380">
        <f t="shared" si="56"/>
        <v>1437721.9861360467</v>
      </c>
      <c r="I117" s="399">
        <f t="shared" si="57"/>
        <v>1437721.9861360467</v>
      </c>
      <c r="J117" s="54">
        <f t="shared" si="35"/>
        <v>0</v>
      </c>
      <c r="K117" s="54"/>
      <c r="L117" s="129"/>
      <c r="M117" s="54">
        <f t="shared" si="58"/>
        <v>0</v>
      </c>
      <c r="N117" s="129"/>
      <c r="O117" s="54">
        <f t="shared" si="36"/>
        <v>0</v>
      </c>
      <c r="P117" s="54">
        <f t="shared" si="37"/>
        <v>0</v>
      </c>
    </row>
    <row r="118" spans="2:16" ht="12.5">
      <c r="B118" s="7" t="str">
        <f t="shared" si="34"/>
        <v/>
      </c>
      <c r="C118" s="50">
        <f>IF(D93="","-",+C117+1)</f>
        <v>2033</v>
      </c>
      <c r="D118" s="12">
        <f>IF(F117+SUM(E$99:E117)=D$92,F117,D$92-SUM(E$99:E117))</f>
        <v>8663231.9812461697</v>
      </c>
      <c r="E118" s="378">
        <f t="shared" si="53"/>
        <v>337883.70522727276</v>
      </c>
      <c r="F118" s="55">
        <f t="shared" si="54"/>
        <v>8325348.2760188971</v>
      </c>
      <c r="G118" s="55">
        <f t="shared" si="55"/>
        <v>8494290.1286325343</v>
      </c>
      <c r="H118" s="380">
        <f t="shared" si="56"/>
        <v>1395646.5650115686</v>
      </c>
      <c r="I118" s="399">
        <f t="shared" si="57"/>
        <v>1395646.5650115686</v>
      </c>
      <c r="J118" s="54">
        <f t="shared" si="35"/>
        <v>0</v>
      </c>
      <c r="K118" s="54"/>
      <c r="L118" s="129"/>
      <c r="M118" s="54">
        <f t="shared" si="58"/>
        <v>0</v>
      </c>
      <c r="N118" s="129"/>
      <c r="O118" s="54">
        <f t="shared" si="36"/>
        <v>0</v>
      </c>
      <c r="P118" s="54">
        <f t="shared" si="37"/>
        <v>0</v>
      </c>
    </row>
    <row r="119" spans="2:16" ht="12.5">
      <c r="B119" s="7" t="str">
        <f t="shared" si="34"/>
        <v/>
      </c>
      <c r="C119" s="50">
        <f>IF(D93="","-",+C118+1)</f>
        <v>2034</v>
      </c>
      <c r="D119" s="12">
        <f>IF(F118+SUM(E$99:E118)=D$92,F118,D$92-SUM(E$99:E118))</f>
        <v>8325348.2760188971</v>
      </c>
      <c r="E119" s="378">
        <f t="shared" si="53"/>
        <v>337883.70522727276</v>
      </c>
      <c r="F119" s="55">
        <f t="shared" si="54"/>
        <v>7987464.5707916245</v>
      </c>
      <c r="G119" s="55">
        <f t="shared" si="55"/>
        <v>8156406.4234052608</v>
      </c>
      <c r="H119" s="380">
        <f t="shared" si="56"/>
        <v>1353571.14388709</v>
      </c>
      <c r="I119" s="399">
        <f t="shared" si="57"/>
        <v>1353571.14388709</v>
      </c>
      <c r="J119" s="54">
        <f t="shared" si="35"/>
        <v>0</v>
      </c>
      <c r="K119" s="54"/>
      <c r="L119" s="129"/>
      <c r="M119" s="54">
        <f t="shared" si="58"/>
        <v>0</v>
      </c>
      <c r="N119" s="129"/>
      <c r="O119" s="54">
        <f t="shared" si="36"/>
        <v>0</v>
      </c>
      <c r="P119" s="54">
        <f t="shared" si="37"/>
        <v>0</v>
      </c>
    </row>
    <row r="120" spans="2:16" ht="12.5">
      <c r="B120" s="7" t="str">
        <f t="shared" si="34"/>
        <v/>
      </c>
      <c r="C120" s="50">
        <f>IF(D93="","-",+C119+1)</f>
        <v>2035</v>
      </c>
      <c r="D120" s="12">
        <f>IF(F119+SUM(E$99:E119)=D$92,F119,D$92-SUM(E$99:E119))</f>
        <v>7987464.5707916245</v>
      </c>
      <c r="E120" s="378">
        <f t="shared" si="53"/>
        <v>337883.70522727276</v>
      </c>
      <c r="F120" s="55">
        <f t="shared" si="54"/>
        <v>7649580.8655643519</v>
      </c>
      <c r="G120" s="55">
        <f t="shared" si="55"/>
        <v>7818522.7181779882</v>
      </c>
      <c r="H120" s="380">
        <f t="shared" si="56"/>
        <v>1311495.7227626115</v>
      </c>
      <c r="I120" s="399">
        <f t="shared" si="57"/>
        <v>1311495.7227626115</v>
      </c>
      <c r="J120" s="54">
        <f t="shared" si="35"/>
        <v>0</v>
      </c>
      <c r="K120" s="54"/>
      <c r="L120" s="129"/>
      <c r="M120" s="54">
        <f t="shared" si="58"/>
        <v>0</v>
      </c>
      <c r="N120" s="129"/>
      <c r="O120" s="54">
        <f t="shared" si="36"/>
        <v>0</v>
      </c>
      <c r="P120" s="54">
        <f t="shared" si="37"/>
        <v>0</v>
      </c>
    </row>
    <row r="121" spans="2:16" ht="12.5">
      <c r="B121" s="7" t="str">
        <f t="shared" si="34"/>
        <v/>
      </c>
      <c r="C121" s="50">
        <f>IF(D93="","-",+C120+1)</f>
        <v>2036</v>
      </c>
      <c r="D121" s="12">
        <f>IF(F120+SUM(E$99:E120)=D$92,F120,D$92-SUM(E$99:E120))</f>
        <v>7649580.8655643519</v>
      </c>
      <c r="E121" s="378">
        <f t="shared" si="53"/>
        <v>337883.70522727276</v>
      </c>
      <c r="F121" s="55">
        <f t="shared" si="54"/>
        <v>7311697.1603370793</v>
      </c>
      <c r="G121" s="55">
        <f t="shared" si="55"/>
        <v>7480639.0129507156</v>
      </c>
      <c r="H121" s="380">
        <f t="shared" si="56"/>
        <v>1269420.3016381331</v>
      </c>
      <c r="I121" s="399">
        <f t="shared" si="57"/>
        <v>1269420.3016381331</v>
      </c>
      <c r="J121" s="54">
        <f t="shared" si="35"/>
        <v>0</v>
      </c>
      <c r="K121" s="54"/>
      <c r="L121" s="129"/>
      <c r="M121" s="54">
        <f t="shared" si="58"/>
        <v>0</v>
      </c>
      <c r="N121" s="129"/>
      <c r="O121" s="54">
        <f t="shared" si="36"/>
        <v>0</v>
      </c>
      <c r="P121" s="54">
        <f t="shared" si="37"/>
        <v>0</v>
      </c>
    </row>
    <row r="122" spans="2:16" ht="12.5">
      <c r="B122" s="7" t="str">
        <f t="shared" si="34"/>
        <v/>
      </c>
      <c r="C122" s="50">
        <f>IF(D93="","-",+C121+1)</f>
        <v>2037</v>
      </c>
      <c r="D122" s="12">
        <f>IF(F121+SUM(E$99:E121)=D$92,F121,D$92-SUM(E$99:E121))</f>
        <v>7311697.1603370793</v>
      </c>
      <c r="E122" s="378">
        <f t="shared" si="53"/>
        <v>337883.70522727276</v>
      </c>
      <c r="F122" s="55">
        <f t="shared" si="54"/>
        <v>6973813.4551098067</v>
      </c>
      <c r="G122" s="55">
        <f t="shared" si="55"/>
        <v>7142755.307723443</v>
      </c>
      <c r="H122" s="380">
        <f t="shared" si="56"/>
        <v>1227344.8805136546</v>
      </c>
      <c r="I122" s="399">
        <f t="shared" si="57"/>
        <v>1227344.8805136546</v>
      </c>
      <c r="J122" s="54">
        <f t="shared" si="35"/>
        <v>0</v>
      </c>
      <c r="K122" s="54"/>
      <c r="L122" s="129"/>
      <c r="M122" s="54">
        <f t="shared" si="58"/>
        <v>0</v>
      </c>
      <c r="N122" s="129"/>
      <c r="O122" s="54">
        <f t="shared" si="36"/>
        <v>0</v>
      </c>
      <c r="P122" s="54">
        <f t="shared" si="37"/>
        <v>0</v>
      </c>
    </row>
    <row r="123" spans="2:16" ht="12.5">
      <c r="B123" s="7" t="str">
        <f t="shared" si="34"/>
        <v/>
      </c>
      <c r="C123" s="50">
        <f>IF(D93="","-",+C122+1)</f>
        <v>2038</v>
      </c>
      <c r="D123" s="12">
        <f>IF(F122+SUM(E$99:E122)=D$92,F122,D$92-SUM(E$99:E122))</f>
        <v>6973813.4551098067</v>
      </c>
      <c r="E123" s="378">
        <f t="shared" si="53"/>
        <v>337883.70522727276</v>
      </c>
      <c r="F123" s="55">
        <f t="shared" si="54"/>
        <v>6635929.7498825341</v>
      </c>
      <c r="G123" s="55">
        <f t="shared" si="55"/>
        <v>6804871.6024961704</v>
      </c>
      <c r="H123" s="380">
        <f t="shared" si="56"/>
        <v>1185269.4593891762</v>
      </c>
      <c r="I123" s="399">
        <f t="shared" si="57"/>
        <v>1185269.4593891762</v>
      </c>
      <c r="J123" s="54">
        <f t="shared" si="35"/>
        <v>0</v>
      </c>
      <c r="K123" s="54"/>
      <c r="L123" s="129"/>
      <c r="M123" s="54">
        <f t="shared" si="58"/>
        <v>0</v>
      </c>
      <c r="N123" s="129"/>
      <c r="O123" s="54">
        <f t="shared" si="36"/>
        <v>0</v>
      </c>
      <c r="P123" s="54">
        <f t="shared" si="37"/>
        <v>0</v>
      </c>
    </row>
    <row r="124" spans="2:16" ht="12.5">
      <c r="B124" s="7" t="str">
        <f t="shared" si="34"/>
        <v/>
      </c>
      <c r="C124" s="50">
        <f>IF(D93="","-",+C123+1)</f>
        <v>2039</v>
      </c>
      <c r="D124" s="12">
        <f>IF(F123+SUM(E$99:E123)=D$92,F123,D$92-SUM(E$99:E123))</f>
        <v>6635929.7498825341</v>
      </c>
      <c r="E124" s="378">
        <f t="shared" si="53"/>
        <v>337883.70522727276</v>
      </c>
      <c r="F124" s="55">
        <f t="shared" si="54"/>
        <v>6298046.0446552616</v>
      </c>
      <c r="G124" s="55">
        <f t="shared" si="55"/>
        <v>6466987.8972688979</v>
      </c>
      <c r="H124" s="380">
        <f t="shared" si="56"/>
        <v>1143194.0382646979</v>
      </c>
      <c r="I124" s="399">
        <f t="shared" si="57"/>
        <v>1143194.0382646979</v>
      </c>
      <c r="J124" s="54">
        <f t="shared" si="35"/>
        <v>0</v>
      </c>
      <c r="K124" s="54"/>
      <c r="L124" s="129"/>
      <c r="M124" s="54">
        <f t="shared" si="58"/>
        <v>0</v>
      </c>
      <c r="N124" s="129"/>
      <c r="O124" s="54">
        <f t="shared" si="36"/>
        <v>0</v>
      </c>
      <c r="P124" s="54">
        <f t="shared" si="37"/>
        <v>0</v>
      </c>
    </row>
    <row r="125" spans="2:16" ht="12.5">
      <c r="B125" s="7" t="str">
        <f t="shared" si="34"/>
        <v/>
      </c>
      <c r="C125" s="50">
        <f>IF(D93="","-",+C124+1)</f>
        <v>2040</v>
      </c>
      <c r="D125" s="12">
        <f>IF(F124+SUM(E$99:E124)=D$92,F124,D$92-SUM(E$99:E124))</f>
        <v>6298046.0446552616</v>
      </c>
      <c r="E125" s="378">
        <f t="shared" si="53"/>
        <v>337883.70522727276</v>
      </c>
      <c r="F125" s="55">
        <f t="shared" si="54"/>
        <v>5960162.339427989</v>
      </c>
      <c r="G125" s="55">
        <f t="shared" si="55"/>
        <v>6129104.1920416253</v>
      </c>
      <c r="H125" s="380">
        <f t="shared" si="56"/>
        <v>1101118.6171402193</v>
      </c>
      <c r="I125" s="399">
        <f t="shared" si="57"/>
        <v>1101118.6171402193</v>
      </c>
      <c r="J125" s="54">
        <f t="shared" si="35"/>
        <v>0</v>
      </c>
      <c r="K125" s="54"/>
      <c r="L125" s="129"/>
      <c r="M125" s="54">
        <f t="shared" si="58"/>
        <v>0</v>
      </c>
      <c r="N125" s="129"/>
      <c r="O125" s="54">
        <f t="shared" si="36"/>
        <v>0</v>
      </c>
      <c r="P125" s="54">
        <f t="shared" si="37"/>
        <v>0</v>
      </c>
    </row>
    <row r="126" spans="2:16" ht="12.5">
      <c r="B126" s="7" t="str">
        <f t="shared" si="34"/>
        <v/>
      </c>
      <c r="C126" s="50">
        <f>IF(D93="","-",+C125+1)</f>
        <v>2041</v>
      </c>
      <c r="D126" s="12">
        <f>IF(F125+SUM(E$99:E125)=D$92,F125,D$92-SUM(E$99:E125))</f>
        <v>5960162.339427989</v>
      </c>
      <c r="E126" s="378">
        <f t="shared" si="53"/>
        <v>337883.70522727276</v>
      </c>
      <c r="F126" s="55">
        <f t="shared" si="54"/>
        <v>5622278.6342007164</v>
      </c>
      <c r="G126" s="55">
        <f t="shared" si="55"/>
        <v>5791220.4868143527</v>
      </c>
      <c r="H126" s="380">
        <f t="shared" si="56"/>
        <v>1059043.196015741</v>
      </c>
      <c r="I126" s="399">
        <f t="shared" si="57"/>
        <v>1059043.196015741</v>
      </c>
      <c r="J126" s="54">
        <f t="shared" si="35"/>
        <v>0</v>
      </c>
      <c r="K126" s="54"/>
      <c r="L126" s="129"/>
      <c r="M126" s="54">
        <f t="shared" si="58"/>
        <v>0</v>
      </c>
      <c r="N126" s="129"/>
      <c r="O126" s="54">
        <f t="shared" si="36"/>
        <v>0</v>
      </c>
      <c r="P126" s="54">
        <f t="shared" si="37"/>
        <v>0</v>
      </c>
    </row>
    <row r="127" spans="2:16" ht="12.5">
      <c r="B127" s="7" t="str">
        <f t="shared" si="34"/>
        <v/>
      </c>
      <c r="C127" s="50">
        <f>IF(D93="","-",+C126+1)</f>
        <v>2042</v>
      </c>
      <c r="D127" s="12">
        <f>IF(F126+SUM(E$99:E126)=D$92,F126,D$92-SUM(E$99:E126))</f>
        <v>5622278.6342007164</v>
      </c>
      <c r="E127" s="378">
        <f t="shared" si="53"/>
        <v>337883.70522727276</v>
      </c>
      <c r="F127" s="55">
        <f t="shared" si="54"/>
        <v>5284394.9289734438</v>
      </c>
      <c r="G127" s="55">
        <f t="shared" si="55"/>
        <v>5453336.7815870801</v>
      </c>
      <c r="H127" s="380">
        <f t="shared" si="56"/>
        <v>1016967.7748912626</v>
      </c>
      <c r="I127" s="399">
        <f t="shared" si="57"/>
        <v>1016967.7748912626</v>
      </c>
      <c r="J127" s="54">
        <f t="shared" si="35"/>
        <v>0</v>
      </c>
      <c r="K127" s="54"/>
      <c r="L127" s="129"/>
      <c r="M127" s="54">
        <f t="shared" si="58"/>
        <v>0</v>
      </c>
      <c r="N127" s="129"/>
      <c r="O127" s="54">
        <f t="shared" si="36"/>
        <v>0</v>
      </c>
      <c r="P127" s="54">
        <f t="shared" si="37"/>
        <v>0</v>
      </c>
    </row>
    <row r="128" spans="2:16" ht="12.5">
      <c r="B128" s="7" t="str">
        <f t="shared" si="34"/>
        <v/>
      </c>
      <c r="C128" s="50">
        <f>IF(D93="","-",+C127+1)</f>
        <v>2043</v>
      </c>
      <c r="D128" s="12">
        <f>IF(F127+SUM(E$99:E127)=D$92,F127,D$92-SUM(E$99:E127))</f>
        <v>5284394.9289734438</v>
      </c>
      <c r="E128" s="378">
        <f t="shared" si="53"/>
        <v>337883.70522727276</v>
      </c>
      <c r="F128" s="55">
        <f t="shared" si="54"/>
        <v>4946511.2237461712</v>
      </c>
      <c r="G128" s="55">
        <f t="shared" si="55"/>
        <v>5115453.0763598075</v>
      </c>
      <c r="H128" s="380">
        <f t="shared" si="56"/>
        <v>974892.35376678407</v>
      </c>
      <c r="I128" s="399">
        <f t="shared" si="57"/>
        <v>974892.35376678407</v>
      </c>
      <c r="J128" s="54">
        <f t="shared" si="35"/>
        <v>0</v>
      </c>
      <c r="K128" s="54"/>
      <c r="L128" s="129"/>
      <c r="M128" s="54">
        <f t="shared" si="58"/>
        <v>0</v>
      </c>
      <c r="N128" s="129"/>
      <c r="O128" s="54">
        <f t="shared" si="36"/>
        <v>0</v>
      </c>
      <c r="P128" s="54">
        <f t="shared" si="37"/>
        <v>0</v>
      </c>
    </row>
    <row r="129" spans="2:16" ht="12.5">
      <c r="B129" s="7" t="str">
        <f t="shared" si="34"/>
        <v/>
      </c>
      <c r="C129" s="50">
        <f>IF(D93="","-",+C128+1)</f>
        <v>2044</v>
      </c>
      <c r="D129" s="12">
        <f>IF(F128+SUM(E$99:E128)=D$92,F128,D$92-SUM(E$99:E128))</f>
        <v>4946511.2237461712</v>
      </c>
      <c r="E129" s="378">
        <f t="shared" si="53"/>
        <v>337883.70522727276</v>
      </c>
      <c r="F129" s="55">
        <f t="shared" si="54"/>
        <v>4608627.5185188986</v>
      </c>
      <c r="G129" s="55">
        <f t="shared" si="55"/>
        <v>4777569.3711325349</v>
      </c>
      <c r="H129" s="380">
        <f t="shared" si="56"/>
        <v>932816.93264230574</v>
      </c>
      <c r="I129" s="399">
        <f t="shared" si="57"/>
        <v>932816.93264230574</v>
      </c>
      <c r="J129" s="54">
        <f t="shared" si="35"/>
        <v>0</v>
      </c>
      <c r="K129" s="54"/>
      <c r="L129" s="129"/>
      <c r="M129" s="54">
        <f t="shared" si="58"/>
        <v>0</v>
      </c>
      <c r="N129" s="129"/>
      <c r="O129" s="54">
        <f t="shared" si="36"/>
        <v>0</v>
      </c>
      <c r="P129" s="54">
        <f t="shared" si="37"/>
        <v>0</v>
      </c>
    </row>
    <row r="130" spans="2:16" ht="12.5">
      <c r="B130" s="7" t="str">
        <f t="shared" si="34"/>
        <v/>
      </c>
      <c r="C130" s="50">
        <f>IF(D93="","-",+C129+1)</f>
        <v>2045</v>
      </c>
      <c r="D130" s="12">
        <f>IF(F129+SUM(E$99:E129)=D$92,F129,D$92-SUM(E$99:E129))</f>
        <v>4608627.5185188986</v>
      </c>
      <c r="E130" s="378">
        <f t="shared" si="53"/>
        <v>337883.70522727276</v>
      </c>
      <c r="F130" s="55">
        <f t="shared" si="54"/>
        <v>4270743.8132916261</v>
      </c>
      <c r="G130" s="55">
        <f t="shared" si="55"/>
        <v>4439685.6659052623</v>
      </c>
      <c r="H130" s="380">
        <f t="shared" si="56"/>
        <v>890741.5115178274</v>
      </c>
      <c r="I130" s="399">
        <f t="shared" si="57"/>
        <v>890741.5115178274</v>
      </c>
      <c r="J130" s="54">
        <f t="shared" si="35"/>
        <v>0</v>
      </c>
      <c r="K130" s="54"/>
      <c r="L130" s="129"/>
      <c r="M130" s="54">
        <f t="shared" si="58"/>
        <v>0</v>
      </c>
      <c r="N130" s="129"/>
      <c r="O130" s="54">
        <f t="shared" si="36"/>
        <v>0</v>
      </c>
      <c r="P130" s="54">
        <f t="shared" si="37"/>
        <v>0</v>
      </c>
    </row>
    <row r="131" spans="2:16" ht="12.5">
      <c r="B131" s="7" t="str">
        <f t="shared" si="34"/>
        <v/>
      </c>
      <c r="C131" s="50">
        <f>IF(D93="","-",+C130+1)</f>
        <v>2046</v>
      </c>
      <c r="D131" s="12">
        <f>IF(F130+SUM(E$99:E130)=D$92,F130,D$92-SUM(E$99:E130))</f>
        <v>4270743.8132916261</v>
      </c>
      <c r="E131" s="378">
        <f t="shared" si="53"/>
        <v>337883.70522727276</v>
      </c>
      <c r="F131" s="55">
        <f t="shared" si="54"/>
        <v>3932860.1080643535</v>
      </c>
      <c r="G131" s="55">
        <f t="shared" si="55"/>
        <v>4101801.9606779898</v>
      </c>
      <c r="H131" s="380">
        <f t="shared" si="56"/>
        <v>848666.09039334883</v>
      </c>
      <c r="I131" s="399">
        <f t="shared" si="57"/>
        <v>848666.09039334883</v>
      </c>
      <c r="J131" s="54">
        <f t="shared" si="35"/>
        <v>0</v>
      </c>
      <c r="K131" s="54"/>
      <c r="L131" s="129"/>
      <c r="M131" s="54">
        <f t="shared" ref="M131:M154" si="59">IF(L541&lt;&gt;0,+H541-L541,0)</f>
        <v>0</v>
      </c>
      <c r="N131" s="129"/>
      <c r="O131" s="54">
        <f t="shared" ref="O131:O154" si="60">IF(N541&lt;&gt;0,+I541-N541,0)</f>
        <v>0</v>
      </c>
      <c r="P131" s="54">
        <f t="shared" ref="P131:P154" si="61">+O541-M541</f>
        <v>0</v>
      </c>
    </row>
    <row r="132" spans="2:16" ht="12.5">
      <c r="B132" s="7" t="str">
        <f t="shared" si="34"/>
        <v/>
      </c>
      <c r="C132" s="50">
        <f>IF(D93="","-",+C131+1)</f>
        <v>2047</v>
      </c>
      <c r="D132" s="12">
        <f>IF(F131+SUM(E$99:E131)=D$92,F131,D$92-SUM(E$99:E131))</f>
        <v>3932860.1080643535</v>
      </c>
      <c r="E132" s="378">
        <f t="shared" si="53"/>
        <v>337883.70522727276</v>
      </c>
      <c r="F132" s="55">
        <f t="shared" si="54"/>
        <v>3594976.4028370809</v>
      </c>
      <c r="G132" s="55">
        <f t="shared" si="55"/>
        <v>3763918.2554507172</v>
      </c>
      <c r="H132" s="380">
        <f t="shared" si="56"/>
        <v>806590.66926887049</v>
      </c>
      <c r="I132" s="399">
        <f t="shared" si="57"/>
        <v>806590.66926887049</v>
      </c>
      <c r="J132" s="54">
        <f t="shared" si="35"/>
        <v>0</v>
      </c>
      <c r="K132" s="54"/>
      <c r="L132" s="129"/>
      <c r="M132" s="54">
        <f t="shared" si="59"/>
        <v>0</v>
      </c>
      <c r="N132" s="129"/>
      <c r="O132" s="54">
        <f t="shared" si="60"/>
        <v>0</v>
      </c>
      <c r="P132" s="54">
        <f t="shared" si="61"/>
        <v>0</v>
      </c>
    </row>
    <row r="133" spans="2:16" ht="12.5">
      <c r="B133" s="7" t="str">
        <f t="shared" si="34"/>
        <v/>
      </c>
      <c r="C133" s="50">
        <f>IF(D93="","-",+C132+1)</f>
        <v>2048</v>
      </c>
      <c r="D133" s="12">
        <f>IF(F132+SUM(E$99:E132)=D$92,F132,D$92-SUM(E$99:E132))</f>
        <v>3594976.4028370809</v>
      </c>
      <c r="E133" s="378">
        <f t="shared" si="53"/>
        <v>337883.70522727276</v>
      </c>
      <c r="F133" s="55">
        <f t="shared" si="54"/>
        <v>3257092.6976098083</v>
      </c>
      <c r="G133" s="55">
        <f t="shared" si="55"/>
        <v>3426034.5502234446</v>
      </c>
      <c r="H133" s="380">
        <f t="shared" si="56"/>
        <v>764515.24814439216</v>
      </c>
      <c r="I133" s="399">
        <f t="shared" si="57"/>
        <v>764515.24814439216</v>
      </c>
      <c r="J133" s="54">
        <f t="shared" si="35"/>
        <v>0</v>
      </c>
      <c r="K133" s="54"/>
      <c r="L133" s="129"/>
      <c r="M133" s="54">
        <f t="shared" si="59"/>
        <v>0</v>
      </c>
      <c r="N133" s="129"/>
      <c r="O133" s="54">
        <f t="shared" si="60"/>
        <v>0</v>
      </c>
      <c r="P133" s="54">
        <f t="shared" si="61"/>
        <v>0</v>
      </c>
    </row>
    <row r="134" spans="2:16" ht="12.5">
      <c r="B134" s="7" t="str">
        <f t="shared" si="34"/>
        <v/>
      </c>
      <c r="C134" s="50">
        <f>IF(D93="","-",+C133+1)</f>
        <v>2049</v>
      </c>
      <c r="D134" s="12">
        <f>IF(F133+SUM(E$99:E133)=D$92,F133,D$92-SUM(E$99:E133))</f>
        <v>3257092.6976098083</v>
      </c>
      <c r="E134" s="378">
        <f t="shared" si="53"/>
        <v>337883.70522727276</v>
      </c>
      <c r="F134" s="55">
        <f t="shared" si="54"/>
        <v>2919208.9923825357</v>
      </c>
      <c r="G134" s="55">
        <f t="shared" si="55"/>
        <v>3088150.844996172</v>
      </c>
      <c r="H134" s="380">
        <f t="shared" si="56"/>
        <v>722439.82701991359</v>
      </c>
      <c r="I134" s="399">
        <f t="shared" si="57"/>
        <v>722439.82701991359</v>
      </c>
      <c r="J134" s="54">
        <f t="shared" si="35"/>
        <v>0</v>
      </c>
      <c r="K134" s="54"/>
      <c r="L134" s="129"/>
      <c r="M134" s="54">
        <f t="shared" si="59"/>
        <v>0</v>
      </c>
      <c r="N134" s="129"/>
      <c r="O134" s="54">
        <f t="shared" si="60"/>
        <v>0</v>
      </c>
      <c r="P134" s="54">
        <f t="shared" si="61"/>
        <v>0</v>
      </c>
    </row>
    <row r="135" spans="2:16" ht="12.5">
      <c r="B135" s="7" t="str">
        <f t="shared" si="34"/>
        <v/>
      </c>
      <c r="C135" s="50">
        <f>IF(D93="","-",+C134+1)</f>
        <v>2050</v>
      </c>
      <c r="D135" s="12">
        <f>IF(F134+SUM(E$99:E134)=D$92,F134,D$92-SUM(E$99:E134))</f>
        <v>2919208.9923825357</v>
      </c>
      <c r="E135" s="378">
        <f t="shared" si="53"/>
        <v>337883.70522727276</v>
      </c>
      <c r="F135" s="55">
        <f t="shared" si="54"/>
        <v>2581325.2871552631</v>
      </c>
      <c r="G135" s="55">
        <f t="shared" si="55"/>
        <v>2750267.1397688994</v>
      </c>
      <c r="H135" s="380">
        <f t="shared" si="56"/>
        <v>680364.40589543525</v>
      </c>
      <c r="I135" s="399">
        <f t="shared" si="57"/>
        <v>680364.40589543525</v>
      </c>
      <c r="J135" s="54">
        <f t="shared" si="35"/>
        <v>0</v>
      </c>
      <c r="K135" s="54"/>
      <c r="L135" s="129"/>
      <c r="M135" s="54">
        <f t="shared" si="59"/>
        <v>0</v>
      </c>
      <c r="N135" s="129"/>
      <c r="O135" s="54">
        <f t="shared" si="60"/>
        <v>0</v>
      </c>
      <c r="P135" s="54">
        <f t="shared" si="61"/>
        <v>0</v>
      </c>
    </row>
    <row r="136" spans="2:16" ht="12.5">
      <c r="B136" s="7" t="str">
        <f t="shared" si="34"/>
        <v/>
      </c>
      <c r="C136" s="50">
        <f>IF(D93="","-",+C135+1)</f>
        <v>2051</v>
      </c>
      <c r="D136" s="12">
        <f>IF(F135+SUM(E$99:E135)=D$92,F135,D$92-SUM(E$99:E135))</f>
        <v>2581325.2871552631</v>
      </c>
      <c r="E136" s="378">
        <f t="shared" si="53"/>
        <v>337883.70522727276</v>
      </c>
      <c r="F136" s="55">
        <f t="shared" si="54"/>
        <v>2243441.5819279905</v>
      </c>
      <c r="G136" s="55">
        <f t="shared" si="55"/>
        <v>2412383.4345416268</v>
      </c>
      <c r="H136" s="380">
        <f t="shared" si="56"/>
        <v>638288.9847709568</v>
      </c>
      <c r="I136" s="399">
        <f t="shared" si="57"/>
        <v>638288.9847709568</v>
      </c>
      <c r="J136" s="54">
        <f t="shared" si="35"/>
        <v>0</v>
      </c>
      <c r="K136" s="54"/>
      <c r="L136" s="129"/>
      <c r="M136" s="54">
        <f t="shared" si="59"/>
        <v>0</v>
      </c>
      <c r="N136" s="129"/>
      <c r="O136" s="54">
        <f t="shared" si="60"/>
        <v>0</v>
      </c>
      <c r="P136" s="54">
        <f t="shared" si="61"/>
        <v>0</v>
      </c>
    </row>
    <row r="137" spans="2:16" ht="12.5">
      <c r="B137" s="7" t="str">
        <f t="shared" si="34"/>
        <v/>
      </c>
      <c r="C137" s="50">
        <f>IF(D93="","-",+C136+1)</f>
        <v>2052</v>
      </c>
      <c r="D137" s="12">
        <f>IF(F136+SUM(E$99:E136)=D$92,F136,D$92-SUM(E$99:E136))</f>
        <v>2243441.5819279905</v>
      </c>
      <c r="E137" s="378">
        <f t="shared" si="53"/>
        <v>337883.70522727276</v>
      </c>
      <c r="F137" s="55">
        <f t="shared" si="54"/>
        <v>1905557.8767007177</v>
      </c>
      <c r="G137" s="55">
        <f t="shared" si="55"/>
        <v>2074499.7293143542</v>
      </c>
      <c r="H137" s="380">
        <f t="shared" si="56"/>
        <v>596213.56364647835</v>
      </c>
      <c r="I137" s="399">
        <f t="shared" si="57"/>
        <v>596213.56364647835</v>
      </c>
      <c r="J137" s="54">
        <f t="shared" si="35"/>
        <v>0</v>
      </c>
      <c r="K137" s="54"/>
      <c r="L137" s="129"/>
      <c r="M137" s="54">
        <f t="shared" si="59"/>
        <v>0</v>
      </c>
      <c r="N137" s="129"/>
      <c r="O137" s="54">
        <f t="shared" si="60"/>
        <v>0</v>
      </c>
      <c r="P137" s="54">
        <f t="shared" si="61"/>
        <v>0</v>
      </c>
    </row>
    <row r="138" spans="2:16" ht="12.5">
      <c r="B138" s="7" t="str">
        <f t="shared" si="34"/>
        <v/>
      </c>
      <c r="C138" s="50">
        <f>IF(D93="","-",+C137+1)</f>
        <v>2053</v>
      </c>
      <c r="D138" s="12">
        <f>IF(F137+SUM(E$99:E137)=D$92,F137,D$92-SUM(E$99:E137))</f>
        <v>1905557.8767007177</v>
      </c>
      <c r="E138" s="378">
        <f t="shared" si="53"/>
        <v>337883.70522727276</v>
      </c>
      <c r="F138" s="55">
        <f t="shared" si="54"/>
        <v>1567674.1714734449</v>
      </c>
      <c r="G138" s="55">
        <f t="shared" si="55"/>
        <v>1736616.0240870812</v>
      </c>
      <c r="H138" s="380">
        <f t="shared" si="56"/>
        <v>554138.14252199989</v>
      </c>
      <c r="I138" s="399">
        <f t="shared" si="57"/>
        <v>554138.14252199989</v>
      </c>
      <c r="J138" s="54">
        <f t="shared" si="35"/>
        <v>0</v>
      </c>
      <c r="K138" s="54"/>
      <c r="L138" s="129"/>
      <c r="M138" s="54">
        <f t="shared" si="59"/>
        <v>0</v>
      </c>
      <c r="N138" s="129"/>
      <c r="O138" s="54">
        <f t="shared" si="60"/>
        <v>0</v>
      </c>
      <c r="P138" s="54">
        <f t="shared" si="61"/>
        <v>0</v>
      </c>
    </row>
    <row r="139" spans="2:16" ht="12.5">
      <c r="B139" s="7" t="str">
        <f t="shared" si="34"/>
        <v/>
      </c>
      <c r="C139" s="50">
        <f>IF(D93="","-",+C138+1)</f>
        <v>2054</v>
      </c>
      <c r="D139" s="12">
        <f>IF(F138+SUM(E$99:E138)=D$92,F138,D$92-SUM(E$99:E138))</f>
        <v>1567674.1714734449</v>
      </c>
      <c r="E139" s="378">
        <f t="shared" si="53"/>
        <v>337883.70522727276</v>
      </c>
      <c r="F139" s="55">
        <f t="shared" si="54"/>
        <v>1229790.4662461721</v>
      </c>
      <c r="G139" s="55">
        <f t="shared" si="55"/>
        <v>1398732.3188598086</v>
      </c>
      <c r="H139" s="380">
        <f t="shared" si="56"/>
        <v>512062.7213975215</v>
      </c>
      <c r="I139" s="399">
        <f t="shared" si="57"/>
        <v>512062.7213975215</v>
      </c>
      <c r="J139" s="54">
        <f t="shared" si="35"/>
        <v>0</v>
      </c>
      <c r="K139" s="54"/>
      <c r="L139" s="129"/>
      <c r="M139" s="54">
        <f t="shared" si="59"/>
        <v>0</v>
      </c>
      <c r="N139" s="129"/>
      <c r="O139" s="54">
        <f t="shared" si="60"/>
        <v>0</v>
      </c>
      <c r="P139" s="54">
        <f t="shared" si="61"/>
        <v>0</v>
      </c>
    </row>
    <row r="140" spans="2:16" ht="12.5">
      <c r="B140" s="7" t="str">
        <f t="shared" si="34"/>
        <v/>
      </c>
      <c r="C140" s="50">
        <f>IF(D93="","-",+C139+1)</f>
        <v>2055</v>
      </c>
      <c r="D140" s="12">
        <f>IF(F139+SUM(E$99:E139)=D$92,F139,D$92-SUM(E$99:E139))</f>
        <v>1229790.4662461721</v>
      </c>
      <c r="E140" s="378">
        <f t="shared" si="53"/>
        <v>337883.70522727276</v>
      </c>
      <c r="F140" s="55">
        <f t="shared" si="54"/>
        <v>891906.76101889927</v>
      </c>
      <c r="G140" s="55">
        <f t="shared" si="55"/>
        <v>1060848.6136325356</v>
      </c>
      <c r="H140" s="380">
        <f t="shared" si="56"/>
        <v>469987.30027304305</v>
      </c>
      <c r="I140" s="399">
        <f t="shared" si="57"/>
        <v>469987.30027304305</v>
      </c>
      <c r="J140" s="54">
        <f t="shared" si="35"/>
        <v>0</v>
      </c>
      <c r="K140" s="54"/>
      <c r="L140" s="129"/>
      <c r="M140" s="54">
        <f t="shared" si="59"/>
        <v>0</v>
      </c>
      <c r="N140" s="129"/>
      <c r="O140" s="54">
        <f t="shared" si="60"/>
        <v>0</v>
      </c>
      <c r="P140" s="54">
        <f t="shared" si="61"/>
        <v>0</v>
      </c>
    </row>
    <row r="141" spans="2:16" ht="12.5">
      <c r="B141" s="7" t="str">
        <f t="shared" si="34"/>
        <v/>
      </c>
      <c r="C141" s="50">
        <f>IF(D93="","-",+C140+1)</f>
        <v>2056</v>
      </c>
      <c r="D141" s="12">
        <f>IF(F140+SUM(E$99:E140)=D$92,F140,D$92-SUM(E$99:E140))</f>
        <v>891906.76101889927</v>
      </c>
      <c r="E141" s="378">
        <f t="shared" si="53"/>
        <v>337883.70522727276</v>
      </c>
      <c r="F141" s="55">
        <f t="shared" si="54"/>
        <v>554023.05579162645</v>
      </c>
      <c r="G141" s="55">
        <f t="shared" si="55"/>
        <v>722964.90840526286</v>
      </c>
      <c r="H141" s="380">
        <f t="shared" si="56"/>
        <v>427911.87914856459</v>
      </c>
      <c r="I141" s="399">
        <f t="shared" si="57"/>
        <v>427911.87914856459</v>
      </c>
      <c r="J141" s="54">
        <f t="shared" si="35"/>
        <v>0</v>
      </c>
      <c r="K141" s="54"/>
      <c r="L141" s="129"/>
      <c r="M141" s="54">
        <f t="shared" si="59"/>
        <v>0</v>
      </c>
      <c r="N141" s="129"/>
      <c r="O141" s="54">
        <f t="shared" si="60"/>
        <v>0</v>
      </c>
      <c r="P141" s="54">
        <f t="shared" si="61"/>
        <v>0</v>
      </c>
    </row>
    <row r="142" spans="2:16" ht="12.5">
      <c r="B142" s="7" t="str">
        <f t="shared" si="34"/>
        <v/>
      </c>
      <c r="C142" s="50">
        <f>IF(D93="","-",+C141+1)</f>
        <v>2057</v>
      </c>
      <c r="D142" s="12">
        <f>IF(F141+SUM(E$99:E141)=D$92,F141,D$92-SUM(E$99:E141))</f>
        <v>554023.05579162645</v>
      </c>
      <c r="E142" s="378">
        <f t="shared" si="53"/>
        <v>337883.70522727276</v>
      </c>
      <c r="F142" s="55">
        <f t="shared" si="54"/>
        <v>216139.35056435369</v>
      </c>
      <c r="G142" s="55">
        <f t="shared" si="55"/>
        <v>385081.20317799004</v>
      </c>
      <c r="H142" s="380">
        <f t="shared" si="56"/>
        <v>385836.45802408614</v>
      </c>
      <c r="I142" s="399">
        <f t="shared" si="57"/>
        <v>385836.45802408614</v>
      </c>
      <c r="J142" s="54">
        <f t="shared" si="35"/>
        <v>0</v>
      </c>
      <c r="K142" s="54"/>
      <c r="L142" s="129"/>
      <c r="M142" s="54">
        <f t="shared" si="59"/>
        <v>0</v>
      </c>
      <c r="N142" s="129"/>
      <c r="O142" s="54">
        <f t="shared" si="60"/>
        <v>0</v>
      </c>
      <c r="P142" s="54">
        <f t="shared" si="61"/>
        <v>0</v>
      </c>
    </row>
    <row r="143" spans="2:16" ht="12.5">
      <c r="B143" s="7" t="str">
        <f t="shared" si="34"/>
        <v/>
      </c>
      <c r="C143" s="50">
        <f>IF(D93="","-",+C142+1)</f>
        <v>2058</v>
      </c>
      <c r="D143" s="12">
        <f>IF(F142+SUM(E$99:E142)=D$92,F142,D$92-SUM(E$99:E142))</f>
        <v>216139.35056435369</v>
      </c>
      <c r="E143" s="378">
        <f t="shared" si="53"/>
        <v>216139.35056435369</v>
      </c>
      <c r="F143" s="55">
        <f t="shared" si="54"/>
        <v>0</v>
      </c>
      <c r="G143" s="55">
        <f t="shared" si="55"/>
        <v>108069.67528217685</v>
      </c>
      <c r="H143" s="380">
        <f t="shared" si="56"/>
        <v>229596.87168164077</v>
      </c>
      <c r="I143" s="399">
        <f t="shared" si="57"/>
        <v>229596.87168164077</v>
      </c>
      <c r="J143" s="54">
        <f t="shared" si="35"/>
        <v>0</v>
      </c>
      <c r="K143" s="54"/>
      <c r="L143" s="129"/>
      <c r="M143" s="54">
        <f t="shared" si="59"/>
        <v>0</v>
      </c>
      <c r="N143" s="129"/>
      <c r="O143" s="54">
        <f t="shared" si="60"/>
        <v>0</v>
      </c>
      <c r="P143" s="54">
        <f t="shared" si="61"/>
        <v>0</v>
      </c>
    </row>
    <row r="144" spans="2:16" ht="12.5">
      <c r="B144" s="7" t="str">
        <f t="shared" si="34"/>
        <v/>
      </c>
      <c r="C144" s="50">
        <f>IF(D93="","-",+C143+1)</f>
        <v>2059</v>
      </c>
      <c r="D144" s="12">
        <f>IF(F143+SUM(E$99:E143)=D$92,F143,D$92-SUM(E$99:E143))</f>
        <v>0</v>
      </c>
      <c r="E144" s="378">
        <f t="shared" si="53"/>
        <v>0</v>
      </c>
      <c r="F144" s="55">
        <f t="shared" si="54"/>
        <v>0</v>
      </c>
      <c r="G144" s="55">
        <f t="shared" si="55"/>
        <v>0</v>
      </c>
      <c r="H144" s="380">
        <f t="shared" si="56"/>
        <v>0</v>
      </c>
      <c r="I144" s="399">
        <f t="shared" si="57"/>
        <v>0</v>
      </c>
      <c r="J144" s="54">
        <f t="shared" si="35"/>
        <v>0</v>
      </c>
      <c r="K144" s="54"/>
      <c r="L144" s="129"/>
      <c r="M144" s="54">
        <f t="shared" si="59"/>
        <v>0</v>
      </c>
      <c r="N144" s="129"/>
      <c r="O144" s="54">
        <f t="shared" si="60"/>
        <v>0</v>
      </c>
      <c r="P144" s="54">
        <f t="shared" si="61"/>
        <v>0</v>
      </c>
    </row>
    <row r="145" spans="2:16" ht="12.5">
      <c r="B145" s="7" t="str">
        <f t="shared" si="34"/>
        <v/>
      </c>
      <c r="C145" s="50">
        <f>IF(D93="","-",+C144+1)</f>
        <v>2060</v>
      </c>
      <c r="D145" s="12">
        <f>IF(F144+SUM(E$99:E144)=D$92,F144,D$92-SUM(E$99:E144))</f>
        <v>0</v>
      </c>
      <c r="E145" s="378">
        <f t="shared" si="53"/>
        <v>0</v>
      </c>
      <c r="F145" s="55">
        <f t="shared" si="54"/>
        <v>0</v>
      </c>
      <c r="G145" s="55">
        <f t="shared" si="55"/>
        <v>0</v>
      </c>
      <c r="H145" s="380">
        <f t="shared" si="56"/>
        <v>0</v>
      </c>
      <c r="I145" s="399">
        <f t="shared" si="57"/>
        <v>0</v>
      </c>
      <c r="J145" s="54">
        <f t="shared" si="35"/>
        <v>0</v>
      </c>
      <c r="K145" s="54"/>
      <c r="L145" s="129"/>
      <c r="M145" s="54">
        <f t="shared" si="59"/>
        <v>0</v>
      </c>
      <c r="N145" s="129"/>
      <c r="O145" s="54">
        <f t="shared" si="60"/>
        <v>0</v>
      </c>
      <c r="P145" s="54">
        <f t="shared" si="61"/>
        <v>0</v>
      </c>
    </row>
    <row r="146" spans="2:16" ht="12.5">
      <c r="B146" s="7" t="str">
        <f t="shared" si="34"/>
        <v/>
      </c>
      <c r="C146" s="50">
        <f>IF(D93="","-",+C145+1)</f>
        <v>2061</v>
      </c>
      <c r="D146" s="12">
        <f>IF(F145+SUM(E$99:E145)=D$92,F145,D$92-SUM(E$99:E145))</f>
        <v>0</v>
      </c>
      <c r="E146" s="378">
        <f t="shared" si="53"/>
        <v>0</v>
      </c>
      <c r="F146" s="55">
        <f t="shared" si="54"/>
        <v>0</v>
      </c>
      <c r="G146" s="55">
        <f t="shared" si="55"/>
        <v>0</v>
      </c>
      <c r="H146" s="380">
        <f t="shared" si="56"/>
        <v>0</v>
      </c>
      <c r="I146" s="399">
        <f t="shared" si="57"/>
        <v>0</v>
      </c>
      <c r="J146" s="54">
        <f t="shared" si="35"/>
        <v>0</v>
      </c>
      <c r="K146" s="54"/>
      <c r="L146" s="129"/>
      <c r="M146" s="54">
        <f t="shared" si="59"/>
        <v>0</v>
      </c>
      <c r="N146" s="129"/>
      <c r="O146" s="54">
        <f t="shared" si="60"/>
        <v>0</v>
      </c>
      <c r="P146" s="54">
        <f t="shared" si="61"/>
        <v>0</v>
      </c>
    </row>
    <row r="147" spans="2:16" ht="12.5">
      <c r="B147" s="7" t="str">
        <f t="shared" si="34"/>
        <v/>
      </c>
      <c r="C147" s="50">
        <f>IF(D93="","-",+C146+1)</f>
        <v>2062</v>
      </c>
      <c r="D147" s="12">
        <f>IF(F146+SUM(E$99:E146)=D$92,F146,D$92-SUM(E$99:E146))</f>
        <v>0</v>
      </c>
      <c r="E147" s="378">
        <f t="shared" si="53"/>
        <v>0</v>
      </c>
      <c r="F147" s="55">
        <f t="shared" si="54"/>
        <v>0</v>
      </c>
      <c r="G147" s="55">
        <f t="shared" si="55"/>
        <v>0</v>
      </c>
      <c r="H147" s="380">
        <f t="shared" si="56"/>
        <v>0</v>
      </c>
      <c r="I147" s="399">
        <f t="shared" si="57"/>
        <v>0</v>
      </c>
      <c r="J147" s="54">
        <f t="shared" si="35"/>
        <v>0</v>
      </c>
      <c r="K147" s="54"/>
      <c r="L147" s="129"/>
      <c r="M147" s="54">
        <f t="shared" si="59"/>
        <v>0</v>
      </c>
      <c r="N147" s="129"/>
      <c r="O147" s="54">
        <f t="shared" si="60"/>
        <v>0</v>
      </c>
      <c r="P147" s="54">
        <f t="shared" si="61"/>
        <v>0</v>
      </c>
    </row>
    <row r="148" spans="2:16" ht="12.5">
      <c r="B148" s="7" t="str">
        <f t="shared" si="34"/>
        <v/>
      </c>
      <c r="C148" s="50">
        <f>IF(D93="","-",+C147+1)</f>
        <v>2063</v>
      </c>
      <c r="D148" s="12">
        <f>IF(F147+SUM(E$99:E147)=D$92,F147,D$92-SUM(E$99:E147))</f>
        <v>0</v>
      </c>
      <c r="E148" s="378">
        <f t="shared" si="53"/>
        <v>0</v>
      </c>
      <c r="F148" s="55">
        <f t="shared" si="54"/>
        <v>0</v>
      </c>
      <c r="G148" s="55">
        <f t="shared" si="55"/>
        <v>0</v>
      </c>
      <c r="H148" s="380">
        <f t="shared" si="56"/>
        <v>0</v>
      </c>
      <c r="I148" s="399">
        <f t="shared" si="57"/>
        <v>0</v>
      </c>
      <c r="J148" s="54">
        <f t="shared" si="35"/>
        <v>0</v>
      </c>
      <c r="K148" s="54"/>
      <c r="L148" s="129"/>
      <c r="M148" s="54">
        <f t="shared" si="59"/>
        <v>0</v>
      </c>
      <c r="N148" s="129"/>
      <c r="O148" s="54">
        <f t="shared" si="60"/>
        <v>0</v>
      </c>
      <c r="P148" s="54">
        <f t="shared" si="61"/>
        <v>0</v>
      </c>
    </row>
    <row r="149" spans="2:16" ht="12.5">
      <c r="B149" s="7" t="str">
        <f t="shared" si="34"/>
        <v/>
      </c>
      <c r="C149" s="50">
        <f>IF(D93="","-",+C148+1)</f>
        <v>2064</v>
      </c>
      <c r="D149" s="12">
        <f>IF(F148+SUM(E$99:E148)=D$92,F148,D$92-SUM(E$99:E148))</f>
        <v>0</v>
      </c>
      <c r="E149" s="378">
        <f t="shared" si="53"/>
        <v>0</v>
      </c>
      <c r="F149" s="55">
        <f t="shared" si="54"/>
        <v>0</v>
      </c>
      <c r="G149" s="55">
        <f t="shared" si="55"/>
        <v>0</v>
      </c>
      <c r="H149" s="380">
        <f t="shared" si="56"/>
        <v>0</v>
      </c>
      <c r="I149" s="399">
        <f t="shared" si="57"/>
        <v>0</v>
      </c>
      <c r="J149" s="54">
        <f t="shared" si="35"/>
        <v>0</v>
      </c>
      <c r="K149" s="54"/>
      <c r="L149" s="129"/>
      <c r="M149" s="54">
        <f t="shared" si="59"/>
        <v>0</v>
      </c>
      <c r="N149" s="129"/>
      <c r="O149" s="54">
        <f t="shared" si="60"/>
        <v>0</v>
      </c>
      <c r="P149" s="54">
        <f t="shared" si="61"/>
        <v>0</v>
      </c>
    </row>
    <row r="150" spans="2:16" ht="12.5">
      <c r="B150" s="7" t="str">
        <f t="shared" si="34"/>
        <v/>
      </c>
      <c r="C150" s="50">
        <f>IF(D93="","-",+C149+1)</f>
        <v>2065</v>
      </c>
      <c r="D150" s="12">
        <f>IF(F149+SUM(E$99:E149)=D$92,F149,D$92-SUM(E$99:E149))</f>
        <v>0</v>
      </c>
      <c r="E150" s="378">
        <f t="shared" si="53"/>
        <v>0</v>
      </c>
      <c r="F150" s="55">
        <f t="shared" si="54"/>
        <v>0</v>
      </c>
      <c r="G150" s="55">
        <f t="shared" si="55"/>
        <v>0</v>
      </c>
      <c r="H150" s="380">
        <f t="shared" si="56"/>
        <v>0</v>
      </c>
      <c r="I150" s="399">
        <f t="shared" si="57"/>
        <v>0</v>
      </c>
      <c r="J150" s="54">
        <f t="shared" si="35"/>
        <v>0</v>
      </c>
      <c r="K150" s="54"/>
      <c r="L150" s="129"/>
      <c r="M150" s="54">
        <f t="shared" si="59"/>
        <v>0</v>
      </c>
      <c r="N150" s="129"/>
      <c r="O150" s="54">
        <f t="shared" si="60"/>
        <v>0</v>
      </c>
      <c r="P150" s="54">
        <f t="shared" si="61"/>
        <v>0</v>
      </c>
    </row>
    <row r="151" spans="2:16" ht="12.5">
      <c r="B151" s="7" t="str">
        <f t="shared" si="34"/>
        <v/>
      </c>
      <c r="C151" s="50">
        <f>IF(D93="","-",+C150+1)</f>
        <v>2066</v>
      </c>
      <c r="D151" s="12">
        <f>IF(F150+SUM(E$99:E150)=D$92,F150,D$92-SUM(E$99:E150))</f>
        <v>0</v>
      </c>
      <c r="E151" s="378">
        <f t="shared" si="53"/>
        <v>0</v>
      </c>
      <c r="F151" s="55">
        <f t="shared" si="54"/>
        <v>0</v>
      </c>
      <c r="G151" s="55">
        <f t="shared" si="55"/>
        <v>0</v>
      </c>
      <c r="H151" s="380">
        <f t="shared" si="56"/>
        <v>0</v>
      </c>
      <c r="I151" s="399">
        <f t="shared" si="57"/>
        <v>0</v>
      </c>
      <c r="J151" s="54">
        <f t="shared" si="35"/>
        <v>0</v>
      </c>
      <c r="K151" s="54"/>
      <c r="L151" s="129"/>
      <c r="M151" s="54">
        <f t="shared" si="59"/>
        <v>0</v>
      </c>
      <c r="N151" s="129"/>
      <c r="O151" s="54">
        <f t="shared" si="60"/>
        <v>0</v>
      </c>
      <c r="P151" s="54">
        <f t="shared" si="61"/>
        <v>0</v>
      </c>
    </row>
    <row r="152" spans="2:16" ht="12.5">
      <c r="B152" s="7" t="str">
        <f t="shared" si="34"/>
        <v/>
      </c>
      <c r="C152" s="50">
        <f>IF(D93="","-",+C151+1)</f>
        <v>2067</v>
      </c>
      <c r="D152" s="12">
        <f>IF(F151+SUM(E$99:E151)=D$92,F151,D$92-SUM(E$99:E151))</f>
        <v>0</v>
      </c>
      <c r="E152" s="378">
        <f t="shared" si="53"/>
        <v>0</v>
      </c>
      <c r="F152" s="55">
        <f t="shared" si="54"/>
        <v>0</v>
      </c>
      <c r="G152" s="55">
        <f t="shared" si="55"/>
        <v>0</v>
      </c>
      <c r="H152" s="380">
        <f t="shared" si="56"/>
        <v>0</v>
      </c>
      <c r="I152" s="399">
        <f t="shared" si="57"/>
        <v>0</v>
      </c>
      <c r="J152" s="54">
        <f t="shared" si="35"/>
        <v>0</v>
      </c>
      <c r="K152" s="54"/>
      <c r="L152" s="129"/>
      <c r="M152" s="54">
        <f t="shared" si="59"/>
        <v>0</v>
      </c>
      <c r="N152" s="129"/>
      <c r="O152" s="54">
        <f t="shared" si="60"/>
        <v>0</v>
      </c>
      <c r="P152" s="54">
        <f t="shared" si="61"/>
        <v>0</v>
      </c>
    </row>
    <row r="153" spans="2:16" ht="12.5">
      <c r="B153" s="7" t="str">
        <f t="shared" si="34"/>
        <v/>
      </c>
      <c r="C153" s="50">
        <f>IF(D93="","-",+C152+1)</f>
        <v>2068</v>
      </c>
      <c r="D153" s="12">
        <f>IF(F152+SUM(E$99:E152)=D$92,F152,D$92-SUM(E$99:E152))</f>
        <v>0</v>
      </c>
      <c r="E153" s="378">
        <f t="shared" si="53"/>
        <v>0</v>
      </c>
      <c r="F153" s="55">
        <f t="shared" si="54"/>
        <v>0</v>
      </c>
      <c r="G153" s="55">
        <f t="shared" si="55"/>
        <v>0</v>
      </c>
      <c r="H153" s="380">
        <f t="shared" si="56"/>
        <v>0</v>
      </c>
      <c r="I153" s="399">
        <f t="shared" si="57"/>
        <v>0</v>
      </c>
      <c r="J153" s="54">
        <f t="shared" si="35"/>
        <v>0</v>
      </c>
      <c r="K153" s="54"/>
      <c r="L153" s="129"/>
      <c r="M153" s="54">
        <f t="shared" si="59"/>
        <v>0</v>
      </c>
      <c r="N153" s="129"/>
      <c r="O153" s="54">
        <f t="shared" si="60"/>
        <v>0</v>
      </c>
      <c r="P153" s="54">
        <f t="shared" si="61"/>
        <v>0</v>
      </c>
    </row>
    <row r="154" spans="2:16" ht="13" thickBot="1">
      <c r="B154" s="7" t="str">
        <f t="shared" si="34"/>
        <v/>
      </c>
      <c r="C154" s="59">
        <f>IF(D93="","-",+C153+1)</f>
        <v>2069</v>
      </c>
      <c r="D154" s="12">
        <f>IF(F153+SUM(E$99:E153)=D$92,F153,D$92-SUM(E$99:E153))</f>
        <v>0</v>
      </c>
      <c r="E154" s="378">
        <f t="shared" si="53"/>
        <v>0</v>
      </c>
      <c r="F154" s="55">
        <f t="shared" si="54"/>
        <v>0</v>
      </c>
      <c r="G154" s="55">
        <f t="shared" si="55"/>
        <v>0</v>
      </c>
      <c r="H154" s="380">
        <f t="shared" si="56"/>
        <v>0</v>
      </c>
      <c r="I154" s="399">
        <f t="shared" si="57"/>
        <v>0</v>
      </c>
      <c r="J154" s="54">
        <f t="shared" si="35"/>
        <v>0</v>
      </c>
      <c r="K154" s="54"/>
      <c r="L154" s="130"/>
      <c r="M154" s="64">
        <f t="shared" si="59"/>
        <v>0</v>
      </c>
      <c r="N154" s="130"/>
      <c r="O154" s="64">
        <f t="shared" si="60"/>
        <v>0</v>
      </c>
      <c r="P154" s="64">
        <f t="shared" si="61"/>
        <v>0</v>
      </c>
    </row>
    <row r="155" spans="2:16" ht="12.5">
      <c r="C155" s="12" t="s">
        <v>78</v>
      </c>
      <c r="D155" s="293"/>
      <c r="E155" s="293">
        <f>SUM(E99:E154)</f>
        <v>14866883.030000001</v>
      </c>
      <c r="F155" s="293"/>
      <c r="G155" s="293"/>
      <c r="H155" s="293">
        <f>SUM(H99:H154)</f>
        <v>55174811.077498429</v>
      </c>
      <c r="I155" s="293">
        <f>SUM(I99:I154)</f>
        <v>55174811.077498429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 ht="12.5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 ht="13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71" priority="1" stopIfTrue="1" operator="equal">
      <formula>$I$10</formula>
    </cfRule>
  </conditionalFormatting>
  <conditionalFormatting sqref="C99:C154">
    <cfRule type="cellIs" dxfId="7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93">
    <tabColor theme="9" tint="-0.249977111117893"/>
  </sheetPr>
  <dimension ref="A1:P162"/>
  <sheetViews>
    <sheetView topLeftCell="A83" zoomScaleNormal="100" zoomScaleSheetLayoutView="82" workbookViewId="0">
      <selection activeCell="D34" sqref="D34:H34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44 of 77</v>
      </c>
    </row>
    <row r="2" spans="1:16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2764698.3712464399</v>
      </c>
      <c r="P5" s="1"/>
    </row>
    <row r="6" spans="1:16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2764698.3712464399</v>
      </c>
      <c r="O6" s="1"/>
      <c r="P6" s="1"/>
    </row>
    <row r="7" spans="1:16" ht="13.5" thickBot="1">
      <c r="C7" s="25" t="s">
        <v>48</v>
      </c>
      <c r="D7" s="90" t="s">
        <v>332</v>
      </c>
      <c r="E7" s="406"/>
      <c r="F7" s="406"/>
      <c r="G7" s="406"/>
      <c r="H7" s="40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99" t="s">
        <v>358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331</v>
      </c>
      <c r="E9" s="436" t="s">
        <v>494</v>
      </c>
      <c r="F9" s="462" t="s">
        <v>509</v>
      </c>
      <c r="G9" s="31"/>
      <c r="H9" s="31"/>
      <c r="I9" s="32"/>
      <c r="J9" s="33"/>
      <c r="P9" s="1"/>
    </row>
    <row r="10" spans="1:16" ht="13">
      <c r="C10" s="34" t="s">
        <v>51</v>
      </c>
      <c r="D10" s="363">
        <v>29107362.050000001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6" ht="12.5">
      <c r="C11" s="34" t="s">
        <v>54</v>
      </c>
      <c r="D11" s="37">
        <v>2007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3">
        <v>11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661530.95568181819</v>
      </c>
      <c r="J14" s="293"/>
      <c r="K14" s="293"/>
      <c r="L14" s="293"/>
      <c r="M14" s="293"/>
      <c r="N14" s="293"/>
      <c r="O14" s="1"/>
      <c r="P14" s="1"/>
    </row>
    <row r="15" spans="1:16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2007</v>
      </c>
      <c r="D17" s="429">
        <v>29107362.050000001</v>
      </c>
      <c r="E17" s="437">
        <v>57752.702480158732</v>
      </c>
      <c r="F17" s="429">
        <v>29049609.347519841</v>
      </c>
      <c r="G17" s="437">
        <v>3976850.2640178553</v>
      </c>
      <c r="H17" s="438">
        <v>3976850.2640178553</v>
      </c>
      <c r="I17" s="52">
        <v>0</v>
      </c>
      <c r="J17" s="52"/>
      <c r="K17" s="112">
        <f>G17</f>
        <v>3976850.2640178553</v>
      </c>
      <c r="L17" s="53">
        <f>IF(K17&lt;&gt;0,+G17-K17,0)</f>
        <v>0</v>
      </c>
      <c r="M17" s="112">
        <f>H17</f>
        <v>3976850.2640178553</v>
      </c>
      <c r="N17" s="53">
        <f>IF(M17&lt;&gt;0,+H17-M17,0)</f>
        <v>0</v>
      </c>
      <c r="O17" s="54">
        <f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2008</v>
      </c>
      <c r="D18" s="431">
        <v>29049609.347519841</v>
      </c>
      <c r="E18" s="430">
        <v>693032.42976190476</v>
      </c>
      <c r="F18" s="431">
        <v>28356576.917757936</v>
      </c>
      <c r="G18" s="430">
        <v>4518632.6339666937</v>
      </c>
      <c r="H18" s="438">
        <v>4518632.6339666937</v>
      </c>
      <c r="I18" s="52">
        <v>0</v>
      </c>
      <c r="J18" s="52"/>
      <c r="K18" s="113">
        <f>G18</f>
        <v>4518632.6339666937</v>
      </c>
      <c r="L18" s="54">
        <f>IF(K18&lt;&gt;0,+G18-K18,0)</f>
        <v>0</v>
      </c>
      <c r="M18" s="113">
        <f>H18</f>
        <v>4518632.6339666937</v>
      </c>
      <c r="N18" s="54">
        <f>IF(M18&lt;&gt;0,+H18-M18,0)</f>
        <v>0</v>
      </c>
      <c r="O18" s="54">
        <f>+N18-L18</f>
        <v>0</v>
      </c>
      <c r="P18" s="1"/>
    </row>
    <row r="19" spans="2:16" ht="12.5">
      <c r="B19" s="7" t="str">
        <f>IF(D19=F18,"","IU")</f>
        <v/>
      </c>
      <c r="C19" s="50">
        <f>IF(D11="","-",+C18+1)</f>
        <v>2009</v>
      </c>
      <c r="D19" s="431">
        <v>28356576.917757936</v>
      </c>
      <c r="E19" s="430">
        <v>693032.42976190476</v>
      </c>
      <c r="F19" s="431">
        <v>27663544.487996031</v>
      </c>
      <c r="G19" s="430">
        <v>4425135.276633786</v>
      </c>
      <c r="H19" s="438">
        <v>4425135.276633786</v>
      </c>
      <c r="I19" s="52">
        <v>0</v>
      </c>
      <c r="J19" s="52"/>
      <c r="K19" s="113">
        <f t="shared" ref="K19:K24" si="0">G19</f>
        <v>4425135.276633786</v>
      </c>
      <c r="L19" s="54">
        <f t="shared" ref="L19:L24" si="1">IF(K19&lt;&gt;0,+G19-K19,0)</f>
        <v>0</v>
      </c>
      <c r="M19" s="113">
        <f t="shared" ref="M19:M24" si="2">H19</f>
        <v>4425135.276633786</v>
      </c>
      <c r="N19" s="54">
        <f t="shared" ref="N19:N24" si="3">IF(M19&lt;&gt;0,+H19-M19,0)</f>
        <v>0</v>
      </c>
      <c r="O19" s="54">
        <f t="shared" ref="O19:O24" si="4">+N19-L19</f>
        <v>0</v>
      </c>
      <c r="P19" s="1"/>
    </row>
    <row r="20" spans="2:16" ht="12.5">
      <c r="B20" s="7" t="str">
        <f t="shared" ref="B20:B72" si="5">IF(D20=F19,"","IU")</f>
        <v/>
      </c>
      <c r="C20" s="50">
        <f>IF(D11="","-",+C19+1)</f>
        <v>2010</v>
      </c>
      <c r="D20" s="431">
        <v>27663544.487996031</v>
      </c>
      <c r="E20" s="430">
        <v>693032.42976190476</v>
      </c>
      <c r="F20" s="431">
        <v>26970512.058234125</v>
      </c>
      <c r="G20" s="430">
        <v>4331637.9193008794</v>
      </c>
      <c r="H20" s="438">
        <v>4331637.9193008794</v>
      </c>
      <c r="I20" s="52">
        <v>0</v>
      </c>
      <c r="J20" s="52"/>
      <c r="K20" s="113">
        <f t="shared" si="0"/>
        <v>4331637.9193008794</v>
      </c>
      <c r="L20" s="54">
        <f t="shared" si="1"/>
        <v>0</v>
      </c>
      <c r="M20" s="113">
        <f t="shared" si="2"/>
        <v>4331637.9193008794</v>
      </c>
      <c r="N20" s="54">
        <f t="shared" si="3"/>
        <v>0</v>
      </c>
      <c r="O20" s="54">
        <f t="shared" si="4"/>
        <v>0</v>
      </c>
      <c r="P20" s="1"/>
    </row>
    <row r="21" spans="2:16" ht="12.5">
      <c r="B21" s="7" t="str">
        <f t="shared" si="5"/>
        <v/>
      </c>
      <c r="C21" s="50">
        <f>IF(D11="","-",+C20+1)</f>
        <v>2011</v>
      </c>
      <c r="D21" s="431">
        <v>26970512.058234125</v>
      </c>
      <c r="E21" s="430">
        <v>693032.42976190476</v>
      </c>
      <c r="F21" s="431">
        <v>26277479.62847222</v>
      </c>
      <c r="G21" s="430">
        <v>4238140.5619679717</v>
      </c>
      <c r="H21" s="438">
        <v>4238140.5619679717</v>
      </c>
      <c r="I21" s="52">
        <v>0</v>
      </c>
      <c r="J21" s="52"/>
      <c r="K21" s="113">
        <f t="shared" si="0"/>
        <v>4238140.5619679717</v>
      </c>
      <c r="L21" s="54">
        <f t="shared" si="1"/>
        <v>0</v>
      </c>
      <c r="M21" s="113">
        <f t="shared" si="2"/>
        <v>4238140.5619679717</v>
      </c>
      <c r="N21" s="54">
        <f t="shared" si="3"/>
        <v>0</v>
      </c>
      <c r="O21" s="54">
        <f t="shared" si="4"/>
        <v>0</v>
      </c>
      <c r="P21" s="1"/>
    </row>
    <row r="22" spans="2:16" ht="12.5">
      <c r="B22" s="7" t="str">
        <f t="shared" si="5"/>
        <v/>
      </c>
      <c r="C22" s="50">
        <f>IF(D11="","-",+C21+1)</f>
        <v>2012</v>
      </c>
      <c r="D22" s="431">
        <v>26277479.62847222</v>
      </c>
      <c r="E22" s="430">
        <v>693032.42976190476</v>
      </c>
      <c r="F22" s="431">
        <v>25584447.198710315</v>
      </c>
      <c r="G22" s="430">
        <v>4144643.2046350646</v>
      </c>
      <c r="H22" s="438">
        <v>4144643.2046350646</v>
      </c>
      <c r="I22" s="52">
        <v>0</v>
      </c>
      <c r="J22" s="52"/>
      <c r="K22" s="113">
        <f t="shared" si="0"/>
        <v>4144643.2046350646</v>
      </c>
      <c r="L22" s="54">
        <f t="shared" si="1"/>
        <v>0</v>
      </c>
      <c r="M22" s="113">
        <f t="shared" si="2"/>
        <v>4144643.2046350646</v>
      </c>
      <c r="N22" s="54">
        <f t="shared" si="3"/>
        <v>0</v>
      </c>
      <c r="O22" s="54">
        <f t="shared" si="4"/>
        <v>0</v>
      </c>
      <c r="P22" s="1"/>
    </row>
    <row r="23" spans="2:16" ht="12.5">
      <c r="B23" s="7" t="str">
        <f t="shared" si="5"/>
        <v/>
      </c>
      <c r="C23" s="50">
        <f>IF(D11="","-",+C22+1)</f>
        <v>2013</v>
      </c>
      <c r="D23" s="431">
        <v>25584447.198710315</v>
      </c>
      <c r="E23" s="430">
        <v>693032.42976190476</v>
      </c>
      <c r="F23" s="431">
        <v>24891414.76894841</v>
      </c>
      <c r="G23" s="430">
        <v>4051145.847302157</v>
      </c>
      <c r="H23" s="438">
        <v>4051145.847302157</v>
      </c>
      <c r="I23" s="52">
        <v>0</v>
      </c>
      <c r="J23" s="52"/>
      <c r="K23" s="113">
        <f t="shared" si="0"/>
        <v>4051145.847302157</v>
      </c>
      <c r="L23" s="54">
        <f t="shared" si="1"/>
        <v>0</v>
      </c>
      <c r="M23" s="113">
        <f t="shared" si="2"/>
        <v>4051145.847302157</v>
      </c>
      <c r="N23" s="54">
        <f t="shared" si="3"/>
        <v>0</v>
      </c>
      <c r="O23" s="54">
        <f t="shared" si="4"/>
        <v>0</v>
      </c>
      <c r="P23" s="1"/>
    </row>
    <row r="24" spans="2:16" ht="12.5">
      <c r="B24" s="7" t="str">
        <f t="shared" si="5"/>
        <v/>
      </c>
      <c r="C24" s="50">
        <f>IF(D11="","-",+C23+1)</f>
        <v>2014</v>
      </c>
      <c r="D24" s="431">
        <v>24891414.76894841</v>
      </c>
      <c r="E24" s="430">
        <v>693032.42976190476</v>
      </c>
      <c r="F24" s="431">
        <v>24198382.339186504</v>
      </c>
      <c r="G24" s="430">
        <v>3957648.4899692498</v>
      </c>
      <c r="H24" s="438">
        <v>3957648.4899692498</v>
      </c>
      <c r="I24" s="52">
        <v>0</v>
      </c>
      <c r="J24" s="52"/>
      <c r="K24" s="113">
        <f t="shared" si="0"/>
        <v>3957648.4899692498</v>
      </c>
      <c r="L24" s="54">
        <f t="shared" si="1"/>
        <v>0</v>
      </c>
      <c r="M24" s="113">
        <f t="shared" si="2"/>
        <v>3957648.4899692498</v>
      </c>
      <c r="N24" s="54">
        <f t="shared" si="3"/>
        <v>0</v>
      </c>
      <c r="O24" s="54">
        <f t="shared" si="4"/>
        <v>0</v>
      </c>
      <c r="P24" s="1"/>
    </row>
    <row r="25" spans="2:16" ht="12.5">
      <c r="B25" s="7" t="str">
        <f t="shared" si="5"/>
        <v/>
      </c>
      <c r="C25" s="50">
        <f>IF(D11="","-",+C24+1)</f>
        <v>2015</v>
      </c>
      <c r="D25" s="431">
        <v>24198382.339186504</v>
      </c>
      <c r="E25" s="430">
        <v>693032.42976190476</v>
      </c>
      <c r="F25" s="431">
        <v>23505349.909424599</v>
      </c>
      <c r="G25" s="430">
        <v>3788799.8614330222</v>
      </c>
      <c r="H25" s="438">
        <v>3788799.8614330222</v>
      </c>
      <c r="I25" s="52">
        <v>0</v>
      </c>
      <c r="J25" s="52"/>
      <c r="K25" s="113">
        <f t="shared" ref="K25:K30" si="6">G25</f>
        <v>3788799.8614330222</v>
      </c>
      <c r="L25" s="54">
        <f t="shared" ref="L25:L30" si="7">IF(K25&lt;&gt;0,+G25-K25,0)</f>
        <v>0</v>
      </c>
      <c r="M25" s="113">
        <f t="shared" ref="M25:M30" si="8">H25</f>
        <v>3788799.8614330222</v>
      </c>
      <c r="N25" s="54">
        <f>IF(M25&lt;&gt;0,+H25-M25,0)</f>
        <v>0</v>
      </c>
      <c r="O25" s="54">
        <f>+N25-L25</f>
        <v>0</v>
      </c>
      <c r="P25" s="1"/>
    </row>
    <row r="26" spans="2:16" ht="12.5">
      <c r="B26" s="7" t="str">
        <f t="shared" si="5"/>
        <v/>
      </c>
      <c r="C26" s="50">
        <f>IF(D11="","-",+C25+1)</f>
        <v>2016</v>
      </c>
      <c r="D26" s="431">
        <v>23505349.909424599</v>
      </c>
      <c r="E26" s="430">
        <v>693032.42976190476</v>
      </c>
      <c r="F26" s="431">
        <v>22812317.479662694</v>
      </c>
      <c r="G26" s="430">
        <v>3660458.1176400636</v>
      </c>
      <c r="H26" s="438">
        <v>3660458.1176400636</v>
      </c>
      <c r="I26" s="52">
        <f t="shared" ref="I26:I72" si="9">H26-G26</f>
        <v>0</v>
      </c>
      <c r="J26" s="52"/>
      <c r="K26" s="113">
        <f t="shared" si="6"/>
        <v>3660458.1176400636</v>
      </c>
      <c r="L26" s="54">
        <f t="shared" si="7"/>
        <v>0</v>
      </c>
      <c r="M26" s="113">
        <f t="shared" si="8"/>
        <v>3660458.1176400636</v>
      </c>
      <c r="N26" s="54">
        <f>IF(M26&lt;&gt;0,+H26-M26,0)</f>
        <v>0</v>
      </c>
      <c r="O26" s="54">
        <f>+N26-L26</f>
        <v>0</v>
      </c>
      <c r="P26" s="1"/>
    </row>
    <row r="27" spans="2:16" ht="12.5">
      <c r="B27" s="7" t="str">
        <f t="shared" si="5"/>
        <v/>
      </c>
      <c r="C27" s="50">
        <f>IF(D11="","-",+C26+1)</f>
        <v>2017</v>
      </c>
      <c r="D27" s="431">
        <v>22812317.479662694</v>
      </c>
      <c r="E27" s="430">
        <v>676915.39651162794</v>
      </c>
      <c r="F27" s="431">
        <v>22135402.083151065</v>
      </c>
      <c r="G27" s="430">
        <v>3461258.8249701741</v>
      </c>
      <c r="H27" s="438">
        <v>3461258.8249701741</v>
      </c>
      <c r="I27" s="52">
        <f t="shared" si="9"/>
        <v>0</v>
      </c>
      <c r="J27" s="52"/>
      <c r="K27" s="113">
        <f t="shared" si="6"/>
        <v>3461258.8249701741</v>
      </c>
      <c r="L27" s="54">
        <f t="shared" si="7"/>
        <v>0</v>
      </c>
      <c r="M27" s="113">
        <f t="shared" si="8"/>
        <v>3461258.8249701741</v>
      </c>
      <c r="N27" s="54">
        <f>IF(M27&lt;&gt;0,+H27-M27,0)</f>
        <v>0</v>
      </c>
      <c r="O27" s="54">
        <f>+N27-L27</f>
        <v>0</v>
      </c>
      <c r="P27" s="1"/>
    </row>
    <row r="28" spans="2:16" ht="12.5">
      <c r="B28" s="7" t="str">
        <f t="shared" si="5"/>
        <v/>
      </c>
      <c r="C28" s="50">
        <f>IF(D11="","-",+C27+1)</f>
        <v>2018</v>
      </c>
      <c r="D28" s="431">
        <v>22135402.083151065</v>
      </c>
      <c r="E28" s="430">
        <v>709935.65975609759</v>
      </c>
      <c r="F28" s="431">
        <v>21425466.423394967</v>
      </c>
      <c r="G28" s="430">
        <v>3478100.3254420273</v>
      </c>
      <c r="H28" s="438">
        <v>3478100.3254420273</v>
      </c>
      <c r="I28" s="52">
        <f t="shared" si="9"/>
        <v>0</v>
      </c>
      <c r="J28" s="52"/>
      <c r="K28" s="113">
        <f t="shared" si="6"/>
        <v>3478100.3254420273</v>
      </c>
      <c r="L28" s="54">
        <f t="shared" si="7"/>
        <v>0</v>
      </c>
      <c r="M28" s="113">
        <f t="shared" si="8"/>
        <v>3478100.3254420273</v>
      </c>
      <c r="N28" s="54">
        <f>IF(M28&lt;&gt;0,+H28-M28,0)</f>
        <v>0</v>
      </c>
      <c r="O28" s="54">
        <f>+N28-L28</f>
        <v>0</v>
      </c>
      <c r="P28" s="1"/>
    </row>
    <row r="29" spans="2:16" ht="12.5">
      <c r="B29" s="7" t="str">
        <f t="shared" si="5"/>
        <v/>
      </c>
      <c r="C29" s="50">
        <f>IF(D11="","-",+C28+1)</f>
        <v>2019</v>
      </c>
      <c r="D29" s="431">
        <v>21425466.423394967</v>
      </c>
      <c r="E29" s="430">
        <v>709935.65975609759</v>
      </c>
      <c r="F29" s="431">
        <v>20715530.763638869</v>
      </c>
      <c r="G29" s="430">
        <v>3387871.6924682865</v>
      </c>
      <c r="H29" s="438">
        <v>3387871.6924682865</v>
      </c>
      <c r="I29" s="52">
        <f t="shared" si="9"/>
        <v>0</v>
      </c>
      <c r="J29" s="52"/>
      <c r="K29" s="113">
        <f t="shared" si="6"/>
        <v>3387871.6924682865</v>
      </c>
      <c r="L29" s="54">
        <f t="shared" si="7"/>
        <v>0</v>
      </c>
      <c r="M29" s="113">
        <f t="shared" si="8"/>
        <v>3387871.6924682865</v>
      </c>
      <c r="N29" s="54">
        <f t="shared" ref="N29:N72" si="10">IF(M29&lt;&gt;0,+H29-M29,0)</f>
        <v>0</v>
      </c>
      <c r="O29" s="54">
        <f t="shared" ref="O29:O72" si="11">+N29-L29</f>
        <v>0</v>
      </c>
      <c r="P29" s="1"/>
    </row>
    <row r="30" spans="2:16" ht="12.5">
      <c r="B30" s="7" t="str">
        <f t="shared" si="5"/>
        <v/>
      </c>
      <c r="C30" s="50">
        <f>IF(D11="","-",+C29+1)</f>
        <v>2020</v>
      </c>
      <c r="D30" s="431">
        <v>20715530.763638869</v>
      </c>
      <c r="E30" s="430">
        <v>709935.65975609759</v>
      </c>
      <c r="F30" s="431">
        <v>20005595.103882771</v>
      </c>
      <c r="G30" s="430">
        <v>2793543.137478089</v>
      </c>
      <c r="H30" s="438">
        <v>2793543.137478089</v>
      </c>
      <c r="I30" s="52">
        <f t="shared" si="9"/>
        <v>0</v>
      </c>
      <c r="J30" s="52"/>
      <c r="K30" s="113">
        <f t="shared" si="6"/>
        <v>2793543.137478089</v>
      </c>
      <c r="L30" s="54">
        <f t="shared" si="7"/>
        <v>0</v>
      </c>
      <c r="M30" s="113">
        <f t="shared" si="8"/>
        <v>2793543.137478089</v>
      </c>
      <c r="N30" s="54">
        <f t="shared" si="10"/>
        <v>0</v>
      </c>
      <c r="O30" s="54">
        <f t="shared" si="11"/>
        <v>0</v>
      </c>
      <c r="P30" s="1"/>
    </row>
    <row r="31" spans="2:16" ht="12.5">
      <c r="B31" s="7" t="str">
        <f t="shared" si="5"/>
        <v>IU</v>
      </c>
      <c r="C31" s="50">
        <f>IF(D11="","-",+C30+1)</f>
        <v>2021</v>
      </c>
      <c r="D31" s="431">
        <v>20038615.367127247</v>
      </c>
      <c r="E31" s="430">
        <v>693032.42976190476</v>
      </c>
      <c r="F31" s="431">
        <v>19345582.937365342</v>
      </c>
      <c r="G31" s="430">
        <v>2780484.4413299775</v>
      </c>
      <c r="H31" s="438">
        <v>2780484.4413299775</v>
      </c>
      <c r="I31" s="52">
        <f t="shared" si="9"/>
        <v>0</v>
      </c>
      <c r="J31" s="52"/>
      <c r="K31" s="113">
        <f t="shared" ref="K31" si="12">G31</f>
        <v>2780484.4413299775</v>
      </c>
      <c r="L31" s="54">
        <f t="shared" ref="L31" si="13">IF(K31&lt;&gt;0,+G31-K31,0)</f>
        <v>0</v>
      </c>
      <c r="M31" s="113">
        <f t="shared" ref="M31" si="14">H31</f>
        <v>2780484.4413299775</v>
      </c>
      <c r="N31" s="54">
        <f t="shared" si="10"/>
        <v>0</v>
      </c>
      <c r="O31" s="54">
        <f t="shared" si="11"/>
        <v>0</v>
      </c>
      <c r="P31" s="1"/>
    </row>
    <row r="32" spans="2:16" ht="12.5">
      <c r="B32" s="7" t="str">
        <f t="shared" si="5"/>
        <v>IU</v>
      </c>
      <c r="C32" s="50">
        <f>IF(D11="","-",+C31+1)</f>
        <v>2022</v>
      </c>
      <c r="D32" s="431">
        <v>19312562.674120873</v>
      </c>
      <c r="E32" s="430">
        <v>693032.42976190476</v>
      </c>
      <c r="F32" s="431">
        <v>18619530.244358968</v>
      </c>
      <c r="G32" s="430">
        <v>2825652.3953134934</v>
      </c>
      <c r="H32" s="438">
        <v>2825652.3953134934</v>
      </c>
      <c r="I32" s="52">
        <f t="shared" si="9"/>
        <v>0</v>
      </c>
      <c r="J32" s="52"/>
      <c r="K32" s="113">
        <f t="shared" ref="K32" si="15">G32</f>
        <v>2825652.3953134934</v>
      </c>
      <c r="L32" s="54">
        <f t="shared" ref="L32" si="16">IF(K32&lt;&gt;0,+G32-K32,0)</f>
        <v>0</v>
      </c>
      <c r="M32" s="113">
        <f t="shared" ref="M32" si="17">H32</f>
        <v>2825652.3953134934</v>
      </c>
      <c r="N32" s="54">
        <f t="shared" si="10"/>
        <v>0</v>
      </c>
      <c r="O32" s="54">
        <f t="shared" si="11"/>
        <v>0</v>
      </c>
      <c r="P32" s="1"/>
    </row>
    <row r="33" spans="2:16" ht="12.5">
      <c r="B33" s="7" t="str">
        <f t="shared" si="5"/>
        <v/>
      </c>
      <c r="C33" s="50">
        <f>IF(D11="","-",+C32+1)</f>
        <v>2023</v>
      </c>
      <c r="D33" s="431">
        <v>18619530.244358968</v>
      </c>
      <c r="E33" s="430">
        <v>693032.42976190476</v>
      </c>
      <c r="F33" s="431">
        <v>17926497.814597063</v>
      </c>
      <c r="G33" s="430">
        <v>3001403.5988125238</v>
      </c>
      <c r="H33" s="438">
        <v>3001403.5988125238</v>
      </c>
      <c r="I33" s="52">
        <f t="shared" si="9"/>
        <v>0</v>
      </c>
      <c r="J33" s="52"/>
      <c r="K33" s="113">
        <f t="shared" ref="K33" si="18">G33</f>
        <v>3001403.5988125238</v>
      </c>
      <c r="L33" s="54">
        <f t="shared" ref="L33" si="19">IF(K33&lt;&gt;0,+G33-K33,0)</f>
        <v>0</v>
      </c>
      <c r="M33" s="113">
        <f t="shared" ref="M33" si="20">H33</f>
        <v>3001403.5988125238</v>
      </c>
      <c r="N33" s="54">
        <f t="shared" si="10"/>
        <v>0</v>
      </c>
      <c r="O33" s="54">
        <f t="shared" si="11"/>
        <v>0</v>
      </c>
      <c r="P33" s="1"/>
    </row>
    <row r="34" spans="2:16" ht="12.5">
      <c r="B34" s="7" t="str">
        <f t="shared" si="5"/>
        <v/>
      </c>
      <c r="C34" s="50">
        <f>IF(D11="","-",+C33+1)</f>
        <v>2024</v>
      </c>
      <c r="D34" s="431">
        <v>17926497.814597063</v>
      </c>
      <c r="E34" s="430">
        <v>661530.95568181819</v>
      </c>
      <c r="F34" s="431">
        <v>17264966.858915243</v>
      </c>
      <c r="G34" s="430">
        <v>2764698.3712464399</v>
      </c>
      <c r="H34" s="438">
        <v>2764698.3712464399</v>
      </c>
      <c r="I34" s="52">
        <f t="shared" si="9"/>
        <v>0</v>
      </c>
      <c r="J34" s="52"/>
      <c r="K34" s="113">
        <f t="shared" ref="K34" si="21">G34</f>
        <v>2764698.3712464399</v>
      </c>
      <c r="L34" s="54">
        <f t="shared" ref="L34" si="22">IF(K34&lt;&gt;0,+G34-K34,0)</f>
        <v>0</v>
      </c>
      <c r="M34" s="113">
        <f t="shared" ref="M34" si="23">H34</f>
        <v>2764698.3712464399</v>
      </c>
      <c r="N34" s="54">
        <f t="shared" ref="N34" si="24">IF(M34&lt;&gt;0,+H34-M34,0)</f>
        <v>0</v>
      </c>
      <c r="O34" s="54">
        <f t="shared" ref="O34" si="25">+N34-L34</f>
        <v>0</v>
      </c>
      <c r="P34" s="1"/>
    </row>
    <row r="35" spans="2:16" ht="12.5">
      <c r="B35" s="7" t="str">
        <f t="shared" si="5"/>
        <v/>
      </c>
      <c r="C35" s="50">
        <f>IF(D11="","-",+C34+1)</f>
        <v>2025</v>
      </c>
      <c r="D35" s="55">
        <f>IF(F34+SUM(E$17:E34)=D$10,F34,D$10-SUM(E$17:E34))</f>
        <v>17264966.858915243</v>
      </c>
      <c r="E35" s="378">
        <f>IF(+I14&lt;F34,I14,D35)</f>
        <v>661530.95568181819</v>
      </c>
      <c r="F35" s="55">
        <f t="shared" ref="F35:F72" si="26">+D35-E35</f>
        <v>16603435.903233426</v>
      </c>
      <c r="G35" s="379">
        <f t="shared" ref="G35:G72" si="27">+I$12*((D35+F35)/2)+E35</f>
        <v>2685627.4736134391</v>
      </c>
      <c r="H35" s="364">
        <f t="shared" ref="H35:H72" si="28">+I$13*((D35+F35)/2)+E35</f>
        <v>2685627.4736134391</v>
      </c>
      <c r="I35" s="52">
        <f t="shared" si="9"/>
        <v>0</v>
      </c>
      <c r="J35" s="52"/>
      <c r="K35" s="129"/>
      <c r="L35" s="54">
        <f t="shared" ref="L35:L72" si="29">IF(K35&lt;&gt;0,+G35-K35,0)</f>
        <v>0</v>
      </c>
      <c r="M35" s="129"/>
      <c r="N35" s="54">
        <f t="shared" si="10"/>
        <v>0</v>
      </c>
      <c r="O35" s="54">
        <f t="shared" si="11"/>
        <v>0</v>
      </c>
      <c r="P35" s="1"/>
    </row>
    <row r="36" spans="2:16" ht="12.5">
      <c r="B36" s="7" t="str">
        <f t="shared" si="5"/>
        <v/>
      </c>
      <c r="C36" s="50">
        <f>IF(D11="","-",+C35+1)</f>
        <v>2026</v>
      </c>
      <c r="D36" s="55">
        <f>IF(F35+SUM(E$17:E35)=D$10,F35,D$10-SUM(E$17:E35))</f>
        <v>16603435.903233426</v>
      </c>
      <c r="E36" s="378">
        <f>IF(+I14&lt;F35,I14,D36)</f>
        <v>661530.95568181819</v>
      </c>
      <c r="F36" s="55">
        <f t="shared" si="26"/>
        <v>15941904.947551608</v>
      </c>
      <c r="G36" s="379">
        <f t="shared" si="27"/>
        <v>2606556.5759804384</v>
      </c>
      <c r="H36" s="364">
        <f t="shared" si="28"/>
        <v>2606556.5759804384</v>
      </c>
      <c r="I36" s="52">
        <f t="shared" si="9"/>
        <v>0</v>
      </c>
      <c r="J36" s="52"/>
      <c r="K36" s="129"/>
      <c r="L36" s="54">
        <f t="shared" si="29"/>
        <v>0</v>
      </c>
      <c r="M36" s="129"/>
      <c r="N36" s="54">
        <f t="shared" si="10"/>
        <v>0</v>
      </c>
      <c r="O36" s="54">
        <f t="shared" si="11"/>
        <v>0</v>
      </c>
      <c r="P36" s="1"/>
    </row>
    <row r="37" spans="2:16" ht="12.5">
      <c r="B37" s="7" t="str">
        <f t="shared" si="5"/>
        <v/>
      </c>
      <c r="C37" s="50">
        <f>IF(D11="","-",+C36+1)</f>
        <v>2027</v>
      </c>
      <c r="D37" s="55">
        <f>IF(F36+SUM(E$17:E36)=D$10,F36,D$10-SUM(E$17:E36))</f>
        <v>15941904.947551608</v>
      </c>
      <c r="E37" s="378">
        <f>IF(+I14&lt;F36,I14,D37)</f>
        <v>661530.95568181819</v>
      </c>
      <c r="F37" s="55">
        <f t="shared" si="26"/>
        <v>15280373.99186979</v>
      </c>
      <c r="G37" s="379">
        <f t="shared" si="27"/>
        <v>2527485.6783474381</v>
      </c>
      <c r="H37" s="364">
        <f t="shared" si="28"/>
        <v>2527485.6783474381</v>
      </c>
      <c r="I37" s="52">
        <f t="shared" si="9"/>
        <v>0</v>
      </c>
      <c r="J37" s="52"/>
      <c r="K37" s="129"/>
      <c r="L37" s="54">
        <f t="shared" si="29"/>
        <v>0</v>
      </c>
      <c r="M37" s="129"/>
      <c r="N37" s="54">
        <f t="shared" si="10"/>
        <v>0</v>
      </c>
      <c r="O37" s="54">
        <f t="shared" si="11"/>
        <v>0</v>
      </c>
      <c r="P37" s="1"/>
    </row>
    <row r="38" spans="2:16" ht="12.5">
      <c r="B38" s="7" t="str">
        <f t="shared" si="5"/>
        <v/>
      </c>
      <c r="C38" s="50">
        <f>IF(D11="","-",+C37+1)</f>
        <v>2028</v>
      </c>
      <c r="D38" s="55">
        <f>IF(F37+SUM(E$17:E37)=D$10,F37,D$10-SUM(E$17:E37))</f>
        <v>15280373.99186979</v>
      </c>
      <c r="E38" s="378">
        <f>IF(+I14&lt;F37,I14,D38)</f>
        <v>661530.95568181819</v>
      </c>
      <c r="F38" s="55">
        <f t="shared" si="26"/>
        <v>14618843.036187973</v>
      </c>
      <c r="G38" s="379">
        <f t="shared" si="27"/>
        <v>2448414.7807144374</v>
      </c>
      <c r="H38" s="364">
        <f t="shared" si="28"/>
        <v>2448414.7807144374</v>
      </c>
      <c r="I38" s="52">
        <f t="shared" si="9"/>
        <v>0</v>
      </c>
      <c r="J38" s="52"/>
      <c r="K38" s="129"/>
      <c r="L38" s="54">
        <f t="shared" si="29"/>
        <v>0</v>
      </c>
      <c r="M38" s="129"/>
      <c r="N38" s="54">
        <f t="shared" si="10"/>
        <v>0</v>
      </c>
      <c r="O38" s="54">
        <f t="shared" si="11"/>
        <v>0</v>
      </c>
      <c r="P38" s="1"/>
    </row>
    <row r="39" spans="2:16" ht="12.5">
      <c r="B39" s="7" t="str">
        <f t="shared" si="5"/>
        <v/>
      </c>
      <c r="C39" s="50">
        <f>IF(D11="","-",+C38+1)</f>
        <v>2029</v>
      </c>
      <c r="D39" s="55">
        <f>IF(F38+SUM(E$17:E38)=D$10,F38,D$10-SUM(E$17:E38))</f>
        <v>14618843.036187973</v>
      </c>
      <c r="E39" s="378">
        <f>IF(+I14&lt;F38,I14,D39)</f>
        <v>661530.95568181819</v>
      </c>
      <c r="F39" s="55">
        <f t="shared" si="26"/>
        <v>13957312.080506155</v>
      </c>
      <c r="G39" s="379">
        <f t="shared" si="27"/>
        <v>2369343.8830814371</v>
      </c>
      <c r="H39" s="364">
        <f t="shared" si="28"/>
        <v>2369343.8830814371</v>
      </c>
      <c r="I39" s="52">
        <f t="shared" si="9"/>
        <v>0</v>
      </c>
      <c r="J39" s="52"/>
      <c r="K39" s="129"/>
      <c r="L39" s="54">
        <f t="shared" si="29"/>
        <v>0</v>
      </c>
      <c r="M39" s="129"/>
      <c r="N39" s="54">
        <f t="shared" si="10"/>
        <v>0</v>
      </c>
      <c r="O39" s="54">
        <f t="shared" si="11"/>
        <v>0</v>
      </c>
      <c r="P39" s="1"/>
    </row>
    <row r="40" spans="2:16" ht="12.5">
      <c r="B40" s="7" t="str">
        <f t="shared" si="5"/>
        <v/>
      </c>
      <c r="C40" s="50">
        <f>IF(D11="","-",+C39+1)</f>
        <v>2030</v>
      </c>
      <c r="D40" s="55">
        <f>IF(F39+SUM(E$17:E39)=D$10,F39,D$10-SUM(E$17:E39))</f>
        <v>13957312.080506155</v>
      </c>
      <c r="E40" s="378">
        <f>IF(+I14&lt;F39,I14,D40)</f>
        <v>661530.95568181819</v>
      </c>
      <c r="F40" s="55">
        <f t="shared" si="26"/>
        <v>13295781.124824338</v>
      </c>
      <c r="G40" s="379">
        <f t="shared" si="27"/>
        <v>2290272.9854484363</v>
      </c>
      <c r="H40" s="364">
        <f t="shared" si="28"/>
        <v>2290272.9854484363</v>
      </c>
      <c r="I40" s="52">
        <f t="shared" si="9"/>
        <v>0</v>
      </c>
      <c r="J40" s="52"/>
      <c r="K40" s="129"/>
      <c r="L40" s="54">
        <f t="shared" si="29"/>
        <v>0</v>
      </c>
      <c r="M40" s="129"/>
      <c r="N40" s="54">
        <f t="shared" si="10"/>
        <v>0</v>
      </c>
      <c r="O40" s="54">
        <f t="shared" si="11"/>
        <v>0</v>
      </c>
      <c r="P40" s="1"/>
    </row>
    <row r="41" spans="2:16" ht="12.5">
      <c r="B41" s="7" t="str">
        <f t="shared" si="5"/>
        <v/>
      </c>
      <c r="C41" s="50">
        <f>IF(D11="","-",+C40+1)</f>
        <v>2031</v>
      </c>
      <c r="D41" s="55">
        <f>IF(F40+SUM(E$17:E40)=D$10,F40,D$10-SUM(E$17:E40))</f>
        <v>13295781.124824338</v>
      </c>
      <c r="E41" s="378">
        <f>IF(+I14&lt;F40,I14,D41)</f>
        <v>661530.95568181819</v>
      </c>
      <c r="F41" s="55">
        <f t="shared" si="26"/>
        <v>12634250.16914252</v>
      </c>
      <c r="G41" s="379">
        <f t="shared" si="27"/>
        <v>2211202.0878154361</v>
      </c>
      <c r="H41" s="364">
        <f t="shared" si="28"/>
        <v>2211202.0878154361</v>
      </c>
      <c r="I41" s="52">
        <f t="shared" si="9"/>
        <v>0</v>
      </c>
      <c r="J41" s="52"/>
      <c r="K41" s="129"/>
      <c r="L41" s="54">
        <f t="shared" si="29"/>
        <v>0</v>
      </c>
      <c r="M41" s="129"/>
      <c r="N41" s="54">
        <f t="shared" si="10"/>
        <v>0</v>
      </c>
      <c r="O41" s="54">
        <f t="shared" si="11"/>
        <v>0</v>
      </c>
      <c r="P41" s="1"/>
    </row>
    <row r="42" spans="2:16" ht="12.5">
      <c r="B42" s="7" t="str">
        <f t="shared" si="5"/>
        <v/>
      </c>
      <c r="C42" s="50">
        <f>IF(D11="","-",+C41+1)</f>
        <v>2032</v>
      </c>
      <c r="D42" s="55">
        <f>IF(F41+SUM(E$17:E41)=D$10,F41,D$10-SUM(E$17:E41))</f>
        <v>12634250.16914252</v>
      </c>
      <c r="E42" s="378">
        <f>IF(+I14&lt;F41,I14,D42)</f>
        <v>661530.95568181819</v>
      </c>
      <c r="F42" s="55">
        <f t="shared" si="26"/>
        <v>11972719.213460702</v>
      </c>
      <c r="G42" s="379">
        <f t="shared" si="27"/>
        <v>2132131.1901824353</v>
      </c>
      <c r="H42" s="364">
        <f t="shared" si="28"/>
        <v>2132131.1901824353</v>
      </c>
      <c r="I42" s="52">
        <f t="shared" si="9"/>
        <v>0</v>
      </c>
      <c r="J42" s="52"/>
      <c r="K42" s="129"/>
      <c r="L42" s="54">
        <f t="shared" si="29"/>
        <v>0</v>
      </c>
      <c r="M42" s="129"/>
      <c r="N42" s="54">
        <f t="shared" si="10"/>
        <v>0</v>
      </c>
      <c r="O42" s="54">
        <f t="shared" si="11"/>
        <v>0</v>
      </c>
      <c r="P42" s="1"/>
    </row>
    <row r="43" spans="2:16" ht="12.5">
      <c r="B43" s="7" t="str">
        <f t="shared" si="5"/>
        <v/>
      </c>
      <c r="C43" s="50">
        <f>IF(D11="","-",+C42+1)</f>
        <v>2033</v>
      </c>
      <c r="D43" s="55">
        <f>IF(F42+SUM(E$17:E42)=D$10,F42,D$10-SUM(E$17:E42))</f>
        <v>11972719.213460702</v>
      </c>
      <c r="E43" s="378">
        <f>IF(+I14&lt;F42,I14,D43)</f>
        <v>661530.95568181819</v>
      </c>
      <c r="F43" s="55">
        <f t="shared" si="26"/>
        <v>11311188.257778885</v>
      </c>
      <c r="G43" s="379">
        <f t="shared" si="27"/>
        <v>2053060.292549435</v>
      </c>
      <c r="H43" s="364">
        <f t="shared" si="28"/>
        <v>2053060.292549435</v>
      </c>
      <c r="I43" s="52">
        <f t="shared" si="9"/>
        <v>0</v>
      </c>
      <c r="J43" s="52"/>
      <c r="K43" s="129"/>
      <c r="L43" s="54">
        <f t="shared" si="29"/>
        <v>0</v>
      </c>
      <c r="M43" s="129"/>
      <c r="N43" s="54">
        <f t="shared" si="10"/>
        <v>0</v>
      </c>
      <c r="O43" s="54">
        <f t="shared" si="11"/>
        <v>0</v>
      </c>
      <c r="P43" s="1"/>
    </row>
    <row r="44" spans="2:16" ht="12.5">
      <c r="B44" s="7" t="str">
        <f t="shared" si="5"/>
        <v/>
      </c>
      <c r="C44" s="50">
        <f>IF(D11="","-",+C43+1)</f>
        <v>2034</v>
      </c>
      <c r="D44" s="55">
        <f>IF(F43+SUM(E$17:E43)=D$10,F43,D$10-SUM(E$17:E43))</f>
        <v>11311188.257778885</v>
      </c>
      <c r="E44" s="378">
        <f>IF(+I14&lt;F43,I14,D44)</f>
        <v>661530.95568181819</v>
      </c>
      <c r="F44" s="55">
        <f t="shared" si="26"/>
        <v>10649657.302097067</v>
      </c>
      <c r="G44" s="379">
        <f t="shared" si="27"/>
        <v>1973989.3949164343</v>
      </c>
      <c r="H44" s="364">
        <f t="shared" si="28"/>
        <v>1973989.3949164343</v>
      </c>
      <c r="I44" s="52">
        <f t="shared" si="9"/>
        <v>0</v>
      </c>
      <c r="J44" s="52"/>
      <c r="K44" s="129"/>
      <c r="L44" s="54">
        <f t="shared" si="29"/>
        <v>0</v>
      </c>
      <c r="M44" s="129"/>
      <c r="N44" s="54">
        <f t="shared" si="10"/>
        <v>0</v>
      </c>
      <c r="O44" s="54">
        <f t="shared" si="11"/>
        <v>0</v>
      </c>
      <c r="P44" s="1"/>
    </row>
    <row r="45" spans="2:16" ht="12.5">
      <c r="B45" s="7" t="str">
        <f t="shared" si="5"/>
        <v/>
      </c>
      <c r="C45" s="50">
        <f>IF(D11="","-",+C44+1)</f>
        <v>2035</v>
      </c>
      <c r="D45" s="55">
        <f>IF(F44+SUM(E$17:E44)=D$10,F44,D$10-SUM(E$17:E44))</f>
        <v>10649657.302097067</v>
      </c>
      <c r="E45" s="378">
        <f>IF(+I14&lt;F44,I14,D45)</f>
        <v>661530.95568181819</v>
      </c>
      <c r="F45" s="55">
        <f t="shared" si="26"/>
        <v>9988126.3464152496</v>
      </c>
      <c r="G45" s="379">
        <f t="shared" si="27"/>
        <v>1894918.497283434</v>
      </c>
      <c r="H45" s="364">
        <f t="shared" si="28"/>
        <v>1894918.497283434</v>
      </c>
      <c r="I45" s="52">
        <f t="shared" si="9"/>
        <v>0</v>
      </c>
      <c r="J45" s="52"/>
      <c r="K45" s="129"/>
      <c r="L45" s="54">
        <f t="shared" si="29"/>
        <v>0</v>
      </c>
      <c r="M45" s="129"/>
      <c r="N45" s="54">
        <f t="shared" si="10"/>
        <v>0</v>
      </c>
      <c r="O45" s="54">
        <f t="shared" si="11"/>
        <v>0</v>
      </c>
      <c r="P45" s="1"/>
    </row>
    <row r="46" spans="2:16" ht="12.5">
      <c r="B46" s="7" t="str">
        <f t="shared" si="5"/>
        <v/>
      </c>
      <c r="C46" s="50">
        <f>IF(D11="","-",+C45+1)</f>
        <v>2036</v>
      </c>
      <c r="D46" s="55">
        <f>IF(F45+SUM(E$17:E45)=D$10,F45,D$10-SUM(E$17:E45))</f>
        <v>9988126.3464152496</v>
      </c>
      <c r="E46" s="378">
        <f>IF(+I14&lt;F45,I14,D46)</f>
        <v>661530.95568181819</v>
      </c>
      <c r="F46" s="55">
        <f t="shared" si="26"/>
        <v>9326595.390733432</v>
      </c>
      <c r="G46" s="379">
        <f t="shared" si="27"/>
        <v>1815847.5996504333</v>
      </c>
      <c r="H46" s="364">
        <f t="shared" si="28"/>
        <v>1815847.5996504333</v>
      </c>
      <c r="I46" s="52">
        <f t="shared" si="9"/>
        <v>0</v>
      </c>
      <c r="J46" s="52"/>
      <c r="K46" s="129"/>
      <c r="L46" s="54">
        <f t="shared" si="29"/>
        <v>0</v>
      </c>
      <c r="M46" s="129"/>
      <c r="N46" s="54">
        <f t="shared" si="10"/>
        <v>0</v>
      </c>
      <c r="O46" s="54">
        <f t="shared" si="11"/>
        <v>0</v>
      </c>
      <c r="P46" s="1"/>
    </row>
    <row r="47" spans="2:16" ht="12.5">
      <c r="B47" s="7" t="str">
        <f t="shared" si="5"/>
        <v/>
      </c>
      <c r="C47" s="50">
        <f>IF(D11="","-",+C46+1)</f>
        <v>2037</v>
      </c>
      <c r="D47" s="55">
        <f>IF(F46+SUM(E$17:E46)=D$10,F46,D$10-SUM(E$17:E46))</f>
        <v>9326595.390733432</v>
      </c>
      <c r="E47" s="378">
        <f>IF(+I14&lt;F46,I14,D47)</f>
        <v>661530.95568181819</v>
      </c>
      <c r="F47" s="55">
        <f t="shared" si="26"/>
        <v>8665064.4350516144</v>
      </c>
      <c r="G47" s="379">
        <f t="shared" si="27"/>
        <v>1736776.702017433</v>
      </c>
      <c r="H47" s="364">
        <f t="shared" si="28"/>
        <v>1736776.702017433</v>
      </c>
      <c r="I47" s="52">
        <f t="shared" si="9"/>
        <v>0</v>
      </c>
      <c r="J47" s="52"/>
      <c r="K47" s="129"/>
      <c r="L47" s="54">
        <f t="shared" si="29"/>
        <v>0</v>
      </c>
      <c r="M47" s="129"/>
      <c r="N47" s="54">
        <f t="shared" si="10"/>
        <v>0</v>
      </c>
      <c r="O47" s="54">
        <f t="shared" si="11"/>
        <v>0</v>
      </c>
      <c r="P47" s="1"/>
    </row>
    <row r="48" spans="2:16" ht="12.5">
      <c r="B48" s="7" t="str">
        <f t="shared" si="5"/>
        <v/>
      </c>
      <c r="C48" s="50">
        <f>IF(D11="","-",+C47+1)</f>
        <v>2038</v>
      </c>
      <c r="D48" s="55">
        <f>IF(F47+SUM(E$17:E47)=D$10,F47,D$10-SUM(E$17:E47))</f>
        <v>8665064.4350516144</v>
      </c>
      <c r="E48" s="378">
        <f>IF(+I14&lt;F47,I14,D48)</f>
        <v>661530.95568181819</v>
      </c>
      <c r="F48" s="55">
        <f t="shared" si="26"/>
        <v>8003533.4793697959</v>
      </c>
      <c r="G48" s="379">
        <f t="shared" si="27"/>
        <v>1657705.8043844323</v>
      </c>
      <c r="H48" s="364">
        <f t="shared" si="28"/>
        <v>1657705.8043844323</v>
      </c>
      <c r="I48" s="52">
        <f t="shared" si="9"/>
        <v>0</v>
      </c>
      <c r="J48" s="52"/>
      <c r="K48" s="129"/>
      <c r="L48" s="54">
        <f t="shared" si="29"/>
        <v>0</v>
      </c>
      <c r="M48" s="129"/>
      <c r="N48" s="54">
        <f t="shared" si="10"/>
        <v>0</v>
      </c>
      <c r="O48" s="54">
        <f t="shared" si="11"/>
        <v>0</v>
      </c>
      <c r="P48" s="1"/>
    </row>
    <row r="49" spans="2:16" ht="12.5">
      <c r="B49" s="7" t="str">
        <f t="shared" si="5"/>
        <v/>
      </c>
      <c r="C49" s="50">
        <f>IF(D11="","-",+C48+1)</f>
        <v>2039</v>
      </c>
      <c r="D49" s="55">
        <f>IF(F48+SUM(E$17:E48)=D$10,F48,D$10-SUM(E$17:E48))</f>
        <v>8003533.4793697959</v>
      </c>
      <c r="E49" s="378">
        <f>IF(+I14&lt;F48,I14,D49)</f>
        <v>661530.95568181819</v>
      </c>
      <c r="F49" s="55">
        <f t="shared" si="26"/>
        <v>7342002.5236879773</v>
      </c>
      <c r="G49" s="379">
        <f t="shared" si="27"/>
        <v>1578634.906751432</v>
      </c>
      <c r="H49" s="364">
        <f t="shared" si="28"/>
        <v>1578634.906751432</v>
      </c>
      <c r="I49" s="52">
        <f t="shared" si="9"/>
        <v>0</v>
      </c>
      <c r="J49" s="52"/>
      <c r="K49" s="129"/>
      <c r="L49" s="54">
        <f t="shared" si="29"/>
        <v>0</v>
      </c>
      <c r="M49" s="129"/>
      <c r="N49" s="54">
        <f t="shared" si="10"/>
        <v>0</v>
      </c>
      <c r="O49" s="54">
        <f t="shared" si="11"/>
        <v>0</v>
      </c>
      <c r="P49" s="1"/>
    </row>
    <row r="50" spans="2:16" ht="12.5">
      <c r="B50" s="7" t="str">
        <f t="shared" si="5"/>
        <v/>
      </c>
      <c r="C50" s="50">
        <f>IF(D11="","-",+C49+1)</f>
        <v>2040</v>
      </c>
      <c r="D50" s="55">
        <f>IF(F49+SUM(E$17:E49)=D$10,F49,D$10-SUM(E$17:E49))</f>
        <v>7342002.5236879773</v>
      </c>
      <c r="E50" s="378">
        <f>IF(+I14&lt;F49,I14,D50)</f>
        <v>661530.95568181819</v>
      </c>
      <c r="F50" s="55">
        <f t="shared" si="26"/>
        <v>6680471.5680061588</v>
      </c>
      <c r="G50" s="379">
        <f t="shared" si="27"/>
        <v>1499564.0091184312</v>
      </c>
      <c r="H50" s="364">
        <f t="shared" si="28"/>
        <v>1499564.0091184312</v>
      </c>
      <c r="I50" s="52">
        <f t="shared" si="9"/>
        <v>0</v>
      </c>
      <c r="J50" s="52"/>
      <c r="K50" s="129"/>
      <c r="L50" s="54">
        <f t="shared" si="29"/>
        <v>0</v>
      </c>
      <c r="M50" s="129"/>
      <c r="N50" s="54">
        <f t="shared" si="10"/>
        <v>0</v>
      </c>
      <c r="O50" s="54">
        <f t="shared" si="11"/>
        <v>0</v>
      </c>
      <c r="P50" s="1"/>
    </row>
    <row r="51" spans="2:16" ht="12.5">
      <c r="B51" s="7" t="str">
        <f t="shared" si="5"/>
        <v/>
      </c>
      <c r="C51" s="50">
        <f>IF(D11="","-",+C50+1)</f>
        <v>2041</v>
      </c>
      <c r="D51" s="55">
        <f>IF(F50+SUM(E$17:E50)=D$10,F50,D$10-SUM(E$17:E50))</f>
        <v>6680471.5680061588</v>
      </c>
      <c r="E51" s="378">
        <f>IF(+I14&lt;F50,I14,D51)</f>
        <v>661530.95568181819</v>
      </c>
      <c r="F51" s="55">
        <f t="shared" si="26"/>
        <v>6018940.6123243403</v>
      </c>
      <c r="G51" s="379">
        <f t="shared" si="27"/>
        <v>1420493.1114854307</v>
      </c>
      <c r="H51" s="364">
        <f t="shared" si="28"/>
        <v>1420493.1114854307</v>
      </c>
      <c r="I51" s="52">
        <f t="shared" si="9"/>
        <v>0</v>
      </c>
      <c r="J51" s="52"/>
      <c r="K51" s="129"/>
      <c r="L51" s="54">
        <f t="shared" si="29"/>
        <v>0</v>
      </c>
      <c r="M51" s="129"/>
      <c r="N51" s="54">
        <f t="shared" si="10"/>
        <v>0</v>
      </c>
      <c r="O51" s="54">
        <f t="shared" si="11"/>
        <v>0</v>
      </c>
      <c r="P51" s="1"/>
    </row>
    <row r="52" spans="2:16" ht="12.5">
      <c r="B52" s="7" t="str">
        <f t="shared" si="5"/>
        <v/>
      </c>
      <c r="C52" s="50">
        <f>IF(D11="","-",+C51+1)</f>
        <v>2042</v>
      </c>
      <c r="D52" s="55">
        <f>IF(F51+SUM(E$17:E51)=D$10,F51,D$10-SUM(E$17:E51))</f>
        <v>6018940.6123243403</v>
      </c>
      <c r="E52" s="378">
        <f>IF(+I14&lt;F51,I14,D52)</f>
        <v>661530.95568181819</v>
      </c>
      <c r="F52" s="55">
        <f t="shared" si="26"/>
        <v>5357409.6566425217</v>
      </c>
      <c r="G52" s="379">
        <f t="shared" si="27"/>
        <v>1341422.21385243</v>
      </c>
      <c r="H52" s="364">
        <f t="shared" si="28"/>
        <v>1341422.21385243</v>
      </c>
      <c r="I52" s="52">
        <f t="shared" si="9"/>
        <v>0</v>
      </c>
      <c r="J52" s="52"/>
      <c r="K52" s="129"/>
      <c r="L52" s="54">
        <f t="shared" si="29"/>
        <v>0</v>
      </c>
      <c r="M52" s="129"/>
      <c r="N52" s="54">
        <f t="shared" si="10"/>
        <v>0</v>
      </c>
      <c r="O52" s="54">
        <f t="shared" si="11"/>
        <v>0</v>
      </c>
      <c r="P52" s="1"/>
    </row>
    <row r="53" spans="2:16" ht="12.5">
      <c r="B53" s="7" t="str">
        <f t="shared" si="5"/>
        <v/>
      </c>
      <c r="C53" s="50">
        <f>IF(D11="","-",+C52+1)</f>
        <v>2043</v>
      </c>
      <c r="D53" s="55">
        <f>IF(F52+SUM(E$17:E52)=D$10,F52,D$10-SUM(E$17:E52))</f>
        <v>5357409.6566425217</v>
      </c>
      <c r="E53" s="378">
        <f>IF(+I14&lt;F52,I14,D53)</f>
        <v>661530.95568181819</v>
      </c>
      <c r="F53" s="55">
        <f t="shared" si="26"/>
        <v>4695878.7009607032</v>
      </c>
      <c r="G53" s="379">
        <f t="shared" si="27"/>
        <v>1262351.3162194295</v>
      </c>
      <c r="H53" s="364">
        <f t="shared" si="28"/>
        <v>1262351.3162194295</v>
      </c>
      <c r="I53" s="52">
        <f t="shared" si="9"/>
        <v>0</v>
      </c>
      <c r="J53" s="52"/>
      <c r="K53" s="129"/>
      <c r="L53" s="54">
        <f t="shared" si="29"/>
        <v>0</v>
      </c>
      <c r="M53" s="129"/>
      <c r="N53" s="54">
        <f t="shared" si="10"/>
        <v>0</v>
      </c>
      <c r="O53" s="54">
        <f t="shared" si="11"/>
        <v>0</v>
      </c>
      <c r="P53" s="1"/>
    </row>
    <row r="54" spans="2:16" ht="12.5">
      <c r="B54" s="7" t="str">
        <f t="shared" si="5"/>
        <v/>
      </c>
      <c r="C54" s="50">
        <f>IF(D11="","-",+C53+1)</f>
        <v>2044</v>
      </c>
      <c r="D54" s="55">
        <f>IF(F53+SUM(E$17:E53)=D$10,F53,D$10-SUM(E$17:E53))</f>
        <v>4695878.7009607032</v>
      </c>
      <c r="E54" s="378">
        <f>IF(+I14&lt;F53,I14,D54)</f>
        <v>661530.95568181819</v>
      </c>
      <c r="F54" s="55">
        <f t="shared" si="26"/>
        <v>4034347.7452788851</v>
      </c>
      <c r="G54" s="379">
        <f t="shared" si="27"/>
        <v>1183280.4185864287</v>
      </c>
      <c r="H54" s="364">
        <f t="shared" si="28"/>
        <v>1183280.4185864287</v>
      </c>
      <c r="I54" s="52">
        <f t="shared" si="9"/>
        <v>0</v>
      </c>
      <c r="J54" s="52"/>
      <c r="K54" s="129"/>
      <c r="L54" s="54">
        <f t="shared" si="29"/>
        <v>0</v>
      </c>
      <c r="M54" s="129"/>
      <c r="N54" s="54">
        <f t="shared" si="10"/>
        <v>0</v>
      </c>
      <c r="O54" s="54">
        <f t="shared" si="11"/>
        <v>0</v>
      </c>
      <c r="P54" s="1"/>
    </row>
    <row r="55" spans="2:16" ht="12.5">
      <c r="B55" s="7" t="str">
        <f t="shared" si="5"/>
        <v/>
      </c>
      <c r="C55" s="50">
        <f>IF(D11="","-",+C54+1)</f>
        <v>2045</v>
      </c>
      <c r="D55" s="55">
        <f>IF(F54+SUM(E$17:E54)=D$10,F54,D$10-SUM(E$17:E54))</f>
        <v>4034347.7452788851</v>
      </c>
      <c r="E55" s="378">
        <f>IF(+I14&lt;F54,I14,D55)</f>
        <v>661530.95568181819</v>
      </c>
      <c r="F55" s="55">
        <f t="shared" si="26"/>
        <v>3372816.7895970671</v>
      </c>
      <c r="G55" s="379">
        <f t="shared" si="27"/>
        <v>1104209.5209534282</v>
      </c>
      <c r="H55" s="364">
        <f t="shared" si="28"/>
        <v>1104209.5209534282</v>
      </c>
      <c r="I55" s="52">
        <f t="shared" si="9"/>
        <v>0</v>
      </c>
      <c r="J55" s="52"/>
      <c r="K55" s="129"/>
      <c r="L55" s="54">
        <f t="shared" si="29"/>
        <v>0</v>
      </c>
      <c r="M55" s="129"/>
      <c r="N55" s="54">
        <f t="shared" si="10"/>
        <v>0</v>
      </c>
      <c r="O55" s="54">
        <f t="shared" si="11"/>
        <v>0</v>
      </c>
      <c r="P55" s="1"/>
    </row>
    <row r="56" spans="2:16" ht="12.5">
      <c r="B56" s="7" t="str">
        <f t="shared" si="5"/>
        <v/>
      </c>
      <c r="C56" s="50">
        <f>IF(D11="","-",+C55+1)</f>
        <v>2046</v>
      </c>
      <c r="D56" s="55">
        <f>IF(F55+SUM(E$17:E55)=D$10,F55,D$10-SUM(E$17:E55))</f>
        <v>3372816.7895970671</v>
      </c>
      <c r="E56" s="378">
        <f>IF(+I14&lt;F55,I14,D56)</f>
        <v>661530.95568181819</v>
      </c>
      <c r="F56" s="55">
        <f t="shared" si="26"/>
        <v>2711285.833915249</v>
      </c>
      <c r="G56" s="379">
        <f t="shared" si="27"/>
        <v>1025138.6233204277</v>
      </c>
      <c r="H56" s="364">
        <f t="shared" si="28"/>
        <v>1025138.6233204277</v>
      </c>
      <c r="I56" s="52">
        <f t="shared" si="9"/>
        <v>0</v>
      </c>
      <c r="J56" s="52"/>
      <c r="K56" s="129"/>
      <c r="L56" s="54">
        <f t="shared" si="29"/>
        <v>0</v>
      </c>
      <c r="M56" s="129"/>
      <c r="N56" s="54">
        <f t="shared" si="10"/>
        <v>0</v>
      </c>
      <c r="O56" s="54">
        <f t="shared" si="11"/>
        <v>0</v>
      </c>
      <c r="P56" s="1"/>
    </row>
    <row r="57" spans="2:16" ht="12.5">
      <c r="B57" s="7" t="str">
        <f t="shared" si="5"/>
        <v/>
      </c>
      <c r="C57" s="50">
        <f>IF(D11="","-",+C56+1)</f>
        <v>2047</v>
      </c>
      <c r="D57" s="55">
        <f>IF(F56+SUM(E$17:E56)=D$10,F56,D$10-SUM(E$17:E56))</f>
        <v>2711285.833915249</v>
      </c>
      <c r="E57" s="378">
        <f>IF(+I14&lt;F56,I14,D57)</f>
        <v>661530.95568181819</v>
      </c>
      <c r="F57" s="55">
        <f t="shared" si="26"/>
        <v>2049754.8782334309</v>
      </c>
      <c r="G57" s="379">
        <f t="shared" si="27"/>
        <v>946067.72568742721</v>
      </c>
      <c r="H57" s="364">
        <f t="shared" si="28"/>
        <v>946067.72568742721</v>
      </c>
      <c r="I57" s="52">
        <f t="shared" si="9"/>
        <v>0</v>
      </c>
      <c r="J57" s="52"/>
      <c r="K57" s="129"/>
      <c r="L57" s="54">
        <f t="shared" si="29"/>
        <v>0</v>
      </c>
      <c r="M57" s="129"/>
      <c r="N57" s="54">
        <f t="shared" si="10"/>
        <v>0</v>
      </c>
      <c r="O57" s="54">
        <f t="shared" si="11"/>
        <v>0</v>
      </c>
      <c r="P57" s="1"/>
    </row>
    <row r="58" spans="2:16" ht="12.5">
      <c r="B58" s="7" t="str">
        <f t="shared" si="5"/>
        <v/>
      </c>
      <c r="C58" s="50">
        <f>IF(D11="","-",+C57+1)</f>
        <v>2048</v>
      </c>
      <c r="D58" s="55">
        <f>IF(F57+SUM(E$17:E57)=D$10,F57,D$10-SUM(E$17:E57))</f>
        <v>2049754.8782334309</v>
      </c>
      <c r="E58" s="378">
        <f>IF(+I14&lt;F57,I14,D58)</f>
        <v>661530.95568181819</v>
      </c>
      <c r="F58" s="55">
        <f t="shared" si="26"/>
        <v>1388223.9225516128</v>
      </c>
      <c r="G58" s="379">
        <f t="shared" si="27"/>
        <v>866996.82805442659</v>
      </c>
      <c r="H58" s="364">
        <f t="shared" si="28"/>
        <v>866996.82805442659</v>
      </c>
      <c r="I58" s="52">
        <f t="shared" si="9"/>
        <v>0</v>
      </c>
      <c r="J58" s="52"/>
      <c r="K58" s="129"/>
      <c r="L58" s="54">
        <f t="shared" si="29"/>
        <v>0</v>
      </c>
      <c r="M58" s="129"/>
      <c r="N58" s="54">
        <f t="shared" si="10"/>
        <v>0</v>
      </c>
      <c r="O58" s="54">
        <f t="shared" si="11"/>
        <v>0</v>
      </c>
      <c r="P58" s="1"/>
    </row>
    <row r="59" spans="2:16" ht="12.5">
      <c r="B59" s="7" t="str">
        <f t="shared" si="5"/>
        <v/>
      </c>
      <c r="C59" s="50">
        <f>IF(D11="","-",+C58+1)</f>
        <v>2049</v>
      </c>
      <c r="D59" s="55">
        <f>IF(F58+SUM(E$17:E58)=D$10,F58,D$10-SUM(E$17:E58))</f>
        <v>1388223.9225516128</v>
      </c>
      <c r="E59" s="378">
        <f>IF(+I14&lt;F58,I14,D59)</f>
        <v>661530.95568181819</v>
      </c>
      <c r="F59" s="55">
        <f t="shared" si="26"/>
        <v>726692.96686979465</v>
      </c>
      <c r="G59" s="379">
        <f t="shared" si="27"/>
        <v>787925.93042142608</v>
      </c>
      <c r="H59" s="364">
        <f t="shared" si="28"/>
        <v>787925.93042142608</v>
      </c>
      <c r="I59" s="52">
        <f t="shared" si="9"/>
        <v>0</v>
      </c>
      <c r="J59" s="52"/>
      <c r="K59" s="129"/>
      <c r="L59" s="54">
        <f t="shared" si="29"/>
        <v>0</v>
      </c>
      <c r="M59" s="129"/>
      <c r="N59" s="54">
        <f t="shared" si="10"/>
        <v>0</v>
      </c>
      <c r="O59" s="54">
        <f t="shared" si="11"/>
        <v>0</v>
      </c>
      <c r="P59" s="1"/>
    </row>
    <row r="60" spans="2:16" ht="12.5">
      <c r="B60" s="7" t="str">
        <f t="shared" si="5"/>
        <v/>
      </c>
      <c r="C60" s="50">
        <f>IF(D11="","-",+C59+1)</f>
        <v>2050</v>
      </c>
      <c r="D60" s="55">
        <f>IF(F59+SUM(E$17:E59)=D$10,F59,D$10-SUM(E$17:E59))</f>
        <v>726692.96686979465</v>
      </c>
      <c r="E60" s="378">
        <f>IF(+I14&lt;F59,I14,D60)</f>
        <v>661530.95568181819</v>
      </c>
      <c r="F60" s="55">
        <f t="shared" si="26"/>
        <v>65162.011187976459</v>
      </c>
      <c r="G60" s="379">
        <f t="shared" si="27"/>
        <v>708855.03278842545</v>
      </c>
      <c r="H60" s="364">
        <f t="shared" si="28"/>
        <v>708855.03278842545</v>
      </c>
      <c r="I60" s="52">
        <f t="shared" si="9"/>
        <v>0</v>
      </c>
      <c r="J60" s="52"/>
      <c r="K60" s="129"/>
      <c r="L60" s="54">
        <f t="shared" si="29"/>
        <v>0</v>
      </c>
      <c r="M60" s="129"/>
      <c r="N60" s="54">
        <f t="shared" si="10"/>
        <v>0</v>
      </c>
      <c r="O60" s="54">
        <f t="shared" si="11"/>
        <v>0</v>
      </c>
      <c r="P60" s="1"/>
    </row>
    <row r="61" spans="2:16" ht="12.5">
      <c r="B61" s="7" t="str">
        <f t="shared" si="5"/>
        <v/>
      </c>
      <c r="C61" s="50">
        <f>IF(D11="","-",+C60+1)</f>
        <v>2051</v>
      </c>
      <c r="D61" s="55">
        <f>IF(F60+SUM(E$17:E60)=D$10,F60,D$10-SUM(E$17:E60))</f>
        <v>65162.011187976459</v>
      </c>
      <c r="E61" s="378">
        <f>IF(+I14&lt;F60,I14,D61)</f>
        <v>65162.011187976459</v>
      </c>
      <c r="F61" s="55">
        <f t="shared" si="26"/>
        <v>0</v>
      </c>
      <c r="G61" s="379">
        <f t="shared" si="27"/>
        <v>69056.325333029949</v>
      </c>
      <c r="H61" s="364">
        <f t="shared" si="28"/>
        <v>69056.325333029949</v>
      </c>
      <c r="I61" s="52">
        <f t="shared" si="9"/>
        <v>0</v>
      </c>
      <c r="J61" s="52"/>
      <c r="K61" s="129"/>
      <c r="L61" s="54">
        <f t="shared" si="29"/>
        <v>0</v>
      </c>
      <c r="M61" s="129"/>
      <c r="N61" s="54">
        <f t="shared" si="10"/>
        <v>0</v>
      </c>
      <c r="O61" s="54">
        <f t="shared" si="11"/>
        <v>0</v>
      </c>
      <c r="P61" s="1"/>
    </row>
    <row r="62" spans="2:16" ht="12.5">
      <c r="B62" s="7" t="str">
        <f t="shared" si="5"/>
        <v/>
      </c>
      <c r="C62" s="50">
        <f>IF(D11="","-",+C61+1)</f>
        <v>2052</v>
      </c>
      <c r="D62" s="55">
        <f>IF(F61+SUM(E$17:E61)=D$10,F61,D$10-SUM(E$17:E61))</f>
        <v>0</v>
      </c>
      <c r="E62" s="378">
        <f>IF(+I14&lt;F61,I14,D62)</f>
        <v>0</v>
      </c>
      <c r="F62" s="55">
        <f t="shared" si="26"/>
        <v>0</v>
      </c>
      <c r="G62" s="379">
        <f t="shared" si="27"/>
        <v>0</v>
      </c>
      <c r="H62" s="364">
        <f t="shared" si="28"/>
        <v>0</v>
      </c>
      <c r="I62" s="52">
        <f t="shared" si="9"/>
        <v>0</v>
      </c>
      <c r="J62" s="52"/>
      <c r="K62" s="129"/>
      <c r="L62" s="54">
        <f t="shared" si="29"/>
        <v>0</v>
      </c>
      <c r="M62" s="129"/>
      <c r="N62" s="54">
        <f t="shared" si="10"/>
        <v>0</v>
      </c>
      <c r="O62" s="54">
        <f t="shared" si="11"/>
        <v>0</v>
      </c>
      <c r="P62" s="1"/>
    </row>
    <row r="63" spans="2:16" ht="12.5">
      <c r="B63" s="7" t="str">
        <f t="shared" si="5"/>
        <v/>
      </c>
      <c r="C63" s="50">
        <f>IF(D11="","-",+C62+1)</f>
        <v>2053</v>
      </c>
      <c r="D63" s="55">
        <f>IF(F62+SUM(E$17:E62)=D$10,F62,D$10-SUM(E$17:E62))</f>
        <v>0</v>
      </c>
      <c r="E63" s="378">
        <f>IF(+I14&lt;F62,I14,D63)</f>
        <v>0</v>
      </c>
      <c r="F63" s="55">
        <f t="shared" si="26"/>
        <v>0</v>
      </c>
      <c r="G63" s="379">
        <f t="shared" si="27"/>
        <v>0</v>
      </c>
      <c r="H63" s="364">
        <f t="shared" si="28"/>
        <v>0</v>
      </c>
      <c r="I63" s="52">
        <f t="shared" si="9"/>
        <v>0</v>
      </c>
      <c r="J63" s="52"/>
      <c r="K63" s="129"/>
      <c r="L63" s="54">
        <f t="shared" si="29"/>
        <v>0</v>
      </c>
      <c r="M63" s="129"/>
      <c r="N63" s="54">
        <f t="shared" si="10"/>
        <v>0</v>
      </c>
      <c r="O63" s="54">
        <f t="shared" si="11"/>
        <v>0</v>
      </c>
      <c r="P63" s="1"/>
    </row>
    <row r="64" spans="2:16" ht="12.5">
      <c r="B64" s="7" t="str">
        <f t="shared" si="5"/>
        <v/>
      </c>
      <c r="C64" s="50">
        <f>IF(D11="","-",+C63+1)</f>
        <v>2054</v>
      </c>
      <c r="D64" s="55">
        <f>IF(F63+SUM(E$17:E63)=D$10,F63,D$10-SUM(E$17:E63))</f>
        <v>0</v>
      </c>
      <c r="E64" s="378">
        <f>IF(+I14&lt;F63,I14,D64)</f>
        <v>0</v>
      </c>
      <c r="F64" s="55">
        <f t="shared" si="26"/>
        <v>0</v>
      </c>
      <c r="G64" s="379">
        <f t="shared" si="27"/>
        <v>0</v>
      </c>
      <c r="H64" s="364">
        <f t="shared" si="28"/>
        <v>0</v>
      </c>
      <c r="I64" s="52">
        <f t="shared" si="9"/>
        <v>0</v>
      </c>
      <c r="J64" s="52"/>
      <c r="K64" s="129"/>
      <c r="L64" s="54">
        <f t="shared" si="29"/>
        <v>0</v>
      </c>
      <c r="M64" s="129"/>
      <c r="N64" s="54">
        <f t="shared" si="10"/>
        <v>0</v>
      </c>
      <c r="O64" s="54">
        <f t="shared" si="11"/>
        <v>0</v>
      </c>
      <c r="P64" s="1"/>
    </row>
    <row r="65" spans="2:16" ht="12.5">
      <c r="B65" s="7" t="str">
        <f t="shared" si="5"/>
        <v/>
      </c>
      <c r="C65" s="50">
        <f>IF(D11="","-",+C64+1)</f>
        <v>2055</v>
      </c>
      <c r="D65" s="55">
        <f>IF(F64+SUM(E$17:E64)=D$10,F64,D$10-SUM(E$17:E64))</f>
        <v>0</v>
      </c>
      <c r="E65" s="378">
        <f>IF(+I14&lt;F64,I14,D65)</f>
        <v>0</v>
      </c>
      <c r="F65" s="55">
        <f t="shared" si="26"/>
        <v>0</v>
      </c>
      <c r="G65" s="379">
        <f t="shared" si="27"/>
        <v>0</v>
      </c>
      <c r="H65" s="364">
        <f t="shared" si="28"/>
        <v>0</v>
      </c>
      <c r="I65" s="52">
        <f t="shared" si="9"/>
        <v>0</v>
      </c>
      <c r="J65" s="52"/>
      <c r="K65" s="129"/>
      <c r="L65" s="54">
        <f t="shared" si="29"/>
        <v>0</v>
      </c>
      <c r="M65" s="129"/>
      <c r="N65" s="54">
        <f t="shared" si="10"/>
        <v>0</v>
      </c>
      <c r="O65" s="54">
        <f t="shared" si="11"/>
        <v>0</v>
      </c>
      <c r="P65" s="1"/>
    </row>
    <row r="66" spans="2:16" ht="12.5">
      <c r="B66" s="7" t="str">
        <f t="shared" si="5"/>
        <v/>
      </c>
      <c r="C66" s="50">
        <f>IF(D11="","-",+C65+1)</f>
        <v>2056</v>
      </c>
      <c r="D66" s="55">
        <f>IF(F65+SUM(E$17:E65)=D$10,F65,D$10-SUM(E$17:E65))</f>
        <v>0</v>
      </c>
      <c r="E66" s="378">
        <f>IF(+I14&lt;F65,I14,D66)</f>
        <v>0</v>
      </c>
      <c r="F66" s="55">
        <f t="shared" si="26"/>
        <v>0</v>
      </c>
      <c r="G66" s="379">
        <f t="shared" si="27"/>
        <v>0</v>
      </c>
      <c r="H66" s="364">
        <f t="shared" si="28"/>
        <v>0</v>
      </c>
      <c r="I66" s="52">
        <f t="shared" si="9"/>
        <v>0</v>
      </c>
      <c r="J66" s="52"/>
      <c r="K66" s="129"/>
      <c r="L66" s="54">
        <f t="shared" si="29"/>
        <v>0</v>
      </c>
      <c r="M66" s="129"/>
      <c r="N66" s="54">
        <f t="shared" si="10"/>
        <v>0</v>
      </c>
      <c r="O66" s="54">
        <f t="shared" si="11"/>
        <v>0</v>
      </c>
      <c r="P66" s="1"/>
    </row>
    <row r="67" spans="2:16" ht="12.5">
      <c r="B67" s="7" t="str">
        <f t="shared" si="5"/>
        <v/>
      </c>
      <c r="C67" s="50">
        <f>IF(D11="","-",+C66+1)</f>
        <v>2057</v>
      </c>
      <c r="D67" s="55">
        <f>IF(F66+SUM(E$17:E66)=D$10,F66,D$10-SUM(E$17:E66))</f>
        <v>0</v>
      </c>
      <c r="E67" s="378">
        <f>IF(+I14&lt;F66,I14,D67)</f>
        <v>0</v>
      </c>
      <c r="F67" s="55">
        <f t="shared" si="26"/>
        <v>0</v>
      </c>
      <c r="G67" s="379">
        <f t="shared" si="27"/>
        <v>0</v>
      </c>
      <c r="H67" s="364">
        <f t="shared" si="28"/>
        <v>0</v>
      </c>
      <c r="I67" s="52">
        <f t="shared" si="9"/>
        <v>0</v>
      </c>
      <c r="J67" s="52"/>
      <c r="K67" s="129"/>
      <c r="L67" s="54">
        <f t="shared" si="29"/>
        <v>0</v>
      </c>
      <c r="M67" s="129"/>
      <c r="N67" s="54">
        <f t="shared" si="10"/>
        <v>0</v>
      </c>
      <c r="O67" s="54">
        <f t="shared" si="11"/>
        <v>0</v>
      </c>
      <c r="P67" s="1"/>
    </row>
    <row r="68" spans="2:16" ht="12.5">
      <c r="B68" s="7" t="str">
        <f t="shared" si="5"/>
        <v/>
      </c>
      <c r="C68" s="50">
        <f>IF(D11="","-",+C67+1)</f>
        <v>2058</v>
      </c>
      <c r="D68" s="55">
        <f>IF(F67+SUM(E$17:E67)=D$10,F67,D$10-SUM(E$17:E67))</f>
        <v>0</v>
      </c>
      <c r="E68" s="378">
        <f>IF(+I14&lt;F67,I14,D68)</f>
        <v>0</v>
      </c>
      <c r="F68" s="55">
        <f t="shared" si="26"/>
        <v>0</v>
      </c>
      <c r="G68" s="379">
        <f t="shared" si="27"/>
        <v>0</v>
      </c>
      <c r="H68" s="364">
        <f t="shared" si="28"/>
        <v>0</v>
      </c>
      <c r="I68" s="52">
        <f t="shared" si="9"/>
        <v>0</v>
      </c>
      <c r="J68" s="52"/>
      <c r="K68" s="129"/>
      <c r="L68" s="54">
        <f t="shared" si="29"/>
        <v>0</v>
      </c>
      <c r="M68" s="129"/>
      <c r="N68" s="54">
        <f t="shared" si="10"/>
        <v>0</v>
      </c>
      <c r="O68" s="54">
        <f t="shared" si="11"/>
        <v>0</v>
      </c>
      <c r="P68" s="1"/>
    </row>
    <row r="69" spans="2:16" ht="12.5">
      <c r="B69" s="7" t="str">
        <f t="shared" si="5"/>
        <v/>
      </c>
      <c r="C69" s="50">
        <f>IF(D11="","-",+C68+1)</f>
        <v>2059</v>
      </c>
      <c r="D69" s="55">
        <f>IF(F68+SUM(E$17:E68)=D$10,F68,D$10-SUM(E$17:E68))</f>
        <v>0</v>
      </c>
      <c r="E69" s="378">
        <f>IF(+I14&lt;F68,I14,D69)</f>
        <v>0</v>
      </c>
      <c r="F69" s="55">
        <f t="shared" si="26"/>
        <v>0</v>
      </c>
      <c r="G69" s="379">
        <f t="shared" si="27"/>
        <v>0</v>
      </c>
      <c r="H69" s="364">
        <f t="shared" si="28"/>
        <v>0</v>
      </c>
      <c r="I69" s="52">
        <f t="shared" si="9"/>
        <v>0</v>
      </c>
      <c r="J69" s="52"/>
      <c r="K69" s="129"/>
      <c r="L69" s="54">
        <f t="shared" si="29"/>
        <v>0</v>
      </c>
      <c r="M69" s="129"/>
      <c r="N69" s="54">
        <f t="shared" si="10"/>
        <v>0</v>
      </c>
      <c r="O69" s="54">
        <f t="shared" si="11"/>
        <v>0</v>
      </c>
      <c r="P69" s="1"/>
    </row>
    <row r="70" spans="2:16" ht="12.5">
      <c r="B70" s="7" t="str">
        <f t="shared" si="5"/>
        <v/>
      </c>
      <c r="C70" s="50">
        <f>IF(D11="","-",+C69+1)</f>
        <v>2060</v>
      </c>
      <c r="D70" s="55">
        <f>IF(F69+SUM(E$17:E69)=D$10,F69,D$10-SUM(E$17:E69))</f>
        <v>0</v>
      </c>
      <c r="E70" s="378">
        <f>IF(+I14&lt;F69,I14,D70)</f>
        <v>0</v>
      </c>
      <c r="F70" s="55">
        <f t="shared" si="26"/>
        <v>0</v>
      </c>
      <c r="G70" s="379">
        <f t="shared" si="27"/>
        <v>0</v>
      </c>
      <c r="H70" s="364">
        <f t="shared" si="28"/>
        <v>0</v>
      </c>
      <c r="I70" s="52">
        <f t="shared" si="9"/>
        <v>0</v>
      </c>
      <c r="J70" s="52"/>
      <c r="K70" s="129"/>
      <c r="L70" s="54">
        <f t="shared" si="29"/>
        <v>0</v>
      </c>
      <c r="M70" s="129"/>
      <c r="N70" s="54">
        <f t="shared" si="10"/>
        <v>0</v>
      </c>
      <c r="O70" s="54">
        <f t="shared" si="11"/>
        <v>0</v>
      </c>
      <c r="P70" s="1"/>
    </row>
    <row r="71" spans="2:16" ht="12.5">
      <c r="B71" s="7" t="str">
        <f t="shared" si="5"/>
        <v/>
      </c>
      <c r="C71" s="50">
        <f>IF(D11="","-",+C70+1)</f>
        <v>2061</v>
      </c>
      <c r="D71" s="55">
        <f>IF(F70+SUM(E$17:E70)=D$10,F70,D$10-SUM(E$17:E70))</f>
        <v>0</v>
      </c>
      <c r="E71" s="378">
        <f>IF(+I14&lt;F70,I14,D71)</f>
        <v>0</v>
      </c>
      <c r="F71" s="55">
        <f t="shared" si="26"/>
        <v>0</v>
      </c>
      <c r="G71" s="379">
        <f t="shared" si="27"/>
        <v>0</v>
      </c>
      <c r="H71" s="364">
        <f t="shared" si="28"/>
        <v>0</v>
      </c>
      <c r="I71" s="52">
        <f t="shared" si="9"/>
        <v>0</v>
      </c>
      <c r="J71" s="52"/>
      <c r="K71" s="129"/>
      <c r="L71" s="54">
        <f t="shared" si="29"/>
        <v>0</v>
      </c>
      <c r="M71" s="129"/>
      <c r="N71" s="54">
        <f t="shared" si="10"/>
        <v>0</v>
      </c>
      <c r="O71" s="54">
        <f t="shared" si="11"/>
        <v>0</v>
      </c>
      <c r="P71" s="1"/>
    </row>
    <row r="72" spans="2:16" ht="13" thickBot="1">
      <c r="B72" s="7" t="str">
        <f t="shared" si="5"/>
        <v/>
      </c>
      <c r="C72" s="59">
        <f>IF(D11="","-",+C71+1)</f>
        <v>2062</v>
      </c>
      <c r="D72" s="60">
        <f>IF(F71+SUM(E$17:E71)=D$10,F71,D$10-SUM(E$17:E71))</f>
        <v>0</v>
      </c>
      <c r="E72" s="381">
        <f>IF(+I14&lt;F71,I14,D72)</f>
        <v>0</v>
      </c>
      <c r="F72" s="60">
        <f t="shared" si="26"/>
        <v>0</v>
      </c>
      <c r="G72" s="379">
        <f t="shared" si="27"/>
        <v>0</v>
      </c>
      <c r="H72" s="364">
        <f t="shared" si="28"/>
        <v>0</v>
      </c>
      <c r="I72" s="63">
        <f t="shared" si="9"/>
        <v>0</v>
      </c>
      <c r="J72" s="52"/>
      <c r="K72" s="130"/>
      <c r="L72" s="64">
        <f t="shared" si="29"/>
        <v>0</v>
      </c>
      <c r="M72" s="130"/>
      <c r="N72" s="64">
        <f t="shared" si="10"/>
        <v>0</v>
      </c>
      <c r="O72" s="64">
        <f t="shared" si="11"/>
        <v>0</v>
      </c>
      <c r="P72" s="1"/>
    </row>
    <row r="73" spans="2:16" ht="12.5">
      <c r="C73" s="12" t="s">
        <v>78</v>
      </c>
      <c r="D73" s="293"/>
      <c r="E73" s="293">
        <f>SUM(E17:E72)</f>
        <v>29107362.050000027</v>
      </c>
      <c r="F73" s="293"/>
      <c r="G73" s="293">
        <f>SUM(G17:G72)</f>
        <v>109783433.87248503</v>
      </c>
      <c r="H73" s="293">
        <f>SUM(H17:H72)</f>
        <v>109783433.87248503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 ht="13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44 of 77</v>
      </c>
    </row>
    <row r="84" spans="1:16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2764698.3712464399</v>
      </c>
      <c r="N87" s="387">
        <f>IF(J92&lt;D11,0,VLOOKUP(J92,C17:O72,11))</f>
        <v>2764698.3712464399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3488654.6287539774</v>
      </c>
      <c r="N88" s="390">
        <f>IF(J92&lt;D11,0,VLOOKUP(J92,C99:P154,7))</f>
        <v>3488654.6287539774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Pittsburg-Winnsboro-North Mineola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723956.25750753749</v>
      </c>
      <c r="N89" s="392">
        <f>+N88-N87</f>
        <v>723956.25750753749</v>
      </c>
      <c r="O89" s="393">
        <f>+O88-O87</f>
        <v>0</v>
      </c>
      <c r="P89" s="1"/>
    </row>
    <row r="90" spans="1:16" ht="13.5" thickBot="1">
      <c r="C90" s="29"/>
      <c r="D90" s="444" t="s">
        <v>373</v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TP2002006</v>
      </c>
      <c r="E91" s="76" t="s">
        <v>494</v>
      </c>
      <c r="F91" s="76" t="str">
        <f>F9</f>
        <v>10 &amp; 40</v>
      </c>
      <c r="G91" s="76"/>
      <c r="H91" s="76"/>
      <c r="I91" s="76"/>
      <c r="J91" s="76"/>
    </row>
    <row r="92" spans="1:16" ht="13">
      <c r="C92" s="34" t="s">
        <v>51</v>
      </c>
      <c r="D92" s="428">
        <f>D10</f>
        <v>29107362.050000001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</row>
    <row r="93" spans="1:16" ht="12.5">
      <c r="C93" s="34" t="s">
        <v>54</v>
      </c>
      <c r="D93" s="88">
        <f>D11</f>
        <v>2007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88">
        <f>+D12</f>
        <v>11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661530.95568181819</v>
      </c>
      <c r="K96" s="293"/>
      <c r="L96" s="293"/>
      <c r="M96" s="293"/>
      <c r="N96" s="293"/>
      <c r="O96" s="293"/>
      <c r="P96" s="1"/>
    </row>
    <row r="97" spans="1:16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 ht="12.5">
      <c r="C99" s="50">
        <f>IF(D93= "","-",D93)</f>
        <v>2007</v>
      </c>
      <c r="D99" s="12"/>
      <c r="E99" s="380"/>
      <c r="F99" s="55"/>
      <c r="G99" s="83"/>
      <c r="H99" s="416"/>
      <c r="I99" s="417"/>
      <c r="J99" s="54">
        <v>0</v>
      </c>
      <c r="K99" s="54"/>
      <c r="L99" s="113"/>
      <c r="M99" s="54">
        <f t="shared" ref="M99:M105" si="30">IF(L99&lt;&gt;0,+H99-L99,0)</f>
        <v>0</v>
      </c>
      <c r="N99" s="113"/>
      <c r="O99" s="54">
        <f t="shared" ref="O99:O105" si="31">IF(N99&lt;&gt;0,+I99-N99,0)</f>
        <v>0</v>
      </c>
      <c r="P99" s="54">
        <f t="shared" ref="P99:P105" si="32">+O99-M99</f>
        <v>0</v>
      </c>
    </row>
    <row r="100" spans="1:16" ht="12.5">
      <c r="B100" s="7" t="str">
        <f>IF(D100=F99,"","IU")</f>
        <v/>
      </c>
      <c r="C100" s="50">
        <f>IF(D93="","-",+C99+1)</f>
        <v>2008</v>
      </c>
      <c r="D100" s="12"/>
      <c r="E100" s="445"/>
      <c r="F100" s="55"/>
      <c r="G100" s="55"/>
      <c r="H100" s="380"/>
      <c r="I100" s="399"/>
      <c r="J100" s="54">
        <v>0</v>
      </c>
      <c r="K100" s="54"/>
      <c r="L100" s="113"/>
      <c r="M100" s="54">
        <f t="shared" si="30"/>
        <v>0</v>
      </c>
      <c r="N100" s="113"/>
      <c r="O100" s="54">
        <f t="shared" si="31"/>
        <v>0</v>
      </c>
      <c r="P100" s="54">
        <f t="shared" si="32"/>
        <v>0</v>
      </c>
    </row>
    <row r="101" spans="1:16" ht="12.5">
      <c r="B101" s="7" t="str">
        <f t="shared" ref="B101:B154" si="33">IF(D101=F100,"","IU")</f>
        <v/>
      </c>
      <c r="C101" s="50">
        <f>IF(D93="","-",+C100+1)</f>
        <v>2009</v>
      </c>
      <c r="D101" s="12"/>
      <c r="E101" s="445"/>
      <c r="F101" s="55"/>
      <c r="G101" s="55"/>
      <c r="H101" s="380"/>
      <c r="I101" s="399"/>
      <c r="J101" s="54">
        <v>0</v>
      </c>
      <c r="K101" s="54"/>
      <c r="L101" s="113"/>
      <c r="M101" s="54">
        <f t="shared" si="30"/>
        <v>0</v>
      </c>
      <c r="N101" s="113"/>
      <c r="O101" s="54">
        <f t="shared" si="31"/>
        <v>0</v>
      </c>
      <c r="P101" s="54">
        <f t="shared" si="32"/>
        <v>0</v>
      </c>
    </row>
    <row r="102" spans="1:16" ht="12.5">
      <c r="B102" s="7" t="str">
        <f t="shared" si="33"/>
        <v/>
      </c>
      <c r="C102" s="50">
        <f>IF(D93="","-",+C101+1)</f>
        <v>2010</v>
      </c>
      <c r="D102" s="12"/>
      <c r="E102" s="445"/>
      <c r="F102" s="55"/>
      <c r="G102" s="55"/>
      <c r="H102" s="380"/>
      <c r="I102" s="399"/>
      <c r="J102" s="54">
        <v>0</v>
      </c>
      <c r="K102" s="54"/>
      <c r="L102" s="113"/>
      <c r="M102" s="54">
        <f t="shared" si="30"/>
        <v>0</v>
      </c>
      <c r="N102" s="113"/>
      <c r="O102" s="54">
        <f t="shared" si="31"/>
        <v>0</v>
      </c>
      <c r="P102" s="54">
        <f t="shared" si="32"/>
        <v>0</v>
      </c>
    </row>
    <row r="103" spans="1:16" ht="12.5">
      <c r="B103" s="7" t="str">
        <f t="shared" si="33"/>
        <v/>
      </c>
      <c r="C103" s="50">
        <f>IF(D93="","-",+C102+1)</f>
        <v>2011</v>
      </c>
      <c r="D103" s="12"/>
      <c r="E103" s="445"/>
      <c r="F103" s="55"/>
      <c r="G103" s="55"/>
      <c r="H103" s="380"/>
      <c r="I103" s="399"/>
      <c r="J103" s="54">
        <v>0</v>
      </c>
      <c r="K103" s="54"/>
      <c r="L103" s="113"/>
      <c r="M103" s="54">
        <f t="shared" si="30"/>
        <v>0</v>
      </c>
      <c r="N103" s="113"/>
      <c r="O103" s="54">
        <f t="shared" si="31"/>
        <v>0</v>
      </c>
      <c r="P103" s="54">
        <f t="shared" si="32"/>
        <v>0</v>
      </c>
    </row>
    <row r="104" spans="1:16" ht="12.5">
      <c r="B104" s="7" t="str">
        <f t="shared" si="33"/>
        <v/>
      </c>
      <c r="C104" s="50">
        <f>IF(D93="","-",+C103+1)</f>
        <v>2012</v>
      </c>
      <c r="D104" s="12"/>
      <c r="E104" s="445"/>
      <c r="F104" s="55"/>
      <c r="G104" s="55"/>
      <c r="H104" s="380"/>
      <c r="I104" s="399"/>
      <c r="J104" s="54">
        <v>0</v>
      </c>
      <c r="K104" s="54"/>
      <c r="L104" s="113"/>
      <c r="M104" s="54">
        <f t="shared" si="30"/>
        <v>0</v>
      </c>
      <c r="N104" s="113"/>
      <c r="O104" s="54">
        <f t="shared" si="31"/>
        <v>0</v>
      </c>
      <c r="P104" s="54">
        <f t="shared" si="32"/>
        <v>0</v>
      </c>
    </row>
    <row r="105" spans="1:16" ht="12.5">
      <c r="B105" s="7" t="str">
        <f t="shared" si="33"/>
        <v/>
      </c>
      <c r="C105" s="50">
        <f>IF(D93="","-",+C104+1)</f>
        <v>2013</v>
      </c>
      <c r="D105" s="12"/>
      <c r="E105" s="445"/>
      <c r="F105" s="55"/>
      <c r="G105" s="55"/>
      <c r="H105" s="380"/>
      <c r="I105" s="399"/>
      <c r="J105" s="54">
        <v>0</v>
      </c>
      <c r="K105" s="54"/>
      <c r="L105" s="113"/>
      <c r="M105" s="54">
        <f t="shared" si="30"/>
        <v>0</v>
      </c>
      <c r="N105" s="113"/>
      <c r="O105" s="54">
        <f t="shared" si="31"/>
        <v>0</v>
      </c>
      <c r="P105" s="54">
        <f t="shared" si="32"/>
        <v>0</v>
      </c>
    </row>
    <row r="106" spans="1:16" ht="12.5">
      <c r="B106" s="7" t="str">
        <f t="shared" si="33"/>
        <v/>
      </c>
      <c r="C106" s="50">
        <f>IF(D93="","-",+C105+1)</f>
        <v>2014</v>
      </c>
      <c r="D106" s="12"/>
      <c r="E106" s="445"/>
      <c r="F106" s="55"/>
      <c r="G106" s="55"/>
      <c r="H106" s="380"/>
      <c r="I106" s="399"/>
      <c r="J106" s="54">
        <v>0</v>
      </c>
      <c r="K106" s="54"/>
      <c r="L106" s="113"/>
      <c r="M106" s="54">
        <f t="shared" ref="M106:M130" si="34">IF(L106&lt;&gt;0,+H106-L106,0)</f>
        <v>0</v>
      </c>
      <c r="N106" s="113"/>
      <c r="O106" s="54">
        <f t="shared" ref="O106:O130" si="35">IF(N106&lt;&gt;0,+I106-N106,0)</f>
        <v>0</v>
      </c>
      <c r="P106" s="54">
        <f t="shared" ref="P106:P130" si="36">+O106-M106</f>
        <v>0</v>
      </c>
    </row>
    <row r="107" spans="1:16" ht="12.5">
      <c r="B107" s="7" t="str">
        <f t="shared" si="33"/>
        <v>IU</v>
      </c>
      <c r="C107" s="50">
        <f>IF(D93="","-",+C106+1)</f>
        <v>2015</v>
      </c>
      <c r="D107" s="429">
        <v>24198382.339186504</v>
      </c>
      <c r="E107" s="430">
        <v>576151.96045682149</v>
      </c>
      <c r="F107" s="431">
        <v>23622230.378729682</v>
      </c>
      <c r="G107" s="431">
        <v>23910306.358958095</v>
      </c>
      <c r="H107" s="433">
        <v>3726786.1990239997</v>
      </c>
      <c r="I107" s="434">
        <v>3726786.1990239997</v>
      </c>
      <c r="J107" s="54">
        <f>+I107-H107</f>
        <v>0</v>
      </c>
      <c r="K107" s="54"/>
      <c r="L107" s="113">
        <f t="shared" ref="L107:L112" si="37">+H107</f>
        <v>3726786.1990239997</v>
      </c>
      <c r="M107" s="54">
        <f t="shared" si="34"/>
        <v>0</v>
      </c>
      <c r="N107" s="113">
        <f t="shared" ref="N107:N112" si="38">+I107</f>
        <v>3726786.1990239997</v>
      </c>
      <c r="O107" s="54">
        <f t="shared" si="35"/>
        <v>0</v>
      </c>
      <c r="P107" s="54">
        <f t="shared" si="36"/>
        <v>0</v>
      </c>
    </row>
    <row r="108" spans="1:16" ht="12.5">
      <c r="B108" s="7" t="str">
        <f t="shared" si="33"/>
        <v>IU</v>
      </c>
      <c r="C108" s="50">
        <f>IF(D93="","-",+C107+1)</f>
        <v>2016</v>
      </c>
      <c r="D108" s="429">
        <v>28531210.039543178</v>
      </c>
      <c r="E108" s="430">
        <v>676915.39534883725</v>
      </c>
      <c r="F108" s="431">
        <v>27854294.644194342</v>
      </c>
      <c r="G108" s="431">
        <v>28192752.341868758</v>
      </c>
      <c r="H108" s="433">
        <v>4255984.9749657642</v>
      </c>
      <c r="I108" s="434">
        <v>4255984.9749657642</v>
      </c>
      <c r="J108" s="54">
        <f t="shared" ref="J108:J154" si="39">+I108-H108</f>
        <v>0</v>
      </c>
      <c r="K108" s="54"/>
      <c r="L108" s="113">
        <f t="shared" si="37"/>
        <v>4255984.9749657642</v>
      </c>
      <c r="M108" s="54">
        <f t="shared" ref="M108:M113" si="40">IF(L108&lt;&gt;0,+H108-L108,0)</f>
        <v>0</v>
      </c>
      <c r="N108" s="113">
        <f t="shared" si="38"/>
        <v>4255984.9749657642</v>
      </c>
      <c r="O108" s="54">
        <f>IF(N108&lt;&gt;0,+I108-N108,0)</f>
        <v>0</v>
      </c>
      <c r="P108" s="54">
        <f>+O108-M108</f>
        <v>0</v>
      </c>
    </row>
    <row r="109" spans="1:16" ht="12.5">
      <c r="B109" s="7" t="str">
        <f t="shared" si="33"/>
        <v/>
      </c>
      <c r="C109" s="50">
        <f>IF(D93="","-",+C108+1)</f>
        <v>2017</v>
      </c>
      <c r="D109" s="429">
        <v>27854294.644194342</v>
      </c>
      <c r="E109" s="430">
        <v>693032.42857142852</v>
      </c>
      <c r="F109" s="431">
        <v>27161262.215622913</v>
      </c>
      <c r="G109" s="431">
        <v>27507778.429908626</v>
      </c>
      <c r="H109" s="433">
        <v>4034442.3721004287</v>
      </c>
      <c r="I109" s="434">
        <v>4034442.3721004287</v>
      </c>
      <c r="J109" s="54">
        <f t="shared" si="39"/>
        <v>0</v>
      </c>
      <c r="K109" s="54"/>
      <c r="L109" s="113">
        <f t="shared" si="37"/>
        <v>4034442.3721004287</v>
      </c>
      <c r="M109" s="54">
        <f t="shared" si="40"/>
        <v>0</v>
      </c>
      <c r="N109" s="113">
        <f t="shared" si="38"/>
        <v>4034442.3721004287</v>
      </c>
      <c r="O109" s="54">
        <f>IF(N109&lt;&gt;0,+I109-N109,0)</f>
        <v>0</v>
      </c>
      <c r="P109" s="54">
        <f>+O109-M109</f>
        <v>0</v>
      </c>
    </row>
    <row r="110" spans="1:16" ht="12.5">
      <c r="B110" s="7" t="str">
        <f t="shared" si="33"/>
        <v/>
      </c>
      <c r="C110" s="50">
        <f>IF(D93="","-",+C109+1)</f>
        <v>2018</v>
      </c>
      <c r="D110" s="429">
        <v>27161262.215622913</v>
      </c>
      <c r="E110" s="430">
        <v>693032.42857142852</v>
      </c>
      <c r="F110" s="431">
        <v>26468229.787051484</v>
      </c>
      <c r="G110" s="431">
        <v>26814746.0013372</v>
      </c>
      <c r="H110" s="433">
        <v>3524792.5739054955</v>
      </c>
      <c r="I110" s="434">
        <v>3524792.5739054955</v>
      </c>
      <c r="J110" s="54">
        <f t="shared" si="39"/>
        <v>0</v>
      </c>
      <c r="K110" s="54"/>
      <c r="L110" s="113">
        <f t="shared" si="37"/>
        <v>3524792.5739054955</v>
      </c>
      <c r="M110" s="54">
        <f t="shared" si="40"/>
        <v>0</v>
      </c>
      <c r="N110" s="113">
        <f t="shared" si="38"/>
        <v>3524792.5739054955</v>
      </c>
      <c r="O110" s="54">
        <f>IF(N110&lt;&gt;0,+I110-N110,0)</f>
        <v>0</v>
      </c>
      <c r="P110" s="54">
        <f>+O110-M110</f>
        <v>0</v>
      </c>
    </row>
    <row r="111" spans="1:16" ht="12.5">
      <c r="B111" s="7" t="str">
        <f t="shared" si="33"/>
        <v/>
      </c>
      <c r="C111" s="50">
        <f>IF(D93="","-",+C110+1)</f>
        <v>2019</v>
      </c>
      <c r="D111" s="429">
        <v>26468229.787051484</v>
      </c>
      <c r="E111" s="430">
        <v>676915.39534883725</v>
      </c>
      <c r="F111" s="431">
        <v>25791314.391702648</v>
      </c>
      <c r="G111" s="431">
        <v>26129772.089377068</v>
      </c>
      <c r="H111" s="433">
        <v>3473860.4808152672</v>
      </c>
      <c r="I111" s="434">
        <v>3473860.4808152672</v>
      </c>
      <c r="J111" s="54">
        <f t="shared" si="39"/>
        <v>0</v>
      </c>
      <c r="K111" s="54"/>
      <c r="L111" s="113">
        <f t="shared" si="37"/>
        <v>3473860.4808152672</v>
      </c>
      <c r="M111" s="54">
        <f t="shared" si="40"/>
        <v>0</v>
      </c>
      <c r="N111" s="113">
        <f t="shared" si="38"/>
        <v>3473860.4808152672</v>
      </c>
      <c r="O111" s="54">
        <f t="shared" si="35"/>
        <v>0</v>
      </c>
      <c r="P111" s="54">
        <f t="shared" si="36"/>
        <v>0</v>
      </c>
    </row>
    <row r="112" spans="1:16" ht="12.5">
      <c r="B112" s="7" t="str">
        <f t="shared" si="33"/>
        <v/>
      </c>
      <c r="C112" s="50">
        <f>IF(D93="","-",+C111+1)</f>
        <v>2020</v>
      </c>
      <c r="D112" s="429">
        <v>25791314.391702648</v>
      </c>
      <c r="E112" s="430">
        <v>693032.42857142852</v>
      </c>
      <c r="F112" s="431">
        <v>25098281.963131219</v>
      </c>
      <c r="G112" s="431">
        <v>25444798.177416936</v>
      </c>
      <c r="H112" s="433">
        <v>3430226.8857239499</v>
      </c>
      <c r="I112" s="434">
        <v>3430226.8857239499</v>
      </c>
      <c r="J112" s="54">
        <f t="shared" si="39"/>
        <v>0</v>
      </c>
      <c r="K112" s="54"/>
      <c r="L112" s="113">
        <f t="shared" si="37"/>
        <v>3430226.8857239499</v>
      </c>
      <c r="M112" s="54">
        <f t="shared" si="40"/>
        <v>0</v>
      </c>
      <c r="N112" s="113">
        <f t="shared" si="38"/>
        <v>3430226.8857239499</v>
      </c>
      <c r="O112" s="54">
        <f t="shared" si="35"/>
        <v>0</v>
      </c>
      <c r="P112" s="54">
        <f t="shared" si="36"/>
        <v>0</v>
      </c>
    </row>
    <row r="113" spans="2:16" ht="12.5">
      <c r="B113" s="7" t="str">
        <f t="shared" si="33"/>
        <v/>
      </c>
      <c r="C113" s="50">
        <f>IF(D93="","-",+C112+1)</f>
        <v>2021</v>
      </c>
      <c r="D113" s="429">
        <v>25098281.963131219</v>
      </c>
      <c r="E113" s="430">
        <v>709935.6585365854</v>
      </c>
      <c r="F113" s="431">
        <v>24388346.304594632</v>
      </c>
      <c r="G113" s="431">
        <v>24743314.133862928</v>
      </c>
      <c r="H113" s="433">
        <v>3518653.8203164372</v>
      </c>
      <c r="I113" s="434">
        <v>3518653.8203164372</v>
      </c>
      <c r="J113" s="54">
        <f t="shared" si="39"/>
        <v>0</v>
      </c>
      <c r="K113" s="54"/>
      <c r="L113" s="113">
        <f t="shared" ref="L113" si="41">+H113</f>
        <v>3518653.8203164372</v>
      </c>
      <c r="M113" s="54">
        <f t="shared" si="40"/>
        <v>0</v>
      </c>
      <c r="N113" s="113">
        <f t="shared" ref="N113" si="42">+I113</f>
        <v>3518653.8203164372</v>
      </c>
      <c r="O113" s="54">
        <f t="shared" si="35"/>
        <v>0</v>
      </c>
      <c r="P113" s="54">
        <f t="shared" si="36"/>
        <v>0</v>
      </c>
    </row>
    <row r="114" spans="2:16" ht="12.5">
      <c r="B114" s="7" t="str">
        <f t="shared" si="33"/>
        <v/>
      </c>
      <c r="C114" s="50">
        <f>IF(D93="","-",+C113+1)</f>
        <v>2022</v>
      </c>
      <c r="D114" s="429">
        <v>24388346.304594632</v>
      </c>
      <c r="E114" s="430">
        <v>693032.42857142852</v>
      </c>
      <c r="F114" s="431">
        <v>23695313.876023203</v>
      </c>
      <c r="G114" s="431">
        <v>24041830.09030892</v>
      </c>
      <c r="H114" s="433">
        <v>3516933.9337712489</v>
      </c>
      <c r="I114" s="434">
        <v>3516933.9337712489</v>
      </c>
      <c r="J114" s="54">
        <f t="shared" si="39"/>
        <v>0</v>
      </c>
      <c r="K114" s="54"/>
      <c r="L114" s="113">
        <f t="shared" ref="L114" si="43">+H114</f>
        <v>3516933.9337712489</v>
      </c>
      <c r="M114" s="54">
        <f t="shared" ref="M114" si="44">IF(L114&lt;&gt;0,+H114-L114,0)</f>
        <v>0</v>
      </c>
      <c r="N114" s="113">
        <f t="shared" ref="N114" si="45">+I114</f>
        <v>3516933.9337712489</v>
      </c>
      <c r="O114" s="54">
        <f t="shared" ref="O114" si="46">IF(N114&lt;&gt;0,+I114-N114,0)</f>
        <v>0</v>
      </c>
      <c r="P114" s="54">
        <f t="shared" ref="P114" si="47">+O114-M114</f>
        <v>0</v>
      </c>
    </row>
    <row r="115" spans="2:16" ht="12.5">
      <c r="B115" s="7" t="str">
        <f t="shared" si="33"/>
        <v>IU</v>
      </c>
      <c r="C115" s="50">
        <f>IF(D93="","-",+C114+1)</f>
        <v>2023</v>
      </c>
      <c r="D115" s="429">
        <v>23695313.926023208</v>
      </c>
      <c r="E115" s="430">
        <v>661530.95568181819</v>
      </c>
      <c r="F115" s="431">
        <v>23033782.970341388</v>
      </c>
      <c r="G115" s="431">
        <v>23364548.4481823</v>
      </c>
      <c r="H115" s="433">
        <v>3543899.788431929</v>
      </c>
      <c r="I115" s="434">
        <v>3543899.788431929</v>
      </c>
      <c r="J115" s="54">
        <f t="shared" si="39"/>
        <v>0</v>
      </c>
      <c r="K115" s="54"/>
      <c r="L115" s="113">
        <f t="shared" ref="L115" si="48">+H115</f>
        <v>3543899.788431929</v>
      </c>
      <c r="M115" s="54">
        <f t="shared" ref="M115" si="49">IF(L115&lt;&gt;0,+H115-L115,0)</f>
        <v>0</v>
      </c>
      <c r="N115" s="113">
        <f t="shared" ref="N115" si="50">+I115</f>
        <v>3543899.788431929</v>
      </c>
      <c r="O115" s="54">
        <f t="shared" ref="O115" si="51">IF(N115&lt;&gt;0,+I115-N115,0)</f>
        <v>0</v>
      </c>
      <c r="P115" s="54">
        <f t="shared" ref="P115" si="52">+O115-M115</f>
        <v>0</v>
      </c>
    </row>
    <row r="116" spans="2:16" ht="12.5">
      <c r="B116" s="7" t="str">
        <f t="shared" si="33"/>
        <v/>
      </c>
      <c r="C116" s="50">
        <f>IF(D93="","-",+C115+1)</f>
        <v>2024</v>
      </c>
      <c r="D116" s="12">
        <f>IF(F115+SUM(E$99:E115)=D$92,F115,D$92-SUM(E$99:E115))</f>
        <v>23033782.970341388</v>
      </c>
      <c r="E116" s="378">
        <f t="shared" ref="E116:E154" si="53">IF(+$J$96&lt;F115,$J$96,D116)</f>
        <v>661530.95568181819</v>
      </c>
      <c r="F116" s="55">
        <f t="shared" ref="F116:F154" si="54">+D116-E116</f>
        <v>22372252.014659569</v>
      </c>
      <c r="G116" s="55">
        <f t="shared" ref="G116:G154" si="55">+(F116+D116)/2</f>
        <v>22703017.492500477</v>
      </c>
      <c r="H116" s="380">
        <f t="shared" ref="H116:H154" si="56">+J$94*G116+E116</f>
        <v>3488654.6287539774</v>
      </c>
      <c r="I116" s="399">
        <f t="shared" ref="I116:I154" si="57">+J$95*G116+E116</f>
        <v>3488654.6287539774</v>
      </c>
      <c r="J116" s="54">
        <f t="shared" si="39"/>
        <v>0</v>
      </c>
      <c r="K116" s="54"/>
      <c r="L116" s="129"/>
      <c r="M116" s="54">
        <f t="shared" si="34"/>
        <v>0</v>
      </c>
      <c r="N116" s="129"/>
      <c r="O116" s="54">
        <f t="shared" si="35"/>
        <v>0</v>
      </c>
      <c r="P116" s="54">
        <f t="shared" si="36"/>
        <v>0</v>
      </c>
    </row>
    <row r="117" spans="2:16" ht="12.5">
      <c r="B117" s="7" t="str">
        <f t="shared" si="33"/>
        <v/>
      </c>
      <c r="C117" s="50">
        <f>IF(D93="","-",+C116+1)</f>
        <v>2025</v>
      </c>
      <c r="D117" s="12">
        <f>IF(F116+SUM(E$99:E116)=D$92,F116,D$92-SUM(E$99:E116))</f>
        <v>22372252.014659569</v>
      </c>
      <c r="E117" s="378">
        <f t="shared" si="53"/>
        <v>661530.95568181819</v>
      </c>
      <c r="F117" s="55">
        <f t="shared" si="54"/>
        <v>21710721.058977749</v>
      </c>
      <c r="G117" s="55">
        <f t="shared" si="55"/>
        <v>22041486.536818661</v>
      </c>
      <c r="H117" s="380">
        <f t="shared" si="56"/>
        <v>3406276.6001110487</v>
      </c>
      <c r="I117" s="399">
        <f t="shared" si="57"/>
        <v>3406276.6001110487</v>
      </c>
      <c r="J117" s="54">
        <f t="shared" si="39"/>
        <v>0</v>
      </c>
      <c r="K117" s="54"/>
      <c r="L117" s="129"/>
      <c r="M117" s="54">
        <f t="shared" si="34"/>
        <v>0</v>
      </c>
      <c r="N117" s="129"/>
      <c r="O117" s="54">
        <f t="shared" si="35"/>
        <v>0</v>
      </c>
      <c r="P117" s="54">
        <f t="shared" si="36"/>
        <v>0</v>
      </c>
    </row>
    <row r="118" spans="2:16" ht="12.5">
      <c r="B118" s="7" t="str">
        <f t="shared" si="33"/>
        <v/>
      </c>
      <c r="C118" s="50">
        <f>IF(D93="","-",+C117+1)</f>
        <v>2026</v>
      </c>
      <c r="D118" s="12">
        <f>IF(F117+SUM(E$99:E117)=D$92,F117,D$92-SUM(E$99:E117))</f>
        <v>21710721.058977749</v>
      </c>
      <c r="E118" s="378">
        <f t="shared" si="53"/>
        <v>661530.95568181819</v>
      </c>
      <c r="F118" s="55">
        <f t="shared" si="54"/>
        <v>21049190.10329593</v>
      </c>
      <c r="G118" s="55">
        <f t="shared" si="55"/>
        <v>21379955.581136838</v>
      </c>
      <c r="H118" s="380">
        <f t="shared" si="56"/>
        <v>3323898.5714681195</v>
      </c>
      <c r="I118" s="399">
        <f t="shared" si="57"/>
        <v>3323898.5714681195</v>
      </c>
      <c r="J118" s="54">
        <f t="shared" si="39"/>
        <v>0</v>
      </c>
      <c r="K118" s="54"/>
      <c r="L118" s="129"/>
      <c r="M118" s="54">
        <f t="shared" si="34"/>
        <v>0</v>
      </c>
      <c r="N118" s="129"/>
      <c r="O118" s="54">
        <f t="shared" si="35"/>
        <v>0</v>
      </c>
      <c r="P118" s="54">
        <f t="shared" si="36"/>
        <v>0</v>
      </c>
    </row>
    <row r="119" spans="2:16" ht="12.5">
      <c r="B119" s="7" t="str">
        <f t="shared" si="33"/>
        <v/>
      </c>
      <c r="C119" s="50">
        <f>IF(D93="","-",+C118+1)</f>
        <v>2027</v>
      </c>
      <c r="D119" s="12">
        <f>IF(F118+SUM(E$99:E118)=D$92,F118,D$92-SUM(E$99:E118))</f>
        <v>21049190.10329593</v>
      </c>
      <c r="E119" s="378">
        <f t="shared" si="53"/>
        <v>661530.95568181819</v>
      </c>
      <c r="F119" s="55">
        <f t="shared" si="54"/>
        <v>20387659.14761411</v>
      </c>
      <c r="G119" s="55">
        <f t="shared" si="55"/>
        <v>20718424.625455022</v>
      </c>
      <c r="H119" s="380">
        <f t="shared" si="56"/>
        <v>3241520.5428251908</v>
      </c>
      <c r="I119" s="399">
        <f t="shared" si="57"/>
        <v>3241520.5428251908</v>
      </c>
      <c r="J119" s="54">
        <f t="shared" si="39"/>
        <v>0</v>
      </c>
      <c r="K119" s="54"/>
      <c r="L119" s="129"/>
      <c r="M119" s="54">
        <f t="shared" si="34"/>
        <v>0</v>
      </c>
      <c r="N119" s="129"/>
      <c r="O119" s="54">
        <f t="shared" si="35"/>
        <v>0</v>
      </c>
      <c r="P119" s="54">
        <f t="shared" si="36"/>
        <v>0</v>
      </c>
    </row>
    <row r="120" spans="2:16" ht="12.5">
      <c r="B120" s="7" t="str">
        <f t="shared" si="33"/>
        <v/>
      </c>
      <c r="C120" s="50">
        <f>IF(D93="","-",+C119+1)</f>
        <v>2028</v>
      </c>
      <c r="D120" s="12">
        <f>IF(F119+SUM(E$99:E119)=D$92,F119,D$92-SUM(E$99:E119))</f>
        <v>20387659.14761411</v>
      </c>
      <c r="E120" s="378">
        <f t="shared" si="53"/>
        <v>661530.95568181819</v>
      </c>
      <c r="F120" s="55">
        <f t="shared" si="54"/>
        <v>19726128.191932291</v>
      </c>
      <c r="G120" s="55">
        <f t="shared" si="55"/>
        <v>20056893.669773199</v>
      </c>
      <c r="H120" s="380">
        <f t="shared" si="56"/>
        <v>3159142.5141822617</v>
      </c>
      <c r="I120" s="399">
        <f t="shared" si="57"/>
        <v>3159142.5141822617</v>
      </c>
      <c r="J120" s="54">
        <f t="shared" si="39"/>
        <v>0</v>
      </c>
      <c r="K120" s="54"/>
      <c r="L120" s="129"/>
      <c r="M120" s="54">
        <f t="shared" si="34"/>
        <v>0</v>
      </c>
      <c r="N120" s="129"/>
      <c r="O120" s="54">
        <f t="shared" si="35"/>
        <v>0</v>
      </c>
      <c r="P120" s="54">
        <f t="shared" si="36"/>
        <v>0</v>
      </c>
    </row>
    <row r="121" spans="2:16" ht="12.5">
      <c r="B121" s="7" t="str">
        <f t="shared" si="33"/>
        <v/>
      </c>
      <c r="C121" s="50">
        <f>IF(D93="","-",+C120+1)</f>
        <v>2029</v>
      </c>
      <c r="D121" s="12">
        <f>IF(F120+SUM(E$99:E120)=D$92,F120,D$92-SUM(E$99:E120))</f>
        <v>19726128.191932291</v>
      </c>
      <c r="E121" s="378">
        <f t="shared" si="53"/>
        <v>661530.95568181819</v>
      </c>
      <c r="F121" s="55">
        <f t="shared" si="54"/>
        <v>19064597.236250471</v>
      </c>
      <c r="G121" s="55">
        <f t="shared" si="55"/>
        <v>19395362.714091383</v>
      </c>
      <c r="H121" s="380">
        <f t="shared" si="56"/>
        <v>3076764.485539333</v>
      </c>
      <c r="I121" s="399">
        <f t="shared" si="57"/>
        <v>3076764.485539333</v>
      </c>
      <c r="J121" s="54">
        <f t="shared" si="39"/>
        <v>0</v>
      </c>
      <c r="K121" s="54"/>
      <c r="L121" s="129"/>
      <c r="M121" s="54">
        <f t="shared" si="34"/>
        <v>0</v>
      </c>
      <c r="N121" s="129"/>
      <c r="O121" s="54">
        <f t="shared" si="35"/>
        <v>0</v>
      </c>
      <c r="P121" s="54">
        <f t="shared" si="36"/>
        <v>0</v>
      </c>
    </row>
    <row r="122" spans="2:16" ht="12.5">
      <c r="B122" s="7" t="str">
        <f t="shared" si="33"/>
        <v/>
      </c>
      <c r="C122" s="50">
        <f>IF(D93="","-",+C121+1)</f>
        <v>2030</v>
      </c>
      <c r="D122" s="12">
        <f>IF(F121+SUM(E$99:E121)=D$92,F121,D$92-SUM(E$99:E121))</f>
        <v>19064597.236250471</v>
      </c>
      <c r="E122" s="378">
        <f t="shared" si="53"/>
        <v>661530.95568181819</v>
      </c>
      <c r="F122" s="55">
        <f t="shared" si="54"/>
        <v>18403066.280568652</v>
      </c>
      <c r="G122" s="55">
        <f t="shared" si="55"/>
        <v>18733831.75840956</v>
      </c>
      <c r="H122" s="380">
        <f t="shared" si="56"/>
        <v>2994386.4568964038</v>
      </c>
      <c r="I122" s="399">
        <f t="shared" si="57"/>
        <v>2994386.4568964038</v>
      </c>
      <c r="J122" s="54">
        <f t="shared" si="39"/>
        <v>0</v>
      </c>
      <c r="K122" s="54"/>
      <c r="L122" s="129"/>
      <c r="M122" s="54">
        <f t="shared" si="34"/>
        <v>0</v>
      </c>
      <c r="N122" s="129"/>
      <c r="O122" s="54">
        <f t="shared" si="35"/>
        <v>0</v>
      </c>
      <c r="P122" s="54">
        <f t="shared" si="36"/>
        <v>0</v>
      </c>
    </row>
    <row r="123" spans="2:16" ht="12.5">
      <c r="B123" s="7" t="str">
        <f t="shared" si="33"/>
        <v/>
      </c>
      <c r="C123" s="50">
        <f>IF(D93="","-",+C122+1)</f>
        <v>2031</v>
      </c>
      <c r="D123" s="12">
        <f>IF(F122+SUM(E$99:E122)=D$92,F122,D$92-SUM(E$99:E122))</f>
        <v>18403066.280568652</v>
      </c>
      <c r="E123" s="378">
        <f t="shared" si="53"/>
        <v>661530.95568181819</v>
      </c>
      <c r="F123" s="55">
        <f t="shared" si="54"/>
        <v>17741535.324886832</v>
      </c>
      <c r="G123" s="55">
        <f t="shared" si="55"/>
        <v>18072300.802727744</v>
      </c>
      <c r="H123" s="380">
        <f t="shared" si="56"/>
        <v>2912008.4282534751</v>
      </c>
      <c r="I123" s="399">
        <f t="shared" si="57"/>
        <v>2912008.4282534751</v>
      </c>
      <c r="J123" s="54">
        <f t="shared" si="39"/>
        <v>0</v>
      </c>
      <c r="K123" s="54"/>
      <c r="L123" s="129"/>
      <c r="M123" s="54">
        <f t="shared" si="34"/>
        <v>0</v>
      </c>
      <c r="N123" s="129"/>
      <c r="O123" s="54">
        <f t="shared" si="35"/>
        <v>0</v>
      </c>
      <c r="P123" s="54">
        <f t="shared" si="36"/>
        <v>0</v>
      </c>
    </row>
    <row r="124" spans="2:16" ht="12.5">
      <c r="B124" s="7" t="str">
        <f t="shared" si="33"/>
        <v/>
      </c>
      <c r="C124" s="50">
        <f>IF(D93="","-",+C123+1)</f>
        <v>2032</v>
      </c>
      <c r="D124" s="12">
        <f>IF(F123+SUM(E$99:E123)=D$92,F123,D$92-SUM(E$99:E123))</f>
        <v>17741535.324886832</v>
      </c>
      <c r="E124" s="378">
        <f t="shared" si="53"/>
        <v>661530.95568181819</v>
      </c>
      <c r="F124" s="55">
        <f t="shared" si="54"/>
        <v>17080004.369205013</v>
      </c>
      <c r="G124" s="55">
        <f t="shared" si="55"/>
        <v>17410769.847045921</v>
      </c>
      <c r="H124" s="380">
        <f t="shared" si="56"/>
        <v>2829630.3996105455</v>
      </c>
      <c r="I124" s="399">
        <f t="shared" si="57"/>
        <v>2829630.3996105455</v>
      </c>
      <c r="J124" s="54">
        <f t="shared" si="39"/>
        <v>0</v>
      </c>
      <c r="K124" s="54"/>
      <c r="L124" s="129"/>
      <c r="M124" s="54">
        <f t="shared" si="34"/>
        <v>0</v>
      </c>
      <c r="N124" s="129"/>
      <c r="O124" s="54">
        <f t="shared" si="35"/>
        <v>0</v>
      </c>
      <c r="P124" s="54">
        <f t="shared" si="36"/>
        <v>0</v>
      </c>
    </row>
    <row r="125" spans="2:16" ht="12.5">
      <c r="B125" s="7" t="str">
        <f t="shared" si="33"/>
        <v/>
      </c>
      <c r="C125" s="50">
        <f>IF(D93="","-",+C124+1)</f>
        <v>2033</v>
      </c>
      <c r="D125" s="12">
        <f>IF(F124+SUM(E$99:E124)=D$92,F124,D$92-SUM(E$99:E124))</f>
        <v>17080004.369205013</v>
      </c>
      <c r="E125" s="378">
        <f t="shared" si="53"/>
        <v>661530.95568181819</v>
      </c>
      <c r="F125" s="55">
        <f t="shared" si="54"/>
        <v>16418473.413523195</v>
      </c>
      <c r="G125" s="55">
        <f t="shared" si="55"/>
        <v>16749238.891364105</v>
      </c>
      <c r="H125" s="380">
        <f t="shared" si="56"/>
        <v>2747252.3709676173</v>
      </c>
      <c r="I125" s="399">
        <f t="shared" si="57"/>
        <v>2747252.3709676173</v>
      </c>
      <c r="J125" s="54">
        <f t="shared" si="39"/>
        <v>0</v>
      </c>
      <c r="K125" s="54"/>
      <c r="L125" s="129"/>
      <c r="M125" s="54">
        <f t="shared" si="34"/>
        <v>0</v>
      </c>
      <c r="N125" s="129"/>
      <c r="O125" s="54">
        <f t="shared" si="35"/>
        <v>0</v>
      </c>
      <c r="P125" s="54">
        <f t="shared" si="36"/>
        <v>0</v>
      </c>
    </row>
    <row r="126" spans="2:16" ht="12.5">
      <c r="B126" s="7" t="str">
        <f t="shared" si="33"/>
        <v/>
      </c>
      <c r="C126" s="50">
        <f>IF(D93="","-",+C125+1)</f>
        <v>2034</v>
      </c>
      <c r="D126" s="12">
        <f>IF(F125+SUM(E$99:E125)=D$92,F125,D$92-SUM(E$99:E125))</f>
        <v>16418473.413523195</v>
      </c>
      <c r="E126" s="378">
        <f t="shared" si="53"/>
        <v>661530.95568181819</v>
      </c>
      <c r="F126" s="55">
        <f t="shared" si="54"/>
        <v>15756942.457841378</v>
      </c>
      <c r="G126" s="55">
        <f t="shared" si="55"/>
        <v>16087707.935682286</v>
      </c>
      <c r="H126" s="380">
        <f t="shared" si="56"/>
        <v>2664874.3423246886</v>
      </c>
      <c r="I126" s="399">
        <f t="shared" si="57"/>
        <v>2664874.3423246886</v>
      </c>
      <c r="J126" s="54">
        <f t="shared" si="39"/>
        <v>0</v>
      </c>
      <c r="K126" s="54"/>
      <c r="L126" s="129"/>
      <c r="M126" s="54">
        <f t="shared" si="34"/>
        <v>0</v>
      </c>
      <c r="N126" s="129"/>
      <c r="O126" s="54">
        <f t="shared" si="35"/>
        <v>0</v>
      </c>
      <c r="P126" s="54">
        <f t="shared" si="36"/>
        <v>0</v>
      </c>
    </row>
    <row r="127" spans="2:16" ht="12.5">
      <c r="B127" s="7" t="str">
        <f t="shared" si="33"/>
        <v/>
      </c>
      <c r="C127" s="50">
        <f>IF(D93="","-",+C126+1)</f>
        <v>2035</v>
      </c>
      <c r="D127" s="12">
        <f>IF(F126+SUM(E$99:E126)=D$92,F126,D$92-SUM(E$99:E126))</f>
        <v>15756942.457841378</v>
      </c>
      <c r="E127" s="378">
        <f t="shared" si="53"/>
        <v>661530.95568181819</v>
      </c>
      <c r="F127" s="55">
        <f t="shared" si="54"/>
        <v>15095411.50215956</v>
      </c>
      <c r="G127" s="55">
        <f t="shared" si="55"/>
        <v>15426176.98000047</v>
      </c>
      <c r="H127" s="380">
        <f t="shared" si="56"/>
        <v>2582496.3136817599</v>
      </c>
      <c r="I127" s="399">
        <f t="shared" si="57"/>
        <v>2582496.3136817599</v>
      </c>
      <c r="J127" s="54">
        <f t="shared" si="39"/>
        <v>0</v>
      </c>
      <c r="K127" s="54"/>
      <c r="L127" s="129"/>
      <c r="M127" s="54">
        <f t="shared" si="34"/>
        <v>0</v>
      </c>
      <c r="N127" s="129"/>
      <c r="O127" s="54">
        <f t="shared" si="35"/>
        <v>0</v>
      </c>
      <c r="P127" s="54">
        <f t="shared" si="36"/>
        <v>0</v>
      </c>
    </row>
    <row r="128" spans="2:16" ht="12.5">
      <c r="B128" s="7" t="str">
        <f t="shared" si="33"/>
        <v/>
      </c>
      <c r="C128" s="50">
        <f>IF(D93="","-",+C127+1)</f>
        <v>2036</v>
      </c>
      <c r="D128" s="12">
        <f>IF(F127+SUM(E$99:E127)=D$92,F127,D$92-SUM(E$99:E127))</f>
        <v>15095411.50215956</v>
      </c>
      <c r="E128" s="378">
        <f t="shared" si="53"/>
        <v>661530.95568181819</v>
      </c>
      <c r="F128" s="55">
        <f t="shared" si="54"/>
        <v>14433880.546477742</v>
      </c>
      <c r="G128" s="55">
        <f t="shared" si="55"/>
        <v>14764646.02431865</v>
      </c>
      <c r="H128" s="380">
        <f t="shared" si="56"/>
        <v>2500118.2850388307</v>
      </c>
      <c r="I128" s="399">
        <f t="shared" si="57"/>
        <v>2500118.2850388307</v>
      </c>
      <c r="J128" s="54">
        <f t="shared" si="39"/>
        <v>0</v>
      </c>
      <c r="K128" s="54"/>
      <c r="L128" s="129"/>
      <c r="M128" s="54">
        <f t="shared" si="34"/>
        <v>0</v>
      </c>
      <c r="N128" s="129"/>
      <c r="O128" s="54">
        <f t="shared" si="35"/>
        <v>0</v>
      </c>
      <c r="P128" s="54">
        <f t="shared" si="36"/>
        <v>0</v>
      </c>
    </row>
    <row r="129" spans="2:16" ht="12.5">
      <c r="B129" s="7" t="str">
        <f t="shared" si="33"/>
        <v/>
      </c>
      <c r="C129" s="50">
        <f>IF(D93="","-",+C128+1)</f>
        <v>2037</v>
      </c>
      <c r="D129" s="12">
        <f>IF(F128+SUM(E$99:E128)=D$92,F128,D$92-SUM(E$99:E128))</f>
        <v>14433880.546477742</v>
      </c>
      <c r="E129" s="378">
        <f t="shared" si="53"/>
        <v>661530.95568181819</v>
      </c>
      <c r="F129" s="55">
        <f t="shared" si="54"/>
        <v>13772349.590795925</v>
      </c>
      <c r="G129" s="55">
        <f t="shared" si="55"/>
        <v>14103115.068636835</v>
      </c>
      <c r="H129" s="380">
        <f t="shared" si="56"/>
        <v>2417740.2563959025</v>
      </c>
      <c r="I129" s="399">
        <f t="shared" si="57"/>
        <v>2417740.2563959025</v>
      </c>
      <c r="J129" s="54">
        <f t="shared" si="39"/>
        <v>0</v>
      </c>
      <c r="K129" s="54"/>
      <c r="L129" s="129"/>
      <c r="M129" s="54">
        <f t="shared" si="34"/>
        <v>0</v>
      </c>
      <c r="N129" s="129"/>
      <c r="O129" s="54">
        <f t="shared" si="35"/>
        <v>0</v>
      </c>
      <c r="P129" s="54">
        <f t="shared" si="36"/>
        <v>0</v>
      </c>
    </row>
    <row r="130" spans="2:16" ht="12.5">
      <c r="B130" s="7" t="str">
        <f t="shared" si="33"/>
        <v/>
      </c>
      <c r="C130" s="50">
        <f>IF(D93="","-",+C129+1)</f>
        <v>2038</v>
      </c>
      <c r="D130" s="12">
        <f>IF(F129+SUM(E$99:E129)=D$92,F129,D$92-SUM(E$99:E129))</f>
        <v>13772349.590795925</v>
      </c>
      <c r="E130" s="378">
        <f t="shared" si="53"/>
        <v>661530.95568181819</v>
      </c>
      <c r="F130" s="55">
        <f t="shared" si="54"/>
        <v>13110818.635114107</v>
      </c>
      <c r="G130" s="55">
        <f t="shared" si="55"/>
        <v>13441584.112955015</v>
      </c>
      <c r="H130" s="380">
        <f t="shared" si="56"/>
        <v>2335362.2277529733</v>
      </c>
      <c r="I130" s="399">
        <f t="shared" si="57"/>
        <v>2335362.2277529733</v>
      </c>
      <c r="J130" s="54">
        <f t="shared" si="39"/>
        <v>0</v>
      </c>
      <c r="K130" s="54"/>
      <c r="L130" s="129"/>
      <c r="M130" s="54">
        <f t="shared" si="34"/>
        <v>0</v>
      </c>
      <c r="N130" s="129"/>
      <c r="O130" s="54">
        <f t="shared" si="35"/>
        <v>0</v>
      </c>
      <c r="P130" s="54">
        <f t="shared" si="36"/>
        <v>0</v>
      </c>
    </row>
    <row r="131" spans="2:16" ht="12.5">
      <c r="B131" s="7" t="str">
        <f t="shared" si="33"/>
        <v/>
      </c>
      <c r="C131" s="50">
        <f>IF(D93="","-",+C130+1)</f>
        <v>2039</v>
      </c>
      <c r="D131" s="12">
        <f>IF(F130+SUM(E$99:E130)=D$92,F130,D$92-SUM(E$99:E130))</f>
        <v>13110818.635114107</v>
      </c>
      <c r="E131" s="378">
        <f t="shared" si="53"/>
        <v>661530.95568181819</v>
      </c>
      <c r="F131" s="55">
        <f t="shared" si="54"/>
        <v>12449287.67943229</v>
      </c>
      <c r="G131" s="55">
        <f t="shared" si="55"/>
        <v>12780053.157273199</v>
      </c>
      <c r="H131" s="380">
        <f t="shared" si="56"/>
        <v>2252984.1991100451</v>
      </c>
      <c r="I131" s="399">
        <f t="shared" si="57"/>
        <v>2252984.1991100451</v>
      </c>
      <c r="J131" s="54">
        <f t="shared" si="39"/>
        <v>0</v>
      </c>
      <c r="K131" s="54"/>
      <c r="L131" s="129"/>
      <c r="M131" s="54">
        <f t="shared" ref="M131:M154" si="58">IF(L541&lt;&gt;0,+H541-L541,0)</f>
        <v>0</v>
      </c>
      <c r="N131" s="129"/>
      <c r="O131" s="54">
        <f t="shared" ref="O131:O154" si="59">IF(N541&lt;&gt;0,+I541-N541,0)</f>
        <v>0</v>
      </c>
      <c r="P131" s="54">
        <f t="shared" ref="P131:P154" si="60">+O541-M541</f>
        <v>0</v>
      </c>
    </row>
    <row r="132" spans="2:16" ht="12.5">
      <c r="B132" s="7" t="str">
        <f t="shared" si="33"/>
        <v/>
      </c>
      <c r="C132" s="50">
        <f>IF(D93="","-",+C131+1)</f>
        <v>2040</v>
      </c>
      <c r="D132" s="12">
        <f>IF(F131+SUM(E$99:E131)=D$92,F131,D$92-SUM(E$99:E131))</f>
        <v>12449287.67943229</v>
      </c>
      <c r="E132" s="378">
        <f t="shared" si="53"/>
        <v>661530.95568181819</v>
      </c>
      <c r="F132" s="55">
        <f t="shared" si="54"/>
        <v>11787756.723750472</v>
      </c>
      <c r="G132" s="55">
        <f t="shared" si="55"/>
        <v>12118522.20159138</v>
      </c>
      <c r="H132" s="380">
        <f t="shared" si="56"/>
        <v>2170606.1704671159</v>
      </c>
      <c r="I132" s="399">
        <f t="shared" si="57"/>
        <v>2170606.1704671159</v>
      </c>
      <c r="J132" s="54">
        <f t="shared" si="39"/>
        <v>0</v>
      </c>
      <c r="K132" s="54"/>
      <c r="L132" s="129"/>
      <c r="M132" s="54">
        <f t="shared" si="58"/>
        <v>0</v>
      </c>
      <c r="N132" s="129"/>
      <c r="O132" s="54">
        <f t="shared" si="59"/>
        <v>0</v>
      </c>
      <c r="P132" s="54">
        <f t="shared" si="60"/>
        <v>0</v>
      </c>
    </row>
    <row r="133" spans="2:16" ht="12.5">
      <c r="B133" s="7" t="str">
        <f t="shared" si="33"/>
        <v/>
      </c>
      <c r="C133" s="50">
        <f>IF(D93="","-",+C132+1)</f>
        <v>2041</v>
      </c>
      <c r="D133" s="12">
        <f>IF(F132+SUM(E$99:E132)=D$92,F132,D$92-SUM(E$99:E132))</f>
        <v>11787756.723750472</v>
      </c>
      <c r="E133" s="378">
        <f t="shared" si="53"/>
        <v>661530.95568181819</v>
      </c>
      <c r="F133" s="55">
        <f t="shared" si="54"/>
        <v>11126225.768068654</v>
      </c>
      <c r="G133" s="55">
        <f t="shared" si="55"/>
        <v>11456991.245909564</v>
      </c>
      <c r="H133" s="380">
        <f t="shared" si="56"/>
        <v>2088228.1418241877</v>
      </c>
      <c r="I133" s="399">
        <f t="shared" si="57"/>
        <v>2088228.1418241877</v>
      </c>
      <c r="J133" s="54">
        <f t="shared" si="39"/>
        <v>0</v>
      </c>
      <c r="K133" s="54"/>
      <c r="L133" s="129"/>
      <c r="M133" s="54">
        <f t="shared" si="58"/>
        <v>0</v>
      </c>
      <c r="N133" s="129"/>
      <c r="O133" s="54">
        <f t="shared" si="59"/>
        <v>0</v>
      </c>
      <c r="P133" s="54">
        <f t="shared" si="60"/>
        <v>0</v>
      </c>
    </row>
    <row r="134" spans="2:16" ht="12.5">
      <c r="B134" s="7" t="str">
        <f t="shared" si="33"/>
        <v/>
      </c>
      <c r="C134" s="50">
        <f>IF(D93="","-",+C133+1)</f>
        <v>2042</v>
      </c>
      <c r="D134" s="12">
        <f>IF(F133+SUM(E$99:E133)=D$92,F133,D$92-SUM(E$99:E133))</f>
        <v>11126225.768068654</v>
      </c>
      <c r="E134" s="378">
        <f t="shared" si="53"/>
        <v>661530.95568181819</v>
      </c>
      <c r="F134" s="55">
        <f t="shared" si="54"/>
        <v>10464694.812386837</v>
      </c>
      <c r="G134" s="55">
        <f t="shared" si="55"/>
        <v>10795460.290227745</v>
      </c>
      <c r="H134" s="380">
        <f t="shared" si="56"/>
        <v>2005850.1131812586</v>
      </c>
      <c r="I134" s="399">
        <f t="shared" si="57"/>
        <v>2005850.1131812586</v>
      </c>
      <c r="J134" s="54">
        <f t="shared" si="39"/>
        <v>0</v>
      </c>
      <c r="K134" s="54"/>
      <c r="L134" s="129"/>
      <c r="M134" s="54">
        <f t="shared" si="58"/>
        <v>0</v>
      </c>
      <c r="N134" s="129"/>
      <c r="O134" s="54">
        <f t="shared" si="59"/>
        <v>0</v>
      </c>
      <c r="P134" s="54">
        <f t="shared" si="60"/>
        <v>0</v>
      </c>
    </row>
    <row r="135" spans="2:16" ht="12.5">
      <c r="B135" s="7" t="str">
        <f t="shared" si="33"/>
        <v/>
      </c>
      <c r="C135" s="50">
        <f>IF(D93="","-",+C134+1)</f>
        <v>2043</v>
      </c>
      <c r="D135" s="12">
        <f>IF(F134+SUM(E$99:E134)=D$92,F134,D$92-SUM(E$99:E134))</f>
        <v>10464694.812386837</v>
      </c>
      <c r="E135" s="378">
        <f t="shared" si="53"/>
        <v>661530.95568181819</v>
      </c>
      <c r="F135" s="55">
        <f t="shared" si="54"/>
        <v>9803163.8567050193</v>
      </c>
      <c r="G135" s="55">
        <f t="shared" si="55"/>
        <v>10133929.334545929</v>
      </c>
      <c r="H135" s="380">
        <f t="shared" si="56"/>
        <v>1923472.0845383303</v>
      </c>
      <c r="I135" s="399">
        <f t="shared" si="57"/>
        <v>1923472.0845383303</v>
      </c>
      <c r="J135" s="54">
        <f t="shared" si="39"/>
        <v>0</v>
      </c>
      <c r="K135" s="54"/>
      <c r="L135" s="129"/>
      <c r="M135" s="54">
        <f t="shared" si="58"/>
        <v>0</v>
      </c>
      <c r="N135" s="129"/>
      <c r="O135" s="54">
        <f t="shared" si="59"/>
        <v>0</v>
      </c>
      <c r="P135" s="54">
        <f t="shared" si="60"/>
        <v>0</v>
      </c>
    </row>
    <row r="136" spans="2:16" ht="12.5">
      <c r="B136" s="7" t="str">
        <f t="shared" si="33"/>
        <v/>
      </c>
      <c r="C136" s="50">
        <f>IF(D93="","-",+C135+1)</f>
        <v>2044</v>
      </c>
      <c r="D136" s="12">
        <f>IF(F135+SUM(E$99:E135)=D$92,F135,D$92-SUM(E$99:E135))</f>
        <v>9803163.8567050193</v>
      </c>
      <c r="E136" s="378">
        <f t="shared" si="53"/>
        <v>661530.95568181819</v>
      </c>
      <c r="F136" s="55">
        <f t="shared" si="54"/>
        <v>9141632.9010232016</v>
      </c>
      <c r="G136" s="55">
        <f t="shared" si="55"/>
        <v>9472398.3788641095</v>
      </c>
      <c r="H136" s="380">
        <f t="shared" si="56"/>
        <v>1841094.0558954012</v>
      </c>
      <c r="I136" s="399">
        <f t="shared" si="57"/>
        <v>1841094.0558954012</v>
      </c>
      <c r="J136" s="54">
        <f t="shared" si="39"/>
        <v>0</v>
      </c>
      <c r="K136" s="54"/>
      <c r="L136" s="129"/>
      <c r="M136" s="54">
        <f t="shared" si="58"/>
        <v>0</v>
      </c>
      <c r="N136" s="129"/>
      <c r="O136" s="54">
        <f t="shared" si="59"/>
        <v>0</v>
      </c>
      <c r="P136" s="54">
        <f t="shared" si="60"/>
        <v>0</v>
      </c>
    </row>
    <row r="137" spans="2:16" ht="12.5">
      <c r="B137" s="7" t="str">
        <f t="shared" si="33"/>
        <v/>
      </c>
      <c r="C137" s="50">
        <f>IF(D93="","-",+C136+1)</f>
        <v>2045</v>
      </c>
      <c r="D137" s="12">
        <f>IF(F136+SUM(E$99:E136)=D$92,F136,D$92-SUM(E$99:E136))</f>
        <v>9141632.9010232016</v>
      </c>
      <c r="E137" s="378">
        <f t="shared" si="53"/>
        <v>661530.95568181819</v>
      </c>
      <c r="F137" s="55">
        <f t="shared" si="54"/>
        <v>8480101.945341384</v>
      </c>
      <c r="G137" s="55">
        <f t="shared" si="55"/>
        <v>8810867.4231822938</v>
      </c>
      <c r="H137" s="380">
        <f t="shared" si="56"/>
        <v>1758716.0272524729</v>
      </c>
      <c r="I137" s="399">
        <f t="shared" si="57"/>
        <v>1758716.0272524729</v>
      </c>
      <c r="J137" s="54">
        <f t="shared" si="39"/>
        <v>0</v>
      </c>
      <c r="K137" s="54"/>
      <c r="L137" s="129"/>
      <c r="M137" s="54">
        <f t="shared" si="58"/>
        <v>0</v>
      </c>
      <c r="N137" s="129"/>
      <c r="O137" s="54">
        <f t="shared" si="59"/>
        <v>0</v>
      </c>
      <c r="P137" s="54">
        <f t="shared" si="60"/>
        <v>0</v>
      </c>
    </row>
    <row r="138" spans="2:16" ht="12.5">
      <c r="B138" s="7" t="str">
        <f t="shared" si="33"/>
        <v/>
      </c>
      <c r="C138" s="50">
        <f>IF(D93="","-",+C137+1)</f>
        <v>2046</v>
      </c>
      <c r="D138" s="12">
        <f>IF(F137+SUM(E$99:E137)=D$92,F137,D$92-SUM(E$99:E137))</f>
        <v>8480101.945341384</v>
      </c>
      <c r="E138" s="378">
        <f t="shared" si="53"/>
        <v>661530.95568181819</v>
      </c>
      <c r="F138" s="55">
        <f t="shared" si="54"/>
        <v>7818570.9896595655</v>
      </c>
      <c r="G138" s="55">
        <f t="shared" si="55"/>
        <v>8149336.4675004743</v>
      </c>
      <c r="H138" s="380">
        <f t="shared" si="56"/>
        <v>1676337.9986095438</v>
      </c>
      <c r="I138" s="399">
        <f t="shared" si="57"/>
        <v>1676337.9986095438</v>
      </c>
      <c r="J138" s="54">
        <f t="shared" si="39"/>
        <v>0</v>
      </c>
      <c r="K138" s="54"/>
      <c r="L138" s="129"/>
      <c r="M138" s="54">
        <f t="shared" si="58"/>
        <v>0</v>
      </c>
      <c r="N138" s="129"/>
      <c r="O138" s="54">
        <f t="shared" si="59"/>
        <v>0</v>
      </c>
      <c r="P138" s="54">
        <f t="shared" si="60"/>
        <v>0</v>
      </c>
    </row>
    <row r="139" spans="2:16" ht="12.5">
      <c r="B139" s="7" t="str">
        <f t="shared" si="33"/>
        <v/>
      </c>
      <c r="C139" s="50">
        <f>IF(D93="","-",+C138+1)</f>
        <v>2047</v>
      </c>
      <c r="D139" s="12">
        <f>IF(F138+SUM(E$99:E138)=D$92,F138,D$92-SUM(E$99:E138))</f>
        <v>7818570.9896595655</v>
      </c>
      <c r="E139" s="378">
        <f t="shared" si="53"/>
        <v>661530.95568181819</v>
      </c>
      <c r="F139" s="55">
        <f t="shared" si="54"/>
        <v>7157040.033977747</v>
      </c>
      <c r="G139" s="55">
        <f t="shared" si="55"/>
        <v>7487805.5118186567</v>
      </c>
      <c r="H139" s="380">
        <f t="shared" si="56"/>
        <v>1593959.9699666151</v>
      </c>
      <c r="I139" s="399">
        <f t="shared" si="57"/>
        <v>1593959.9699666151</v>
      </c>
      <c r="J139" s="54">
        <f t="shared" si="39"/>
        <v>0</v>
      </c>
      <c r="K139" s="54"/>
      <c r="L139" s="129"/>
      <c r="M139" s="54">
        <f t="shared" si="58"/>
        <v>0</v>
      </c>
      <c r="N139" s="129"/>
      <c r="O139" s="54">
        <f t="shared" si="59"/>
        <v>0</v>
      </c>
      <c r="P139" s="54">
        <f t="shared" si="60"/>
        <v>0</v>
      </c>
    </row>
    <row r="140" spans="2:16" ht="12.5">
      <c r="B140" s="7" t="str">
        <f t="shared" si="33"/>
        <v/>
      </c>
      <c r="C140" s="50">
        <f>IF(D93="","-",+C139+1)</f>
        <v>2048</v>
      </c>
      <c r="D140" s="12">
        <f>IF(F139+SUM(E$99:E139)=D$92,F139,D$92-SUM(E$99:E139))</f>
        <v>7157040.033977747</v>
      </c>
      <c r="E140" s="378">
        <f t="shared" si="53"/>
        <v>661530.95568181819</v>
      </c>
      <c r="F140" s="55">
        <f t="shared" si="54"/>
        <v>6495509.0782959284</v>
      </c>
      <c r="G140" s="55">
        <f t="shared" si="55"/>
        <v>6826274.5561368372</v>
      </c>
      <c r="H140" s="380">
        <f t="shared" si="56"/>
        <v>1511581.9413236859</v>
      </c>
      <c r="I140" s="399">
        <f t="shared" si="57"/>
        <v>1511581.9413236859</v>
      </c>
      <c r="J140" s="54">
        <f t="shared" si="39"/>
        <v>0</v>
      </c>
      <c r="K140" s="54"/>
      <c r="L140" s="129"/>
      <c r="M140" s="54">
        <f t="shared" si="58"/>
        <v>0</v>
      </c>
      <c r="N140" s="129"/>
      <c r="O140" s="54">
        <f t="shared" si="59"/>
        <v>0</v>
      </c>
      <c r="P140" s="54">
        <f t="shared" si="60"/>
        <v>0</v>
      </c>
    </row>
    <row r="141" spans="2:16" ht="12.5">
      <c r="B141" s="7" t="str">
        <f t="shared" si="33"/>
        <v/>
      </c>
      <c r="C141" s="50">
        <f>IF(D93="","-",+C140+1)</f>
        <v>2049</v>
      </c>
      <c r="D141" s="12">
        <f>IF(F140+SUM(E$99:E140)=D$92,F140,D$92-SUM(E$99:E140))</f>
        <v>6495509.0782959284</v>
      </c>
      <c r="E141" s="378">
        <f t="shared" si="53"/>
        <v>661530.95568181819</v>
      </c>
      <c r="F141" s="55">
        <f t="shared" si="54"/>
        <v>5833978.1226141099</v>
      </c>
      <c r="G141" s="55">
        <f t="shared" si="55"/>
        <v>6164743.6004550196</v>
      </c>
      <c r="H141" s="380">
        <f t="shared" si="56"/>
        <v>1429203.9126807572</v>
      </c>
      <c r="I141" s="399">
        <f t="shared" si="57"/>
        <v>1429203.9126807572</v>
      </c>
      <c r="J141" s="54">
        <f t="shared" si="39"/>
        <v>0</v>
      </c>
      <c r="K141" s="54"/>
      <c r="L141" s="129"/>
      <c r="M141" s="54">
        <f t="shared" si="58"/>
        <v>0</v>
      </c>
      <c r="N141" s="129"/>
      <c r="O141" s="54">
        <f t="shared" si="59"/>
        <v>0</v>
      </c>
      <c r="P141" s="54">
        <f t="shared" si="60"/>
        <v>0</v>
      </c>
    </row>
    <row r="142" spans="2:16" ht="12.5">
      <c r="B142" s="7" t="str">
        <f t="shared" si="33"/>
        <v/>
      </c>
      <c r="C142" s="50">
        <f>IF(D93="","-",+C141+1)</f>
        <v>2050</v>
      </c>
      <c r="D142" s="12">
        <f>IF(F141+SUM(E$99:E141)=D$92,F141,D$92-SUM(E$99:E141))</f>
        <v>5833978.1226141099</v>
      </c>
      <c r="E142" s="378">
        <f t="shared" si="53"/>
        <v>661530.95568181819</v>
      </c>
      <c r="F142" s="55">
        <f t="shared" si="54"/>
        <v>5172447.1669322914</v>
      </c>
      <c r="G142" s="55">
        <f t="shared" si="55"/>
        <v>5503212.6447732002</v>
      </c>
      <c r="H142" s="380">
        <f t="shared" si="56"/>
        <v>1346825.8840378285</v>
      </c>
      <c r="I142" s="399">
        <f t="shared" si="57"/>
        <v>1346825.8840378285</v>
      </c>
      <c r="J142" s="54">
        <f t="shared" si="39"/>
        <v>0</v>
      </c>
      <c r="K142" s="54"/>
      <c r="L142" s="129"/>
      <c r="M142" s="54">
        <f t="shared" si="58"/>
        <v>0</v>
      </c>
      <c r="N142" s="129"/>
      <c r="O142" s="54">
        <f t="shared" si="59"/>
        <v>0</v>
      </c>
      <c r="P142" s="54">
        <f t="shared" si="60"/>
        <v>0</v>
      </c>
    </row>
    <row r="143" spans="2:16" ht="12.5">
      <c r="B143" s="7" t="str">
        <f t="shared" si="33"/>
        <v/>
      </c>
      <c r="C143" s="50">
        <f>IF(D93="","-",+C142+1)</f>
        <v>2051</v>
      </c>
      <c r="D143" s="12">
        <f>IF(F142+SUM(E$99:E142)=D$92,F142,D$92-SUM(E$99:E142))</f>
        <v>5172447.1669322914</v>
      </c>
      <c r="E143" s="378">
        <f t="shared" si="53"/>
        <v>661530.95568181819</v>
      </c>
      <c r="F143" s="55">
        <f t="shared" si="54"/>
        <v>4510916.2112504728</v>
      </c>
      <c r="G143" s="55">
        <f t="shared" si="55"/>
        <v>4841681.6890913825</v>
      </c>
      <c r="H143" s="380">
        <f t="shared" si="56"/>
        <v>1264447.8553948998</v>
      </c>
      <c r="I143" s="399">
        <f t="shared" si="57"/>
        <v>1264447.8553948998</v>
      </c>
      <c r="J143" s="54">
        <f t="shared" si="39"/>
        <v>0</v>
      </c>
      <c r="K143" s="54"/>
      <c r="L143" s="129"/>
      <c r="M143" s="54">
        <f t="shared" si="58"/>
        <v>0</v>
      </c>
      <c r="N143" s="129"/>
      <c r="O143" s="54">
        <f t="shared" si="59"/>
        <v>0</v>
      </c>
      <c r="P143" s="54">
        <f t="shared" si="60"/>
        <v>0</v>
      </c>
    </row>
    <row r="144" spans="2:16" ht="12.5">
      <c r="B144" s="7" t="str">
        <f t="shared" si="33"/>
        <v/>
      </c>
      <c r="C144" s="50">
        <f>IF(D93="","-",+C143+1)</f>
        <v>2052</v>
      </c>
      <c r="D144" s="12">
        <f>IF(F143+SUM(E$99:E143)=D$92,F143,D$92-SUM(E$99:E143))</f>
        <v>4510916.2112504728</v>
      </c>
      <c r="E144" s="378">
        <f t="shared" si="53"/>
        <v>661530.95568181819</v>
      </c>
      <c r="F144" s="55">
        <f t="shared" si="54"/>
        <v>3849385.2555686547</v>
      </c>
      <c r="G144" s="55">
        <f t="shared" si="55"/>
        <v>4180150.733409564</v>
      </c>
      <c r="H144" s="380">
        <f t="shared" si="56"/>
        <v>1182069.8267519709</v>
      </c>
      <c r="I144" s="399">
        <f t="shared" si="57"/>
        <v>1182069.8267519709</v>
      </c>
      <c r="J144" s="54">
        <f t="shared" si="39"/>
        <v>0</v>
      </c>
      <c r="K144" s="54"/>
      <c r="L144" s="129"/>
      <c r="M144" s="54">
        <f t="shared" si="58"/>
        <v>0</v>
      </c>
      <c r="N144" s="129"/>
      <c r="O144" s="54">
        <f t="shared" si="59"/>
        <v>0</v>
      </c>
      <c r="P144" s="54">
        <f t="shared" si="60"/>
        <v>0</v>
      </c>
    </row>
    <row r="145" spans="2:16" ht="12.5">
      <c r="B145" s="7" t="str">
        <f t="shared" si="33"/>
        <v/>
      </c>
      <c r="C145" s="50">
        <f>IF(D93="","-",+C144+1)</f>
        <v>2053</v>
      </c>
      <c r="D145" s="12">
        <f>IF(F144+SUM(E$99:E144)=D$92,F144,D$92-SUM(E$99:E144))</f>
        <v>3849385.2555686547</v>
      </c>
      <c r="E145" s="378">
        <f t="shared" si="53"/>
        <v>661530.95568181819</v>
      </c>
      <c r="F145" s="55">
        <f t="shared" si="54"/>
        <v>3187854.2998868367</v>
      </c>
      <c r="G145" s="55">
        <f t="shared" si="55"/>
        <v>3518619.7777277455</v>
      </c>
      <c r="H145" s="380">
        <f t="shared" si="56"/>
        <v>1099691.798109042</v>
      </c>
      <c r="I145" s="399">
        <f t="shared" si="57"/>
        <v>1099691.798109042</v>
      </c>
      <c r="J145" s="54">
        <f t="shared" si="39"/>
        <v>0</v>
      </c>
      <c r="K145" s="54"/>
      <c r="L145" s="129"/>
      <c r="M145" s="54">
        <f t="shared" si="58"/>
        <v>0</v>
      </c>
      <c r="N145" s="129"/>
      <c r="O145" s="54">
        <f t="shared" si="59"/>
        <v>0</v>
      </c>
      <c r="P145" s="54">
        <f t="shared" si="60"/>
        <v>0</v>
      </c>
    </row>
    <row r="146" spans="2:16" ht="12.5">
      <c r="B146" s="7" t="str">
        <f t="shared" si="33"/>
        <v/>
      </c>
      <c r="C146" s="50">
        <f>IF(D93="","-",+C145+1)</f>
        <v>2054</v>
      </c>
      <c r="D146" s="12">
        <f>IF(F145+SUM(E$99:E145)=D$92,F145,D$92-SUM(E$99:E145))</f>
        <v>3187854.2998868367</v>
      </c>
      <c r="E146" s="378">
        <f t="shared" si="53"/>
        <v>661530.95568181819</v>
      </c>
      <c r="F146" s="55">
        <f t="shared" si="54"/>
        <v>2526323.3442050186</v>
      </c>
      <c r="G146" s="55">
        <f t="shared" si="55"/>
        <v>2857088.8220459279</v>
      </c>
      <c r="H146" s="380">
        <f t="shared" si="56"/>
        <v>1017313.7694661133</v>
      </c>
      <c r="I146" s="399">
        <f t="shared" si="57"/>
        <v>1017313.7694661133</v>
      </c>
      <c r="J146" s="54">
        <f t="shared" si="39"/>
        <v>0</v>
      </c>
      <c r="K146" s="54"/>
      <c r="L146" s="129"/>
      <c r="M146" s="54">
        <f t="shared" si="58"/>
        <v>0</v>
      </c>
      <c r="N146" s="129"/>
      <c r="O146" s="54">
        <f t="shared" si="59"/>
        <v>0</v>
      </c>
      <c r="P146" s="54">
        <f t="shared" si="60"/>
        <v>0</v>
      </c>
    </row>
    <row r="147" spans="2:16" ht="12.5">
      <c r="B147" s="7" t="str">
        <f t="shared" si="33"/>
        <v/>
      </c>
      <c r="C147" s="50">
        <f>IF(D93="","-",+C146+1)</f>
        <v>2055</v>
      </c>
      <c r="D147" s="12">
        <f>IF(F146+SUM(E$99:E146)=D$92,F146,D$92-SUM(E$99:E146))</f>
        <v>2526323.3442050186</v>
      </c>
      <c r="E147" s="378">
        <f t="shared" si="53"/>
        <v>661530.95568181819</v>
      </c>
      <c r="F147" s="55">
        <f t="shared" si="54"/>
        <v>1864792.3885232005</v>
      </c>
      <c r="G147" s="55">
        <f t="shared" si="55"/>
        <v>2195557.8663641093</v>
      </c>
      <c r="H147" s="380">
        <f t="shared" si="56"/>
        <v>934935.74082318449</v>
      </c>
      <c r="I147" s="399">
        <f t="shared" si="57"/>
        <v>934935.74082318449</v>
      </c>
      <c r="J147" s="54">
        <f t="shared" si="39"/>
        <v>0</v>
      </c>
      <c r="K147" s="54"/>
      <c r="L147" s="129"/>
      <c r="M147" s="54">
        <f t="shared" si="58"/>
        <v>0</v>
      </c>
      <c r="N147" s="129"/>
      <c r="O147" s="54">
        <f t="shared" si="59"/>
        <v>0</v>
      </c>
      <c r="P147" s="54">
        <f t="shared" si="60"/>
        <v>0</v>
      </c>
    </row>
    <row r="148" spans="2:16" ht="12.5">
      <c r="B148" s="7" t="str">
        <f t="shared" si="33"/>
        <v/>
      </c>
      <c r="C148" s="50">
        <f>IF(D93="","-",+C147+1)</f>
        <v>2056</v>
      </c>
      <c r="D148" s="12">
        <f>IF(F147+SUM(E$99:E147)=D$92,F147,D$92-SUM(E$99:E147))</f>
        <v>1864792.3885232005</v>
      </c>
      <c r="E148" s="378">
        <f t="shared" si="53"/>
        <v>661530.95568181819</v>
      </c>
      <c r="F148" s="55">
        <f t="shared" si="54"/>
        <v>1203261.4328413825</v>
      </c>
      <c r="G148" s="55">
        <f t="shared" si="55"/>
        <v>1534026.9106822915</v>
      </c>
      <c r="H148" s="380">
        <f t="shared" si="56"/>
        <v>852557.71218025568</v>
      </c>
      <c r="I148" s="399">
        <f t="shared" si="57"/>
        <v>852557.71218025568</v>
      </c>
      <c r="J148" s="54">
        <f t="shared" si="39"/>
        <v>0</v>
      </c>
      <c r="K148" s="54"/>
      <c r="L148" s="129"/>
      <c r="M148" s="54">
        <f t="shared" si="58"/>
        <v>0</v>
      </c>
      <c r="N148" s="129"/>
      <c r="O148" s="54">
        <f t="shared" si="59"/>
        <v>0</v>
      </c>
      <c r="P148" s="54">
        <f t="shared" si="60"/>
        <v>0</v>
      </c>
    </row>
    <row r="149" spans="2:16" ht="12.5">
      <c r="B149" s="7" t="str">
        <f t="shared" si="33"/>
        <v/>
      </c>
      <c r="C149" s="50">
        <f>IF(D93="","-",+C148+1)</f>
        <v>2057</v>
      </c>
      <c r="D149" s="12">
        <f>IF(F148+SUM(E$99:E148)=D$92,F148,D$92-SUM(E$99:E148))</f>
        <v>1203261.4328413825</v>
      </c>
      <c r="E149" s="378">
        <f t="shared" si="53"/>
        <v>661530.95568181819</v>
      </c>
      <c r="F149" s="55">
        <f t="shared" si="54"/>
        <v>541730.47715956427</v>
      </c>
      <c r="G149" s="55">
        <f t="shared" si="55"/>
        <v>872495.95500047342</v>
      </c>
      <c r="H149" s="380">
        <f t="shared" si="56"/>
        <v>770179.68353732699</v>
      </c>
      <c r="I149" s="399">
        <f t="shared" si="57"/>
        <v>770179.68353732699</v>
      </c>
      <c r="J149" s="54">
        <f t="shared" si="39"/>
        <v>0</v>
      </c>
      <c r="K149" s="54"/>
      <c r="L149" s="129"/>
      <c r="M149" s="54">
        <f t="shared" si="58"/>
        <v>0</v>
      </c>
      <c r="N149" s="129"/>
      <c r="O149" s="54">
        <f t="shared" si="59"/>
        <v>0</v>
      </c>
      <c r="P149" s="54">
        <f t="shared" si="60"/>
        <v>0</v>
      </c>
    </row>
    <row r="150" spans="2:16" ht="12.5">
      <c r="B150" s="7" t="str">
        <f t="shared" si="33"/>
        <v/>
      </c>
      <c r="C150" s="50">
        <f>IF(D93="","-",+C149+1)</f>
        <v>2058</v>
      </c>
      <c r="D150" s="12">
        <f>IF(F149+SUM(E$99:E149)=D$92,F149,D$92-SUM(E$99:E149))</f>
        <v>541730.47715956427</v>
      </c>
      <c r="E150" s="378">
        <f t="shared" si="53"/>
        <v>541730.47715956427</v>
      </c>
      <c r="F150" s="55">
        <f t="shared" si="54"/>
        <v>0</v>
      </c>
      <c r="G150" s="55">
        <f t="shared" si="55"/>
        <v>270865.23857978213</v>
      </c>
      <c r="H150" s="380">
        <f t="shared" si="56"/>
        <v>575460.33392658643</v>
      </c>
      <c r="I150" s="399">
        <f t="shared" si="57"/>
        <v>575460.33392658643</v>
      </c>
      <c r="J150" s="54">
        <f t="shared" si="39"/>
        <v>0</v>
      </c>
      <c r="K150" s="54"/>
      <c r="L150" s="129"/>
      <c r="M150" s="54">
        <f t="shared" si="58"/>
        <v>0</v>
      </c>
      <c r="N150" s="129"/>
      <c r="O150" s="54">
        <f t="shared" si="59"/>
        <v>0</v>
      </c>
      <c r="P150" s="54">
        <f t="shared" si="60"/>
        <v>0</v>
      </c>
    </row>
    <row r="151" spans="2:16" ht="12.5">
      <c r="B151" s="7" t="str">
        <f t="shared" si="33"/>
        <v/>
      </c>
      <c r="C151" s="50">
        <f>IF(D93="","-",+C150+1)</f>
        <v>2059</v>
      </c>
      <c r="D151" s="12">
        <f>IF(F150+SUM(E$99:E150)=D$92,F150,D$92-SUM(E$99:E150))</f>
        <v>0</v>
      </c>
      <c r="E151" s="378">
        <f t="shared" si="53"/>
        <v>0</v>
      </c>
      <c r="F151" s="55">
        <f t="shared" si="54"/>
        <v>0</v>
      </c>
      <c r="G151" s="55">
        <f t="shared" si="55"/>
        <v>0</v>
      </c>
      <c r="H151" s="380">
        <f t="shared" si="56"/>
        <v>0</v>
      </c>
      <c r="I151" s="399">
        <f t="shared" si="57"/>
        <v>0</v>
      </c>
      <c r="J151" s="54">
        <f t="shared" si="39"/>
        <v>0</v>
      </c>
      <c r="K151" s="54"/>
      <c r="L151" s="129"/>
      <c r="M151" s="54">
        <f t="shared" si="58"/>
        <v>0</v>
      </c>
      <c r="N151" s="129"/>
      <c r="O151" s="54">
        <f t="shared" si="59"/>
        <v>0</v>
      </c>
      <c r="P151" s="54">
        <f t="shared" si="60"/>
        <v>0</v>
      </c>
    </row>
    <row r="152" spans="2:16" ht="12.5">
      <c r="B152" s="7" t="str">
        <f t="shared" si="33"/>
        <v/>
      </c>
      <c r="C152" s="50">
        <f>IF(D93="","-",+C151+1)</f>
        <v>2060</v>
      </c>
      <c r="D152" s="12">
        <f>IF(F151+SUM(E$99:E151)=D$92,F151,D$92-SUM(E$99:E151))</f>
        <v>0</v>
      </c>
      <c r="E152" s="378">
        <f t="shared" si="53"/>
        <v>0</v>
      </c>
      <c r="F152" s="55">
        <f t="shared" si="54"/>
        <v>0</v>
      </c>
      <c r="G152" s="55">
        <f t="shared" si="55"/>
        <v>0</v>
      </c>
      <c r="H152" s="380">
        <f t="shared" si="56"/>
        <v>0</v>
      </c>
      <c r="I152" s="399">
        <f t="shared" si="57"/>
        <v>0</v>
      </c>
      <c r="J152" s="54">
        <f t="shared" si="39"/>
        <v>0</v>
      </c>
      <c r="K152" s="54"/>
      <c r="L152" s="129"/>
      <c r="M152" s="54">
        <f t="shared" si="58"/>
        <v>0</v>
      </c>
      <c r="N152" s="129"/>
      <c r="O152" s="54">
        <f t="shared" si="59"/>
        <v>0</v>
      </c>
      <c r="P152" s="54">
        <f t="shared" si="60"/>
        <v>0</v>
      </c>
    </row>
    <row r="153" spans="2:16" ht="12.5">
      <c r="B153" s="7" t="str">
        <f t="shared" si="33"/>
        <v/>
      </c>
      <c r="C153" s="50">
        <f>IF(D93="","-",+C152+1)</f>
        <v>2061</v>
      </c>
      <c r="D153" s="12">
        <f>IF(F152+SUM(E$99:E152)=D$92,F152,D$92-SUM(E$99:E152))</f>
        <v>0</v>
      </c>
      <c r="E153" s="378">
        <f t="shared" si="53"/>
        <v>0</v>
      </c>
      <c r="F153" s="55">
        <f t="shared" si="54"/>
        <v>0</v>
      </c>
      <c r="G153" s="55">
        <f t="shared" si="55"/>
        <v>0</v>
      </c>
      <c r="H153" s="380">
        <f t="shared" si="56"/>
        <v>0</v>
      </c>
      <c r="I153" s="399">
        <f t="shared" si="57"/>
        <v>0</v>
      </c>
      <c r="J153" s="54">
        <f t="shared" si="39"/>
        <v>0</v>
      </c>
      <c r="K153" s="54"/>
      <c r="L153" s="129"/>
      <c r="M153" s="54">
        <f t="shared" si="58"/>
        <v>0</v>
      </c>
      <c r="N153" s="129"/>
      <c r="O153" s="54">
        <f t="shared" si="59"/>
        <v>0</v>
      </c>
      <c r="P153" s="54">
        <f t="shared" si="60"/>
        <v>0</v>
      </c>
    </row>
    <row r="154" spans="2:16" ht="13" thickBot="1">
      <c r="B154" s="7" t="str">
        <f t="shared" si="33"/>
        <v/>
      </c>
      <c r="C154" s="59">
        <f>IF(D93="","-",+C153+1)</f>
        <v>2062</v>
      </c>
      <c r="D154" s="12">
        <f>IF(F153+SUM(E$99:E153)=D$92,F153,D$92-SUM(E$99:E153))</f>
        <v>0</v>
      </c>
      <c r="E154" s="378">
        <f t="shared" si="53"/>
        <v>0</v>
      </c>
      <c r="F154" s="55">
        <f t="shared" si="54"/>
        <v>0</v>
      </c>
      <c r="G154" s="55">
        <f t="shared" si="55"/>
        <v>0</v>
      </c>
      <c r="H154" s="380">
        <f t="shared" si="56"/>
        <v>0</v>
      </c>
      <c r="I154" s="399">
        <f t="shared" si="57"/>
        <v>0</v>
      </c>
      <c r="J154" s="54">
        <f t="shared" si="39"/>
        <v>0</v>
      </c>
      <c r="K154" s="54"/>
      <c r="L154" s="130"/>
      <c r="M154" s="64">
        <f t="shared" si="58"/>
        <v>0</v>
      </c>
      <c r="N154" s="130"/>
      <c r="O154" s="64">
        <f t="shared" si="59"/>
        <v>0</v>
      </c>
      <c r="P154" s="64">
        <f t="shared" si="60"/>
        <v>0</v>
      </c>
    </row>
    <row r="155" spans="2:16" ht="12.5">
      <c r="C155" s="12" t="s">
        <v>78</v>
      </c>
      <c r="D155" s="293"/>
      <c r="E155" s="293">
        <f>SUM(E99:E154)</f>
        <v>29107362.050000012</v>
      </c>
      <c r="F155" s="293"/>
      <c r="G155" s="293"/>
      <c r="H155" s="293">
        <f>SUM(H99:H154)</f>
        <v>106001224.67193326</v>
      </c>
      <c r="I155" s="293">
        <f>SUM(I99:I154)</f>
        <v>106001224.67193326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 ht="12.5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 ht="13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69" priority="1" stopIfTrue="1" operator="equal">
      <formula>$I$10</formula>
    </cfRule>
  </conditionalFormatting>
  <conditionalFormatting sqref="C99:C154">
    <cfRule type="cellIs" dxfId="6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94">
    <tabColor theme="9" tint="-0.249977111117893"/>
  </sheetPr>
  <dimension ref="A1:P162"/>
  <sheetViews>
    <sheetView topLeftCell="A83" zoomScaleNormal="100" zoomScaleSheetLayoutView="82" workbookViewId="0">
      <selection activeCell="D34" sqref="D34:H34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45 of 77</v>
      </c>
    </row>
    <row r="2" spans="1:16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247463.41604259165</v>
      </c>
      <c r="P5" s="1"/>
    </row>
    <row r="6" spans="1:16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247463.41604259165</v>
      </c>
      <c r="O6" s="1"/>
      <c r="P6" s="1"/>
    </row>
    <row r="7" spans="1:16" ht="13.5" thickBot="1">
      <c r="C7" s="25" t="s">
        <v>48</v>
      </c>
      <c r="D7" s="90" t="s">
        <v>334</v>
      </c>
      <c r="E7" s="406"/>
      <c r="F7" s="406"/>
      <c r="G7" s="406"/>
      <c r="H7" s="40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99" t="s">
        <v>358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333</v>
      </c>
      <c r="E9" s="436" t="s">
        <v>494</v>
      </c>
      <c r="F9" s="462">
        <v>45</v>
      </c>
      <c r="G9" s="31"/>
      <c r="H9" s="31"/>
      <c r="I9" s="32"/>
      <c r="J9" s="33"/>
      <c r="P9" s="1"/>
    </row>
    <row r="10" spans="1:16" ht="13">
      <c r="C10" s="34" t="s">
        <v>51</v>
      </c>
      <c r="D10" s="363">
        <v>2658452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6" ht="12.5">
      <c r="C11" s="34" t="s">
        <v>54</v>
      </c>
      <c r="D11" s="37">
        <v>2007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3">
        <v>3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60419.36363636364</v>
      </c>
      <c r="J14" s="293"/>
      <c r="K14" s="293"/>
      <c r="L14" s="293"/>
      <c r="M14" s="293"/>
      <c r="N14" s="293"/>
      <c r="O14" s="1"/>
      <c r="P14" s="1"/>
    </row>
    <row r="15" spans="1:16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2007</v>
      </c>
      <c r="D17" s="429">
        <v>2658452</v>
      </c>
      <c r="E17" s="437">
        <v>47472.357142857138</v>
      </c>
      <c r="F17" s="429">
        <v>2610979.6428571427</v>
      </c>
      <c r="G17" s="437">
        <v>399720.94779110374</v>
      </c>
      <c r="H17" s="438">
        <v>399720.94779110374</v>
      </c>
      <c r="I17" s="52">
        <v>0</v>
      </c>
      <c r="J17" s="52"/>
      <c r="K17" s="112">
        <f>G17</f>
        <v>399720.94779110374</v>
      </c>
      <c r="L17" s="53">
        <f>IF(K17&lt;&gt;0,+G17-K17,0)</f>
        <v>0</v>
      </c>
      <c r="M17" s="112">
        <f>H17</f>
        <v>399720.94779110374</v>
      </c>
      <c r="N17" s="53">
        <f>IF(M17&lt;&gt;0,+H17-M17,0)</f>
        <v>0</v>
      </c>
      <c r="O17" s="54">
        <f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2008</v>
      </c>
      <c r="D18" s="431">
        <v>2610979.6428571427</v>
      </c>
      <c r="E18" s="430">
        <v>63296.476190476191</v>
      </c>
      <c r="F18" s="431">
        <v>2547683.1666666665</v>
      </c>
      <c r="G18" s="430">
        <v>407005.70706543193</v>
      </c>
      <c r="H18" s="438">
        <v>407005.70706543193</v>
      </c>
      <c r="I18" s="52">
        <v>0</v>
      </c>
      <c r="J18" s="52"/>
      <c r="K18" s="113">
        <f>G18</f>
        <v>407005.70706543193</v>
      </c>
      <c r="L18" s="54">
        <f>IF(K18&lt;&gt;0,+G18-K18,0)</f>
        <v>0</v>
      </c>
      <c r="M18" s="113">
        <f>H18</f>
        <v>407005.70706543193</v>
      </c>
      <c r="N18" s="54">
        <f>IF(M18&lt;&gt;0,+H18-M18,0)</f>
        <v>0</v>
      </c>
      <c r="O18" s="54">
        <f>+N18-L18</f>
        <v>0</v>
      </c>
      <c r="P18" s="1"/>
    </row>
    <row r="19" spans="2:16" ht="12.5">
      <c r="B19" s="7" t="str">
        <f>IF(D19=F18,"","IU")</f>
        <v/>
      </c>
      <c r="C19" s="50">
        <f>IF(D11="","-",+C18+1)</f>
        <v>2009</v>
      </c>
      <c r="D19" s="431">
        <v>2547683.1666666665</v>
      </c>
      <c r="E19" s="430">
        <v>63296.476190476191</v>
      </c>
      <c r="F19" s="431">
        <v>2484386.6904761903</v>
      </c>
      <c r="G19" s="430">
        <v>398466.34729214112</v>
      </c>
      <c r="H19" s="438">
        <v>398466.34729214112</v>
      </c>
      <c r="I19" s="52">
        <v>0</v>
      </c>
      <c r="J19" s="52"/>
      <c r="K19" s="113">
        <f t="shared" ref="K19:K24" si="0">G19</f>
        <v>398466.34729214112</v>
      </c>
      <c r="L19" s="54">
        <f t="shared" ref="L19:L24" si="1">IF(K19&lt;&gt;0,+G19-K19,0)</f>
        <v>0</v>
      </c>
      <c r="M19" s="113">
        <f t="shared" ref="M19:M24" si="2">H19</f>
        <v>398466.34729214112</v>
      </c>
      <c r="N19" s="54">
        <f t="shared" ref="N19:N24" si="3">IF(M19&lt;&gt;0,+H19-M19,0)</f>
        <v>0</v>
      </c>
      <c r="O19" s="54">
        <f t="shared" ref="O19:O24" si="4">+N19-L19</f>
        <v>0</v>
      </c>
      <c r="P19" s="1"/>
    </row>
    <row r="20" spans="2:16" ht="12.5">
      <c r="B20" s="7" t="str">
        <f t="shared" ref="B20:B72" si="5">IF(D20=F19,"","IU")</f>
        <v/>
      </c>
      <c r="C20" s="50">
        <f>IF(D11="","-",+C19+1)</f>
        <v>2010</v>
      </c>
      <c r="D20" s="431">
        <v>2484386.6904761903</v>
      </c>
      <c r="E20" s="430">
        <v>63296.476190476191</v>
      </c>
      <c r="F20" s="431">
        <v>2421090.2142857141</v>
      </c>
      <c r="G20" s="430">
        <v>389926.98751885031</v>
      </c>
      <c r="H20" s="438">
        <v>389926.98751885031</v>
      </c>
      <c r="I20" s="52">
        <v>0</v>
      </c>
      <c r="J20" s="52"/>
      <c r="K20" s="113">
        <f t="shared" si="0"/>
        <v>389926.98751885031</v>
      </c>
      <c r="L20" s="54">
        <f t="shared" si="1"/>
        <v>0</v>
      </c>
      <c r="M20" s="113">
        <f t="shared" si="2"/>
        <v>389926.98751885031</v>
      </c>
      <c r="N20" s="54">
        <f t="shared" si="3"/>
        <v>0</v>
      </c>
      <c r="O20" s="54">
        <f t="shared" si="4"/>
        <v>0</v>
      </c>
      <c r="P20" s="1"/>
    </row>
    <row r="21" spans="2:16" ht="12.5">
      <c r="B21" s="7" t="str">
        <f t="shared" si="5"/>
        <v/>
      </c>
      <c r="C21" s="50">
        <f>IF(D11="","-",+C20+1)</f>
        <v>2011</v>
      </c>
      <c r="D21" s="431">
        <v>2421090.2142857141</v>
      </c>
      <c r="E21" s="430">
        <v>63296.476190476191</v>
      </c>
      <c r="F21" s="431">
        <v>2357793.7380952379</v>
      </c>
      <c r="G21" s="430">
        <v>381387.62774555944</v>
      </c>
      <c r="H21" s="438">
        <v>381387.62774555944</v>
      </c>
      <c r="I21" s="52">
        <v>0</v>
      </c>
      <c r="J21" s="52"/>
      <c r="K21" s="113">
        <f t="shared" si="0"/>
        <v>381387.62774555944</v>
      </c>
      <c r="L21" s="54">
        <f t="shared" si="1"/>
        <v>0</v>
      </c>
      <c r="M21" s="113">
        <f t="shared" si="2"/>
        <v>381387.62774555944</v>
      </c>
      <c r="N21" s="54">
        <f t="shared" si="3"/>
        <v>0</v>
      </c>
      <c r="O21" s="54">
        <f t="shared" si="4"/>
        <v>0</v>
      </c>
      <c r="P21" s="1"/>
    </row>
    <row r="22" spans="2:16" ht="12.5">
      <c r="B22" s="7" t="str">
        <f t="shared" si="5"/>
        <v/>
      </c>
      <c r="C22" s="50">
        <f>IF(D11="","-",+C21+1)</f>
        <v>2012</v>
      </c>
      <c r="D22" s="431">
        <v>2357793.7380952379</v>
      </c>
      <c r="E22" s="430">
        <v>63296.476190476191</v>
      </c>
      <c r="F22" s="431">
        <v>2294497.2619047617</v>
      </c>
      <c r="G22" s="430">
        <v>372848.26797226863</v>
      </c>
      <c r="H22" s="438">
        <v>372848.26797226863</v>
      </c>
      <c r="I22" s="52">
        <v>0</v>
      </c>
      <c r="J22" s="52"/>
      <c r="K22" s="113">
        <f t="shared" si="0"/>
        <v>372848.26797226863</v>
      </c>
      <c r="L22" s="54">
        <f t="shared" si="1"/>
        <v>0</v>
      </c>
      <c r="M22" s="113">
        <f t="shared" si="2"/>
        <v>372848.26797226863</v>
      </c>
      <c r="N22" s="54">
        <f t="shared" si="3"/>
        <v>0</v>
      </c>
      <c r="O22" s="54">
        <f t="shared" si="4"/>
        <v>0</v>
      </c>
      <c r="P22" s="1"/>
    </row>
    <row r="23" spans="2:16" ht="12.5">
      <c r="B23" s="7" t="str">
        <f t="shared" si="5"/>
        <v/>
      </c>
      <c r="C23" s="50">
        <f>IF(D11="","-",+C22+1)</f>
        <v>2013</v>
      </c>
      <c r="D23" s="431">
        <v>2294497.2619047617</v>
      </c>
      <c r="E23" s="430">
        <v>63296.476190476191</v>
      </c>
      <c r="F23" s="431">
        <v>2231200.7857142854</v>
      </c>
      <c r="G23" s="430">
        <v>364308.90819897782</v>
      </c>
      <c r="H23" s="438">
        <v>364308.90819897782</v>
      </c>
      <c r="I23" s="52">
        <v>0</v>
      </c>
      <c r="J23" s="52"/>
      <c r="K23" s="113">
        <f t="shared" si="0"/>
        <v>364308.90819897782</v>
      </c>
      <c r="L23" s="54">
        <f t="shared" si="1"/>
        <v>0</v>
      </c>
      <c r="M23" s="113">
        <f t="shared" si="2"/>
        <v>364308.90819897782</v>
      </c>
      <c r="N23" s="54">
        <f t="shared" si="3"/>
        <v>0</v>
      </c>
      <c r="O23" s="54">
        <f t="shared" si="4"/>
        <v>0</v>
      </c>
      <c r="P23" s="1"/>
    </row>
    <row r="24" spans="2:16" ht="12.5">
      <c r="B24" s="7" t="str">
        <f t="shared" si="5"/>
        <v/>
      </c>
      <c r="C24" s="50">
        <f>IF(D11="","-",+C23+1)</f>
        <v>2014</v>
      </c>
      <c r="D24" s="431">
        <v>2231200.7857142854</v>
      </c>
      <c r="E24" s="430">
        <v>63296.476190476191</v>
      </c>
      <c r="F24" s="431">
        <v>2167904.3095238092</v>
      </c>
      <c r="G24" s="430">
        <v>355769.54842568695</v>
      </c>
      <c r="H24" s="438">
        <v>355769.54842568695</v>
      </c>
      <c r="I24" s="52">
        <v>0</v>
      </c>
      <c r="J24" s="52"/>
      <c r="K24" s="113">
        <f t="shared" si="0"/>
        <v>355769.54842568695</v>
      </c>
      <c r="L24" s="54">
        <f t="shared" si="1"/>
        <v>0</v>
      </c>
      <c r="M24" s="113">
        <f t="shared" si="2"/>
        <v>355769.54842568695</v>
      </c>
      <c r="N24" s="54">
        <f t="shared" si="3"/>
        <v>0</v>
      </c>
      <c r="O24" s="54">
        <f t="shared" si="4"/>
        <v>0</v>
      </c>
      <c r="P24" s="1"/>
    </row>
    <row r="25" spans="2:16" ht="12.5">
      <c r="B25" s="7" t="str">
        <f t="shared" si="5"/>
        <v/>
      </c>
      <c r="C25" s="50">
        <f>IF(D11="","-",+C24+1)</f>
        <v>2015</v>
      </c>
      <c r="D25" s="431">
        <v>2167904.3095238092</v>
      </c>
      <c r="E25" s="430">
        <v>63296.476190476191</v>
      </c>
      <c r="F25" s="431">
        <v>2104607.833333333</v>
      </c>
      <c r="G25" s="430">
        <v>340483.43201030308</v>
      </c>
      <c r="H25" s="438">
        <v>340483.43201030308</v>
      </c>
      <c r="I25" s="52">
        <v>0</v>
      </c>
      <c r="J25" s="52"/>
      <c r="K25" s="113">
        <f t="shared" ref="K25:K30" si="6">G25</f>
        <v>340483.43201030308</v>
      </c>
      <c r="L25" s="54">
        <f t="shared" ref="L25:L30" si="7">IF(K25&lt;&gt;0,+G25-K25,0)</f>
        <v>0</v>
      </c>
      <c r="M25" s="113">
        <f t="shared" ref="M25:M30" si="8">H25</f>
        <v>340483.43201030308</v>
      </c>
      <c r="N25" s="54">
        <f>IF(M25&lt;&gt;0,+H25-M25,0)</f>
        <v>0</v>
      </c>
      <c r="O25" s="54">
        <f>+N25-L25</f>
        <v>0</v>
      </c>
      <c r="P25" s="1"/>
    </row>
    <row r="26" spans="2:16" ht="12.5">
      <c r="B26" s="7" t="str">
        <f t="shared" si="5"/>
        <v/>
      </c>
      <c r="C26" s="50">
        <f>IF(D11="","-",+C25+1)</f>
        <v>2016</v>
      </c>
      <c r="D26" s="431">
        <v>2104607.833333333</v>
      </c>
      <c r="E26" s="430">
        <v>63296.476190476191</v>
      </c>
      <c r="F26" s="431">
        <v>2041311.3571428568</v>
      </c>
      <c r="G26" s="430">
        <v>328830.20653345349</v>
      </c>
      <c r="H26" s="438">
        <v>328830.20653345349</v>
      </c>
      <c r="I26" s="52">
        <f>H26-G26</f>
        <v>0</v>
      </c>
      <c r="J26" s="52"/>
      <c r="K26" s="113">
        <f t="shared" si="6"/>
        <v>328830.20653345349</v>
      </c>
      <c r="L26" s="54">
        <f t="shared" si="7"/>
        <v>0</v>
      </c>
      <c r="M26" s="113">
        <f t="shared" si="8"/>
        <v>328830.20653345349</v>
      </c>
      <c r="N26" s="54">
        <f>IF(M26&lt;&gt;0,+H26-M26,0)</f>
        <v>0</v>
      </c>
      <c r="O26" s="54">
        <f>+N26-L26</f>
        <v>0</v>
      </c>
      <c r="P26" s="1"/>
    </row>
    <row r="27" spans="2:16" ht="12.5">
      <c r="B27" s="7" t="str">
        <f t="shared" si="5"/>
        <v/>
      </c>
      <c r="C27" s="50">
        <f>IF(D11="","-",+C26+1)</f>
        <v>2017</v>
      </c>
      <c r="D27" s="431">
        <v>2041311.3571428568</v>
      </c>
      <c r="E27" s="430">
        <v>61824.465116279069</v>
      </c>
      <c r="F27" s="431">
        <v>1979486.8920265778</v>
      </c>
      <c r="G27" s="430">
        <v>310897.9062413022</v>
      </c>
      <c r="H27" s="438">
        <v>310897.9062413022</v>
      </c>
      <c r="I27" s="52">
        <f t="shared" ref="I27:I72" si="9">H27-G27</f>
        <v>0</v>
      </c>
      <c r="J27" s="52"/>
      <c r="K27" s="113">
        <f t="shared" si="6"/>
        <v>310897.9062413022</v>
      </c>
      <c r="L27" s="54">
        <f t="shared" si="7"/>
        <v>0</v>
      </c>
      <c r="M27" s="113">
        <f t="shared" si="8"/>
        <v>310897.9062413022</v>
      </c>
      <c r="N27" s="54">
        <f>IF(M27&lt;&gt;0,+H27-M27,0)</f>
        <v>0</v>
      </c>
      <c r="O27" s="54">
        <f>+N27-L27</f>
        <v>0</v>
      </c>
      <c r="P27" s="1"/>
    </row>
    <row r="28" spans="2:16" ht="12.5">
      <c r="B28" s="7" t="str">
        <f t="shared" si="5"/>
        <v/>
      </c>
      <c r="C28" s="50">
        <f>IF(D11="","-",+C27+1)</f>
        <v>2018</v>
      </c>
      <c r="D28" s="431">
        <v>1979486.8920265778</v>
      </c>
      <c r="E28" s="430">
        <v>64840.292682926833</v>
      </c>
      <c r="F28" s="431">
        <v>1914646.599343651</v>
      </c>
      <c r="G28" s="430">
        <v>312300.98627895484</v>
      </c>
      <c r="H28" s="438">
        <v>312300.98627895484</v>
      </c>
      <c r="I28" s="52">
        <f t="shared" si="9"/>
        <v>0</v>
      </c>
      <c r="J28" s="52"/>
      <c r="K28" s="113">
        <f t="shared" si="6"/>
        <v>312300.98627895484</v>
      </c>
      <c r="L28" s="54">
        <f t="shared" si="7"/>
        <v>0</v>
      </c>
      <c r="M28" s="113">
        <f t="shared" si="8"/>
        <v>312300.98627895484</v>
      </c>
      <c r="N28" s="54">
        <f>IF(M28&lt;&gt;0,+H28-M28,0)</f>
        <v>0</v>
      </c>
      <c r="O28" s="54">
        <f>+N28-L28</f>
        <v>0</v>
      </c>
      <c r="P28" s="1"/>
    </row>
    <row r="29" spans="2:16" ht="12.5">
      <c r="B29" s="7" t="str">
        <f t="shared" si="5"/>
        <v/>
      </c>
      <c r="C29" s="50">
        <f>IF(D11="","-",+C28+1)</f>
        <v>2019</v>
      </c>
      <c r="D29" s="431">
        <v>1914646.599343651</v>
      </c>
      <c r="E29" s="430">
        <v>64840.292682926833</v>
      </c>
      <c r="F29" s="431">
        <v>1849806.3066607241</v>
      </c>
      <c r="G29" s="430">
        <v>304060.16770617355</v>
      </c>
      <c r="H29" s="438">
        <v>304060.16770617355</v>
      </c>
      <c r="I29" s="52">
        <f t="shared" si="9"/>
        <v>0</v>
      </c>
      <c r="J29" s="52"/>
      <c r="K29" s="113">
        <f t="shared" si="6"/>
        <v>304060.16770617355</v>
      </c>
      <c r="L29" s="54">
        <f t="shared" si="7"/>
        <v>0</v>
      </c>
      <c r="M29" s="113">
        <f t="shared" si="8"/>
        <v>304060.16770617355</v>
      </c>
      <c r="N29" s="54">
        <f t="shared" ref="N29:N72" si="10">IF(M29&lt;&gt;0,+H29-M29,0)</f>
        <v>0</v>
      </c>
      <c r="O29" s="54">
        <f t="shared" ref="O29:O72" si="11">+N29-L29</f>
        <v>0</v>
      </c>
      <c r="P29" s="1"/>
    </row>
    <row r="30" spans="2:16" ht="12.5">
      <c r="B30" s="7" t="str">
        <f t="shared" si="5"/>
        <v/>
      </c>
      <c r="C30" s="50">
        <f>IF(D11="","-",+C29+1)</f>
        <v>2020</v>
      </c>
      <c r="D30" s="431">
        <v>1849806.3066607241</v>
      </c>
      <c r="E30" s="430">
        <v>64840.292682926833</v>
      </c>
      <c r="F30" s="431">
        <v>1784966.0139777972</v>
      </c>
      <c r="G30" s="430">
        <v>250823.33283113065</v>
      </c>
      <c r="H30" s="438">
        <v>250823.33283113065</v>
      </c>
      <c r="I30" s="52">
        <f t="shared" si="9"/>
        <v>0</v>
      </c>
      <c r="J30" s="52"/>
      <c r="K30" s="113">
        <f t="shared" si="6"/>
        <v>250823.33283113065</v>
      </c>
      <c r="L30" s="54">
        <f t="shared" si="7"/>
        <v>0</v>
      </c>
      <c r="M30" s="113">
        <f t="shared" si="8"/>
        <v>250823.33283113065</v>
      </c>
      <c r="N30" s="54">
        <f t="shared" si="10"/>
        <v>0</v>
      </c>
      <c r="O30" s="54">
        <f t="shared" si="11"/>
        <v>0</v>
      </c>
      <c r="P30" s="1"/>
    </row>
    <row r="31" spans="2:16" ht="12.5">
      <c r="B31" s="7" t="str">
        <f t="shared" si="5"/>
        <v>IU</v>
      </c>
      <c r="C31" s="50">
        <f>IF(D11="","-",+C30+1)</f>
        <v>2021</v>
      </c>
      <c r="D31" s="431">
        <v>1787981.8415444451</v>
      </c>
      <c r="E31" s="430">
        <v>63296.476190476191</v>
      </c>
      <c r="F31" s="431">
        <v>1724685.3653539689</v>
      </c>
      <c r="G31" s="430">
        <v>249475.8207671784</v>
      </c>
      <c r="H31" s="438">
        <v>249475.8207671784</v>
      </c>
      <c r="I31" s="52">
        <f t="shared" si="9"/>
        <v>0</v>
      </c>
      <c r="J31" s="52"/>
      <c r="K31" s="113">
        <f t="shared" ref="K31" si="12">G31</f>
        <v>249475.8207671784</v>
      </c>
      <c r="L31" s="54">
        <f t="shared" ref="L31" si="13">IF(K31&lt;&gt;0,+G31-K31,0)</f>
        <v>0</v>
      </c>
      <c r="M31" s="113">
        <f t="shared" ref="M31" si="14">H31</f>
        <v>249475.8207671784</v>
      </c>
      <c r="N31" s="54">
        <f t="shared" si="10"/>
        <v>0</v>
      </c>
      <c r="O31" s="54">
        <f t="shared" si="11"/>
        <v>0</v>
      </c>
      <c r="P31" s="1"/>
    </row>
    <row r="32" spans="2:16" ht="12.5">
      <c r="B32" s="7" t="str">
        <f t="shared" si="5"/>
        <v>IU</v>
      </c>
      <c r="C32" s="50">
        <f>IF(D11="","-",+C31+1)</f>
        <v>2022</v>
      </c>
      <c r="D32" s="431">
        <v>1721669.537787321</v>
      </c>
      <c r="E32" s="430">
        <v>63296.476190476191</v>
      </c>
      <c r="F32" s="431">
        <v>1658373.0615968448</v>
      </c>
      <c r="G32" s="430">
        <v>253329.39494750532</v>
      </c>
      <c r="H32" s="438">
        <v>253329.39494750532</v>
      </c>
      <c r="I32" s="52">
        <f t="shared" si="9"/>
        <v>0</v>
      </c>
      <c r="J32" s="52"/>
      <c r="K32" s="113">
        <f t="shared" ref="K32" si="15">G32</f>
        <v>253329.39494750532</v>
      </c>
      <c r="L32" s="54">
        <f t="shared" ref="L32" si="16">IF(K32&lt;&gt;0,+G32-K32,0)</f>
        <v>0</v>
      </c>
      <c r="M32" s="113">
        <f t="shared" ref="M32" si="17">H32</f>
        <v>253329.39494750532</v>
      </c>
      <c r="N32" s="54">
        <f t="shared" si="10"/>
        <v>0</v>
      </c>
      <c r="O32" s="54">
        <f t="shared" si="11"/>
        <v>0</v>
      </c>
      <c r="P32" s="1"/>
    </row>
    <row r="33" spans="2:16" ht="12.5">
      <c r="B33" s="7" t="str">
        <f t="shared" si="5"/>
        <v/>
      </c>
      <c r="C33" s="50">
        <f>IF(D11="","-",+C32+1)</f>
        <v>2023</v>
      </c>
      <c r="D33" s="431">
        <v>1658373.0615968448</v>
      </c>
      <c r="E33" s="430">
        <v>63296.476190476191</v>
      </c>
      <c r="F33" s="431">
        <v>1595076.5854063686</v>
      </c>
      <c r="G33" s="430">
        <v>268795.39807015983</v>
      </c>
      <c r="H33" s="438">
        <v>268795.39807015983</v>
      </c>
      <c r="I33" s="52">
        <f t="shared" si="9"/>
        <v>0</v>
      </c>
      <c r="J33" s="52"/>
      <c r="K33" s="113">
        <f t="shared" ref="K33" si="18">G33</f>
        <v>268795.39807015983</v>
      </c>
      <c r="L33" s="54">
        <f t="shared" ref="L33" si="19">IF(K33&lt;&gt;0,+G33-K33,0)</f>
        <v>0</v>
      </c>
      <c r="M33" s="113">
        <f t="shared" ref="M33" si="20">H33</f>
        <v>268795.39807015983</v>
      </c>
      <c r="N33" s="54">
        <f t="shared" si="10"/>
        <v>0</v>
      </c>
      <c r="O33" s="54">
        <f t="shared" si="11"/>
        <v>0</v>
      </c>
      <c r="P33" s="1"/>
    </row>
    <row r="34" spans="2:16" ht="12.5">
      <c r="B34" s="7" t="str">
        <f t="shared" si="5"/>
        <v/>
      </c>
      <c r="C34" s="50">
        <f>IF(D11="","-",+C33+1)</f>
        <v>2024</v>
      </c>
      <c r="D34" s="431">
        <v>1595076.5854063686</v>
      </c>
      <c r="E34" s="430">
        <v>60419.36363636364</v>
      </c>
      <c r="F34" s="431">
        <v>1534657.2217700051</v>
      </c>
      <c r="G34" s="430">
        <v>247463.41604259165</v>
      </c>
      <c r="H34" s="438">
        <v>247463.41604259165</v>
      </c>
      <c r="I34" s="52">
        <f t="shared" si="9"/>
        <v>0</v>
      </c>
      <c r="J34" s="52"/>
      <c r="K34" s="113">
        <f t="shared" ref="K34" si="21">G34</f>
        <v>247463.41604259165</v>
      </c>
      <c r="L34" s="54">
        <f t="shared" ref="L34" si="22">IF(K34&lt;&gt;0,+G34-K34,0)</f>
        <v>0</v>
      </c>
      <c r="M34" s="113">
        <f t="shared" ref="M34" si="23">H34</f>
        <v>247463.41604259165</v>
      </c>
      <c r="N34" s="54">
        <f t="shared" ref="N34" si="24">IF(M34&lt;&gt;0,+H34-M34,0)</f>
        <v>0</v>
      </c>
      <c r="O34" s="54">
        <f t="shared" ref="O34" si="25">+N34-L34</f>
        <v>0</v>
      </c>
      <c r="P34" s="1"/>
    </row>
    <row r="35" spans="2:16" ht="12.5">
      <c r="B35" s="7" t="str">
        <f t="shared" si="5"/>
        <v/>
      </c>
      <c r="C35" s="50">
        <f>IF(D11="","-",+C34+1)</f>
        <v>2025</v>
      </c>
      <c r="D35" s="55">
        <f>IF(F34+SUM(E$17:E34)=D$10,F34,D$10-SUM(E$17:E34))</f>
        <v>1534657.2217700051</v>
      </c>
      <c r="E35" s="378">
        <f>IF(+I14&lt;F34,I14,D35)</f>
        <v>60419.36363636364</v>
      </c>
      <c r="F35" s="55">
        <f t="shared" ref="F35:F72" si="26">+D35-E35</f>
        <v>1474237.8581336415</v>
      </c>
      <c r="G35" s="379">
        <f t="shared" ref="G35:G72" si="27">+I$12*((D35+F35)/2)+E35</f>
        <v>240241.66281077496</v>
      </c>
      <c r="H35" s="364">
        <f t="shared" ref="H35:H72" si="28">+I$13*((D35+F35)/2)+E35</f>
        <v>240241.66281077496</v>
      </c>
      <c r="I35" s="52">
        <f t="shared" si="9"/>
        <v>0</v>
      </c>
      <c r="J35" s="52"/>
      <c r="K35" s="129"/>
      <c r="L35" s="54">
        <f t="shared" ref="L35:L72" si="29">IF(K35&lt;&gt;0,+G35-K35,0)</f>
        <v>0</v>
      </c>
      <c r="M35" s="129"/>
      <c r="N35" s="54">
        <f t="shared" si="10"/>
        <v>0</v>
      </c>
      <c r="O35" s="54">
        <f t="shared" si="11"/>
        <v>0</v>
      </c>
      <c r="P35" s="1"/>
    </row>
    <row r="36" spans="2:16" ht="12.5">
      <c r="B36" s="7" t="str">
        <f t="shared" si="5"/>
        <v/>
      </c>
      <c r="C36" s="50">
        <f>IF(D11="","-",+C35+1)</f>
        <v>2026</v>
      </c>
      <c r="D36" s="55">
        <f>IF(F35+SUM(E$17:E35)=D$10,F35,D$10-SUM(E$17:E35))</f>
        <v>1474237.8581336415</v>
      </c>
      <c r="E36" s="378">
        <f>IF(+I14&lt;F35,I14,D36)</f>
        <v>60419.36363636364</v>
      </c>
      <c r="F36" s="55">
        <f t="shared" si="26"/>
        <v>1413818.494497278</v>
      </c>
      <c r="G36" s="379">
        <f t="shared" si="27"/>
        <v>233019.90957895832</v>
      </c>
      <c r="H36" s="364">
        <f t="shared" si="28"/>
        <v>233019.90957895832</v>
      </c>
      <c r="I36" s="52">
        <f t="shared" si="9"/>
        <v>0</v>
      </c>
      <c r="J36" s="52"/>
      <c r="K36" s="129"/>
      <c r="L36" s="54">
        <f t="shared" si="29"/>
        <v>0</v>
      </c>
      <c r="M36" s="129"/>
      <c r="N36" s="54">
        <f t="shared" si="10"/>
        <v>0</v>
      </c>
      <c r="O36" s="54">
        <f t="shared" si="11"/>
        <v>0</v>
      </c>
      <c r="P36" s="1"/>
    </row>
    <row r="37" spans="2:16" ht="12.5">
      <c r="B37" s="7" t="str">
        <f t="shared" si="5"/>
        <v/>
      </c>
      <c r="C37" s="50">
        <f>IF(D11="","-",+C36+1)</f>
        <v>2027</v>
      </c>
      <c r="D37" s="55">
        <f>IF(F36+SUM(E$17:E36)=D$10,F36,D$10-SUM(E$17:E36))</f>
        <v>1413818.494497278</v>
      </c>
      <c r="E37" s="378">
        <f>IF(+I14&lt;F36,I14,D37)</f>
        <v>60419.36363636364</v>
      </c>
      <c r="F37" s="55">
        <f t="shared" si="26"/>
        <v>1353399.1308609145</v>
      </c>
      <c r="G37" s="379">
        <f t="shared" si="27"/>
        <v>225798.15634714163</v>
      </c>
      <c r="H37" s="364">
        <f t="shared" si="28"/>
        <v>225798.15634714163</v>
      </c>
      <c r="I37" s="52">
        <f t="shared" si="9"/>
        <v>0</v>
      </c>
      <c r="J37" s="52"/>
      <c r="K37" s="129"/>
      <c r="L37" s="54">
        <f t="shared" si="29"/>
        <v>0</v>
      </c>
      <c r="M37" s="129"/>
      <c r="N37" s="54">
        <f t="shared" si="10"/>
        <v>0</v>
      </c>
      <c r="O37" s="54">
        <f t="shared" si="11"/>
        <v>0</v>
      </c>
      <c r="P37" s="1"/>
    </row>
    <row r="38" spans="2:16" ht="12.5">
      <c r="B38" s="7" t="str">
        <f t="shared" si="5"/>
        <v/>
      </c>
      <c r="C38" s="50">
        <f>IF(D11="","-",+C37+1)</f>
        <v>2028</v>
      </c>
      <c r="D38" s="55">
        <f>IF(F37+SUM(E$17:E37)=D$10,F37,D$10-SUM(E$17:E37))</f>
        <v>1353399.1308609145</v>
      </c>
      <c r="E38" s="378">
        <f>IF(+I14&lt;F37,I14,D38)</f>
        <v>60419.36363636364</v>
      </c>
      <c r="F38" s="55">
        <f t="shared" si="26"/>
        <v>1292979.7672245509</v>
      </c>
      <c r="G38" s="379">
        <f t="shared" si="27"/>
        <v>218576.403115325</v>
      </c>
      <c r="H38" s="364">
        <f t="shared" si="28"/>
        <v>218576.403115325</v>
      </c>
      <c r="I38" s="52">
        <f t="shared" si="9"/>
        <v>0</v>
      </c>
      <c r="J38" s="52"/>
      <c r="K38" s="129"/>
      <c r="L38" s="54">
        <f t="shared" si="29"/>
        <v>0</v>
      </c>
      <c r="M38" s="129"/>
      <c r="N38" s="54">
        <f t="shared" si="10"/>
        <v>0</v>
      </c>
      <c r="O38" s="54">
        <f t="shared" si="11"/>
        <v>0</v>
      </c>
      <c r="P38" s="1"/>
    </row>
    <row r="39" spans="2:16" ht="12.5">
      <c r="B39" s="7" t="str">
        <f t="shared" si="5"/>
        <v/>
      </c>
      <c r="C39" s="50">
        <f>IF(D11="","-",+C38+1)</f>
        <v>2029</v>
      </c>
      <c r="D39" s="55">
        <f>IF(F38+SUM(E$17:E38)=D$10,F38,D$10-SUM(E$17:E38))</f>
        <v>1292979.7672245509</v>
      </c>
      <c r="E39" s="378">
        <f>IF(+I14&lt;F38,I14,D39)</f>
        <v>60419.36363636364</v>
      </c>
      <c r="F39" s="55">
        <f t="shared" si="26"/>
        <v>1232560.4035881874</v>
      </c>
      <c r="G39" s="379">
        <f t="shared" si="27"/>
        <v>211354.6498835083</v>
      </c>
      <c r="H39" s="364">
        <f t="shared" si="28"/>
        <v>211354.6498835083</v>
      </c>
      <c r="I39" s="52">
        <f t="shared" si="9"/>
        <v>0</v>
      </c>
      <c r="J39" s="52"/>
      <c r="K39" s="129"/>
      <c r="L39" s="54">
        <f t="shared" si="29"/>
        <v>0</v>
      </c>
      <c r="M39" s="129"/>
      <c r="N39" s="54">
        <f t="shared" si="10"/>
        <v>0</v>
      </c>
      <c r="O39" s="54">
        <f t="shared" si="11"/>
        <v>0</v>
      </c>
      <c r="P39" s="1"/>
    </row>
    <row r="40" spans="2:16" ht="12.5">
      <c r="B40" s="7" t="str">
        <f t="shared" si="5"/>
        <v/>
      </c>
      <c r="C40" s="50">
        <f>IF(D11="","-",+C39+1)</f>
        <v>2030</v>
      </c>
      <c r="D40" s="55">
        <f>IF(F39+SUM(E$17:E39)=D$10,F39,D$10-SUM(E$17:E39))</f>
        <v>1232560.4035881874</v>
      </c>
      <c r="E40" s="378">
        <f>IF(+I14&lt;F39,I14,D40)</f>
        <v>60419.36363636364</v>
      </c>
      <c r="F40" s="55">
        <f t="shared" si="26"/>
        <v>1172141.0399518239</v>
      </c>
      <c r="G40" s="379">
        <f t="shared" si="27"/>
        <v>204132.89665169167</v>
      </c>
      <c r="H40" s="364">
        <f t="shared" si="28"/>
        <v>204132.89665169167</v>
      </c>
      <c r="I40" s="52">
        <f t="shared" si="9"/>
        <v>0</v>
      </c>
      <c r="J40" s="52"/>
      <c r="K40" s="129"/>
      <c r="L40" s="54">
        <f t="shared" si="29"/>
        <v>0</v>
      </c>
      <c r="M40" s="129"/>
      <c r="N40" s="54">
        <f t="shared" si="10"/>
        <v>0</v>
      </c>
      <c r="O40" s="54">
        <f t="shared" si="11"/>
        <v>0</v>
      </c>
      <c r="P40" s="1"/>
    </row>
    <row r="41" spans="2:16" ht="12.5">
      <c r="B41" s="7" t="str">
        <f t="shared" si="5"/>
        <v/>
      </c>
      <c r="C41" s="50">
        <f>IF(D11="","-",+C40+1)</f>
        <v>2031</v>
      </c>
      <c r="D41" s="55">
        <f>IF(F40+SUM(E$17:E40)=D$10,F40,D$10-SUM(E$17:E40))</f>
        <v>1172141.0399518239</v>
      </c>
      <c r="E41" s="378">
        <f>IF(+I14&lt;F40,I14,D41)</f>
        <v>60419.36363636364</v>
      </c>
      <c r="F41" s="55">
        <f t="shared" si="26"/>
        <v>1111721.6763154604</v>
      </c>
      <c r="G41" s="379">
        <f t="shared" si="27"/>
        <v>196911.14341987498</v>
      </c>
      <c r="H41" s="364">
        <f t="shared" si="28"/>
        <v>196911.14341987498</v>
      </c>
      <c r="I41" s="52">
        <f t="shared" si="9"/>
        <v>0</v>
      </c>
      <c r="J41" s="52"/>
      <c r="K41" s="129"/>
      <c r="L41" s="54">
        <f t="shared" si="29"/>
        <v>0</v>
      </c>
      <c r="M41" s="129"/>
      <c r="N41" s="54">
        <f t="shared" si="10"/>
        <v>0</v>
      </c>
      <c r="O41" s="54">
        <f t="shared" si="11"/>
        <v>0</v>
      </c>
      <c r="P41" s="1"/>
    </row>
    <row r="42" spans="2:16" ht="12.5">
      <c r="B42" s="7" t="str">
        <f t="shared" si="5"/>
        <v/>
      </c>
      <c r="C42" s="50">
        <f>IF(D11="","-",+C41+1)</f>
        <v>2032</v>
      </c>
      <c r="D42" s="55">
        <f>IF(F41+SUM(E$17:E41)=D$10,F41,D$10-SUM(E$17:E41))</f>
        <v>1111721.6763154604</v>
      </c>
      <c r="E42" s="378">
        <f>IF(+I14&lt;F41,I14,D42)</f>
        <v>60419.36363636364</v>
      </c>
      <c r="F42" s="55">
        <f t="shared" si="26"/>
        <v>1051302.3126790968</v>
      </c>
      <c r="G42" s="379">
        <f t="shared" si="27"/>
        <v>189689.39018805834</v>
      </c>
      <c r="H42" s="364">
        <f t="shared" si="28"/>
        <v>189689.39018805834</v>
      </c>
      <c r="I42" s="52">
        <f t="shared" si="9"/>
        <v>0</v>
      </c>
      <c r="J42" s="52"/>
      <c r="K42" s="129"/>
      <c r="L42" s="54">
        <f t="shared" si="29"/>
        <v>0</v>
      </c>
      <c r="M42" s="129"/>
      <c r="N42" s="54">
        <f t="shared" si="10"/>
        <v>0</v>
      </c>
      <c r="O42" s="54">
        <f t="shared" si="11"/>
        <v>0</v>
      </c>
      <c r="P42" s="1"/>
    </row>
    <row r="43" spans="2:16" ht="12.5">
      <c r="B43" s="7" t="str">
        <f t="shared" si="5"/>
        <v/>
      </c>
      <c r="C43" s="50">
        <f>IF(D11="","-",+C42+1)</f>
        <v>2033</v>
      </c>
      <c r="D43" s="55">
        <f>IF(F42+SUM(E$17:E42)=D$10,F42,D$10-SUM(E$17:E42))</f>
        <v>1051302.3126790968</v>
      </c>
      <c r="E43" s="378">
        <f>IF(+I14&lt;F42,I14,D43)</f>
        <v>60419.36363636364</v>
      </c>
      <c r="F43" s="55">
        <f t="shared" si="26"/>
        <v>990882.94904273318</v>
      </c>
      <c r="G43" s="379">
        <f t="shared" si="27"/>
        <v>182467.63695624162</v>
      </c>
      <c r="H43" s="364">
        <f t="shared" si="28"/>
        <v>182467.63695624162</v>
      </c>
      <c r="I43" s="52">
        <f t="shared" si="9"/>
        <v>0</v>
      </c>
      <c r="J43" s="52"/>
      <c r="K43" s="129"/>
      <c r="L43" s="54">
        <f t="shared" si="29"/>
        <v>0</v>
      </c>
      <c r="M43" s="129"/>
      <c r="N43" s="54">
        <f t="shared" si="10"/>
        <v>0</v>
      </c>
      <c r="O43" s="54">
        <f t="shared" si="11"/>
        <v>0</v>
      </c>
      <c r="P43" s="1"/>
    </row>
    <row r="44" spans="2:16" ht="12.5">
      <c r="B44" s="7" t="str">
        <f t="shared" si="5"/>
        <v/>
      </c>
      <c r="C44" s="50">
        <f>IF(D11="","-",+C43+1)</f>
        <v>2034</v>
      </c>
      <c r="D44" s="55">
        <f>IF(F43+SUM(E$17:E43)=D$10,F43,D$10-SUM(E$17:E43))</f>
        <v>990882.94904273318</v>
      </c>
      <c r="E44" s="378">
        <f>IF(+I14&lt;F43,I14,D44)</f>
        <v>60419.36363636364</v>
      </c>
      <c r="F44" s="55">
        <f t="shared" si="26"/>
        <v>930463.58540636953</v>
      </c>
      <c r="G44" s="379">
        <f t="shared" si="27"/>
        <v>175245.88372442496</v>
      </c>
      <c r="H44" s="364">
        <f t="shared" si="28"/>
        <v>175245.88372442496</v>
      </c>
      <c r="I44" s="52">
        <f t="shared" si="9"/>
        <v>0</v>
      </c>
      <c r="J44" s="52"/>
      <c r="K44" s="129"/>
      <c r="L44" s="54">
        <f t="shared" si="29"/>
        <v>0</v>
      </c>
      <c r="M44" s="129"/>
      <c r="N44" s="54">
        <f t="shared" si="10"/>
        <v>0</v>
      </c>
      <c r="O44" s="54">
        <f t="shared" si="11"/>
        <v>0</v>
      </c>
      <c r="P44" s="1"/>
    </row>
    <row r="45" spans="2:16" ht="12.5">
      <c r="B45" s="7" t="str">
        <f t="shared" si="5"/>
        <v/>
      </c>
      <c r="C45" s="50">
        <f>IF(D11="","-",+C44+1)</f>
        <v>2035</v>
      </c>
      <c r="D45" s="55">
        <f>IF(F44+SUM(E$17:E44)=D$10,F44,D$10-SUM(E$17:E44))</f>
        <v>930463.58540636953</v>
      </c>
      <c r="E45" s="378">
        <f>IF(+I14&lt;F44,I14,D45)</f>
        <v>60419.36363636364</v>
      </c>
      <c r="F45" s="55">
        <f t="shared" si="26"/>
        <v>870044.22177000588</v>
      </c>
      <c r="G45" s="379">
        <f t="shared" si="27"/>
        <v>168024.13049260827</v>
      </c>
      <c r="H45" s="364">
        <f t="shared" si="28"/>
        <v>168024.13049260827</v>
      </c>
      <c r="I45" s="52">
        <f t="shared" si="9"/>
        <v>0</v>
      </c>
      <c r="J45" s="52"/>
      <c r="K45" s="129"/>
      <c r="L45" s="54">
        <f t="shared" si="29"/>
        <v>0</v>
      </c>
      <c r="M45" s="129"/>
      <c r="N45" s="54">
        <f t="shared" si="10"/>
        <v>0</v>
      </c>
      <c r="O45" s="54">
        <f t="shared" si="11"/>
        <v>0</v>
      </c>
      <c r="P45" s="1"/>
    </row>
    <row r="46" spans="2:16" ht="12.5">
      <c r="B46" s="7" t="str">
        <f t="shared" si="5"/>
        <v/>
      </c>
      <c r="C46" s="50">
        <f>IF(D11="","-",+C45+1)</f>
        <v>2036</v>
      </c>
      <c r="D46" s="55">
        <f>IF(F45+SUM(E$17:E45)=D$10,F45,D$10-SUM(E$17:E45))</f>
        <v>870044.22177000588</v>
      </c>
      <c r="E46" s="378">
        <f>IF(+I14&lt;F45,I14,D46)</f>
        <v>60419.36363636364</v>
      </c>
      <c r="F46" s="55">
        <f t="shared" si="26"/>
        <v>809624.85813364224</v>
      </c>
      <c r="G46" s="379">
        <f t="shared" si="27"/>
        <v>160802.3772607916</v>
      </c>
      <c r="H46" s="364">
        <f t="shared" si="28"/>
        <v>160802.3772607916</v>
      </c>
      <c r="I46" s="52">
        <f t="shared" si="9"/>
        <v>0</v>
      </c>
      <c r="J46" s="52"/>
      <c r="K46" s="129"/>
      <c r="L46" s="54">
        <f t="shared" si="29"/>
        <v>0</v>
      </c>
      <c r="M46" s="129"/>
      <c r="N46" s="54">
        <f t="shared" si="10"/>
        <v>0</v>
      </c>
      <c r="O46" s="54">
        <f t="shared" si="11"/>
        <v>0</v>
      </c>
      <c r="P46" s="1"/>
    </row>
    <row r="47" spans="2:16" ht="12.5">
      <c r="B47" s="7" t="str">
        <f t="shared" si="5"/>
        <v/>
      </c>
      <c r="C47" s="50">
        <f>IF(D11="","-",+C46+1)</f>
        <v>2037</v>
      </c>
      <c r="D47" s="55">
        <f>IF(F46+SUM(E$17:E46)=D$10,F46,D$10-SUM(E$17:E46))</f>
        <v>809624.85813364224</v>
      </c>
      <c r="E47" s="378">
        <f>IF(+I14&lt;F46,I14,D47)</f>
        <v>60419.36363636364</v>
      </c>
      <c r="F47" s="55">
        <f t="shared" si="26"/>
        <v>749205.49449727859</v>
      </c>
      <c r="G47" s="379">
        <f t="shared" si="27"/>
        <v>153580.62402897491</v>
      </c>
      <c r="H47" s="364">
        <f t="shared" si="28"/>
        <v>153580.62402897491</v>
      </c>
      <c r="I47" s="52">
        <f t="shared" si="9"/>
        <v>0</v>
      </c>
      <c r="J47" s="52"/>
      <c r="K47" s="129"/>
      <c r="L47" s="54">
        <f t="shared" si="29"/>
        <v>0</v>
      </c>
      <c r="M47" s="129"/>
      <c r="N47" s="54">
        <f t="shared" si="10"/>
        <v>0</v>
      </c>
      <c r="O47" s="54">
        <f t="shared" si="11"/>
        <v>0</v>
      </c>
      <c r="P47" s="1"/>
    </row>
    <row r="48" spans="2:16" ht="12.5">
      <c r="B48" s="7" t="str">
        <f t="shared" si="5"/>
        <v/>
      </c>
      <c r="C48" s="50">
        <f>IF(D11="","-",+C47+1)</f>
        <v>2038</v>
      </c>
      <c r="D48" s="55">
        <f>IF(F47+SUM(E$17:E47)=D$10,F47,D$10-SUM(E$17:E47))</f>
        <v>749205.49449727859</v>
      </c>
      <c r="E48" s="378">
        <f>IF(+I14&lt;F47,I14,D48)</f>
        <v>60419.36363636364</v>
      </c>
      <c r="F48" s="55">
        <f t="shared" si="26"/>
        <v>688786.13086091494</v>
      </c>
      <c r="G48" s="379">
        <f t="shared" si="27"/>
        <v>146358.87079715825</v>
      </c>
      <c r="H48" s="364">
        <f t="shared" si="28"/>
        <v>146358.87079715825</v>
      </c>
      <c r="I48" s="52">
        <f t="shared" si="9"/>
        <v>0</v>
      </c>
      <c r="J48" s="52"/>
      <c r="K48" s="129"/>
      <c r="L48" s="54">
        <f t="shared" si="29"/>
        <v>0</v>
      </c>
      <c r="M48" s="129"/>
      <c r="N48" s="54">
        <f t="shared" si="10"/>
        <v>0</v>
      </c>
      <c r="O48" s="54">
        <f t="shared" si="11"/>
        <v>0</v>
      </c>
      <c r="P48" s="1"/>
    </row>
    <row r="49" spans="2:16" ht="12.5">
      <c r="B49" s="7" t="str">
        <f t="shared" si="5"/>
        <v/>
      </c>
      <c r="C49" s="50">
        <f>IF(D11="","-",+C48+1)</f>
        <v>2039</v>
      </c>
      <c r="D49" s="55">
        <f>IF(F48+SUM(E$17:E48)=D$10,F48,D$10-SUM(E$17:E48))</f>
        <v>688786.13086091494</v>
      </c>
      <c r="E49" s="378">
        <f>IF(+I14&lt;F48,I14,D49)</f>
        <v>60419.36363636364</v>
      </c>
      <c r="F49" s="55">
        <f t="shared" si="26"/>
        <v>628366.76722455129</v>
      </c>
      <c r="G49" s="379">
        <f t="shared" si="27"/>
        <v>139137.11756534156</v>
      </c>
      <c r="H49" s="364">
        <f t="shared" si="28"/>
        <v>139137.11756534156</v>
      </c>
      <c r="I49" s="52">
        <f t="shared" si="9"/>
        <v>0</v>
      </c>
      <c r="J49" s="52"/>
      <c r="K49" s="129"/>
      <c r="L49" s="54">
        <f t="shared" si="29"/>
        <v>0</v>
      </c>
      <c r="M49" s="129"/>
      <c r="N49" s="54">
        <f t="shared" si="10"/>
        <v>0</v>
      </c>
      <c r="O49" s="54">
        <f t="shared" si="11"/>
        <v>0</v>
      </c>
      <c r="P49" s="1"/>
    </row>
    <row r="50" spans="2:16" ht="12.5">
      <c r="B50" s="7" t="str">
        <f t="shared" si="5"/>
        <v/>
      </c>
      <c r="C50" s="50">
        <f>IF(D11="","-",+C49+1)</f>
        <v>2040</v>
      </c>
      <c r="D50" s="55">
        <f>IF(F49+SUM(E$17:E49)=D$10,F49,D$10-SUM(E$17:E49))</f>
        <v>628366.76722455129</v>
      </c>
      <c r="E50" s="378">
        <f>IF(+I14&lt;F49,I14,D50)</f>
        <v>60419.36363636364</v>
      </c>
      <c r="F50" s="55">
        <f t="shared" si="26"/>
        <v>567947.40358818765</v>
      </c>
      <c r="G50" s="379">
        <f t="shared" si="27"/>
        <v>131915.36433352489</v>
      </c>
      <c r="H50" s="364">
        <f t="shared" si="28"/>
        <v>131915.36433352489</v>
      </c>
      <c r="I50" s="52">
        <f t="shared" si="9"/>
        <v>0</v>
      </c>
      <c r="J50" s="52"/>
      <c r="K50" s="129"/>
      <c r="L50" s="54">
        <f t="shared" si="29"/>
        <v>0</v>
      </c>
      <c r="M50" s="129"/>
      <c r="N50" s="54">
        <f t="shared" si="10"/>
        <v>0</v>
      </c>
      <c r="O50" s="54">
        <f t="shared" si="11"/>
        <v>0</v>
      </c>
      <c r="P50" s="1"/>
    </row>
    <row r="51" spans="2:16" ht="12.5">
      <c r="B51" s="7" t="str">
        <f t="shared" si="5"/>
        <v/>
      </c>
      <c r="C51" s="50">
        <f>IF(D11="","-",+C50+1)</f>
        <v>2041</v>
      </c>
      <c r="D51" s="55">
        <f>IF(F50+SUM(E$17:E50)=D$10,F50,D$10-SUM(E$17:E50))</f>
        <v>567947.40358818765</v>
      </c>
      <c r="E51" s="378">
        <f>IF(+I14&lt;F50,I14,D51)</f>
        <v>60419.36363636364</v>
      </c>
      <c r="F51" s="55">
        <f t="shared" si="26"/>
        <v>507528.039951824</v>
      </c>
      <c r="G51" s="379">
        <f t="shared" si="27"/>
        <v>124693.6111017082</v>
      </c>
      <c r="H51" s="364">
        <f t="shared" si="28"/>
        <v>124693.6111017082</v>
      </c>
      <c r="I51" s="52">
        <f t="shared" si="9"/>
        <v>0</v>
      </c>
      <c r="J51" s="52"/>
      <c r="K51" s="129"/>
      <c r="L51" s="54">
        <f t="shared" si="29"/>
        <v>0</v>
      </c>
      <c r="M51" s="129"/>
      <c r="N51" s="54">
        <f t="shared" si="10"/>
        <v>0</v>
      </c>
      <c r="O51" s="54">
        <f t="shared" si="11"/>
        <v>0</v>
      </c>
      <c r="P51" s="1"/>
    </row>
    <row r="52" spans="2:16" ht="12.5">
      <c r="B52" s="7" t="str">
        <f t="shared" si="5"/>
        <v/>
      </c>
      <c r="C52" s="50">
        <f>IF(D11="","-",+C51+1)</f>
        <v>2042</v>
      </c>
      <c r="D52" s="55">
        <f>IF(F51+SUM(E$17:E51)=D$10,F51,D$10-SUM(E$17:E51))</f>
        <v>507528.039951824</v>
      </c>
      <c r="E52" s="378">
        <f>IF(+I14&lt;F51,I14,D52)</f>
        <v>60419.36363636364</v>
      </c>
      <c r="F52" s="55">
        <f t="shared" si="26"/>
        <v>447108.67631546035</v>
      </c>
      <c r="G52" s="379">
        <f t="shared" si="27"/>
        <v>117471.85786989154</v>
      </c>
      <c r="H52" s="364">
        <f t="shared" si="28"/>
        <v>117471.85786989154</v>
      </c>
      <c r="I52" s="52">
        <f t="shared" si="9"/>
        <v>0</v>
      </c>
      <c r="J52" s="52"/>
      <c r="K52" s="129"/>
      <c r="L52" s="54">
        <f t="shared" si="29"/>
        <v>0</v>
      </c>
      <c r="M52" s="129"/>
      <c r="N52" s="54">
        <f t="shared" si="10"/>
        <v>0</v>
      </c>
      <c r="O52" s="54">
        <f t="shared" si="11"/>
        <v>0</v>
      </c>
      <c r="P52" s="1"/>
    </row>
    <row r="53" spans="2:16" ht="12.5">
      <c r="B53" s="7" t="str">
        <f t="shared" si="5"/>
        <v/>
      </c>
      <c r="C53" s="50">
        <f>IF(D11="","-",+C52+1)</f>
        <v>2043</v>
      </c>
      <c r="D53" s="55">
        <f>IF(F52+SUM(E$17:E52)=D$10,F52,D$10-SUM(E$17:E52))</f>
        <v>447108.67631546035</v>
      </c>
      <c r="E53" s="378">
        <f>IF(+I14&lt;F52,I14,D53)</f>
        <v>60419.36363636364</v>
      </c>
      <c r="F53" s="55">
        <f t="shared" si="26"/>
        <v>386689.31267909671</v>
      </c>
      <c r="G53" s="379">
        <f t="shared" si="27"/>
        <v>110250.10463807484</v>
      </c>
      <c r="H53" s="364">
        <f t="shared" si="28"/>
        <v>110250.10463807484</v>
      </c>
      <c r="I53" s="52">
        <f t="shared" si="9"/>
        <v>0</v>
      </c>
      <c r="J53" s="52"/>
      <c r="K53" s="129"/>
      <c r="L53" s="54">
        <f t="shared" si="29"/>
        <v>0</v>
      </c>
      <c r="M53" s="129"/>
      <c r="N53" s="54">
        <f t="shared" si="10"/>
        <v>0</v>
      </c>
      <c r="O53" s="54">
        <f t="shared" si="11"/>
        <v>0</v>
      </c>
      <c r="P53" s="1"/>
    </row>
    <row r="54" spans="2:16" ht="12.5">
      <c r="B54" s="7" t="str">
        <f t="shared" si="5"/>
        <v/>
      </c>
      <c r="C54" s="50">
        <f>IF(D11="","-",+C53+1)</f>
        <v>2044</v>
      </c>
      <c r="D54" s="55">
        <f>IF(F53+SUM(E$17:E53)=D$10,F53,D$10-SUM(E$17:E53))</f>
        <v>386689.31267909671</v>
      </c>
      <c r="E54" s="378">
        <f>IF(+I14&lt;F53,I14,D54)</f>
        <v>60419.36363636364</v>
      </c>
      <c r="F54" s="55">
        <f t="shared" si="26"/>
        <v>326269.94904273306</v>
      </c>
      <c r="G54" s="379">
        <f t="shared" si="27"/>
        <v>103028.35140625817</v>
      </c>
      <c r="H54" s="364">
        <f t="shared" si="28"/>
        <v>103028.35140625817</v>
      </c>
      <c r="I54" s="52">
        <f t="shared" si="9"/>
        <v>0</v>
      </c>
      <c r="J54" s="52"/>
      <c r="K54" s="129"/>
      <c r="L54" s="54">
        <f t="shared" si="29"/>
        <v>0</v>
      </c>
      <c r="M54" s="129"/>
      <c r="N54" s="54">
        <f t="shared" si="10"/>
        <v>0</v>
      </c>
      <c r="O54" s="54">
        <f t="shared" si="11"/>
        <v>0</v>
      </c>
      <c r="P54" s="1"/>
    </row>
    <row r="55" spans="2:16" ht="12.5">
      <c r="B55" s="7" t="str">
        <f t="shared" si="5"/>
        <v/>
      </c>
      <c r="C55" s="50">
        <f>IF(D11="","-",+C54+1)</f>
        <v>2045</v>
      </c>
      <c r="D55" s="55">
        <f>IF(F54+SUM(E$17:E54)=D$10,F54,D$10-SUM(E$17:E54))</f>
        <v>326269.94904273306</v>
      </c>
      <c r="E55" s="378">
        <f>IF(+I14&lt;F54,I14,D55)</f>
        <v>60419.36363636364</v>
      </c>
      <c r="F55" s="55">
        <f t="shared" si="26"/>
        <v>265850.58540636941</v>
      </c>
      <c r="G55" s="379">
        <f t="shared" si="27"/>
        <v>95806.598174441489</v>
      </c>
      <c r="H55" s="364">
        <f t="shared" si="28"/>
        <v>95806.598174441489</v>
      </c>
      <c r="I55" s="52">
        <f t="shared" si="9"/>
        <v>0</v>
      </c>
      <c r="J55" s="52"/>
      <c r="K55" s="129"/>
      <c r="L55" s="54">
        <f t="shared" si="29"/>
        <v>0</v>
      </c>
      <c r="M55" s="129"/>
      <c r="N55" s="54">
        <f t="shared" si="10"/>
        <v>0</v>
      </c>
      <c r="O55" s="54">
        <f t="shared" si="11"/>
        <v>0</v>
      </c>
      <c r="P55" s="1"/>
    </row>
    <row r="56" spans="2:16" ht="12.5">
      <c r="B56" s="7" t="str">
        <f t="shared" si="5"/>
        <v/>
      </c>
      <c r="C56" s="50">
        <f>IF(D11="","-",+C55+1)</f>
        <v>2046</v>
      </c>
      <c r="D56" s="55">
        <f>IF(F55+SUM(E$17:E55)=D$10,F55,D$10-SUM(E$17:E55))</f>
        <v>265850.58540636941</v>
      </c>
      <c r="E56" s="378">
        <f>IF(+I14&lt;F55,I14,D56)</f>
        <v>60419.36363636364</v>
      </c>
      <c r="F56" s="55">
        <f t="shared" si="26"/>
        <v>205431.22177000577</v>
      </c>
      <c r="G56" s="379">
        <f t="shared" si="27"/>
        <v>88584.844942624812</v>
      </c>
      <c r="H56" s="364">
        <f t="shared" si="28"/>
        <v>88584.844942624812</v>
      </c>
      <c r="I56" s="52">
        <f t="shared" si="9"/>
        <v>0</v>
      </c>
      <c r="J56" s="52"/>
      <c r="K56" s="129"/>
      <c r="L56" s="54">
        <f t="shared" si="29"/>
        <v>0</v>
      </c>
      <c r="M56" s="129"/>
      <c r="N56" s="54">
        <f t="shared" si="10"/>
        <v>0</v>
      </c>
      <c r="O56" s="54">
        <f t="shared" si="11"/>
        <v>0</v>
      </c>
      <c r="P56" s="1"/>
    </row>
    <row r="57" spans="2:16" ht="12.5">
      <c r="B57" s="7" t="str">
        <f t="shared" si="5"/>
        <v/>
      </c>
      <c r="C57" s="50">
        <f>IF(D11="","-",+C56+1)</f>
        <v>2047</v>
      </c>
      <c r="D57" s="55">
        <f>IF(F56+SUM(E$17:E56)=D$10,F56,D$10-SUM(E$17:E56))</f>
        <v>205431.22177000577</v>
      </c>
      <c r="E57" s="378">
        <f>IF(+I14&lt;F56,I14,D57)</f>
        <v>60419.36363636364</v>
      </c>
      <c r="F57" s="55">
        <f t="shared" si="26"/>
        <v>145011.85813364212</v>
      </c>
      <c r="G57" s="379">
        <f t="shared" si="27"/>
        <v>81363.091710808134</v>
      </c>
      <c r="H57" s="364">
        <f t="shared" si="28"/>
        <v>81363.091710808134</v>
      </c>
      <c r="I57" s="52">
        <f t="shared" si="9"/>
        <v>0</v>
      </c>
      <c r="J57" s="52"/>
      <c r="K57" s="129"/>
      <c r="L57" s="54">
        <f t="shared" si="29"/>
        <v>0</v>
      </c>
      <c r="M57" s="129"/>
      <c r="N57" s="54">
        <f t="shared" si="10"/>
        <v>0</v>
      </c>
      <c r="O57" s="54">
        <f t="shared" si="11"/>
        <v>0</v>
      </c>
      <c r="P57" s="1"/>
    </row>
    <row r="58" spans="2:16" ht="12.5">
      <c r="B58" s="7" t="str">
        <f t="shared" si="5"/>
        <v/>
      </c>
      <c r="C58" s="50">
        <f>IF(D11="","-",+C57+1)</f>
        <v>2048</v>
      </c>
      <c r="D58" s="55">
        <f>IF(F57+SUM(E$17:E57)=D$10,F57,D$10-SUM(E$17:E57))</f>
        <v>145011.85813364212</v>
      </c>
      <c r="E58" s="378">
        <f>IF(+I14&lt;F57,I14,D58)</f>
        <v>60419.36363636364</v>
      </c>
      <c r="F58" s="55">
        <f t="shared" si="26"/>
        <v>84592.494497278472</v>
      </c>
      <c r="G58" s="379">
        <f t="shared" si="27"/>
        <v>74141.338478991456</v>
      </c>
      <c r="H58" s="364">
        <f t="shared" si="28"/>
        <v>74141.338478991456</v>
      </c>
      <c r="I58" s="52">
        <f t="shared" si="9"/>
        <v>0</v>
      </c>
      <c r="J58" s="52"/>
      <c r="K58" s="129"/>
      <c r="L58" s="54">
        <f t="shared" si="29"/>
        <v>0</v>
      </c>
      <c r="M58" s="129"/>
      <c r="N58" s="54">
        <f t="shared" si="10"/>
        <v>0</v>
      </c>
      <c r="O58" s="54">
        <f t="shared" si="11"/>
        <v>0</v>
      </c>
      <c r="P58" s="1"/>
    </row>
    <row r="59" spans="2:16" ht="12.5">
      <c r="B59" s="7" t="str">
        <f t="shared" si="5"/>
        <v/>
      </c>
      <c r="C59" s="50">
        <f>IF(D11="","-",+C58+1)</f>
        <v>2049</v>
      </c>
      <c r="D59" s="55">
        <f>IF(F58+SUM(E$17:E58)=D$10,F58,D$10-SUM(E$17:E58))</f>
        <v>84592.494497278472</v>
      </c>
      <c r="E59" s="378">
        <f>IF(+I14&lt;F58,I14,D59)</f>
        <v>60419.36363636364</v>
      </c>
      <c r="F59" s="55">
        <f t="shared" si="26"/>
        <v>24173.130860914833</v>
      </c>
      <c r="G59" s="379">
        <f t="shared" si="27"/>
        <v>66919.585247174778</v>
      </c>
      <c r="H59" s="364">
        <f t="shared" si="28"/>
        <v>66919.585247174778</v>
      </c>
      <c r="I59" s="52">
        <f t="shared" si="9"/>
        <v>0</v>
      </c>
      <c r="J59" s="52"/>
      <c r="K59" s="129"/>
      <c r="L59" s="54">
        <f t="shared" si="29"/>
        <v>0</v>
      </c>
      <c r="M59" s="129"/>
      <c r="N59" s="54">
        <f t="shared" si="10"/>
        <v>0</v>
      </c>
      <c r="O59" s="54">
        <f t="shared" si="11"/>
        <v>0</v>
      </c>
      <c r="P59" s="1"/>
    </row>
    <row r="60" spans="2:16" ht="12.5">
      <c r="B60" s="7" t="str">
        <f t="shared" si="5"/>
        <v/>
      </c>
      <c r="C60" s="50">
        <f>IF(D11="","-",+C59+1)</f>
        <v>2050</v>
      </c>
      <c r="D60" s="55">
        <f>IF(F59+SUM(E$17:E59)=D$10,F59,D$10-SUM(E$17:E59))</f>
        <v>24173.130860914833</v>
      </c>
      <c r="E60" s="378">
        <f>IF(+I14&lt;F59,I14,D60)</f>
        <v>24173.130860914833</v>
      </c>
      <c r="F60" s="55">
        <f t="shared" si="26"/>
        <v>0</v>
      </c>
      <c r="G60" s="379">
        <f t="shared" si="27"/>
        <v>25617.803358366229</v>
      </c>
      <c r="H60" s="364">
        <f t="shared" si="28"/>
        <v>25617.803358366229</v>
      </c>
      <c r="I60" s="52">
        <f t="shared" si="9"/>
        <v>0</v>
      </c>
      <c r="J60" s="52"/>
      <c r="K60" s="129"/>
      <c r="L60" s="54">
        <f t="shared" si="29"/>
        <v>0</v>
      </c>
      <c r="M60" s="129"/>
      <c r="N60" s="54">
        <f t="shared" si="10"/>
        <v>0</v>
      </c>
      <c r="O60" s="54">
        <f t="shared" si="11"/>
        <v>0</v>
      </c>
      <c r="P60" s="1"/>
    </row>
    <row r="61" spans="2:16" ht="12.5">
      <c r="B61" s="7" t="str">
        <f t="shared" si="5"/>
        <v/>
      </c>
      <c r="C61" s="50">
        <f>IF(D11="","-",+C60+1)</f>
        <v>2051</v>
      </c>
      <c r="D61" s="55">
        <f>IF(F60+SUM(E$17:E60)=D$10,F60,D$10-SUM(E$17:E60))</f>
        <v>0</v>
      </c>
      <c r="E61" s="378">
        <f>IF(+I14&lt;F60,I14,D61)</f>
        <v>0</v>
      </c>
      <c r="F61" s="55">
        <f t="shared" si="26"/>
        <v>0</v>
      </c>
      <c r="G61" s="379">
        <f t="shared" si="27"/>
        <v>0</v>
      </c>
      <c r="H61" s="364">
        <f t="shared" si="28"/>
        <v>0</v>
      </c>
      <c r="I61" s="52">
        <f t="shared" si="9"/>
        <v>0</v>
      </c>
      <c r="J61" s="52"/>
      <c r="K61" s="129"/>
      <c r="L61" s="54">
        <f t="shared" si="29"/>
        <v>0</v>
      </c>
      <c r="M61" s="129"/>
      <c r="N61" s="54">
        <f t="shared" si="10"/>
        <v>0</v>
      </c>
      <c r="O61" s="54">
        <f t="shared" si="11"/>
        <v>0</v>
      </c>
      <c r="P61" s="1"/>
    </row>
    <row r="62" spans="2:16" ht="12.5">
      <c r="B62" s="7" t="str">
        <f t="shared" si="5"/>
        <v/>
      </c>
      <c r="C62" s="50">
        <f>IF(D11="","-",+C61+1)</f>
        <v>2052</v>
      </c>
      <c r="D62" s="55">
        <f>IF(F61+SUM(E$17:E61)=D$10,F61,D$10-SUM(E$17:E61))</f>
        <v>0</v>
      </c>
      <c r="E62" s="378">
        <f>IF(+I14&lt;F61,I14,D62)</f>
        <v>0</v>
      </c>
      <c r="F62" s="55">
        <f t="shared" si="26"/>
        <v>0</v>
      </c>
      <c r="G62" s="379">
        <f t="shared" si="27"/>
        <v>0</v>
      </c>
      <c r="H62" s="364">
        <f t="shared" si="28"/>
        <v>0</v>
      </c>
      <c r="I62" s="52">
        <f t="shared" si="9"/>
        <v>0</v>
      </c>
      <c r="J62" s="52"/>
      <c r="K62" s="129"/>
      <c r="L62" s="54">
        <f t="shared" si="29"/>
        <v>0</v>
      </c>
      <c r="M62" s="129"/>
      <c r="N62" s="54">
        <f t="shared" si="10"/>
        <v>0</v>
      </c>
      <c r="O62" s="54">
        <f t="shared" si="11"/>
        <v>0</v>
      </c>
      <c r="P62" s="1"/>
    </row>
    <row r="63" spans="2:16" ht="12.5">
      <c r="B63" s="7" t="str">
        <f t="shared" si="5"/>
        <v/>
      </c>
      <c r="C63" s="50">
        <f>IF(D11="","-",+C62+1)</f>
        <v>2053</v>
      </c>
      <c r="D63" s="55">
        <f>IF(F62+SUM(E$17:E62)=D$10,F62,D$10-SUM(E$17:E62))</f>
        <v>0</v>
      </c>
      <c r="E63" s="378">
        <f>IF(+I14&lt;F62,I14,D63)</f>
        <v>0</v>
      </c>
      <c r="F63" s="55">
        <f t="shared" si="26"/>
        <v>0</v>
      </c>
      <c r="G63" s="379">
        <f t="shared" si="27"/>
        <v>0</v>
      </c>
      <c r="H63" s="364">
        <f t="shared" si="28"/>
        <v>0</v>
      </c>
      <c r="I63" s="52">
        <f t="shared" si="9"/>
        <v>0</v>
      </c>
      <c r="J63" s="52"/>
      <c r="K63" s="129"/>
      <c r="L63" s="54">
        <f t="shared" si="29"/>
        <v>0</v>
      </c>
      <c r="M63" s="129"/>
      <c r="N63" s="54">
        <f t="shared" si="10"/>
        <v>0</v>
      </c>
      <c r="O63" s="54">
        <f t="shared" si="11"/>
        <v>0</v>
      </c>
      <c r="P63" s="1"/>
    </row>
    <row r="64" spans="2:16" ht="12.5">
      <c r="B64" s="7" t="str">
        <f t="shared" si="5"/>
        <v/>
      </c>
      <c r="C64" s="50">
        <f>IF(D11="","-",+C63+1)</f>
        <v>2054</v>
      </c>
      <c r="D64" s="55">
        <f>IF(F63+SUM(E$17:E63)=D$10,F63,D$10-SUM(E$17:E63))</f>
        <v>0</v>
      </c>
      <c r="E64" s="378">
        <f>IF(+I14&lt;F63,I14,D64)</f>
        <v>0</v>
      </c>
      <c r="F64" s="55">
        <f t="shared" si="26"/>
        <v>0</v>
      </c>
      <c r="G64" s="379">
        <f t="shared" si="27"/>
        <v>0</v>
      </c>
      <c r="H64" s="364">
        <f t="shared" si="28"/>
        <v>0</v>
      </c>
      <c r="I64" s="52">
        <f t="shared" si="9"/>
        <v>0</v>
      </c>
      <c r="J64" s="52"/>
      <c r="K64" s="129"/>
      <c r="L64" s="54">
        <f t="shared" si="29"/>
        <v>0</v>
      </c>
      <c r="M64" s="129"/>
      <c r="N64" s="54">
        <f t="shared" si="10"/>
        <v>0</v>
      </c>
      <c r="O64" s="54">
        <f t="shared" si="11"/>
        <v>0</v>
      </c>
      <c r="P64" s="1"/>
    </row>
    <row r="65" spans="2:16" ht="12.5">
      <c r="B65" s="7" t="str">
        <f t="shared" si="5"/>
        <v/>
      </c>
      <c r="C65" s="50">
        <f>IF(D11="","-",+C64+1)</f>
        <v>2055</v>
      </c>
      <c r="D65" s="55">
        <f>IF(F64+SUM(E$17:E64)=D$10,F64,D$10-SUM(E$17:E64))</f>
        <v>0</v>
      </c>
      <c r="E65" s="378">
        <f>IF(+I14&lt;F64,I14,D65)</f>
        <v>0</v>
      </c>
      <c r="F65" s="55">
        <f t="shared" si="26"/>
        <v>0</v>
      </c>
      <c r="G65" s="379">
        <f t="shared" si="27"/>
        <v>0</v>
      </c>
      <c r="H65" s="364">
        <f t="shared" si="28"/>
        <v>0</v>
      </c>
      <c r="I65" s="52">
        <f t="shared" si="9"/>
        <v>0</v>
      </c>
      <c r="J65" s="52"/>
      <c r="K65" s="129"/>
      <c r="L65" s="54">
        <f t="shared" si="29"/>
        <v>0</v>
      </c>
      <c r="M65" s="129"/>
      <c r="N65" s="54">
        <f t="shared" si="10"/>
        <v>0</v>
      </c>
      <c r="O65" s="54">
        <f t="shared" si="11"/>
        <v>0</v>
      </c>
      <c r="P65" s="1"/>
    </row>
    <row r="66" spans="2:16" ht="12.5">
      <c r="B66" s="7" t="str">
        <f t="shared" si="5"/>
        <v/>
      </c>
      <c r="C66" s="50">
        <f>IF(D11="","-",+C65+1)</f>
        <v>2056</v>
      </c>
      <c r="D66" s="55">
        <f>IF(F65+SUM(E$17:E65)=D$10,F65,D$10-SUM(E$17:E65))</f>
        <v>0</v>
      </c>
      <c r="E66" s="378">
        <f>IF(+I14&lt;F65,I14,D66)</f>
        <v>0</v>
      </c>
      <c r="F66" s="55">
        <f t="shared" si="26"/>
        <v>0</v>
      </c>
      <c r="G66" s="379">
        <f t="shared" si="27"/>
        <v>0</v>
      </c>
      <c r="H66" s="364">
        <f t="shared" si="28"/>
        <v>0</v>
      </c>
      <c r="I66" s="52">
        <f t="shared" si="9"/>
        <v>0</v>
      </c>
      <c r="J66" s="52"/>
      <c r="K66" s="129"/>
      <c r="L66" s="54">
        <f t="shared" si="29"/>
        <v>0</v>
      </c>
      <c r="M66" s="129"/>
      <c r="N66" s="54">
        <f t="shared" si="10"/>
        <v>0</v>
      </c>
      <c r="O66" s="54">
        <f t="shared" si="11"/>
        <v>0</v>
      </c>
      <c r="P66" s="1"/>
    </row>
    <row r="67" spans="2:16" ht="12.5">
      <c r="B67" s="7" t="str">
        <f t="shared" si="5"/>
        <v/>
      </c>
      <c r="C67" s="50">
        <f>IF(D11="","-",+C66+1)</f>
        <v>2057</v>
      </c>
      <c r="D67" s="55">
        <f>IF(F66+SUM(E$17:E66)=D$10,F66,D$10-SUM(E$17:E66))</f>
        <v>0</v>
      </c>
      <c r="E67" s="378">
        <f>IF(+I14&lt;F66,I14,D67)</f>
        <v>0</v>
      </c>
      <c r="F67" s="55">
        <f t="shared" si="26"/>
        <v>0</v>
      </c>
      <c r="G67" s="379">
        <f t="shared" si="27"/>
        <v>0</v>
      </c>
      <c r="H67" s="364">
        <f t="shared" si="28"/>
        <v>0</v>
      </c>
      <c r="I67" s="52">
        <f t="shared" si="9"/>
        <v>0</v>
      </c>
      <c r="J67" s="52"/>
      <c r="K67" s="129"/>
      <c r="L67" s="54">
        <f t="shared" si="29"/>
        <v>0</v>
      </c>
      <c r="M67" s="129"/>
      <c r="N67" s="54">
        <f t="shared" si="10"/>
        <v>0</v>
      </c>
      <c r="O67" s="54">
        <f t="shared" si="11"/>
        <v>0</v>
      </c>
      <c r="P67" s="1"/>
    </row>
    <row r="68" spans="2:16" ht="12.5">
      <c r="B68" s="7" t="str">
        <f t="shared" si="5"/>
        <v/>
      </c>
      <c r="C68" s="50">
        <f>IF(D11="","-",+C67+1)</f>
        <v>2058</v>
      </c>
      <c r="D68" s="55">
        <f>IF(F67+SUM(E$17:E67)=D$10,F67,D$10-SUM(E$17:E67))</f>
        <v>0</v>
      </c>
      <c r="E68" s="378">
        <f>IF(+I14&lt;F67,I14,D68)</f>
        <v>0</v>
      </c>
      <c r="F68" s="55">
        <f t="shared" si="26"/>
        <v>0</v>
      </c>
      <c r="G68" s="379">
        <f t="shared" si="27"/>
        <v>0</v>
      </c>
      <c r="H68" s="364">
        <f t="shared" si="28"/>
        <v>0</v>
      </c>
      <c r="I68" s="52">
        <f t="shared" si="9"/>
        <v>0</v>
      </c>
      <c r="J68" s="52"/>
      <c r="K68" s="129"/>
      <c r="L68" s="54">
        <f t="shared" si="29"/>
        <v>0</v>
      </c>
      <c r="M68" s="129"/>
      <c r="N68" s="54">
        <f t="shared" si="10"/>
        <v>0</v>
      </c>
      <c r="O68" s="54">
        <f t="shared" si="11"/>
        <v>0</v>
      </c>
      <c r="P68" s="1"/>
    </row>
    <row r="69" spans="2:16" ht="12.5">
      <c r="B69" s="7" t="str">
        <f t="shared" si="5"/>
        <v/>
      </c>
      <c r="C69" s="50">
        <f>IF(D11="","-",+C68+1)</f>
        <v>2059</v>
      </c>
      <c r="D69" s="55">
        <f>IF(F68+SUM(E$17:E68)=D$10,F68,D$10-SUM(E$17:E68))</f>
        <v>0</v>
      </c>
      <c r="E69" s="378">
        <f>IF(+I14&lt;F68,I14,D69)</f>
        <v>0</v>
      </c>
      <c r="F69" s="55">
        <f t="shared" si="26"/>
        <v>0</v>
      </c>
      <c r="G69" s="379">
        <f t="shared" si="27"/>
        <v>0</v>
      </c>
      <c r="H69" s="364">
        <f t="shared" si="28"/>
        <v>0</v>
      </c>
      <c r="I69" s="52">
        <f t="shared" si="9"/>
        <v>0</v>
      </c>
      <c r="J69" s="52"/>
      <c r="K69" s="129"/>
      <c r="L69" s="54">
        <f t="shared" si="29"/>
        <v>0</v>
      </c>
      <c r="M69" s="129"/>
      <c r="N69" s="54">
        <f t="shared" si="10"/>
        <v>0</v>
      </c>
      <c r="O69" s="54">
        <f t="shared" si="11"/>
        <v>0</v>
      </c>
      <c r="P69" s="1"/>
    </row>
    <row r="70" spans="2:16" ht="12.5">
      <c r="B70" s="7" t="str">
        <f t="shared" si="5"/>
        <v/>
      </c>
      <c r="C70" s="50">
        <f>IF(D11="","-",+C69+1)</f>
        <v>2060</v>
      </c>
      <c r="D70" s="55">
        <f>IF(F69+SUM(E$17:E69)=D$10,F69,D$10-SUM(E$17:E69))</f>
        <v>0</v>
      </c>
      <c r="E70" s="378">
        <f>IF(+I14&lt;F69,I14,D70)</f>
        <v>0</v>
      </c>
      <c r="F70" s="55">
        <f t="shared" si="26"/>
        <v>0</v>
      </c>
      <c r="G70" s="379">
        <f t="shared" si="27"/>
        <v>0</v>
      </c>
      <c r="H70" s="364">
        <f t="shared" si="28"/>
        <v>0</v>
      </c>
      <c r="I70" s="52">
        <f t="shared" si="9"/>
        <v>0</v>
      </c>
      <c r="J70" s="52"/>
      <c r="K70" s="129"/>
      <c r="L70" s="54">
        <f t="shared" si="29"/>
        <v>0</v>
      </c>
      <c r="M70" s="129"/>
      <c r="N70" s="54">
        <f t="shared" si="10"/>
        <v>0</v>
      </c>
      <c r="O70" s="54">
        <f t="shared" si="11"/>
        <v>0</v>
      </c>
      <c r="P70" s="1"/>
    </row>
    <row r="71" spans="2:16" ht="12.5">
      <c r="B71" s="7" t="str">
        <f t="shared" si="5"/>
        <v/>
      </c>
      <c r="C71" s="50">
        <f>IF(D11="","-",+C70+1)</f>
        <v>2061</v>
      </c>
      <c r="D71" s="55">
        <f>IF(F70+SUM(E$17:E70)=D$10,F70,D$10-SUM(E$17:E70))</f>
        <v>0</v>
      </c>
      <c r="E71" s="378">
        <f>IF(+I14&lt;F70,I14,D71)</f>
        <v>0</v>
      </c>
      <c r="F71" s="55">
        <f t="shared" si="26"/>
        <v>0</v>
      </c>
      <c r="G71" s="379">
        <f t="shared" si="27"/>
        <v>0</v>
      </c>
      <c r="H71" s="364">
        <f t="shared" si="28"/>
        <v>0</v>
      </c>
      <c r="I71" s="52">
        <f t="shared" si="9"/>
        <v>0</v>
      </c>
      <c r="J71" s="52"/>
      <c r="K71" s="129"/>
      <c r="L71" s="54">
        <f t="shared" si="29"/>
        <v>0</v>
      </c>
      <c r="M71" s="129"/>
      <c r="N71" s="54">
        <f t="shared" si="10"/>
        <v>0</v>
      </c>
      <c r="O71" s="54">
        <f t="shared" si="11"/>
        <v>0</v>
      </c>
      <c r="P71" s="1"/>
    </row>
    <row r="72" spans="2:16" ht="13" thickBot="1">
      <c r="B72" s="7" t="str">
        <f t="shared" si="5"/>
        <v/>
      </c>
      <c r="C72" s="59">
        <f>IF(D11="","-",+C71+1)</f>
        <v>2062</v>
      </c>
      <c r="D72" s="60">
        <f>IF(F71+SUM(E$17:E71)=D$10,F71,D$10-SUM(E$17:E71))</f>
        <v>0</v>
      </c>
      <c r="E72" s="381">
        <f>IF(+I14&lt;F71,I14,D72)</f>
        <v>0</v>
      </c>
      <c r="F72" s="60">
        <f t="shared" si="26"/>
        <v>0</v>
      </c>
      <c r="G72" s="379">
        <f t="shared" si="27"/>
        <v>0</v>
      </c>
      <c r="H72" s="364">
        <f t="shared" si="28"/>
        <v>0</v>
      </c>
      <c r="I72" s="63">
        <f t="shared" si="9"/>
        <v>0</v>
      </c>
      <c r="J72" s="52"/>
      <c r="K72" s="130"/>
      <c r="L72" s="64">
        <f t="shared" si="29"/>
        <v>0</v>
      </c>
      <c r="M72" s="130"/>
      <c r="N72" s="64">
        <f t="shared" si="10"/>
        <v>0</v>
      </c>
      <c r="O72" s="64">
        <f t="shared" si="11"/>
        <v>0</v>
      </c>
      <c r="P72" s="1"/>
    </row>
    <row r="73" spans="2:16" ht="12.5">
      <c r="C73" s="12" t="s">
        <v>78</v>
      </c>
      <c r="D73" s="293"/>
      <c r="E73" s="293">
        <f>SUM(E17:E72)</f>
        <v>2658452</v>
      </c>
      <c r="F73" s="293"/>
      <c r="G73" s="293">
        <f>SUM(G17:G72)</f>
        <v>9801027.8075215109</v>
      </c>
      <c r="H73" s="293">
        <f>SUM(H17:H72)</f>
        <v>9801027.8075215109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 ht="13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45 of 77</v>
      </c>
    </row>
    <row r="84" spans="1:16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247463.41604259165</v>
      </c>
      <c r="N87" s="387">
        <f>IF(J92&lt;D11,0,VLOOKUP(J92,C17:O72,11))</f>
        <v>247463.41604259165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318753.12325153017</v>
      </c>
      <c r="N88" s="390">
        <f>IF(J92&lt;D11,0,VLOOKUP(J92,C99:P154,7))</f>
        <v>318753.12325153017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CHAMBER SPRINGS - TONTITOWN 161KV CKT 1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71289.707208938518</v>
      </c>
      <c r="N89" s="392">
        <f>+N88-N87</f>
        <v>71289.707208938518</v>
      </c>
      <c r="O89" s="393">
        <f>+O88-O87</f>
        <v>0</v>
      </c>
      <c r="P89" s="1"/>
    </row>
    <row r="90" spans="1:16" ht="13.5" thickBot="1">
      <c r="C90" s="29"/>
      <c r="D90" s="444" t="str">
        <f>+S.044!D90</f>
        <v xml:space="preserve">***Sch. 11 recovery commenced in the 2015 rate year.  Beg Bal = to depreciated balance as of 1/1/15. *** </v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TP2005152</v>
      </c>
      <c r="E91" s="76" t="s">
        <v>496</v>
      </c>
      <c r="F91" s="76">
        <f>F9</f>
        <v>45</v>
      </c>
      <c r="G91" s="76"/>
      <c r="H91" s="76"/>
      <c r="I91" s="76"/>
      <c r="J91" s="76"/>
    </row>
    <row r="92" spans="1:16" ht="13">
      <c r="C92" s="34" t="s">
        <v>51</v>
      </c>
      <c r="D92" s="428">
        <f>D10</f>
        <v>2658452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</row>
    <row r="93" spans="1:16" ht="12.5">
      <c r="C93" s="34" t="s">
        <v>54</v>
      </c>
      <c r="D93" s="88">
        <f>D11</f>
        <v>2007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88">
        <f>D12</f>
        <v>3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60419.36363636364</v>
      </c>
      <c r="K96" s="293"/>
      <c r="L96" s="293"/>
      <c r="M96" s="293"/>
      <c r="N96" s="293"/>
      <c r="O96" s="293"/>
      <c r="P96" s="1"/>
    </row>
    <row r="97" spans="1:16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 ht="12.5">
      <c r="C99" s="50">
        <f>IF(D93= "","-",D93)</f>
        <v>2007</v>
      </c>
      <c r="D99" s="12"/>
      <c r="E99" s="379"/>
      <c r="F99" s="55"/>
      <c r="G99" s="83"/>
      <c r="H99" s="416"/>
      <c r="I99" s="417"/>
      <c r="J99" s="54">
        <f t="shared" ref="J99:J108" si="30">+I99-H99</f>
        <v>0</v>
      </c>
      <c r="K99" s="54"/>
      <c r="L99" s="112"/>
      <c r="M99" s="53">
        <f t="shared" ref="M99:M130" si="31">IF(L99&lt;&gt;0,+H99-L99,0)</f>
        <v>0</v>
      </c>
      <c r="N99" s="112"/>
      <c r="O99" s="53">
        <f t="shared" ref="O99:O130" si="32">IF(N99&lt;&gt;0,+I99-N99,0)</f>
        <v>0</v>
      </c>
      <c r="P99" s="53">
        <f t="shared" ref="P99:P130" si="33">+O99-M99</f>
        <v>0</v>
      </c>
    </row>
    <row r="100" spans="1:16" ht="12.5">
      <c r="B100" s="7" t="str">
        <f>IF(D100=F99,"","IU")</f>
        <v/>
      </c>
      <c r="C100" s="50">
        <f>IF(D93="","-",+C99+1)</f>
        <v>2008</v>
      </c>
      <c r="D100" s="12"/>
      <c r="E100" s="378"/>
      <c r="F100" s="55"/>
      <c r="G100" s="55"/>
      <c r="H100" s="380"/>
      <c r="I100" s="399"/>
      <c r="J100" s="54">
        <f t="shared" si="30"/>
        <v>0</v>
      </c>
      <c r="K100" s="54"/>
      <c r="L100" s="113"/>
      <c r="M100" s="54">
        <f t="shared" si="31"/>
        <v>0</v>
      </c>
      <c r="N100" s="113"/>
      <c r="O100" s="54">
        <f t="shared" si="32"/>
        <v>0</v>
      </c>
      <c r="P100" s="54">
        <f t="shared" si="33"/>
        <v>0</v>
      </c>
    </row>
    <row r="101" spans="1:16" ht="12.5">
      <c r="B101" s="7" t="str">
        <f t="shared" ref="B101:B154" si="34">IF(D101=F100,"","IU")</f>
        <v/>
      </c>
      <c r="C101" s="50">
        <f>IF(D93="","-",+C100+1)</f>
        <v>2009</v>
      </c>
      <c r="D101" s="12"/>
      <c r="E101" s="378"/>
      <c r="F101" s="55"/>
      <c r="G101" s="55"/>
      <c r="H101" s="380"/>
      <c r="I101" s="399"/>
      <c r="J101" s="54">
        <f t="shared" si="30"/>
        <v>0</v>
      </c>
      <c r="K101" s="54"/>
      <c r="L101" s="113"/>
      <c r="M101" s="54">
        <f t="shared" si="31"/>
        <v>0</v>
      </c>
      <c r="N101" s="113"/>
      <c r="O101" s="54">
        <f t="shared" si="32"/>
        <v>0</v>
      </c>
      <c r="P101" s="54">
        <f t="shared" si="33"/>
        <v>0</v>
      </c>
    </row>
    <row r="102" spans="1:16" ht="12.5">
      <c r="B102" s="7" t="str">
        <f t="shared" si="34"/>
        <v/>
      </c>
      <c r="C102" s="50">
        <f>IF(D93="","-",+C101+1)</f>
        <v>2010</v>
      </c>
      <c r="D102" s="12"/>
      <c r="E102" s="378"/>
      <c r="F102" s="55"/>
      <c r="G102" s="55"/>
      <c r="H102" s="380"/>
      <c r="I102" s="399"/>
      <c r="J102" s="54">
        <f t="shared" si="30"/>
        <v>0</v>
      </c>
      <c r="K102" s="54"/>
      <c r="L102" s="113"/>
      <c r="M102" s="54">
        <f t="shared" si="31"/>
        <v>0</v>
      </c>
      <c r="N102" s="113"/>
      <c r="O102" s="54">
        <f t="shared" si="32"/>
        <v>0</v>
      </c>
      <c r="P102" s="54">
        <f t="shared" si="33"/>
        <v>0</v>
      </c>
    </row>
    <row r="103" spans="1:16" ht="12.5">
      <c r="B103" s="7" t="str">
        <f t="shared" si="34"/>
        <v/>
      </c>
      <c r="C103" s="50">
        <f>IF(D93="","-",+C102+1)</f>
        <v>2011</v>
      </c>
      <c r="D103" s="12"/>
      <c r="E103" s="378"/>
      <c r="F103" s="55"/>
      <c r="G103" s="55"/>
      <c r="H103" s="380"/>
      <c r="I103" s="399"/>
      <c r="J103" s="54">
        <f t="shared" si="30"/>
        <v>0</v>
      </c>
      <c r="K103" s="54"/>
      <c r="L103" s="113"/>
      <c r="M103" s="54">
        <f t="shared" si="31"/>
        <v>0</v>
      </c>
      <c r="N103" s="113"/>
      <c r="O103" s="54">
        <f t="shared" si="32"/>
        <v>0</v>
      </c>
      <c r="P103" s="54">
        <f t="shared" si="33"/>
        <v>0</v>
      </c>
    </row>
    <row r="104" spans="1:16" ht="12.5">
      <c r="B104" s="7" t="str">
        <f t="shared" si="34"/>
        <v/>
      </c>
      <c r="C104" s="50">
        <f>IF(D93="","-",+C103+1)</f>
        <v>2012</v>
      </c>
      <c r="D104" s="12"/>
      <c r="E104" s="378"/>
      <c r="F104" s="55"/>
      <c r="G104" s="55"/>
      <c r="H104" s="380"/>
      <c r="I104" s="399"/>
      <c r="J104" s="54">
        <f t="shared" si="30"/>
        <v>0</v>
      </c>
      <c r="K104" s="54"/>
      <c r="L104" s="113"/>
      <c r="M104" s="54">
        <f t="shared" si="31"/>
        <v>0</v>
      </c>
      <c r="N104" s="113"/>
      <c r="O104" s="54">
        <f t="shared" si="32"/>
        <v>0</v>
      </c>
      <c r="P104" s="54">
        <f t="shared" si="33"/>
        <v>0</v>
      </c>
    </row>
    <row r="105" spans="1:16" ht="12.5">
      <c r="B105" s="7" t="str">
        <f t="shared" si="34"/>
        <v/>
      </c>
      <c r="C105" s="50">
        <f>IF(D93="","-",+C104+1)</f>
        <v>2013</v>
      </c>
      <c r="D105" s="12"/>
      <c r="E105" s="378"/>
      <c r="F105" s="55"/>
      <c r="G105" s="55"/>
      <c r="H105" s="380"/>
      <c r="I105" s="399"/>
      <c r="J105" s="54">
        <f t="shared" si="30"/>
        <v>0</v>
      </c>
      <c r="K105" s="54"/>
      <c r="L105" s="113"/>
      <c r="M105" s="54">
        <f t="shared" si="31"/>
        <v>0</v>
      </c>
      <c r="N105" s="113"/>
      <c r="O105" s="54">
        <f t="shared" si="32"/>
        <v>0</v>
      </c>
      <c r="P105" s="54">
        <f t="shared" si="33"/>
        <v>0</v>
      </c>
    </row>
    <row r="106" spans="1:16" ht="12.5">
      <c r="B106" s="7" t="str">
        <f t="shared" si="34"/>
        <v/>
      </c>
      <c r="C106" s="50">
        <f>IF(D93="","-",+C105+1)</f>
        <v>2014</v>
      </c>
      <c r="D106" s="12"/>
      <c r="E106" s="378"/>
      <c r="F106" s="55"/>
      <c r="G106" s="55"/>
      <c r="H106" s="380"/>
      <c r="I106" s="399"/>
      <c r="J106" s="54">
        <f t="shared" si="30"/>
        <v>0</v>
      </c>
      <c r="K106" s="54"/>
      <c r="L106" s="113"/>
      <c r="M106" s="54">
        <f t="shared" si="31"/>
        <v>0</v>
      </c>
      <c r="N106" s="113"/>
      <c r="O106" s="54">
        <f t="shared" si="32"/>
        <v>0</v>
      </c>
      <c r="P106" s="54">
        <f t="shared" si="33"/>
        <v>0</v>
      </c>
    </row>
    <row r="107" spans="1:16" ht="12.5">
      <c r="B107" s="7" t="str">
        <f t="shared" si="34"/>
        <v>IU</v>
      </c>
      <c r="C107" s="50">
        <f>IF(D93="","-",+C106+1)</f>
        <v>2015</v>
      </c>
      <c r="D107" s="429">
        <v>2167904.3095238092</v>
      </c>
      <c r="E107" s="430">
        <v>51616.769274376413</v>
      </c>
      <c r="F107" s="431">
        <v>2116287.5402494329</v>
      </c>
      <c r="G107" s="431">
        <v>2142095.9248866211</v>
      </c>
      <c r="H107" s="433">
        <v>333878.34559727815</v>
      </c>
      <c r="I107" s="434">
        <v>333878.34559727815</v>
      </c>
      <c r="J107" s="54">
        <f t="shared" si="30"/>
        <v>0</v>
      </c>
      <c r="K107" s="54"/>
      <c r="L107" s="113">
        <f t="shared" ref="L107:L112" si="35">+H107</f>
        <v>333878.34559727815</v>
      </c>
      <c r="M107" s="54">
        <f t="shared" si="31"/>
        <v>0</v>
      </c>
      <c r="N107" s="113">
        <f t="shared" ref="N107:N112" si="36">+I107</f>
        <v>333878.34559727815</v>
      </c>
      <c r="O107" s="54">
        <f t="shared" si="32"/>
        <v>0</v>
      </c>
      <c r="P107" s="54">
        <f t="shared" si="33"/>
        <v>0</v>
      </c>
    </row>
    <row r="108" spans="1:16" ht="12.5">
      <c r="B108" s="7" t="str">
        <f t="shared" si="34"/>
        <v>IU</v>
      </c>
      <c r="C108" s="50">
        <f>IF(D93="","-",+C107+1)</f>
        <v>2016</v>
      </c>
      <c r="D108" s="429">
        <v>2606835.2307256237</v>
      </c>
      <c r="E108" s="430">
        <v>61824.465116279069</v>
      </c>
      <c r="F108" s="431">
        <v>2545010.7656093445</v>
      </c>
      <c r="G108" s="431">
        <v>2575922.9981674841</v>
      </c>
      <c r="H108" s="433">
        <v>388837.85956536332</v>
      </c>
      <c r="I108" s="434">
        <v>388837.85956536332</v>
      </c>
      <c r="J108" s="54">
        <f t="shared" si="30"/>
        <v>0</v>
      </c>
      <c r="K108" s="54"/>
      <c r="L108" s="113">
        <f t="shared" si="35"/>
        <v>388837.85956536332</v>
      </c>
      <c r="M108" s="54">
        <f t="shared" ref="M108:M113" si="37">IF(L108&lt;&gt;0,+H108-L108,0)</f>
        <v>0</v>
      </c>
      <c r="N108" s="113">
        <f t="shared" si="36"/>
        <v>388837.85956536332</v>
      </c>
      <c r="O108" s="54">
        <f>IF(N108&lt;&gt;0,+I108-N108,0)</f>
        <v>0</v>
      </c>
      <c r="P108" s="54">
        <f>+O108-M108</f>
        <v>0</v>
      </c>
    </row>
    <row r="109" spans="1:16" ht="12.5">
      <c r="B109" s="7" t="str">
        <f t="shared" si="34"/>
        <v/>
      </c>
      <c r="C109" s="50">
        <f>IF(D93="","-",+C108+1)</f>
        <v>2017</v>
      </c>
      <c r="D109" s="429">
        <v>2545010.7656093445</v>
      </c>
      <c r="E109" s="430">
        <v>63296.476190476191</v>
      </c>
      <c r="F109" s="431">
        <v>2481714.2894188683</v>
      </c>
      <c r="G109" s="431">
        <v>2513362.5275141066</v>
      </c>
      <c r="H109" s="433">
        <v>368598.28609591222</v>
      </c>
      <c r="I109" s="434">
        <v>368598.28609591222</v>
      </c>
      <c r="J109" s="54">
        <f t="shared" ref="J109:J154" si="38">+I109-H109</f>
        <v>0</v>
      </c>
      <c r="K109" s="54"/>
      <c r="L109" s="113">
        <f t="shared" si="35"/>
        <v>368598.28609591222</v>
      </c>
      <c r="M109" s="54">
        <f t="shared" si="37"/>
        <v>0</v>
      </c>
      <c r="N109" s="113">
        <f t="shared" si="36"/>
        <v>368598.28609591222</v>
      </c>
      <c r="O109" s="54">
        <f>IF(N109&lt;&gt;0,+I109-N109,0)</f>
        <v>0</v>
      </c>
      <c r="P109" s="54">
        <f>+O109-M109</f>
        <v>0</v>
      </c>
    </row>
    <row r="110" spans="1:16" ht="12.5">
      <c r="B110" s="7" t="str">
        <f t="shared" si="34"/>
        <v/>
      </c>
      <c r="C110" s="50">
        <f>IF(D93="","-",+C109+1)</f>
        <v>2018</v>
      </c>
      <c r="D110" s="429">
        <v>2481714.2894188683</v>
      </c>
      <c r="E110" s="430">
        <v>63296.476190476191</v>
      </c>
      <c r="F110" s="431">
        <v>2418417.813228392</v>
      </c>
      <c r="G110" s="431">
        <v>2450066.0513236299</v>
      </c>
      <c r="H110" s="433">
        <v>322034.68677163479</v>
      </c>
      <c r="I110" s="434">
        <v>322034.68677163479</v>
      </c>
      <c r="J110" s="54">
        <f t="shared" si="38"/>
        <v>0</v>
      </c>
      <c r="K110" s="54"/>
      <c r="L110" s="113">
        <f t="shared" si="35"/>
        <v>322034.68677163479</v>
      </c>
      <c r="M110" s="54">
        <f t="shared" si="37"/>
        <v>0</v>
      </c>
      <c r="N110" s="113">
        <f t="shared" si="36"/>
        <v>322034.68677163479</v>
      </c>
      <c r="O110" s="54">
        <f>IF(N110&lt;&gt;0,+I110-N110,0)</f>
        <v>0</v>
      </c>
      <c r="P110" s="54">
        <f t="shared" si="33"/>
        <v>0</v>
      </c>
    </row>
    <row r="111" spans="1:16" ht="12.5">
      <c r="B111" s="7" t="str">
        <f t="shared" si="34"/>
        <v/>
      </c>
      <c r="C111" s="50">
        <f>IF(D93="","-",+C110+1)</f>
        <v>2019</v>
      </c>
      <c r="D111" s="429">
        <v>2418417.813228392</v>
      </c>
      <c r="E111" s="430">
        <v>61824.465116279069</v>
      </c>
      <c r="F111" s="431">
        <v>2356593.3481121128</v>
      </c>
      <c r="G111" s="431">
        <v>2387505.5806702524</v>
      </c>
      <c r="H111" s="433">
        <v>317384.36734344519</v>
      </c>
      <c r="I111" s="434">
        <v>317384.36734344519</v>
      </c>
      <c r="J111" s="54">
        <f t="shared" si="38"/>
        <v>0</v>
      </c>
      <c r="K111" s="54"/>
      <c r="L111" s="113">
        <f t="shared" si="35"/>
        <v>317384.36734344519</v>
      </c>
      <c r="M111" s="54">
        <f t="shared" si="37"/>
        <v>0</v>
      </c>
      <c r="N111" s="113">
        <f t="shared" si="36"/>
        <v>317384.36734344519</v>
      </c>
      <c r="O111" s="54">
        <f t="shared" si="32"/>
        <v>0</v>
      </c>
      <c r="P111" s="54">
        <f t="shared" si="33"/>
        <v>0</v>
      </c>
    </row>
    <row r="112" spans="1:16" ht="12.5">
      <c r="B112" s="7" t="str">
        <f t="shared" si="34"/>
        <v/>
      </c>
      <c r="C112" s="50">
        <f>IF(D93="","-",+C111+1)</f>
        <v>2020</v>
      </c>
      <c r="D112" s="429">
        <v>2356593.3481121128</v>
      </c>
      <c r="E112" s="430">
        <v>63296.476190476191</v>
      </c>
      <c r="F112" s="431">
        <v>2293296.8719216366</v>
      </c>
      <c r="G112" s="431">
        <v>2324945.110016875</v>
      </c>
      <c r="H112" s="433">
        <v>313399.73202884034</v>
      </c>
      <c r="I112" s="434">
        <v>313399.73202884034</v>
      </c>
      <c r="J112" s="54">
        <f t="shared" si="38"/>
        <v>0</v>
      </c>
      <c r="K112" s="54"/>
      <c r="L112" s="113">
        <f t="shared" si="35"/>
        <v>313399.73202884034</v>
      </c>
      <c r="M112" s="54">
        <f t="shared" si="37"/>
        <v>0</v>
      </c>
      <c r="N112" s="113">
        <f t="shared" si="36"/>
        <v>313399.73202884034</v>
      </c>
      <c r="O112" s="54">
        <f t="shared" si="32"/>
        <v>0</v>
      </c>
      <c r="P112" s="54">
        <f t="shared" si="33"/>
        <v>0</v>
      </c>
    </row>
    <row r="113" spans="2:16" ht="12.5">
      <c r="B113" s="7" t="str">
        <f t="shared" si="34"/>
        <v/>
      </c>
      <c r="C113" s="50">
        <f>IF(D93="","-",+C112+1)</f>
        <v>2021</v>
      </c>
      <c r="D113" s="429">
        <v>2293296.8719216366</v>
      </c>
      <c r="E113" s="430">
        <v>64840.292682926833</v>
      </c>
      <c r="F113" s="431">
        <v>2228456.57923871</v>
      </c>
      <c r="G113" s="431">
        <v>2260876.7255801735</v>
      </c>
      <c r="H113" s="433">
        <v>321481.96510916646</v>
      </c>
      <c r="I113" s="434">
        <v>321481.96510916646</v>
      </c>
      <c r="J113" s="54">
        <f t="shared" si="38"/>
        <v>0</v>
      </c>
      <c r="K113" s="54"/>
      <c r="L113" s="113">
        <f t="shared" ref="L113" si="39">+H113</f>
        <v>321481.96510916646</v>
      </c>
      <c r="M113" s="54">
        <f t="shared" si="37"/>
        <v>0</v>
      </c>
      <c r="N113" s="113">
        <f t="shared" ref="N113" si="40">+I113</f>
        <v>321481.96510916646</v>
      </c>
      <c r="O113" s="54">
        <f t="shared" si="32"/>
        <v>0</v>
      </c>
      <c r="P113" s="54">
        <f t="shared" si="33"/>
        <v>0</v>
      </c>
    </row>
    <row r="114" spans="2:16" ht="12.5">
      <c r="B114" s="7" t="str">
        <f t="shared" si="34"/>
        <v/>
      </c>
      <c r="C114" s="50">
        <f>IF(D93="","-",+C113+1)</f>
        <v>2022</v>
      </c>
      <c r="D114" s="429">
        <v>2228456.57923871</v>
      </c>
      <c r="E114" s="430">
        <v>63296.476190476191</v>
      </c>
      <c r="F114" s="431">
        <v>2165160.1030482338</v>
      </c>
      <c r="G114" s="431">
        <v>2196808.3411434721</v>
      </c>
      <c r="H114" s="433">
        <v>321328.84551876556</v>
      </c>
      <c r="I114" s="434">
        <v>321328.84551876556</v>
      </c>
      <c r="J114" s="54">
        <f t="shared" si="38"/>
        <v>0</v>
      </c>
      <c r="K114" s="54"/>
      <c r="L114" s="113">
        <f t="shared" ref="L114" si="41">+H114</f>
        <v>321328.84551876556</v>
      </c>
      <c r="M114" s="54">
        <f t="shared" ref="M114" si="42">IF(L114&lt;&gt;0,+H114-L114,0)</f>
        <v>0</v>
      </c>
      <c r="N114" s="113">
        <f t="shared" ref="N114" si="43">+I114</f>
        <v>321328.84551876556</v>
      </c>
      <c r="O114" s="54">
        <f t="shared" ref="O114" si="44">IF(N114&lt;&gt;0,+I114-N114,0)</f>
        <v>0</v>
      </c>
      <c r="P114" s="54">
        <f t="shared" ref="P114" si="45">+O114-M114</f>
        <v>0</v>
      </c>
    </row>
    <row r="115" spans="2:16" ht="12.5">
      <c r="B115" s="7" t="str">
        <f t="shared" si="34"/>
        <v/>
      </c>
      <c r="C115" s="50">
        <f>IF(D93="","-",+C114+1)</f>
        <v>2023</v>
      </c>
      <c r="D115" s="429">
        <v>2165160.1030482338</v>
      </c>
      <c r="E115" s="430">
        <v>60419.36363636364</v>
      </c>
      <c r="F115" s="431">
        <v>2104740.73941187</v>
      </c>
      <c r="G115" s="431">
        <v>2134950.4212300517</v>
      </c>
      <c r="H115" s="433">
        <v>323797.64236783062</v>
      </c>
      <c r="I115" s="434">
        <v>323797.64236783062</v>
      </c>
      <c r="J115" s="54">
        <f t="shared" si="38"/>
        <v>0</v>
      </c>
      <c r="K115" s="54"/>
      <c r="L115" s="113">
        <f t="shared" ref="L115" si="46">+H115</f>
        <v>323797.64236783062</v>
      </c>
      <c r="M115" s="54">
        <f t="shared" ref="M115" si="47">IF(L115&lt;&gt;0,+H115-L115,0)</f>
        <v>0</v>
      </c>
      <c r="N115" s="113">
        <f t="shared" ref="N115" si="48">+I115</f>
        <v>323797.64236783062</v>
      </c>
      <c r="O115" s="54">
        <f t="shared" ref="O115" si="49">IF(N115&lt;&gt;0,+I115-N115,0)</f>
        <v>0</v>
      </c>
      <c r="P115" s="54">
        <f t="shared" ref="P115" si="50">+O115-M115</f>
        <v>0</v>
      </c>
    </row>
    <row r="116" spans="2:16" ht="12.5">
      <c r="B116" s="7" t="str">
        <f t="shared" si="34"/>
        <v/>
      </c>
      <c r="C116" s="50">
        <f>IF(D93="","-",+C115+1)</f>
        <v>2024</v>
      </c>
      <c r="D116" s="12">
        <f>IF(F115+SUM(E$99:E115)=D$92,F115,D$92-SUM(E$99:E115))</f>
        <v>2104740.73941187</v>
      </c>
      <c r="E116" s="378">
        <f t="shared" ref="E116:E154" si="51">IF(+$J$96&lt;F115,$J$96,D116)</f>
        <v>60419.36363636364</v>
      </c>
      <c r="F116" s="55">
        <f t="shared" ref="F116:F154" si="52">+D116-E116</f>
        <v>2044321.3757755065</v>
      </c>
      <c r="G116" s="55">
        <f t="shared" ref="G116:G154" si="53">+(F116+D116)/2</f>
        <v>2074531.0575936884</v>
      </c>
      <c r="H116" s="380">
        <f t="shared" ref="H116:H154" si="54">+J$94*G116+E116</f>
        <v>318753.12325153017</v>
      </c>
      <c r="I116" s="399">
        <f t="shared" ref="I116:I154" si="55">+J$95*G116+E116</f>
        <v>318753.12325153017</v>
      </c>
      <c r="J116" s="54">
        <f t="shared" si="38"/>
        <v>0</v>
      </c>
      <c r="K116" s="54"/>
      <c r="L116" s="129"/>
      <c r="M116" s="54">
        <f t="shared" si="31"/>
        <v>0</v>
      </c>
      <c r="N116" s="129"/>
      <c r="O116" s="54">
        <f t="shared" si="32"/>
        <v>0</v>
      </c>
      <c r="P116" s="54">
        <f t="shared" si="33"/>
        <v>0</v>
      </c>
    </row>
    <row r="117" spans="2:16" ht="12.5">
      <c r="B117" s="7" t="str">
        <f t="shared" si="34"/>
        <v/>
      </c>
      <c r="C117" s="50">
        <f>IF(D93="","-",+C116+1)</f>
        <v>2025</v>
      </c>
      <c r="D117" s="12">
        <f>IF(F116+SUM(E$99:E116)=D$92,F116,D$92-SUM(E$99:E116))</f>
        <v>2044321.3757755065</v>
      </c>
      <c r="E117" s="378">
        <f t="shared" si="51"/>
        <v>60419.36363636364</v>
      </c>
      <c r="F117" s="55">
        <f t="shared" si="52"/>
        <v>1983902.012139143</v>
      </c>
      <c r="G117" s="55">
        <f t="shared" si="53"/>
        <v>2014111.6939573246</v>
      </c>
      <c r="H117" s="380">
        <f t="shared" si="54"/>
        <v>311229.3210386858</v>
      </c>
      <c r="I117" s="399">
        <f t="shared" si="55"/>
        <v>311229.3210386858</v>
      </c>
      <c r="J117" s="54">
        <f t="shared" si="38"/>
        <v>0</v>
      </c>
      <c r="K117" s="54"/>
      <c r="L117" s="129"/>
      <c r="M117" s="54">
        <f t="shared" si="31"/>
        <v>0</v>
      </c>
      <c r="N117" s="129"/>
      <c r="O117" s="54">
        <f t="shared" si="32"/>
        <v>0</v>
      </c>
      <c r="P117" s="54">
        <f t="shared" si="33"/>
        <v>0</v>
      </c>
    </row>
    <row r="118" spans="2:16" ht="12.5">
      <c r="B118" s="7" t="str">
        <f t="shared" si="34"/>
        <v/>
      </c>
      <c r="C118" s="50">
        <f>IF(D93="","-",+C117+1)</f>
        <v>2026</v>
      </c>
      <c r="D118" s="12">
        <f>IF(F117+SUM(E$99:E117)=D$92,F117,D$92-SUM(E$99:E117))</f>
        <v>1983902.012139143</v>
      </c>
      <c r="E118" s="378">
        <f t="shared" si="51"/>
        <v>60419.36363636364</v>
      </c>
      <c r="F118" s="55">
        <f t="shared" si="52"/>
        <v>1923482.6485027794</v>
      </c>
      <c r="G118" s="55">
        <f t="shared" si="53"/>
        <v>1953692.3303209613</v>
      </c>
      <c r="H118" s="380">
        <f t="shared" si="54"/>
        <v>303705.51882584154</v>
      </c>
      <c r="I118" s="399">
        <f t="shared" si="55"/>
        <v>303705.51882584154</v>
      </c>
      <c r="J118" s="54">
        <f t="shared" si="38"/>
        <v>0</v>
      </c>
      <c r="K118" s="54"/>
      <c r="L118" s="129"/>
      <c r="M118" s="54">
        <f t="shared" si="31"/>
        <v>0</v>
      </c>
      <c r="N118" s="129"/>
      <c r="O118" s="54">
        <f t="shared" si="32"/>
        <v>0</v>
      </c>
      <c r="P118" s="54">
        <f t="shared" si="33"/>
        <v>0</v>
      </c>
    </row>
    <row r="119" spans="2:16" ht="12.5">
      <c r="B119" s="7" t="str">
        <f t="shared" si="34"/>
        <v/>
      </c>
      <c r="C119" s="50">
        <f>IF(D93="","-",+C118+1)</f>
        <v>2027</v>
      </c>
      <c r="D119" s="12">
        <f>IF(F118+SUM(E$99:E118)=D$92,F118,D$92-SUM(E$99:E118))</f>
        <v>1923482.6485027794</v>
      </c>
      <c r="E119" s="378">
        <f t="shared" si="51"/>
        <v>60419.36363636364</v>
      </c>
      <c r="F119" s="55">
        <f t="shared" si="52"/>
        <v>1863063.2848664159</v>
      </c>
      <c r="G119" s="55">
        <f t="shared" si="53"/>
        <v>1893272.9666845975</v>
      </c>
      <c r="H119" s="380">
        <f t="shared" si="54"/>
        <v>296181.71661299717</v>
      </c>
      <c r="I119" s="399">
        <f t="shared" si="55"/>
        <v>296181.71661299717</v>
      </c>
      <c r="J119" s="54">
        <f t="shared" si="38"/>
        <v>0</v>
      </c>
      <c r="K119" s="54"/>
      <c r="L119" s="129"/>
      <c r="M119" s="54">
        <f t="shared" si="31"/>
        <v>0</v>
      </c>
      <c r="N119" s="129"/>
      <c r="O119" s="54">
        <f t="shared" si="32"/>
        <v>0</v>
      </c>
      <c r="P119" s="54">
        <f t="shared" si="33"/>
        <v>0</v>
      </c>
    </row>
    <row r="120" spans="2:16" ht="12.5">
      <c r="B120" s="7" t="str">
        <f t="shared" si="34"/>
        <v/>
      </c>
      <c r="C120" s="50">
        <f>IF(D93="","-",+C119+1)</f>
        <v>2028</v>
      </c>
      <c r="D120" s="12">
        <f>IF(F119+SUM(E$99:E119)=D$92,F119,D$92-SUM(E$99:E119))</f>
        <v>1863063.2848664159</v>
      </c>
      <c r="E120" s="378">
        <f t="shared" si="51"/>
        <v>60419.36363636364</v>
      </c>
      <c r="F120" s="55">
        <f t="shared" si="52"/>
        <v>1802643.9212300524</v>
      </c>
      <c r="G120" s="55">
        <f t="shared" si="53"/>
        <v>1832853.6030482342</v>
      </c>
      <c r="H120" s="380">
        <f t="shared" si="54"/>
        <v>288657.91440015286</v>
      </c>
      <c r="I120" s="399">
        <f t="shared" si="55"/>
        <v>288657.91440015286</v>
      </c>
      <c r="J120" s="54">
        <f t="shared" si="38"/>
        <v>0</v>
      </c>
      <c r="K120" s="54"/>
      <c r="L120" s="129"/>
      <c r="M120" s="54">
        <f t="shared" si="31"/>
        <v>0</v>
      </c>
      <c r="N120" s="129"/>
      <c r="O120" s="54">
        <f t="shared" si="32"/>
        <v>0</v>
      </c>
      <c r="P120" s="54">
        <f t="shared" si="33"/>
        <v>0</v>
      </c>
    </row>
    <row r="121" spans="2:16" ht="12.5">
      <c r="B121" s="7" t="str">
        <f t="shared" si="34"/>
        <v/>
      </c>
      <c r="C121" s="50">
        <f>IF(D93="","-",+C120+1)</f>
        <v>2029</v>
      </c>
      <c r="D121" s="12">
        <f>IF(F120+SUM(E$99:E120)=D$92,F120,D$92-SUM(E$99:E120))</f>
        <v>1802643.9212300524</v>
      </c>
      <c r="E121" s="378">
        <f t="shared" si="51"/>
        <v>60419.36363636364</v>
      </c>
      <c r="F121" s="55">
        <f t="shared" si="52"/>
        <v>1742224.5575936888</v>
      </c>
      <c r="G121" s="55">
        <f t="shared" si="53"/>
        <v>1772434.2394118705</v>
      </c>
      <c r="H121" s="380">
        <f t="shared" si="54"/>
        <v>281134.11218730855</v>
      </c>
      <c r="I121" s="399">
        <f t="shared" si="55"/>
        <v>281134.11218730855</v>
      </c>
      <c r="J121" s="54">
        <f t="shared" si="38"/>
        <v>0</v>
      </c>
      <c r="K121" s="54"/>
      <c r="L121" s="129"/>
      <c r="M121" s="54">
        <f t="shared" si="31"/>
        <v>0</v>
      </c>
      <c r="N121" s="129"/>
      <c r="O121" s="54">
        <f t="shared" si="32"/>
        <v>0</v>
      </c>
      <c r="P121" s="54">
        <f t="shared" si="33"/>
        <v>0</v>
      </c>
    </row>
    <row r="122" spans="2:16" ht="12.5">
      <c r="B122" s="7" t="str">
        <f t="shared" si="34"/>
        <v/>
      </c>
      <c r="C122" s="50">
        <f>IF(D93="","-",+C121+1)</f>
        <v>2030</v>
      </c>
      <c r="D122" s="12">
        <f>IF(F121+SUM(E$99:E121)=D$92,F121,D$92-SUM(E$99:E121))</f>
        <v>1742224.5575936888</v>
      </c>
      <c r="E122" s="378">
        <f t="shared" si="51"/>
        <v>60419.36363636364</v>
      </c>
      <c r="F122" s="55">
        <f t="shared" si="52"/>
        <v>1681805.1939573253</v>
      </c>
      <c r="G122" s="55">
        <f t="shared" si="53"/>
        <v>1712014.8757755072</v>
      </c>
      <c r="H122" s="380">
        <f t="shared" si="54"/>
        <v>273610.30997446424</v>
      </c>
      <c r="I122" s="399">
        <f t="shared" si="55"/>
        <v>273610.30997446424</v>
      </c>
      <c r="J122" s="54">
        <f t="shared" si="38"/>
        <v>0</v>
      </c>
      <c r="K122" s="54"/>
      <c r="L122" s="129"/>
      <c r="M122" s="54">
        <f t="shared" si="31"/>
        <v>0</v>
      </c>
      <c r="N122" s="129"/>
      <c r="O122" s="54">
        <f t="shared" si="32"/>
        <v>0</v>
      </c>
      <c r="P122" s="54">
        <f t="shared" si="33"/>
        <v>0</v>
      </c>
    </row>
    <row r="123" spans="2:16" ht="12.5">
      <c r="B123" s="7" t="str">
        <f t="shared" si="34"/>
        <v/>
      </c>
      <c r="C123" s="50">
        <f>IF(D93="","-",+C122+1)</f>
        <v>2031</v>
      </c>
      <c r="D123" s="12">
        <f>IF(F122+SUM(E$99:E122)=D$92,F122,D$92-SUM(E$99:E122))</f>
        <v>1681805.1939573253</v>
      </c>
      <c r="E123" s="378">
        <f t="shared" si="51"/>
        <v>60419.36363636364</v>
      </c>
      <c r="F123" s="55">
        <f t="shared" si="52"/>
        <v>1621385.8303209618</v>
      </c>
      <c r="G123" s="55">
        <f t="shared" si="53"/>
        <v>1651595.5121391434</v>
      </c>
      <c r="H123" s="380">
        <f t="shared" si="54"/>
        <v>266086.50776161987</v>
      </c>
      <c r="I123" s="399">
        <f t="shared" si="55"/>
        <v>266086.50776161987</v>
      </c>
      <c r="J123" s="54">
        <f t="shared" si="38"/>
        <v>0</v>
      </c>
      <c r="K123" s="54"/>
      <c r="L123" s="129"/>
      <c r="M123" s="54">
        <f t="shared" si="31"/>
        <v>0</v>
      </c>
      <c r="N123" s="129"/>
      <c r="O123" s="54">
        <f t="shared" si="32"/>
        <v>0</v>
      </c>
      <c r="P123" s="54">
        <f t="shared" si="33"/>
        <v>0</v>
      </c>
    </row>
    <row r="124" spans="2:16" ht="12.5">
      <c r="B124" s="7" t="str">
        <f t="shared" si="34"/>
        <v/>
      </c>
      <c r="C124" s="50">
        <f>IF(D93="","-",+C123+1)</f>
        <v>2032</v>
      </c>
      <c r="D124" s="12">
        <f>IF(F123+SUM(E$99:E123)=D$92,F123,D$92-SUM(E$99:E123))</f>
        <v>1621385.8303209618</v>
      </c>
      <c r="E124" s="378">
        <f t="shared" si="51"/>
        <v>60419.36363636364</v>
      </c>
      <c r="F124" s="55">
        <f t="shared" si="52"/>
        <v>1560966.4666845982</v>
      </c>
      <c r="G124" s="55">
        <f t="shared" si="53"/>
        <v>1591176.1485027801</v>
      </c>
      <c r="H124" s="380">
        <f t="shared" si="54"/>
        <v>258562.70554877559</v>
      </c>
      <c r="I124" s="399">
        <f t="shared" si="55"/>
        <v>258562.70554877559</v>
      </c>
      <c r="J124" s="54">
        <f t="shared" si="38"/>
        <v>0</v>
      </c>
      <c r="K124" s="54"/>
      <c r="L124" s="129"/>
      <c r="M124" s="54">
        <f t="shared" si="31"/>
        <v>0</v>
      </c>
      <c r="N124" s="129"/>
      <c r="O124" s="54">
        <f t="shared" si="32"/>
        <v>0</v>
      </c>
      <c r="P124" s="54">
        <f t="shared" si="33"/>
        <v>0</v>
      </c>
    </row>
    <row r="125" spans="2:16" ht="12.5">
      <c r="B125" s="7" t="str">
        <f t="shared" si="34"/>
        <v/>
      </c>
      <c r="C125" s="50">
        <f>IF(D93="","-",+C124+1)</f>
        <v>2033</v>
      </c>
      <c r="D125" s="12">
        <f>IF(F124+SUM(E$99:E124)=D$92,F124,D$92-SUM(E$99:E124))</f>
        <v>1560966.4666845982</v>
      </c>
      <c r="E125" s="378">
        <f t="shared" si="51"/>
        <v>60419.36363636364</v>
      </c>
      <c r="F125" s="55">
        <f t="shared" si="52"/>
        <v>1500547.1030482347</v>
      </c>
      <c r="G125" s="55">
        <f t="shared" si="53"/>
        <v>1530756.7848664164</v>
      </c>
      <c r="H125" s="380">
        <f t="shared" si="54"/>
        <v>251038.90333593125</v>
      </c>
      <c r="I125" s="399">
        <f t="shared" si="55"/>
        <v>251038.90333593125</v>
      </c>
      <c r="J125" s="54">
        <f t="shared" si="38"/>
        <v>0</v>
      </c>
      <c r="K125" s="54"/>
      <c r="L125" s="129"/>
      <c r="M125" s="54">
        <f t="shared" si="31"/>
        <v>0</v>
      </c>
      <c r="N125" s="129"/>
      <c r="O125" s="54">
        <f t="shared" si="32"/>
        <v>0</v>
      </c>
      <c r="P125" s="54">
        <f t="shared" si="33"/>
        <v>0</v>
      </c>
    </row>
    <row r="126" spans="2:16" ht="12.5">
      <c r="B126" s="7" t="str">
        <f t="shared" si="34"/>
        <v/>
      </c>
      <c r="C126" s="50">
        <f>IF(D93="","-",+C125+1)</f>
        <v>2034</v>
      </c>
      <c r="D126" s="12">
        <f>IF(F125+SUM(E$99:E125)=D$92,F125,D$92-SUM(E$99:E125))</f>
        <v>1500547.1030482347</v>
      </c>
      <c r="E126" s="378">
        <f t="shared" si="51"/>
        <v>60419.36363636364</v>
      </c>
      <c r="F126" s="55">
        <f t="shared" si="52"/>
        <v>1440127.7394118712</v>
      </c>
      <c r="G126" s="55">
        <f t="shared" si="53"/>
        <v>1470337.4212300531</v>
      </c>
      <c r="H126" s="380">
        <f t="shared" si="54"/>
        <v>243515.10112308693</v>
      </c>
      <c r="I126" s="399">
        <f t="shared" si="55"/>
        <v>243515.10112308693</v>
      </c>
      <c r="J126" s="54">
        <f t="shared" si="38"/>
        <v>0</v>
      </c>
      <c r="K126" s="54"/>
      <c r="L126" s="129"/>
      <c r="M126" s="54">
        <f t="shared" si="31"/>
        <v>0</v>
      </c>
      <c r="N126" s="129"/>
      <c r="O126" s="54">
        <f t="shared" si="32"/>
        <v>0</v>
      </c>
      <c r="P126" s="54">
        <f t="shared" si="33"/>
        <v>0</v>
      </c>
    </row>
    <row r="127" spans="2:16" ht="12.5">
      <c r="B127" s="7" t="str">
        <f t="shared" si="34"/>
        <v/>
      </c>
      <c r="C127" s="50">
        <f>IF(D93="","-",+C126+1)</f>
        <v>2035</v>
      </c>
      <c r="D127" s="12">
        <f>IF(F126+SUM(E$99:E126)=D$92,F126,D$92-SUM(E$99:E126))</f>
        <v>1440127.7394118712</v>
      </c>
      <c r="E127" s="378">
        <f t="shared" si="51"/>
        <v>60419.36363636364</v>
      </c>
      <c r="F127" s="55">
        <f t="shared" si="52"/>
        <v>1379708.3757755077</v>
      </c>
      <c r="G127" s="55">
        <f t="shared" si="53"/>
        <v>1409918.0575936893</v>
      </c>
      <c r="H127" s="380">
        <f t="shared" si="54"/>
        <v>235991.29891024259</v>
      </c>
      <c r="I127" s="399">
        <f t="shared" si="55"/>
        <v>235991.29891024259</v>
      </c>
      <c r="J127" s="54">
        <f t="shared" si="38"/>
        <v>0</v>
      </c>
      <c r="K127" s="54"/>
      <c r="L127" s="129"/>
      <c r="M127" s="54">
        <f t="shared" si="31"/>
        <v>0</v>
      </c>
      <c r="N127" s="129"/>
      <c r="O127" s="54">
        <f t="shared" si="32"/>
        <v>0</v>
      </c>
      <c r="P127" s="54">
        <f t="shared" si="33"/>
        <v>0</v>
      </c>
    </row>
    <row r="128" spans="2:16" ht="12.5">
      <c r="B128" s="7" t="str">
        <f t="shared" si="34"/>
        <v/>
      </c>
      <c r="C128" s="50">
        <f>IF(D93="","-",+C127+1)</f>
        <v>2036</v>
      </c>
      <c r="D128" s="12">
        <f>IF(F127+SUM(E$99:E127)=D$92,F127,D$92-SUM(E$99:E127))</f>
        <v>1379708.3757755077</v>
      </c>
      <c r="E128" s="378">
        <f t="shared" si="51"/>
        <v>60419.36363636364</v>
      </c>
      <c r="F128" s="55">
        <f t="shared" si="52"/>
        <v>1319289.0121391441</v>
      </c>
      <c r="G128" s="55">
        <f t="shared" si="53"/>
        <v>1349498.693957326</v>
      </c>
      <c r="H128" s="380">
        <f t="shared" si="54"/>
        <v>228467.49669739828</v>
      </c>
      <c r="I128" s="399">
        <f t="shared" si="55"/>
        <v>228467.49669739828</v>
      </c>
      <c r="J128" s="54">
        <f t="shared" si="38"/>
        <v>0</v>
      </c>
      <c r="K128" s="54"/>
      <c r="L128" s="129"/>
      <c r="M128" s="54">
        <f t="shared" si="31"/>
        <v>0</v>
      </c>
      <c r="N128" s="129"/>
      <c r="O128" s="54">
        <f t="shared" si="32"/>
        <v>0</v>
      </c>
      <c r="P128" s="54">
        <f t="shared" si="33"/>
        <v>0</v>
      </c>
    </row>
    <row r="129" spans="2:16" ht="12.5">
      <c r="B129" s="7" t="str">
        <f t="shared" si="34"/>
        <v/>
      </c>
      <c r="C129" s="50">
        <f>IF(D93="","-",+C128+1)</f>
        <v>2037</v>
      </c>
      <c r="D129" s="12">
        <f>IF(F128+SUM(E$99:E128)=D$92,F128,D$92-SUM(E$99:E128))</f>
        <v>1319289.0121391441</v>
      </c>
      <c r="E129" s="378">
        <f t="shared" si="51"/>
        <v>60419.36363636364</v>
      </c>
      <c r="F129" s="55">
        <f t="shared" si="52"/>
        <v>1258869.6485027806</v>
      </c>
      <c r="G129" s="55">
        <f t="shared" si="53"/>
        <v>1289079.3303209622</v>
      </c>
      <c r="H129" s="380">
        <f t="shared" si="54"/>
        <v>220943.69448455394</v>
      </c>
      <c r="I129" s="399">
        <f t="shared" si="55"/>
        <v>220943.69448455394</v>
      </c>
      <c r="J129" s="54">
        <f t="shared" si="38"/>
        <v>0</v>
      </c>
      <c r="K129" s="54"/>
      <c r="L129" s="129"/>
      <c r="M129" s="54">
        <f t="shared" si="31"/>
        <v>0</v>
      </c>
      <c r="N129" s="129"/>
      <c r="O129" s="54">
        <f t="shared" si="32"/>
        <v>0</v>
      </c>
      <c r="P129" s="54">
        <f t="shared" si="33"/>
        <v>0</v>
      </c>
    </row>
    <row r="130" spans="2:16" ht="12.5">
      <c r="B130" s="7" t="str">
        <f t="shared" si="34"/>
        <v/>
      </c>
      <c r="C130" s="50">
        <f>IF(D93="","-",+C129+1)</f>
        <v>2038</v>
      </c>
      <c r="D130" s="12">
        <f>IF(F129+SUM(E$99:E129)=D$92,F129,D$92-SUM(E$99:E129))</f>
        <v>1258869.6485027806</v>
      </c>
      <c r="E130" s="378">
        <f t="shared" si="51"/>
        <v>60419.36363636364</v>
      </c>
      <c r="F130" s="55">
        <f t="shared" si="52"/>
        <v>1198450.2848664171</v>
      </c>
      <c r="G130" s="55">
        <f t="shared" si="53"/>
        <v>1228659.9666845989</v>
      </c>
      <c r="H130" s="380">
        <f t="shared" si="54"/>
        <v>213419.89227170963</v>
      </c>
      <c r="I130" s="399">
        <f t="shared" si="55"/>
        <v>213419.89227170963</v>
      </c>
      <c r="J130" s="54">
        <f t="shared" si="38"/>
        <v>0</v>
      </c>
      <c r="K130" s="54"/>
      <c r="L130" s="129"/>
      <c r="M130" s="54">
        <f t="shared" si="31"/>
        <v>0</v>
      </c>
      <c r="N130" s="129"/>
      <c r="O130" s="54">
        <f t="shared" si="32"/>
        <v>0</v>
      </c>
      <c r="P130" s="54">
        <f t="shared" si="33"/>
        <v>0</v>
      </c>
    </row>
    <row r="131" spans="2:16" ht="12.5">
      <c r="B131" s="7" t="str">
        <f t="shared" si="34"/>
        <v/>
      </c>
      <c r="C131" s="50">
        <f>IF(D93="","-",+C130+1)</f>
        <v>2039</v>
      </c>
      <c r="D131" s="12">
        <f>IF(F130+SUM(E$99:E130)=D$92,F130,D$92-SUM(E$99:E130))</f>
        <v>1198450.2848664171</v>
      </c>
      <c r="E131" s="378">
        <f t="shared" si="51"/>
        <v>60419.36363636364</v>
      </c>
      <c r="F131" s="55">
        <f t="shared" si="52"/>
        <v>1138030.9212300535</v>
      </c>
      <c r="G131" s="55">
        <f t="shared" si="53"/>
        <v>1168240.6030482352</v>
      </c>
      <c r="H131" s="380">
        <f t="shared" si="54"/>
        <v>205896.09005886529</v>
      </c>
      <c r="I131" s="399">
        <f t="shared" si="55"/>
        <v>205896.09005886529</v>
      </c>
      <c r="J131" s="54">
        <f t="shared" si="38"/>
        <v>0</v>
      </c>
      <c r="K131" s="54"/>
      <c r="L131" s="129"/>
      <c r="M131" s="54">
        <f t="shared" ref="M131:M154" si="56">IF(L541&lt;&gt;0,+H541-L541,0)</f>
        <v>0</v>
      </c>
      <c r="N131" s="129"/>
      <c r="O131" s="54">
        <f t="shared" ref="O131:O154" si="57">IF(N541&lt;&gt;0,+I541-N541,0)</f>
        <v>0</v>
      </c>
      <c r="P131" s="54">
        <f t="shared" ref="P131:P154" si="58">+O541-M541</f>
        <v>0</v>
      </c>
    </row>
    <row r="132" spans="2:16" ht="12.5">
      <c r="B132" s="7" t="str">
        <f t="shared" si="34"/>
        <v/>
      </c>
      <c r="C132" s="50">
        <f>IF(D93="","-",+C131+1)</f>
        <v>2040</v>
      </c>
      <c r="D132" s="12">
        <f>IF(F131+SUM(E$99:E131)=D$92,F131,D$92-SUM(E$99:E131))</f>
        <v>1138030.9212300535</v>
      </c>
      <c r="E132" s="378">
        <f t="shared" si="51"/>
        <v>60419.36363636364</v>
      </c>
      <c r="F132" s="55">
        <f t="shared" si="52"/>
        <v>1077611.55759369</v>
      </c>
      <c r="G132" s="55">
        <f t="shared" si="53"/>
        <v>1107821.2394118719</v>
      </c>
      <c r="H132" s="380">
        <f t="shared" si="54"/>
        <v>198372.28784602098</v>
      </c>
      <c r="I132" s="399">
        <f t="shared" si="55"/>
        <v>198372.28784602098</v>
      </c>
      <c r="J132" s="54">
        <f t="shared" si="38"/>
        <v>0</v>
      </c>
      <c r="K132" s="54"/>
      <c r="L132" s="129"/>
      <c r="M132" s="54">
        <f t="shared" si="56"/>
        <v>0</v>
      </c>
      <c r="N132" s="129"/>
      <c r="O132" s="54">
        <f t="shared" si="57"/>
        <v>0</v>
      </c>
      <c r="P132" s="54">
        <f t="shared" si="58"/>
        <v>0</v>
      </c>
    </row>
    <row r="133" spans="2:16" ht="12.5">
      <c r="B133" s="7" t="str">
        <f t="shared" si="34"/>
        <v/>
      </c>
      <c r="C133" s="50">
        <f>IF(D93="","-",+C132+1)</f>
        <v>2041</v>
      </c>
      <c r="D133" s="12">
        <f>IF(F132+SUM(E$99:E132)=D$92,F132,D$92-SUM(E$99:E132))</f>
        <v>1077611.55759369</v>
      </c>
      <c r="E133" s="378">
        <f t="shared" si="51"/>
        <v>60419.36363636364</v>
      </c>
      <c r="F133" s="55">
        <f t="shared" si="52"/>
        <v>1017192.1939573264</v>
      </c>
      <c r="G133" s="55">
        <f t="shared" si="53"/>
        <v>1047401.8757755081</v>
      </c>
      <c r="H133" s="380">
        <f t="shared" si="54"/>
        <v>190848.48563317664</v>
      </c>
      <c r="I133" s="399">
        <f t="shared" si="55"/>
        <v>190848.48563317664</v>
      </c>
      <c r="J133" s="54">
        <f t="shared" si="38"/>
        <v>0</v>
      </c>
      <c r="K133" s="54"/>
      <c r="L133" s="129"/>
      <c r="M133" s="54">
        <f t="shared" si="56"/>
        <v>0</v>
      </c>
      <c r="N133" s="129"/>
      <c r="O133" s="54">
        <f t="shared" si="57"/>
        <v>0</v>
      </c>
      <c r="P133" s="54">
        <f t="shared" si="58"/>
        <v>0</v>
      </c>
    </row>
    <row r="134" spans="2:16" ht="12.5">
      <c r="B134" s="7" t="str">
        <f t="shared" si="34"/>
        <v/>
      </c>
      <c r="C134" s="50">
        <f>IF(D93="","-",+C133+1)</f>
        <v>2042</v>
      </c>
      <c r="D134" s="12">
        <f>IF(F133+SUM(E$99:E133)=D$92,F133,D$92-SUM(E$99:E133))</f>
        <v>1017192.1939573264</v>
      </c>
      <c r="E134" s="378">
        <f t="shared" si="51"/>
        <v>60419.36363636364</v>
      </c>
      <c r="F134" s="55">
        <f t="shared" si="52"/>
        <v>956772.8303209627</v>
      </c>
      <c r="G134" s="55">
        <f t="shared" si="53"/>
        <v>986982.51213914459</v>
      </c>
      <c r="H134" s="380">
        <f t="shared" si="54"/>
        <v>183324.68342033229</v>
      </c>
      <c r="I134" s="399">
        <f t="shared" si="55"/>
        <v>183324.68342033229</v>
      </c>
      <c r="J134" s="54">
        <f t="shared" si="38"/>
        <v>0</v>
      </c>
      <c r="K134" s="54"/>
      <c r="L134" s="129"/>
      <c r="M134" s="54">
        <f t="shared" si="56"/>
        <v>0</v>
      </c>
      <c r="N134" s="129"/>
      <c r="O134" s="54">
        <f t="shared" si="57"/>
        <v>0</v>
      </c>
      <c r="P134" s="54">
        <f t="shared" si="58"/>
        <v>0</v>
      </c>
    </row>
    <row r="135" spans="2:16" ht="12.5">
      <c r="B135" s="7" t="str">
        <f t="shared" si="34"/>
        <v/>
      </c>
      <c r="C135" s="50">
        <f>IF(D93="","-",+C134+1)</f>
        <v>2043</v>
      </c>
      <c r="D135" s="12">
        <f>IF(F134+SUM(E$99:E134)=D$92,F134,D$92-SUM(E$99:E134))</f>
        <v>956772.8303209627</v>
      </c>
      <c r="E135" s="378">
        <f t="shared" si="51"/>
        <v>60419.36363636364</v>
      </c>
      <c r="F135" s="55">
        <f t="shared" si="52"/>
        <v>896353.46668459906</v>
      </c>
      <c r="G135" s="55">
        <f t="shared" si="53"/>
        <v>926563.14850278082</v>
      </c>
      <c r="H135" s="380">
        <f t="shared" si="54"/>
        <v>175800.88120748795</v>
      </c>
      <c r="I135" s="399">
        <f t="shared" si="55"/>
        <v>175800.88120748795</v>
      </c>
      <c r="J135" s="54">
        <f t="shared" si="38"/>
        <v>0</v>
      </c>
      <c r="K135" s="54"/>
      <c r="L135" s="129"/>
      <c r="M135" s="54">
        <f t="shared" si="56"/>
        <v>0</v>
      </c>
      <c r="N135" s="129"/>
      <c r="O135" s="54">
        <f t="shared" si="57"/>
        <v>0</v>
      </c>
      <c r="P135" s="54">
        <f t="shared" si="58"/>
        <v>0</v>
      </c>
    </row>
    <row r="136" spans="2:16" ht="12.5">
      <c r="B136" s="7" t="str">
        <f t="shared" si="34"/>
        <v/>
      </c>
      <c r="C136" s="50">
        <f>IF(D93="","-",+C135+1)</f>
        <v>2044</v>
      </c>
      <c r="D136" s="12">
        <f>IF(F135+SUM(E$99:E135)=D$92,F135,D$92-SUM(E$99:E135))</f>
        <v>896353.46668459906</v>
      </c>
      <c r="E136" s="378">
        <f t="shared" si="51"/>
        <v>60419.36363636364</v>
      </c>
      <c r="F136" s="55">
        <f t="shared" si="52"/>
        <v>835934.10304823541</v>
      </c>
      <c r="G136" s="55">
        <f t="shared" si="53"/>
        <v>866143.78486641729</v>
      </c>
      <c r="H136" s="380">
        <f t="shared" si="54"/>
        <v>168277.07899464361</v>
      </c>
      <c r="I136" s="399">
        <f t="shared" si="55"/>
        <v>168277.07899464361</v>
      </c>
      <c r="J136" s="54">
        <f t="shared" si="38"/>
        <v>0</v>
      </c>
      <c r="K136" s="54"/>
      <c r="L136" s="129"/>
      <c r="M136" s="54">
        <f t="shared" si="56"/>
        <v>0</v>
      </c>
      <c r="N136" s="129"/>
      <c r="O136" s="54">
        <f t="shared" si="57"/>
        <v>0</v>
      </c>
      <c r="P136" s="54">
        <f t="shared" si="58"/>
        <v>0</v>
      </c>
    </row>
    <row r="137" spans="2:16" ht="12.5">
      <c r="B137" s="7" t="str">
        <f t="shared" si="34"/>
        <v/>
      </c>
      <c r="C137" s="50">
        <f>IF(D93="","-",+C136+1)</f>
        <v>2045</v>
      </c>
      <c r="D137" s="12">
        <f>IF(F136+SUM(E$99:E136)=D$92,F136,D$92-SUM(E$99:E136))</f>
        <v>835934.10304823541</v>
      </c>
      <c r="E137" s="378">
        <f t="shared" si="51"/>
        <v>60419.36363636364</v>
      </c>
      <c r="F137" s="55">
        <f t="shared" si="52"/>
        <v>775514.73941187176</v>
      </c>
      <c r="G137" s="55">
        <f t="shared" si="53"/>
        <v>805724.42123005353</v>
      </c>
      <c r="H137" s="380">
        <f t="shared" si="54"/>
        <v>160753.27678179927</v>
      </c>
      <c r="I137" s="399">
        <f t="shared" si="55"/>
        <v>160753.27678179927</v>
      </c>
      <c r="J137" s="54">
        <f t="shared" si="38"/>
        <v>0</v>
      </c>
      <c r="K137" s="54"/>
      <c r="L137" s="129"/>
      <c r="M137" s="54">
        <f t="shared" si="56"/>
        <v>0</v>
      </c>
      <c r="N137" s="129"/>
      <c r="O137" s="54">
        <f t="shared" si="57"/>
        <v>0</v>
      </c>
      <c r="P137" s="54">
        <f t="shared" si="58"/>
        <v>0</v>
      </c>
    </row>
    <row r="138" spans="2:16" ht="12.5">
      <c r="B138" s="7" t="str">
        <f t="shared" si="34"/>
        <v/>
      </c>
      <c r="C138" s="50">
        <f>IF(D93="","-",+C137+1)</f>
        <v>2046</v>
      </c>
      <c r="D138" s="12">
        <f>IF(F137+SUM(E$99:E137)=D$92,F137,D$92-SUM(E$99:E137))</f>
        <v>775514.73941187176</v>
      </c>
      <c r="E138" s="378">
        <f t="shared" si="51"/>
        <v>60419.36363636364</v>
      </c>
      <c r="F138" s="55">
        <f t="shared" si="52"/>
        <v>715095.37577550812</v>
      </c>
      <c r="G138" s="55">
        <f t="shared" si="53"/>
        <v>745305.05759369</v>
      </c>
      <c r="H138" s="380">
        <f t="shared" si="54"/>
        <v>153229.47456895493</v>
      </c>
      <c r="I138" s="399">
        <f t="shared" si="55"/>
        <v>153229.47456895493</v>
      </c>
      <c r="J138" s="54">
        <f t="shared" si="38"/>
        <v>0</v>
      </c>
      <c r="K138" s="54"/>
      <c r="L138" s="129"/>
      <c r="M138" s="54">
        <f t="shared" si="56"/>
        <v>0</v>
      </c>
      <c r="N138" s="129"/>
      <c r="O138" s="54">
        <f t="shared" si="57"/>
        <v>0</v>
      </c>
      <c r="P138" s="54">
        <f t="shared" si="58"/>
        <v>0</v>
      </c>
    </row>
    <row r="139" spans="2:16" ht="12.5">
      <c r="B139" s="7" t="str">
        <f t="shared" si="34"/>
        <v/>
      </c>
      <c r="C139" s="50">
        <f>IF(D93="","-",+C138+1)</f>
        <v>2047</v>
      </c>
      <c r="D139" s="12">
        <f>IF(F138+SUM(E$99:E138)=D$92,F138,D$92-SUM(E$99:E138))</f>
        <v>715095.37577550812</v>
      </c>
      <c r="E139" s="378">
        <f t="shared" si="51"/>
        <v>60419.36363636364</v>
      </c>
      <c r="F139" s="55">
        <f t="shared" si="52"/>
        <v>654676.01213914447</v>
      </c>
      <c r="G139" s="55">
        <f t="shared" si="53"/>
        <v>684885.69395732624</v>
      </c>
      <c r="H139" s="380">
        <f t="shared" si="54"/>
        <v>145705.67235611059</v>
      </c>
      <c r="I139" s="399">
        <f t="shared" si="55"/>
        <v>145705.67235611059</v>
      </c>
      <c r="J139" s="54">
        <f t="shared" si="38"/>
        <v>0</v>
      </c>
      <c r="K139" s="54"/>
      <c r="L139" s="129"/>
      <c r="M139" s="54">
        <f t="shared" si="56"/>
        <v>0</v>
      </c>
      <c r="N139" s="129"/>
      <c r="O139" s="54">
        <f t="shared" si="57"/>
        <v>0</v>
      </c>
      <c r="P139" s="54">
        <f t="shared" si="58"/>
        <v>0</v>
      </c>
    </row>
    <row r="140" spans="2:16" ht="12.5">
      <c r="B140" s="7" t="str">
        <f t="shared" si="34"/>
        <v/>
      </c>
      <c r="C140" s="50">
        <f>IF(D93="","-",+C139+1)</f>
        <v>2048</v>
      </c>
      <c r="D140" s="12">
        <f>IF(F139+SUM(E$99:E139)=D$92,F139,D$92-SUM(E$99:E139))</f>
        <v>654676.01213914447</v>
      </c>
      <c r="E140" s="378">
        <f t="shared" si="51"/>
        <v>60419.36363636364</v>
      </c>
      <c r="F140" s="55">
        <f t="shared" si="52"/>
        <v>594256.64850278082</v>
      </c>
      <c r="G140" s="55">
        <f t="shared" si="53"/>
        <v>624466.3303209627</v>
      </c>
      <c r="H140" s="380">
        <f t="shared" si="54"/>
        <v>138181.87014326625</v>
      </c>
      <c r="I140" s="399">
        <f t="shared" si="55"/>
        <v>138181.87014326625</v>
      </c>
      <c r="J140" s="54">
        <f t="shared" si="38"/>
        <v>0</v>
      </c>
      <c r="K140" s="54"/>
      <c r="L140" s="129"/>
      <c r="M140" s="54">
        <f t="shared" si="56"/>
        <v>0</v>
      </c>
      <c r="N140" s="129"/>
      <c r="O140" s="54">
        <f t="shared" si="57"/>
        <v>0</v>
      </c>
      <c r="P140" s="54">
        <f t="shared" si="58"/>
        <v>0</v>
      </c>
    </row>
    <row r="141" spans="2:16" ht="12.5">
      <c r="B141" s="7" t="str">
        <f t="shared" si="34"/>
        <v/>
      </c>
      <c r="C141" s="50">
        <f>IF(D93="","-",+C140+1)</f>
        <v>2049</v>
      </c>
      <c r="D141" s="12">
        <f>IF(F140+SUM(E$99:E140)=D$92,F140,D$92-SUM(E$99:E140))</f>
        <v>594256.64850278082</v>
      </c>
      <c r="E141" s="378">
        <f t="shared" si="51"/>
        <v>60419.36363636364</v>
      </c>
      <c r="F141" s="55">
        <f t="shared" si="52"/>
        <v>533837.28486641718</v>
      </c>
      <c r="G141" s="55">
        <f t="shared" si="53"/>
        <v>564046.96668459894</v>
      </c>
      <c r="H141" s="380">
        <f t="shared" si="54"/>
        <v>130658.06793042191</v>
      </c>
      <c r="I141" s="399">
        <f t="shared" si="55"/>
        <v>130658.06793042191</v>
      </c>
      <c r="J141" s="54">
        <f t="shared" si="38"/>
        <v>0</v>
      </c>
      <c r="K141" s="54"/>
      <c r="L141" s="129"/>
      <c r="M141" s="54">
        <f t="shared" si="56"/>
        <v>0</v>
      </c>
      <c r="N141" s="129"/>
      <c r="O141" s="54">
        <f t="shared" si="57"/>
        <v>0</v>
      </c>
      <c r="P141" s="54">
        <f t="shared" si="58"/>
        <v>0</v>
      </c>
    </row>
    <row r="142" spans="2:16" ht="12.5">
      <c r="B142" s="7" t="str">
        <f t="shared" si="34"/>
        <v/>
      </c>
      <c r="C142" s="50">
        <f>IF(D93="","-",+C141+1)</f>
        <v>2050</v>
      </c>
      <c r="D142" s="12">
        <f>IF(F141+SUM(E$99:E141)=D$92,F141,D$92-SUM(E$99:E141))</f>
        <v>533837.28486641718</v>
      </c>
      <c r="E142" s="378">
        <f t="shared" si="51"/>
        <v>60419.36363636364</v>
      </c>
      <c r="F142" s="55">
        <f t="shared" si="52"/>
        <v>473417.92123005353</v>
      </c>
      <c r="G142" s="55">
        <f t="shared" si="53"/>
        <v>503627.60304823535</v>
      </c>
      <c r="H142" s="380">
        <f t="shared" si="54"/>
        <v>123134.26571757757</v>
      </c>
      <c r="I142" s="399">
        <f t="shared" si="55"/>
        <v>123134.26571757757</v>
      </c>
      <c r="J142" s="54">
        <f t="shared" si="38"/>
        <v>0</v>
      </c>
      <c r="K142" s="54"/>
      <c r="L142" s="129"/>
      <c r="M142" s="54">
        <f t="shared" si="56"/>
        <v>0</v>
      </c>
      <c r="N142" s="129"/>
      <c r="O142" s="54">
        <f t="shared" si="57"/>
        <v>0</v>
      </c>
      <c r="P142" s="54">
        <f t="shared" si="58"/>
        <v>0</v>
      </c>
    </row>
    <row r="143" spans="2:16" ht="12.5">
      <c r="B143" s="7" t="str">
        <f t="shared" si="34"/>
        <v/>
      </c>
      <c r="C143" s="50">
        <f>IF(D93="","-",+C142+1)</f>
        <v>2051</v>
      </c>
      <c r="D143" s="12">
        <f>IF(F142+SUM(E$99:E142)=D$92,F142,D$92-SUM(E$99:E142))</f>
        <v>473417.92123005353</v>
      </c>
      <c r="E143" s="378">
        <f t="shared" si="51"/>
        <v>60419.36363636364</v>
      </c>
      <c r="F143" s="55">
        <f t="shared" si="52"/>
        <v>412998.55759368988</v>
      </c>
      <c r="G143" s="55">
        <f t="shared" si="53"/>
        <v>443208.23941187171</v>
      </c>
      <c r="H143" s="380">
        <f t="shared" si="54"/>
        <v>115610.46350473323</v>
      </c>
      <c r="I143" s="399">
        <f t="shared" si="55"/>
        <v>115610.46350473323</v>
      </c>
      <c r="J143" s="54">
        <f t="shared" si="38"/>
        <v>0</v>
      </c>
      <c r="K143" s="54"/>
      <c r="L143" s="129"/>
      <c r="M143" s="54">
        <f t="shared" si="56"/>
        <v>0</v>
      </c>
      <c r="N143" s="129"/>
      <c r="O143" s="54">
        <f t="shared" si="57"/>
        <v>0</v>
      </c>
      <c r="P143" s="54">
        <f t="shared" si="58"/>
        <v>0</v>
      </c>
    </row>
    <row r="144" spans="2:16" ht="12.5">
      <c r="B144" s="7" t="str">
        <f t="shared" si="34"/>
        <v/>
      </c>
      <c r="C144" s="50">
        <f>IF(D93="","-",+C143+1)</f>
        <v>2052</v>
      </c>
      <c r="D144" s="12">
        <f>IF(F143+SUM(E$99:E143)=D$92,F143,D$92-SUM(E$99:E143))</f>
        <v>412998.55759368988</v>
      </c>
      <c r="E144" s="378">
        <f t="shared" si="51"/>
        <v>60419.36363636364</v>
      </c>
      <c r="F144" s="55">
        <f t="shared" si="52"/>
        <v>352579.19395732624</v>
      </c>
      <c r="G144" s="55">
        <f t="shared" si="53"/>
        <v>382788.87577550806</v>
      </c>
      <c r="H144" s="380">
        <f t="shared" si="54"/>
        <v>108086.66129188889</v>
      </c>
      <c r="I144" s="399">
        <f t="shared" si="55"/>
        <v>108086.66129188889</v>
      </c>
      <c r="J144" s="54">
        <f t="shared" si="38"/>
        <v>0</v>
      </c>
      <c r="K144" s="54"/>
      <c r="L144" s="129"/>
      <c r="M144" s="54">
        <f t="shared" si="56"/>
        <v>0</v>
      </c>
      <c r="N144" s="129"/>
      <c r="O144" s="54">
        <f t="shared" si="57"/>
        <v>0</v>
      </c>
      <c r="P144" s="54">
        <f t="shared" si="58"/>
        <v>0</v>
      </c>
    </row>
    <row r="145" spans="2:16" ht="12.5">
      <c r="B145" s="7" t="str">
        <f t="shared" si="34"/>
        <v/>
      </c>
      <c r="C145" s="50">
        <f>IF(D93="","-",+C144+1)</f>
        <v>2053</v>
      </c>
      <c r="D145" s="12">
        <f>IF(F144+SUM(E$99:E144)=D$92,F144,D$92-SUM(E$99:E144))</f>
        <v>352579.19395732624</v>
      </c>
      <c r="E145" s="378">
        <f t="shared" si="51"/>
        <v>60419.36363636364</v>
      </c>
      <c r="F145" s="55">
        <f t="shared" si="52"/>
        <v>292159.83032096259</v>
      </c>
      <c r="G145" s="55">
        <f t="shared" si="53"/>
        <v>322369.51213914441</v>
      </c>
      <c r="H145" s="380">
        <f t="shared" si="54"/>
        <v>100562.85907904455</v>
      </c>
      <c r="I145" s="399">
        <f t="shared" si="55"/>
        <v>100562.85907904455</v>
      </c>
      <c r="J145" s="54">
        <f t="shared" si="38"/>
        <v>0</v>
      </c>
      <c r="K145" s="54"/>
      <c r="L145" s="129"/>
      <c r="M145" s="54">
        <f t="shared" si="56"/>
        <v>0</v>
      </c>
      <c r="N145" s="129"/>
      <c r="O145" s="54">
        <f t="shared" si="57"/>
        <v>0</v>
      </c>
      <c r="P145" s="54">
        <f t="shared" si="58"/>
        <v>0</v>
      </c>
    </row>
    <row r="146" spans="2:16" ht="12.5">
      <c r="B146" s="7" t="str">
        <f t="shared" si="34"/>
        <v/>
      </c>
      <c r="C146" s="50">
        <f>IF(D93="","-",+C145+1)</f>
        <v>2054</v>
      </c>
      <c r="D146" s="12">
        <f>IF(F145+SUM(E$99:E145)=D$92,F145,D$92-SUM(E$99:E145))</f>
        <v>292159.83032096259</v>
      </c>
      <c r="E146" s="378">
        <f t="shared" si="51"/>
        <v>60419.36363636364</v>
      </c>
      <c r="F146" s="55">
        <f t="shared" si="52"/>
        <v>231740.46668459894</v>
      </c>
      <c r="G146" s="55">
        <f t="shared" si="53"/>
        <v>261950.14850278076</v>
      </c>
      <c r="H146" s="380">
        <f t="shared" si="54"/>
        <v>93039.056866200219</v>
      </c>
      <c r="I146" s="399">
        <f t="shared" si="55"/>
        <v>93039.056866200219</v>
      </c>
      <c r="J146" s="54">
        <f t="shared" si="38"/>
        <v>0</v>
      </c>
      <c r="K146" s="54"/>
      <c r="L146" s="129"/>
      <c r="M146" s="54">
        <f t="shared" si="56"/>
        <v>0</v>
      </c>
      <c r="N146" s="129"/>
      <c r="O146" s="54">
        <f t="shared" si="57"/>
        <v>0</v>
      </c>
      <c r="P146" s="54">
        <f t="shared" si="58"/>
        <v>0</v>
      </c>
    </row>
    <row r="147" spans="2:16" ht="12.5">
      <c r="B147" s="7" t="str">
        <f t="shared" si="34"/>
        <v/>
      </c>
      <c r="C147" s="50">
        <f>IF(D93="","-",+C146+1)</f>
        <v>2055</v>
      </c>
      <c r="D147" s="12">
        <f>IF(F146+SUM(E$99:E146)=D$92,F146,D$92-SUM(E$99:E146))</f>
        <v>231740.46668459894</v>
      </c>
      <c r="E147" s="378">
        <f t="shared" si="51"/>
        <v>60419.36363636364</v>
      </c>
      <c r="F147" s="55">
        <f t="shared" si="52"/>
        <v>171321.10304823529</v>
      </c>
      <c r="G147" s="55">
        <f t="shared" si="53"/>
        <v>201530.78486641712</v>
      </c>
      <c r="H147" s="380">
        <f t="shared" si="54"/>
        <v>85515.254653355878</v>
      </c>
      <c r="I147" s="399">
        <f t="shared" si="55"/>
        <v>85515.254653355878</v>
      </c>
      <c r="J147" s="54">
        <f t="shared" si="38"/>
        <v>0</v>
      </c>
      <c r="K147" s="54"/>
      <c r="L147" s="129"/>
      <c r="M147" s="54">
        <f t="shared" si="56"/>
        <v>0</v>
      </c>
      <c r="N147" s="129"/>
      <c r="O147" s="54">
        <f t="shared" si="57"/>
        <v>0</v>
      </c>
      <c r="P147" s="54">
        <f t="shared" si="58"/>
        <v>0</v>
      </c>
    </row>
    <row r="148" spans="2:16" ht="12.5">
      <c r="B148" s="7" t="str">
        <f t="shared" si="34"/>
        <v/>
      </c>
      <c r="C148" s="50">
        <f>IF(D93="","-",+C147+1)</f>
        <v>2056</v>
      </c>
      <c r="D148" s="12">
        <f>IF(F147+SUM(E$99:E147)=D$92,F147,D$92-SUM(E$99:E147))</f>
        <v>171321.10304823529</v>
      </c>
      <c r="E148" s="378">
        <f t="shared" si="51"/>
        <v>60419.36363636364</v>
      </c>
      <c r="F148" s="55">
        <f t="shared" si="52"/>
        <v>110901.73941187165</v>
      </c>
      <c r="G148" s="55">
        <f t="shared" si="53"/>
        <v>141111.42123005347</v>
      </c>
      <c r="H148" s="380">
        <f t="shared" si="54"/>
        <v>77991.452440511537</v>
      </c>
      <c r="I148" s="399">
        <f t="shared" si="55"/>
        <v>77991.452440511537</v>
      </c>
      <c r="J148" s="54">
        <f t="shared" si="38"/>
        <v>0</v>
      </c>
      <c r="K148" s="54"/>
      <c r="L148" s="129"/>
      <c r="M148" s="54">
        <f t="shared" si="56"/>
        <v>0</v>
      </c>
      <c r="N148" s="129"/>
      <c r="O148" s="54">
        <f t="shared" si="57"/>
        <v>0</v>
      </c>
      <c r="P148" s="54">
        <f t="shared" si="58"/>
        <v>0</v>
      </c>
    </row>
    <row r="149" spans="2:16" ht="12.5">
      <c r="B149" s="7" t="str">
        <f t="shared" si="34"/>
        <v/>
      </c>
      <c r="C149" s="50">
        <f>IF(D93="","-",+C148+1)</f>
        <v>2057</v>
      </c>
      <c r="D149" s="12">
        <f>IF(F148+SUM(E$99:E148)=D$92,F148,D$92-SUM(E$99:E148))</f>
        <v>110901.73941187165</v>
      </c>
      <c r="E149" s="378">
        <f t="shared" si="51"/>
        <v>60419.36363636364</v>
      </c>
      <c r="F149" s="55">
        <f t="shared" si="52"/>
        <v>50482.375775508008</v>
      </c>
      <c r="G149" s="55">
        <f t="shared" si="53"/>
        <v>80692.057593689824</v>
      </c>
      <c r="H149" s="380">
        <f t="shared" si="54"/>
        <v>70467.650227667196</v>
      </c>
      <c r="I149" s="399">
        <f t="shared" si="55"/>
        <v>70467.650227667196</v>
      </c>
      <c r="J149" s="54">
        <f t="shared" si="38"/>
        <v>0</v>
      </c>
      <c r="K149" s="54"/>
      <c r="L149" s="129"/>
      <c r="M149" s="54">
        <f t="shared" si="56"/>
        <v>0</v>
      </c>
      <c r="N149" s="129"/>
      <c r="O149" s="54">
        <f t="shared" si="57"/>
        <v>0</v>
      </c>
      <c r="P149" s="54">
        <f t="shared" si="58"/>
        <v>0</v>
      </c>
    </row>
    <row r="150" spans="2:16" ht="12.5">
      <c r="B150" s="7" t="str">
        <f t="shared" si="34"/>
        <v/>
      </c>
      <c r="C150" s="50">
        <f>IF(D93="","-",+C149+1)</f>
        <v>2058</v>
      </c>
      <c r="D150" s="12">
        <f>IF(F149+SUM(E$99:E149)=D$92,F149,D$92-SUM(E$99:E149))</f>
        <v>50482.375775508008</v>
      </c>
      <c r="E150" s="378">
        <f t="shared" si="51"/>
        <v>50482.375775508008</v>
      </c>
      <c r="F150" s="55">
        <f t="shared" si="52"/>
        <v>0</v>
      </c>
      <c r="G150" s="55">
        <f t="shared" si="53"/>
        <v>25241.187887754004</v>
      </c>
      <c r="H150" s="380">
        <f t="shared" si="54"/>
        <v>53625.568517948697</v>
      </c>
      <c r="I150" s="399">
        <f t="shared" si="55"/>
        <v>53625.568517948697</v>
      </c>
      <c r="J150" s="54">
        <f t="shared" si="38"/>
        <v>0</v>
      </c>
      <c r="K150" s="54"/>
      <c r="L150" s="129"/>
      <c r="M150" s="54">
        <f t="shared" si="56"/>
        <v>0</v>
      </c>
      <c r="N150" s="129"/>
      <c r="O150" s="54">
        <f t="shared" si="57"/>
        <v>0</v>
      </c>
      <c r="P150" s="54">
        <f t="shared" si="58"/>
        <v>0</v>
      </c>
    </row>
    <row r="151" spans="2:16" ht="12.5">
      <c r="B151" s="7" t="str">
        <f t="shared" si="34"/>
        <v/>
      </c>
      <c r="C151" s="50">
        <f>IF(D93="","-",+C150+1)</f>
        <v>2059</v>
      </c>
      <c r="D151" s="12">
        <f>IF(F150+SUM(E$99:E150)=D$92,F150,D$92-SUM(E$99:E150))</f>
        <v>0</v>
      </c>
      <c r="E151" s="378">
        <f t="shared" si="51"/>
        <v>0</v>
      </c>
      <c r="F151" s="55">
        <f t="shared" si="52"/>
        <v>0</v>
      </c>
      <c r="G151" s="55">
        <f t="shared" si="53"/>
        <v>0</v>
      </c>
      <c r="H151" s="380">
        <f t="shared" si="54"/>
        <v>0</v>
      </c>
      <c r="I151" s="399">
        <f t="shared" si="55"/>
        <v>0</v>
      </c>
      <c r="J151" s="54">
        <f t="shared" si="38"/>
        <v>0</v>
      </c>
      <c r="K151" s="54"/>
      <c r="L151" s="129"/>
      <c r="M151" s="54">
        <f t="shared" si="56"/>
        <v>0</v>
      </c>
      <c r="N151" s="129"/>
      <c r="O151" s="54">
        <f t="shared" si="57"/>
        <v>0</v>
      </c>
      <c r="P151" s="54">
        <f t="shared" si="58"/>
        <v>0</v>
      </c>
    </row>
    <row r="152" spans="2:16" ht="12.5">
      <c r="B152" s="7" t="str">
        <f t="shared" si="34"/>
        <v/>
      </c>
      <c r="C152" s="50">
        <f>IF(D93="","-",+C151+1)</f>
        <v>2060</v>
      </c>
      <c r="D152" s="12">
        <f>IF(F151+SUM(E$99:E151)=D$92,F151,D$92-SUM(E$99:E151))</f>
        <v>0</v>
      </c>
      <c r="E152" s="378">
        <f t="shared" si="51"/>
        <v>0</v>
      </c>
      <c r="F152" s="55">
        <f t="shared" si="52"/>
        <v>0</v>
      </c>
      <c r="G152" s="55">
        <f t="shared" si="53"/>
        <v>0</v>
      </c>
      <c r="H152" s="380">
        <f t="shared" si="54"/>
        <v>0</v>
      </c>
      <c r="I152" s="399">
        <f t="shared" si="55"/>
        <v>0</v>
      </c>
      <c r="J152" s="54">
        <f t="shared" si="38"/>
        <v>0</v>
      </c>
      <c r="K152" s="54"/>
      <c r="L152" s="129"/>
      <c r="M152" s="54">
        <f t="shared" si="56"/>
        <v>0</v>
      </c>
      <c r="N152" s="129"/>
      <c r="O152" s="54">
        <f t="shared" si="57"/>
        <v>0</v>
      </c>
      <c r="P152" s="54">
        <f t="shared" si="58"/>
        <v>0</v>
      </c>
    </row>
    <row r="153" spans="2:16" ht="12.5">
      <c r="B153" s="7" t="str">
        <f t="shared" si="34"/>
        <v/>
      </c>
      <c r="C153" s="50">
        <f>IF(D93="","-",+C152+1)</f>
        <v>2061</v>
      </c>
      <c r="D153" s="12">
        <f>IF(F152+SUM(E$99:E152)=D$92,F152,D$92-SUM(E$99:E152))</f>
        <v>0</v>
      </c>
      <c r="E153" s="378">
        <f t="shared" si="51"/>
        <v>0</v>
      </c>
      <c r="F153" s="55">
        <f t="shared" si="52"/>
        <v>0</v>
      </c>
      <c r="G153" s="55">
        <f t="shared" si="53"/>
        <v>0</v>
      </c>
      <c r="H153" s="380">
        <f t="shared" si="54"/>
        <v>0</v>
      </c>
      <c r="I153" s="399">
        <f t="shared" si="55"/>
        <v>0</v>
      </c>
      <c r="J153" s="54">
        <f t="shared" si="38"/>
        <v>0</v>
      </c>
      <c r="K153" s="54"/>
      <c r="L153" s="129"/>
      <c r="M153" s="54">
        <f t="shared" si="56"/>
        <v>0</v>
      </c>
      <c r="N153" s="129"/>
      <c r="O153" s="54">
        <f t="shared" si="57"/>
        <v>0</v>
      </c>
      <c r="P153" s="54">
        <f t="shared" si="58"/>
        <v>0</v>
      </c>
    </row>
    <row r="154" spans="2:16" ht="13" thickBot="1">
      <c r="B154" s="7" t="str">
        <f t="shared" si="34"/>
        <v/>
      </c>
      <c r="C154" s="59">
        <f>IF(D93="","-",+C153+1)</f>
        <v>2062</v>
      </c>
      <c r="D154" s="12">
        <f>IF(F153+SUM(E$99:E153)=D$92,F153,D$92-SUM(E$99:E153))</f>
        <v>0</v>
      </c>
      <c r="E154" s="378">
        <f t="shared" si="51"/>
        <v>0</v>
      </c>
      <c r="F154" s="55">
        <f t="shared" si="52"/>
        <v>0</v>
      </c>
      <c r="G154" s="55">
        <f t="shared" si="53"/>
        <v>0</v>
      </c>
      <c r="H154" s="380">
        <f t="shared" si="54"/>
        <v>0</v>
      </c>
      <c r="I154" s="399">
        <f t="shared" si="55"/>
        <v>0</v>
      </c>
      <c r="J154" s="54">
        <f t="shared" si="38"/>
        <v>0</v>
      </c>
      <c r="K154" s="54"/>
      <c r="L154" s="130"/>
      <c r="M154" s="64">
        <f t="shared" si="56"/>
        <v>0</v>
      </c>
      <c r="N154" s="130"/>
      <c r="O154" s="64">
        <f t="shared" si="57"/>
        <v>0</v>
      </c>
      <c r="P154" s="64">
        <f t="shared" si="58"/>
        <v>0</v>
      </c>
    </row>
    <row r="155" spans="2:16" ht="12.5">
      <c r="C155" s="12" t="s">
        <v>78</v>
      </c>
      <c r="D155" s="293"/>
      <c r="E155" s="293">
        <f>SUM(E99:E154)</f>
        <v>2658452.0000000009</v>
      </c>
      <c r="F155" s="293"/>
      <c r="G155" s="293"/>
      <c r="H155" s="293">
        <f>SUM(H99:H154)</f>
        <v>9681120.4480625428</v>
      </c>
      <c r="I155" s="293">
        <f>SUM(I99:I154)</f>
        <v>9681120.4480625428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 ht="12.5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 ht="13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67" priority="1" stopIfTrue="1" operator="equal">
      <formula>$I$10</formula>
    </cfRule>
  </conditionalFormatting>
  <conditionalFormatting sqref="C99:C154">
    <cfRule type="cellIs" dxfId="6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95">
    <tabColor theme="9" tint="-0.249977111117893"/>
  </sheetPr>
  <dimension ref="A1:P162"/>
  <sheetViews>
    <sheetView topLeftCell="B1" zoomScaleNormal="100" zoomScaleSheetLayoutView="82" workbookViewId="0">
      <selection activeCell="D33" sqref="D33:H33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46 of 77</v>
      </c>
    </row>
    <row r="2" spans="1:16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1573230.0538189975</v>
      </c>
      <c r="P5" s="1"/>
    </row>
    <row r="6" spans="1:16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1573230.0538189975</v>
      </c>
      <c r="O6" s="1"/>
      <c r="P6" s="1"/>
    </row>
    <row r="7" spans="1:16" ht="13.5" thickBot="1">
      <c r="C7" s="25" t="s">
        <v>48</v>
      </c>
      <c r="D7" s="90" t="s">
        <v>336</v>
      </c>
      <c r="E7" s="406"/>
      <c r="F7" s="406"/>
      <c r="G7" s="406"/>
      <c r="H7" s="40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99" t="s">
        <v>358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335</v>
      </c>
      <c r="E9" s="436" t="s">
        <v>496</v>
      </c>
      <c r="F9" s="462">
        <v>117</v>
      </c>
      <c r="G9" s="31"/>
      <c r="H9" s="31"/>
      <c r="I9" s="32"/>
      <c r="J9" s="33"/>
      <c r="P9" s="1"/>
    </row>
    <row r="10" spans="1:16" ht="13">
      <c r="C10" s="34" t="s">
        <v>51</v>
      </c>
      <c r="D10" s="363">
        <v>16318844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6" ht="12.5">
      <c r="C11" s="34" t="s">
        <v>54</v>
      </c>
      <c r="D11" s="37">
        <v>2008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3">
        <v>5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370882.81818181818</v>
      </c>
      <c r="J14" s="293"/>
      <c r="K14" s="293"/>
      <c r="L14" s="293"/>
      <c r="M14" s="293"/>
      <c r="N14" s="293"/>
      <c r="O14" s="1"/>
      <c r="P14" s="1"/>
    </row>
    <row r="15" spans="1:16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2008</v>
      </c>
      <c r="D17" s="429">
        <v>16318844</v>
      </c>
      <c r="E17" s="437">
        <v>226650.61111111109</v>
      </c>
      <c r="F17" s="429">
        <v>16092193.388888888</v>
      </c>
      <c r="G17" s="437">
        <v>2397656.6000633142</v>
      </c>
      <c r="H17" s="438">
        <v>2397656.6000633142</v>
      </c>
      <c r="I17" s="52">
        <v>0</v>
      </c>
      <c r="J17" s="52"/>
      <c r="K17" s="112">
        <f t="shared" ref="K17:K23" si="0">G17</f>
        <v>2397656.6000633142</v>
      </c>
      <c r="L17" s="53">
        <f t="shared" ref="L17:L23" si="1">IF(K17&lt;&gt;0,+G17-K17,0)</f>
        <v>0</v>
      </c>
      <c r="M17" s="112">
        <f t="shared" ref="M17:M23" si="2">H17</f>
        <v>2397656.6000633142</v>
      </c>
      <c r="N17" s="53">
        <f t="shared" ref="N17:N23" si="3">IF(M17&lt;&gt;0,+H17-M17,0)</f>
        <v>0</v>
      </c>
      <c r="O17" s="54">
        <f t="shared" ref="O17:O23" si="4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2009</v>
      </c>
      <c r="D18" s="431">
        <v>16092193.388888888</v>
      </c>
      <c r="E18" s="430">
        <v>388543.90476190473</v>
      </c>
      <c r="F18" s="431">
        <v>15703649.484126983</v>
      </c>
      <c r="G18" s="430">
        <v>2507131.2380452421</v>
      </c>
      <c r="H18" s="438">
        <v>2507131.2380452421</v>
      </c>
      <c r="I18" s="52">
        <v>0</v>
      </c>
      <c r="J18" s="52"/>
      <c r="K18" s="113">
        <f t="shared" si="0"/>
        <v>2507131.2380452421</v>
      </c>
      <c r="L18" s="54">
        <f t="shared" si="1"/>
        <v>0</v>
      </c>
      <c r="M18" s="113">
        <f t="shared" si="2"/>
        <v>2507131.2380452421</v>
      </c>
      <c r="N18" s="54">
        <f t="shared" si="3"/>
        <v>0</v>
      </c>
      <c r="O18" s="54">
        <f t="shared" si="4"/>
        <v>0</v>
      </c>
      <c r="P18" s="1"/>
    </row>
    <row r="19" spans="2:16" ht="12.5">
      <c r="B19" s="7" t="str">
        <f>IF(D19=F18,"","IU")</f>
        <v/>
      </c>
      <c r="C19" s="50">
        <f>IF(D11="","-",+C18+1)</f>
        <v>2010</v>
      </c>
      <c r="D19" s="431">
        <v>15703649.484126983</v>
      </c>
      <c r="E19" s="430">
        <v>388543.90476190473</v>
      </c>
      <c r="F19" s="431">
        <v>15315105.579365078</v>
      </c>
      <c r="G19" s="430">
        <v>2454712.5823763758</v>
      </c>
      <c r="H19" s="438">
        <v>2454712.5823763758</v>
      </c>
      <c r="I19" s="52">
        <v>0</v>
      </c>
      <c r="J19" s="52"/>
      <c r="K19" s="113">
        <f t="shared" si="0"/>
        <v>2454712.5823763758</v>
      </c>
      <c r="L19" s="54">
        <f t="shared" si="1"/>
        <v>0</v>
      </c>
      <c r="M19" s="113">
        <f t="shared" si="2"/>
        <v>2454712.5823763758</v>
      </c>
      <c r="N19" s="54">
        <f t="shared" si="3"/>
        <v>0</v>
      </c>
      <c r="O19" s="54">
        <f t="shared" si="4"/>
        <v>0</v>
      </c>
      <c r="P19" s="1"/>
    </row>
    <row r="20" spans="2:16" ht="12.5">
      <c r="B20" s="7" t="str">
        <f t="shared" ref="B20:B72" si="5">IF(D20=F19,"","IU")</f>
        <v/>
      </c>
      <c r="C20" s="50">
        <f>IF(D11="","-",+C19+1)</f>
        <v>2011</v>
      </c>
      <c r="D20" s="431">
        <v>15315105.579365078</v>
      </c>
      <c r="E20" s="430">
        <v>388543.90476190473</v>
      </c>
      <c r="F20" s="431">
        <v>14926561.674603174</v>
      </c>
      <c r="G20" s="430">
        <v>2402293.9267075099</v>
      </c>
      <c r="H20" s="438">
        <v>2402293.9267075099</v>
      </c>
      <c r="I20" s="52">
        <v>0</v>
      </c>
      <c r="J20" s="52"/>
      <c r="K20" s="113">
        <f t="shared" si="0"/>
        <v>2402293.9267075099</v>
      </c>
      <c r="L20" s="54">
        <f t="shared" si="1"/>
        <v>0</v>
      </c>
      <c r="M20" s="113">
        <f t="shared" si="2"/>
        <v>2402293.9267075099</v>
      </c>
      <c r="N20" s="54">
        <f t="shared" si="3"/>
        <v>0</v>
      </c>
      <c r="O20" s="54">
        <f t="shared" si="4"/>
        <v>0</v>
      </c>
      <c r="P20" s="1"/>
    </row>
    <row r="21" spans="2:16" ht="12.5">
      <c r="B21" s="7" t="str">
        <f t="shared" si="5"/>
        <v/>
      </c>
      <c r="C21" s="50">
        <f>IF(D11="","-",+C20+1)</f>
        <v>2012</v>
      </c>
      <c r="D21" s="431">
        <v>14926561.674603174</v>
      </c>
      <c r="E21" s="430">
        <v>388543.90476190473</v>
      </c>
      <c r="F21" s="431">
        <v>14538017.769841269</v>
      </c>
      <c r="G21" s="430">
        <v>2349875.2710386436</v>
      </c>
      <c r="H21" s="438">
        <v>2349875.2710386436</v>
      </c>
      <c r="I21" s="52">
        <v>0</v>
      </c>
      <c r="J21" s="52"/>
      <c r="K21" s="113">
        <f t="shared" si="0"/>
        <v>2349875.2710386436</v>
      </c>
      <c r="L21" s="54">
        <f t="shared" si="1"/>
        <v>0</v>
      </c>
      <c r="M21" s="113">
        <f t="shared" si="2"/>
        <v>2349875.2710386436</v>
      </c>
      <c r="N21" s="54">
        <f t="shared" si="3"/>
        <v>0</v>
      </c>
      <c r="O21" s="54">
        <f t="shared" si="4"/>
        <v>0</v>
      </c>
      <c r="P21" s="1"/>
    </row>
    <row r="22" spans="2:16" ht="12.5">
      <c r="B22" s="7" t="str">
        <f t="shared" si="5"/>
        <v/>
      </c>
      <c r="C22" s="50">
        <f>IF(D11="","-",+C21+1)</f>
        <v>2013</v>
      </c>
      <c r="D22" s="431">
        <v>14538017.769841269</v>
      </c>
      <c r="E22" s="430">
        <v>388543.90476190473</v>
      </c>
      <c r="F22" s="431">
        <v>14149473.865079364</v>
      </c>
      <c r="G22" s="430">
        <v>2297456.6153697777</v>
      </c>
      <c r="H22" s="438">
        <v>2297456.6153697777</v>
      </c>
      <c r="I22" s="52">
        <v>0</v>
      </c>
      <c r="J22" s="52"/>
      <c r="K22" s="113">
        <f t="shared" si="0"/>
        <v>2297456.6153697777</v>
      </c>
      <c r="L22" s="54">
        <f t="shared" si="1"/>
        <v>0</v>
      </c>
      <c r="M22" s="113">
        <f t="shared" si="2"/>
        <v>2297456.6153697777</v>
      </c>
      <c r="N22" s="54">
        <f t="shared" si="3"/>
        <v>0</v>
      </c>
      <c r="O22" s="54">
        <f t="shared" si="4"/>
        <v>0</v>
      </c>
      <c r="P22" s="1"/>
    </row>
    <row r="23" spans="2:16" ht="12.5">
      <c r="B23" s="7" t="str">
        <f t="shared" si="5"/>
        <v/>
      </c>
      <c r="C23" s="50">
        <f>IF(D11="","-",+C22+1)</f>
        <v>2014</v>
      </c>
      <c r="D23" s="431">
        <v>14149473.865079364</v>
      </c>
      <c r="E23" s="430">
        <v>388543.90476190473</v>
      </c>
      <c r="F23" s="431">
        <v>13760929.960317459</v>
      </c>
      <c r="G23" s="430">
        <v>2245037.9597009113</v>
      </c>
      <c r="H23" s="438">
        <v>2245037.9597009113</v>
      </c>
      <c r="I23" s="52">
        <v>0</v>
      </c>
      <c r="J23" s="52"/>
      <c r="K23" s="113">
        <f t="shared" si="0"/>
        <v>2245037.9597009113</v>
      </c>
      <c r="L23" s="54">
        <f t="shared" si="1"/>
        <v>0</v>
      </c>
      <c r="M23" s="113">
        <f t="shared" si="2"/>
        <v>2245037.9597009113</v>
      </c>
      <c r="N23" s="54">
        <f t="shared" si="3"/>
        <v>0</v>
      </c>
      <c r="O23" s="54">
        <f t="shared" si="4"/>
        <v>0</v>
      </c>
      <c r="P23" s="1"/>
    </row>
    <row r="24" spans="2:16" ht="12.5">
      <c r="B24" s="7" t="str">
        <f t="shared" si="5"/>
        <v/>
      </c>
      <c r="C24" s="50">
        <f>IF(D11="","-",+C23+1)</f>
        <v>2015</v>
      </c>
      <c r="D24" s="431">
        <v>13760929.960317459</v>
      </c>
      <c r="E24" s="430">
        <v>388543.90476190473</v>
      </c>
      <c r="F24" s="431">
        <v>13372386.055555554</v>
      </c>
      <c r="G24" s="430">
        <v>2149751.3487712028</v>
      </c>
      <c r="H24" s="438">
        <v>2149751.3487712028</v>
      </c>
      <c r="I24" s="52">
        <v>0</v>
      </c>
      <c r="J24" s="52"/>
      <c r="K24" s="113">
        <f t="shared" ref="K24:K29" si="6">G24</f>
        <v>2149751.3487712028</v>
      </c>
      <c r="L24" s="54">
        <f t="shared" ref="L24:L29" si="7">IF(K24&lt;&gt;0,+G24-K24,0)</f>
        <v>0</v>
      </c>
      <c r="M24" s="113">
        <f t="shared" ref="M24:M29" si="8">H24</f>
        <v>2149751.3487712028</v>
      </c>
      <c r="N24" s="54">
        <f>IF(M24&lt;&gt;0,+H24-M24,0)</f>
        <v>0</v>
      </c>
      <c r="O24" s="54">
        <f>+N24-L24</f>
        <v>0</v>
      </c>
      <c r="P24" s="1"/>
    </row>
    <row r="25" spans="2:16" ht="12.5">
      <c r="B25" s="7" t="str">
        <f t="shared" si="5"/>
        <v/>
      </c>
      <c r="C25" s="50">
        <f>IF(D11="","-",+C24+1)</f>
        <v>2016</v>
      </c>
      <c r="D25" s="431">
        <v>13372386.055555554</v>
      </c>
      <c r="E25" s="430">
        <v>388543.90476190473</v>
      </c>
      <c r="F25" s="431">
        <v>12983842.150793649</v>
      </c>
      <c r="G25" s="430">
        <v>2077481.7673867224</v>
      </c>
      <c r="H25" s="438">
        <v>2077481.7673867224</v>
      </c>
      <c r="I25" s="52">
        <f t="shared" ref="I25:I33" si="9">H25-G25</f>
        <v>0</v>
      </c>
      <c r="J25" s="52"/>
      <c r="K25" s="113">
        <f t="shared" si="6"/>
        <v>2077481.7673867224</v>
      </c>
      <c r="L25" s="54">
        <f t="shared" si="7"/>
        <v>0</v>
      </c>
      <c r="M25" s="113">
        <f t="shared" si="8"/>
        <v>2077481.7673867224</v>
      </c>
      <c r="N25" s="54">
        <f>IF(M25&lt;&gt;0,+H25-M25,0)</f>
        <v>0</v>
      </c>
      <c r="O25" s="54">
        <f>+N25-L25</f>
        <v>0</v>
      </c>
      <c r="P25" s="1"/>
    </row>
    <row r="26" spans="2:16" ht="12.5">
      <c r="B26" s="7" t="str">
        <f t="shared" si="5"/>
        <v/>
      </c>
      <c r="C26" s="50">
        <f>IF(D11="","-",+C25+1)</f>
        <v>2017</v>
      </c>
      <c r="D26" s="431">
        <v>12983842.150793649</v>
      </c>
      <c r="E26" s="430">
        <v>379508</v>
      </c>
      <c r="F26" s="431">
        <v>12604334.150793649</v>
      </c>
      <c r="G26" s="430">
        <v>1964599.9963135775</v>
      </c>
      <c r="H26" s="438">
        <v>1964599.9963135775</v>
      </c>
      <c r="I26" s="52">
        <f t="shared" si="9"/>
        <v>0</v>
      </c>
      <c r="J26" s="52"/>
      <c r="K26" s="113">
        <f t="shared" si="6"/>
        <v>1964599.9963135775</v>
      </c>
      <c r="L26" s="54">
        <f t="shared" si="7"/>
        <v>0</v>
      </c>
      <c r="M26" s="113">
        <f t="shared" si="8"/>
        <v>1964599.9963135775</v>
      </c>
      <c r="N26" s="54">
        <f>IF(M26&lt;&gt;0,+H26-M26,0)</f>
        <v>0</v>
      </c>
      <c r="O26" s="54">
        <f>+N26-L26</f>
        <v>0</v>
      </c>
      <c r="P26" s="1"/>
    </row>
    <row r="27" spans="2:16" ht="12.5">
      <c r="B27" s="7" t="str">
        <f t="shared" si="5"/>
        <v/>
      </c>
      <c r="C27" s="50">
        <f>IF(D11="","-",+C26+1)</f>
        <v>2018</v>
      </c>
      <c r="D27" s="431">
        <v>12604334.150793649</v>
      </c>
      <c r="E27" s="430">
        <v>398020.58536585368</v>
      </c>
      <c r="F27" s="431">
        <v>12206313.565427795</v>
      </c>
      <c r="G27" s="430">
        <v>1974664.0430256741</v>
      </c>
      <c r="H27" s="438">
        <v>1974664.0430256741</v>
      </c>
      <c r="I27" s="52">
        <f t="shared" si="9"/>
        <v>0</v>
      </c>
      <c r="J27" s="52"/>
      <c r="K27" s="113">
        <f t="shared" si="6"/>
        <v>1974664.0430256741</v>
      </c>
      <c r="L27" s="54">
        <f t="shared" si="7"/>
        <v>0</v>
      </c>
      <c r="M27" s="113">
        <f t="shared" si="8"/>
        <v>1974664.0430256741</v>
      </c>
      <c r="N27" s="54">
        <f>IF(M27&lt;&gt;0,+H27-M27,0)</f>
        <v>0</v>
      </c>
      <c r="O27" s="54">
        <f>+N27-L27</f>
        <v>0</v>
      </c>
      <c r="P27" s="1"/>
    </row>
    <row r="28" spans="2:16" ht="12.5">
      <c r="B28" s="7" t="str">
        <f t="shared" si="5"/>
        <v/>
      </c>
      <c r="C28" s="50">
        <f>IF(D11="","-",+C27+1)</f>
        <v>2019</v>
      </c>
      <c r="D28" s="431">
        <v>12206313.565427795</v>
      </c>
      <c r="E28" s="430">
        <v>398020.58536585368</v>
      </c>
      <c r="F28" s="431">
        <v>11808292.980061941</v>
      </c>
      <c r="G28" s="430">
        <v>1924077.9753737026</v>
      </c>
      <c r="H28" s="438">
        <v>1924077.9753737026</v>
      </c>
      <c r="I28" s="52">
        <f t="shared" si="9"/>
        <v>0</v>
      </c>
      <c r="J28" s="52"/>
      <c r="K28" s="113">
        <f t="shared" si="6"/>
        <v>1924077.9753737026</v>
      </c>
      <c r="L28" s="54">
        <f t="shared" si="7"/>
        <v>0</v>
      </c>
      <c r="M28" s="113">
        <f t="shared" si="8"/>
        <v>1924077.9753737026</v>
      </c>
      <c r="N28" s="54">
        <f t="shared" ref="N28:N72" si="10">IF(M28&lt;&gt;0,+H28-M28,0)</f>
        <v>0</v>
      </c>
      <c r="O28" s="54">
        <f t="shared" ref="O28:O72" si="11">+N28-L28</f>
        <v>0</v>
      </c>
      <c r="P28" s="1"/>
    </row>
    <row r="29" spans="2:16" ht="12.5">
      <c r="B29" s="7" t="str">
        <f t="shared" si="5"/>
        <v/>
      </c>
      <c r="C29" s="50">
        <f>IF(D11="","-",+C28+1)</f>
        <v>2020</v>
      </c>
      <c r="D29" s="431">
        <v>11808292.980061941</v>
      </c>
      <c r="E29" s="430">
        <v>398020.58536585368</v>
      </c>
      <c r="F29" s="431">
        <v>11410272.394696087</v>
      </c>
      <c r="G29" s="430">
        <v>1586061.814731969</v>
      </c>
      <c r="H29" s="438">
        <v>1586061.814731969</v>
      </c>
      <c r="I29" s="52">
        <f t="shared" si="9"/>
        <v>0</v>
      </c>
      <c r="J29" s="52"/>
      <c r="K29" s="113">
        <f t="shared" si="6"/>
        <v>1586061.814731969</v>
      </c>
      <c r="L29" s="54">
        <f t="shared" si="7"/>
        <v>0</v>
      </c>
      <c r="M29" s="113">
        <f t="shared" si="8"/>
        <v>1586061.814731969</v>
      </c>
      <c r="N29" s="54">
        <f t="shared" si="10"/>
        <v>0</v>
      </c>
      <c r="O29" s="54">
        <f t="shared" si="11"/>
        <v>0</v>
      </c>
      <c r="P29" s="1"/>
    </row>
    <row r="30" spans="2:16" ht="12.5">
      <c r="B30" s="7" t="str">
        <f t="shared" si="5"/>
        <v>IU</v>
      </c>
      <c r="C30" s="50">
        <f>IF(D11="","-",+C29+1)</f>
        <v>2021</v>
      </c>
      <c r="D30" s="431">
        <v>11428784.980061945</v>
      </c>
      <c r="E30" s="430">
        <v>388543.90476190473</v>
      </c>
      <c r="F30" s="431">
        <v>11040241.07530004</v>
      </c>
      <c r="G30" s="430">
        <v>1579453.3470366392</v>
      </c>
      <c r="H30" s="438">
        <v>1579453.3470366392</v>
      </c>
      <c r="I30" s="52">
        <f t="shared" si="9"/>
        <v>0</v>
      </c>
      <c r="J30" s="52"/>
      <c r="K30" s="113">
        <f t="shared" ref="K30" si="12">G30</f>
        <v>1579453.3470366392</v>
      </c>
      <c r="L30" s="54">
        <f t="shared" ref="L30" si="13">IF(K30&lt;&gt;0,+G30-K30,0)</f>
        <v>0</v>
      </c>
      <c r="M30" s="113">
        <f t="shared" ref="M30" si="14">H30</f>
        <v>1579453.3470366392</v>
      </c>
      <c r="N30" s="54">
        <f t="shared" si="10"/>
        <v>0</v>
      </c>
      <c r="O30" s="54">
        <f t="shared" si="11"/>
        <v>0</v>
      </c>
      <c r="P30" s="1"/>
    </row>
    <row r="31" spans="2:16" ht="12.5">
      <c r="B31" s="7" t="str">
        <f t="shared" si="5"/>
        <v>IU</v>
      </c>
      <c r="C31" s="50">
        <f>IF(D11="","-",+C30+1)</f>
        <v>2022</v>
      </c>
      <c r="D31" s="431">
        <v>11021728.489934186</v>
      </c>
      <c r="E31" s="430">
        <v>388543.90476190473</v>
      </c>
      <c r="F31" s="431">
        <v>10633184.585172281</v>
      </c>
      <c r="G31" s="430">
        <v>1606027.4766677744</v>
      </c>
      <c r="H31" s="438">
        <v>1606027.4766677744</v>
      </c>
      <c r="I31" s="52">
        <f t="shared" si="9"/>
        <v>0</v>
      </c>
      <c r="J31" s="52"/>
      <c r="K31" s="113">
        <f t="shared" ref="K31" si="15">G31</f>
        <v>1606027.4766677744</v>
      </c>
      <c r="L31" s="54">
        <f t="shared" ref="L31" si="16">IF(K31&lt;&gt;0,+G31-K31,0)</f>
        <v>0</v>
      </c>
      <c r="M31" s="113">
        <f t="shared" ref="M31" si="17">H31</f>
        <v>1606027.4766677744</v>
      </c>
      <c r="N31" s="54">
        <f t="shared" si="10"/>
        <v>0</v>
      </c>
      <c r="O31" s="54">
        <f t="shared" si="11"/>
        <v>0</v>
      </c>
      <c r="P31" s="1"/>
    </row>
    <row r="32" spans="2:16" ht="12.5">
      <c r="B32" s="7" t="str">
        <f t="shared" si="5"/>
        <v/>
      </c>
      <c r="C32" s="50">
        <f>IF(D11="","-",+C31+1)</f>
        <v>2023</v>
      </c>
      <c r="D32" s="431">
        <v>10633184.585172281</v>
      </c>
      <c r="E32" s="430">
        <v>388543.90476190473</v>
      </c>
      <c r="F32" s="431">
        <v>10244640.680410376</v>
      </c>
      <c r="G32" s="430">
        <v>1707258.207662385</v>
      </c>
      <c r="H32" s="438">
        <v>1707258.207662385</v>
      </c>
      <c r="I32" s="52">
        <f t="shared" si="9"/>
        <v>0</v>
      </c>
      <c r="J32" s="52"/>
      <c r="K32" s="113">
        <f t="shared" ref="K32" si="18">G32</f>
        <v>1707258.207662385</v>
      </c>
      <c r="L32" s="54">
        <f t="shared" ref="L32" si="19">IF(K32&lt;&gt;0,+G32-K32,0)</f>
        <v>0</v>
      </c>
      <c r="M32" s="113">
        <f t="shared" ref="M32" si="20">H32</f>
        <v>1707258.207662385</v>
      </c>
      <c r="N32" s="54">
        <f t="shared" si="10"/>
        <v>0</v>
      </c>
      <c r="O32" s="54">
        <f t="shared" si="11"/>
        <v>0</v>
      </c>
      <c r="P32" s="1"/>
    </row>
    <row r="33" spans="2:16" ht="12.5">
      <c r="B33" s="7" t="str">
        <f t="shared" si="5"/>
        <v/>
      </c>
      <c r="C33" s="50">
        <f>IF(D11="","-",+C32+1)</f>
        <v>2024</v>
      </c>
      <c r="D33" s="431">
        <v>10244640.680410376</v>
      </c>
      <c r="E33" s="430">
        <v>370882.81818181818</v>
      </c>
      <c r="F33" s="431">
        <v>9873757.8622285575</v>
      </c>
      <c r="G33" s="430">
        <v>1573230.0538189975</v>
      </c>
      <c r="H33" s="438">
        <v>1573230.0538189975</v>
      </c>
      <c r="I33" s="52">
        <f t="shared" si="9"/>
        <v>0</v>
      </c>
      <c r="J33" s="52"/>
      <c r="K33" s="113">
        <f t="shared" ref="K33" si="21">G33</f>
        <v>1573230.0538189975</v>
      </c>
      <c r="L33" s="54">
        <f t="shared" ref="L33" si="22">IF(K33&lt;&gt;0,+G33-K33,0)</f>
        <v>0</v>
      </c>
      <c r="M33" s="113">
        <f t="shared" ref="M33" si="23">H33</f>
        <v>1573230.0538189975</v>
      </c>
      <c r="N33" s="54">
        <f t="shared" ref="N33" si="24">IF(M33&lt;&gt;0,+H33-M33,0)</f>
        <v>0</v>
      </c>
      <c r="O33" s="54">
        <f t="shared" ref="O33" si="25">+N33-L33</f>
        <v>0</v>
      </c>
      <c r="P33" s="1"/>
    </row>
    <row r="34" spans="2:16" ht="12.5">
      <c r="B34" s="7" t="str">
        <f t="shared" si="5"/>
        <v/>
      </c>
      <c r="C34" s="50">
        <f>IF(D11="","-",+C33+1)</f>
        <v>2025</v>
      </c>
      <c r="D34" s="55">
        <f>IF(F33+SUM(E$17:E33)=D$10,F33,D$10-SUM(E$17:E33))</f>
        <v>9873757.8622285575</v>
      </c>
      <c r="E34" s="378">
        <f>IF(+I14&lt;F33,I14,D34)</f>
        <v>370882.81818181818</v>
      </c>
      <c r="F34" s="55">
        <f t="shared" ref="F34:F72" si="26">+D34-E34</f>
        <v>9502875.0440467391</v>
      </c>
      <c r="G34" s="379">
        <f t="shared" ref="G34:G72" si="27">+I$12*((D34+F34)/2)+E34</f>
        <v>1528899.4943819593</v>
      </c>
      <c r="H34" s="364">
        <f t="shared" ref="H34:H72" si="28">+I$13*((D34+F34)/2)+E34</f>
        <v>1528899.4943819593</v>
      </c>
      <c r="I34" s="52">
        <f t="shared" ref="I34:I72" si="29">H34-G34</f>
        <v>0</v>
      </c>
      <c r="J34" s="52"/>
      <c r="K34" s="129"/>
      <c r="L34" s="54">
        <f t="shared" ref="L34:L72" si="30">IF(K34&lt;&gt;0,+G34-K34,0)</f>
        <v>0</v>
      </c>
      <c r="M34" s="129"/>
      <c r="N34" s="54">
        <f t="shared" si="10"/>
        <v>0</v>
      </c>
      <c r="O34" s="54">
        <f t="shared" si="11"/>
        <v>0</v>
      </c>
      <c r="P34" s="1"/>
    </row>
    <row r="35" spans="2:16" ht="12.5">
      <c r="B35" s="7" t="str">
        <f t="shared" si="5"/>
        <v/>
      </c>
      <c r="C35" s="50">
        <f>IF(D11="","-",+C34+1)</f>
        <v>2026</v>
      </c>
      <c r="D35" s="55">
        <f>IF(F34+SUM(E$17:E34)=D$10,F34,D$10-SUM(E$17:E34))</f>
        <v>9502875.0440467391</v>
      </c>
      <c r="E35" s="378">
        <f>IF(+I14&lt;F34,I14,D35)</f>
        <v>370882.81818181818</v>
      </c>
      <c r="F35" s="55">
        <f t="shared" si="26"/>
        <v>9131992.2258649208</v>
      </c>
      <c r="G35" s="379">
        <f t="shared" si="27"/>
        <v>1484568.9349449216</v>
      </c>
      <c r="H35" s="364">
        <f t="shared" si="28"/>
        <v>1484568.9349449216</v>
      </c>
      <c r="I35" s="52">
        <f t="shared" si="29"/>
        <v>0</v>
      </c>
      <c r="J35" s="52"/>
      <c r="K35" s="129"/>
      <c r="L35" s="54">
        <f t="shared" si="30"/>
        <v>0</v>
      </c>
      <c r="M35" s="129"/>
      <c r="N35" s="54">
        <f t="shared" si="10"/>
        <v>0</v>
      </c>
      <c r="O35" s="54">
        <f t="shared" si="11"/>
        <v>0</v>
      </c>
      <c r="P35" s="1"/>
    </row>
    <row r="36" spans="2:16" ht="12.5">
      <c r="B36" s="7" t="str">
        <f t="shared" si="5"/>
        <v/>
      </c>
      <c r="C36" s="50">
        <f>IF(D11="","-",+C35+1)</f>
        <v>2027</v>
      </c>
      <c r="D36" s="55">
        <f>IF(F35+SUM(E$17:E35)=D$10,F35,D$10-SUM(E$17:E35))</f>
        <v>9131992.2258649208</v>
      </c>
      <c r="E36" s="378">
        <f>IF(+I14&lt;F35,I14,D36)</f>
        <v>370882.81818181818</v>
      </c>
      <c r="F36" s="55">
        <f t="shared" si="26"/>
        <v>8761109.4076831024</v>
      </c>
      <c r="G36" s="379">
        <f t="shared" si="27"/>
        <v>1440238.3755078837</v>
      </c>
      <c r="H36" s="364">
        <f t="shared" si="28"/>
        <v>1440238.3755078837</v>
      </c>
      <c r="I36" s="52">
        <f t="shared" si="29"/>
        <v>0</v>
      </c>
      <c r="J36" s="52"/>
      <c r="K36" s="129"/>
      <c r="L36" s="54">
        <f t="shared" si="30"/>
        <v>0</v>
      </c>
      <c r="M36" s="129"/>
      <c r="N36" s="54">
        <f t="shared" si="10"/>
        <v>0</v>
      </c>
      <c r="O36" s="54">
        <f t="shared" si="11"/>
        <v>0</v>
      </c>
      <c r="P36" s="1"/>
    </row>
    <row r="37" spans="2:16" ht="12.5">
      <c r="B37" s="7" t="str">
        <f t="shared" si="5"/>
        <v/>
      </c>
      <c r="C37" s="50">
        <f>IF(D11="","-",+C36+1)</f>
        <v>2028</v>
      </c>
      <c r="D37" s="55">
        <f>IF(F36+SUM(E$17:E36)=D$10,F36,D$10-SUM(E$17:E36))</f>
        <v>8761109.4076831024</v>
      </c>
      <c r="E37" s="378">
        <f>IF(+I14&lt;F36,I14,D37)</f>
        <v>370882.81818181818</v>
      </c>
      <c r="F37" s="55">
        <f t="shared" si="26"/>
        <v>8390226.5895012841</v>
      </c>
      <c r="G37" s="379">
        <f t="shared" si="27"/>
        <v>1395907.816070846</v>
      </c>
      <c r="H37" s="364">
        <f t="shared" si="28"/>
        <v>1395907.816070846</v>
      </c>
      <c r="I37" s="52">
        <f t="shared" si="29"/>
        <v>0</v>
      </c>
      <c r="J37" s="52"/>
      <c r="K37" s="129"/>
      <c r="L37" s="54">
        <f t="shared" si="30"/>
        <v>0</v>
      </c>
      <c r="M37" s="129"/>
      <c r="N37" s="54">
        <f t="shared" si="10"/>
        <v>0</v>
      </c>
      <c r="O37" s="54">
        <f t="shared" si="11"/>
        <v>0</v>
      </c>
      <c r="P37" s="1"/>
    </row>
    <row r="38" spans="2:16" ht="12.5">
      <c r="B38" s="7" t="str">
        <f t="shared" si="5"/>
        <v/>
      </c>
      <c r="C38" s="50">
        <f>IF(D11="","-",+C37+1)</f>
        <v>2029</v>
      </c>
      <c r="D38" s="55">
        <f>IF(F37+SUM(E$17:E37)=D$10,F37,D$10-SUM(E$17:E37))</f>
        <v>8390226.5895012841</v>
      </c>
      <c r="E38" s="378">
        <f>IF(+I14&lt;F37,I14,D38)</f>
        <v>370882.81818181818</v>
      </c>
      <c r="F38" s="55">
        <f t="shared" si="26"/>
        <v>8019343.7713194657</v>
      </c>
      <c r="G38" s="379">
        <f t="shared" si="27"/>
        <v>1351577.2566338079</v>
      </c>
      <c r="H38" s="364">
        <f t="shared" si="28"/>
        <v>1351577.2566338079</v>
      </c>
      <c r="I38" s="52">
        <f t="shared" si="29"/>
        <v>0</v>
      </c>
      <c r="J38" s="52"/>
      <c r="K38" s="129"/>
      <c r="L38" s="54">
        <f t="shared" si="30"/>
        <v>0</v>
      </c>
      <c r="M38" s="129"/>
      <c r="N38" s="54">
        <f t="shared" si="10"/>
        <v>0</v>
      </c>
      <c r="O38" s="54">
        <f t="shared" si="11"/>
        <v>0</v>
      </c>
      <c r="P38" s="1"/>
    </row>
    <row r="39" spans="2:16" ht="12.5">
      <c r="B39" s="7" t="str">
        <f t="shared" si="5"/>
        <v/>
      </c>
      <c r="C39" s="50">
        <f>IF(D11="","-",+C38+1)</f>
        <v>2030</v>
      </c>
      <c r="D39" s="55">
        <f>IF(F38+SUM(E$17:E38)=D$10,F38,D$10-SUM(E$17:E38))</f>
        <v>8019343.7713194657</v>
      </c>
      <c r="E39" s="378">
        <f>IF(+I14&lt;F38,I14,D39)</f>
        <v>370882.81818181818</v>
      </c>
      <c r="F39" s="55">
        <f t="shared" si="26"/>
        <v>7648460.9531376474</v>
      </c>
      <c r="G39" s="379">
        <f t="shared" si="27"/>
        <v>1307246.6971967702</v>
      </c>
      <c r="H39" s="364">
        <f t="shared" si="28"/>
        <v>1307246.6971967702</v>
      </c>
      <c r="I39" s="52">
        <f t="shared" si="29"/>
        <v>0</v>
      </c>
      <c r="J39" s="52"/>
      <c r="K39" s="129"/>
      <c r="L39" s="54">
        <f t="shared" si="30"/>
        <v>0</v>
      </c>
      <c r="M39" s="129"/>
      <c r="N39" s="54">
        <f t="shared" si="10"/>
        <v>0</v>
      </c>
      <c r="O39" s="54">
        <f t="shared" si="11"/>
        <v>0</v>
      </c>
      <c r="P39" s="1"/>
    </row>
    <row r="40" spans="2:16" ht="12.5">
      <c r="B40" s="7" t="str">
        <f t="shared" si="5"/>
        <v/>
      </c>
      <c r="C40" s="50">
        <f>IF(D11="","-",+C39+1)</f>
        <v>2031</v>
      </c>
      <c r="D40" s="55">
        <f>IF(F39+SUM(E$17:E39)=D$10,F39,D$10-SUM(E$17:E39))</f>
        <v>7648460.9531376474</v>
      </c>
      <c r="E40" s="378">
        <f>IF(+I14&lt;F39,I14,D40)</f>
        <v>370882.81818181818</v>
      </c>
      <c r="F40" s="55">
        <f t="shared" si="26"/>
        <v>7277578.134955829</v>
      </c>
      <c r="G40" s="379">
        <f t="shared" si="27"/>
        <v>1262916.1377597323</v>
      </c>
      <c r="H40" s="364">
        <f t="shared" si="28"/>
        <v>1262916.1377597323</v>
      </c>
      <c r="I40" s="52">
        <f t="shared" si="29"/>
        <v>0</v>
      </c>
      <c r="J40" s="52"/>
      <c r="K40" s="129"/>
      <c r="L40" s="54">
        <f t="shared" si="30"/>
        <v>0</v>
      </c>
      <c r="M40" s="129"/>
      <c r="N40" s="54">
        <f t="shared" si="10"/>
        <v>0</v>
      </c>
      <c r="O40" s="54">
        <f t="shared" si="11"/>
        <v>0</v>
      </c>
      <c r="P40" s="1"/>
    </row>
    <row r="41" spans="2:16" ht="12.5">
      <c r="B41" s="7" t="str">
        <f t="shared" si="5"/>
        <v/>
      </c>
      <c r="C41" s="50">
        <f>IF(D11="","-",+C40+1)</f>
        <v>2032</v>
      </c>
      <c r="D41" s="55">
        <f>IF(F40+SUM(E$17:E40)=D$10,F40,D$10-SUM(E$17:E40))</f>
        <v>7277578.134955829</v>
      </c>
      <c r="E41" s="378">
        <f>IF(+I14&lt;F40,I14,D41)</f>
        <v>370882.81818181818</v>
      </c>
      <c r="F41" s="55">
        <f t="shared" si="26"/>
        <v>6906695.3167740107</v>
      </c>
      <c r="G41" s="379">
        <f t="shared" si="27"/>
        <v>1218585.5783226944</v>
      </c>
      <c r="H41" s="364">
        <f t="shared" si="28"/>
        <v>1218585.5783226944</v>
      </c>
      <c r="I41" s="52">
        <f t="shared" si="29"/>
        <v>0</v>
      </c>
      <c r="J41" s="52"/>
      <c r="K41" s="129"/>
      <c r="L41" s="54">
        <f t="shared" si="30"/>
        <v>0</v>
      </c>
      <c r="M41" s="129"/>
      <c r="N41" s="54">
        <f t="shared" si="10"/>
        <v>0</v>
      </c>
      <c r="O41" s="54">
        <f t="shared" si="11"/>
        <v>0</v>
      </c>
      <c r="P41" s="1"/>
    </row>
    <row r="42" spans="2:16" ht="12.5">
      <c r="B42" s="7" t="str">
        <f t="shared" si="5"/>
        <v/>
      </c>
      <c r="C42" s="50">
        <f>IF(D11="","-",+C41+1)</f>
        <v>2033</v>
      </c>
      <c r="D42" s="55">
        <f>IF(F41+SUM(E$17:E41)=D$10,F41,D$10-SUM(E$17:E41))</f>
        <v>6906695.3167740107</v>
      </c>
      <c r="E42" s="378">
        <f>IF(+I14&lt;F41,I14,D42)</f>
        <v>370882.81818181818</v>
      </c>
      <c r="F42" s="55">
        <f t="shared" si="26"/>
        <v>6535812.4985921923</v>
      </c>
      <c r="G42" s="379">
        <f t="shared" si="27"/>
        <v>1174255.0188856565</v>
      </c>
      <c r="H42" s="364">
        <f t="shared" si="28"/>
        <v>1174255.0188856565</v>
      </c>
      <c r="I42" s="52">
        <f t="shared" si="29"/>
        <v>0</v>
      </c>
      <c r="J42" s="52"/>
      <c r="K42" s="129"/>
      <c r="L42" s="54">
        <f t="shared" si="30"/>
        <v>0</v>
      </c>
      <c r="M42" s="129"/>
      <c r="N42" s="54">
        <f t="shared" si="10"/>
        <v>0</v>
      </c>
      <c r="O42" s="54">
        <f t="shared" si="11"/>
        <v>0</v>
      </c>
      <c r="P42" s="1"/>
    </row>
    <row r="43" spans="2:16" ht="12.5">
      <c r="B43" s="7" t="str">
        <f t="shared" si="5"/>
        <v/>
      </c>
      <c r="C43" s="50">
        <f>IF(D11="","-",+C42+1)</f>
        <v>2034</v>
      </c>
      <c r="D43" s="55">
        <f>IF(F42+SUM(E$17:E42)=D$10,F42,D$10-SUM(E$17:E42))</f>
        <v>6535812.4985921923</v>
      </c>
      <c r="E43" s="378">
        <f>IF(+I14&lt;F42,I14,D43)</f>
        <v>370882.81818181818</v>
      </c>
      <c r="F43" s="55">
        <f t="shared" si="26"/>
        <v>6164929.680410374</v>
      </c>
      <c r="G43" s="379">
        <f t="shared" si="27"/>
        <v>1129924.4594486186</v>
      </c>
      <c r="H43" s="364">
        <f t="shared" si="28"/>
        <v>1129924.4594486186</v>
      </c>
      <c r="I43" s="52">
        <f t="shared" si="29"/>
        <v>0</v>
      </c>
      <c r="J43" s="52"/>
      <c r="K43" s="129"/>
      <c r="L43" s="54">
        <f t="shared" si="30"/>
        <v>0</v>
      </c>
      <c r="M43" s="129"/>
      <c r="N43" s="54">
        <f t="shared" si="10"/>
        <v>0</v>
      </c>
      <c r="O43" s="54">
        <f t="shared" si="11"/>
        <v>0</v>
      </c>
      <c r="P43" s="1"/>
    </row>
    <row r="44" spans="2:16" ht="12.5">
      <c r="B44" s="7" t="str">
        <f t="shared" si="5"/>
        <v/>
      </c>
      <c r="C44" s="50">
        <f>IF(D11="","-",+C43+1)</f>
        <v>2035</v>
      </c>
      <c r="D44" s="55">
        <f>IF(F43+SUM(E$17:E43)=D$10,F43,D$10-SUM(E$17:E43))</f>
        <v>6164929.680410374</v>
      </c>
      <c r="E44" s="378">
        <f>IF(+I14&lt;F43,I14,D44)</f>
        <v>370882.81818181818</v>
      </c>
      <c r="F44" s="55">
        <f t="shared" si="26"/>
        <v>5794046.8622285556</v>
      </c>
      <c r="G44" s="379">
        <f t="shared" si="27"/>
        <v>1085593.9000115807</v>
      </c>
      <c r="H44" s="364">
        <f t="shared" si="28"/>
        <v>1085593.9000115807</v>
      </c>
      <c r="I44" s="52">
        <f t="shared" si="29"/>
        <v>0</v>
      </c>
      <c r="J44" s="52"/>
      <c r="K44" s="129"/>
      <c r="L44" s="54">
        <f t="shared" si="30"/>
        <v>0</v>
      </c>
      <c r="M44" s="129"/>
      <c r="N44" s="54">
        <f t="shared" si="10"/>
        <v>0</v>
      </c>
      <c r="O44" s="54">
        <f t="shared" si="11"/>
        <v>0</v>
      </c>
      <c r="P44" s="1"/>
    </row>
    <row r="45" spans="2:16" ht="12.5">
      <c r="B45" s="7" t="str">
        <f t="shared" si="5"/>
        <v/>
      </c>
      <c r="C45" s="50">
        <f>IF(D11="","-",+C44+1)</f>
        <v>2036</v>
      </c>
      <c r="D45" s="55">
        <f>IF(F44+SUM(E$17:E44)=D$10,F44,D$10-SUM(E$17:E44))</f>
        <v>5794046.8622285556</v>
      </c>
      <c r="E45" s="378">
        <f>IF(+I14&lt;F44,I14,D45)</f>
        <v>370882.81818181818</v>
      </c>
      <c r="F45" s="55">
        <f t="shared" si="26"/>
        <v>5423164.0440467373</v>
      </c>
      <c r="G45" s="379">
        <f t="shared" si="27"/>
        <v>1041263.3405745428</v>
      </c>
      <c r="H45" s="364">
        <f t="shared" si="28"/>
        <v>1041263.3405745428</v>
      </c>
      <c r="I45" s="52">
        <f t="shared" si="29"/>
        <v>0</v>
      </c>
      <c r="J45" s="52"/>
      <c r="K45" s="129"/>
      <c r="L45" s="54">
        <f t="shared" si="30"/>
        <v>0</v>
      </c>
      <c r="M45" s="129"/>
      <c r="N45" s="54">
        <f t="shared" si="10"/>
        <v>0</v>
      </c>
      <c r="O45" s="54">
        <f t="shared" si="11"/>
        <v>0</v>
      </c>
      <c r="P45" s="1"/>
    </row>
    <row r="46" spans="2:16" ht="12.5">
      <c r="B46" s="7" t="str">
        <f t="shared" si="5"/>
        <v/>
      </c>
      <c r="C46" s="50">
        <f>IF(D11="","-",+C45+1)</f>
        <v>2037</v>
      </c>
      <c r="D46" s="55">
        <f>IF(F45+SUM(E$17:E45)=D$10,F45,D$10-SUM(E$17:E45))</f>
        <v>5423164.0440467373</v>
      </c>
      <c r="E46" s="378">
        <f>IF(+I14&lt;F45,I14,D46)</f>
        <v>370882.81818181818</v>
      </c>
      <c r="F46" s="55">
        <f t="shared" si="26"/>
        <v>5052281.2258649189</v>
      </c>
      <c r="G46" s="379">
        <f t="shared" si="27"/>
        <v>996932.78113750485</v>
      </c>
      <c r="H46" s="364">
        <f t="shared" si="28"/>
        <v>996932.78113750485</v>
      </c>
      <c r="I46" s="52">
        <f t="shared" si="29"/>
        <v>0</v>
      </c>
      <c r="J46" s="52"/>
      <c r="K46" s="129"/>
      <c r="L46" s="54">
        <f t="shared" si="30"/>
        <v>0</v>
      </c>
      <c r="M46" s="129"/>
      <c r="N46" s="54">
        <f t="shared" si="10"/>
        <v>0</v>
      </c>
      <c r="O46" s="54">
        <f t="shared" si="11"/>
        <v>0</v>
      </c>
      <c r="P46" s="1"/>
    </row>
    <row r="47" spans="2:16" ht="12.5">
      <c r="B47" s="7" t="str">
        <f t="shared" si="5"/>
        <v/>
      </c>
      <c r="C47" s="50">
        <f>IF(D11="","-",+C46+1)</f>
        <v>2038</v>
      </c>
      <c r="D47" s="55">
        <f>IF(F46+SUM(E$17:E46)=D$10,F46,D$10-SUM(E$17:E46))</f>
        <v>5052281.2258649189</v>
      </c>
      <c r="E47" s="378">
        <f>IF(+I14&lt;F46,I14,D47)</f>
        <v>370882.81818181818</v>
      </c>
      <c r="F47" s="55">
        <f t="shared" si="26"/>
        <v>4681398.4076831006</v>
      </c>
      <c r="G47" s="379">
        <f t="shared" si="27"/>
        <v>952602.22170046694</v>
      </c>
      <c r="H47" s="364">
        <f t="shared" si="28"/>
        <v>952602.22170046694</v>
      </c>
      <c r="I47" s="52">
        <f t="shared" si="29"/>
        <v>0</v>
      </c>
      <c r="J47" s="52"/>
      <c r="K47" s="129"/>
      <c r="L47" s="54">
        <f t="shared" si="30"/>
        <v>0</v>
      </c>
      <c r="M47" s="129"/>
      <c r="N47" s="54">
        <f t="shared" si="10"/>
        <v>0</v>
      </c>
      <c r="O47" s="54">
        <f t="shared" si="11"/>
        <v>0</v>
      </c>
      <c r="P47" s="1"/>
    </row>
    <row r="48" spans="2:16" ht="12.5">
      <c r="B48" s="7" t="str">
        <f t="shared" si="5"/>
        <v/>
      </c>
      <c r="C48" s="50">
        <f>IF(D11="","-",+C47+1)</f>
        <v>2039</v>
      </c>
      <c r="D48" s="55">
        <f>IF(F47+SUM(E$17:E47)=D$10,F47,D$10-SUM(E$17:E47))</f>
        <v>4681398.4076831006</v>
      </c>
      <c r="E48" s="378">
        <f>IF(+I14&lt;F47,I14,D48)</f>
        <v>370882.81818181818</v>
      </c>
      <c r="F48" s="55">
        <f t="shared" si="26"/>
        <v>4310515.5895012822</v>
      </c>
      <c r="G48" s="379">
        <f t="shared" si="27"/>
        <v>908271.66226342903</v>
      </c>
      <c r="H48" s="364">
        <f t="shared" si="28"/>
        <v>908271.66226342903</v>
      </c>
      <c r="I48" s="52">
        <f t="shared" si="29"/>
        <v>0</v>
      </c>
      <c r="J48" s="52"/>
      <c r="K48" s="129"/>
      <c r="L48" s="54">
        <f t="shared" si="30"/>
        <v>0</v>
      </c>
      <c r="M48" s="129"/>
      <c r="N48" s="54">
        <f t="shared" si="10"/>
        <v>0</v>
      </c>
      <c r="O48" s="54">
        <f t="shared" si="11"/>
        <v>0</v>
      </c>
      <c r="P48" s="1"/>
    </row>
    <row r="49" spans="2:16" ht="12.5">
      <c r="B49" s="7" t="str">
        <f t="shared" si="5"/>
        <v/>
      </c>
      <c r="C49" s="50">
        <f>IF(D11="","-",+C48+1)</f>
        <v>2040</v>
      </c>
      <c r="D49" s="55">
        <f>IF(F48+SUM(E$17:E48)=D$10,F48,D$10-SUM(E$17:E48))</f>
        <v>4310515.5895012822</v>
      </c>
      <c r="E49" s="378">
        <f>IF(+I14&lt;F48,I14,D49)</f>
        <v>370882.81818181818</v>
      </c>
      <c r="F49" s="55">
        <f t="shared" si="26"/>
        <v>3939632.7713194638</v>
      </c>
      <c r="G49" s="379">
        <f t="shared" si="27"/>
        <v>863941.10282639111</v>
      </c>
      <c r="H49" s="364">
        <f t="shared" si="28"/>
        <v>863941.10282639111</v>
      </c>
      <c r="I49" s="52">
        <f t="shared" si="29"/>
        <v>0</v>
      </c>
      <c r="J49" s="52"/>
      <c r="K49" s="129"/>
      <c r="L49" s="54">
        <f t="shared" si="30"/>
        <v>0</v>
      </c>
      <c r="M49" s="129"/>
      <c r="N49" s="54">
        <f t="shared" si="10"/>
        <v>0</v>
      </c>
      <c r="O49" s="54">
        <f t="shared" si="11"/>
        <v>0</v>
      </c>
      <c r="P49" s="1"/>
    </row>
    <row r="50" spans="2:16" ht="12.5">
      <c r="B50" s="7" t="str">
        <f t="shared" si="5"/>
        <v/>
      </c>
      <c r="C50" s="50">
        <f>IF(D11="","-",+C49+1)</f>
        <v>2041</v>
      </c>
      <c r="D50" s="55">
        <f>IF(F49+SUM(E$17:E49)=D$10,F49,D$10-SUM(E$17:E49))</f>
        <v>3939632.7713194638</v>
      </c>
      <c r="E50" s="378">
        <f>IF(+I14&lt;F49,I14,D50)</f>
        <v>370882.81818181818</v>
      </c>
      <c r="F50" s="55">
        <f t="shared" si="26"/>
        <v>3568749.9531376455</v>
      </c>
      <c r="G50" s="379">
        <f t="shared" si="27"/>
        <v>819610.54338935332</v>
      </c>
      <c r="H50" s="364">
        <f t="shared" si="28"/>
        <v>819610.54338935332</v>
      </c>
      <c r="I50" s="52">
        <f t="shared" si="29"/>
        <v>0</v>
      </c>
      <c r="J50" s="52"/>
      <c r="K50" s="129"/>
      <c r="L50" s="54">
        <f t="shared" si="30"/>
        <v>0</v>
      </c>
      <c r="M50" s="129"/>
      <c r="N50" s="54">
        <f t="shared" si="10"/>
        <v>0</v>
      </c>
      <c r="O50" s="54">
        <f t="shared" si="11"/>
        <v>0</v>
      </c>
      <c r="P50" s="1"/>
    </row>
    <row r="51" spans="2:16" ht="12.5">
      <c r="B51" s="7" t="str">
        <f t="shared" si="5"/>
        <v/>
      </c>
      <c r="C51" s="50">
        <f>IF(D11="","-",+C50+1)</f>
        <v>2042</v>
      </c>
      <c r="D51" s="55">
        <f>IF(F50+SUM(E$17:E50)=D$10,F50,D$10-SUM(E$17:E50))</f>
        <v>3568749.9531376455</v>
      </c>
      <c r="E51" s="378">
        <f>IF(+I14&lt;F50,I14,D51)</f>
        <v>370882.81818181818</v>
      </c>
      <c r="F51" s="55">
        <f t="shared" si="26"/>
        <v>3197867.1349558271</v>
      </c>
      <c r="G51" s="379">
        <f t="shared" si="27"/>
        <v>775279.98395231541</v>
      </c>
      <c r="H51" s="364">
        <f t="shared" si="28"/>
        <v>775279.98395231541</v>
      </c>
      <c r="I51" s="52">
        <f t="shared" si="29"/>
        <v>0</v>
      </c>
      <c r="J51" s="52"/>
      <c r="K51" s="129"/>
      <c r="L51" s="54">
        <f t="shared" si="30"/>
        <v>0</v>
      </c>
      <c r="M51" s="129"/>
      <c r="N51" s="54">
        <f t="shared" si="10"/>
        <v>0</v>
      </c>
      <c r="O51" s="54">
        <f t="shared" si="11"/>
        <v>0</v>
      </c>
      <c r="P51" s="1"/>
    </row>
    <row r="52" spans="2:16" ht="12.5">
      <c r="B52" s="7" t="str">
        <f t="shared" si="5"/>
        <v/>
      </c>
      <c r="C52" s="50">
        <f>IF(D11="","-",+C51+1)</f>
        <v>2043</v>
      </c>
      <c r="D52" s="55">
        <f>IF(F51+SUM(E$17:E51)=D$10,F51,D$10-SUM(E$17:E51))</f>
        <v>3197867.1349558271</v>
      </c>
      <c r="E52" s="378">
        <f>IF(+I14&lt;F51,I14,D52)</f>
        <v>370882.81818181818</v>
      </c>
      <c r="F52" s="55">
        <f t="shared" si="26"/>
        <v>2826984.3167740088</v>
      </c>
      <c r="G52" s="379">
        <f t="shared" si="27"/>
        <v>730949.4245152775</v>
      </c>
      <c r="H52" s="364">
        <f t="shared" si="28"/>
        <v>730949.4245152775</v>
      </c>
      <c r="I52" s="52">
        <f t="shared" si="29"/>
        <v>0</v>
      </c>
      <c r="J52" s="52"/>
      <c r="K52" s="129"/>
      <c r="L52" s="54">
        <f t="shared" si="30"/>
        <v>0</v>
      </c>
      <c r="M52" s="129"/>
      <c r="N52" s="54">
        <f t="shared" si="10"/>
        <v>0</v>
      </c>
      <c r="O52" s="54">
        <f t="shared" si="11"/>
        <v>0</v>
      </c>
      <c r="P52" s="1"/>
    </row>
    <row r="53" spans="2:16" ht="12.5">
      <c r="B53" s="7" t="str">
        <f t="shared" si="5"/>
        <v/>
      </c>
      <c r="C53" s="50">
        <f>IF(D11="","-",+C52+1)</f>
        <v>2044</v>
      </c>
      <c r="D53" s="55">
        <f>IF(F52+SUM(E$17:E52)=D$10,F52,D$10-SUM(E$17:E52))</f>
        <v>2826984.3167740088</v>
      </c>
      <c r="E53" s="378">
        <f>IF(+I14&lt;F52,I14,D53)</f>
        <v>370882.81818181818</v>
      </c>
      <c r="F53" s="55">
        <f t="shared" si="26"/>
        <v>2456101.4985921904</v>
      </c>
      <c r="G53" s="379">
        <f t="shared" si="27"/>
        <v>686618.8650782397</v>
      </c>
      <c r="H53" s="364">
        <f t="shared" si="28"/>
        <v>686618.8650782397</v>
      </c>
      <c r="I53" s="52">
        <f t="shared" si="29"/>
        <v>0</v>
      </c>
      <c r="J53" s="52"/>
      <c r="K53" s="129"/>
      <c r="L53" s="54">
        <f t="shared" si="30"/>
        <v>0</v>
      </c>
      <c r="M53" s="129"/>
      <c r="N53" s="54">
        <f t="shared" si="10"/>
        <v>0</v>
      </c>
      <c r="O53" s="54">
        <f t="shared" si="11"/>
        <v>0</v>
      </c>
      <c r="P53" s="1"/>
    </row>
    <row r="54" spans="2:16" ht="12.5">
      <c r="B54" s="7" t="str">
        <f t="shared" si="5"/>
        <v/>
      </c>
      <c r="C54" s="50">
        <f>IF(D11="","-",+C53+1)</f>
        <v>2045</v>
      </c>
      <c r="D54" s="55">
        <f>IF(F53+SUM(E$17:E53)=D$10,F53,D$10-SUM(E$17:E53))</f>
        <v>2456101.4985921904</v>
      </c>
      <c r="E54" s="378">
        <f>IF(+I14&lt;F53,I14,D54)</f>
        <v>370882.81818181818</v>
      </c>
      <c r="F54" s="55">
        <f t="shared" si="26"/>
        <v>2085218.6804103723</v>
      </c>
      <c r="G54" s="379">
        <f t="shared" si="27"/>
        <v>642288.30564120179</v>
      </c>
      <c r="H54" s="364">
        <f t="shared" si="28"/>
        <v>642288.30564120179</v>
      </c>
      <c r="I54" s="52">
        <f t="shared" si="29"/>
        <v>0</v>
      </c>
      <c r="J54" s="52"/>
      <c r="K54" s="129"/>
      <c r="L54" s="54">
        <f t="shared" si="30"/>
        <v>0</v>
      </c>
      <c r="M54" s="129"/>
      <c r="N54" s="54">
        <f t="shared" si="10"/>
        <v>0</v>
      </c>
      <c r="O54" s="54">
        <f t="shared" si="11"/>
        <v>0</v>
      </c>
      <c r="P54" s="1"/>
    </row>
    <row r="55" spans="2:16" ht="12.5">
      <c r="B55" s="7" t="str">
        <f t="shared" si="5"/>
        <v/>
      </c>
      <c r="C55" s="50">
        <f>IF(D11="","-",+C54+1)</f>
        <v>2046</v>
      </c>
      <c r="D55" s="55">
        <f>IF(F54+SUM(E$17:E54)=D$10,F54,D$10-SUM(E$17:E54))</f>
        <v>2085218.6804103723</v>
      </c>
      <c r="E55" s="378">
        <f>IF(+I14&lt;F54,I14,D55)</f>
        <v>370882.81818181818</v>
      </c>
      <c r="F55" s="55">
        <f t="shared" si="26"/>
        <v>1714335.8622285542</v>
      </c>
      <c r="G55" s="379">
        <f t="shared" si="27"/>
        <v>597957.74620416388</v>
      </c>
      <c r="H55" s="364">
        <f t="shared" si="28"/>
        <v>597957.74620416388</v>
      </c>
      <c r="I55" s="52">
        <f t="shared" si="29"/>
        <v>0</v>
      </c>
      <c r="J55" s="52"/>
      <c r="K55" s="129"/>
      <c r="L55" s="54">
        <f t="shared" si="30"/>
        <v>0</v>
      </c>
      <c r="M55" s="129"/>
      <c r="N55" s="54">
        <f t="shared" si="10"/>
        <v>0</v>
      </c>
      <c r="O55" s="54">
        <f t="shared" si="11"/>
        <v>0</v>
      </c>
      <c r="P55" s="1"/>
    </row>
    <row r="56" spans="2:16" ht="12.5">
      <c r="B56" s="7" t="str">
        <f t="shared" si="5"/>
        <v/>
      </c>
      <c r="C56" s="50">
        <f>IF(D11="","-",+C55+1)</f>
        <v>2047</v>
      </c>
      <c r="D56" s="55">
        <f>IF(F55+SUM(E$17:E55)=D$10,F55,D$10-SUM(E$17:E55))</f>
        <v>1714335.8622285542</v>
      </c>
      <c r="E56" s="378">
        <f>IF(+I14&lt;F55,I14,D56)</f>
        <v>370882.81818181818</v>
      </c>
      <c r="F56" s="55">
        <f t="shared" si="26"/>
        <v>1343453.0440467361</v>
      </c>
      <c r="G56" s="379">
        <f t="shared" si="27"/>
        <v>553627.18676712597</v>
      </c>
      <c r="H56" s="364">
        <f t="shared" si="28"/>
        <v>553627.18676712597</v>
      </c>
      <c r="I56" s="52">
        <f t="shared" si="29"/>
        <v>0</v>
      </c>
      <c r="J56" s="52"/>
      <c r="K56" s="129"/>
      <c r="L56" s="54">
        <f t="shared" si="30"/>
        <v>0</v>
      </c>
      <c r="M56" s="129"/>
      <c r="N56" s="54">
        <f t="shared" si="10"/>
        <v>0</v>
      </c>
      <c r="O56" s="54">
        <f t="shared" si="11"/>
        <v>0</v>
      </c>
      <c r="P56" s="1"/>
    </row>
    <row r="57" spans="2:16" ht="12.5">
      <c r="B57" s="7" t="str">
        <f t="shared" si="5"/>
        <v/>
      </c>
      <c r="C57" s="50">
        <f>IF(D11="","-",+C56+1)</f>
        <v>2048</v>
      </c>
      <c r="D57" s="55">
        <f>IF(F56+SUM(E$17:E56)=D$10,F56,D$10-SUM(E$17:E56))</f>
        <v>1343453.0440467361</v>
      </c>
      <c r="E57" s="378">
        <f>IF(+I14&lt;F56,I14,D57)</f>
        <v>370882.81818181818</v>
      </c>
      <c r="F57" s="55">
        <f t="shared" si="26"/>
        <v>972570.22586491797</v>
      </c>
      <c r="G57" s="379">
        <f t="shared" si="27"/>
        <v>509296.62733008817</v>
      </c>
      <c r="H57" s="364">
        <f t="shared" si="28"/>
        <v>509296.62733008817</v>
      </c>
      <c r="I57" s="52">
        <f t="shared" si="29"/>
        <v>0</v>
      </c>
      <c r="J57" s="52"/>
      <c r="K57" s="129"/>
      <c r="L57" s="54">
        <f t="shared" si="30"/>
        <v>0</v>
      </c>
      <c r="M57" s="129"/>
      <c r="N57" s="54">
        <f t="shared" si="10"/>
        <v>0</v>
      </c>
      <c r="O57" s="54">
        <f t="shared" si="11"/>
        <v>0</v>
      </c>
      <c r="P57" s="1"/>
    </row>
    <row r="58" spans="2:16" ht="12.5">
      <c r="B58" s="7" t="str">
        <f t="shared" si="5"/>
        <v/>
      </c>
      <c r="C58" s="50">
        <f>IF(D11="","-",+C57+1)</f>
        <v>2049</v>
      </c>
      <c r="D58" s="55">
        <f>IF(F57+SUM(E$17:E57)=D$10,F57,D$10-SUM(E$17:E57))</f>
        <v>972570.22586491797</v>
      </c>
      <c r="E58" s="378">
        <f>IF(+I14&lt;F57,I14,D58)</f>
        <v>370882.81818181818</v>
      </c>
      <c r="F58" s="55">
        <f t="shared" si="26"/>
        <v>601687.40768309985</v>
      </c>
      <c r="G58" s="379">
        <f t="shared" si="27"/>
        <v>464966.06789305026</v>
      </c>
      <c r="H58" s="364">
        <f t="shared" si="28"/>
        <v>464966.06789305026</v>
      </c>
      <c r="I58" s="52">
        <f t="shared" si="29"/>
        <v>0</v>
      </c>
      <c r="J58" s="52"/>
      <c r="K58" s="129"/>
      <c r="L58" s="54">
        <f t="shared" si="30"/>
        <v>0</v>
      </c>
      <c r="M58" s="129"/>
      <c r="N58" s="54">
        <f t="shared" si="10"/>
        <v>0</v>
      </c>
      <c r="O58" s="54">
        <f t="shared" si="11"/>
        <v>0</v>
      </c>
      <c r="P58" s="1"/>
    </row>
    <row r="59" spans="2:16" ht="12.5">
      <c r="B59" s="7" t="str">
        <f t="shared" si="5"/>
        <v/>
      </c>
      <c r="C59" s="50">
        <f>IF(D11="","-",+C58+1)</f>
        <v>2050</v>
      </c>
      <c r="D59" s="55">
        <f>IF(F58+SUM(E$17:E58)=D$10,F58,D$10-SUM(E$17:E58))</f>
        <v>601687.40768309985</v>
      </c>
      <c r="E59" s="378">
        <f>IF(+I14&lt;F58,I14,D59)</f>
        <v>370882.81818181818</v>
      </c>
      <c r="F59" s="55">
        <f t="shared" si="26"/>
        <v>230804.58950128168</v>
      </c>
      <c r="G59" s="379">
        <f t="shared" si="27"/>
        <v>420635.50845601241</v>
      </c>
      <c r="H59" s="364">
        <f t="shared" si="28"/>
        <v>420635.50845601241</v>
      </c>
      <c r="I59" s="52">
        <f t="shared" si="29"/>
        <v>0</v>
      </c>
      <c r="J59" s="52"/>
      <c r="K59" s="129"/>
      <c r="L59" s="54">
        <f t="shared" si="30"/>
        <v>0</v>
      </c>
      <c r="M59" s="129"/>
      <c r="N59" s="54">
        <f t="shared" si="10"/>
        <v>0</v>
      </c>
      <c r="O59" s="54">
        <f t="shared" si="11"/>
        <v>0</v>
      </c>
      <c r="P59" s="1"/>
    </row>
    <row r="60" spans="2:16" ht="12.5">
      <c r="B60" s="7" t="str">
        <f t="shared" si="5"/>
        <v/>
      </c>
      <c r="C60" s="50">
        <f>IF(D11="","-",+C59+1)</f>
        <v>2051</v>
      </c>
      <c r="D60" s="55">
        <f>IF(F59+SUM(E$17:E59)=D$10,F59,D$10-SUM(E$17:E59))</f>
        <v>230804.58950128168</v>
      </c>
      <c r="E60" s="378">
        <f>IF(+I14&lt;F59,I14,D60)</f>
        <v>230804.58950128168</v>
      </c>
      <c r="F60" s="55">
        <f t="shared" si="26"/>
        <v>0</v>
      </c>
      <c r="G60" s="379">
        <f t="shared" si="27"/>
        <v>244598.29477911931</v>
      </c>
      <c r="H60" s="364">
        <f t="shared" si="28"/>
        <v>244598.29477911931</v>
      </c>
      <c r="I60" s="52">
        <f t="shared" si="29"/>
        <v>0</v>
      </c>
      <c r="J60" s="52"/>
      <c r="K60" s="129"/>
      <c r="L60" s="54">
        <f t="shared" si="30"/>
        <v>0</v>
      </c>
      <c r="M60" s="129"/>
      <c r="N60" s="54">
        <f t="shared" si="10"/>
        <v>0</v>
      </c>
      <c r="O60" s="54">
        <f t="shared" si="11"/>
        <v>0</v>
      </c>
      <c r="P60" s="1"/>
    </row>
    <row r="61" spans="2:16" ht="12.5">
      <c r="B61" s="7" t="str">
        <f t="shared" si="5"/>
        <v/>
      </c>
      <c r="C61" s="50">
        <f>IF(D11="","-",+C60+1)</f>
        <v>2052</v>
      </c>
      <c r="D61" s="55">
        <f>IF(F60+SUM(E$17:E60)=D$10,F60,D$10-SUM(E$17:E60))</f>
        <v>0</v>
      </c>
      <c r="E61" s="378">
        <f>IF(+I14&lt;F60,I14,D61)</f>
        <v>0</v>
      </c>
      <c r="F61" s="55">
        <f t="shared" si="26"/>
        <v>0</v>
      </c>
      <c r="G61" s="379">
        <f t="shared" si="27"/>
        <v>0</v>
      </c>
      <c r="H61" s="364">
        <f t="shared" si="28"/>
        <v>0</v>
      </c>
      <c r="I61" s="52">
        <f t="shared" si="29"/>
        <v>0</v>
      </c>
      <c r="J61" s="52"/>
      <c r="K61" s="129"/>
      <c r="L61" s="54">
        <f t="shared" si="30"/>
        <v>0</v>
      </c>
      <c r="M61" s="129"/>
      <c r="N61" s="54">
        <f t="shared" si="10"/>
        <v>0</v>
      </c>
      <c r="O61" s="54">
        <f t="shared" si="11"/>
        <v>0</v>
      </c>
      <c r="P61" s="1"/>
    </row>
    <row r="62" spans="2:16" ht="12.5">
      <c r="B62" s="7" t="str">
        <f t="shared" si="5"/>
        <v/>
      </c>
      <c r="C62" s="50">
        <f>IF(D11="","-",+C61+1)</f>
        <v>2053</v>
      </c>
      <c r="D62" s="55">
        <f>IF(F61+SUM(E$17:E61)=D$10,F61,D$10-SUM(E$17:E61))</f>
        <v>0</v>
      </c>
      <c r="E62" s="378">
        <f>IF(+I14&lt;F61,I14,D62)</f>
        <v>0</v>
      </c>
      <c r="F62" s="55">
        <f t="shared" si="26"/>
        <v>0</v>
      </c>
      <c r="G62" s="379">
        <f t="shared" si="27"/>
        <v>0</v>
      </c>
      <c r="H62" s="364">
        <f t="shared" si="28"/>
        <v>0</v>
      </c>
      <c r="I62" s="52">
        <f t="shared" si="29"/>
        <v>0</v>
      </c>
      <c r="J62" s="52"/>
      <c r="K62" s="129"/>
      <c r="L62" s="54">
        <f t="shared" si="30"/>
        <v>0</v>
      </c>
      <c r="M62" s="129"/>
      <c r="N62" s="54">
        <f t="shared" si="10"/>
        <v>0</v>
      </c>
      <c r="O62" s="54">
        <f t="shared" si="11"/>
        <v>0</v>
      </c>
      <c r="P62" s="1"/>
    </row>
    <row r="63" spans="2:16" ht="12.5">
      <c r="B63" s="7" t="str">
        <f t="shared" si="5"/>
        <v/>
      </c>
      <c r="C63" s="50">
        <f>IF(D11="","-",+C62+1)</f>
        <v>2054</v>
      </c>
      <c r="D63" s="55">
        <f>IF(F62+SUM(E$17:E62)=D$10,F62,D$10-SUM(E$17:E62))</f>
        <v>0</v>
      </c>
      <c r="E63" s="378">
        <f>IF(+I14&lt;F62,I14,D63)</f>
        <v>0</v>
      </c>
      <c r="F63" s="55">
        <f t="shared" si="26"/>
        <v>0</v>
      </c>
      <c r="G63" s="379">
        <f t="shared" si="27"/>
        <v>0</v>
      </c>
      <c r="H63" s="364">
        <f t="shared" si="28"/>
        <v>0</v>
      </c>
      <c r="I63" s="52">
        <f t="shared" si="29"/>
        <v>0</v>
      </c>
      <c r="J63" s="52"/>
      <c r="K63" s="129"/>
      <c r="L63" s="54">
        <f t="shared" si="30"/>
        <v>0</v>
      </c>
      <c r="M63" s="129"/>
      <c r="N63" s="54">
        <f t="shared" si="10"/>
        <v>0</v>
      </c>
      <c r="O63" s="54">
        <f t="shared" si="11"/>
        <v>0</v>
      </c>
      <c r="P63" s="1"/>
    </row>
    <row r="64" spans="2:16" ht="12.5">
      <c r="B64" s="7" t="str">
        <f t="shared" si="5"/>
        <v/>
      </c>
      <c r="C64" s="50">
        <f>IF(D11="","-",+C63+1)</f>
        <v>2055</v>
      </c>
      <c r="D64" s="55">
        <f>IF(F63+SUM(E$17:E63)=D$10,F63,D$10-SUM(E$17:E63))</f>
        <v>0</v>
      </c>
      <c r="E64" s="378">
        <f>IF(+I14&lt;F63,I14,D64)</f>
        <v>0</v>
      </c>
      <c r="F64" s="55">
        <f t="shared" si="26"/>
        <v>0</v>
      </c>
      <c r="G64" s="379">
        <f t="shared" si="27"/>
        <v>0</v>
      </c>
      <c r="H64" s="364">
        <f t="shared" si="28"/>
        <v>0</v>
      </c>
      <c r="I64" s="52">
        <f t="shared" si="29"/>
        <v>0</v>
      </c>
      <c r="J64" s="52"/>
      <c r="K64" s="129"/>
      <c r="L64" s="54">
        <f t="shared" si="30"/>
        <v>0</v>
      </c>
      <c r="M64" s="129"/>
      <c r="N64" s="54">
        <f t="shared" si="10"/>
        <v>0</v>
      </c>
      <c r="O64" s="54">
        <f t="shared" si="11"/>
        <v>0</v>
      </c>
      <c r="P64" s="1"/>
    </row>
    <row r="65" spans="2:16" ht="12.5">
      <c r="B65" s="7" t="str">
        <f t="shared" si="5"/>
        <v/>
      </c>
      <c r="C65" s="50">
        <f>IF(D11="","-",+C64+1)</f>
        <v>2056</v>
      </c>
      <c r="D65" s="55">
        <f>IF(F64+SUM(E$17:E64)=D$10,F64,D$10-SUM(E$17:E64))</f>
        <v>0</v>
      </c>
      <c r="E65" s="378">
        <f>IF(+I14&lt;F64,I14,D65)</f>
        <v>0</v>
      </c>
      <c r="F65" s="55">
        <f t="shared" si="26"/>
        <v>0</v>
      </c>
      <c r="G65" s="379">
        <f t="shared" si="27"/>
        <v>0</v>
      </c>
      <c r="H65" s="364">
        <f t="shared" si="28"/>
        <v>0</v>
      </c>
      <c r="I65" s="52">
        <f t="shared" si="29"/>
        <v>0</v>
      </c>
      <c r="J65" s="52"/>
      <c r="K65" s="129"/>
      <c r="L65" s="54">
        <f t="shared" si="30"/>
        <v>0</v>
      </c>
      <c r="M65" s="129"/>
      <c r="N65" s="54">
        <f t="shared" si="10"/>
        <v>0</v>
      </c>
      <c r="O65" s="54">
        <f t="shared" si="11"/>
        <v>0</v>
      </c>
      <c r="P65" s="1"/>
    </row>
    <row r="66" spans="2:16" ht="12.5">
      <c r="B66" s="7" t="str">
        <f t="shared" si="5"/>
        <v/>
      </c>
      <c r="C66" s="50">
        <f>IF(D11="","-",+C65+1)</f>
        <v>2057</v>
      </c>
      <c r="D66" s="55">
        <f>IF(F65+SUM(E$17:E65)=D$10,F65,D$10-SUM(E$17:E65))</f>
        <v>0</v>
      </c>
      <c r="E66" s="378">
        <f>IF(+I14&lt;F65,I14,D66)</f>
        <v>0</v>
      </c>
      <c r="F66" s="55">
        <f t="shared" si="26"/>
        <v>0</v>
      </c>
      <c r="G66" s="379">
        <f t="shared" si="27"/>
        <v>0</v>
      </c>
      <c r="H66" s="364">
        <f t="shared" si="28"/>
        <v>0</v>
      </c>
      <c r="I66" s="52">
        <f t="shared" si="29"/>
        <v>0</v>
      </c>
      <c r="J66" s="52"/>
      <c r="K66" s="129"/>
      <c r="L66" s="54">
        <f t="shared" si="30"/>
        <v>0</v>
      </c>
      <c r="M66" s="129"/>
      <c r="N66" s="54">
        <f t="shared" si="10"/>
        <v>0</v>
      </c>
      <c r="O66" s="54">
        <f t="shared" si="11"/>
        <v>0</v>
      </c>
      <c r="P66" s="1"/>
    </row>
    <row r="67" spans="2:16" ht="12.5">
      <c r="B67" s="7" t="str">
        <f t="shared" si="5"/>
        <v/>
      </c>
      <c r="C67" s="50">
        <f>IF(D11="","-",+C66+1)</f>
        <v>2058</v>
      </c>
      <c r="D67" s="55">
        <f>IF(F66+SUM(E$17:E66)=D$10,F66,D$10-SUM(E$17:E66))</f>
        <v>0</v>
      </c>
      <c r="E67" s="378">
        <f>IF(+I14&lt;F66,I14,D67)</f>
        <v>0</v>
      </c>
      <c r="F67" s="55">
        <f t="shared" si="26"/>
        <v>0</v>
      </c>
      <c r="G67" s="379">
        <f t="shared" si="27"/>
        <v>0</v>
      </c>
      <c r="H67" s="364">
        <f t="shared" si="28"/>
        <v>0</v>
      </c>
      <c r="I67" s="52">
        <f t="shared" si="29"/>
        <v>0</v>
      </c>
      <c r="J67" s="52"/>
      <c r="K67" s="129"/>
      <c r="L67" s="54">
        <f t="shared" si="30"/>
        <v>0</v>
      </c>
      <c r="M67" s="129"/>
      <c r="N67" s="54">
        <f t="shared" si="10"/>
        <v>0</v>
      </c>
      <c r="O67" s="54">
        <f t="shared" si="11"/>
        <v>0</v>
      </c>
      <c r="P67" s="1"/>
    </row>
    <row r="68" spans="2:16" ht="12.5">
      <c r="B68" s="7" t="str">
        <f t="shared" si="5"/>
        <v/>
      </c>
      <c r="C68" s="50">
        <f>IF(D11="","-",+C67+1)</f>
        <v>2059</v>
      </c>
      <c r="D68" s="55">
        <f>IF(F67+SUM(E$17:E67)=D$10,F67,D$10-SUM(E$17:E67))</f>
        <v>0</v>
      </c>
      <c r="E68" s="378">
        <f>IF(+I14&lt;F67,I14,D68)</f>
        <v>0</v>
      </c>
      <c r="F68" s="55">
        <f t="shared" si="26"/>
        <v>0</v>
      </c>
      <c r="G68" s="379">
        <f t="shared" si="27"/>
        <v>0</v>
      </c>
      <c r="H68" s="364">
        <f t="shared" si="28"/>
        <v>0</v>
      </c>
      <c r="I68" s="52">
        <f t="shared" si="29"/>
        <v>0</v>
      </c>
      <c r="J68" s="52"/>
      <c r="K68" s="129"/>
      <c r="L68" s="54">
        <f t="shared" si="30"/>
        <v>0</v>
      </c>
      <c r="M68" s="129"/>
      <c r="N68" s="54">
        <f t="shared" si="10"/>
        <v>0</v>
      </c>
      <c r="O68" s="54">
        <f t="shared" si="11"/>
        <v>0</v>
      </c>
      <c r="P68" s="1"/>
    </row>
    <row r="69" spans="2:16" ht="12.5">
      <c r="B69" s="7" t="str">
        <f t="shared" si="5"/>
        <v/>
      </c>
      <c r="C69" s="50">
        <f>IF(D11="","-",+C68+1)</f>
        <v>2060</v>
      </c>
      <c r="D69" s="55">
        <f>IF(F68+SUM(E$17:E68)=D$10,F68,D$10-SUM(E$17:E68))</f>
        <v>0</v>
      </c>
      <c r="E69" s="378">
        <f>IF(+I14&lt;F68,I14,D69)</f>
        <v>0</v>
      </c>
      <c r="F69" s="55">
        <f t="shared" si="26"/>
        <v>0</v>
      </c>
      <c r="G69" s="379">
        <f t="shared" si="27"/>
        <v>0</v>
      </c>
      <c r="H69" s="364">
        <f t="shared" si="28"/>
        <v>0</v>
      </c>
      <c r="I69" s="52">
        <f t="shared" si="29"/>
        <v>0</v>
      </c>
      <c r="J69" s="52"/>
      <c r="K69" s="129"/>
      <c r="L69" s="54">
        <f t="shared" si="30"/>
        <v>0</v>
      </c>
      <c r="M69" s="129"/>
      <c r="N69" s="54">
        <f t="shared" si="10"/>
        <v>0</v>
      </c>
      <c r="O69" s="54">
        <f t="shared" si="11"/>
        <v>0</v>
      </c>
      <c r="P69" s="1"/>
    </row>
    <row r="70" spans="2:16" ht="12.5">
      <c r="B70" s="7" t="str">
        <f t="shared" si="5"/>
        <v/>
      </c>
      <c r="C70" s="50">
        <f>IF(D11="","-",+C69+1)</f>
        <v>2061</v>
      </c>
      <c r="D70" s="55">
        <f>IF(F69+SUM(E$17:E69)=D$10,F69,D$10-SUM(E$17:E69))</f>
        <v>0</v>
      </c>
      <c r="E70" s="378">
        <f>IF(+I14&lt;F69,I14,D70)</f>
        <v>0</v>
      </c>
      <c r="F70" s="55">
        <f t="shared" si="26"/>
        <v>0</v>
      </c>
      <c r="G70" s="379">
        <f t="shared" si="27"/>
        <v>0</v>
      </c>
      <c r="H70" s="364">
        <f t="shared" si="28"/>
        <v>0</v>
      </c>
      <c r="I70" s="52">
        <f t="shared" si="29"/>
        <v>0</v>
      </c>
      <c r="J70" s="52"/>
      <c r="K70" s="129"/>
      <c r="L70" s="54">
        <f t="shared" si="30"/>
        <v>0</v>
      </c>
      <c r="M70" s="129"/>
      <c r="N70" s="54">
        <f t="shared" si="10"/>
        <v>0</v>
      </c>
      <c r="O70" s="54">
        <f t="shared" si="11"/>
        <v>0</v>
      </c>
      <c r="P70" s="1"/>
    </row>
    <row r="71" spans="2:16" ht="12.5">
      <c r="B71" s="7" t="str">
        <f t="shared" si="5"/>
        <v/>
      </c>
      <c r="C71" s="50">
        <f>IF(D11="","-",+C70+1)</f>
        <v>2062</v>
      </c>
      <c r="D71" s="55">
        <f>IF(F70+SUM(E$17:E70)=D$10,F70,D$10-SUM(E$17:E70))</f>
        <v>0</v>
      </c>
      <c r="E71" s="378">
        <f>IF(+I14&lt;F70,I14,D71)</f>
        <v>0</v>
      </c>
      <c r="F71" s="55">
        <f t="shared" si="26"/>
        <v>0</v>
      </c>
      <c r="G71" s="379">
        <f t="shared" si="27"/>
        <v>0</v>
      </c>
      <c r="H71" s="364">
        <f t="shared" si="28"/>
        <v>0</v>
      </c>
      <c r="I71" s="52">
        <f t="shared" si="29"/>
        <v>0</v>
      </c>
      <c r="J71" s="52"/>
      <c r="K71" s="129"/>
      <c r="L71" s="54">
        <f t="shared" si="30"/>
        <v>0</v>
      </c>
      <c r="M71" s="129"/>
      <c r="N71" s="54">
        <f t="shared" si="10"/>
        <v>0</v>
      </c>
      <c r="O71" s="54">
        <f t="shared" si="11"/>
        <v>0</v>
      </c>
      <c r="P71" s="1"/>
    </row>
    <row r="72" spans="2:16" ht="13" thickBot="1">
      <c r="B72" s="7" t="str">
        <f t="shared" si="5"/>
        <v/>
      </c>
      <c r="C72" s="59">
        <f>IF(D11="","-",+C71+1)</f>
        <v>2063</v>
      </c>
      <c r="D72" s="60">
        <f>IF(F71+SUM(E$17:E71)=D$10,F71,D$10-SUM(E$17:E71))</f>
        <v>0</v>
      </c>
      <c r="E72" s="381">
        <f>IF(+I14&lt;F71,I14,D72)</f>
        <v>0</v>
      </c>
      <c r="F72" s="60">
        <f t="shared" si="26"/>
        <v>0</v>
      </c>
      <c r="G72" s="379">
        <f t="shared" si="27"/>
        <v>0</v>
      </c>
      <c r="H72" s="364">
        <f t="shared" si="28"/>
        <v>0</v>
      </c>
      <c r="I72" s="63">
        <f t="shared" si="29"/>
        <v>0</v>
      </c>
      <c r="J72" s="52"/>
      <c r="K72" s="130"/>
      <c r="L72" s="64">
        <f t="shared" si="30"/>
        <v>0</v>
      </c>
      <c r="M72" s="130"/>
      <c r="N72" s="64">
        <f t="shared" si="10"/>
        <v>0</v>
      </c>
      <c r="O72" s="64">
        <f t="shared" si="11"/>
        <v>0</v>
      </c>
      <c r="P72" s="1"/>
    </row>
    <row r="73" spans="2:16" ht="12.5">
      <c r="C73" s="12" t="s">
        <v>78</v>
      </c>
      <c r="D73" s="293"/>
      <c r="E73" s="293">
        <f>SUM(E17:E72)</f>
        <v>16318844.000000002</v>
      </c>
      <c r="F73" s="293"/>
      <c r="G73" s="293">
        <f>SUM(G17:G72)</f>
        <v>60385323.555763185</v>
      </c>
      <c r="H73" s="293">
        <f>SUM(H17:H72)</f>
        <v>60385323.555763185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 ht="13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46 of 77</v>
      </c>
    </row>
    <row r="84" spans="1:16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1573230.0538189975</v>
      </c>
      <c r="N87" s="387">
        <f>IF(J92&lt;D11,0,VLOOKUP(J92,C17:O72,11))</f>
        <v>1573230.0538189975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1955314.4224657249</v>
      </c>
      <c r="N88" s="390">
        <f>IF(J92&lt;D11,0,VLOOKUP(J92,C99:P154,7))</f>
        <v>1955314.4224657249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CHAMBER SPRINGS - TONTITOWN 345KV CKT 1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382084.36864672741</v>
      </c>
      <c r="N89" s="392">
        <f>+N88-N87</f>
        <v>382084.36864672741</v>
      </c>
      <c r="O89" s="393">
        <f>+O88-O87</f>
        <v>0</v>
      </c>
      <c r="P89" s="1"/>
    </row>
    <row r="90" spans="1:16" ht="13.5" thickBot="1">
      <c r="C90" s="29"/>
      <c r="D90" s="444" t="str">
        <f>S.045!D90</f>
        <v xml:space="preserve">***Sch. 11 recovery commenced in the 2015 rate year.  Beg Bal = to depreciated balance as of 1/1/15. *** </v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TP2002123</v>
      </c>
      <c r="E91" s="76" t="s">
        <v>496</v>
      </c>
      <c r="F91" s="463">
        <f>F9</f>
        <v>117</v>
      </c>
      <c r="G91" s="76"/>
      <c r="H91" s="76"/>
      <c r="I91" s="76"/>
      <c r="J91" s="76"/>
    </row>
    <row r="92" spans="1:16" ht="13">
      <c r="C92" s="34" t="s">
        <v>51</v>
      </c>
      <c r="D92" s="428">
        <f>D10</f>
        <v>16318844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</row>
    <row r="93" spans="1:16" ht="12.5">
      <c r="C93" s="34" t="s">
        <v>54</v>
      </c>
      <c r="D93" s="88">
        <f>D11</f>
        <v>2008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88">
        <f>D12</f>
        <v>5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370882.81818181818</v>
      </c>
      <c r="K96" s="293"/>
      <c r="L96" s="293"/>
      <c r="M96" s="293"/>
      <c r="N96" s="293"/>
      <c r="O96" s="293"/>
      <c r="P96" s="1"/>
    </row>
    <row r="97" spans="1:16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 ht="12.5">
      <c r="C99" s="50">
        <f>IF(D93= "","-",D93)</f>
        <v>2008</v>
      </c>
      <c r="D99" s="12"/>
      <c r="E99" s="379"/>
      <c r="F99" s="55"/>
      <c r="G99" s="83"/>
      <c r="H99" s="416"/>
      <c r="I99" s="417"/>
      <c r="J99" s="54"/>
      <c r="K99" s="54"/>
      <c r="L99" s="112"/>
      <c r="M99" s="53">
        <f t="shared" ref="M99:M130" si="31">IF(L99&lt;&gt;0,+H99-L99,0)</f>
        <v>0</v>
      </c>
      <c r="N99" s="112"/>
      <c r="O99" s="53">
        <f t="shared" ref="O99:O130" si="32">IF(N99&lt;&gt;0,+I99-N99,0)</f>
        <v>0</v>
      </c>
      <c r="P99" s="53">
        <f t="shared" ref="P99:P130" si="33">+O99-M99</f>
        <v>0</v>
      </c>
    </row>
    <row r="100" spans="1:16" ht="12.5">
      <c r="B100" s="7" t="str">
        <f>IF(D100=F99,"","IU")</f>
        <v/>
      </c>
      <c r="C100" s="50">
        <f>IF(D93="","-",+C99+1)</f>
        <v>2009</v>
      </c>
      <c r="D100" s="12"/>
      <c r="E100" s="378"/>
      <c r="F100" s="55"/>
      <c r="G100" s="55"/>
      <c r="H100" s="380"/>
      <c r="I100" s="399"/>
      <c r="J100" s="54"/>
      <c r="K100" s="54"/>
      <c r="L100" s="113"/>
      <c r="M100" s="54">
        <f t="shared" si="31"/>
        <v>0</v>
      </c>
      <c r="N100" s="113"/>
      <c r="O100" s="54">
        <f t="shared" si="32"/>
        <v>0</v>
      </c>
      <c r="P100" s="54">
        <f t="shared" si="33"/>
        <v>0</v>
      </c>
    </row>
    <row r="101" spans="1:16" ht="12.5">
      <c r="B101" s="7" t="str">
        <f t="shared" ref="B101:B154" si="34">IF(D101=F100,"","IU")</f>
        <v/>
      </c>
      <c r="C101" s="50">
        <f>IF(D93="","-",+C100+1)</f>
        <v>2010</v>
      </c>
      <c r="D101" s="12"/>
      <c r="E101" s="378"/>
      <c r="F101" s="55"/>
      <c r="G101" s="55"/>
      <c r="H101" s="380"/>
      <c r="I101" s="399"/>
      <c r="J101" s="54"/>
      <c r="K101" s="54"/>
      <c r="L101" s="113"/>
      <c r="M101" s="54">
        <f t="shared" si="31"/>
        <v>0</v>
      </c>
      <c r="N101" s="113"/>
      <c r="O101" s="54">
        <f t="shared" si="32"/>
        <v>0</v>
      </c>
      <c r="P101" s="54">
        <f t="shared" si="33"/>
        <v>0</v>
      </c>
    </row>
    <row r="102" spans="1:16" ht="12.5">
      <c r="B102" s="7" t="str">
        <f t="shared" si="34"/>
        <v/>
      </c>
      <c r="C102" s="50">
        <f>IF(D93="","-",+C101+1)</f>
        <v>2011</v>
      </c>
      <c r="D102" s="12"/>
      <c r="E102" s="378"/>
      <c r="F102" s="55"/>
      <c r="G102" s="55"/>
      <c r="H102" s="380"/>
      <c r="I102" s="399"/>
      <c r="J102" s="54"/>
      <c r="K102" s="54"/>
      <c r="L102" s="113"/>
      <c r="M102" s="54">
        <f t="shared" si="31"/>
        <v>0</v>
      </c>
      <c r="N102" s="113"/>
      <c r="O102" s="54">
        <f t="shared" si="32"/>
        <v>0</v>
      </c>
      <c r="P102" s="54">
        <f t="shared" si="33"/>
        <v>0</v>
      </c>
    </row>
    <row r="103" spans="1:16" ht="12.5">
      <c r="B103" s="7" t="str">
        <f t="shared" si="34"/>
        <v/>
      </c>
      <c r="C103" s="50">
        <f>IF(D93="","-",+C102+1)</f>
        <v>2012</v>
      </c>
      <c r="D103" s="12"/>
      <c r="E103" s="378"/>
      <c r="F103" s="55"/>
      <c r="G103" s="55"/>
      <c r="H103" s="380"/>
      <c r="I103" s="399"/>
      <c r="J103" s="54"/>
      <c r="K103" s="54"/>
      <c r="L103" s="113"/>
      <c r="M103" s="54">
        <f t="shared" si="31"/>
        <v>0</v>
      </c>
      <c r="N103" s="113"/>
      <c r="O103" s="54">
        <f t="shared" si="32"/>
        <v>0</v>
      </c>
      <c r="P103" s="54">
        <f t="shared" si="33"/>
        <v>0</v>
      </c>
    </row>
    <row r="104" spans="1:16" ht="12.5">
      <c r="B104" s="7" t="str">
        <f t="shared" si="34"/>
        <v/>
      </c>
      <c r="C104" s="50">
        <f>IF(D93="","-",+C103+1)</f>
        <v>2013</v>
      </c>
      <c r="D104" s="12"/>
      <c r="E104" s="378"/>
      <c r="F104" s="55"/>
      <c r="G104" s="55"/>
      <c r="H104" s="380"/>
      <c r="I104" s="399"/>
      <c r="J104" s="54"/>
      <c r="K104" s="54"/>
      <c r="L104" s="113"/>
      <c r="M104" s="54">
        <f t="shared" si="31"/>
        <v>0</v>
      </c>
      <c r="N104" s="113"/>
      <c r="O104" s="54">
        <f t="shared" si="32"/>
        <v>0</v>
      </c>
      <c r="P104" s="54">
        <f t="shared" si="33"/>
        <v>0</v>
      </c>
    </row>
    <row r="105" spans="1:16" ht="12.5">
      <c r="B105" s="7" t="str">
        <f t="shared" si="34"/>
        <v/>
      </c>
      <c r="C105" s="50">
        <f>IF(D93="","-",+C104+1)</f>
        <v>2014</v>
      </c>
      <c r="D105" s="12"/>
      <c r="E105" s="378"/>
      <c r="F105" s="55"/>
      <c r="G105" s="55"/>
      <c r="H105" s="380"/>
      <c r="I105" s="399"/>
      <c r="J105" s="54"/>
      <c r="K105" s="54"/>
      <c r="L105" s="113"/>
      <c r="M105" s="54">
        <f t="shared" si="31"/>
        <v>0</v>
      </c>
      <c r="N105" s="113"/>
      <c r="O105" s="54">
        <f t="shared" si="32"/>
        <v>0</v>
      </c>
      <c r="P105" s="54">
        <f t="shared" si="33"/>
        <v>0</v>
      </c>
    </row>
    <row r="106" spans="1:16" ht="12.5">
      <c r="B106" s="7" t="str">
        <f t="shared" si="34"/>
        <v>IU</v>
      </c>
      <c r="C106" s="50">
        <f>IF(D93="","-",+C105+1)</f>
        <v>2015</v>
      </c>
      <c r="D106" s="429">
        <v>13760929.960317459</v>
      </c>
      <c r="E106" s="430">
        <v>327641.18953136809</v>
      </c>
      <c r="F106" s="431">
        <v>13433288.770786092</v>
      </c>
      <c r="G106" s="431">
        <v>13597109.365551775</v>
      </c>
      <c r="H106" s="433">
        <v>2119317.0329736611</v>
      </c>
      <c r="I106" s="434">
        <v>2119317.0329736611</v>
      </c>
      <c r="J106" s="54">
        <f>+I106-H106</f>
        <v>0</v>
      </c>
      <c r="K106" s="54"/>
      <c r="L106" s="113">
        <f t="shared" ref="L106:L111" si="35">+H106</f>
        <v>2119317.0329736611</v>
      </c>
      <c r="M106" s="54">
        <f t="shared" si="31"/>
        <v>0</v>
      </c>
      <c r="N106" s="113">
        <f t="shared" ref="N106:N111" si="36">+I106</f>
        <v>2119317.0329736611</v>
      </c>
      <c r="O106" s="54">
        <f t="shared" si="32"/>
        <v>0</v>
      </c>
      <c r="P106" s="54">
        <f t="shared" si="33"/>
        <v>0</v>
      </c>
    </row>
    <row r="107" spans="1:16" ht="12.5">
      <c r="B107" s="7" t="str">
        <f t="shared" si="34"/>
        <v>IU</v>
      </c>
      <c r="C107" s="50">
        <f>IF(D93="","-",+C106+1)</f>
        <v>2016</v>
      </c>
      <c r="D107" s="429">
        <v>15991202.810468633</v>
      </c>
      <c r="E107" s="430">
        <v>379508</v>
      </c>
      <c r="F107" s="431">
        <v>15611694.810468633</v>
      </c>
      <c r="G107" s="431">
        <v>15801448.810468633</v>
      </c>
      <c r="H107" s="433">
        <v>2385501.7414281433</v>
      </c>
      <c r="I107" s="434">
        <v>2385501.7414281433</v>
      </c>
      <c r="J107" s="54">
        <f>+I107-H107</f>
        <v>0</v>
      </c>
      <c r="K107" s="54"/>
      <c r="L107" s="113">
        <f t="shared" si="35"/>
        <v>2385501.7414281433</v>
      </c>
      <c r="M107" s="54">
        <f t="shared" ref="M107:M112" si="37">IF(L107&lt;&gt;0,+H107-L107,0)</f>
        <v>0</v>
      </c>
      <c r="N107" s="113">
        <f t="shared" si="36"/>
        <v>2385501.7414281433</v>
      </c>
      <c r="O107" s="54">
        <f>IF(N107&lt;&gt;0,+I107-N107,0)</f>
        <v>0</v>
      </c>
      <c r="P107" s="54">
        <f>+O107-M107</f>
        <v>0</v>
      </c>
    </row>
    <row r="108" spans="1:16" ht="12.5">
      <c r="B108" s="7" t="str">
        <f t="shared" si="34"/>
        <v/>
      </c>
      <c r="C108" s="50">
        <f>IF(D93="","-",+C107+1)</f>
        <v>2017</v>
      </c>
      <c r="D108" s="429">
        <v>15611694.810468633</v>
      </c>
      <c r="E108" s="430">
        <v>388543.90476190473</v>
      </c>
      <c r="F108" s="431">
        <v>15223150.905706728</v>
      </c>
      <c r="G108" s="431">
        <v>15417422.858087681</v>
      </c>
      <c r="H108" s="433">
        <v>2261320.7330641602</v>
      </c>
      <c r="I108" s="434">
        <v>2261320.7330641602</v>
      </c>
      <c r="J108" s="54">
        <f t="shared" ref="J108:J154" si="38">+I108-H108</f>
        <v>0</v>
      </c>
      <c r="K108" s="54"/>
      <c r="L108" s="113">
        <f t="shared" si="35"/>
        <v>2261320.7330641602</v>
      </c>
      <c r="M108" s="54">
        <f t="shared" si="37"/>
        <v>0</v>
      </c>
      <c r="N108" s="113">
        <f t="shared" si="36"/>
        <v>2261320.7330641602</v>
      </c>
      <c r="O108" s="54">
        <f>IF(N108&lt;&gt;0,+I108-N108,0)</f>
        <v>0</v>
      </c>
      <c r="P108" s="54">
        <f>+O108-M108</f>
        <v>0</v>
      </c>
    </row>
    <row r="109" spans="1:16" ht="12.5">
      <c r="B109" s="7" t="str">
        <f t="shared" si="34"/>
        <v/>
      </c>
      <c r="C109" s="50">
        <f>IF(D93="","-",+C108+1)</f>
        <v>2018</v>
      </c>
      <c r="D109" s="429">
        <v>15223150.905706728</v>
      </c>
      <c r="E109" s="430">
        <v>388543.90476190473</v>
      </c>
      <c r="F109" s="431">
        <v>14834607.000944823</v>
      </c>
      <c r="G109" s="431">
        <v>15028878.953325775</v>
      </c>
      <c r="H109" s="433">
        <v>1975662.4419636219</v>
      </c>
      <c r="I109" s="434">
        <v>1975662.4419636219</v>
      </c>
      <c r="J109" s="54">
        <f t="shared" si="38"/>
        <v>0</v>
      </c>
      <c r="K109" s="54"/>
      <c r="L109" s="113">
        <f t="shared" si="35"/>
        <v>1975662.4419636219</v>
      </c>
      <c r="M109" s="54">
        <f t="shared" si="37"/>
        <v>0</v>
      </c>
      <c r="N109" s="113">
        <f t="shared" si="36"/>
        <v>1975662.4419636219</v>
      </c>
      <c r="O109" s="54">
        <f>IF(N109&lt;&gt;0,+I109-N109,0)</f>
        <v>0</v>
      </c>
      <c r="P109" s="54">
        <f>+O109-M109</f>
        <v>0</v>
      </c>
    </row>
    <row r="110" spans="1:16" ht="12.5">
      <c r="B110" s="7" t="str">
        <f t="shared" si="34"/>
        <v/>
      </c>
      <c r="C110" s="50">
        <f>IF(D93="","-",+C109+1)</f>
        <v>2019</v>
      </c>
      <c r="D110" s="429">
        <v>14834607.000944823</v>
      </c>
      <c r="E110" s="430">
        <v>379508</v>
      </c>
      <c r="F110" s="431">
        <v>14455099.000944823</v>
      </c>
      <c r="G110" s="431">
        <v>14644853.000944823</v>
      </c>
      <c r="H110" s="433">
        <v>1947101.0692492859</v>
      </c>
      <c r="I110" s="434">
        <v>1947101.0692492859</v>
      </c>
      <c r="J110" s="54">
        <f t="shared" si="38"/>
        <v>0</v>
      </c>
      <c r="K110" s="54"/>
      <c r="L110" s="113">
        <f t="shared" si="35"/>
        <v>1947101.0692492859</v>
      </c>
      <c r="M110" s="54">
        <f t="shared" si="37"/>
        <v>0</v>
      </c>
      <c r="N110" s="113">
        <f t="shared" si="36"/>
        <v>1947101.0692492859</v>
      </c>
      <c r="O110" s="54">
        <f t="shared" si="32"/>
        <v>0</v>
      </c>
      <c r="P110" s="54">
        <f t="shared" si="33"/>
        <v>0</v>
      </c>
    </row>
    <row r="111" spans="1:16" ht="12.5">
      <c r="B111" s="7" t="str">
        <f t="shared" si="34"/>
        <v/>
      </c>
      <c r="C111" s="50">
        <f>IF(D93="","-",+C110+1)</f>
        <v>2020</v>
      </c>
      <c r="D111" s="429">
        <v>14455099.000944823</v>
      </c>
      <c r="E111" s="430">
        <v>388543.90476190473</v>
      </c>
      <c r="F111" s="431">
        <v>14066555.096182918</v>
      </c>
      <c r="G111" s="431">
        <v>14260827.048563872</v>
      </c>
      <c r="H111" s="433">
        <v>1922635.7250061021</v>
      </c>
      <c r="I111" s="434">
        <v>1922635.7250061021</v>
      </c>
      <c r="J111" s="54">
        <f t="shared" si="38"/>
        <v>0</v>
      </c>
      <c r="K111" s="54"/>
      <c r="L111" s="113">
        <f t="shared" si="35"/>
        <v>1922635.7250061021</v>
      </c>
      <c r="M111" s="54">
        <f t="shared" si="37"/>
        <v>0</v>
      </c>
      <c r="N111" s="113">
        <f t="shared" si="36"/>
        <v>1922635.7250061021</v>
      </c>
      <c r="O111" s="54">
        <f t="shared" si="32"/>
        <v>0</v>
      </c>
      <c r="P111" s="54">
        <f t="shared" si="33"/>
        <v>0</v>
      </c>
    </row>
    <row r="112" spans="1:16" ht="12.5">
      <c r="B112" s="7" t="str">
        <f t="shared" si="34"/>
        <v/>
      </c>
      <c r="C112" s="50">
        <f>IF(D93="","-",+C111+1)</f>
        <v>2021</v>
      </c>
      <c r="D112" s="429">
        <v>14066555.096182918</v>
      </c>
      <c r="E112" s="430">
        <v>398020.58536585368</v>
      </c>
      <c r="F112" s="431">
        <v>13668534.510817064</v>
      </c>
      <c r="G112" s="431">
        <v>13867544.803499991</v>
      </c>
      <c r="H112" s="433">
        <v>1972184.2054114174</v>
      </c>
      <c r="I112" s="434">
        <v>1972184.2054114174</v>
      </c>
      <c r="J112" s="54">
        <f t="shared" si="38"/>
        <v>0</v>
      </c>
      <c r="K112" s="54"/>
      <c r="L112" s="113">
        <f t="shared" ref="L112" si="39">+H112</f>
        <v>1972184.2054114174</v>
      </c>
      <c r="M112" s="54">
        <f t="shared" si="37"/>
        <v>0</v>
      </c>
      <c r="N112" s="113">
        <f t="shared" ref="N112" si="40">+I112</f>
        <v>1972184.2054114174</v>
      </c>
      <c r="O112" s="54">
        <f t="shared" si="32"/>
        <v>0</v>
      </c>
      <c r="P112" s="54">
        <f t="shared" si="33"/>
        <v>0</v>
      </c>
    </row>
    <row r="113" spans="2:16" ht="12.5">
      <c r="B113" s="7" t="str">
        <f t="shared" si="34"/>
        <v/>
      </c>
      <c r="C113" s="50">
        <f>IF(D93="","-",+C112+1)</f>
        <v>2022</v>
      </c>
      <c r="D113" s="429">
        <v>13668534.510817064</v>
      </c>
      <c r="E113" s="430">
        <v>388543.90476190473</v>
      </c>
      <c r="F113" s="431">
        <v>13279990.606055159</v>
      </c>
      <c r="G113" s="431">
        <v>13474262.558436111</v>
      </c>
      <c r="H113" s="433">
        <v>1971201.7214629296</v>
      </c>
      <c r="I113" s="434">
        <v>1971201.7214629296</v>
      </c>
      <c r="J113" s="54">
        <f t="shared" si="38"/>
        <v>0</v>
      </c>
      <c r="K113" s="54"/>
      <c r="L113" s="113">
        <f t="shared" ref="L113" si="41">+H113</f>
        <v>1971201.7214629296</v>
      </c>
      <c r="M113" s="54">
        <f t="shared" ref="M113" si="42">IF(L113&lt;&gt;0,+H113-L113,0)</f>
        <v>0</v>
      </c>
      <c r="N113" s="113">
        <f t="shared" ref="N113" si="43">+I113</f>
        <v>1971201.7214629296</v>
      </c>
      <c r="O113" s="54">
        <f t="shared" ref="O113" si="44">IF(N113&lt;&gt;0,+I113-N113,0)</f>
        <v>0</v>
      </c>
      <c r="P113" s="54">
        <f t="shared" ref="P113" si="45">+O113-M113</f>
        <v>0</v>
      </c>
    </row>
    <row r="114" spans="2:16" ht="12.5">
      <c r="B114" s="7" t="str">
        <f t="shared" si="34"/>
        <v/>
      </c>
      <c r="C114" s="50">
        <f>IF(D93="","-",+C113+1)</f>
        <v>2023</v>
      </c>
      <c r="D114" s="429">
        <v>13279990.606055159</v>
      </c>
      <c r="E114" s="430">
        <v>370882.81818181818</v>
      </c>
      <c r="F114" s="431">
        <v>12909107.787873341</v>
      </c>
      <c r="G114" s="431">
        <v>13094549.196964249</v>
      </c>
      <c r="H114" s="433">
        <v>1986292.6159765224</v>
      </c>
      <c r="I114" s="434">
        <v>1986292.6159765224</v>
      </c>
      <c r="J114" s="54">
        <f t="shared" si="38"/>
        <v>0</v>
      </c>
      <c r="K114" s="54"/>
      <c r="L114" s="113">
        <f t="shared" ref="L114" si="46">+H114</f>
        <v>1986292.6159765224</v>
      </c>
      <c r="M114" s="54">
        <f t="shared" ref="M114" si="47">IF(L114&lt;&gt;0,+H114-L114,0)</f>
        <v>0</v>
      </c>
      <c r="N114" s="113">
        <f t="shared" ref="N114" si="48">+I114</f>
        <v>1986292.6159765224</v>
      </c>
      <c r="O114" s="54">
        <f t="shared" ref="O114" si="49">IF(N114&lt;&gt;0,+I114-N114,0)</f>
        <v>0</v>
      </c>
      <c r="P114" s="54">
        <f t="shared" si="33"/>
        <v>0</v>
      </c>
    </row>
    <row r="115" spans="2:16" ht="12.5">
      <c r="B115" s="7" t="str">
        <f t="shared" si="34"/>
        <v/>
      </c>
      <c r="C115" s="50">
        <f>IF(D93="","-",+C114+1)</f>
        <v>2024</v>
      </c>
      <c r="D115" s="12">
        <f>IF(F114+SUM(E$99:E114)=D$92,F114,D$92-SUM(E$99:E114))</f>
        <v>12909107.787873341</v>
      </c>
      <c r="E115" s="378">
        <f t="shared" ref="E115:E154" si="50">IF(+$J$96&lt;F114,$J$96,D115)</f>
        <v>370882.81818181818</v>
      </c>
      <c r="F115" s="55">
        <f t="shared" ref="F115:F154" si="51">+D115-E115</f>
        <v>12538224.969691522</v>
      </c>
      <c r="G115" s="55">
        <f t="shared" ref="G115:G154" si="52">+(F115+D115)/2</f>
        <v>12723666.378782433</v>
      </c>
      <c r="H115" s="380">
        <f t="shared" ref="H115:H154" si="53">+J$94*G115+E115</f>
        <v>1955314.4224657249</v>
      </c>
      <c r="I115" s="399">
        <f t="shared" ref="I115:I154" si="54">+J$95*G115+E115</f>
        <v>1955314.4224657249</v>
      </c>
      <c r="J115" s="54">
        <f t="shared" si="38"/>
        <v>0</v>
      </c>
      <c r="K115" s="54"/>
      <c r="L115" s="129"/>
      <c r="M115" s="54">
        <f t="shared" si="31"/>
        <v>0</v>
      </c>
      <c r="N115" s="129"/>
      <c r="O115" s="54">
        <f t="shared" si="32"/>
        <v>0</v>
      </c>
      <c r="P115" s="54">
        <f t="shared" si="33"/>
        <v>0</v>
      </c>
    </row>
    <row r="116" spans="2:16" ht="12.5">
      <c r="B116" s="7" t="str">
        <f t="shared" si="34"/>
        <v/>
      </c>
      <c r="C116" s="50">
        <f>IF(D93="","-",+C115+1)</f>
        <v>2025</v>
      </c>
      <c r="D116" s="12">
        <f>IF(F115+SUM(E$99:E115)=D$92,F115,D$92-SUM(E$99:E115))</f>
        <v>12538224.969691522</v>
      </c>
      <c r="E116" s="378">
        <f t="shared" si="50"/>
        <v>370882.81818181818</v>
      </c>
      <c r="F116" s="55">
        <f t="shared" si="51"/>
        <v>12167342.151509704</v>
      </c>
      <c r="G116" s="55">
        <f t="shared" si="52"/>
        <v>12352783.560600612</v>
      </c>
      <c r="H116" s="380">
        <f t="shared" si="53"/>
        <v>1909129.7425850041</v>
      </c>
      <c r="I116" s="399">
        <f t="shared" si="54"/>
        <v>1909129.7425850041</v>
      </c>
      <c r="J116" s="54">
        <f t="shared" si="38"/>
        <v>0</v>
      </c>
      <c r="K116" s="54"/>
      <c r="L116" s="129"/>
      <c r="M116" s="54">
        <f t="shared" si="31"/>
        <v>0</v>
      </c>
      <c r="N116" s="129"/>
      <c r="O116" s="54">
        <f t="shared" si="32"/>
        <v>0</v>
      </c>
      <c r="P116" s="54">
        <f t="shared" si="33"/>
        <v>0</v>
      </c>
    </row>
    <row r="117" spans="2:16" ht="12.5">
      <c r="B117" s="7" t="str">
        <f t="shared" si="34"/>
        <v/>
      </c>
      <c r="C117" s="50">
        <f>IF(D93="","-",+C116+1)</f>
        <v>2026</v>
      </c>
      <c r="D117" s="12">
        <f>IF(F116+SUM(E$99:E116)=D$92,F116,D$92-SUM(E$99:E116))</f>
        <v>12167342.151509704</v>
      </c>
      <c r="E117" s="378">
        <f t="shared" si="50"/>
        <v>370882.81818181818</v>
      </c>
      <c r="F117" s="55">
        <f t="shared" si="51"/>
        <v>11796459.333327886</v>
      </c>
      <c r="G117" s="55">
        <f t="shared" si="52"/>
        <v>11981900.742418796</v>
      </c>
      <c r="H117" s="380">
        <f t="shared" si="53"/>
        <v>1862945.0627042835</v>
      </c>
      <c r="I117" s="399">
        <f t="shared" si="54"/>
        <v>1862945.0627042835</v>
      </c>
      <c r="J117" s="54">
        <f t="shared" si="38"/>
        <v>0</v>
      </c>
      <c r="K117" s="54"/>
      <c r="L117" s="129"/>
      <c r="M117" s="54">
        <f t="shared" si="31"/>
        <v>0</v>
      </c>
      <c r="N117" s="129"/>
      <c r="O117" s="54">
        <f t="shared" si="32"/>
        <v>0</v>
      </c>
      <c r="P117" s="54">
        <f t="shared" si="33"/>
        <v>0</v>
      </c>
    </row>
    <row r="118" spans="2:16" ht="12.5">
      <c r="B118" s="7" t="str">
        <f t="shared" si="34"/>
        <v/>
      </c>
      <c r="C118" s="50">
        <f>IF(D93="","-",+C117+1)</f>
        <v>2027</v>
      </c>
      <c r="D118" s="12">
        <f>IF(F117+SUM(E$99:E117)=D$92,F117,D$92-SUM(E$99:E117))</f>
        <v>11796459.333327886</v>
      </c>
      <c r="E118" s="378">
        <f t="shared" si="50"/>
        <v>370882.81818181818</v>
      </c>
      <c r="F118" s="55">
        <f t="shared" si="51"/>
        <v>11425576.515146067</v>
      </c>
      <c r="G118" s="55">
        <f t="shared" si="52"/>
        <v>11611017.924236976</v>
      </c>
      <c r="H118" s="380">
        <f t="shared" si="53"/>
        <v>1816760.3828235627</v>
      </c>
      <c r="I118" s="399">
        <f t="shared" si="54"/>
        <v>1816760.3828235627</v>
      </c>
      <c r="J118" s="54">
        <f t="shared" si="38"/>
        <v>0</v>
      </c>
      <c r="K118" s="54"/>
      <c r="L118" s="129"/>
      <c r="M118" s="54">
        <f t="shared" si="31"/>
        <v>0</v>
      </c>
      <c r="N118" s="129"/>
      <c r="O118" s="54">
        <f t="shared" si="32"/>
        <v>0</v>
      </c>
      <c r="P118" s="54">
        <f t="shared" si="33"/>
        <v>0</v>
      </c>
    </row>
    <row r="119" spans="2:16" ht="12.5">
      <c r="B119" s="7" t="str">
        <f t="shared" si="34"/>
        <v/>
      </c>
      <c r="C119" s="50">
        <f>IF(D93="","-",+C118+1)</f>
        <v>2028</v>
      </c>
      <c r="D119" s="12">
        <f>IF(F118+SUM(E$99:E118)=D$92,F118,D$92-SUM(E$99:E118))</f>
        <v>11425576.515146067</v>
      </c>
      <c r="E119" s="378">
        <f t="shared" si="50"/>
        <v>370882.81818181818</v>
      </c>
      <c r="F119" s="55">
        <f t="shared" si="51"/>
        <v>11054693.696964249</v>
      </c>
      <c r="G119" s="55">
        <f t="shared" si="52"/>
        <v>11240135.106055159</v>
      </c>
      <c r="H119" s="380">
        <f t="shared" si="53"/>
        <v>1770575.7029428424</v>
      </c>
      <c r="I119" s="399">
        <f t="shared" si="54"/>
        <v>1770575.7029428424</v>
      </c>
      <c r="J119" s="54">
        <f t="shared" si="38"/>
        <v>0</v>
      </c>
      <c r="K119" s="54"/>
      <c r="L119" s="129"/>
      <c r="M119" s="54">
        <f t="shared" si="31"/>
        <v>0</v>
      </c>
      <c r="N119" s="129"/>
      <c r="O119" s="54">
        <f t="shared" si="32"/>
        <v>0</v>
      </c>
      <c r="P119" s="54">
        <f t="shared" si="33"/>
        <v>0</v>
      </c>
    </row>
    <row r="120" spans="2:16" ht="12.5">
      <c r="B120" s="7" t="str">
        <f t="shared" si="34"/>
        <v/>
      </c>
      <c r="C120" s="50">
        <f>IF(D93="","-",+C119+1)</f>
        <v>2029</v>
      </c>
      <c r="D120" s="12">
        <f>IF(F119+SUM(E$99:E119)=D$92,F119,D$92-SUM(E$99:E119))</f>
        <v>11054693.696964249</v>
      </c>
      <c r="E120" s="378">
        <f t="shared" si="50"/>
        <v>370882.81818181818</v>
      </c>
      <c r="F120" s="55">
        <f t="shared" si="51"/>
        <v>10683810.878782431</v>
      </c>
      <c r="G120" s="55">
        <f t="shared" si="52"/>
        <v>10869252.287873339</v>
      </c>
      <c r="H120" s="380">
        <f t="shared" si="53"/>
        <v>1724391.0230621214</v>
      </c>
      <c r="I120" s="399">
        <f t="shared" si="54"/>
        <v>1724391.0230621214</v>
      </c>
      <c r="J120" s="54">
        <f t="shared" si="38"/>
        <v>0</v>
      </c>
      <c r="K120" s="54"/>
      <c r="L120" s="129"/>
      <c r="M120" s="54">
        <f t="shared" si="31"/>
        <v>0</v>
      </c>
      <c r="N120" s="129"/>
      <c r="O120" s="54">
        <f t="shared" si="32"/>
        <v>0</v>
      </c>
      <c r="P120" s="54">
        <f t="shared" si="33"/>
        <v>0</v>
      </c>
    </row>
    <row r="121" spans="2:16" ht="12.5">
      <c r="B121" s="7" t="str">
        <f t="shared" si="34"/>
        <v/>
      </c>
      <c r="C121" s="50">
        <f>IF(D93="","-",+C120+1)</f>
        <v>2030</v>
      </c>
      <c r="D121" s="12">
        <f>IF(F120+SUM(E$99:E120)=D$92,F120,D$92-SUM(E$99:E120))</f>
        <v>10683810.878782431</v>
      </c>
      <c r="E121" s="378">
        <f t="shared" si="50"/>
        <v>370882.81818181818</v>
      </c>
      <c r="F121" s="55">
        <f t="shared" si="51"/>
        <v>10312928.060600612</v>
      </c>
      <c r="G121" s="55">
        <f t="shared" si="52"/>
        <v>10498369.469691522</v>
      </c>
      <c r="H121" s="380">
        <f t="shared" si="53"/>
        <v>1678206.343181401</v>
      </c>
      <c r="I121" s="399">
        <f t="shared" si="54"/>
        <v>1678206.343181401</v>
      </c>
      <c r="J121" s="54">
        <f t="shared" si="38"/>
        <v>0</v>
      </c>
      <c r="K121" s="54"/>
      <c r="L121" s="129"/>
      <c r="M121" s="54">
        <f t="shared" si="31"/>
        <v>0</v>
      </c>
      <c r="N121" s="129"/>
      <c r="O121" s="54">
        <f t="shared" si="32"/>
        <v>0</v>
      </c>
      <c r="P121" s="54">
        <f t="shared" si="33"/>
        <v>0</v>
      </c>
    </row>
    <row r="122" spans="2:16" ht="12.5">
      <c r="B122" s="7" t="str">
        <f t="shared" si="34"/>
        <v/>
      </c>
      <c r="C122" s="50">
        <f>IF(D93="","-",+C121+1)</f>
        <v>2031</v>
      </c>
      <c r="D122" s="12">
        <f>IF(F121+SUM(E$99:E121)=D$92,F121,D$92-SUM(E$99:E121))</f>
        <v>10312928.060600612</v>
      </c>
      <c r="E122" s="378">
        <f t="shared" si="50"/>
        <v>370882.81818181818</v>
      </c>
      <c r="F122" s="55">
        <f t="shared" si="51"/>
        <v>9942045.242418794</v>
      </c>
      <c r="G122" s="55">
        <f t="shared" si="52"/>
        <v>10127486.651509702</v>
      </c>
      <c r="H122" s="380">
        <f t="shared" si="53"/>
        <v>1632021.66330068</v>
      </c>
      <c r="I122" s="399">
        <f t="shared" si="54"/>
        <v>1632021.66330068</v>
      </c>
      <c r="J122" s="54">
        <f t="shared" si="38"/>
        <v>0</v>
      </c>
      <c r="K122" s="54"/>
      <c r="L122" s="129"/>
      <c r="M122" s="54">
        <f t="shared" si="31"/>
        <v>0</v>
      </c>
      <c r="N122" s="129"/>
      <c r="O122" s="54">
        <f t="shared" si="32"/>
        <v>0</v>
      </c>
      <c r="P122" s="54">
        <f t="shared" si="33"/>
        <v>0</v>
      </c>
    </row>
    <row r="123" spans="2:16" ht="12.5">
      <c r="B123" s="7" t="str">
        <f t="shared" si="34"/>
        <v/>
      </c>
      <c r="C123" s="50">
        <f>IF(D93="","-",+C122+1)</f>
        <v>2032</v>
      </c>
      <c r="D123" s="12">
        <f>IF(F122+SUM(E$99:E122)=D$92,F122,D$92-SUM(E$99:E122))</f>
        <v>9942045.242418794</v>
      </c>
      <c r="E123" s="378">
        <f t="shared" si="50"/>
        <v>370882.81818181818</v>
      </c>
      <c r="F123" s="55">
        <f t="shared" si="51"/>
        <v>9571162.4242369756</v>
      </c>
      <c r="G123" s="55">
        <f t="shared" si="52"/>
        <v>9756603.8333278857</v>
      </c>
      <c r="H123" s="380">
        <f t="shared" si="53"/>
        <v>1585836.9834199597</v>
      </c>
      <c r="I123" s="399">
        <f t="shared" si="54"/>
        <v>1585836.9834199597</v>
      </c>
      <c r="J123" s="54">
        <f t="shared" si="38"/>
        <v>0</v>
      </c>
      <c r="K123" s="54"/>
      <c r="L123" s="129"/>
      <c r="M123" s="54">
        <f t="shared" si="31"/>
        <v>0</v>
      </c>
      <c r="N123" s="129"/>
      <c r="O123" s="54">
        <f t="shared" si="32"/>
        <v>0</v>
      </c>
      <c r="P123" s="54">
        <f t="shared" si="33"/>
        <v>0</v>
      </c>
    </row>
    <row r="124" spans="2:16" ht="12.5">
      <c r="B124" s="7" t="str">
        <f t="shared" si="34"/>
        <v/>
      </c>
      <c r="C124" s="50">
        <f>IF(D93="","-",+C123+1)</f>
        <v>2033</v>
      </c>
      <c r="D124" s="12">
        <f>IF(F123+SUM(E$99:E123)=D$92,F123,D$92-SUM(E$99:E123))</f>
        <v>9571162.4242369756</v>
      </c>
      <c r="E124" s="378">
        <f t="shared" si="50"/>
        <v>370882.81818181818</v>
      </c>
      <c r="F124" s="55">
        <f t="shared" si="51"/>
        <v>9200279.6060551573</v>
      </c>
      <c r="G124" s="55">
        <f t="shared" si="52"/>
        <v>9385721.0151460655</v>
      </c>
      <c r="H124" s="380">
        <f t="shared" si="53"/>
        <v>1539652.3035392386</v>
      </c>
      <c r="I124" s="399">
        <f t="shared" si="54"/>
        <v>1539652.3035392386</v>
      </c>
      <c r="J124" s="54">
        <f t="shared" si="38"/>
        <v>0</v>
      </c>
      <c r="K124" s="54"/>
      <c r="L124" s="129"/>
      <c r="M124" s="54">
        <f t="shared" si="31"/>
        <v>0</v>
      </c>
      <c r="N124" s="129"/>
      <c r="O124" s="54">
        <f t="shared" si="32"/>
        <v>0</v>
      </c>
      <c r="P124" s="54">
        <f t="shared" si="33"/>
        <v>0</v>
      </c>
    </row>
    <row r="125" spans="2:16" ht="12.5">
      <c r="B125" s="7" t="str">
        <f t="shared" si="34"/>
        <v/>
      </c>
      <c r="C125" s="50">
        <f>IF(D93="","-",+C124+1)</f>
        <v>2034</v>
      </c>
      <c r="D125" s="12">
        <f>IF(F124+SUM(E$99:E124)=D$92,F124,D$92-SUM(E$99:E124))</f>
        <v>9200279.6060551573</v>
      </c>
      <c r="E125" s="378">
        <f t="shared" si="50"/>
        <v>370882.81818181818</v>
      </c>
      <c r="F125" s="55">
        <f t="shared" si="51"/>
        <v>8829396.7878733389</v>
      </c>
      <c r="G125" s="55">
        <f t="shared" si="52"/>
        <v>9014838.196964249</v>
      </c>
      <c r="H125" s="380">
        <f t="shared" si="53"/>
        <v>1493467.6236585183</v>
      </c>
      <c r="I125" s="399">
        <f t="shared" si="54"/>
        <v>1493467.6236585183</v>
      </c>
      <c r="J125" s="54">
        <f t="shared" si="38"/>
        <v>0</v>
      </c>
      <c r="K125" s="54"/>
      <c r="L125" s="129"/>
      <c r="M125" s="54">
        <f t="shared" si="31"/>
        <v>0</v>
      </c>
      <c r="N125" s="129"/>
      <c r="O125" s="54">
        <f t="shared" si="32"/>
        <v>0</v>
      </c>
      <c r="P125" s="54">
        <f t="shared" si="33"/>
        <v>0</v>
      </c>
    </row>
    <row r="126" spans="2:16" ht="12.5">
      <c r="B126" s="7" t="str">
        <f t="shared" si="34"/>
        <v/>
      </c>
      <c r="C126" s="50">
        <f>IF(D93="","-",+C125+1)</f>
        <v>2035</v>
      </c>
      <c r="D126" s="12">
        <f>IF(F125+SUM(E$99:E125)=D$92,F125,D$92-SUM(E$99:E125))</f>
        <v>8829396.7878733389</v>
      </c>
      <c r="E126" s="378">
        <f t="shared" si="50"/>
        <v>370882.81818181818</v>
      </c>
      <c r="F126" s="55">
        <f t="shared" si="51"/>
        <v>8458513.9696915206</v>
      </c>
      <c r="G126" s="55">
        <f t="shared" si="52"/>
        <v>8643955.3787824288</v>
      </c>
      <c r="H126" s="380">
        <f t="shared" si="53"/>
        <v>1447282.9437777973</v>
      </c>
      <c r="I126" s="399">
        <f t="shared" si="54"/>
        <v>1447282.9437777973</v>
      </c>
      <c r="J126" s="54">
        <f t="shared" si="38"/>
        <v>0</v>
      </c>
      <c r="K126" s="54"/>
      <c r="L126" s="129"/>
      <c r="M126" s="54">
        <f t="shared" si="31"/>
        <v>0</v>
      </c>
      <c r="N126" s="129"/>
      <c r="O126" s="54">
        <f t="shared" si="32"/>
        <v>0</v>
      </c>
      <c r="P126" s="54">
        <f t="shared" si="33"/>
        <v>0</v>
      </c>
    </row>
    <row r="127" spans="2:16" ht="12.5">
      <c r="B127" s="7" t="str">
        <f t="shared" si="34"/>
        <v/>
      </c>
      <c r="C127" s="50">
        <f>IF(D93="","-",+C126+1)</f>
        <v>2036</v>
      </c>
      <c r="D127" s="12">
        <f>IF(F126+SUM(E$99:E126)=D$92,F126,D$92-SUM(E$99:E126))</f>
        <v>8458513.9696915206</v>
      </c>
      <c r="E127" s="378">
        <f t="shared" si="50"/>
        <v>370882.81818181818</v>
      </c>
      <c r="F127" s="55">
        <f t="shared" si="51"/>
        <v>8087631.1515097022</v>
      </c>
      <c r="G127" s="55">
        <f t="shared" si="52"/>
        <v>8273072.5606006114</v>
      </c>
      <c r="H127" s="380">
        <f t="shared" si="53"/>
        <v>1401098.2638970769</v>
      </c>
      <c r="I127" s="399">
        <f t="shared" si="54"/>
        <v>1401098.2638970769</v>
      </c>
      <c r="J127" s="54">
        <f t="shared" si="38"/>
        <v>0</v>
      </c>
      <c r="K127" s="54"/>
      <c r="L127" s="129"/>
      <c r="M127" s="54">
        <f t="shared" si="31"/>
        <v>0</v>
      </c>
      <c r="N127" s="129"/>
      <c r="O127" s="54">
        <f t="shared" si="32"/>
        <v>0</v>
      </c>
      <c r="P127" s="54">
        <f t="shared" si="33"/>
        <v>0</v>
      </c>
    </row>
    <row r="128" spans="2:16" ht="12.5">
      <c r="B128" s="7" t="str">
        <f t="shared" si="34"/>
        <v/>
      </c>
      <c r="C128" s="50">
        <f>IF(D93="","-",+C127+1)</f>
        <v>2037</v>
      </c>
      <c r="D128" s="12">
        <f>IF(F127+SUM(E$99:E127)=D$92,F127,D$92-SUM(E$99:E127))</f>
        <v>8087631.1515097022</v>
      </c>
      <c r="E128" s="378">
        <f t="shared" si="50"/>
        <v>370882.81818181818</v>
      </c>
      <c r="F128" s="55">
        <f t="shared" si="51"/>
        <v>7716748.3333278839</v>
      </c>
      <c r="G128" s="55">
        <f t="shared" si="52"/>
        <v>7902189.742418793</v>
      </c>
      <c r="H128" s="380">
        <f t="shared" si="53"/>
        <v>1354913.5840163562</v>
      </c>
      <c r="I128" s="399">
        <f t="shared" si="54"/>
        <v>1354913.5840163562</v>
      </c>
      <c r="J128" s="54">
        <f t="shared" si="38"/>
        <v>0</v>
      </c>
      <c r="K128" s="54"/>
      <c r="L128" s="129"/>
      <c r="M128" s="54">
        <f t="shared" si="31"/>
        <v>0</v>
      </c>
      <c r="N128" s="129"/>
      <c r="O128" s="54">
        <f t="shared" si="32"/>
        <v>0</v>
      </c>
      <c r="P128" s="54">
        <f t="shared" si="33"/>
        <v>0</v>
      </c>
    </row>
    <row r="129" spans="2:16" ht="12.5">
      <c r="B129" s="7" t="str">
        <f t="shared" si="34"/>
        <v/>
      </c>
      <c r="C129" s="50">
        <f>IF(D93="","-",+C128+1)</f>
        <v>2038</v>
      </c>
      <c r="D129" s="12">
        <f>IF(F128+SUM(E$99:E128)=D$92,F128,D$92-SUM(E$99:E128))</f>
        <v>7716748.3333278839</v>
      </c>
      <c r="E129" s="378">
        <f t="shared" si="50"/>
        <v>370882.81818181818</v>
      </c>
      <c r="F129" s="55">
        <f t="shared" si="51"/>
        <v>7345865.5151460655</v>
      </c>
      <c r="G129" s="55">
        <f t="shared" si="52"/>
        <v>7531306.9242369747</v>
      </c>
      <c r="H129" s="380">
        <f t="shared" si="53"/>
        <v>1308728.9041356356</v>
      </c>
      <c r="I129" s="399">
        <f t="shared" si="54"/>
        <v>1308728.9041356356</v>
      </c>
      <c r="J129" s="54">
        <f t="shared" si="38"/>
        <v>0</v>
      </c>
      <c r="K129" s="54"/>
      <c r="L129" s="129"/>
      <c r="M129" s="54">
        <f t="shared" si="31"/>
        <v>0</v>
      </c>
      <c r="N129" s="129"/>
      <c r="O129" s="54">
        <f t="shared" si="32"/>
        <v>0</v>
      </c>
      <c r="P129" s="54">
        <f t="shared" si="33"/>
        <v>0</v>
      </c>
    </row>
    <row r="130" spans="2:16" ht="12.5">
      <c r="B130" s="7" t="str">
        <f t="shared" si="34"/>
        <v/>
      </c>
      <c r="C130" s="50">
        <f>IF(D93="","-",+C129+1)</f>
        <v>2039</v>
      </c>
      <c r="D130" s="12">
        <f>IF(F129+SUM(E$99:E129)=D$92,F129,D$92-SUM(E$99:E129))</f>
        <v>7345865.5151460655</v>
      </c>
      <c r="E130" s="378">
        <f t="shared" si="50"/>
        <v>370882.81818181818</v>
      </c>
      <c r="F130" s="55">
        <f t="shared" si="51"/>
        <v>6974982.6969642472</v>
      </c>
      <c r="G130" s="55">
        <f t="shared" si="52"/>
        <v>7160424.1060551563</v>
      </c>
      <c r="H130" s="380">
        <f t="shared" si="53"/>
        <v>1262544.2242549148</v>
      </c>
      <c r="I130" s="399">
        <f t="shared" si="54"/>
        <v>1262544.2242549148</v>
      </c>
      <c r="J130" s="54">
        <f t="shared" si="38"/>
        <v>0</v>
      </c>
      <c r="K130" s="54"/>
      <c r="L130" s="129"/>
      <c r="M130" s="54">
        <f t="shared" si="31"/>
        <v>0</v>
      </c>
      <c r="N130" s="129"/>
      <c r="O130" s="54">
        <f t="shared" si="32"/>
        <v>0</v>
      </c>
      <c r="P130" s="54">
        <f t="shared" si="33"/>
        <v>0</v>
      </c>
    </row>
    <row r="131" spans="2:16" ht="12.5">
      <c r="B131" s="7" t="str">
        <f t="shared" si="34"/>
        <v/>
      </c>
      <c r="C131" s="50">
        <f>IF(D93="","-",+C130+1)</f>
        <v>2040</v>
      </c>
      <c r="D131" s="12">
        <f>IF(F130+SUM(E$99:E130)=D$92,F130,D$92-SUM(E$99:E130))</f>
        <v>6974982.6969642472</v>
      </c>
      <c r="E131" s="378">
        <f t="shared" si="50"/>
        <v>370882.81818181818</v>
      </c>
      <c r="F131" s="55">
        <f t="shared" si="51"/>
        <v>6604099.8787824288</v>
      </c>
      <c r="G131" s="55">
        <f t="shared" si="52"/>
        <v>6789541.287873338</v>
      </c>
      <c r="H131" s="380">
        <f t="shared" si="53"/>
        <v>1216359.5443741942</v>
      </c>
      <c r="I131" s="399">
        <f t="shared" si="54"/>
        <v>1216359.5443741942</v>
      </c>
      <c r="J131" s="54">
        <f t="shared" si="38"/>
        <v>0</v>
      </c>
      <c r="K131" s="54"/>
      <c r="L131" s="129"/>
      <c r="M131" s="54">
        <f t="shared" ref="M131:M154" si="55">IF(L541&lt;&gt;0,+H541-L541,0)</f>
        <v>0</v>
      </c>
      <c r="N131" s="129"/>
      <c r="O131" s="54">
        <f t="shared" ref="O131:O154" si="56">IF(N541&lt;&gt;0,+I541-N541,0)</f>
        <v>0</v>
      </c>
      <c r="P131" s="54">
        <f t="shared" ref="P131:P154" si="57">+O541-M541</f>
        <v>0</v>
      </c>
    </row>
    <row r="132" spans="2:16" ht="12.5">
      <c r="B132" s="7" t="str">
        <f t="shared" si="34"/>
        <v/>
      </c>
      <c r="C132" s="50">
        <f>IF(D93="","-",+C131+1)</f>
        <v>2041</v>
      </c>
      <c r="D132" s="12">
        <f>IF(F131+SUM(E$99:E131)=D$92,F131,D$92-SUM(E$99:E131))</f>
        <v>6604099.8787824288</v>
      </c>
      <c r="E132" s="378">
        <f t="shared" si="50"/>
        <v>370882.81818181818</v>
      </c>
      <c r="F132" s="55">
        <f t="shared" si="51"/>
        <v>6233217.0606006104</v>
      </c>
      <c r="G132" s="55">
        <f t="shared" si="52"/>
        <v>6418658.4696915196</v>
      </c>
      <c r="H132" s="380">
        <f t="shared" si="53"/>
        <v>1170174.8644934737</v>
      </c>
      <c r="I132" s="399">
        <f t="shared" si="54"/>
        <v>1170174.8644934737</v>
      </c>
      <c r="J132" s="54">
        <f t="shared" si="38"/>
        <v>0</v>
      </c>
      <c r="K132" s="54"/>
      <c r="L132" s="129"/>
      <c r="M132" s="54">
        <f t="shared" si="55"/>
        <v>0</v>
      </c>
      <c r="N132" s="129"/>
      <c r="O132" s="54">
        <f t="shared" si="56"/>
        <v>0</v>
      </c>
      <c r="P132" s="54">
        <f t="shared" si="57"/>
        <v>0</v>
      </c>
    </row>
    <row r="133" spans="2:16" ht="12.5">
      <c r="B133" s="7" t="str">
        <f t="shared" si="34"/>
        <v/>
      </c>
      <c r="C133" s="50">
        <f>IF(D93="","-",+C132+1)</f>
        <v>2042</v>
      </c>
      <c r="D133" s="12">
        <f>IF(F132+SUM(E$99:E132)=D$92,F132,D$92-SUM(E$99:E132))</f>
        <v>6233217.0606006104</v>
      </c>
      <c r="E133" s="378">
        <f t="shared" si="50"/>
        <v>370882.81818181818</v>
      </c>
      <c r="F133" s="55">
        <f t="shared" si="51"/>
        <v>5862334.2424187921</v>
      </c>
      <c r="G133" s="55">
        <f t="shared" si="52"/>
        <v>6047775.6515097013</v>
      </c>
      <c r="H133" s="380">
        <f t="shared" si="53"/>
        <v>1123990.1846127529</v>
      </c>
      <c r="I133" s="399">
        <f t="shared" si="54"/>
        <v>1123990.1846127529</v>
      </c>
      <c r="J133" s="54">
        <f t="shared" si="38"/>
        <v>0</v>
      </c>
      <c r="K133" s="54"/>
      <c r="L133" s="129"/>
      <c r="M133" s="54">
        <f t="shared" si="55"/>
        <v>0</v>
      </c>
      <c r="N133" s="129"/>
      <c r="O133" s="54">
        <f t="shared" si="56"/>
        <v>0</v>
      </c>
      <c r="P133" s="54">
        <f t="shared" si="57"/>
        <v>0</v>
      </c>
    </row>
    <row r="134" spans="2:16" ht="12.5">
      <c r="B134" s="7" t="str">
        <f t="shared" si="34"/>
        <v/>
      </c>
      <c r="C134" s="50">
        <f>IF(D93="","-",+C133+1)</f>
        <v>2043</v>
      </c>
      <c r="D134" s="12">
        <f>IF(F133+SUM(E$99:E133)=D$92,F133,D$92-SUM(E$99:E133))</f>
        <v>5862334.2424187921</v>
      </c>
      <c r="E134" s="378">
        <f t="shared" si="50"/>
        <v>370882.81818181818</v>
      </c>
      <c r="F134" s="55">
        <f t="shared" si="51"/>
        <v>5491451.4242369737</v>
      </c>
      <c r="G134" s="55">
        <f t="shared" si="52"/>
        <v>5676892.8333278829</v>
      </c>
      <c r="H134" s="380">
        <f t="shared" si="53"/>
        <v>1077805.5047320323</v>
      </c>
      <c r="I134" s="399">
        <f t="shared" si="54"/>
        <v>1077805.5047320323</v>
      </c>
      <c r="J134" s="54">
        <f t="shared" si="38"/>
        <v>0</v>
      </c>
      <c r="K134" s="54"/>
      <c r="L134" s="129"/>
      <c r="M134" s="54">
        <f t="shared" si="55"/>
        <v>0</v>
      </c>
      <c r="N134" s="129"/>
      <c r="O134" s="54">
        <f t="shared" si="56"/>
        <v>0</v>
      </c>
      <c r="P134" s="54">
        <f t="shared" si="57"/>
        <v>0</v>
      </c>
    </row>
    <row r="135" spans="2:16" ht="12.5">
      <c r="B135" s="7" t="str">
        <f t="shared" si="34"/>
        <v/>
      </c>
      <c r="C135" s="50">
        <f>IF(D93="","-",+C134+1)</f>
        <v>2044</v>
      </c>
      <c r="D135" s="12">
        <f>IF(F134+SUM(E$99:E134)=D$92,F134,D$92-SUM(E$99:E134))</f>
        <v>5491451.4242369737</v>
      </c>
      <c r="E135" s="378">
        <f t="shared" si="50"/>
        <v>370882.81818181818</v>
      </c>
      <c r="F135" s="55">
        <f t="shared" si="51"/>
        <v>5120568.6060551554</v>
      </c>
      <c r="G135" s="55">
        <f t="shared" si="52"/>
        <v>5306010.0151460646</v>
      </c>
      <c r="H135" s="380">
        <f t="shared" si="53"/>
        <v>1031620.8248513115</v>
      </c>
      <c r="I135" s="399">
        <f t="shared" si="54"/>
        <v>1031620.8248513115</v>
      </c>
      <c r="J135" s="54">
        <f t="shared" si="38"/>
        <v>0</v>
      </c>
      <c r="K135" s="54"/>
      <c r="L135" s="129"/>
      <c r="M135" s="54">
        <f t="shared" si="55"/>
        <v>0</v>
      </c>
      <c r="N135" s="129"/>
      <c r="O135" s="54">
        <f t="shared" si="56"/>
        <v>0</v>
      </c>
      <c r="P135" s="54">
        <f t="shared" si="57"/>
        <v>0</v>
      </c>
    </row>
    <row r="136" spans="2:16" ht="12.5">
      <c r="B136" s="7" t="str">
        <f t="shared" si="34"/>
        <v/>
      </c>
      <c r="C136" s="50">
        <f>IF(D93="","-",+C135+1)</f>
        <v>2045</v>
      </c>
      <c r="D136" s="12">
        <f>IF(F135+SUM(E$99:E135)=D$92,F135,D$92-SUM(E$99:E135))</f>
        <v>5120568.6060551554</v>
      </c>
      <c r="E136" s="378">
        <f t="shared" si="50"/>
        <v>370882.81818181818</v>
      </c>
      <c r="F136" s="55">
        <f t="shared" si="51"/>
        <v>4749685.787873337</v>
      </c>
      <c r="G136" s="55">
        <f t="shared" si="52"/>
        <v>4935127.1969642462</v>
      </c>
      <c r="H136" s="380">
        <f t="shared" si="53"/>
        <v>985436.14497059095</v>
      </c>
      <c r="I136" s="399">
        <f t="shared" si="54"/>
        <v>985436.14497059095</v>
      </c>
      <c r="J136" s="54">
        <f t="shared" si="38"/>
        <v>0</v>
      </c>
      <c r="K136" s="54"/>
      <c r="L136" s="129"/>
      <c r="M136" s="54">
        <f t="shared" si="55"/>
        <v>0</v>
      </c>
      <c r="N136" s="129"/>
      <c r="O136" s="54">
        <f t="shared" si="56"/>
        <v>0</v>
      </c>
      <c r="P136" s="54">
        <f t="shared" si="57"/>
        <v>0</v>
      </c>
    </row>
    <row r="137" spans="2:16" ht="12.5">
      <c r="B137" s="7" t="str">
        <f t="shared" si="34"/>
        <v/>
      </c>
      <c r="C137" s="50">
        <f>IF(D93="","-",+C136+1)</f>
        <v>2046</v>
      </c>
      <c r="D137" s="12">
        <f>IF(F136+SUM(E$99:E136)=D$92,F136,D$92-SUM(E$99:E136))</f>
        <v>4749685.787873337</v>
      </c>
      <c r="E137" s="378">
        <f t="shared" si="50"/>
        <v>370882.81818181818</v>
      </c>
      <c r="F137" s="55">
        <f t="shared" si="51"/>
        <v>4378802.9696915187</v>
      </c>
      <c r="G137" s="55">
        <f t="shared" si="52"/>
        <v>4564244.3787824279</v>
      </c>
      <c r="H137" s="380">
        <f t="shared" si="53"/>
        <v>939251.46508987015</v>
      </c>
      <c r="I137" s="399">
        <f t="shared" si="54"/>
        <v>939251.46508987015</v>
      </c>
      <c r="J137" s="54">
        <f t="shared" si="38"/>
        <v>0</v>
      </c>
      <c r="K137" s="54"/>
      <c r="L137" s="129"/>
      <c r="M137" s="54">
        <f t="shared" si="55"/>
        <v>0</v>
      </c>
      <c r="N137" s="129"/>
      <c r="O137" s="54">
        <f t="shared" si="56"/>
        <v>0</v>
      </c>
      <c r="P137" s="54">
        <f t="shared" si="57"/>
        <v>0</v>
      </c>
    </row>
    <row r="138" spans="2:16" ht="12.5">
      <c r="B138" s="7" t="str">
        <f t="shared" si="34"/>
        <v/>
      </c>
      <c r="C138" s="50">
        <f>IF(D93="","-",+C137+1)</f>
        <v>2047</v>
      </c>
      <c r="D138" s="12">
        <f>IF(F137+SUM(E$99:E137)=D$92,F137,D$92-SUM(E$99:E137))</f>
        <v>4378802.9696915187</v>
      </c>
      <c r="E138" s="378">
        <f t="shared" si="50"/>
        <v>370882.81818181818</v>
      </c>
      <c r="F138" s="55">
        <f t="shared" si="51"/>
        <v>4007920.1515097003</v>
      </c>
      <c r="G138" s="55">
        <f t="shared" si="52"/>
        <v>4193361.5606006095</v>
      </c>
      <c r="H138" s="380">
        <f t="shared" si="53"/>
        <v>893066.78520914959</v>
      </c>
      <c r="I138" s="399">
        <f t="shared" si="54"/>
        <v>893066.78520914959</v>
      </c>
      <c r="J138" s="54">
        <f t="shared" si="38"/>
        <v>0</v>
      </c>
      <c r="K138" s="54"/>
      <c r="L138" s="129"/>
      <c r="M138" s="54">
        <f t="shared" si="55"/>
        <v>0</v>
      </c>
      <c r="N138" s="129"/>
      <c r="O138" s="54">
        <f t="shared" si="56"/>
        <v>0</v>
      </c>
      <c r="P138" s="54">
        <f t="shared" si="57"/>
        <v>0</v>
      </c>
    </row>
    <row r="139" spans="2:16" ht="12.5">
      <c r="B139" s="7" t="str">
        <f t="shared" si="34"/>
        <v/>
      </c>
      <c r="C139" s="50">
        <f>IF(D93="","-",+C138+1)</f>
        <v>2048</v>
      </c>
      <c r="D139" s="12">
        <f>IF(F138+SUM(E$99:E138)=D$92,F138,D$92-SUM(E$99:E138))</f>
        <v>4007920.1515097003</v>
      </c>
      <c r="E139" s="378">
        <f t="shared" si="50"/>
        <v>370882.81818181818</v>
      </c>
      <c r="F139" s="55">
        <f t="shared" si="51"/>
        <v>3637037.333327882</v>
      </c>
      <c r="G139" s="55">
        <f t="shared" si="52"/>
        <v>3822478.7424187912</v>
      </c>
      <c r="H139" s="380">
        <f t="shared" si="53"/>
        <v>846882.10532842891</v>
      </c>
      <c r="I139" s="399">
        <f t="shared" si="54"/>
        <v>846882.10532842891</v>
      </c>
      <c r="J139" s="54">
        <f t="shared" si="38"/>
        <v>0</v>
      </c>
      <c r="K139" s="54"/>
      <c r="L139" s="129"/>
      <c r="M139" s="54">
        <f t="shared" si="55"/>
        <v>0</v>
      </c>
      <c r="N139" s="129"/>
      <c r="O139" s="54">
        <f t="shared" si="56"/>
        <v>0</v>
      </c>
      <c r="P139" s="54">
        <f t="shared" si="57"/>
        <v>0</v>
      </c>
    </row>
    <row r="140" spans="2:16" ht="12.5">
      <c r="B140" s="7" t="str">
        <f t="shared" si="34"/>
        <v/>
      </c>
      <c r="C140" s="50">
        <f>IF(D93="","-",+C139+1)</f>
        <v>2049</v>
      </c>
      <c r="D140" s="12">
        <f>IF(F139+SUM(E$99:E139)=D$92,F139,D$92-SUM(E$99:E139))</f>
        <v>3637037.333327882</v>
      </c>
      <c r="E140" s="378">
        <f t="shared" si="50"/>
        <v>370882.81818181818</v>
      </c>
      <c r="F140" s="55">
        <f t="shared" si="51"/>
        <v>3266154.5151460636</v>
      </c>
      <c r="G140" s="55">
        <f t="shared" si="52"/>
        <v>3451595.9242369728</v>
      </c>
      <c r="H140" s="380">
        <f t="shared" si="53"/>
        <v>800697.42544770823</v>
      </c>
      <c r="I140" s="399">
        <f t="shared" si="54"/>
        <v>800697.42544770823</v>
      </c>
      <c r="J140" s="54">
        <f t="shared" si="38"/>
        <v>0</v>
      </c>
      <c r="K140" s="54"/>
      <c r="L140" s="129"/>
      <c r="M140" s="54">
        <f t="shared" si="55"/>
        <v>0</v>
      </c>
      <c r="N140" s="129"/>
      <c r="O140" s="54">
        <f t="shared" si="56"/>
        <v>0</v>
      </c>
      <c r="P140" s="54">
        <f t="shared" si="57"/>
        <v>0</v>
      </c>
    </row>
    <row r="141" spans="2:16" ht="12.5">
      <c r="B141" s="7" t="str">
        <f t="shared" si="34"/>
        <v/>
      </c>
      <c r="C141" s="50">
        <f>IF(D93="","-",+C140+1)</f>
        <v>2050</v>
      </c>
      <c r="D141" s="12">
        <f>IF(F140+SUM(E$99:E140)=D$92,F140,D$92-SUM(E$99:E140))</f>
        <v>3266154.5151460636</v>
      </c>
      <c r="E141" s="378">
        <f t="shared" si="50"/>
        <v>370882.81818181818</v>
      </c>
      <c r="F141" s="55">
        <f t="shared" si="51"/>
        <v>2895271.6969642453</v>
      </c>
      <c r="G141" s="55">
        <f t="shared" si="52"/>
        <v>3080713.1060551545</v>
      </c>
      <c r="H141" s="380">
        <f t="shared" si="53"/>
        <v>754512.74556698767</v>
      </c>
      <c r="I141" s="399">
        <f t="shared" si="54"/>
        <v>754512.74556698767</v>
      </c>
      <c r="J141" s="54">
        <f t="shared" si="38"/>
        <v>0</v>
      </c>
      <c r="K141" s="54"/>
      <c r="L141" s="129"/>
      <c r="M141" s="54">
        <f t="shared" si="55"/>
        <v>0</v>
      </c>
      <c r="N141" s="129"/>
      <c r="O141" s="54">
        <f t="shared" si="56"/>
        <v>0</v>
      </c>
      <c r="P141" s="54">
        <f t="shared" si="57"/>
        <v>0</v>
      </c>
    </row>
    <row r="142" spans="2:16" ht="12.5">
      <c r="B142" s="7" t="str">
        <f t="shared" si="34"/>
        <v/>
      </c>
      <c r="C142" s="50">
        <f>IF(D93="","-",+C141+1)</f>
        <v>2051</v>
      </c>
      <c r="D142" s="12">
        <f>IF(F141+SUM(E$99:E141)=D$92,F141,D$92-SUM(E$99:E141))</f>
        <v>2895271.6969642453</v>
      </c>
      <c r="E142" s="378">
        <f t="shared" si="50"/>
        <v>370882.81818181818</v>
      </c>
      <c r="F142" s="55">
        <f t="shared" si="51"/>
        <v>2524388.8787824269</v>
      </c>
      <c r="G142" s="55">
        <f t="shared" si="52"/>
        <v>2709830.2878733361</v>
      </c>
      <c r="H142" s="380">
        <f t="shared" si="53"/>
        <v>708328.06568626687</v>
      </c>
      <c r="I142" s="399">
        <f t="shared" si="54"/>
        <v>708328.06568626687</v>
      </c>
      <c r="J142" s="54">
        <f t="shared" si="38"/>
        <v>0</v>
      </c>
      <c r="K142" s="54"/>
      <c r="L142" s="129"/>
      <c r="M142" s="54">
        <f t="shared" si="55"/>
        <v>0</v>
      </c>
      <c r="N142" s="129"/>
      <c r="O142" s="54">
        <f t="shared" si="56"/>
        <v>0</v>
      </c>
      <c r="P142" s="54">
        <f t="shared" si="57"/>
        <v>0</v>
      </c>
    </row>
    <row r="143" spans="2:16" ht="12.5">
      <c r="B143" s="7" t="str">
        <f t="shared" si="34"/>
        <v/>
      </c>
      <c r="C143" s="50">
        <f>IF(D93="","-",+C142+1)</f>
        <v>2052</v>
      </c>
      <c r="D143" s="12">
        <f>IF(F142+SUM(E$99:E142)=D$92,F142,D$92-SUM(E$99:E142))</f>
        <v>2524388.8787824269</v>
      </c>
      <c r="E143" s="378">
        <f t="shared" si="50"/>
        <v>370882.81818181818</v>
      </c>
      <c r="F143" s="55">
        <f t="shared" si="51"/>
        <v>2153506.0606006086</v>
      </c>
      <c r="G143" s="55">
        <f t="shared" si="52"/>
        <v>2338947.4696915178</v>
      </c>
      <c r="H143" s="380">
        <f t="shared" si="53"/>
        <v>662143.38580554631</v>
      </c>
      <c r="I143" s="399">
        <f t="shared" si="54"/>
        <v>662143.38580554631</v>
      </c>
      <c r="J143" s="54">
        <f t="shared" si="38"/>
        <v>0</v>
      </c>
      <c r="K143" s="54"/>
      <c r="L143" s="129"/>
      <c r="M143" s="54">
        <f t="shared" si="55"/>
        <v>0</v>
      </c>
      <c r="N143" s="129"/>
      <c r="O143" s="54">
        <f t="shared" si="56"/>
        <v>0</v>
      </c>
      <c r="P143" s="54">
        <f t="shared" si="57"/>
        <v>0</v>
      </c>
    </row>
    <row r="144" spans="2:16" ht="12.5">
      <c r="B144" s="7" t="str">
        <f t="shared" si="34"/>
        <v/>
      </c>
      <c r="C144" s="50">
        <f>IF(D93="","-",+C143+1)</f>
        <v>2053</v>
      </c>
      <c r="D144" s="12">
        <f>IF(F143+SUM(E$99:E143)=D$92,F143,D$92-SUM(E$99:E143))</f>
        <v>2153506.0606006086</v>
      </c>
      <c r="E144" s="378">
        <f t="shared" si="50"/>
        <v>370882.81818181818</v>
      </c>
      <c r="F144" s="55">
        <f t="shared" si="51"/>
        <v>1782623.2424187905</v>
      </c>
      <c r="G144" s="55">
        <f t="shared" si="52"/>
        <v>1968064.6515096994</v>
      </c>
      <c r="H144" s="380">
        <f t="shared" si="53"/>
        <v>615958.70592482563</v>
      </c>
      <c r="I144" s="399">
        <f t="shared" si="54"/>
        <v>615958.70592482563</v>
      </c>
      <c r="J144" s="54">
        <f t="shared" si="38"/>
        <v>0</v>
      </c>
      <c r="K144" s="54"/>
      <c r="L144" s="129"/>
      <c r="M144" s="54">
        <f t="shared" si="55"/>
        <v>0</v>
      </c>
      <c r="N144" s="129"/>
      <c r="O144" s="54">
        <f t="shared" si="56"/>
        <v>0</v>
      </c>
      <c r="P144" s="54">
        <f t="shared" si="57"/>
        <v>0</v>
      </c>
    </row>
    <row r="145" spans="2:16" ht="12.5">
      <c r="B145" s="7" t="str">
        <f t="shared" si="34"/>
        <v/>
      </c>
      <c r="C145" s="50">
        <f>IF(D93="","-",+C144+1)</f>
        <v>2054</v>
      </c>
      <c r="D145" s="12">
        <f>IF(F144+SUM(E$99:E144)=D$92,F144,D$92-SUM(E$99:E144))</f>
        <v>1782623.2424187905</v>
      </c>
      <c r="E145" s="378">
        <f t="shared" si="50"/>
        <v>370882.81818181818</v>
      </c>
      <c r="F145" s="55">
        <f t="shared" si="51"/>
        <v>1411740.4242369724</v>
      </c>
      <c r="G145" s="55">
        <f t="shared" si="52"/>
        <v>1597181.8333278815</v>
      </c>
      <c r="H145" s="380">
        <f t="shared" si="53"/>
        <v>569774.02604410495</v>
      </c>
      <c r="I145" s="399">
        <f t="shared" si="54"/>
        <v>569774.02604410495</v>
      </c>
      <c r="J145" s="54">
        <f t="shared" si="38"/>
        <v>0</v>
      </c>
      <c r="K145" s="54"/>
      <c r="L145" s="129"/>
      <c r="M145" s="54">
        <f t="shared" si="55"/>
        <v>0</v>
      </c>
      <c r="N145" s="129"/>
      <c r="O145" s="54">
        <f t="shared" si="56"/>
        <v>0</v>
      </c>
      <c r="P145" s="54">
        <f t="shared" si="57"/>
        <v>0</v>
      </c>
    </row>
    <row r="146" spans="2:16" ht="12.5">
      <c r="B146" s="7" t="str">
        <f t="shared" si="34"/>
        <v/>
      </c>
      <c r="C146" s="50">
        <f>IF(D93="","-",+C145+1)</f>
        <v>2055</v>
      </c>
      <c r="D146" s="12">
        <f>IF(F145+SUM(E$99:E145)=D$92,F145,D$92-SUM(E$99:E145))</f>
        <v>1411740.4242369724</v>
      </c>
      <c r="E146" s="378">
        <f t="shared" si="50"/>
        <v>370882.81818181818</v>
      </c>
      <c r="F146" s="55">
        <f t="shared" si="51"/>
        <v>1040857.6060551542</v>
      </c>
      <c r="G146" s="55">
        <f t="shared" si="52"/>
        <v>1226299.0151460632</v>
      </c>
      <c r="H146" s="380">
        <f t="shared" si="53"/>
        <v>523589.34616338433</v>
      </c>
      <c r="I146" s="399">
        <f t="shared" si="54"/>
        <v>523589.34616338433</v>
      </c>
      <c r="J146" s="54">
        <f t="shared" si="38"/>
        <v>0</v>
      </c>
      <c r="K146" s="54"/>
      <c r="L146" s="129"/>
      <c r="M146" s="54">
        <f t="shared" si="55"/>
        <v>0</v>
      </c>
      <c r="N146" s="129"/>
      <c r="O146" s="54">
        <f t="shared" si="56"/>
        <v>0</v>
      </c>
      <c r="P146" s="54">
        <f t="shared" si="57"/>
        <v>0</v>
      </c>
    </row>
    <row r="147" spans="2:16" ht="12.5">
      <c r="B147" s="7" t="str">
        <f t="shared" si="34"/>
        <v/>
      </c>
      <c r="C147" s="50">
        <f>IF(D93="","-",+C146+1)</f>
        <v>2056</v>
      </c>
      <c r="D147" s="12">
        <f>IF(F146+SUM(E$99:E146)=D$92,F146,D$92-SUM(E$99:E146))</f>
        <v>1040857.6060551542</v>
      </c>
      <c r="E147" s="378">
        <f t="shared" si="50"/>
        <v>370882.81818181818</v>
      </c>
      <c r="F147" s="55">
        <f t="shared" si="51"/>
        <v>669974.78787333611</v>
      </c>
      <c r="G147" s="55">
        <f t="shared" si="52"/>
        <v>855416.19696424517</v>
      </c>
      <c r="H147" s="380">
        <f t="shared" si="53"/>
        <v>477404.6662826637</v>
      </c>
      <c r="I147" s="399">
        <f t="shared" si="54"/>
        <v>477404.6662826637</v>
      </c>
      <c r="J147" s="54">
        <f t="shared" si="38"/>
        <v>0</v>
      </c>
      <c r="K147" s="54"/>
      <c r="L147" s="129"/>
      <c r="M147" s="54">
        <f t="shared" si="55"/>
        <v>0</v>
      </c>
      <c r="N147" s="129"/>
      <c r="O147" s="54">
        <f t="shared" si="56"/>
        <v>0</v>
      </c>
      <c r="P147" s="54">
        <f t="shared" si="57"/>
        <v>0</v>
      </c>
    </row>
    <row r="148" spans="2:16" ht="12.5">
      <c r="B148" s="7" t="str">
        <f t="shared" si="34"/>
        <v/>
      </c>
      <c r="C148" s="50">
        <f>IF(D93="","-",+C147+1)</f>
        <v>2057</v>
      </c>
      <c r="D148" s="12">
        <f>IF(F147+SUM(E$99:E147)=D$92,F147,D$92-SUM(E$99:E147))</f>
        <v>669974.78787333611</v>
      </c>
      <c r="E148" s="378">
        <f t="shared" si="50"/>
        <v>370882.81818181818</v>
      </c>
      <c r="F148" s="55">
        <f t="shared" si="51"/>
        <v>299091.96969151794</v>
      </c>
      <c r="G148" s="55">
        <f t="shared" si="52"/>
        <v>484533.37878242705</v>
      </c>
      <c r="H148" s="380">
        <f t="shared" si="53"/>
        <v>431219.98640194302</v>
      </c>
      <c r="I148" s="399">
        <f t="shared" si="54"/>
        <v>431219.98640194302</v>
      </c>
      <c r="J148" s="54">
        <f t="shared" si="38"/>
        <v>0</v>
      </c>
      <c r="K148" s="54"/>
      <c r="L148" s="129"/>
      <c r="M148" s="54">
        <f t="shared" si="55"/>
        <v>0</v>
      </c>
      <c r="N148" s="129"/>
      <c r="O148" s="54">
        <f t="shared" si="56"/>
        <v>0</v>
      </c>
      <c r="P148" s="54">
        <f t="shared" si="57"/>
        <v>0</v>
      </c>
    </row>
    <row r="149" spans="2:16" ht="12.5">
      <c r="B149" s="7" t="str">
        <f t="shared" si="34"/>
        <v/>
      </c>
      <c r="C149" s="50">
        <f>IF(D93="","-",+C148+1)</f>
        <v>2058</v>
      </c>
      <c r="D149" s="12">
        <f>IF(F148+SUM(E$99:E148)=D$92,F148,D$92-SUM(E$99:E148))</f>
        <v>299091.96969151794</v>
      </c>
      <c r="E149" s="378">
        <f t="shared" si="50"/>
        <v>299091.96969151794</v>
      </c>
      <c r="F149" s="55">
        <f t="shared" si="51"/>
        <v>0</v>
      </c>
      <c r="G149" s="55">
        <f t="shared" si="52"/>
        <v>149545.98484575897</v>
      </c>
      <c r="H149" s="380">
        <f t="shared" si="53"/>
        <v>317714.38383140019</v>
      </c>
      <c r="I149" s="399">
        <f t="shared" si="54"/>
        <v>317714.38383140019</v>
      </c>
      <c r="J149" s="54">
        <f t="shared" si="38"/>
        <v>0</v>
      </c>
      <c r="K149" s="54"/>
      <c r="L149" s="129"/>
      <c r="M149" s="54">
        <f t="shared" si="55"/>
        <v>0</v>
      </c>
      <c r="N149" s="129"/>
      <c r="O149" s="54">
        <f t="shared" si="56"/>
        <v>0</v>
      </c>
      <c r="P149" s="54">
        <f t="shared" si="57"/>
        <v>0</v>
      </c>
    </row>
    <row r="150" spans="2:16" ht="12.5">
      <c r="B150" s="7" t="str">
        <f t="shared" si="34"/>
        <v/>
      </c>
      <c r="C150" s="50">
        <f>IF(D93="","-",+C149+1)</f>
        <v>2059</v>
      </c>
      <c r="D150" s="12">
        <f>IF(F149+SUM(E$99:E149)=D$92,F149,D$92-SUM(E$99:E149))</f>
        <v>0</v>
      </c>
      <c r="E150" s="378">
        <f t="shared" si="50"/>
        <v>0</v>
      </c>
      <c r="F150" s="55">
        <f t="shared" si="51"/>
        <v>0</v>
      </c>
      <c r="G150" s="55">
        <f t="shared" si="52"/>
        <v>0</v>
      </c>
      <c r="H150" s="380">
        <f t="shared" si="53"/>
        <v>0</v>
      </c>
      <c r="I150" s="399">
        <f t="shared" si="54"/>
        <v>0</v>
      </c>
      <c r="J150" s="54">
        <f t="shared" si="38"/>
        <v>0</v>
      </c>
      <c r="K150" s="54"/>
      <c r="L150" s="129"/>
      <c r="M150" s="54">
        <f t="shared" si="55"/>
        <v>0</v>
      </c>
      <c r="N150" s="129"/>
      <c r="O150" s="54">
        <f t="shared" si="56"/>
        <v>0</v>
      </c>
      <c r="P150" s="54">
        <f t="shared" si="57"/>
        <v>0</v>
      </c>
    </row>
    <row r="151" spans="2:16" ht="12.5">
      <c r="B151" s="7" t="str">
        <f t="shared" si="34"/>
        <v/>
      </c>
      <c r="C151" s="50">
        <f>IF(D93="","-",+C150+1)</f>
        <v>2060</v>
      </c>
      <c r="D151" s="12">
        <f>IF(F150+SUM(E$99:E150)=D$92,F150,D$92-SUM(E$99:E150))</f>
        <v>0</v>
      </c>
      <c r="E151" s="378">
        <f t="shared" si="50"/>
        <v>0</v>
      </c>
      <c r="F151" s="55">
        <f t="shared" si="51"/>
        <v>0</v>
      </c>
      <c r="G151" s="55">
        <f t="shared" si="52"/>
        <v>0</v>
      </c>
      <c r="H151" s="380">
        <f t="shared" si="53"/>
        <v>0</v>
      </c>
      <c r="I151" s="399">
        <f t="shared" si="54"/>
        <v>0</v>
      </c>
      <c r="J151" s="54">
        <f t="shared" si="38"/>
        <v>0</v>
      </c>
      <c r="K151" s="54"/>
      <c r="L151" s="129"/>
      <c r="M151" s="54">
        <f t="shared" si="55"/>
        <v>0</v>
      </c>
      <c r="N151" s="129"/>
      <c r="O151" s="54">
        <f t="shared" si="56"/>
        <v>0</v>
      </c>
      <c r="P151" s="54">
        <f t="shared" si="57"/>
        <v>0</v>
      </c>
    </row>
    <row r="152" spans="2:16" ht="12.5">
      <c r="B152" s="7" t="str">
        <f t="shared" si="34"/>
        <v/>
      </c>
      <c r="C152" s="50">
        <f>IF(D93="","-",+C151+1)</f>
        <v>2061</v>
      </c>
      <c r="D152" s="12">
        <f>IF(F151+SUM(E$99:E151)=D$92,F151,D$92-SUM(E$99:E151))</f>
        <v>0</v>
      </c>
      <c r="E152" s="378">
        <f t="shared" si="50"/>
        <v>0</v>
      </c>
      <c r="F152" s="55">
        <f t="shared" si="51"/>
        <v>0</v>
      </c>
      <c r="G152" s="55">
        <f t="shared" si="52"/>
        <v>0</v>
      </c>
      <c r="H152" s="380">
        <f t="shared" si="53"/>
        <v>0</v>
      </c>
      <c r="I152" s="399">
        <f t="shared" si="54"/>
        <v>0</v>
      </c>
      <c r="J152" s="54">
        <f t="shared" si="38"/>
        <v>0</v>
      </c>
      <c r="K152" s="54"/>
      <c r="L152" s="129"/>
      <c r="M152" s="54">
        <f t="shared" si="55"/>
        <v>0</v>
      </c>
      <c r="N152" s="129"/>
      <c r="O152" s="54">
        <f t="shared" si="56"/>
        <v>0</v>
      </c>
      <c r="P152" s="54">
        <f t="shared" si="57"/>
        <v>0</v>
      </c>
    </row>
    <row r="153" spans="2:16" ht="12.5">
      <c r="B153" s="7" t="str">
        <f t="shared" si="34"/>
        <v/>
      </c>
      <c r="C153" s="50">
        <f>IF(D93="","-",+C152+1)</f>
        <v>2062</v>
      </c>
      <c r="D153" s="12">
        <f>IF(F152+SUM(E$99:E152)=D$92,F152,D$92-SUM(E$99:E152))</f>
        <v>0</v>
      </c>
      <c r="E153" s="378">
        <f t="shared" si="50"/>
        <v>0</v>
      </c>
      <c r="F153" s="55">
        <f t="shared" si="51"/>
        <v>0</v>
      </c>
      <c r="G153" s="55">
        <f t="shared" si="52"/>
        <v>0</v>
      </c>
      <c r="H153" s="380">
        <f t="shared" si="53"/>
        <v>0</v>
      </c>
      <c r="I153" s="399">
        <f t="shared" si="54"/>
        <v>0</v>
      </c>
      <c r="J153" s="54">
        <f t="shared" si="38"/>
        <v>0</v>
      </c>
      <c r="K153" s="54"/>
      <c r="L153" s="129"/>
      <c r="M153" s="54">
        <f t="shared" si="55"/>
        <v>0</v>
      </c>
      <c r="N153" s="129"/>
      <c r="O153" s="54">
        <f t="shared" si="56"/>
        <v>0</v>
      </c>
      <c r="P153" s="54">
        <f t="shared" si="57"/>
        <v>0</v>
      </c>
    </row>
    <row r="154" spans="2:16" ht="13" thickBot="1">
      <c r="B154" s="7" t="str">
        <f t="shared" si="34"/>
        <v/>
      </c>
      <c r="C154" s="59">
        <f>IF(D93="","-",+C153+1)</f>
        <v>2063</v>
      </c>
      <c r="D154" s="12">
        <f>IF(F153+SUM(E$99:E153)=D$92,F153,D$92-SUM(E$99:E153))</f>
        <v>0</v>
      </c>
      <c r="E154" s="378">
        <f t="shared" si="50"/>
        <v>0</v>
      </c>
      <c r="F154" s="55">
        <f t="shared" si="51"/>
        <v>0</v>
      </c>
      <c r="G154" s="55">
        <f t="shared" si="52"/>
        <v>0</v>
      </c>
      <c r="H154" s="380">
        <f t="shared" si="53"/>
        <v>0</v>
      </c>
      <c r="I154" s="399">
        <f t="shared" si="54"/>
        <v>0</v>
      </c>
      <c r="J154" s="54">
        <f t="shared" si="38"/>
        <v>0</v>
      </c>
      <c r="K154" s="54"/>
      <c r="L154" s="130"/>
      <c r="M154" s="64">
        <f t="shared" si="55"/>
        <v>0</v>
      </c>
      <c r="N154" s="130"/>
      <c r="O154" s="64">
        <f t="shared" si="56"/>
        <v>0</v>
      </c>
      <c r="P154" s="64">
        <f t="shared" si="57"/>
        <v>0</v>
      </c>
    </row>
    <row r="155" spans="2:16" ht="12.5">
      <c r="C155" s="12" t="s">
        <v>78</v>
      </c>
      <c r="D155" s="293"/>
      <c r="E155" s="293">
        <f>SUM(E99:E154)</f>
        <v>16318844.000000002</v>
      </c>
      <c r="F155" s="293"/>
      <c r="G155" s="293"/>
      <c r="H155" s="293">
        <f>SUM(H99:H154)</f>
        <v>59430016.621117599</v>
      </c>
      <c r="I155" s="293">
        <f>SUM(I99:I154)</f>
        <v>59430016.621117599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 ht="12.5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 ht="13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65" priority="1" stopIfTrue="1" operator="equal">
      <formula>$I$10</formula>
    </cfRule>
  </conditionalFormatting>
  <conditionalFormatting sqref="C99:C154">
    <cfRule type="cellIs" dxfId="6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0"/>
  <dimension ref="A1:Q162"/>
  <sheetViews>
    <sheetView topLeftCell="A15" zoomScaleNormal="100" zoomScaleSheetLayoutView="82" workbookViewId="0">
      <selection activeCell="D33" sqref="D33:H33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"&amp;RIGHT(MID(CELL("filename",$A$1),FIND("]",CELL("filename",$A$1))+1,256),1)&amp;" of "&amp;COUNT(S.001:S.077!$P$3)</f>
        <v>SWEPCO Project 2 of 77</v>
      </c>
      <c r="Q1" s="13"/>
    </row>
    <row r="2" spans="1:17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809354.80776179023</v>
      </c>
      <c r="P5" s="1"/>
    </row>
    <row r="6" spans="1:17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809354.80776179023</v>
      </c>
      <c r="O6" s="1"/>
      <c r="P6" s="1"/>
    </row>
    <row r="7" spans="1:17" ht="13.5" thickBot="1">
      <c r="C7" s="25" t="s">
        <v>48</v>
      </c>
      <c r="D7" s="127" t="s">
        <v>226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85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141</v>
      </c>
      <c r="E9" s="31" t="s">
        <v>496</v>
      </c>
      <c r="F9" s="31" t="s">
        <v>497</v>
      </c>
      <c r="G9" s="31"/>
      <c r="H9" s="31"/>
      <c r="I9" s="32"/>
      <c r="J9" s="33"/>
      <c r="P9" s="1"/>
    </row>
    <row r="10" spans="1:17" ht="13">
      <c r="C10" s="34" t="s">
        <v>51</v>
      </c>
      <c r="D10" s="363">
        <v>8402687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7" ht="12.5">
      <c r="C11" s="34" t="s">
        <v>54</v>
      </c>
      <c r="D11" s="37">
        <v>2009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3">
        <v>1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190970.15909090909</v>
      </c>
      <c r="J14" s="293"/>
      <c r="K14" s="293"/>
      <c r="L14" s="293"/>
      <c r="M14" s="293"/>
      <c r="N14" s="293"/>
      <c r="O14" s="1"/>
      <c r="P14" s="1"/>
    </row>
    <row r="15" spans="1:17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2009</v>
      </c>
      <c r="D17" s="133">
        <v>11979500</v>
      </c>
      <c r="E17" s="374">
        <v>296789</v>
      </c>
      <c r="F17" s="133">
        <v>11682711</v>
      </c>
      <c r="G17" s="374">
        <v>2087310</v>
      </c>
      <c r="H17" s="375">
        <v>2087310</v>
      </c>
      <c r="I17" s="52">
        <f>H17-G17</f>
        <v>0</v>
      </c>
      <c r="J17" s="52"/>
      <c r="K17" s="112">
        <v>2087310</v>
      </c>
      <c r="L17" s="53">
        <f t="shared" ref="L17:L48" si="0">IF(K17&lt;&gt;0,+G17-K17,0)</f>
        <v>0</v>
      </c>
      <c r="M17" s="112">
        <v>2087310</v>
      </c>
      <c r="N17" s="53">
        <f t="shared" ref="N17:N48" si="1">IF(M17&lt;&gt;0,+H17-M17,0)</f>
        <v>0</v>
      </c>
      <c r="O17" s="54">
        <f t="shared" ref="O17:O48" si="2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2010</v>
      </c>
      <c r="D18" s="137">
        <v>8105898</v>
      </c>
      <c r="E18" s="376">
        <v>221123</v>
      </c>
      <c r="F18" s="137">
        <v>7884775</v>
      </c>
      <c r="G18" s="376">
        <v>1354678</v>
      </c>
      <c r="H18" s="375">
        <v>1354678</v>
      </c>
      <c r="I18" s="141">
        <v>0</v>
      </c>
      <c r="J18" s="52"/>
      <c r="K18" s="113">
        <f t="shared" ref="K18:K23" si="3">G18</f>
        <v>1354678</v>
      </c>
      <c r="L18" s="54">
        <f t="shared" si="0"/>
        <v>0</v>
      </c>
      <c r="M18" s="113">
        <f t="shared" ref="M18:M23" si="4">H18</f>
        <v>1354678</v>
      </c>
      <c r="N18" s="54">
        <f t="shared" si="1"/>
        <v>0</v>
      </c>
      <c r="O18" s="54">
        <f t="shared" si="2"/>
        <v>0</v>
      </c>
      <c r="P18" s="1"/>
    </row>
    <row r="19" spans="2:16" ht="12.5">
      <c r="B19" s="7" t="str">
        <f>IF(D19=F18,"","IU")</f>
        <v>IU</v>
      </c>
      <c r="C19" s="50">
        <f>IF(D11="","-",+C18+1)</f>
        <v>2011</v>
      </c>
      <c r="D19" s="137">
        <v>7884775.4800000004</v>
      </c>
      <c r="E19" s="376">
        <v>204943.59707317073</v>
      </c>
      <c r="F19" s="137">
        <v>7679831.8829268301</v>
      </c>
      <c r="G19" s="376">
        <v>1404473.3146370691</v>
      </c>
      <c r="H19" s="375">
        <v>1404473.3146370691</v>
      </c>
      <c r="I19" s="141">
        <v>0</v>
      </c>
      <c r="J19" s="52"/>
      <c r="K19" s="113">
        <f t="shared" si="3"/>
        <v>1404473.3146370691</v>
      </c>
      <c r="L19" s="54">
        <f t="shared" si="0"/>
        <v>0</v>
      </c>
      <c r="M19" s="113">
        <f t="shared" si="4"/>
        <v>1404473.3146370691</v>
      </c>
      <c r="N19" s="54">
        <f t="shared" si="1"/>
        <v>0</v>
      </c>
      <c r="O19" s="54">
        <f t="shared" si="2"/>
        <v>0</v>
      </c>
      <c r="P19" s="1"/>
    </row>
    <row r="20" spans="2:16" ht="12.5">
      <c r="B20" s="7" t="str">
        <f t="shared" ref="B20:B72" si="5">IF(D20=F19,"","IU")</f>
        <v/>
      </c>
      <c r="C20" s="50">
        <f>IF(D11="","-",+C19+1)</f>
        <v>2012</v>
      </c>
      <c r="D20" s="137">
        <v>7679831.8829268301</v>
      </c>
      <c r="E20" s="377">
        <v>200063.98761904764</v>
      </c>
      <c r="F20" s="137">
        <v>7479767.8953077821</v>
      </c>
      <c r="G20" s="376">
        <v>1312456.1166807273</v>
      </c>
      <c r="H20" s="375">
        <v>1312456.1166807273</v>
      </c>
      <c r="I20" s="141">
        <v>0</v>
      </c>
      <c r="J20" s="52"/>
      <c r="K20" s="113">
        <f t="shared" si="3"/>
        <v>1312456.1166807273</v>
      </c>
      <c r="L20" s="54">
        <f t="shared" si="0"/>
        <v>0</v>
      </c>
      <c r="M20" s="113">
        <f t="shared" si="4"/>
        <v>1312456.1166807273</v>
      </c>
      <c r="N20" s="54">
        <f t="shared" si="1"/>
        <v>0</v>
      </c>
      <c r="O20" s="54">
        <f t="shared" si="2"/>
        <v>0</v>
      </c>
      <c r="P20" s="1"/>
    </row>
    <row r="21" spans="2:16" ht="12.5">
      <c r="B21" s="7" t="str">
        <f t="shared" si="5"/>
        <v/>
      </c>
      <c r="C21" s="50">
        <f t="shared" ref="C21:C72" si="6">IF(D12="","-",+C20+1)</f>
        <v>2013</v>
      </c>
      <c r="D21" s="137">
        <v>7479767.8953077821</v>
      </c>
      <c r="E21" s="377">
        <v>200063.98761904764</v>
      </c>
      <c r="F21" s="137">
        <v>7279703.9076887341</v>
      </c>
      <c r="G21" s="376">
        <v>1219128.4960322082</v>
      </c>
      <c r="H21" s="375">
        <v>1219128.4960322082</v>
      </c>
      <c r="I21" s="52">
        <f t="shared" ref="I21:I72" si="7">H21-G21</f>
        <v>0</v>
      </c>
      <c r="J21" s="52"/>
      <c r="K21" s="113">
        <f t="shared" si="3"/>
        <v>1219128.4960322082</v>
      </c>
      <c r="L21" s="54">
        <f t="shared" ref="L21:L26" si="8">IF(K21&lt;&gt;0,+G21-K21,0)</f>
        <v>0</v>
      </c>
      <c r="M21" s="113">
        <f t="shared" si="4"/>
        <v>1219128.4960322082</v>
      </c>
      <c r="N21" s="54">
        <f t="shared" ref="N21:N26" si="9">IF(M21&lt;&gt;0,+H21-M21,0)</f>
        <v>0</v>
      </c>
      <c r="O21" s="54">
        <f t="shared" ref="O21:O26" si="10">+N21-L21</f>
        <v>0</v>
      </c>
      <c r="P21" s="1"/>
    </row>
    <row r="22" spans="2:16" ht="12.5">
      <c r="B22" s="7" t="str">
        <f t="shared" si="5"/>
        <v/>
      </c>
      <c r="C22" s="50">
        <f t="shared" si="6"/>
        <v>2014</v>
      </c>
      <c r="D22" s="137">
        <v>7279703.9076887341</v>
      </c>
      <c r="E22" s="377">
        <v>200063.98761904764</v>
      </c>
      <c r="F22" s="137">
        <v>7079639.9200696861</v>
      </c>
      <c r="G22" s="376">
        <v>1155181.8074626003</v>
      </c>
      <c r="H22" s="375">
        <v>1155181.8074626003</v>
      </c>
      <c r="I22" s="52">
        <v>0</v>
      </c>
      <c r="J22" s="52"/>
      <c r="K22" s="113">
        <f t="shared" si="3"/>
        <v>1155181.8074626003</v>
      </c>
      <c r="L22" s="54">
        <f t="shared" si="8"/>
        <v>0</v>
      </c>
      <c r="M22" s="113">
        <f t="shared" si="4"/>
        <v>1155181.8074626003</v>
      </c>
      <c r="N22" s="54">
        <f t="shared" si="9"/>
        <v>0</v>
      </c>
      <c r="O22" s="54">
        <f t="shared" si="10"/>
        <v>0</v>
      </c>
      <c r="P22" s="1"/>
    </row>
    <row r="23" spans="2:16" ht="12.5">
      <c r="B23" s="7" t="str">
        <f t="shared" si="5"/>
        <v/>
      </c>
      <c r="C23" s="50">
        <f t="shared" si="6"/>
        <v>2015</v>
      </c>
      <c r="D23" s="137">
        <v>7079639.9200696861</v>
      </c>
      <c r="E23" s="377">
        <v>200063.98761904764</v>
      </c>
      <c r="F23" s="137">
        <v>6879575.9324506382</v>
      </c>
      <c r="G23" s="376">
        <v>1106137.1665956248</v>
      </c>
      <c r="H23" s="375">
        <v>1106137.1665956248</v>
      </c>
      <c r="I23" s="52">
        <v>0</v>
      </c>
      <c r="J23" s="52"/>
      <c r="K23" s="113">
        <f t="shared" si="3"/>
        <v>1106137.1665956248</v>
      </c>
      <c r="L23" s="54">
        <f t="shared" si="8"/>
        <v>0</v>
      </c>
      <c r="M23" s="113">
        <f t="shared" si="4"/>
        <v>1106137.1665956248</v>
      </c>
      <c r="N23" s="54">
        <f t="shared" si="9"/>
        <v>0</v>
      </c>
      <c r="O23" s="54">
        <f t="shared" si="10"/>
        <v>0</v>
      </c>
      <c r="P23" s="1"/>
    </row>
    <row r="24" spans="2:16" ht="12.5">
      <c r="B24" s="7" t="str">
        <f t="shared" si="5"/>
        <v/>
      </c>
      <c r="C24" s="50">
        <f t="shared" si="6"/>
        <v>2016</v>
      </c>
      <c r="D24" s="137">
        <v>6879575.9324506382</v>
      </c>
      <c r="E24" s="377">
        <v>200063.98761904764</v>
      </c>
      <c r="F24" s="137">
        <v>6679511.9448315902</v>
      </c>
      <c r="G24" s="376">
        <v>1068934.7345413081</v>
      </c>
      <c r="H24" s="375">
        <v>1068934.7345413081</v>
      </c>
      <c r="I24" s="52">
        <f t="shared" si="7"/>
        <v>0</v>
      </c>
      <c r="J24" s="52"/>
      <c r="K24" s="113">
        <f t="shared" ref="K24:K29" si="11">G24</f>
        <v>1068934.7345413081</v>
      </c>
      <c r="L24" s="54">
        <f t="shared" si="8"/>
        <v>0</v>
      </c>
      <c r="M24" s="113">
        <f t="shared" ref="M24:M29" si="12">H24</f>
        <v>1068934.7345413081</v>
      </c>
      <c r="N24" s="54">
        <f t="shared" si="9"/>
        <v>0</v>
      </c>
      <c r="O24" s="54">
        <f t="shared" si="10"/>
        <v>0</v>
      </c>
      <c r="P24" s="1"/>
    </row>
    <row r="25" spans="2:16" ht="12.5">
      <c r="B25" s="7" t="str">
        <f t="shared" si="5"/>
        <v/>
      </c>
      <c r="C25" s="50">
        <f t="shared" si="6"/>
        <v>2017</v>
      </c>
      <c r="D25" s="137">
        <v>6679511.9448315902</v>
      </c>
      <c r="E25" s="377">
        <v>195411.33674418606</v>
      </c>
      <c r="F25" s="137">
        <v>6484100.6080874037</v>
      </c>
      <c r="G25" s="376">
        <v>1010847.9921071748</v>
      </c>
      <c r="H25" s="375">
        <v>1010847.9921071748</v>
      </c>
      <c r="I25" s="52">
        <f t="shared" si="7"/>
        <v>0</v>
      </c>
      <c r="J25" s="52"/>
      <c r="K25" s="113">
        <f t="shared" si="11"/>
        <v>1010847.9921071748</v>
      </c>
      <c r="L25" s="54">
        <f t="shared" si="8"/>
        <v>0</v>
      </c>
      <c r="M25" s="113">
        <f t="shared" si="12"/>
        <v>1010847.9921071748</v>
      </c>
      <c r="N25" s="54">
        <f t="shared" si="9"/>
        <v>0</v>
      </c>
      <c r="O25" s="54">
        <f t="shared" si="10"/>
        <v>0</v>
      </c>
      <c r="P25" s="1"/>
    </row>
    <row r="26" spans="2:16" ht="12.5">
      <c r="B26" s="7" t="str">
        <f t="shared" si="5"/>
        <v/>
      </c>
      <c r="C26" s="50">
        <f t="shared" si="6"/>
        <v>2018</v>
      </c>
      <c r="D26" s="137">
        <v>6484100.6080874037</v>
      </c>
      <c r="E26" s="376">
        <v>204943.59707317073</v>
      </c>
      <c r="F26" s="137">
        <v>6279157.0110142333</v>
      </c>
      <c r="G26" s="376">
        <v>1016010.9603176524</v>
      </c>
      <c r="H26" s="375">
        <v>1016010.9603176524</v>
      </c>
      <c r="I26" s="52">
        <f t="shared" si="7"/>
        <v>0</v>
      </c>
      <c r="J26" s="52"/>
      <c r="K26" s="113">
        <f t="shared" si="11"/>
        <v>1016010.9603176524</v>
      </c>
      <c r="L26" s="54">
        <f t="shared" si="8"/>
        <v>0</v>
      </c>
      <c r="M26" s="113">
        <f t="shared" si="12"/>
        <v>1016010.9603176524</v>
      </c>
      <c r="N26" s="54">
        <f t="shared" si="9"/>
        <v>0</v>
      </c>
      <c r="O26" s="54">
        <f t="shared" si="10"/>
        <v>0</v>
      </c>
      <c r="P26" s="1"/>
    </row>
    <row r="27" spans="2:16" ht="12.5">
      <c r="B27" s="7" t="str">
        <f t="shared" si="5"/>
        <v/>
      </c>
      <c r="C27" s="50">
        <f t="shared" si="6"/>
        <v>2019</v>
      </c>
      <c r="D27" s="137">
        <v>6279157.0110142333</v>
      </c>
      <c r="E27" s="376">
        <v>204943.59707317073</v>
      </c>
      <c r="F27" s="137">
        <v>6074213.413941063</v>
      </c>
      <c r="G27" s="376">
        <v>989963.83851652173</v>
      </c>
      <c r="H27" s="375">
        <v>989963.83851652173</v>
      </c>
      <c r="I27" s="52">
        <f t="shared" si="7"/>
        <v>0</v>
      </c>
      <c r="J27" s="52"/>
      <c r="K27" s="113">
        <f t="shared" si="11"/>
        <v>989963.83851652173</v>
      </c>
      <c r="L27" s="54">
        <f t="shared" ref="L27" si="13">IF(K27&lt;&gt;0,+G27-K27,0)</f>
        <v>0</v>
      </c>
      <c r="M27" s="113">
        <f t="shared" si="12"/>
        <v>989963.83851652173</v>
      </c>
      <c r="N27" s="54">
        <f t="shared" si="1"/>
        <v>0</v>
      </c>
      <c r="O27" s="54">
        <f t="shared" si="2"/>
        <v>0</v>
      </c>
      <c r="P27" s="1"/>
    </row>
    <row r="28" spans="2:16" ht="12.5">
      <c r="B28" s="7" t="str">
        <f t="shared" si="5"/>
        <v/>
      </c>
      <c r="C28" s="50">
        <f t="shared" si="6"/>
        <v>2020</v>
      </c>
      <c r="D28" s="137">
        <v>6074213.413941063</v>
      </c>
      <c r="E28" s="376">
        <v>204943.59707317073</v>
      </c>
      <c r="F28" s="137">
        <v>5869269.8168678926</v>
      </c>
      <c r="G28" s="376">
        <v>816064.49414072814</v>
      </c>
      <c r="H28" s="375">
        <v>816064.49414072814</v>
      </c>
      <c r="I28" s="52">
        <f t="shared" si="7"/>
        <v>0</v>
      </c>
      <c r="J28" s="52"/>
      <c r="K28" s="113">
        <f t="shared" si="11"/>
        <v>816064.49414072814</v>
      </c>
      <c r="L28" s="54">
        <f t="shared" ref="L28" si="14">IF(K28&lt;&gt;0,+G28-K28,0)</f>
        <v>0</v>
      </c>
      <c r="M28" s="113">
        <f t="shared" si="12"/>
        <v>816064.49414072814</v>
      </c>
      <c r="N28" s="54">
        <f t="shared" si="1"/>
        <v>0</v>
      </c>
      <c r="O28" s="54">
        <f t="shared" si="2"/>
        <v>0</v>
      </c>
      <c r="P28" s="1"/>
    </row>
    <row r="29" spans="2:16" ht="12.5">
      <c r="B29" s="7" t="str">
        <f t="shared" si="5"/>
        <v>IU</v>
      </c>
      <c r="C29" s="50">
        <f t="shared" si="6"/>
        <v>2021</v>
      </c>
      <c r="D29" s="137">
        <v>5878802.0771968784</v>
      </c>
      <c r="E29" s="376">
        <v>200063.98761904764</v>
      </c>
      <c r="F29" s="137">
        <v>5678738.0895778304</v>
      </c>
      <c r="G29" s="376">
        <v>812639.88121443952</v>
      </c>
      <c r="H29" s="375">
        <v>812639.88121443952</v>
      </c>
      <c r="I29" s="52">
        <f t="shared" si="7"/>
        <v>0</v>
      </c>
      <c r="J29" s="52"/>
      <c r="K29" s="113">
        <f t="shared" si="11"/>
        <v>812639.88121443952</v>
      </c>
      <c r="L29" s="54">
        <f t="shared" ref="L29" si="15">IF(K29&lt;&gt;0,+G29-K29,0)</f>
        <v>0</v>
      </c>
      <c r="M29" s="113">
        <f t="shared" si="12"/>
        <v>812639.88121443952</v>
      </c>
      <c r="N29" s="54">
        <f t="shared" si="1"/>
        <v>0</v>
      </c>
      <c r="O29" s="54">
        <f t="shared" si="2"/>
        <v>0</v>
      </c>
      <c r="P29" s="1"/>
    </row>
    <row r="30" spans="2:16" ht="12.5">
      <c r="B30" s="7" t="str">
        <f t="shared" si="5"/>
        <v>IU</v>
      </c>
      <c r="C30" s="50">
        <f t="shared" si="6"/>
        <v>2022</v>
      </c>
      <c r="D30" s="137">
        <v>5669205.8292488456</v>
      </c>
      <c r="E30" s="376">
        <v>200063.98761904764</v>
      </c>
      <c r="F30" s="137">
        <v>5469141.8416297976</v>
      </c>
      <c r="G30" s="376">
        <v>826284.70992984762</v>
      </c>
      <c r="H30" s="375">
        <v>826284.70992984762</v>
      </c>
      <c r="I30" s="52">
        <f t="shared" si="7"/>
        <v>0</v>
      </c>
      <c r="J30" s="52"/>
      <c r="K30" s="113">
        <f t="shared" ref="K30" si="16">G30</f>
        <v>826284.70992984762</v>
      </c>
      <c r="L30" s="54">
        <f t="shared" ref="L30" si="17">IF(K30&lt;&gt;0,+G30-K30,0)</f>
        <v>0</v>
      </c>
      <c r="M30" s="113">
        <f t="shared" ref="M30" si="18">H30</f>
        <v>826284.70992984762</v>
      </c>
      <c r="N30" s="54">
        <f t="shared" si="1"/>
        <v>0</v>
      </c>
      <c r="O30" s="54">
        <f t="shared" si="2"/>
        <v>0</v>
      </c>
      <c r="P30" s="1"/>
    </row>
    <row r="31" spans="2:16" ht="12.5">
      <c r="B31" s="7"/>
      <c r="C31" s="50">
        <f t="shared" si="6"/>
        <v>2023</v>
      </c>
      <c r="D31" s="137">
        <v>5469141.3616297981</v>
      </c>
      <c r="E31" s="376">
        <v>200063.97619047618</v>
      </c>
      <c r="F31" s="137">
        <v>5269077.3854393223</v>
      </c>
      <c r="G31" s="376">
        <v>878326.3176604046</v>
      </c>
      <c r="H31" s="375">
        <v>878326.3176604046</v>
      </c>
      <c r="I31" s="52">
        <f t="shared" si="7"/>
        <v>0</v>
      </c>
      <c r="J31" s="52"/>
      <c r="K31" s="113">
        <f t="shared" ref="K31" si="19">G31</f>
        <v>878326.3176604046</v>
      </c>
      <c r="L31" s="54">
        <f t="shared" ref="L31" si="20">IF(K31&lt;&gt;0,+G31-K31,0)</f>
        <v>0</v>
      </c>
      <c r="M31" s="113">
        <f t="shared" ref="M31" si="21">H31</f>
        <v>878326.3176604046</v>
      </c>
      <c r="N31" s="54">
        <f t="shared" si="1"/>
        <v>0</v>
      </c>
      <c r="O31" s="54">
        <f t="shared" si="2"/>
        <v>0</v>
      </c>
      <c r="P31" s="1"/>
    </row>
    <row r="32" spans="2:16" ht="12.5">
      <c r="B32" s="401" t="str">
        <f t="shared" si="5"/>
        <v/>
      </c>
      <c r="C32" s="50">
        <f t="shared" si="6"/>
        <v>2024</v>
      </c>
      <c r="D32" s="137">
        <v>5269077.3854393223</v>
      </c>
      <c r="E32" s="376">
        <v>190970.15909090909</v>
      </c>
      <c r="F32" s="137">
        <v>5078107.2263484132</v>
      </c>
      <c r="G32" s="376">
        <v>809354.80776179023</v>
      </c>
      <c r="H32" s="375">
        <v>809354.80776179023</v>
      </c>
      <c r="I32" s="52">
        <f t="shared" si="7"/>
        <v>0</v>
      </c>
      <c r="J32" s="52"/>
      <c r="K32" s="113">
        <f t="shared" ref="K32" si="22">G32</f>
        <v>809354.80776179023</v>
      </c>
      <c r="L32" s="54">
        <f t="shared" ref="L32" si="23">IF(K32&lt;&gt;0,+G32-K32,0)</f>
        <v>0</v>
      </c>
      <c r="M32" s="113">
        <f t="shared" ref="M32" si="24">H32</f>
        <v>809354.80776179023</v>
      </c>
      <c r="N32" s="54">
        <f t="shared" ref="N32" si="25">IF(M32&lt;&gt;0,+H32-M32,0)</f>
        <v>0</v>
      </c>
      <c r="O32" s="54">
        <f t="shared" ref="O32" si="26">+N32-L32</f>
        <v>0</v>
      </c>
      <c r="P32" s="1"/>
    </row>
    <row r="33" spans="2:16" ht="12.5">
      <c r="B33" s="7" t="str">
        <f t="shared" si="5"/>
        <v/>
      </c>
      <c r="C33" s="50">
        <f t="shared" si="6"/>
        <v>2025</v>
      </c>
      <c r="D33" s="55">
        <f>IF(F32+SUM(E$17:E32)=D$10,F32,D$10-SUM(E$17:E32))</f>
        <v>5078107.2263484132</v>
      </c>
      <c r="E33" s="378">
        <f t="shared" ref="E33:E72" si="27">IF(+I$14&lt;F32,I$14,D33)</f>
        <v>190970.15909090909</v>
      </c>
      <c r="F33" s="55">
        <f t="shared" ref="F33:F72" si="28">+D33-E33</f>
        <v>4887137.067257504</v>
      </c>
      <c r="G33" s="379">
        <f t="shared" ref="G33:G72" si="29">+I$12*((D33+F33)/2)+E33</f>
        <v>786528.69241413893</v>
      </c>
      <c r="H33" s="364">
        <f t="shared" ref="H33:H72" si="30">+I$13*((D33+F33)/2)+E33</f>
        <v>786528.69241413893</v>
      </c>
      <c r="I33" s="52">
        <f t="shared" si="7"/>
        <v>0</v>
      </c>
      <c r="J33" s="52"/>
      <c r="K33" s="129"/>
      <c r="L33" s="54">
        <f t="shared" si="0"/>
        <v>0</v>
      </c>
      <c r="M33" s="129"/>
      <c r="N33" s="54">
        <f t="shared" si="1"/>
        <v>0</v>
      </c>
      <c r="O33" s="54">
        <f t="shared" si="2"/>
        <v>0</v>
      </c>
      <c r="P33" s="1"/>
    </row>
    <row r="34" spans="2:16" ht="12.5">
      <c r="B34" s="7" t="str">
        <f t="shared" si="5"/>
        <v/>
      </c>
      <c r="C34" s="50">
        <f t="shared" si="6"/>
        <v>2026</v>
      </c>
      <c r="D34" s="55">
        <f>IF(F33+SUM(E$17:E33)=D$10,F33,D$10-SUM(E$17:E33))</f>
        <v>4887137.067257504</v>
      </c>
      <c r="E34" s="378">
        <f t="shared" si="27"/>
        <v>190970.15909090909</v>
      </c>
      <c r="F34" s="55">
        <f t="shared" si="28"/>
        <v>4696166.9081665948</v>
      </c>
      <c r="G34" s="379">
        <f t="shared" si="29"/>
        <v>763702.57706648787</v>
      </c>
      <c r="H34" s="364">
        <f t="shared" si="30"/>
        <v>763702.57706648787</v>
      </c>
      <c r="I34" s="52">
        <f t="shared" si="7"/>
        <v>0</v>
      </c>
      <c r="J34" s="52"/>
      <c r="K34" s="129"/>
      <c r="L34" s="54">
        <f t="shared" si="0"/>
        <v>0</v>
      </c>
      <c r="M34" s="129"/>
      <c r="N34" s="54">
        <f t="shared" si="1"/>
        <v>0</v>
      </c>
      <c r="O34" s="54">
        <f t="shared" si="2"/>
        <v>0</v>
      </c>
      <c r="P34" s="1"/>
    </row>
    <row r="35" spans="2:16" ht="12.5">
      <c r="B35" s="7" t="str">
        <f t="shared" si="5"/>
        <v/>
      </c>
      <c r="C35" s="50">
        <f t="shared" si="6"/>
        <v>2027</v>
      </c>
      <c r="D35" s="55">
        <f>IF(F34+SUM(E$17:E34)=D$10,F34,D$10-SUM(E$17:E34))</f>
        <v>4696166.9081665948</v>
      </c>
      <c r="E35" s="378">
        <f t="shared" si="27"/>
        <v>190970.15909090909</v>
      </c>
      <c r="F35" s="55">
        <f t="shared" si="28"/>
        <v>4505196.7490756856</v>
      </c>
      <c r="G35" s="379">
        <f t="shared" si="29"/>
        <v>740876.46171883657</v>
      </c>
      <c r="H35" s="364">
        <f t="shared" si="30"/>
        <v>740876.46171883657</v>
      </c>
      <c r="I35" s="52">
        <f t="shared" si="7"/>
        <v>0</v>
      </c>
      <c r="J35" s="52"/>
      <c r="K35" s="129"/>
      <c r="L35" s="54">
        <f t="shared" si="0"/>
        <v>0</v>
      </c>
      <c r="M35" s="129"/>
      <c r="N35" s="54">
        <f t="shared" si="1"/>
        <v>0</v>
      </c>
      <c r="O35" s="54">
        <f t="shared" si="2"/>
        <v>0</v>
      </c>
      <c r="P35" s="1"/>
    </row>
    <row r="36" spans="2:16" ht="12.5">
      <c r="B36" s="7" t="str">
        <f t="shared" si="5"/>
        <v/>
      </c>
      <c r="C36" s="50">
        <f t="shared" si="6"/>
        <v>2028</v>
      </c>
      <c r="D36" s="55">
        <f>IF(F35+SUM(E$17:E35)=D$10,F35,D$10-SUM(E$17:E35))</f>
        <v>4505196.7490756856</v>
      </c>
      <c r="E36" s="378">
        <f t="shared" si="27"/>
        <v>190970.15909090909</v>
      </c>
      <c r="F36" s="55">
        <f t="shared" si="28"/>
        <v>4314226.5899847765</v>
      </c>
      <c r="G36" s="379">
        <f t="shared" si="29"/>
        <v>718050.3463711855</v>
      </c>
      <c r="H36" s="364">
        <f t="shared" si="30"/>
        <v>718050.3463711855</v>
      </c>
      <c r="I36" s="52">
        <f t="shared" si="7"/>
        <v>0</v>
      </c>
      <c r="J36" s="52"/>
      <c r="K36" s="129"/>
      <c r="L36" s="54">
        <f t="shared" si="0"/>
        <v>0</v>
      </c>
      <c r="M36" s="129"/>
      <c r="N36" s="54">
        <f t="shared" si="1"/>
        <v>0</v>
      </c>
      <c r="O36" s="54">
        <f t="shared" si="2"/>
        <v>0</v>
      </c>
      <c r="P36" s="1"/>
    </row>
    <row r="37" spans="2:16" ht="12.5">
      <c r="B37" s="7" t="str">
        <f t="shared" si="5"/>
        <v/>
      </c>
      <c r="C37" s="50">
        <f t="shared" si="6"/>
        <v>2029</v>
      </c>
      <c r="D37" s="55">
        <f>IF(F36+SUM(E$17:E36)=D$10,F36,D$10-SUM(E$17:E36))</f>
        <v>4314226.5899847765</v>
      </c>
      <c r="E37" s="378">
        <f t="shared" si="27"/>
        <v>190970.15909090909</v>
      </c>
      <c r="F37" s="55">
        <f t="shared" si="28"/>
        <v>4123256.4308938673</v>
      </c>
      <c r="G37" s="379">
        <f t="shared" si="29"/>
        <v>695224.2310235342</v>
      </c>
      <c r="H37" s="364">
        <f t="shared" si="30"/>
        <v>695224.2310235342</v>
      </c>
      <c r="I37" s="52">
        <f t="shared" si="7"/>
        <v>0</v>
      </c>
      <c r="J37" s="52"/>
      <c r="K37" s="129"/>
      <c r="L37" s="54">
        <f t="shared" si="0"/>
        <v>0</v>
      </c>
      <c r="M37" s="129"/>
      <c r="N37" s="54">
        <f t="shared" si="1"/>
        <v>0</v>
      </c>
      <c r="O37" s="54">
        <f t="shared" si="2"/>
        <v>0</v>
      </c>
      <c r="P37" s="1"/>
    </row>
    <row r="38" spans="2:16" ht="12.5">
      <c r="B38" s="7" t="str">
        <f t="shared" si="5"/>
        <v/>
      </c>
      <c r="C38" s="50">
        <f t="shared" si="6"/>
        <v>2030</v>
      </c>
      <c r="D38" s="55">
        <f>IF(F37+SUM(E$17:E37)=D$10,F37,D$10-SUM(E$17:E37))</f>
        <v>4123256.4308938673</v>
      </c>
      <c r="E38" s="378">
        <f t="shared" si="27"/>
        <v>190970.15909090909</v>
      </c>
      <c r="F38" s="55">
        <f t="shared" si="28"/>
        <v>3932286.2718029581</v>
      </c>
      <c r="G38" s="379">
        <f t="shared" si="29"/>
        <v>672398.11567588302</v>
      </c>
      <c r="H38" s="364">
        <f t="shared" si="30"/>
        <v>672398.11567588302</v>
      </c>
      <c r="I38" s="52">
        <f t="shared" si="7"/>
        <v>0</v>
      </c>
      <c r="J38" s="52"/>
      <c r="K38" s="129"/>
      <c r="L38" s="54">
        <f t="shared" si="0"/>
        <v>0</v>
      </c>
      <c r="M38" s="129"/>
      <c r="N38" s="54">
        <f t="shared" si="1"/>
        <v>0</v>
      </c>
      <c r="O38" s="54">
        <f t="shared" si="2"/>
        <v>0</v>
      </c>
      <c r="P38" s="1"/>
    </row>
    <row r="39" spans="2:16" ht="12.5">
      <c r="B39" s="7" t="str">
        <f t="shared" si="5"/>
        <v/>
      </c>
      <c r="C39" s="50">
        <f t="shared" si="6"/>
        <v>2031</v>
      </c>
      <c r="D39" s="55">
        <f>IF(F38+SUM(E$17:E38)=D$10,F38,D$10-SUM(E$17:E38))</f>
        <v>3932286.2718029581</v>
      </c>
      <c r="E39" s="378">
        <f t="shared" si="27"/>
        <v>190970.15909090909</v>
      </c>
      <c r="F39" s="55">
        <f t="shared" si="28"/>
        <v>3741316.1127120489</v>
      </c>
      <c r="G39" s="379">
        <f t="shared" si="29"/>
        <v>649572.00032823184</v>
      </c>
      <c r="H39" s="364">
        <f t="shared" si="30"/>
        <v>649572.00032823184</v>
      </c>
      <c r="I39" s="52">
        <f t="shared" si="7"/>
        <v>0</v>
      </c>
      <c r="J39" s="52"/>
      <c r="K39" s="129"/>
      <c r="L39" s="54">
        <f t="shared" si="0"/>
        <v>0</v>
      </c>
      <c r="M39" s="129"/>
      <c r="N39" s="54">
        <f t="shared" si="1"/>
        <v>0</v>
      </c>
      <c r="O39" s="54">
        <f t="shared" si="2"/>
        <v>0</v>
      </c>
      <c r="P39" s="1"/>
    </row>
    <row r="40" spans="2:16" ht="12.5">
      <c r="B40" s="7" t="str">
        <f t="shared" si="5"/>
        <v/>
      </c>
      <c r="C40" s="50">
        <f t="shared" si="6"/>
        <v>2032</v>
      </c>
      <c r="D40" s="55">
        <f>IF(F39+SUM(E$17:E39)=D$10,F39,D$10-SUM(E$17:E39))</f>
        <v>3741316.1127120489</v>
      </c>
      <c r="E40" s="378">
        <f t="shared" si="27"/>
        <v>190970.15909090909</v>
      </c>
      <c r="F40" s="55">
        <f t="shared" si="28"/>
        <v>3550345.9536211397</v>
      </c>
      <c r="G40" s="379">
        <f t="shared" si="29"/>
        <v>626745.88498058065</v>
      </c>
      <c r="H40" s="364">
        <f t="shared" si="30"/>
        <v>626745.88498058065</v>
      </c>
      <c r="I40" s="52">
        <f t="shared" si="7"/>
        <v>0</v>
      </c>
      <c r="J40" s="52"/>
      <c r="K40" s="129"/>
      <c r="L40" s="54">
        <f t="shared" si="0"/>
        <v>0</v>
      </c>
      <c r="M40" s="129"/>
      <c r="N40" s="54">
        <f t="shared" si="1"/>
        <v>0</v>
      </c>
      <c r="O40" s="54">
        <f t="shared" si="2"/>
        <v>0</v>
      </c>
      <c r="P40" s="1"/>
    </row>
    <row r="41" spans="2:16" ht="12.5">
      <c r="B41" s="7" t="str">
        <f t="shared" si="5"/>
        <v/>
      </c>
      <c r="C41" s="50">
        <f t="shared" si="6"/>
        <v>2033</v>
      </c>
      <c r="D41" s="55">
        <f>IF(F40+SUM(E$17:E40)=D$10,F40,D$10-SUM(E$17:E40))</f>
        <v>3550345.9536211397</v>
      </c>
      <c r="E41" s="378">
        <f t="shared" si="27"/>
        <v>190970.15909090909</v>
      </c>
      <c r="F41" s="55">
        <f t="shared" si="28"/>
        <v>3359375.7945302306</v>
      </c>
      <c r="G41" s="379">
        <f t="shared" si="29"/>
        <v>603919.76963292947</v>
      </c>
      <c r="H41" s="364">
        <f t="shared" si="30"/>
        <v>603919.76963292947</v>
      </c>
      <c r="I41" s="52">
        <f t="shared" si="7"/>
        <v>0</v>
      </c>
      <c r="J41" s="52"/>
      <c r="K41" s="129"/>
      <c r="L41" s="54">
        <f t="shared" si="0"/>
        <v>0</v>
      </c>
      <c r="M41" s="129"/>
      <c r="N41" s="54">
        <f t="shared" si="1"/>
        <v>0</v>
      </c>
      <c r="O41" s="54">
        <f t="shared" si="2"/>
        <v>0</v>
      </c>
      <c r="P41" s="1"/>
    </row>
    <row r="42" spans="2:16" ht="12.5">
      <c r="B42" s="7" t="str">
        <f t="shared" si="5"/>
        <v/>
      </c>
      <c r="C42" s="50">
        <f t="shared" si="6"/>
        <v>2034</v>
      </c>
      <c r="D42" s="55">
        <f>IF(F41+SUM(E$17:E41)=D$10,F41,D$10-SUM(E$17:E41))</f>
        <v>3359375.7945302306</v>
      </c>
      <c r="E42" s="378">
        <f t="shared" si="27"/>
        <v>190970.15909090909</v>
      </c>
      <c r="F42" s="55">
        <f t="shared" si="28"/>
        <v>3168405.6354393214</v>
      </c>
      <c r="G42" s="379">
        <f t="shared" si="29"/>
        <v>581093.65428527829</v>
      </c>
      <c r="H42" s="364">
        <f t="shared" si="30"/>
        <v>581093.65428527829</v>
      </c>
      <c r="I42" s="52">
        <f t="shared" si="7"/>
        <v>0</v>
      </c>
      <c r="J42" s="52"/>
      <c r="K42" s="129"/>
      <c r="L42" s="54">
        <f t="shared" si="0"/>
        <v>0</v>
      </c>
      <c r="M42" s="129"/>
      <c r="N42" s="54">
        <f t="shared" si="1"/>
        <v>0</v>
      </c>
      <c r="O42" s="54">
        <f t="shared" si="2"/>
        <v>0</v>
      </c>
      <c r="P42" s="1"/>
    </row>
    <row r="43" spans="2:16" ht="12.5">
      <c r="B43" s="7" t="str">
        <f t="shared" si="5"/>
        <v/>
      </c>
      <c r="C43" s="50">
        <f t="shared" si="6"/>
        <v>2035</v>
      </c>
      <c r="D43" s="55">
        <f>IF(F42+SUM(E$17:E42)=D$10,F42,D$10-SUM(E$17:E42))</f>
        <v>3168405.6354393214</v>
      </c>
      <c r="E43" s="378">
        <f t="shared" si="27"/>
        <v>190970.15909090909</v>
      </c>
      <c r="F43" s="55">
        <f t="shared" si="28"/>
        <v>2977435.4763484122</v>
      </c>
      <c r="G43" s="379">
        <f t="shared" si="29"/>
        <v>558267.53893762711</v>
      </c>
      <c r="H43" s="364">
        <f t="shared" si="30"/>
        <v>558267.53893762711</v>
      </c>
      <c r="I43" s="52">
        <f t="shared" si="7"/>
        <v>0</v>
      </c>
      <c r="J43" s="52"/>
      <c r="K43" s="129"/>
      <c r="L43" s="54">
        <f t="shared" si="0"/>
        <v>0</v>
      </c>
      <c r="M43" s="129"/>
      <c r="N43" s="54">
        <f t="shared" si="1"/>
        <v>0</v>
      </c>
      <c r="O43" s="54">
        <f t="shared" si="2"/>
        <v>0</v>
      </c>
      <c r="P43" s="1"/>
    </row>
    <row r="44" spans="2:16" ht="12.5">
      <c r="B44" s="7" t="str">
        <f t="shared" si="5"/>
        <v/>
      </c>
      <c r="C44" s="50">
        <f t="shared" si="6"/>
        <v>2036</v>
      </c>
      <c r="D44" s="55">
        <f>IF(F43+SUM(E$17:E43)=D$10,F43,D$10-SUM(E$17:E43))</f>
        <v>2977435.4763484122</v>
      </c>
      <c r="E44" s="378">
        <f t="shared" si="27"/>
        <v>190970.15909090909</v>
      </c>
      <c r="F44" s="55">
        <f t="shared" si="28"/>
        <v>2786465.317257503</v>
      </c>
      <c r="G44" s="379">
        <f t="shared" si="29"/>
        <v>535441.42358997592</v>
      </c>
      <c r="H44" s="364">
        <f t="shared" si="30"/>
        <v>535441.42358997592</v>
      </c>
      <c r="I44" s="52">
        <f t="shared" si="7"/>
        <v>0</v>
      </c>
      <c r="J44" s="52"/>
      <c r="K44" s="129"/>
      <c r="L44" s="54">
        <f t="shared" si="0"/>
        <v>0</v>
      </c>
      <c r="M44" s="129"/>
      <c r="N44" s="54">
        <f t="shared" si="1"/>
        <v>0</v>
      </c>
      <c r="O44" s="54">
        <f t="shared" si="2"/>
        <v>0</v>
      </c>
      <c r="P44" s="1"/>
    </row>
    <row r="45" spans="2:16" ht="12.5">
      <c r="B45" s="7" t="str">
        <f t="shared" si="5"/>
        <v/>
      </c>
      <c r="C45" s="50">
        <f t="shared" si="6"/>
        <v>2037</v>
      </c>
      <c r="D45" s="55">
        <f>IF(F44+SUM(E$17:E44)=D$10,F44,D$10-SUM(E$17:E44))</f>
        <v>2786465.317257503</v>
      </c>
      <c r="E45" s="378">
        <f t="shared" si="27"/>
        <v>190970.15909090909</v>
      </c>
      <c r="F45" s="55">
        <f t="shared" si="28"/>
        <v>2595495.1581665939</v>
      </c>
      <c r="G45" s="379">
        <f t="shared" si="29"/>
        <v>512615.30824232474</v>
      </c>
      <c r="H45" s="364">
        <f t="shared" si="30"/>
        <v>512615.30824232474</v>
      </c>
      <c r="I45" s="52">
        <f t="shared" si="7"/>
        <v>0</v>
      </c>
      <c r="J45" s="52"/>
      <c r="K45" s="129"/>
      <c r="L45" s="54">
        <f t="shared" si="0"/>
        <v>0</v>
      </c>
      <c r="M45" s="129"/>
      <c r="N45" s="54">
        <f t="shared" si="1"/>
        <v>0</v>
      </c>
      <c r="O45" s="54">
        <f t="shared" si="2"/>
        <v>0</v>
      </c>
      <c r="P45" s="1"/>
    </row>
    <row r="46" spans="2:16" ht="12.5">
      <c r="B46" s="7" t="str">
        <f t="shared" si="5"/>
        <v/>
      </c>
      <c r="C46" s="50">
        <f t="shared" si="6"/>
        <v>2038</v>
      </c>
      <c r="D46" s="55">
        <f>IF(F45+SUM(E$17:E45)=D$10,F45,D$10-SUM(E$17:E45))</f>
        <v>2595495.1581665939</v>
      </c>
      <c r="E46" s="378">
        <f t="shared" si="27"/>
        <v>190970.15909090909</v>
      </c>
      <c r="F46" s="55">
        <f t="shared" si="28"/>
        <v>2404524.9990756847</v>
      </c>
      <c r="G46" s="379">
        <f t="shared" si="29"/>
        <v>489789.19289467356</v>
      </c>
      <c r="H46" s="364">
        <f t="shared" si="30"/>
        <v>489789.19289467356</v>
      </c>
      <c r="I46" s="52">
        <f t="shared" si="7"/>
        <v>0</v>
      </c>
      <c r="J46" s="52"/>
      <c r="K46" s="129"/>
      <c r="L46" s="54">
        <f t="shared" si="0"/>
        <v>0</v>
      </c>
      <c r="M46" s="129"/>
      <c r="N46" s="54">
        <f t="shared" si="1"/>
        <v>0</v>
      </c>
      <c r="O46" s="54">
        <f t="shared" si="2"/>
        <v>0</v>
      </c>
      <c r="P46" s="1"/>
    </row>
    <row r="47" spans="2:16" ht="12.5">
      <c r="B47" s="7" t="str">
        <f t="shared" si="5"/>
        <v/>
      </c>
      <c r="C47" s="50">
        <f t="shared" si="6"/>
        <v>2039</v>
      </c>
      <c r="D47" s="55">
        <f>IF(F46+SUM(E$17:E46)=D$10,F46,D$10-SUM(E$17:E46))</f>
        <v>2404524.9990756847</v>
      </c>
      <c r="E47" s="378">
        <f t="shared" si="27"/>
        <v>190970.15909090909</v>
      </c>
      <c r="F47" s="55">
        <f t="shared" si="28"/>
        <v>2213554.8399847755</v>
      </c>
      <c r="G47" s="379">
        <f t="shared" si="29"/>
        <v>466963.07754702226</v>
      </c>
      <c r="H47" s="364">
        <f t="shared" si="30"/>
        <v>466963.07754702226</v>
      </c>
      <c r="I47" s="52">
        <f t="shared" si="7"/>
        <v>0</v>
      </c>
      <c r="J47" s="52"/>
      <c r="K47" s="129"/>
      <c r="L47" s="54">
        <f t="shared" si="0"/>
        <v>0</v>
      </c>
      <c r="M47" s="129"/>
      <c r="N47" s="54">
        <f t="shared" si="1"/>
        <v>0</v>
      </c>
      <c r="O47" s="54">
        <f t="shared" si="2"/>
        <v>0</v>
      </c>
      <c r="P47" s="1"/>
    </row>
    <row r="48" spans="2:16" ht="12.5">
      <c r="B48" s="7" t="str">
        <f t="shared" si="5"/>
        <v/>
      </c>
      <c r="C48" s="50">
        <f t="shared" si="6"/>
        <v>2040</v>
      </c>
      <c r="D48" s="55">
        <f>IF(F47+SUM(E$17:E47)=D$10,F47,D$10-SUM(E$17:E47))</f>
        <v>2213554.8399847755</v>
      </c>
      <c r="E48" s="378">
        <f t="shared" si="27"/>
        <v>190970.15909090909</v>
      </c>
      <c r="F48" s="55">
        <f t="shared" si="28"/>
        <v>2022584.6808938663</v>
      </c>
      <c r="G48" s="379">
        <f t="shared" si="29"/>
        <v>444136.96219937108</v>
      </c>
      <c r="H48" s="364">
        <f t="shared" si="30"/>
        <v>444136.96219937108</v>
      </c>
      <c r="I48" s="52">
        <f t="shared" si="7"/>
        <v>0</v>
      </c>
      <c r="J48" s="52"/>
      <c r="K48" s="129"/>
      <c r="L48" s="54">
        <f t="shared" si="0"/>
        <v>0</v>
      </c>
      <c r="M48" s="129"/>
      <c r="N48" s="54">
        <f t="shared" si="1"/>
        <v>0</v>
      </c>
      <c r="O48" s="54">
        <f t="shared" si="2"/>
        <v>0</v>
      </c>
      <c r="P48" s="1"/>
    </row>
    <row r="49" spans="2:17" ht="12.5">
      <c r="B49" s="7" t="str">
        <f t="shared" si="5"/>
        <v/>
      </c>
      <c r="C49" s="50">
        <f t="shared" si="6"/>
        <v>2041</v>
      </c>
      <c r="D49" s="55">
        <f>IF(F48+SUM(E$17:E48)=D$10,F48,D$10-SUM(E$17:E48))</f>
        <v>2022584.6808938663</v>
      </c>
      <c r="E49" s="378">
        <f t="shared" si="27"/>
        <v>190970.15909090909</v>
      </c>
      <c r="F49" s="55">
        <f t="shared" si="28"/>
        <v>1831614.5218029572</v>
      </c>
      <c r="G49" s="379">
        <f t="shared" si="29"/>
        <v>421310.84685171989</v>
      </c>
      <c r="H49" s="364">
        <f t="shared" si="30"/>
        <v>421310.84685171989</v>
      </c>
      <c r="I49" s="52">
        <f t="shared" si="7"/>
        <v>0</v>
      </c>
      <c r="J49" s="52"/>
      <c r="K49" s="129"/>
      <c r="L49" s="54">
        <f t="shared" ref="L49:L72" si="31">IF(K49&lt;&gt;0,+G49-K49,0)</f>
        <v>0</v>
      </c>
      <c r="M49" s="129"/>
      <c r="N49" s="54">
        <f t="shared" ref="N49:N72" si="32">IF(M49&lt;&gt;0,+H49-M49,0)</f>
        <v>0</v>
      </c>
      <c r="O49" s="54">
        <f t="shared" ref="O49:O72" si="33">+N49-L49</f>
        <v>0</v>
      </c>
      <c r="P49" s="1"/>
    </row>
    <row r="50" spans="2:17" ht="12.5">
      <c r="B50" s="7" t="str">
        <f t="shared" si="5"/>
        <v/>
      </c>
      <c r="C50" s="50">
        <f t="shared" si="6"/>
        <v>2042</v>
      </c>
      <c r="D50" s="55">
        <f>IF(F49+SUM(E$17:E49)=D$10,F49,D$10-SUM(E$17:E49))</f>
        <v>1831614.5218029572</v>
      </c>
      <c r="E50" s="378">
        <f t="shared" si="27"/>
        <v>190970.15909090909</v>
      </c>
      <c r="F50" s="55">
        <f t="shared" si="28"/>
        <v>1640644.362712048</v>
      </c>
      <c r="G50" s="379">
        <f t="shared" si="29"/>
        <v>398484.73150406871</v>
      </c>
      <c r="H50" s="364">
        <f t="shared" si="30"/>
        <v>398484.73150406871</v>
      </c>
      <c r="I50" s="52">
        <f t="shared" si="7"/>
        <v>0</v>
      </c>
      <c r="J50" s="52"/>
      <c r="K50" s="129"/>
      <c r="L50" s="54">
        <f t="shared" si="31"/>
        <v>0</v>
      </c>
      <c r="M50" s="129"/>
      <c r="N50" s="54">
        <f t="shared" si="32"/>
        <v>0</v>
      </c>
      <c r="O50" s="54">
        <f t="shared" si="33"/>
        <v>0</v>
      </c>
      <c r="P50" s="1"/>
    </row>
    <row r="51" spans="2:17" ht="12.5">
      <c r="B51" s="7" t="str">
        <f t="shared" si="5"/>
        <v/>
      </c>
      <c r="C51" s="50">
        <f t="shared" si="6"/>
        <v>2043</v>
      </c>
      <c r="D51" s="55">
        <f>IF(F50+SUM(E$17:E50)=D$10,F50,D$10-SUM(E$17:E50))</f>
        <v>1640644.362712048</v>
      </c>
      <c r="E51" s="378">
        <f t="shared" si="27"/>
        <v>190970.15909090909</v>
      </c>
      <c r="F51" s="55">
        <f t="shared" si="28"/>
        <v>1449674.2036211388</v>
      </c>
      <c r="G51" s="379">
        <f t="shared" si="29"/>
        <v>375658.61615641753</v>
      </c>
      <c r="H51" s="364">
        <f t="shared" si="30"/>
        <v>375658.61615641753</v>
      </c>
      <c r="I51" s="52">
        <f t="shared" si="7"/>
        <v>0</v>
      </c>
      <c r="J51" s="52"/>
      <c r="K51" s="129"/>
      <c r="L51" s="54">
        <f t="shared" si="31"/>
        <v>0</v>
      </c>
      <c r="M51" s="129"/>
      <c r="N51" s="54">
        <f t="shared" si="32"/>
        <v>0</v>
      </c>
      <c r="O51" s="54">
        <f t="shared" si="33"/>
        <v>0</v>
      </c>
      <c r="P51" s="1"/>
    </row>
    <row r="52" spans="2:17" ht="12.5">
      <c r="B52" s="7" t="str">
        <f t="shared" si="5"/>
        <v/>
      </c>
      <c r="C52" s="50">
        <f t="shared" si="6"/>
        <v>2044</v>
      </c>
      <c r="D52" s="55">
        <f>IF(F51+SUM(E$17:E51)=D$10,F51,D$10-SUM(E$17:E51))</f>
        <v>1449674.2036211388</v>
      </c>
      <c r="E52" s="378">
        <f t="shared" si="27"/>
        <v>190970.15909090909</v>
      </c>
      <c r="F52" s="55">
        <f t="shared" si="28"/>
        <v>1258704.0445302296</v>
      </c>
      <c r="G52" s="379">
        <f t="shared" si="29"/>
        <v>352832.50080876634</v>
      </c>
      <c r="H52" s="364">
        <f t="shared" si="30"/>
        <v>352832.50080876634</v>
      </c>
      <c r="I52" s="52">
        <f t="shared" si="7"/>
        <v>0</v>
      </c>
      <c r="J52" s="52"/>
      <c r="K52" s="129"/>
      <c r="L52" s="54">
        <f t="shared" si="31"/>
        <v>0</v>
      </c>
      <c r="M52" s="129"/>
      <c r="N52" s="54">
        <f t="shared" si="32"/>
        <v>0</v>
      </c>
      <c r="O52" s="54">
        <f t="shared" si="33"/>
        <v>0</v>
      </c>
      <c r="P52" s="1"/>
    </row>
    <row r="53" spans="2:17" ht="12.5">
      <c r="B53" s="7" t="str">
        <f t="shared" si="5"/>
        <v/>
      </c>
      <c r="C53" s="50">
        <f t="shared" si="6"/>
        <v>2045</v>
      </c>
      <c r="D53" s="55">
        <f>IF(F52+SUM(E$17:E52)=D$10,F52,D$10-SUM(E$17:E52))</f>
        <v>1258704.0445302296</v>
      </c>
      <c r="E53" s="378">
        <f t="shared" si="27"/>
        <v>190970.15909090909</v>
      </c>
      <c r="F53" s="55">
        <f t="shared" si="28"/>
        <v>1067733.8854393205</v>
      </c>
      <c r="G53" s="379">
        <f t="shared" si="29"/>
        <v>330006.38546111516</v>
      </c>
      <c r="H53" s="364">
        <f t="shared" si="30"/>
        <v>330006.38546111516</v>
      </c>
      <c r="I53" s="52">
        <f t="shared" si="7"/>
        <v>0</v>
      </c>
      <c r="J53" s="52"/>
      <c r="K53" s="129"/>
      <c r="L53" s="54">
        <f t="shared" si="31"/>
        <v>0</v>
      </c>
      <c r="M53" s="129"/>
      <c r="N53" s="54">
        <f t="shared" si="32"/>
        <v>0</v>
      </c>
      <c r="O53" s="54">
        <f t="shared" si="33"/>
        <v>0</v>
      </c>
      <c r="P53" s="1"/>
    </row>
    <row r="54" spans="2:17" ht="12.5">
      <c r="B54" s="401" t="str">
        <f t="shared" si="5"/>
        <v/>
      </c>
      <c r="C54" s="50">
        <f t="shared" si="6"/>
        <v>2046</v>
      </c>
      <c r="D54" s="55">
        <f>IF(F53+SUM(E$17:E53)=D$10,F53,D$10-SUM(E$17:E53))</f>
        <v>1067733.8854393205</v>
      </c>
      <c r="E54" s="378">
        <f t="shared" si="27"/>
        <v>190970.15909090909</v>
      </c>
      <c r="F54" s="55">
        <f t="shared" si="28"/>
        <v>876763.72634841141</v>
      </c>
      <c r="G54" s="379">
        <f t="shared" si="29"/>
        <v>307180.27011346398</v>
      </c>
      <c r="H54" s="364">
        <f t="shared" si="30"/>
        <v>307180.27011346398</v>
      </c>
      <c r="I54" s="52">
        <f t="shared" si="7"/>
        <v>0</v>
      </c>
      <c r="J54" s="52"/>
      <c r="K54" s="129"/>
      <c r="L54" s="54">
        <f t="shared" si="31"/>
        <v>0</v>
      </c>
      <c r="M54" s="129"/>
      <c r="N54" s="54">
        <f t="shared" si="32"/>
        <v>0</v>
      </c>
      <c r="O54" s="54">
        <f t="shared" si="33"/>
        <v>0</v>
      </c>
      <c r="P54" s="1"/>
    </row>
    <row r="55" spans="2:17" ht="12.5">
      <c r="B55" s="7" t="str">
        <f t="shared" si="5"/>
        <v/>
      </c>
      <c r="C55" s="50">
        <f t="shared" si="6"/>
        <v>2047</v>
      </c>
      <c r="D55" s="55">
        <f>IF(F54+SUM(E$17:E54)=D$10,F54,D$10-SUM(E$17:E54))</f>
        <v>876763.72634841141</v>
      </c>
      <c r="E55" s="378">
        <f t="shared" si="27"/>
        <v>190970.15909090909</v>
      </c>
      <c r="F55" s="55">
        <f t="shared" si="28"/>
        <v>685793.56725750235</v>
      </c>
      <c r="G55" s="379">
        <f t="shared" si="29"/>
        <v>284354.1547658128</v>
      </c>
      <c r="H55" s="364">
        <f t="shared" si="30"/>
        <v>284354.1547658128</v>
      </c>
      <c r="I55" s="52">
        <f t="shared" si="7"/>
        <v>0</v>
      </c>
      <c r="J55" s="52"/>
      <c r="K55" s="129"/>
      <c r="L55" s="54">
        <f t="shared" si="31"/>
        <v>0</v>
      </c>
      <c r="M55" s="129"/>
      <c r="N55" s="54">
        <f t="shared" si="32"/>
        <v>0</v>
      </c>
      <c r="O55" s="54">
        <f t="shared" si="33"/>
        <v>0</v>
      </c>
      <c r="P55" s="1"/>
    </row>
    <row r="56" spans="2:17" ht="12.5">
      <c r="B56" s="7" t="str">
        <f t="shared" si="5"/>
        <v/>
      </c>
      <c r="C56" s="50">
        <f t="shared" si="6"/>
        <v>2048</v>
      </c>
      <c r="D56" s="55">
        <f>IF(F55+SUM(E$17:E55)=D$10,F55,D$10-SUM(E$17:E55))</f>
        <v>685793.56725750235</v>
      </c>
      <c r="E56" s="378">
        <f t="shared" si="27"/>
        <v>190970.15909090909</v>
      </c>
      <c r="F56" s="55">
        <f t="shared" si="28"/>
        <v>494823.40816659329</v>
      </c>
      <c r="G56" s="379">
        <f t="shared" si="29"/>
        <v>261528.03941816158</v>
      </c>
      <c r="H56" s="364">
        <f t="shared" si="30"/>
        <v>261528.03941816158</v>
      </c>
      <c r="I56" s="52">
        <f t="shared" si="7"/>
        <v>0</v>
      </c>
      <c r="J56" s="52"/>
      <c r="K56" s="129"/>
      <c r="L56" s="54">
        <f t="shared" si="31"/>
        <v>0</v>
      </c>
      <c r="M56" s="129"/>
      <c r="N56" s="54">
        <f t="shared" si="32"/>
        <v>0</v>
      </c>
      <c r="O56" s="54">
        <f t="shared" si="33"/>
        <v>0</v>
      </c>
      <c r="P56" s="1"/>
    </row>
    <row r="57" spans="2:17" ht="12.5">
      <c r="B57" s="7" t="str">
        <f t="shared" si="5"/>
        <v/>
      </c>
      <c r="C57" s="50">
        <f t="shared" si="6"/>
        <v>2049</v>
      </c>
      <c r="D57" s="55">
        <f>IF(F56+SUM(E$17:E56)=D$10,F56,D$10-SUM(E$17:E56))</f>
        <v>494823.40816659329</v>
      </c>
      <c r="E57" s="378">
        <f t="shared" si="27"/>
        <v>190970.15909090909</v>
      </c>
      <c r="F57" s="55">
        <f t="shared" si="28"/>
        <v>303853.24907568423</v>
      </c>
      <c r="G57" s="379">
        <f t="shared" si="29"/>
        <v>238701.9240705104</v>
      </c>
      <c r="H57" s="364">
        <f t="shared" si="30"/>
        <v>238701.9240705104</v>
      </c>
      <c r="I57" s="52">
        <f t="shared" si="7"/>
        <v>0</v>
      </c>
      <c r="J57" s="52"/>
      <c r="K57" s="129"/>
      <c r="L57" s="54">
        <f t="shared" si="31"/>
        <v>0</v>
      </c>
      <c r="M57" s="129"/>
      <c r="N57" s="54">
        <f t="shared" si="32"/>
        <v>0</v>
      </c>
      <c r="O57" s="54">
        <f t="shared" si="33"/>
        <v>0</v>
      </c>
      <c r="P57" s="1"/>
    </row>
    <row r="58" spans="2:17" ht="12.5">
      <c r="B58" s="7" t="str">
        <f t="shared" si="5"/>
        <v/>
      </c>
      <c r="C58" s="50">
        <f t="shared" si="6"/>
        <v>2050</v>
      </c>
      <c r="D58" s="55">
        <f>IF(F57+SUM(E$17:E57)=D$10,F57,D$10-SUM(E$17:E57))</f>
        <v>303853.24907568423</v>
      </c>
      <c r="E58" s="378">
        <f t="shared" si="27"/>
        <v>190970.15909090909</v>
      </c>
      <c r="F58" s="55">
        <f t="shared" si="28"/>
        <v>112883.08998477514</v>
      </c>
      <c r="G58" s="379">
        <f t="shared" si="29"/>
        <v>215875.80872285922</v>
      </c>
      <c r="H58" s="364">
        <f t="shared" si="30"/>
        <v>215875.80872285922</v>
      </c>
      <c r="I58" s="52">
        <f t="shared" si="7"/>
        <v>0</v>
      </c>
      <c r="J58" s="52"/>
      <c r="K58" s="129"/>
      <c r="L58" s="54">
        <f t="shared" si="31"/>
        <v>0</v>
      </c>
      <c r="M58" s="129"/>
      <c r="N58" s="54">
        <f t="shared" si="32"/>
        <v>0</v>
      </c>
      <c r="O58" s="54">
        <f t="shared" si="33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5"/>
        <v/>
      </c>
      <c r="C59" s="50">
        <f t="shared" si="6"/>
        <v>2051</v>
      </c>
      <c r="D59" s="55">
        <f>IF(F58+SUM(E$17:E58)=D$10,F58,D$10-SUM(E$17:E58))</f>
        <v>112883.08998477514</v>
      </c>
      <c r="E59" s="378">
        <f t="shared" si="27"/>
        <v>112883.08998477514</v>
      </c>
      <c r="F59" s="55">
        <f t="shared" si="28"/>
        <v>0</v>
      </c>
      <c r="G59" s="379">
        <f t="shared" si="29"/>
        <v>119629.38596383741</v>
      </c>
      <c r="H59" s="364">
        <f t="shared" si="30"/>
        <v>119629.38596383741</v>
      </c>
      <c r="I59" s="52">
        <f t="shared" si="7"/>
        <v>0</v>
      </c>
      <c r="J59" s="52"/>
      <c r="K59" s="129"/>
      <c r="L59" s="54">
        <f t="shared" si="31"/>
        <v>0</v>
      </c>
      <c r="M59" s="129"/>
      <c r="N59" s="54">
        <f t="shared" si="32"/>
        <v>0</v>
      </c>
      <c r="O59" s="54">
        <f t="shared" si="33"/>
        <v>0</v>
      </c>
      <c r="P59" s="1"/>
    </row>
    <row r="60" spans="2:17" ht="12.5">
      <c r="B60" s="7" t="str">
        <f t="shared" si="5"/>
        <v/>
      </c>
      <c r="C60" s="50">
        <f t="shared" si="6"/>
        <v>2052</v>
      </c>
      <c r="D60" s="55">
        <f>IF(F59+SUM(E$17:E59)=D$10,F59,D$10-SUM(E$17:E59))</f>
        <v>0</v>
      </c>
      <c r="E60" s="378">
        <f t="shared" si="27"/>
        <v>0</v>
      </c>
      <c r="F60" s="55">
        <f t="shared" si="28"/>
        <v>0</v>
      </c>
      <c r="G60" s="379">
        <f t="shared" si="29"/>
        <v>0</v>
      </c>
      <c r="H60" s="364">
        <f t="shared" si="30"/>
        <v>0</v>
      </c>
      <c r="I60" s="52">
        <f t="shared" si="7"/>
        <v>0</v>
      </c>
      <c r="J60" s="52"/>
      <c r="K60" s="129"/>
      <c r="L60" s="54">
        <f t="shared" si="31"/>
        <v>0</v>
      </c>
      <c r="M60" s="129"/>
      <c r="N60" s="54">
        <f t="shared" si="32"/>
        <v>0</v>
      </c>
      <c r="O60" s="54">
        <f t="shared" si="33"/>
        <v>0</v>
      </c>
      <c r="P60" s="1"/>
    </row>
    <row r="61" spans="2:17" ht="12.5">
      <c r="B61" s="7" t="str">
        <f t="shared" si="5"/>
        <v/>
      </c>
      <c r="C61" s="50">
        <f t="shared" si="6"/>
        <v>2053</v>
      </c>
      <c r="D61" s="55">
        <f>IF(F60+SUM(E$17:E60)=D$10,F60,D$10-SUM(E$17:E60))</f>
        <v>0</v>
      </c>
      <c r="E61" s="378">
        <f t="shared" si="27"/>
        <v>0</v>
      </c>
      <c r="F61" s="55">
        <f t="shared" si="28"/>
        <v>0</v>
      </c>
      <c r="G61" s="380">
        <f t="shared" si="29"/>
        <v>0</v>
      </c>
      <c r="H61" s="364">
        <f t="shared" si="30"/>
        <v>0</v>
      </c>
      <c r="I61" s="52">
        <f t="shared" si="7"/>
        <v>0</v>
      </c>
      <c r="J61" s="52"/>
      <c r="K61" s="129"/>
      <c r="L61" s="54">
        <f t="shared" si="31"/>
        <v>0</v>
      </c>
      <c r="M61" s="129"/>
      <c r="N61" s="54">
        <f t="shared" si="32"/>
        <v>0</v>
      </c>
      <c r="O61" s="54">
        <f t="shared" si="33"/>
        <v>0</v>
      </c>
      <c r="P61" s="1"/>
    </row>
    <row r="62" spans="2:17" ht="12.5">
      <c r="B62" s="7" t="str">
        <f t="shared" si="5"/>
        <v/>
      </c>
      <c r="C62" s="50">
        <f t="shared" si="6"/>
        <v>2054</v>
      </c>
      <c r="D62" s="55">
        <f>IF(F61+SUM(E$17:E61)=D$10,F61,D$10-SUM(E$17:E61))</f>
        <v>0</v>
      </c>
      <c r="E62" s="378">
        <f t="shared" si="27"/>
        <v>0</v>
      </c>
      <c r="F62" s="55">
        <f t="shared" si="28"/>
        <v>0</v>
      </c>
      <c r="G62" s="380">
        <f t="shared" si="29"/>
        <v>0</v>
      </c>
      <c r="H62" s="364">
        <f t="shared" si="30"/>
        <v>0</v>
      </c>
      <c r="I62" s="52">
        <f t="shared" si="7"/>
        <v>0</v>
      </c>
      <c r="J62" s="52"/>
      <c r="K62" s="129"/>
      <c r="L62" s="54">
        <f t="shared" si="31"/>
        <v>0</v>
      </c>
      <c r="M62" s="129"/>
      <c r="N62" s="54">
        <f t="shared" si="32"/>
        <v>0</v>
      </c>
      <c r="O62" s="54">
        <f t="shared" si="33"/>
        <v>0</v>
      </c>
      <c r="P62" s="1"/>
    </row>
    <row r="63" spans="2:17" ht="12.5">
      <c r="B63" s="7" t="str">
        <f t="shared" si="5"/>
        <v/>
      </c>
      <c r="C63" s="50">
        <f t="shared" si="6"/>
        <v>2055</v>
      </c>
      <c r="D63" s="55">
        <f>IF(F62+SUM(E$17:E62)=D$10,F62,D$10-SUM(E$17:E62))</f>
        <v>0</v>
      </c>
      <c r="E63" s="378">
        <f t="shared" si="27"/>
        <v>0</v>
      </c>
      <c r="F63" s="55">
        <f t="shared" si="28"/>
        <v>0</v>
      </c>
      <c r="G63" s="380">
        <f t="shared" si="29"/>
        <v>0</v>
      </c>
      <c r="H63" s="364">
        <f t="shared" si="30"/>
        <v>0</v>
      </c>
      <c r="I63" s="52">
        <f t="shared" si="7"/>
        <v>0</v>
      </c>
      <c r="J63" s="52"/>
      <c r="K63" s="129"/>
      <c r="L63" s="54">
        <f t="shared" si="31"/>
        <v>0</v>
      </c>
      <c r="M63" s="129"/>
      <c r="N63" s="54">
        <f t="shared" si="32"/>
        <v>0</v>
      </c>
      <c r="O63" s="54">
        <f t="shared" si="33"/>
        <v>0</v>
      </c>
      <c r="P63" s="1"/>
    </row>
    <row r="64" spans="2:17" ht="12.5">
      <c r="B64" s="7" t="str">
        <f t="shared" si="5"/>
        <v/>
      </c>
      <c r="C64" s="50">
        <f t="shared" si="6"/>
        <v>2056</v>
      </c>
      <c r="D64" s="55">
        <f>IF(F63+SUM(E$17:E63)=D$10,F63,D$10-SUM(E$17:E63))</f>
        <v>0</v>
      </c>
      <c r="E64" s="378">
        <f t="shared" si="27"/>
        <v>0</v>
      </c>
      <c r="F64" s="55">
        <f t="shared" si="28"/>
        <v>0</v>
      </c>
      <c r="G64" s="380">
        <f t="shared" si="29"/>
        <v>0</v>
      </c>
      <c r="H64" s="364">
        <f t="shared" si="30"/>
        <v>0</v>
      </c>
      <c r="I64" s="52">
        <f t="shared" si="7"/>
        <v>0</v>
      </c>
      <c r="J64" s="52"/>
      <c r="K64" s="129"/>
      <c r="L64" s="54">
        <f t="shared" si="31"/>
        <v>0</v>
      </c>
      <c r="M64" s="129"/>
      <c r="N64" s="54">
        <f t="shared" si="32"/>
        <v>0</v>
      </c>
      <c r="O64" s="54">
        <f t="shared" si="33"/>
        <v>0</v>
      </c>
      <c r="P64" s="1"/>
    </row>
    <row r="65" spans="1:16" ht="12.5">
      <c r="B65" s="7" t="str">
        <f t="shared" si="5"/>
        <v/>
      </c>
      <c r="C65" s="50">
        <f t="shared" si="6"/>
        <v>2057</v>
      </c>
      <c r="D65" s="55">
        <f>IF(F64+SUM(E$17:E64)=D$10,F64,D$10-SUM(E$17:E64))</f>
        <v>0</v>
      </c>
      <c r="E65" s="378">
        <f t="shared" si="27"/>
        <v>0</v>
      </c>
      <c r="F65" s="55">
        <f t="shared" si="28"/>
        <v>0</v>
      </c>
      <c r="G65" s="380">
        <f t="shared" si="29"/>
        <v>0</v>
      </c>
      <c r="H65" s="364">
        <f t="shared" si="30"/>
        <v>0</v>
      </c>
      <c r="I65" s="52">
        <f t="shared" si="7"/>
        <v>0</v>
      </c>
      <c r="J65" s="52"/>
      <c r="K65" s="129"/>
      <c r="L65" s="54">
        <f t="shared" si="31"/>
        <v>0</v>
      </c>
      <c r="M65" s="129"/>
      <c r="N65" s="54">
        <f t="shared" si="32"/>
        <v>0</v>
      </c>
      <c r="O65" s="54">
        <f t="shared" si="33"/>
        <v>0</v>
      </c>
      <c r="P65" s="1"/>
    </row>
    <row r="66" spans="1:16" ht="12.5">
      <c r="B66" s="7" t="str">
        <f t="shared" si="5"/>
        <v/>
      </c>
      <c r="C66" s="50">
        <f t="shared" si="6"/>
        <v>2058</v>
      </c>
      <c r="D66" s="55">
        <f>IF(F65+SUM(E$17:E65)=D$10,F65,D$10-SUM(E$17:E65))</f>
        <v>0</v>
      </c>
      <c r="E66" s="378">
        <f t="shared" si="27"/>
        <v>0</v>
      </c>
      <c r="F66" s="55">
        <f t="shared" si="28"/>
        <v>0</v>
      </c>
      <c r="G66" s="380">
        <f t="shared" si="29"/>
        <v>0</v>
      </c>
      <c r="H66" s="364">
        <f t="shared" si="30"/>
        <v>0</v>
      </c>
      <c r="I66" s="52">
        <f t="shared" si="7"/>
        <v>0</v>
      </c>
      <c r="J66" s="52"/>
      <c r="K66" s="129"/>
      <c r="L66" s="54">
        <f t="shared" si="31"/>
        <v>0</v>
      </c>
      <c r="M66" s="129"/>
      <c r="N66" s="54">
        <f t="shared" si="32"/>
        <v>0</v>
      </c>
      <c r="O66" s="54">
        <f t="shared" si="33"/>
        <v>0</v>
      </c>
      <c r="P66" s="1"/>
    </row>
    <row r="67" spans="1:16" ht="12.5">
      <c r="B67" s="7" t="str">
        <f t="shared" si="5"/>
        <v/>
      </c>
      <c r="C67" s="50">
        <f t="shared" si="6"/>
        <v>2059</v>
      </c>
      <c r="D67" s="55">
        <f>IF(F66+SUM(E$17:E66)=D$10,F66,D$10-SUM(E$17:E66))</f>
        <v>0</v>
      </c>
      <c r="E67" s="378">
        <f t="shared" si="27"/>
        <v>0</v>
      </c>
      <c r="F67" s="55">
        <f t="shared" si="28"/>
        <v>0</v>
      </c>
      <c r="G67" s="380">
        <f t="shared" si="29"/>
        <v>0</v>
      </c>
      <c r="H67" s="364">
        <f t="shared" si="30"/>
        <v>0</v>
      </c>
      <c r="I67" s="52">
        <f t="shared" si="7"/>
        <v>0</v>
      </c>
      <c r="J67" s="52"/>
      <c r="K67" s="129"/>
      <c r="L67" s="54">
        <f t="shared" si="31"/>
        <v>0</v>
      </c>
      <c r="M67" s="129"/>
      <c r="N67" s="54">
        <f t="shared" si="32"/>
        <v>0</v>
      </c>
      <c r="O67" s="54">
        <f t="shared" si="33"/>
        <v>0</v>
      </c>
      <c r="P67" s="1"/>
    </row>
    <row r="68" spans="1:16" ht="12.5">
      <c r="B68" s="7" t="str">
        <f t="shared" si="5"/>
        <v/>
      </c>
      <c r="C68" s="50">
        <f t="shared" si="6"/>
        <v>2060</v>
      </c>
      <c r="D68" s="55">
        <f>IF(F67+SUM(E$17:E67)=D$10,F67,D$10-SUM(E$17:E67))</f>
        <v>0</v>
      </c>
      <c r="E68" s="378">
        <f t="shared" si="27"/>
        <v>0</v>
      </c>
      <c r="F68" s="55">
        <f t="shared" si="28"/>
        <v>0</v>
      </c>
      <c r="G68" s="380">
        <f t="shared" si="29"/>
        <v>0</v>
      </c>
      <c r="H68" s="364">
        <f t="shared" si="30"/>
        <v>0</v>
      </c>
      <c r="I68" s="52">
        <f t="shared" si="7"/>
        <v>0</v>
      </c>
      <c r="J68" s="52"/>
      <c r="K68" s="129"/>
      <c r="L68" s="54">
        <f t="shared" si="31"/>
        <v>0</v>
      </c>
      <c r="M68" s="129"/>
      <c r="N68" s="54">
        <f t="shared" si="32"/>
        <v>0</v>
      </c>
      <c r="O68" s="54">
        <f t="shared" si="33"/>
        <v>0</v>
      </c>
      <c r="P68" s="1"/>
    </row>
    <row r="69" spans="1:16" ht="12.5">
      <c r="B69" s="7" t="str">
        <f t="shared" si="5"/>
        <v/>
      </c>
      <c r="C69" s="50">
        <f t="shared" si="6"/>
        <v>2061</v>
      </c>
      <c r="D69" s="55">
        <f>IF(F68+SUM(E$17:E68)=D$10,F68,D$10-SUM(E$17:E68))</f>
        <v>0</v>
      </c>
      <c r="E69" s="378">
        <f t="shared" si="27"/>
        <v>0</v>
      </c>
      <c r="F69" s="55">
        <f t="shared" si="28"/>
        <v>0</v>
      </c>
      <c r="G69" s="380">
        <f t="shared" si="29"/>
        <v>0</v>
      </c>
      <c r="H69" s="364">
        <f t="shared" si="30"/>
        <v>0</v>
      </c>
      <c r="I69" s="52">
        <f t="shared" si="7"/>
        <v>0</v>
      </c>
      <c r="J69" s="52"/>
      <c r="K69" s="129"/>
      <c r="L69" s="54">
        <f t="shared" si="31"/>
        <v>0</v>
      </c>
      <c r="M69" s="129"/>
      <c r="N69" s="54">
        <f t="shared" si="32"/>
        <v>0</v>
      </c>
      <c r="O69" s="54">
        <f t="shared" si="33"/>
        <v>0</v>
      </c>
      <c r="P69" s="1"/>
    </row>
    <row r="70" spans="1:16" ht="12.5">
      <c r="B70" s="7" t="str">
        <f t="shared" si="5"/>
        <v/>
      </c>
      <c r="C70" s="50">
        <f t="shared" si="6"/>
        <v>2062</v>
      </c>
      <c r="D70" s="55">
        <f>IF(F69+SUM(E$17:E69)=D$10,F69,D$10-SUM(E$17:E69))</f>
        <v>0</v>
      </c>
      <c r="E70" s="378">
        <f t="shared" si="27"/>
        <v>0</v>
      </c>
      <c r="F70" s="55">
        <f t="shared" si="28"/>
        <v>0</v>
      </c>
      <c r="G70" s="380">
        <f t="shared" si="29"/>
        <v>0</v>
      </c>
      <c r="H70" s="364">
        <f t="shared" si="30"/>
        <v>0</v>
      </c>
      <c r="I70" s="52">
        <f t="shared" si="7"/>
        <v>0</v>
      </c>
      <c r="J70" s="52"/>
      <c r="K70" s="129"/>
      <c r="L70" s="54">
        <f t="shared" si="31"/>
        <v>0</v>
      </c>
      <c r="M70" s="129"/>
      <c r="N70" s="54">
        <f t="shared" si="32"/>
        <v>0</v>
      </c>
      <c r="O70" s="54">
        <f t="shared" si="33"/>
        <v>0</v>
      </c>
      <c r="P70" s="1"/>
    </row>
    <row r="71" spans="1:16" ht="12.5">
      <c r="B71" s="7" t="str">
        <f t="shared" si="5"/>
        <v/>
      </c>
      <c r="C71" s="50">
        <f t="shared" si="6"/>
        <v>2063</v>
      </c>
      <c r="D71" s="55">
        <f>IF(F70+SUM(E$17:E70)=D$10,F70,D$10-SUM(E$17:E70))</f>
        <v>0</v>
      </c>
      <c r="E71" s="378">
        <f t="shared" si="27"/>
        <v>0</v>
      </c>
      <c r="F71" s="55">
        <f t="shared" si="28"/>
        <v>0</v>
      </c>
      <c r="G71" s="380">
        <f t="shared" si="29"/>
        <v>0</v>
      </c>
      <c r="H71" s="364">
        <f t="shared" si="30"/>
        <v>0</v>
      </c>
      <c r="I71" s="52">
        <f t="shared" si="7"/>
        <v>0</v>
      </c>
      <c r="J71" s="52"/>
      <c r="K71" s="129"/>
      <c r="L71" s="54">
        <f t="shared" si="31"/>
        <v>0</v>
      </c>
      <c r="M71" s="129"/>
      <c r="N71" s="54">
        <f t="shared" si="32"/>
        <v>0</v>
      </c>
      <c r="O71" s="54">
        <f t="shared" si="33"/>
        <v>0</v>
      </c>
      <c r="P71" s="1"/>
    </row>
    <row r="72" spans="1:16" ht="13" thickBot="1">
      <c r="B72" s="7" t="str">
        <f t="shared" si="5"/>
        <v/>
      </c>
      <c r="C72" s="59">
        <f t="shared" si="6"/>
        <v>2064</v>
      </c>
      <c r="D72" s="60">
        <f>IF(F71+SUM(E$17:E71)=D$10,F71,D$10-SUM(E$17:E71))</f>
        <v>0</v>
      </c>
      <c r="E72" s="381">
        <f t="shared" si="27"/>
        <v>0</v>
      </c>
      <c r="F72" s="60">
        <f t="shared" si="28"/>
        <v>0</v>
      </c>
      <c r="G72" s="382">
        <f t="shared" si="29"/>
        <v>0</v>
      </c>
      <c r="H72" s="362">
        <f t="shared" si="30"/>
        <v>0</v>
      </c>
      <c r="I72" s="63">
        <f t="shared" si="7"/>
        <v>0</v>
      </c>
      <c r="J72" s="52"/>
      <c r="K72" s="130"/>
      <c r="L72" s="64">
        <f t="shared" si="31"/>
        <v>0</v>
      </c>
      <c r="M72" s="130"/>
      <c r="N72" s="64">
        <f t="shared" si="32"/>
        <v>0</v>
      </c>
      <c r="O72" s="64">
        <f t="shared" si="33"/>
        <v>0</v>
      </c>
      <c r="P72" s="1"/>
    </row>
    <row r="73" spans="1:16" ht="12.5">
      <c r="C73" s="12" t="s">
        <v>78</v>
      </c>
      <c r="D73" s="293"/>
      <c r="E73" s="293">
        <f>SUM(E17:E72)</f>
        <v>8402687</v>
      </c>
      <c r="F73" s="293"/>
      <c r="G73" s="293">
        <f>SUM(G17:G72)</f>
        <v>31018680.538342912</v>
      </c>
      <c r="H73" s="293">
        <f>SUM(H17:H72)</f>
        <v>31018680.538342912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7.5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2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809354.80776179023</v>
      </c>
      <c r="N87" s="387">
        <f>IF(J92&lt;D11,0,VLOOKUP(J92,C17:O72,11))</f>
        <v>809354.80776179023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852485.2088775509</v>
      </c>
      <c r="N88" s="390">
        <f>IF(J92&lt;D11,0,VLOOKUP(J92,C99:P154,7))</f>
        <v>852485.2088775509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SW Shreveport (sub work &amp; tap)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43130.401115760673</v>
      </c>
      <c r="N89" s="392">
        <f>+N88-N87</f>
        <v>43130.401115760673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TP2007060</v>
      </c>
      <c r="E91" s="76" t="str">
        <f>E9</f>
        <v>SPP Project ID =</v>
      </c>
      <c r="F91" s="76" t="str">
        <f>F9</f>
        <v>224 &amp; 581</v>
      </c>
      <c r="G91" s="76"/>
      <c r="H91" s="76"/>
      <c r="I91" s="76"/>
      <c r="J91" s="95"/>
      <c r="Q91" s="1"/>
    </row>
    <row r="92" spans="1:17" ht="13">
      <c r="C92" s="34" t="s">
        <v>51</v>
      </c>
      <c r="D92" s="363">
        <f>D10</f>
        <v>8402687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  <c r="Q92" s="1"/>
    </row>
    <row r="93" spans="1:17" ht="12.5">
      <c r="C93" s="34" t="s">
        <v>54</v>
      </c>
      <c r="D93" s="88">
        <f>IF(D11=I10,"",D11)</f>
        <v>2009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4">
        <f>IF(D11=I10,"",D12)</f>
        <v>1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190970.15909090909</v>
      </c>
      <c r="K96" s="293"/>
      <c r="L96" s="293"/>
      <c r="M96" s="293"/>
      <c r="N96" s="293"/>
      <c r="O96" s="293"/>
      <c r="P96" s="1"/>
      <c r="Q96" s="1"/>
    </row>
    <row r="97" spans="1:17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 ht="12.5">
      <c r="C99" s="50">
        <f>IF(D93= "","-",D93)</f>
        <v>2009</v>
      </c>
      <c r="D99" s="133">
        <v>0</v>
      </c>
      <c r="E99" s="376">
        <v>202696</v>
      </c>
      <c r="F99" s="137">
        <v>8199991</v>
      </c>
      <c r="G99" s="140">
        <v>4099995</v>
      </c>
      <c r="H99" s="397">
        <v>796120</v>
      </c>
      <c r="I99" s="398">
        <v>796120</v>
      </c>
      <c r="J99" s="54">
        <f t="shared" ref="J99:J130" si="34">+I99-H99</f>
        <v>0</v>
      </c>
      <c r="K99" s="54"/>
      <c r="L99" s="112">
        <f t="shared" ref="L99:L104" si="35">H99</f>
        <v>796120</v>
      </c>
      <c r="M99" s="53">
        <f t="shared" ref="M99:M130" si="36">IF(L99&lt;&gt;0,+H99-L99,0)</f>
        <v>0</v>
      </c>
      <c r="N99" s="112">
        <f t="shared" ref="N99:N104" si="37">I99</f>
        <v>796120</v>
      </c>
      <c r="O99" s="53">
        <f t="shared" ref="O99:O130" si="38">IF(N99&lt;&gt;0,+I99-N99,0)</f>
        <v>0</v>
      </c>
      <c r="P99" s="53">
        <f t="shared" ref="P99:P130" si="39">+O99-M99</f>
        <v>0</v>
      </c>
      <c r="Q99" s="1"/>
    </row>
    <row r="100" spans="1:17" ht="12.5">
      <c r="B100" s="7" t="str">
        <f>IF(D100=F99,"","IU")</f>
        <v>IU</v>
      </c>
      <c r="C100" s="50">
        <f>IF(D93="","-",+C99+1)</f>
        <v>2010</v>
      </c>
      <c r="D100" s="133">
        <v>8199991.4800000004</v>
      </c>
      <c r="E100" s="376">
        <v>204943.59707317073</v>
      </c>
      <c r="F100" s="137">
        <v>7995047.8829268301</v>
      </c>
      <c r="G100" s="137">
        <v>8097519.6814634148</v>
      </c>
      <c r="H100" s="376">
        <v>1541731.3961161568</v>
      </c>
      <c r="I100" s="375">
        <v>1541731.3961161568</v>
      </c>
      <c r="J100" s="54">
        <f t="shared" si="34"/>
        <v>0</v>
      </c>
      <c r="K100" s="54"/>
      <c r="L100" s="113">
        <f t="shared" si="35"/>
        <v>1541731.3961161568</v>
      </c>
      <c r="M100" s="54">
        <f t="shared" si="36"/>
        <v>0</v>
      </c>
      <c r="N100" s="113">
        <f t="shared" si="37"/>
        <v>1541731.3961161568</v>
      </c>
      <c r="O100" s="54">
        <f t="shared" si="38"/>
        <v>0</v>
      </c>
      <c r="P100" s="54">
        <f t="shared" si="39"/>
        <v>0</v>
      </c>
      <c r="Q100" s="1"/>
    </row>
    <row r="101" spans="1:17" ht="12.5">
      <c r="B101" s="7" t="str">
        <f t="shared" ref="B101:B154" si="40">IF(D101=F100,"","IU")</f>
        <v/>
      </c>
      <c r="C101" s="50">
        <f>IF(D93="","-",+C100+1)</f>
        <v>2011</v>
      </c>
      <c r="D101" s="133">
        <v>7995047.8829268301</v>
      </c>
      <c r="E101" s="377">
        <v>200063.98761904764</v>
      </c>
      <c r="F101" s="137">
        <v>7794983.8953077821</v>
      </c>
      <c r="G101" s="137">
        <v>7895015.8891173061</v>
      </c>
      <c r="H101" s="376">
        <v>1387315.6975317788</v>
      </c>
      <c r="I101" s="375">
        <v>1387315.6975317788</v>
      </c>
      <c r="J101" s="54">
        <f t="shared" si="34"/>
        <v>0</v>
      </c>
      <c r="K101" s="54"/>
      <c r="L101" s="113">
        <f t="shared" si="35"/>
        <v>1387315.6975317788</v>
      </c>
      <c r="M101" s="54">
        <f t="shared" si="36"/>
        <v>0</v>
      </c>
      <c r="N101" s="113">
        <f t="shared" si="37"/>
        <v>1387315.6975317788</v>
      </c>
      <c r="O101" s="54">
        <f t="shared" si="38"/>
        <v>0</v>
      </c>
      <c r="P101" s="54">
        <f t="shared" si="39"/>
        <v>0</v>
      </c>
      <c r="Q101" s="1"/>
    </row>
    <row r="102" spans="1:17" ht="12.5">
      <c r="B102" s="7" t="str">
        <f t="shared" si="40"/>
        <v/>
      </c>
      <c r="C102" s="50">
        <f>IF(D93="","-",+C101+1)</f>
        <v>2012</v>
      </c>
      <c r="D102" s="133">
        <v>7794983.8953077821</v>
      </c>
      <c r="E102" s="376">
        <v>200063.98761904764</v>
      </c>
      <c r="F102" s="137">
        <v>7594919.9076887341</v>
      </c>
      <c r="G102" s="137">
        <v>7694951.9014982581</v>
      </c>
      <c r="H102" s="376">
        <v>1332406.4149067886</v>
      </c>
      <c r="I102" s="375">
        <v>1332406.4149067886</v>
      </c>
      <c r="J102" s="54">
        <f t="shared" si="34"/>
        <v>0</v>
      </c>
      <c r="K102" s="54"/>
      <c r="L102" s="113">
        <f t="shared" si="35"/>
        <v>1332406.4149067886</v>
      </c>
      <c r="M102" s="54">
        <f t="shared" si="36"/>
        <v>0</v>
      </c>
      <c r="N102" s="113">
        <f t="shared" si="37"/>
        <v>1332406.4149067886</v>
      </c>
      <c r="O102" s="54">
        <f t="shared" si="38"/>
        <v>0</v>
      </c>
      <c r="P102" s="54">
        <f t="shared" si="39"/>
        <v>0</v>
      </c>
      <c r="Q102" s="1"/>
    </row>
    <row r="103" spans="1:17" ht="12.5">
      <c r="B103" s="7" t="str">
        <f t="shared" si="40"/>
        <v/>
      </c>
      <c r="C103" s="50">
        <f>IF(D93="","-",+C102+1)</f>
        <v>2013</v>
      </c>
      <c r="D103" s="133">
        <v>7594919.9076887341</v>
      </c>
      <c r="E103" s="376">
        <v>200063.98761904764</v>
      </c>
      <c r="F103" s="137">
        <v>7394855.9200696861</v>
      </c>
      <c r="G103" s="137">
        <v>7494887.9138792101</v>
      </c>
      <c r="H103" s="376">
        <v>1214060.1321062704</v>
      </c>
      <c r="I103" s="375">
        <v>1214060.1321062704</v>
      </c>
      <c r="J103" s="54">
        <v>0</v>
      </c>
      <c r="K103" s="54"/>
      <c r="L103" s="113">
        <f t="shared" si="35"/>
        <v>1214060.1321062704</v>
      </c>
      <c r="M103" s="54">
        <f t="shared" ref="M103:M108" si="41">IF(L103&lt;&gt;0,+H103-L103,0)</f>
        <v>0</v>
      </c>
      <c r="N103" s="113">
        <f t="shared" si="37"/>
        <v>1214060.1321062704</v>
      </c>
      <c r="O103" s="54">
        <f t="shared" ref="O103:O108" si="42">IF(N103&lt;&gt;0,+I103-N103,0)</f>
        <v>0</v>
      </c>
      <c r="P103" s="54">
        <f t="shared" ref="P103:P108" si="43">+O103-M103</f>
        <v>0</v>
      </c>
      <c r="Q103" s="1"/>
    </row>
    <row r="104" spans="1:17" ht="12.5">
      <c r="B104" s="7" t="str">
        <f t="shared" si="40"/>
        <v/>
      </c>
      <c r="C104" s="50">
        <f>IF(D93="","-",+C103+1)</f>
        <v>2014</v>
      </c>
      <c r="D104" s="133">
        <v>7394855.9200696861</v>
      </c>
      <c r="E104" s="376">
        <v>200063.98761904764</v>
      </c>
      <c r="F104" s="137">
        <v>7194791.9324506382</v>
      </c>
      <c r="G104" s="137">
        <v>7294823.9262601621</v>
      </c>
      <c r="H104" s="376">
        <v>1191601.6940490135</v>
      </c>
      <c r="I104" s="375">
        <v>1191601.6940490135</v>
      </c>
      <c r="J104" s="54">
        <v>0</v>
      </c>
      <c r="K104" s="54"/>
      <c r="L104" s="113">
        <f t="shared" si="35"/>
        <v>1191601.6940490135</v>
      </c>
      <c r="M104" s="54">
        <f t="shared" si="41"/>
        <v>0</v>
      </c>
      <c r="N104" s="113">
        <f t="shared" si="37"/>
        <v>1191601.6940490135</v>
      </c>
      <c r="O104" s="54">
        <f t="shared" si="42"/>
        <v>0</v>
      </c>
      <c r="P104" s="54">
        <f t="shared" si="43"/>
        <v>0</v>
      </c>
      <c r="Q104" s="1"/>
    </row>
    <row r="105" spans="1:17" ht="12.5">
      <c r="B105" s="7" t="str">
        <f t="shared" si="40"/>
        <v/>
      </c>
      <c r="C105" s="50">
        <f>IF(D93="","-",+C104+1)</f>
        <v>2015</v>
      </c>
      <c r="D105" s="133">
        <v>7194791.9324506382</v>
      </c>
      <c r="E105" s="376">
        <v>200063.98761904764</v>
      </c>
      <c r="F105" s="137">
        <v>6994727.9448315902</v>
      </c>
      <c r="G105" s="137">
        <v>7094759.9386411142</v>
      </c>
      <c r="H105" s="376">
        <v>1134932.5435262297</v>
      </c>
      <c r="I105" s="375">
        <v>1134932.5435262297</v>
      </c>
      <c r="J105" s="54">
        <f t="shared" si="34"/>
        <v>0</v>
      </c>
      <c r="K105" s="54"/>
      <c r="L105" s="113">
        <f t="shared" ref="L105:L110" si="44">H105</f>
        <v>1134932.5435262297</v>
      </c>
      <c r="M105" s="54">
        <f t="shared" si="41"/>
        <v>0</v>
      </c>
      <c r="N105" s="113">
        <f t="shared" ref="N105:N110" si="45">I105</f>
        <v>1134932.5435262297</v>
      </c>
      <c r="O105" s="54">
        <f t="shared" si="42"/>
        <v>0</v>
      </c>
      <c r="P105" s="54">
        <f t="shared" si="43"/>
        <v>0</v>
      </c>
      <c r="Q105" s="1"/>
    </row>
    <row r="106" spans="1:17" ht="12.5">
      <c r="B106" s="7" t="str">
        <f t="shared" si="40"/>
        <v/>
      </c>
      <c r="C106" s="50">
        <f>IF(D93="","-",+C105+1)</f>
        <v>2016</v>
      </c>
      <c r="D106" s="133">
        <v>6994727.9448315902</v>
      </c>
      <c r="E106" s="376">
        <v>195411.33674418606</v>
      </c>
      <c r="F106" s="137">
        <v>6799316.6080874037</v>
      </c>
      <c r="G106" s="137">
        <v>6897022.2764594965</v>
      </c>
      <c r="H106" s="376">
        <v>1070988.2339652905</v>
      </c>
      <c r="I106" s="375">
        <v>1070988.2339652905</v>
      </c>
      <c r="J106" s="54">
        <f t="shared" si="34"/>
        <v>0</v>
      </c>
      <c r="K106" s="54"/>
      <c r="L106" s="113">
        <f t="shared" si="44"/>
        <v>1070988.2339652905</v>
      </c>
      <c r="M106" s="54">
        <f t="shared" si="41"/>
        <v>0</v>
      </c>
      <c r="N106" s="113">
        <f t="shared" si="45"/>
        <v>1070988.2339652905</v>
      </c>
      <c r="O106" s="54">
        <f t="shared" si="42"/>
        <v>0</v>
      </c>
      <c r="P106" s="54">
        <f t="shared" si="43"/>
        <v>0</v>
      </c>
      <c r="Q106" s="1"/>
    </row>
    <row r="107" spans="1:17" ht="12.5">
      <c r="B107" s="7" t="str">
        <f t="shared" si="40"/>
        <v/>
      </c>
      <c r="C107" s="50">
        <f>IF(D93="","-",+C106+1)</f>
        <v>2017</v>
      </c>
      <c r="D107" s="133">
        <v>6799316.6080874037</v>
      </c>
      <c r="E107" s="376">
        <v>200063.98761904764</v>
      </c>
      <c r="F107" s="137">
        <v>6599252.6204683557</v>
      </c>
      <c r="G107" s="137">
        <v>6699284.6142778797</v>
      </c>
      <c r="H107" s="376">
        <v>1013835.8551552552</v>
      </c>
      <c r="I107" s="375">
        <v>1013835.8551552552</v>
      </c>
      <c r="J107" s="54">
        <f t="shared" si="34"/>
        <v>0</v>
      </c>
      <c r="K107" s="54"/>
      <c r="L107" s="113">
        <f t="shared" si="44"/>
        <v>1013835.8551552552</v>
      </c>
      <c r="M107" s="54">
        <f t="shared" si="41"/>
        <v>0</v>
      </c>
      <c r="N107" s="113">
        <f t="shared" si="45"/>
        <v>1013835.8551552552</v>
      </c>
      <c r="O107" s="54">
        <f t="shared" si="42"/>
        <v>0</v>
      </c>
      <c r="P107" s="54">
        <f t="shared" si="43"/>
        <v>0</v>
      </c>
      <c r="Q107" s="1"/>
    </row>
    <row r="108" spans="1:17" ht="12.5">
      <c r="B108" s="7" t="str">
        <f t="shared" si="40"/>
        <v/>
      </c>
      <c r="C108" s="50">
        <f>IF(D93="","-",+C107+1)</f>
        <v>2018</v>
      </c>
      <c r="D108" s="133">
        <v>6599252.6204683557</v>
      </c>
      <c r="E108" s="376">
        <v>200063.98761904764</v>
      </c>
      <c r="F108" s="137">
        <v>6399188.6328493077</v>
      </c>
      <c r="G108" s="137">
        <v>6499220.6266588317</v>
      </c>
      <c r="H108" s="376">
        <v>886411.49004878511</v>
      </c>
      <c r="I108" s="375">
        <v>886411.49004878511</v>
      </c>
      <c r="J108" s="54">
        <f t="shared" si="34"/>
        <v>0</v>
      </c>
      <c r="K108" s="54"/>
      <c r="L108" s="113">
        <f t="shared" si="44"/>
        <v>886411.49004878511</v>
      </c>
      <c r="M108" s="54">
        <f t="shared" si="41"/>
        <v>0</v>
      </c>
      <c r="N108" s="113">
        <f t="shared" si="45"/>
        <v>886411.49004878511</v>
      </c>
      <c r="O108" s="54">
        <f t="shared" si="42"/>
        <v>0</v>
      </c>
      <c r="P108" s="54">
        <f t="shared" si="43"/>
        <v>0</v>
      </c>
      <c r="Q108" s="1"/>
    </row>
    <row r="109" spans="1:17" ht="12.5">
      <c r="B109" s="7" t="str">
        <f t="shared" si="40"/>
        <v/>
      </c>
      <c r="C109" s="50">
        <f>IF(D93="","-",+C108+1)</f>
        <v>2019</v>
      </c>
      <c r="D109" s="133">
        <v>6399188.6328493077</v>
      </c>
      <c r="E109" s="376">
        <v>195411.33674418606</v>
      </c>
      <c r="F109" s="137">
        <v>6203777.2961051213</v>
      </c>
      <c r="G109" s="137">
        <v>6301482.964477215</v>
      </c>
      <c r="H109" s="376">
        <v>869925.51728731813</v>
      </c>
      <c r="I109" s="375">
        <v>869925.51728731813</v>
      </c>
      <c r="J109" s="54">
        <f t="shared" si="34"/>
        <v>0</v>
      </c>
      <c r="K109" s="54"/>
      <c r="L109" s="113">
        <f t="shared" si="44"/>
        <v>869925.51728731813</v>
      </c>
      <c r="M109" s="54">
        <f t="shared" ref="M109" si="46">IF(L109&lt;&gt;0,+H109-L109,0)</f>
        <v>0</v>
      </c>
      <c r="N109" s="113">
        <f t="shared" si="45"/>
        <v>869925.51728731813</v>
      </c>
      <c r="O109" s="54">
        <f t="shared" si="38"/>
        <v>0</v>
      </c>
      <c r="P109" s="54">
        <f t="shared" si="39"/>
        <v>0</v>
      </c>
      <c r="Q109" s="1"/>
    </row>
    <row r="110" spans="1:17" ht="12.5">
      <c r="B110" s="7" t="str">
        <f t="shared" si="40"/>
        <v/>
      </c>
      <c r="C110" s="50">
        <f>IF(D93="","-",+C109+1)</f>
        <v>2020</v>
      </c>
      <c r="D110" s="133">
        <v>6203777.2961051213</v>
      </c>
      <c r="E110" s="376">
        <v>200063.98761904764</v>
      </c>
      <c r="F110" s="137">
        <v>6003713.3084860733</v>
      </c>
      <c r="G110" s="137">
        <v>6103745.3022955973</v>
      </c>
      <c r="H110" s="376">
        <v>856667.26239535783</v>
      </c>
      <c r="I110" s="375">
        <v>856667.26239535783</v>
      </c>
      <c r="J110" s="54">
        <f t="shared" si="34"/>
        <v>0</v>
      </c>
      <c r="K110" s="54"/>
      <c r="L110" s="113">
        <f t="shared" si="44"/>
        <v>856667.26239535783</v>
      </c>
      <c r="M110" s="54">
        <f t="shared" ref="M110" si="47">IF(L110&lt;&gt;0,+H110-L110,0)</f>
        <v>0</v>
      </c>
      <c r="N110" s="113">
        <f t="shared" si="45"/>
        <v>856667.26239535783</v>
      </c>
      <c r="O110" s="54">
        <f t="shared" si="38"/>
        <v>0</v>
      </c>
      <c r="P110" s="54">
        <f t="shared" si="39"/>
        <v>0</v>
      </c>
      <c r="Q110" s="1"/>
    </row>
    <row r="111" spans="1:17" ht="12.5">
      <c r="B111" s="7" t="str">
        <f t="shared" si="40"/>
        <v/>
      </c>
      <c r="C111" s="50">
        <f>IF(D93="","-",+C110+1)</f>
        <v>2021</v>
      </c>
      <c r="D111" s="133">
        <v>6003713.3084860733</v>
      </c>
      <c r="E111" s="376">
        <v>204943.59707317073</v>
      </c>
      <c r="F111" s="137">
        <v>5798769.7114129029</v>
      </c>
      <c r="G111" s="137">
        <v>5901241.5099494886</v>
      </c>
      <c r="H111" s="376">
        <v>874818.46170823427</v>
      </c>
      <c r="I111" s="375">
        <v>874818.46170823427</v>
      </c>
      <c r="J111" s="54">
        <f t="shared" si="34"/>
        <v>0</v>
      </c>
      <c r="K111" s="54"/>
      <c r="L111" s="113">
        <f t="shared" ref="L111" si="48">H111</f>
        <v>874818.46170823427</v>
      </c>
      <c r="M111" s="54">
        <f t="shared" ref="M111" si="49">IF(L111&lt;&gt;0,+H111-L111,0)</f>
        <v>0</v>
      </c>
      <c r="N111" s="113">
        <f t="shared" ref="N111" si="50">I111</f>
        <v>874818.46170823427</v>
      </c>
      <c r="O111" s="54">
        <f t="shared" si="38"/>
        <v>0</v>
      </c>
      <c r="P111" s="54">
        <f t="shared" si="39"/>
        <v>0</v>
      </c>
      <c r="Q111" s="1"/>
    </row>
    <row r="112" spans="1:17" ht="12.5">
      <c r="B112" s="7"/>
      <c r="C112" s="50">
        <f>IF(D93="","-",+C111+1)</f>
        <v>2022</v>
      </c>
      <c r="D112" s="133">
        <v>5798769.7114129029</v>
      </c>
      <c r="E112" s="376">
        <v>200063.98761904764</v>
      </c>
      <c r="F112" s="137">
        <v>5598705.7237938549</v>
      </c>
      <c r="G112" s="137">
        <v>5698737.7176033789</v>
      </c>
      <c r="H112" s="376">
        <v>869425.42799317313</v>
      </c>
      <c r="I112" s="375">
        <v>869425.42799317313</v>
      </c>
      <c r="J112" s="54">
        <f t="shared" si="34"/>
        <v>0</v>
      </c>
      <c r="K112" s="54"/>
      <c r="L112" s="113">
        <f t="shared" ref="L112" si="51">H112</f>
        <v>869425.42799317313</v>
      </c>
      <c r="M112" s="54">
        <f t="shared" ref="M112" si="52">IF(L112&lt;&gt;0,+H112-L112,0)</f>
        <v>0</v>
      </c>
      <c r="N112" s="113">
        <f t="shared" ref="N112" si="53">I112</f>
        <v>869425.42799317313</v>
      </c>
      <c r="O112" s="54">
        <f t="shared" ref="O112" si="54">IF(N112&lt;&gt;0,+I112-N112,0)</f>
        <v>0</v>
      </c>
      <c r="P112" s="54">
        <f t="shared" ref="P112" si="55">+O112-M112</f>
        <v>0</v>
      </c>
      <c r="Q112" s="1"/>
    </row>
    <row r="113" spans="2:17" ht="12.5">
      <c r="B113" s="7" t="str">
        <f t="shared" si="40"/>
        <v>IU</v>
      </c>
      <c r="C113" s="50">
        <f>IF(D93="","-",+C112+1)</f>
        <v>2023</v>
      </c>
      <c r="D113" s="133">
        <v>5598705.2437938582</v>
      </c>
      <c r="E113" s="376">
        <v>190970.15909090909</v>
      </c>
      <c r="F113" s="137">
        <v>5407735.084702949</v>
      </c>
      <c r="G113" s="137">
        <v>5503220.1642484032</v>
      </c>
      <c r="H113" s="376">
        <v>869875.22401740833</v>
      </c>
      <c r="I113" s="375">
        <v>869875.22401740833</v>
      </c>
      <c r="J113" s="54">
        <f t="shared" si="34"/>
        <v>0</v>
      </c>
      <c r="K113" s="54"/>
      <c r="L113" s="113">
        <f t="shared" ref="L113" si="56">H113</f>
        <v>869875.22401740833</v>
      </c>
      <c r="M113" s="54">
        <f t="shared" ref="M113" si="57">IF(L113&lt;&gt;0,+H113-L113,0)</f>
        <v>0</v>
      </c>
      <c r="N113" s="113">
        <f t="shared" ref="N113" si="58">I113</f>
        <v>869875.22401740833</v>
      </c>
      <c r="O113" s="54">
        <f t="shared" ref="O113" si="59">IF(N113&lt;&gt;0,+I113-N113,0)</f>
        <v>0</v>
      </c>
      <c r="P113" s="54">
        <f t="shared" ref="P113" si="60">+O113-M113</f>
        <v>0</v>
      </c>
      <c r="Q113" s="1"/>
    </row>
    <row r="114" spans="2:17" ht="12.5">
      <c r="B114" s="7" t="str">
        <f t="shared" si="40"/>
        <v/>
      </c>
      <c r="C114" s="50">
        <f>IF(D93="","-",+C113+1)</f>
        <v>2024</v>
      </c>
      <c r="D114" s="12">
        <f>IF(F113+SUM(E$99:E113)=D$92,F113,D$92-SUM(E$99:E113))</f>
        <v>5407735.084702949</v>
      </c>
      <c r="E114" s="378">
        <f>IF(+J96&lt;F113,J96,D114)</f>
        <v>190970.15909090909</v>
      </c>
      <c r="F114" s="55">
        <f t="shared" ref="F114:F130" si="61">+D114-E114</f>
        <v>5216764.9256120399</v>
      </c>
      <c r="G114" s="55">
        <f t="shared" ref="G114:G130" si="62">+(F114+D114)/2</f>
        <v>5312250.0051574949</v>
      </c>
      <c r="H114" s="380">
        <f t="shared" ref="H114:H154" si="63">+J$94*G114+E114</f>
        <v>852485.2088775509</v>
      </c>
      <c r="I114" s="399">
        <f t="shared" ref="I114:I154" si="64">+J$95*G114+E114</f>
        <v>852485.2088775509</v>
      </c>
      <c r="J114" s="54">
        <f t="shared" si="34"/>
        <v>0</v>
      </c>
      <c r="K114" s="54"/>
      <c r="L114" s="129"/>
      <c r="M114" s="54">
        <f t="shared" si="36"/>
        <v>0</v>
      </c>
      <c r="N114" s="129"/>
      <c r="O114" s="54">
        <f t="shared" si="38"/>
        <v>0</v>
      </c>
      <c r="P114" s="54">
        <f t="shared" si="39"/>
        <v>0</v>
      </c>
      <c r="Q114" s="1"/>
    </row>
    <row r="115" spans="2:17" ht="12.5">
      <c r="B115" s="7" t="str">
        <f t="shared" si="40"/>
        <v/>
      </c>
      <c r="C115" s="50">
        <f>IF(D93="","-",+C114+1)</f>
        <v>2025</v>
      </c>
      <c r="D115" s="12">
        <f>IF(F114+SUM(E$99:E114)=D$92,F114,D$92-SUM(E$99:E114))</f>
        <v>5216764.9256120399</v>
      </c>
      <c r="E115" s="378">
        <f>IF(+J96&lt;F114,J96,D115)</f>
        <v>190970.15909090909</v>
      </c>
      <c r="F115" s="55">
        <f t="shared" si="61"/>
        <v>5025794.7665211307</v>
      </c>
      <c r="G115" s="55">
        <f t="shared" si="62"/>
        <v>5121279.8460665848</v>
      </c>
      <c r="H115" s="380">
        <f t="shared" si="63"/>
        <v>828704.39393545734</v>
      </c>
      <c r="I115" s="399">
        <f t="shared" si="64"/>
        <v>828704.39393545734</v>
      </c>
      <c r="J115" s="54">
        <f t="shared" si="34"/>
        <v>0</v>
      </c>
      <c r="K115" s="54"/>
      <c r="L115" s="129"/>
      <c r="M115" s="54">
        <f t="shared" si="36"/>
        <v>0</v>
      </c>
      <c r="N115" s="129"/>
      <c r="O115" s="54">
        <f t="shared" si="38"/>
        <v>0</v>
      </c>
      <c r="P115" s="54">
        <f t="shared" si="39"/>
        <v>0</v>
      </c>
      <c r="Q115" s="1"/>
    </row>
    <row r="116" spans="2:17" ht="12.5">
      <c r="B116" s="7" t="str">
        <f t="shared" si="40"/>
        <v/>
      </c>
      <c r="C116" s="50">
        <f>IF(D93="","-",+C115+1)</f>
        <v>2026</v>
      </c>
      <c r="D116" s="12">
        <f>IF(F115+SUM(E$99:E115)=D$92,F115,D$92-SUM(E$99:E115))</f>
        <v>5025794.7665211307</v>
      </c>
      <c r="E116" s="378">
        <f>IF(+J96&lt;F115,J96,D116)</f>
        <v>190970.15909090909</v>
      </c>
      <c r="F116" s="55">
        <f t="shared" si="61"/>
        <v>4834824.6074302215</v>
      </c>
      <c r="G116" s="55">
        <f t="shared" si="62"/>
        <v>4930309.6869756766</v>
      </c>
      <c r="H116" s="380">
        <f t="shared" si="63"/>
        <v>804923.57899336389</v>
      </c>
      <c r="I116" s="399">
        <f t="shared" si="64"/>
        <v>804923.57899336389</v>
      </c>
      <c r="J116" s="54">
        <f t="shared" si="34"/>
        <v>0</v>
      </c>
      <c r="K116" s="54"/>
      <c r="L116" s="129"/>
      <c r="M116" s="54">
        <f t="shared" si="36"/>
        <v>0</v>
      </c>
      <c r="N116" s="129"/>
      <c r="O116" s="54">
        <f t="shared" si="38"/>
        <v>0</v>
      </c>
      <c r="P116" s="54">
        <f t="shared" si="39"/>
        <v>0</v>
      </c>
      <c r="Q116" s="1"/>
    </row>
    <row r="117" spans="2:17" ht="12.5">
      <c r="B117" s="7" t="str">
        <f t="shared" si="40"/>
        <v/>
      </c>
      <c r="C117" s="50">
        <f>IF(D93="","-",+C116+1)</f>
        <v>2027</v>
      </c>
      <c r="D117" s="12">
        <f>IF(F116+SUM(E$99:E116)=D$92,F116,D$92-SUM(E$99:E116))</f>
        <v>4834824.6074302215</v>
      </c>
      <c r="E117" s="378">
        <f>IF(+J96&lt;F116,J96,D117)</f>
        <v>190970.15909090909</v>
      </c>
      <c r="F117" s="55">
        <f t="shared" si="61"/>
        <v>4643854.4483393123</v>
      </c>
      <c r="G117" s="55">
        <f t="shared" si="62"/>
        <v>4739339.5278847665</v>
      </c>
      <c r="H117" s="380">
        <f t="shared" si="63"/>
        <v>781142.76405127021</v>
      </c>
      <c r="I117" s="399">
        <f t="shared" si="64"/>
        <v>781142.76405127021</v>
      </c>
      <c r="J117" s="54">
        <f t="shared" si="34"/>
        <v>0</v>
      </c>
      <c r="K117" s="54"/>
      <c r="L117" s="129"/>
      <c r="M117" s="54">
        <f t="shared" si="36"/>
        <v>0</v>
      </c>
      <c r="N117" s="129"/>
      <c r="O117" s="54">
        <f t="shared" si="38"/>
        <v>0</v>
      </c>
      <c r="P117" s="54">
        <f t="shared" si="39"/>
        <v>0</v>
      </c>
      <c r="Q117" s="1"/>
    </row>
    <row r="118" spans="2:17" ht="12.5">
      <c r="B118" s="7" t="str">
        <f t="shared" si="40"/>
        <v/>
      </c>
      <c r="C118" s="50">
        <f>IF(D93="","-",+C117+1)</f>
        <v>2028</v>
      </c>
      <c r="D118" s="12">
        <f>IF(F117+SUM(E$99:E117)=D$92,F117,D$92-SUM(E$99:E117))</f>
        <v>4643854.4483393123</v>
      </c>
      <c r="E118" s="378">
        <f>IF(+J96&lt;F117,J96,D118)</f>
        <v>190970.15909090909</v>
      </c>
      <c r="F118" s="55">
        <f t="shared" si="61"/>
        <v>4452884.2892484032</v>
      </c>
      <c r="G118" s="55">
        <f t="shared" si="62"/>
        <v>4548369.3687938582</v>
      </c>
      <c r="H118" s="380">
        <f t="shared" si="63"/>
        <v>757361.94910917687</v>
      </c>
      <c r="I118" s="399">
        <f t="shared" si="64"/>
        <v>757361.94910917687</v>
      </c>
      <c r="J118" s="54">
        <f t="shared" si="34"/>
        <v>0</v>
      </c>
      <c r="K118" s="54"/>
      <c r="L118" s="129"/>
      <c r="M118" s="54">
        <f t="shared" si="36"/>
        <v>0</v>
      </c>
      <c r="N118" s="129"/>
      <c r="O118" s="54">
        <f t="shared" si="38"/>
        <v>0</v>
      </c>
      <c r="P118" s="54">
        <f t="shared" si="39"/>
        <v>0</v>
      </c>
      <c r="Q118" s="1"/>
    </row>
    <row r="119" spans="2:17" ht="12.5">
      <c r="B119" s="7" t="str">
        <f t="shared" si="40"/>
        <v/>
      </c>
      <c r="C119" s="50">
        <f>IF(D93="","-",+C118+1)</f>
        <v>2029</v>
      </c>
      <c r="D119" s="12">
        <f>IF(F118+SUM(E$99:E118)=D$92,F118,D$92-SUM(E$99:E118))</f>
        <v>4452884.2892484032</v>
      </c>
      <c r="E119" s="378">
        <f>IF(+J96&lt;F118,J96,D119)</f>
        <v>190970.15909090909</v>
      </c>
      <c r="F119" s="55">
        <f t="shared" si="61"/>
        <v>4261914.130157494</v>
      </c>
      <c r="G119" s="55">
        <f t="shared" si="62"/>
        <v>4357399.2097029481</v>
      </c>
      <c r="H119" s="380">
        <f t="shared" si="63"/>
        <v>733581.13416708319</v>
      </c>
      <c r="I119" s="399">
        <f t="shared" si="64"/>
        <v>733581.13416708319</v>
      </c>
      <c r="J119" s="54">
        <f t="shared" si="34"/>
        <v>0</v>
      </c>
      <c r="K119" s="54"/>
      <c r="L119" s="129"/>
      <c r="M119" s="54">
        <f t="shared" si="36"/>
        <v>0</v>
      </c>
      <c r="N119" s="129"/>
      <c r="O119" s="54">
        <f t="shared" si="38"/>
        <v>0</v>
      </c>
      <c r="P119" s="54">
        <f t="shared" si="39"/>
        <v>0</v>
      </c>
      <c r="Q119" s="1"/>
    </row>
    <row r="120" spans="2:17" ht="12.5">
      <c r="B120" s="7" t="str">
        <f t="shared" si="40"/>
        <v/>
      </c>
      <c r="C120" s="50">
        <f>IF(D93="","-",+C119+1)</f>
        <v>2030</v>
      </c>
      <c r="D120" s="12">
        <f>IF(F119+SUM(E$99:E119)=D$92,F119,D$92-SUM(E$99:E119))</f>
        <v>4261914.130157494</v>
      </c>
      <c r="E120" s="378">
        <f>IF(+J96&lt;F119,J96,D120)</f>
        <v>190970.15909090909</v>
      </c>
      <c r="F120" s="55">
        <f t="shared" si="61"/>
        <v>4070943.9710665848</v>
      </c>
      <c r="G120" s="55">
        <f t="shared" si="62"/>
        <v>4166429.0506120394</v>
      </c>
      <c r="H120" s="380">
        <f t="shared" si="63"/>
        <v>709800.31922498986</v>
      </c>
      <c r="I120" s="399">
        <f t="shared" si="64"/>
        <v>709800.31922498986</v>
      </c>
      <c r="J120" s="54">
        <f t="shared" si="34"/>
        <v>0</v>
      </c>
      <c r="K120" s="54"/>
      <c r="L120" s="129"/>
      <c r="M120" s="54">
        <f t="shared" si="36"/>
        <v>0</v>
      </c>
      <c r="N120" s="129"/>
      <c r="O120" s="54">
        <f t="shared" si="38"/>
        <v>0</v>
      </c>
      <c r="P120" s="54">
        <f t="shared" si="39"/>
        <v>0</v>
      </c>
      <c r="Q120" s="1"/>
    </row>
    <row r="121" spans="2:17" ht="12.5">
      <c r="B121" s="7" t="str">
        <f t="shared" si="40"/>
        <v/>
      </c>
      <c r="C121" s="50">
        <f>IF(D93="","-",+C120+1)</f>
        <v>2031</v>
      </c>
      <c r="D121" s="12">
        <f>IF(F120+SUM(E$99:E120)=D$92,F120,D$92-SUM(E$99:E120))</f>
        <v>4070943.9710665848</v>
      </c>
      <c r="E121" s="378">
        <f>IF(+J96&lt;F120,J96,D121)</f>
        <v>190970.15909090909</v>
      </c>
      <c r="F121" s="55">
        <f t="shared" si="61"/>
        <v>3879973.8119756756</v>
      </c>
      <c r="G121" s="55">
        <f t="shared" si="62"/>
        <v>3975458.8915211302</v>
      </c>
      <c r="H121" s="380">
        <f t="shared" si="63"/>
        <v>686019.50428289629</v>
      </c>
      <c r="I121" s="399">
        <f t="shared" si="64"/>
        <v>686019.50428289629</v>
      </c>
      <c r="J121" s="54">
        <f t="shared" si="34"/>
        <v>0</v>
      </c>
      <c r="K121" s="54"/>
      <c r="L121" s="129"/>
      <c r="M121" s="54">
        <f t="shared" si="36"/>
        <v>0</v>
      </c>
      <c r="N121" s="129"/>
      <c r="O121" s="54">
        <f t="shared" si="38"/>
        <v>0</v>
      </c>
      <c r="P121" s="54">
        <f t="shared" si="39"/>
        <v>0</v>
      </c>
      <c r="Q121" s="1"/>
    </row>
    <row r="122" spans="2:17" ht="12.5">
      <c r="B122" s="7" t="str">
        <f t="shared" si="40"/>
        <v/>
      </c>
      <c r="C122" s="50">
        <f>IF(D93="","-",+C121+1)</f>
        <v>2032</v>
      </c>
      <c r="D122" s="12">
        <f>IF(F121+SUM(E$99:E121)=D$92,F121,D$92-SUM(E$99:E121))</f>
        <v>3879973.8119756756</v>
      </c>
      <c r="E122" s="378">
        <f>IF(+J96&lt;F121,J96,D122)</f>
        <v>190970.15909090909</v>
      </c>
      <c r="F122" s="55">
        <f t="shared" si="61"/>
        <v>3689003.6528847665</v>
      </c>
      <c r="G122" s="55">
        <f t="shared" si="62"/>
        <v>3784488.732430221</v>
      </c>
      <c r="H122" s="380">
        <f t="shared" si="63"/>
        <v>662238.68934080272</v>
      </c>
      <c r="I122" s="399">
        <f t="shared" si="64"/>
        <v>662238.68934080272</v>
      </c>
      <c r="J122" s="54">
        <f t="shared" si="34"/>
        <v>0</v>
      </c>
      <c r="K122" s="54"/>
      <c r="L122" s="129"/>
      <c r="M122" s="54">
        <f t="shared" si="36"/>
        <v>0</v>
      </c>
      <c r="N122" s="129"/>
      <c r="O122" s="54">
        <f t="shared" si="38"/>
        <v>0</v>
      </c>
      <c r="P122" s="54">
        <f t="shared" si="39"/>
        <v>0</v>
      </c>
      <c r="Q122" s="1"/>
    </row>
    <row r="123" spans="2:17" ht="12.5">
      <c r="B123" s="7" t="str">
        <f t="shared" si="40"/>
        <v/>
      </c>
      <c r="C123" s="50">
        <f>IF(D93="","-",+C122+1)</f>
        <v>2033</v>
      </c>
      <c r="D123" s="12">
        <f>IF(F122+SUM(E$99:E122)=D$92,F122,D$92-SUM(E$99:E122))</f>
        <v>3689003.6528847665</v>
      </c>
      <c r="E123" s="378">
        <f>IF(+J96&lt;F122,J96,D123)</f>
        <v>190970.15909090909</v>
      </c>
      <c r="F123" s="55">
        <f t="shared" si="61"/>
        <v>3498033.4937938573</v>
      </c>
      <c r="G123" s="55">
        <f t="shared" si="62"/>
        <v>3593518.5733393119</v>
      </c>
      <c r="H123" s="380">
        <f t="shared" si="63"/>
        <v>638457.87439870927</v>
      </c>
      <c r="I123" s="399">
        <f t="shared" si="64"/>
        <v>638457.87439870927</v>
      </c>
      <c r="J123" s="54">
        <f t="shared" si="34"/>
        <v>0</v>
      </c>
      <c r="K123" s="54"/>
      <c r="L123" s="129"/>
      <c r="M123" s="54">
        <f t="shared" si="36"/>
        <v>0</v>
      </c>
      <c r="N123" s="129"/>
      <c r="O123" s="54">
        <f t="shared" si="38"/>
        <v>0</v>
      </c>
      <c r="P123" s="54">
        <f t="shared" si="39"/>
        <v>0</v>
      </c>
      <c r="Q123" s="1"/>
    </row>
    <row r="124" spans="2:17" ht="12.5">
      <c r="B124" s="7" t="str">
        <f t="shared" si="40"/>
        <v/>
      </c>
      <c r="C124" s="50">
        <f>IF(D93="","-",+C123+1)</f>
        <v>2034</v>
      </c>
      <c r="D124" s="12">
        <f>IF(F123+SUM(E$99:E123)=D$92,F123,D$92-SUM(E$99:E123))</f>
        <v>3498033.4937938573</v>
      </c>
      <c r="E124" s="378">
        <f>IF(+J96&lt;F123,J96,D124)</f>
        <v>190970.15909090909</v>
      </c>
      <c r="F124" s="55">
        <f t="shared" si="61"/>
        <v>3307063.3347029481</v>
      </c>
      <c r="G124" s="55">
        <f t="shared" si="62"/>
        <v>3402548.4142484027</v>
      </c>
      <c r="H124" s="380">
        <f t="shared" si="63"/>
        <v>614677.05945661571</v>
      </c>
      <c r="I124" s="399">
        <f t="shared" si="64"/>
        <v>614677.05945661571</v>
      </c>
      <c r="J124" s="54">
        <f t="shared" si="34"/>
        <v>0</v>
      </c>
      <c r="K124" s="54"/>
      <c r="L124" s="129"/>
      <c r="M124" s="54">
        <f t="shared" si="36"/>
        <v>0</v>
      </c>
      <c r="N124" s="129"/>
      <c r="O124" s="54">
        <f t="shared" si="38"/>
        <v>0</v>
      </c>
      <c r="P124" s="54">
        <f t="shared" si="39"/>
        <v>0</v>
      </c>
      <c r="Q124" s="1"/>
    </row>
    <row r="125" spans="2:17" ht="12.5">
      <c r="B125" s="7" t="str">
        <f t="shared" si="40"/>
        <v/>
      </c>
      <c r="C125" s="50">
        <f>IF(D93="","-",+C124+1)</f>
        <v>2035</v>
      </c>
      <c r="D125" s="12">
        <f>IF(F124+SUM(E$99:E124)=D$92,F124,D$92-SUM(E$99:E124))</f>
        <v>3307063.3347029481</v>
      </c>
      <c r="E125" s="378">
        <f>IF(+J96&lt;F124,J96,D125)</f>
        <v>190970.15909090909</v>
      </c>
      <c r="F125" s="55">
        <f t="shared" si="61"/>
        <v>3116093.1756120389</v>
      </c>
      <c r="G125" s="55">
        <f t="shared" si="62"/>
        <v>3211578.2551574935</v>
      </c>
      <c r="H125" s="380">
        <f t="shared" si="63"/>
        <v>590896.24451452226</v>
      </c>
      <c r="I125" s="399">
        <f t="shared" si="64"/>
        <v>590896.24451452226</v>
      </c>
      <c r="J125" s="54">
        <f t="shared" si="34"/>
        <v>0</v>
      </c>
      <c r="K125" s="54"/>
      <c r="L125" s="129"/>
      <c r="M125" s="54">
        <f t="shared" si="36"/>
        <v>0</v>
      </c>
      <c r="N125" s="129"/>
      <c r="O125" s="54">
        <f t="shared" si="38"/>
        <v>0</v>
      </c>
      <c r="P125" s="54">
        <f t="shared" si="39"/>
        <v>0</v>
      </c>
      <c r="Q125" s="1"/>
    </row>
    <row r="126" spans="2:17" ht="12.5">
      <c r="B126" s="7" t="str">
        <f t="shared" si="40"/>
        <v/>
      </c>
      <c r="C126" s="50">
        <f>IF(D93="","-",+C125+1)</f>
        <v>2036</v>
      </c>
      <c r="D126" s="12">
        <f>IF(F125+SUM(E$99:E125)=D$92,F125,D$92-SUM(E$99:E125))</f>
        <v>3116093.1756120389</v>
      </c>
      <c r="E126" s="378">
        <f>IF(+J96&lt;F125,J96,D126)</f>
        <v>190970.15909090909</v>
      </c>
      <c r="F126" s="55">
        <f t="shared" si="61"/>
        <v>2925123.0165211298</v>
      </c>
      <c r="G126" s="55">
        <f t="shared" si="62"/>
        <v>3020608.0960665843</v>
      </c>
      <c r="H126" s="380">
        <f t="shared" si="63"/>
        <v>567115.42957242869</v>
      </c>
      <c r="I126" s="399">
        <f t="shared" si="64"/>
        <v>567115.42957242869</v>
      </c>
      <c r="J126" s="54">
        <f t="shared" si="34"/>
        <v>0</v>
      </c>
      <c r="K126" s="54"/>
      <c r="L126" s="129"/>
      <c r="M126" s="54">
        <f t="shared" si="36"/>
        <v>0</v>
      </c>
      <c r="N126" s="129"/>
      <c r="O126" s="54">
        <f t="shared" si="38"/>
        <v>0</v>
      </c>
      <c r="P126" s="54">
        <f t="shared" si="39"/>
        <v>0</v>
      </c>
      <c r="Q126" s="1"/>
    </row>
    <row r="127" spans="2:17" ht="12.5">
      <c r="B127" s="7" t="str">
        <f t="shared" si="40"/>
        <v/>
      </c>
      <c r="C127" s="50">
        <f>IF(D93="","-",+C126+1)</f>
        <v>2037</v>
      </c>
      <c r="D127" s="12">
        <f>IF(F126+SUM(E$99:E126)=D$92,F126,D$92-SUM(E$99:E126))</f>
        <v>2925123.0165211298</v>
      </c>
      <c r="E127" s="378">
        <f>IF(+J96&lt;F126,J96,D127)</f>
        <v>190970.15909090909</v>
      </c>
      <c r="F127" s="55">
        <f t="shared" si="61"/>
        <v>2734152.8574302206</v>
      </c>
      <c r="G127" s="55">
        <f t="shared" si="62"/>
        <v>2829637.9369756752</v>
      </c>
      <c r="H127" s="380">
        <f t="shared" si="63"/>
        <v>543334.61463033524</v>
      </c>
      <c r="I127" s="399">
        <f t="shared" si="64"/>
        <v>543334.61463033524</v>
      </c>
      <c r="J127" s="54">
        <f t="shared" si="34"/>
        <v>0</v>
      </c>
      <c r="K127" s="54"/>
      <c r="L127" s="129"/>
      <c r="M127" s="54">
        <f t="shared" si="36"/>
        <v>0</v>
      </c>
      <c r="N127" s="129"/>
      <c r="O127" s="54">
        <f t="shared" si="38"/>
        <v>0</v>
      </c>
      <c r="P127" s="54">
        <f t="shared" si="39"/>
        <v>0</v>
      </c>
      <c r="Q127" s="1"/>
    </row>
    <row r="128" spans="2:17" ht="12.5">
      <c r="B128" s="7" t="str">
        <f t="shared" si="40"/>
        <v/>
      </c>
      <c r="C128" s="50">
        <f>IF(D93="","-",+C127+1)</f>
        <v>2038</v>
      </c>
      <c r="D128" s="12">
        <f>IF(F127+SUM(E$99:E127)=D$92,F127,D$92-SUM(E$99:E127))</f>
        <v>2734152.8574302206</v>
      </c>
      <c r="E128" s="378">
        <f>IF(+J96&lt;F127,J96,D128)</f>
        <v>190970.15909090909</v>
      </c>
      <c r="F128" s="55">
        <f t="shared" si="61"/>
        <v>2543182.6983393114</v>
      </c>
      <c r="G128" s="55">
        <f t="shared" si="62"/>
        <v>2638667.777884766</v>
      </c>
      <c r="H128" s="380">
        <f t="shared" si="63"/>
        <v>519553.79968824168</v>
      </c>
      <c r="I128" s="399">
        <f t="shared" si="64"/>
        <v>519553.79968824168</v>
      </c>
      <c r="J128" s="54">
        <f t="shared" si="34"/>
        <v>0</v>
      </c>
      <c r="K128" s="54"/>
      <c r="L128" s="129"/>
      <c r="M128" s="54">
        <f t="shared" si="36"/>
        <v>0</v>
      </c>
      <c r="N128" s="129"/>
      <c r="O128" s="54">
        <f t="shared" si="38"/>
        <v>0</v>
      </c>
      <c r="P128" s="54">
        <f t="shared" si="39"/>
        <v>0</v>
      </c>
      <c r="Q128" s="1"/>
    </row>
    <row r="129" spans="2:17" ht="12.5">
      <c r="B129" s="7" t="str">
        <f t="shared" si="40"/>
        <v/>
      </c>
      <c r="C129" s="50">
        <f>IF(D93="","-",+C128+1)</f>
        <v>2039</v>
      </c>
      <c r="D129" s="12">
        <f>IF(F128+SUM(E$99:E128)=D$92,F128,D$92-SUM(E$99:E128))</f>
        <v>2543182.6983393114</v>
      </c>
      <c r="E129" s="378">
        <f>IF(+J96&lt;F128,J96,D129)</f>
        <v>190970.15909090909</v>
      </c>
      <c r="F129" s="55">
        <f t="shared" si="61"/>
        <v>2352212.5392484022</v>
      </c>
      <c r="G129" s="55">
        <f t="shared" si="62"/>
        <v>2447697.6187938568</v>
      </c>
      <c r="H129" s="380">
        <f t="shared" si="63"/>
        <v>495772.98474614823</v>
      </c>
      <c r="I129" s="399">
        <f t="shared" si="64"/>
        <v>495772.98474614823</v>
      </c>
      <c r="J129" s="54">
        <f t="shared" si="34"/>
        <v>0</v>
      </c>
      <c r="K129" s="54"/>
      <c r="L129" s="129"/>
      <c r="M129" s="54">
        <f t="shared" si="36"/>
        <v>0</v>
      </c>
      <c r="N129" s="129"/>
      <c r="O129" s="54">
        <f t="shared" si="38"/>
        <v>0</v>
      </c>
      <c r="P129" s="54">
        <f t="shared" si="39"/>
        <v>0</v>
      </c>
      <c r="Q129" s="1"/>
    </row>
    <row r="130" spans="2:17" ht="12.5">
      <c r="B130" s="7" t="str">
        <f t="shared" si="40"/>
        <v/>
      </c>
      <c r="C130" s="50">
        <f>IF(D93="","-",+C129+1)</f>
        <v>2040</v>
      </c>
      <c r="D130" s="12">
        <f>IF(F129+SUM(E$99:E129)=D$92,F129,D$92-SUM(E$99:E129))</f>
        <v>2352212.5392484022</v>
      </c>
      <c r="E130" s="378">
        <f>IF(+J96&lt;F129,J96,D130)</f>
        <v>190970.15909090909</v>
      </c>
      <c r="F130" s="55">
        <f t="shared" si="61"/>
        <v>2161242.3801574931</v>
      </c>
      <c r="G130" s="55">
        <f t="shared" si="62"/>
        <v>2256727.4597029476</v>
      </c>
      <c r="H130" s="380">
        <f t="shared" si="63"/>
        <v>471992.16980405466</v>
      </c>
      <c r="I130" s="399">
        <f t="shared" si="64"/>
        <v>471992.16980405466</v>
      </c>
      <c r="J130" s="54">
        <f t="shared" si="34"/>
        <v>0</v>
      </c>
      <c r="K130" s="54"/>
      <c r="L130" s="129"/>
      <c r="M130" s="54">
        <f t="shared" si="36"/>
        <v>0</v>
      </c>
      <c r="N130" s="129"/>
      <c r="O130" s="54">
        <f t="shared" si="38"/>
        <v>0</v>
      </c>
      <c r="P130" s="54">
        <f t="shared" si="39"/>
        <v>0</v>
      </c>
      <c r="Q130" s="1"/>
    </row>
    <row r="131" spans="2:17" ht="12.5">
      <c r="B131" s="7" t="str">
        <f t="shared" si="40"/>
        <v/>
      </c>
      <c r="C131" s="50">
        <f>IF(D93="","-",+C130+1)</f>
        <v>2041</v>
      </c>
      <c r="D131" s="12">
        <f>IF(F130+SUM(E$99:E130)=D$92,F130,D$92-SUM(E$99:E130))</f>
        <v>2161242.3801574931</v>
      </c>
      <c r="E131" s="378">
        <f>IF(+J96&lt;F130,J96,D131)</f>
        <v>190970.15909090909</v>
      </c>
      <c r="F131" s="55">
        <f t="shared" ref="F131:F154" si="65">+D131-E131</f>
        <v>1970272.2210665839</v>
      </c>
      <c r="G131" s="55">
        <f t="shared" ref="G131:G154" si="66">+(F131+D131)/2</f>
        <v>2065757.3006120385</v>
      </c>
      <c r="H131" s="380">
        <f t="shared" si="63"/>
        <v>448211.35486196115</v>
      </c>
      <c r="I131" s="399">
        <f t="shared" si="64"/>
        <v>448211.35486196115</v>
      </c>
      <c r="J131" s="54">
        <f t="shared" ref="J131:J154" si="67">+I131-H131</f>
        <v>0</v>
      </c>
      <c r="K131" s="54"/>
      <c r="L131" s="129"/>
      <c r="M131" s="54">
        <f t="shared" ref="M131:M154" si="68">IF(L131&lt;&gt;0,+H131-L131,0)</f>
        <v>0</v>
      </c>
      <c r="N131" s="129"/>
      <c r="O131" s="54">
        <f t="shared" ref="O131:O154" si="69">IF(N131&lt;&gt;0,+I131-N131,0)</f>
        <v>0</v>
      </c>
      <c r="P131" s="54">
        <f t="shared" ref="P131:P154" si="70">+O131-M131</f>
        <v>0</v>
      </c>
      <c r="Q131" s="1"/>
    </row>
    <row r="132" spans="2:17" ht="12.5">
      <c r="B132" s="7" t="str">
        <f t="shared" si="40"/>
        <v/>
      </c>
      <c r="C132" s="50">
        <f>IF(D93="","-",+C131+1)</f>
        <v>2042</v>
      </c>
      <c r="D132" s="12">
        <f>IF(F131+SUM(E$99:E131)=D$92,F131,D$92-SUM(E$99:E131))</f>
        <v>1970272.2210665839</v>
      </c>
      <c r="E132" s="378">
        <f>IF(+J96&lt;F131,J96,D132)</f>
        <v>190970.15909090909</v>
      </c>
      <c r="F132" s="55">
        <f t="shared" si="65"/>
        <v>1779302.0619756747</v>
      </c>
      <c r="G132" s="55">
        <f t="shared" si="66"/>
        <v>1874787.1415211293</v>
      </c>
      <c r="H132" s="380">
        <f t="shared" si="63"/>
        <v>424430.53991986765</v>
      </c>
      <c r="I132" s="399">
        <f t="shared" si="64"/>
        <v>424430.53991986765</v>
      </c>
      <c r="J132" s="54">
        <f t="shared" si="67"/>
        <v>0</v>
      </c>
      <c r="K132" s="54"/>
      <c r="L132" s="129"/>
      <c r="M132" s="54">
        <f t="shared" si="68"/>
        <v>0</v>
      </c>
      <c r="N132" s="129"/>
      <c r="O132" s="54">
        <f t="shared" si="69"/>
        <v>0</v>
      </c>
      <c r="P132" s="54">
        <f t="shared" si="70"/>
        <v>0</v>
      </c>
      <c r="Q132" s="1"/>
    </row>
    <row r="133" spans="2:17" ht="12.5">
      <c r="B133" s="7" t="str">
        <f t="shared" si="40"/>
        <v/>
      </c>
      <c r="C133" s="50">
        <f>IF(D93="","-",+C132+1)</f>
        <v>2043</v>
      </c>
      <c r="D133" s="12">
        <f>IF(F132+SUM(E$99:E132)=D$92,F132,D$92-SUM(E$99:E132))</f>
        <v>1779302.0619756747</v>
      </c>
      <c r="E133" s="378">
        <f>IF(+J96&lt;F132,J96,D133)</f>
        <v>190970.15909090909</v>
      </c>
      <c r="F133" s="55">
        <f t="shared" si="65"/>
        <v>1588331.9028847655</v>
      </c>
      <c r="G133" s="55">
        <f t="shared" si="66"/>
        <v>1683816.9824302201</v>
      </c>
      <c r="H133" s="380">
        <f t="shared" si="63"/>
        <v>400649.72497777414</v>
      </c>
      <c r="I133" s="399">
        <f t="shared" si="64"/>
        <v>400649.72497777414</v>
      </c>
      <c r="J133" s="54">
        <f t="shared" si="67"/>
        <v>0</v>
      </c>
      <c r="K133" s="54"/>
      <c r="L133" s="129"/>
      <c r="M133" s="54">
        <f t="shared" si="68"/>
        <v>0</v>
      </c>
      <c r="N133" s="129"/>
      <c r="O133" s="54">
        <f t="shared" si="69"/>
        <v>0</v>
      </c>
      <c r="P133" s="54">
        <f t="shared" si="70"/>
        <v>0</v>
      </c>
      <c r="Q133" s="1"/>
    </row>
    <row r="134" spans="2:17" ht="12.5">
      <c r="B134" s="7" t="str">
        <f t="shared" si="40"/>
        <v/>
      </c>
      <c r="C134" s="50">
        <f>IF(D93="","-",+C133+1)</f>
        <v>2044</v>
      </c>
      <c r="D134" s="12">
        <f>IF(F133+SUM(E$99:E133)=D$92,F133,D$92-SUM(E$99:E133))</f>
        <v>1588331.9028847655</v>
      </c>
      <c r="E134" s="378">
        <f>IF(+J96&lt;F133,J96,D134)</f>
        <v>190970.15909090909</v>
      </c>
      <c r="F134" s="55">
        <f t="shared" si="65"/>
        <v>1397361.7437938564</v>
      </c>
      <c r="G134" s="55">
        <f t="shared" si="66"/>
        <v>1492846.8233393109</v>
      </c>
      <c r="H134" s="380">
        <f t="shared" si="63"/>
        <v>376868.91003568063</v>
      </c>
      <c r="I134" s="399">
        <f t="shared" si="64"/>
        <v>376868.91003568063</v>
      </c>
      <c r="J134" s="54">
        <f t="shared" si="67"/>
        <v>0</v>
      </c>
      <c r="K134" s="54"/>
      <c r="L134" s="129"/>
      <c r="M134" s="54">
        <f t="shared" si="68"/>
        <v>0</v>
      </c>
      <c r="N134" s="129"/>
      <c r="O134" s="54">
        <f t="shared" si="69"/>
        <v>0</v>
      </c>
      <c r="P134" s="54">
        <f t="shared" si="70"/>
        <v>0</v>
      </c>
      <c r="Q134" s="1"/>
    </row>
    <row r="135" spans="2:17" ht="12.5">
      <c r="B135" s="7" t="str">
        <f t="shared" si="40"/>
        <v/>
      </c>
      <c r="C135" s="50">
        <f>IF(D93="","-",+C134+1)</f>
        <v>2045</v>
      </c>
      <c r="D135" s="12">
        <f>IF(F134+SUM(E$99:E134)=D$92,F134,D$92-SUM(E$99:E134))</f>
        <v>1397361.7437938564</v>
      </c>
      <c r="E135" s="378">
        <f>IF(+J96&lt;F134,J96,D135)</f>
        <v>190970.15909090909</v>
      </c>
      <c r="F135" s="55">
        <f t="shared" si="65"/>
        <v>1206391.5847029472</v>
      </c>
      <c r="G135" s="55">
        <f t="shared" si="66"/>
        <v>1301876.6642484018</v>
      </c>
      <c r="H135" s="380">
        <f t="shared" si="63"/>
        <v>353088.09509358706</v>
      </c>
      <c r="I135" s="399">
        <f t="shared" si="64"/>
        <v>353088.09509358706</v>
      </c>
      <c r="J135" s="54">
        <f t="shared" si="67"/>
        <v>0</v>
      </c>
      <c r="K135" s="54"/>
      <c r="L135" s="129"/>
      <c r="M135" s="54">
        <f t="shared" si="68"/>
        <v>0</v>
      </c>
      <c r="N135" s="129"/>
      <c r="O135" s="54">
        <f t="shared" si="69"/>
        <v>0</v>
      </c>
      <c r="P135" s="54">
        <f t="shared" si="70"/>
        <v>0</v>
      </c>
      <c r="Q135" s="1"/>
    </row>
    <row r="136" spans="2:17" ht="12.5">
      <c r="B136" s="7"/>
      <c r="C136" s="50">
        <f>IF(D93="","-",+C135+1)</f>
        <v>2046</v>
      </c>
      <c r="D136" s="12">
        <f>IF(F135+SUM(E$99:E135)=D$92,F135,D$92-SUM(E$99:E135))</f>
        <v>1206391.5847029472</v>
      </c>
      <c r="E136" s="378">
        <f>IF(+J96&lt;F135,J96,D136)</f>
        <v>190970.15909090909</v>
      </c>
      <c r="F136" s="55">
        <f t="shared" si="65"/>
        <v>1015421.4256120381</v>
      </c>
      <c r="G136" s="55">
        <f t="shared" si="66"/>
        <v>1110906.5051574926</v>
      </c>
      <c r="H136" s="380">
        <f t="shared" si="63"/>
        <v>329307.28015149361</v>
      </c>
      <c r="I136" s="399">
        <f t="shared" si="64"/>
        <v>329307.28015149361</v>
      </c>
      <c r="J136" s="54">
        <f t="shared" si="67"/>
        <v>0</v>
      </c>
      <c r="K136" s="54"/>
      <c r="L136" s="129"/>
      <c r="M136" s="54">
        <f t="shared" si="68"/>
        <v>0</v>
      </c>
      <c r="N136" s="129"/>
      <c r="O136" s="54">
        <f t="shared" si="69"/>
        <v>0</v>
      </c>
      <c r="P136" s="54">
        <f t="shared" si="70"/>
        <v>0</v>
      </c>
      <c r="Q136" s="1"/>
    </row>
    <row r="137" spans="2:17" ht="12.5">
      <c r="B137" s="7" t="str">
        <f t="shared" si="40"/>
        <v/>
      </c>
      <c r="C137" s="50">
        <f>IF(D93="","-",+C136+1)</f>
        <v>2047</v>
      </c>
      <c r="D137" s="12">
        <f>IF(F136+SUM(E$99:E136)=D$92,F136,D$92-SUM(E$99:E136))</f>
        <v>1015421.4256120381</v>
      </c>
      <c r="E137" s="378">
        <f>IF(+J96&lt;F136,J96,D137)</f>
        <v>190970.15909090909</v>
      </c>
      <c r="F137" s="55">
        <f t="shared" si="65"/>
        <v>824451.26652112906</v>
      </c>
      <c r="G137" s="55">
        <f t="shared" si="66"/>
        <v>919936.34606658365</v>
      </c>
      <c r="H137" s="380">
        <f t="shared" si="63"/>
        <v>305526.46520940011</v>
      </c>
      <c r="I137" s="399">
        <f t="shared" si="64"/>
        <v>305526.46520940011</v>
      </c>
      <c r="J137" s="54">
        <f t="shared" si="67"/>
        <v>0</v>
      </c>
      <c r="K137" s="54"/>
      <c r="L137" s="129"/>
      <c r="M137" s="54">
        <f t="shared" si="68"/>
        <v>0</v>
      </c>
      <c r="N137" s="129"/>
      <c r="O137" s="54">
        <f t="shared" si="69"/>
        <v>0</v>
      </c>
      <c r="P137" s="54">
        <f t="shared" si="70"/>
        <v>0</v>
      </c>
      <c r="Q137" s="1"/>
    </row>
    <row r="138" spans="2:17" ht="12.5">
      <c r="B138" s="7" t="str">
        <f t="shared" si="40"/>
        <v/>
      </c>
      <c r="C138" s="50">
        <f>IF(D93="","-",+C137+1)</f>
        <v>2048</v>
      </c>
      <c r="D138" s="12">
        <f>IF(F137+SUM(E$99:E137)=D$92,F137,D$92-SUM(E$99:E137))</f>
        <v>824451.26652112906</v>
      </c>
      <c r="E138" s="378">
        <f>IF(+J96&lt;F137,J96,D138)</f>
        <v>190970.15909090909</v>
      </c>
      <c r="F138" s="55">
        <f t="shared" si="65"/>
        <v>633481.10743022</v>
      </c>
      <c r="G138" s="55">
        <f t="shared" si="66"/>
        <v>728966.18697567447</v>
      </c>
      <c r="H138" s="380">
        <f t="shared" si="63"/>
        <v>281745.6502673066</v>
      </c>
      <c r="I138" s="399">
        <f t="shared" si="64"/>
        <v>281745.6502673066</v>
      </c>
      <c r="J138" s="54">
        <f t="shared" si="67"/>
        <v>0</v>
      </c>
      <c r="K138" s="54"/>
      <c r="L138" s="129"/>
      <c r="M138" s="54">
        <f t="shared" si="68"/>
        <v>0</v>
      </c>
      <c r="N138" s="129"/>
      <c r="O138" s="54">
        <f t="shared" si="69"/>
        <v>0</v>
      </c>
      <c r="P138" s="54">
        <f t="shared" si="70"/>
        <v>0</v>
      </c>
      <c r="Q138" s="1"/>
    </row>
    <row r="139" spans="2:17" ht="12.5">
      <c r="B139" s="7" t="str">
        <f t="shared" si="40"/>
        <v/>
      </c>
      <c r="C139" s="50">
        <f>IF(D93="","-",+C138+1)</f>
        <v>2049</v>
      </c>
      <c r="D139" s="12">
        <f>IF(F138+SUM(E$99:E138)=D$92,F138,D$92-SUM(E$99:E138))</f>
        <v>633481.10743022</v>
      </c>
      <c r="E139" s="378">
        <f>IF(+J96&lt;F138,J96,D139)</f>
        <v>190970.15909090909</v>
      </c>
      <c r="F139" s="55">
        <f t="shared" si="65"/>
        <v>442510.94833931094</v>
      </c>
      <c r="G139" s="55">
        <f t="shared" si="66"/>
        <v>537996.02788476553</v>
      </c>
      <c r="H139" s="380">
        <f t="shared" si="63"/>
        <v>257964.83532521309</v>
      </c>
      <c r="I139" s="399">
        <f t="shared" si="64"/>
        <v>257964.83532521309</v>
      </c>
      <c r="J139" s="54">
        <f t="shared" si="67"/>
        <v>0</v>
      </c>
      <c r="K139" s="54"/>
      <c r="L139" s="129"/>
      <c r="M139" s="54">
        <f t="shared" si="68"/>
        <v>0</v>
      </c>
      <c r="N139" s="129"/>
      <c r="O139" s="54">
        <f t="shared" si="69"/>
        <v>0</v>
      </c>
      <c r="P139" s="54">
        <f t="shared" si="70"/>
        <v>0</v>
      </c>
      <c r="Q139" s="1"/>
    </row>
    <row r="140" spans="2:17" ht="12.5">
      <c r="B140" s="7" t="str">
        <f t="shared" si="40"/>
        <v/>
      </c>
      <c r="C140" s="50">
        <f>IF(D93="","-",+C139+1)</f>
        <v>2050</v>
      </c>
      <c r="D140" s="12">
        <f>IF(F139+SUM(E$99:E139)=D$92,F139,D$92-SUM(E$99:E139))</f>
        <v>442510.94833931094</v>
      </c>
      <c r="E140" s="378">
        <f>IF(+J96&lt;F139,J96,D140)</f>
        <v>190970.15909090909</v>
      </c>
      <c r="F140" s="55">
        <f t="shared" si="65"/>
        <v>251540.78924840185</v>
      </c>
      <c r="G140" s="55">
        <f t="shared" si="66"/>
        <v>347025.86879385641</v>
      </c>
      <c r="H140" s="380">
        <f t="shared" si="63"/>
        <v>234184.02038311958</v>
      </c>
      <c r="I140" s="399">
        <f t="shared" si="64"/>
        <v>234184.02038311958</v>
      </c>
      <c r="J140" s="54">
        <f t="shared" si="67"/>
        <v>0</v>
      </c>
      <c r="K140" s="54"/>
      <c r="L140" s="129"/>
      <c r="M140" s="54">
        <f t="shared" si="68"/>
        <v>0</v>
      </c>
      <c r="N140" s="129"/>
      <c r="O140" s="54">
        <f t="shared" si="69"/>
        <v>0</v>
      </c>
      <c r="P140" s="54">
        <f t="shared" si="70"/>
        <v>0</v>
      </c>
      <c r="Q140" s="1"/>
    </row>
    <row r="141" spans="2:17" ht="12.5">
      <c r="B141" s="7" t="str">
        <f t="shared" si="40"/>
        <v/>
      </c>
      <c r="C141" s="50">
        <f>IF(D93="","-",+C140+1)</f>
        <v>2051</v>
      </c>
      <c r="D141" s="12">
        <f>IF(F140+SUM(E$99:E140)=D$92,F140,D$92-SUM(E$99:E140))</f>
        <v>251540.78924840185</v>
      </c>
      <c r="E141" s="378">
        <f>IF(+J96&lt;F140,J96,D141)</f>
        <v>190970.15909090909</v>
      </c>
      <c r="F141" s="55">
        <f t="shared" si="65"/>
        <v>60570.630157492764</v>
      </c>
      <c r="G141" s="55">
        <f t="shared" si="66"/>
        <v>156055.70970294729</v>
      </c>
      <c r="H141" s="380">
        <f t="shared" si="63"/>
        <v>210403.2054410261</v>
      </c>
      <c r="I141" s="399">
        <f t="shared" si="64"/>
        <v>210403.2054410261</v>
      </c>
      <c r="J141" s="54">
        <f t="shared" si="67"/>
        <v>0</v>
      </c>
      <c r="K141" s="54"/>
      <c r="L141" s="129"/>
      <c r="M141" s="54">
        <f t="shared" si="68"/>
        <v>0</v>
      </c>
      <c r="N141" s="129"/>
      <c r="O141" s="54">
        <f t="shared" si="69"/>
        <v>0</v>
      </c>
      <c r="P141" s="54">
        <f t="shared" si="70"/>
        <v>0</v>
      </c>
      <c r="Q141" s="1"/>
    </row>
    <row r="142" spans="2:17" ht="12.5">
      <c r="B142" s="7" t="str">
        <f t="shared" si="40"/>
        <v/>
      </c>
      <c r="C142" s="50">
        <f>IF(D93="","-",+C141+1)</f>
        <v>2052</v>
      </c>
      <c r="D142" s="12">
        <f>IF(F141+SUM(E$99:E141)=D$92,F141,D$92-SUM(E$99:E141))</f>
        <v>60570.630157492764</v>
      </c>
      <c r="E142" s="378">
        <f>IF(+J96&lt;F141,J96,D142)</f>
        <v>60570.630157492764</v>
      </c>
      <c r="F142" s="55">
        <f t="shared" si="65"/>
        <v>0</v>
      </c>
      <c r="G142" s="55">
        <f t="shared" si="66"/>
        <v>30285.315078746382</v>
      </c>
      <c r="H142" s="380">
        <f t="shared" si="63"/>
        <v>64341.949597027895</v>
      </c>
      <c r="I142" s="399">
        <f t="shared" si="64"/>
        <v>64341.949597027895</v>
      </c>
      <c r="J142" s="54">
        <f t="shared" si="67"/>
        <v>0</v>
      </c>
      <c r="K142" s="54"/>
      <c r="L142" s="129"/>
      <c r="M142" s="54">
        <f t="shared" si="68"/>
        <v>0</v>
      </c>
      <c r="N142" s="129"/>
      <c r="O142" s="54">
        <f t="shared" si="69"/>
        <v>0</v>
      </c>
      <c r="P142" s="54">
        <f t="shared" si="70"/>
        <v>0</v>
      </c>
      <c r="Q142" s="1"/>
    </row>
    <row r="143" spans="2:17" ht="12.5">
      <c r="B143" s="7" t="str">
        <f t="shared" si="40"/>
        <v/>
      </c>
      <c r="C143" s="50">
        <f>IF(D93="","-",+C142+1)</f>
        <v>2053</v>
      </c>
      <c r="D143" s="12">
        <f>IF(F142+SUM(E$99:E142)=D$92,F142,D$92-SUM(E$99:E142))</f>
        <v>0</v>
      </c>
      <c r="E143" s="378">
        <f>IF(+J96&lt;F142,J96,D143)</f>
        <v>0</v>
      </c>
      <c r="F143" s="55">
        <f t="shared" si="65"/>
        <v>0</v>
      </c>
      <c r="G143" s="55">
        <f t="shared" si="66"/>
        <v>0</v>
      </c>
      <c r="H143" s="380">
        <f t="shared" si="63"/>
        <v>0</v>
      </c>
      <c r="I143" s="399">
        <f t="shared" si="64"/>
        <v>0</v>
      </c>
      <c r="J143" s="54">
        <f t="shared" si="67"/>
        <v>0</v>
      </c>
      <c r="K143" s="54"/>
      <c r="L143" s="129"/>
      <c r="M143" s="54">
        <f t="shared" si="68"/>
        <v>0</v>
      </c>
      <c r="N143" s="129"/>
      <c r="O143" s="54">
        <f t="shared" si="69"/>
        <v>0</v>
      </c>
      <c r="P143" s="54">
        <f t="shared" si="70"/>
        <v>0</v>
      </c>
      <c r="Q143" s="1"/>
    </row>
    <row r="144" spans="2:17" ht="12.5">
      <c r="B144" s="7" t="str">
        <f t="shared" si="40"/>
        <v/>
      </c>
      <c r="C144" s="50">
        <f>IF(D93="","-",+C143+1)</f>
        <v>2054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65"/>
        <v>0</v>
      </c>
      <c r="G144" s="55">
        <f t="shared" si="66"/>
        <v>0</v>
      </c>
      <c r="H144" s="380">
        <f t="shared" si="63"/>
        <v>0</v>
      </c>
      <c r="I144" s="399">
        <f t="shared" si="64"/>
        <v>0</v>
      </c>
      <c r="J144" s="54">
        <f t="shared" si="67"/>
        <v>0</v>
      </c>
      <c r="K144" s="54"/>
      <c r="L144" s="129"/>
      <c r="M144" s="54">
        <f t="shared" si="68"/>
        <v>0</v>
      </c>
      <c r="N144" s="129"/>
      <c r="O144" s="54">
        <f t="shared" si="69"/>
        <v>0</v>
      </c>
      <c r="P144" s="54">
        <f t="shared" si="70"/>
        <v>0</v>
      </c>
      <c r="Q144" s="1"/>
    </row>
    <row r="145" spans="2:17" ht="12.5">
      <c r="B145" s="7" t="str">
        <f t="shared" si="40"/>
        <v/>
      </c>
      <c r="C145" s="50">
        <f>IF(D93="","-",+C144+1)</f>
        <v>2055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65"/>
        <v>0</v>
      </c>
      <c r="G145" s="55">
        <f t="shared" si="66"/>
        <v>0</v>
      </c>
      <c r="H145" s="380">
        <f t="shared" si="63"/>
        <v>0</v>
      </c>
      <c r="I145" s="399">
        <f t="shared" si="64"/>
        <v>0</v>
      </c>
      <c r="J145" s="54">
        <f t="shared" si="67"/>
        <v>0</v>
      </c>
      <c r="K145" s="54"/>
      <c r="L145" s="129"/>
      <c r="M145" s="54">
        <f t="shared" si="68"/>
        <v>0</v>
      </c>
      <c r="N145" s="129"/>
      <c r="O145" s="54">
        <f t="shared" si="69"/>
        <v>0</v>
      </c>
      <c r="P145" s="54">
        <f t="shared" si="70"/>
        <v>0</v>
      </c>
      <c r="Q145" s="1"/>
    </row>
    <row r="146" spans="2:17" ht="12.5">
      <c r="B146" s="7" t="str">
        <f t="shared" si="40"/>
        <v/>
      </c>
      <c r="C146" s="50">
        <f>IF(D93="","-",+C145+1)</f>
        <v>2056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65"/>
        <v>0</v>
      </c>
      <c r="G146" s="55">
        <f t="shared" si="66"/>
        <v>0</v>
      </c>
      <c r="H146" s="380">
        <f t="shared" si="63"/>
        <v>0</v>
      </c>
      <c r="I146" s="399">
        <f t="shared" si="64"/>
        <v>0</v>
      </c>
      <c r="J146" s="54">
        <f t="shared" si="67"/>
        <v>0</v>
      </c>
      <c r="K146" s="54"/>
      <c r="L146" s="129"/>
      <c r="M146" s="54">
        <f t="shared" si="68"/>
        <v>0</v>
      </c>
      <c r="N146" s="129"/>
      <c r="O146" s="54">
        <f t="shared" si="69"/>
        <v>0</v>
      </c>
      <c r="P146" s="54">
        <f t="shared" si="70"/>
        <v>0</v>
      </c>
      <c r="Q146" s="1"/>
    </row>
    <row r="147" spans="2:17" ht="12.5">
      <c r="B147" s="7" t="str">
        <f t="shared" si="40"/>
        <v/>
      </c>
      <c r="C147" s="50">
        <f>IF(D93="","-",+C146+1)</f>
        <v>2057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65"/>
        <v>0</v>
      </c>
      <c r="G147" s="55">
        <f t="shared" si="66"/>
        <v>0</v>
      </c>
      <c r="H147" s="380">
        <f t="shared" si="63"/>
        <v>0</v>
      </c>
      <c r="I147" s="399">
        <f t="shared" si="64"/>
        <v>0</v>
      </c>
      <c r="J147" s="54">
        <f t="shared" si="67"/>
        <v>0</v>
      </c>
      <c r="K147" s="54"/>
      <c r="L147" s="129"/>
      <c r="M147" s="54">
        <f t="shared" si="68"/>
        <v>0</v>
      </c>
      <c r="N147" s="129"/>
      <c r="O147" s="54">
        <f t="shared" si="69"/>
        <v>0</v>
      </c>
      <c r="P147" s="54">
        <f t="shared" si="70"/>
        <v>0</v>
      </c>
      <c r="Q147" s="1"/>
    </row>
    <row r="148" spans="2:17" ht="12.5">
      <c r="B148" s="7" t="str">
        <f t="shared" si="40"/>
        <v/>
      </c>
      <c r="C148" s="50">
        <f>IF(D93="","-",+C147+1)</f>
        <v>2058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65"/>
        <v>0</v>
      </c>
      <c r="G148" s="55">
        <f t="shared" si="66"/>
        <v>0</v>
      </c>
      <c r="H148" s="380">
        <f t="shared" si="63"/>
        <v>0</v>
      </c>
      <c r="I148" s="399">
        <f t="shared" si="64"/>
        <v>0</v>
      </c>
      <c r="J148" s="54">
        <f t="shared" si="67"/>
        <v>0</v>
      </c>
      <c r="K148" s="54"/>
      <c r="L148" s="129"/>
      <c r="M148" s="54">
        <f t="shared" si="68"/>
        <v>0</v>
      </c>
      <c r="N148" s="129"/>
      <c r="O148" s="54">
        <f t="shared" si="69"/>
        <v>0</v>
      </c>
      <c r="P148" s="54">
        <f t="shared" si="70"/>
        <v>0</v>
      </c>
      <c r="Q148" s="1"/>
    </row>
    <row r="149" spans="2:17" ht="12.5">
      <c r="B149" s="7" t="str">
        <f t="shared" si="40"/>
        <v/>
      </c>
      <c r="C149" s="50">
        <f>IF(D93="","-",+C148+1)</f>
        <v>2059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65"/>
        <v>0</v>
      </c>
      <c r="G149" s="55">
        <f t="shared" si="66"/>
        <v>0</v>
      </c>
      <c r="H149" s="380">
        <f t="shared" si="63"/>
        <v>0</v>
      </c>
      <c r="I149" s="399">
        <f t="shared" si="64"/>
        <v>0</v>
      </c>
      <c r="J149" s="54">
        <f t="shared" si="67"/>
        <v>0</v>
      </c>
      <c r="K149" s="54"/>
      <c r="L149" s="129"/>
      <c r="M149" s="54">
        <f t="shared" si="68"/>
        <v>0</v>
      </c>
      <c r="N149" s="129"/>
      <c r="O149" s="54">
        <f t="shared" si="69"/>
        <v>0</v>
      </c>
      <c r="P149" s="54">
        <f t="shared" si="70"/>
        <v>0</v>
      </c>
      <c r="Q149" s="1"/>
    </row>
    <row r="150" spans="2:17" ht="12.5">
      <c r="B150" s="7" t="str">
        <f t="shared" si="40"/>
        <v/>
      </c>
      <c r="C150" s="50">
        <f>IF(D93="","-",+C149+1)</f>
        <v>2060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65"/>
        <v>0</v>
      </c>
      <c r="G150" s="55">
        <f t="shared" si="66"/>
        <v>0</v>
      </c>
      <c r="H150" s="380">
        <f t="shared" si="63"/>
        <v>0</v>
      </c>
      <c r="I150" s="399">
        <f t="shared" si="64"/>
        <v>0</v>
      </c>
      <c r="J150" s="54">
        <f t="shared" si="67"/>
        <v>0</v>
      </c>
      <c r="K150" s="54"/>
      <c r="L150" s="129"/>
      <c r="M150" s="54">
        <f t="shared" si="68"/>
        <v>0</v>
      </c>
      <c r="N150" s="129"/>
      <c r="O150" s="54">
        <f t="shared" si="69"/>
        <v>0</v>
      </c>
      <c r="P150" s="54">
        <f t="shared" si="70"/>
        <v>0</v>
      </c>
      <c r="Q150" s="1"/>
    </row>
    <row r="151" spans="2:17" ht="12.5">
      <c r="B151" s="7" t="str">
        <f t="shared" si="40"/>
        <v/>
      </c>
      <c r="C151" s="50">
        <f>IF(D93="","-",+C150+1)</f>
        <v>2061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65"/>
        <v>0</v>
      </c>
      <c r="G151" s="55">
        <f t="shared" si="66"/>
        <v>0</v>
      </c>
      <c r="H151" s="380">
        <f t="shared" si="63"/>
        <v>0</v>
      </c>
      <c r="I151" s="399">
        <f t="shared" si="64"/>
        <v>0</v>
      </c>
      <c r="J151" s="54">
        <f t="shared" si="67"/>
        <v>0</v>
      </c>
      <c r="K151" s="54"/>
      <c r="L151" s="129"/>
      <c r="M151" s="54">
        <f t="shared" si="68"/>
        <v>0</v>
      </c>
      <c r="N151" s="129"/>
      <c r="O151" s="54">
        <f t="shared" si="69"/>
        <v>0</v>
      </c>
      <c r="P151" s="54">
        <f t="shared" si="70"/>
        <v>0</v>
      </c>
      <c r="Q151" s="1"/>
    </row>
    <row r="152" spans="2:17" ht="12.5">
      <c r="B152" s="7" t="str">
        <f t="shared" si="40"/>
        <v/>
      </c>
      <c r="C152" s="50">
        <f>IF(D93="","-",+C151+1)</f>
        <v>2062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65"/>
        <v>0</v>
      </c>
      <c r="G152" s="55">
        <f t="shared" si="66"/>
        <v>0</v>
      </c>
      <c r="H152" s="380">
        <f t="shared" si="63"/>
        <v>0</v>
      </c>
      <c r="I152" s="399">
        <f t="shared" si="64"/>
        <v>0</v>
      </c>
      <c r="J152" s="54">
        <f t="shared" si="67"/>
        <v>0</v>
      </c>
      <c r="K152" s="54"/>
      <c r="L152" s="129"/>
      <c r="M152" s="54">
        <f t="shared" si="68"/>
        <v>0</v>
      </c>
      <c r="N152" s="129"/>
      <c r="O152" s="54">
        <f t="shared" si="69"/>
        <v>0</v>
      </c>
      <c r="P152" s="54">
        <f t="shared" si="70"/>
        <v>0</v>
      </c>
      <c r="Q152" s="1"/>
    </row>
    <row r="153" spans="2:17" ht="12.5">
      <c r="B153" s="7" t="str">
        <f t="shared" si="40"/>
        <v/>
      </c>
      <c r="C153" s="50">
        <f>IF(D93="","-",+C152+1)</f>
        <v>2063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65"/>
        <v>0</v>
      </c>
      <c r="G153" s="55">
        <f t="shared" si="66"/>
        <v>0</v>
      </c>
      <c r="H153" s="380">
        <f t="shared" si="63"/>
        <v>0</v>
      </c>
      <c r="I153" s="399">
        <f t="shared" si="64"/>
        <v>0</v>
      </c>
      <c r="J153" s="54">
        <f t="shared" si="67"/>
        <v>0</v>
      </c>
      <c r="K153" s="54"/>
      <c r="L153" s="129"/>
      <c r="M153" s="54">
        <f t="shared" si="68"/>
        <v>0</v>
      </c>
      <c r="N153" s="129"/>
      <c r="O153" s="54">
        <f t="shared" si="69"/>
        <v>0</v>
      </c>
      <c r="P153" s="54">
        <f t="shared" si="70"/>
        <v>0</v>
      </c>
      <c r="Q153" s="1"/>
    </row>
    <row r="154" spans="2:17" ht="13" thickBot="1">
      <c r="B154" s="7" t="str">
        <f t="shared" si="40"/>
        <v/>
      </c>
      <c r="C154" s="59">
        <f>IF(D93="","-",+C153+1)</f>
        <v>2064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65"/>
        <v>0</v>
      </c>
      <c r="G154" s="60">
        <f t="shared" si="66"/>
        <v>0</v>
      </c>
      <c r="H154" s="382">
        <f t="shared" si="63"/>
        <v>0</v>
      </c>
      <c r="I154" s="400">
        <f t="shared" si="64"/>
        <v>0</v>
      </c>
      <c r="J154" s="64">
        <f t="shared" si="67"/>
        <v>0</v>
      </c>
      <c r="K154" s="54"/>
      <c r="L154" s="130"/>
      <c r="M154" s="64">
        <f t="shared" si="68"/>
        <v>0</v>
      </c>
      <c r="N154" s="130"/>
      <c r="O154" s="64">
        <f t="shared" si="69"/>
        <v>0</v>
      </c>
      <c r="P154" s="64">
        <f t="shared" si="70"/>
        <v>0</v>
      </c>
      <c r="Q154" s="1"/>
    </row>
    <row r="155" spans="2:17" ht="12.5">
      <c r="C155" s="12" t="s">
        <v>78</v>
      </c>
      <c r="D155" s="293"/>
      <c r="E155" s="293">
        <f>SUM(E99:E154)</f>
        <v>8402687</v>
      </c>
      <c r="F155" s="293"/>
      <c r="G155" s="293"/>
      <c r="H155" s="293">
        <f>SUM(H99:H154)</f>
        <v>30854895.100864161</v>
      </c>
      <c r="I155" s="293">
        <f>SUM(I99:I154)</f>
        <v>30854895.100864161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 ht="12.5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 ht="12.5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53" priority="1" stopIfTrue="1" operator="equal">
      <formula>$I$10</formula>
    </cfRule>
  </conditionalFormatting>
  <conditionalFormatting sqref="C99:C154">
    <cfRule type="cellIs" dxfId="15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96">
    <tabColor theme="9" tint="-0.249977111117893"/>
  </sheetPr>
  <dimension ref="A1:P162"/>
  <sheetViews>
    <sheetView topLeftCell="A80" zoomScaleNormal="100" zoomScaleSheetLayoutView="82" workbookViewId="0">
      <selection activeCell="D29" sqref="D29:H29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47 of 77</v>
      </c>
    </row>
    <row r="2" spans="1:16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84364.452669168837</v>
      </c>
      <c r="P5" s="1"/>
    </row>
    <row r="6" spans="1:16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84364.452669168837</v>
      </c>
      <c r="O6" s="1"/>
      <c r="P6" s="1"/>
    </row>
    <row r="7" spans="1:16" ht="13.5" thickBot="1">
      <c r="C7" s="25" t="s">
        <v>48</v>
      </c>
      <c r="D7" s="90" t="s">
        <v>337</v>
      </c>
      <c r="E7" s="406"/>
      <c r="F7" s="406"/>
      <c r="G7" s="406"/>
      <c r="H7" s="40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99" t="s">
        <v>358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248</v>
      </c>
      <c r="E9" s="436" t="s">
        <v>398</v>
      </c>
      <c r="F9" s="31"/>
      <c r="G9" s="31"/>
      <c r="H9" s="31"/>
      <c r="I9" s="32"/>
      <c r="J9" s="33"/>
      <c r="P9" s="1"/>
    </row>
    <row r="10" spans="1:16" ht="13">
      <c r="C10" s="34" t="s">
        <v>51</v>
      </c>
      <c r="D10" s="363">
        <v>787880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6" ht="12.5">
      <c r="C11" s="34" t="s">
        <v>54</v>
      </c>
      <c r="D11" s="37">
        <v>2012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3">
        <v>2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17906.363636363636</v>
      </c>
      <c r="J14" s="293"/>
      <c r="K14" s="293"/>
      <c r="L14" s="293"/>
      <c r="M14" s="293"/>
      <c r="N14" s="293"/>
      <c r="O14" s="1"/>
      <c r="P14" s="1"/>
    </row>
    <row r="15" spans="1:16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2012</v>
      </c>
      <c r="D17" s="429">
        <v>787880</v>
      </c>
      <c r="E17" s="437">
        <v>15632.539682539682</v>
      </c>
      <c r="F17" s="429">
        <v>772247.46031746035</v>
      </c>
      <c r="G17" s="437">
        <v>119816.83704873582</v>
      </c>
      <c r="H17" s="438">
        <v>119816.83704873582</v>
      </c>
      <c r="I17" s="52">
        <v>0</v>
      </c>
      <c r="J17" s="52"/>
      <c r="K17" s="112">
        <f t="shared" ref="K17:K22" si="0">G17</f>
        <v>119816.83704873582</v>
      </c>
      <c r="L17" s="53">
        <f t="shared" ref="L17:L22" si="1">IF(K17&lt;&gt;0,+G17-K17,0)</f>
        <v>0</v>
      </c>
      <c r="M17" s="112">
        <f t="shared" ref="M17:M22" si="2">H17</f>
        <v>119816.83704873582</v>
      </c>
      <c r="N17" s="53">
        <f t="shared" ref="N17:N22" si="3">IF(M17&lt;&gt;0,+H17-M17,0)</f>
        <v>0</v>
      </c>
      <c r="O17" s="54">
        <f t="shared" ref="O17:O22" si="4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2013</v>
      </c>
      <c r="D18" s="431">
        <v>772247.46031746035</v>
      </c>
      <c r="E18" s="430">
        <v>18759.047619047618</v>
      </c>
      <c r="F18" s="431">
        <v>753488.41269841278</v>
      </c>
      <c r="G18" s="430">
        <v>120412.55233667219</v>
      </c>
      <c r="H18" s="438">
        <v>120412.55233667219</v>
      </c>
      <c r="I18" s="52">
        <v>0</v>
      </c>
      <c r="J18" s="52"/>
      <c r="K18" s="113">
        <f t="shared" si="0"/>
        <v>120412.55233667219</v>
      </c>
      <c r="L18" s="54">
        <f t="shared" si="1"/>
        <v>0</v>
      </c>
      <c r="M18" s="113">
        <f t="shared" si="2"/>
        <v>120412.55233667219</v>
      </c>
      <c r="N18" s="54">
        <f t="shared" si="3"/>
        <v>0</v>
      </c>
      <c r="O18" s="54">
        <f t="shared" si="4"/>
        <v>0</v>
      </c>
      <c r="P18" s="1"/>
    </row>
    <row r="19" spans="2:16" ht="12.5">
      <c r="B19" s="7" t="str">
        <f>IF(D19=F18,"","IU")</f>
        <v/>
      </c>
      <c r="C19" s="50">
        <f>IF(D11="","-",+C18+1)</f>
        <v>2014</v>
      </c>
      <c r="D19" s="431">
        <v>753488.41269841278</v>
      </c>
      <c r="E19" s="430">
        <v>18759.047619047618</v>
      </c>
      <c r="F19" s="431">
        <v>734729.36507936521</v>
      </c>
      <c r="G19" s="430">
        <v>117881.75968810063</v>
      </c>
      <c r="H19" s="438">
        <v>117881.75968810063</v>
      </c>
      <c r="I19" s="52">
        <v>0</v>
      </c>
      <c r="J19" s="52"/>
      <c r="K19" s="113">
        <f t="shared" si="0"/>
        <v>117881.75968810063</v>
      </c>
      <c r="L19" s="54">
        <f t="shared" si="1"/>
        <v>0</v>
      </c>
      <c r="M19" s="113">
        <f t="shared" si="2"/>
        <v>117881.75968810063</v>
      </c>
      <c r="N19" s="54">
        <f t="shared" si="3"/>
        <v>0</v>
      </c>
      <c r="O19" s="54">
        <f t="shared" si="4"/>
        <v>0</v>
      </c>
      <c r="P19" s="1"/>
    </row>
    <row r="20" spans="2:16" ht="12.5">
      <c r="B20" s="7" t="str">
        <f t="shared" ref="B20:B72" si="5">IF(D20=F19,"","IU")</f>
        <v/>
      </c>
      <c r="C20" s="50">
        <f>IF(D11="","-",+C19+1)</f>
        <v>2015</v>
      </c>
      <c r="D20" s="431">
        <v>734729.36507936521</v>
      </c>
      <c r="E20" s="430">
        <v>18759.047619047618</v>
      </c>
      <c r="F20" s="431">
        <v>715970.31746031763</v>
      </c>
      <c r="G20" s="430">
        <v>113055.77578424601</v>
      </c>
      <c r="H20" s="438">
        <v>113055.77578424601</v>
      </c>
      <c r="I20" s="52">
        <v>0</v>
      </c>
      <c r="J20" s="52"/>
      <c r="K20" s="113">
        <f t="shared" si="0"/>
        <v>113055.77578424601</v>
      </c>
      <c r="L20" s="54">
        <f t="shared" si="1"/>
        <v>0</v>
      </c>
      <c r="M20" s="113">
        <f t="shared" si="2"/>
        <v>113055.77578424601</v>
      </c>
      <c r="N20" s="54">
        <f t="shared" si="3"/>
        <v>0</v>
      </c>
      <c r="O20" s="54">
        <f t="shared" si="4"/>
        <v>0</v>
      </c>
      <c r="P20" s="1"/>
    </row>
    <row r="21" spans="2:16" ht="12.5">
      <c r="B21" s="7" t="str">
        <f t="shared" si="5"/>
        <v/>
      </c>
      <c r="C21" s="50">
        <f>IF(D11="","-",+C20+1)</f>
        <v>2016</v>
      </c>
      <c r="D21" s="431">
        <v>715970.31746031763</v>
      </c>
      <c r="E21" s="430">
        <v>18759.047619047618</v>
      </c>
      <c r="F21" s="431">
        <v>697211.26984127006</v>
      </c>
      <c r="G21" s="430">
        <v>109452.2721829084</v>
      </c>
      <c r="H21" s="438">
        <v>109452.2721829084</v>
      </c>
      <c r="I21" s="52">
        <f t="shared" ref="I21:I33" si="6">H21-G21</f>
        <v>0</v>
      </c>
      <c r="J21" s="52"/>
      <c r="K21" s="113">
        <f t="shared" si="0"/>
        <v>109452.2721829084</v>
      </c>
      <c r="L21" s="54">
        <f t="shared" si="1"/>
        <v>0</v>
      </c>
      <c r="M21" s="113">
        <f t="shared" si="2"/>
        <v>109452.2721829084</v>
      </c>
      <c r="N21" s="54">
        <f t="shared" si="3"/>
        <v>0</v>
      </c>
      <c r="O21" s="54">
        <f t="shared" si="4"/>
        <v>0</v>
      </c>
      <c r="P21" s="1"/>
    </row>
    <row r="22" spans="2:16" ht="12.5">
      <c r="B22" s="7" t="str">
        <f t="shared" si="5"/>
        <v/>
      </c>
      <c r="C22" s="50">
        <f>IF(D11="","-",+C21+1)</f>
        <v>2017</v>
      </c>
      <c r="D22" s="431">
        <v>697211.26984127006</v>
      </c>
      <c r="E22" s="430">
        <v>18322.79069767442</v>
      </c>
      <c r="F22" s="431">
        <v>678888.47914359567</v>
      </c>
      <c r="G22" s="430">
        <v>103567.03290299821</v>
      </c>
      <c r="H22" s="438">
        <v>103567.03290299821</v>
      </c>
      <c r="I22" s="52">
        <f t="shared" si="6"/>
        <v>0</v>
      </c>
      <c r="J22" s="52"/>
      <c r="K22" s="113">
        <f t="shared" si="0"/>
        <v>103567.03290299821</v>
      </c>
      <c r="L22" s="54">
        <f t="shared" si="1"/>
        <v>0</v>
      </c>
      <c r="M22" s="113">
        <f t="shared" si="2"/>
        <v>103567.03290299821</v>
      </c>
      <c r="N22" s="54">
        <f t="shared" si="3"/>
        <v>0</v>
      </c>
      <c r="O22" s="54">
        <f t="shared" si="4"/>
        <v>0</v>
      </c>
      <c r="P22" s="1"/>
    </row>
    <row r="23" spans="2:16" ht="12.5">
      <c r="B23" s="7" t="str">
        <f t="shared" si="5"/>
        <v/>
      </c>
      <c r="C23" s="50">
        <f>IF(D11="","-",+C22+1)</f>
        <v>2018</v>
      </c>
      <c r="D23" s="431">
        <v>678888.47914359567</v>
      </c>
      <c r="E23" s="430">
        <v>19216.585365853658</v>
      </c>
      <c r="F23" s="431">
        <v>659671.89377774205</v>
      </c>
      <c r="G23" s="430">
        <v>104278.14759460979</v>
      </c>
      <c r="H23" s="438">
        <v>104278.14759460979</v>
      </c>
      <c r="I23" s="52">
        <f t="shared" si="6"/>
        <v>0</v>
      </c>
      <c r="J23" s="52"/>
      <c r="K23" s="113">
        <f t="shared" ref="K23:K28" si="7">G23</f>
        <v>104278.14759460979</v>
      </c>
      <c r="L23" s="54">
        <f t="shared" ref="L23:L28" si="8">IF(K23&lt;&gt;0,+G23-K23,0)</f>
        <v>0</v>
      </c>
      <c r="M23" s="113">
        <f t="shared" ref="M23:M28" si="9">H23</f>
        <v>104278.14759460979</v>
      </c>
      <c r="N23" s="54">
        <f>IF(M23&lt;&gt;0,+H23-M23,0)</f>
        <v>0</v>
      </c>
      <c r="O23" s="54">
        <f>+N23-L23</f>
        <v>0</v>
      </c>
      <c r="P23" s="1"/>
    </row>
    <row r="24" spans="2:16" ht="12.5">
      <c r="B24" s="7" t="str">
        <f t="shared" si="5"/>
        <v/>
      </c>
      <c r="C24" s="50">
        <f>IF(D11="","-",+C23+1)</f>
        <v>2019</v>
      </c>
      <c r="D24" s="431">
        <v>659671.89377774205</v>
      </c>
      <c r="E24" s="430">
        <v>19216.585365853658</v>
      </c>
      <c r="F24" s="431">
        <v>640455.30841188843</v>
      </c>
      <c r="G24" s="430">
        <v>101835.83299305863</v>
      </c>
      <c r="H24" s="438">
        <v>101835.83299305863</v>
      </c>
      <c r="I24" s="52">
        <f t="shared" si="6"/>
        <v>0</v>
      </c>
      <c r="J24" s="52"/>
      <c r="K24" s="113">
        <f t="shared" si="7"/>
        <v>101835.83299305863</v>
      </c>
      <c r="L24" s="54">
        <f t="shared" si="8"/>
        <v>0</v>
      </c>
      <c r="M24" s="113">
        <f t="shared" si="9"/>
        <v>101835.83299305863</v>
      </c>
      <c r="N24" s="54">
        <f t="shared" ref="N24:N72" si="10">IF(M24&lt;&gt;0,+H24-M24,0)</f>
        <v>0</v>
      </c>
      <c r="O24" s="54">
        <f t="shared" ref="O24:O72" si="11">+N24-L24</f>
        <v>0</v>
      </c>
      <c r="P24" s="1"/>
    </row>
    <row r="25" spans="2:16" ht="12.5">
      <c r="B25" s="7" t="str">
        <f t="shared" si="5"/>
        <v/>
      </c>
      <c r="C25" s="50">
        <f>IF(D11="","-",+C24+1)</f>
        <v>2020</v>
      </c>
      <c r="D25" s="431">
        <v>640455.30841188843</v>
      </c>
      <c r="E25" s="430">
        <v>19216.585365853658</v>
      </c>
      <c r="F25" s="431">
        <v>621238.72304603481</v>
      </c>
      <c r="G25" s="430">
        <v>83774.601936797058</v>
      </c>
      <c r="H25" s="438">
        <v>83774.601936797058</v>
      </c>
      <c r="I25" s="52">
        <f t="shared" si="6"/>
        <v>0</v>
      </c>
      <c r="J25" s="52"/>
      <c r="K25" s="113">
        <f t="shared" si="7"/>
        <v>83774.601936797058</v>
      </c>
      <c r="L25" s="54">
        <f t="shared" si="8"/>
        <v>0</v>
      </c>
      <c r="M25" s="113">
        <f t="shared" si="9"/>
        <v>83774.601936797058</v>
      </c>
      <c r="N25" s="54">
        <f t="shared" si="10"/>
        <v>0</v>
      </c>
      <c r="O25" s="54">
        <f t="shared" si="11"/>
        <v>0</v>
      </c>
      <c r="P25" s="1"/>
    </row>
    <row r="26" spans="2:16" ht="12.5">
      <c r="B26" s="7" t="str">
        <f t="shared" si="5"/>
        <v>IU</v>
      </c>
      <c r="C26" s="50">
        <f>IF(D11="","-",+C25+1)</f>
        <v>2021</v>
      </c>
      <c r="D26" s="431">
        <v>622132.5177142137</v>
      </c>
      <c r="E26" s="430">
        <v>18759.047619047618</v>
      </c>
      <c r="F26" s="431">
        <v>603373.47009516612</v>
      </c>
      <c r="G26" s="430">
        <v>83713.649961418851</v>
      </c>
      <c r="H26" s="438">
        <v>83713.649961418851</v>
      </c>
      <c r="I26" s="52">
        <f t="shared" si="6"/>
        <v>0</v>
      </c>
      <c r="J26" s="52"/>
      <c r="K26" s="113">
        <f t="shared" si="7"/>
        <v>83713.649961418851</v>
      </c>
      <c r="L26" s="54">
        <f t="shared" si="8"/>
        <v>0</v>
      </c>
      <c r="M26" s="113">
        <f t="shared" si="9"/>
        <v>83713.649961418851</v>
      </c>
      <c r="N26" s="54">
        <f t="shared" si="10"/>
        <v>0</v>
      </c>
      <c r="O26" s="54">
        <f t="shared" si="11"/>
        <v>0</v>
      </c>
      <c r="P26" s="1"/>
    </row>
    <row r="27" spans="2:16" ht="12.5">
      <c r="B27" s="7" t="str">
        <f t="shared" si="5"/>
        <v>IU</v>
      </c>
      <c r="C27" s="50">
        <f>IF(D11="","-",+C26+1)</f>
        <v>2022</v>
      </c>
      <c r="D27" s="431">
        <v>602479.67542698677</v>
      </c>
      <c r="E27" s="430">
        <v>18759.047619047618</v>
      </c>
      <c r="F27" s="431">
        <v>583720.62780793919</v>
      </c>
      <c r="G27" s="430">
        <v>85449.658528885382</v>
      </c>
      <c r="H27" s="438">
        <v>85449.658528885382</v>
      </c>
      <c r="I27" s="52">
        <f t="shared" si="6"/>
        <v>0</v>
      </c>
      <c r="J27" s="52"/>
      <c r="K27" s="113">
        <f t="shared" si="7"/>
        <v>85449.658528885382</v>
      </c>
      <c r="L27" s="54">
        <f t="shared" si="8"/>
        <v>0</v>
      </c>
      <c r="M27" s="113">
        <f t="shared" si="9"/>
        <v>85449.658528885382</v>
      </c>
      <c r="N27" s="54">
        <f t="shared" si="10"/>
        <v>0</v>
      </c>
      <c r="O27" s="54">
        <f t="shared" si="11"/>
        <v>0</v>
      </c>
      <c r="P27" s="1"/>
    </row>
    <row r="28" spans="2:16" ht="12.5">
      <c r="B28" s="7" t="str">
        <f t="shared" si="5"/>
        <v/>
      </c>
      <c r="C28" s="50">
        <f>IF(D11="","-",+C27+1)</f>
        <v>2023</v>
      </c>
      <c r="D28" s="431">
        <v>583720.62780793919</v>
      </c>
      <c r="E28" s="430">
        <v>18759.047619047618</v>
      </c>
      <c r="F28" s="431">
        <v>564961.58018889162</v>
      </c>
      <c r="G28" s="430">
        <v>91313.71449184035</v>
      </c>
      <c r="H28" s="438">
        <v>91313.71449184035</v>
      </c>
      <c r="I28" s="52">
        <f t="shared" si="6"/>
        <v>0</v>
      </c>
      <c r="J28" s="52"/>
      <c r="K28" s="113">
        <f t="shared" si="7"/>
        <v>91313.71449184035</v>
      </c>
      <c r="L28" s="54">
        <f t="shared" si="8"/>
        <v>0</v>
      </c>
      <c r="M28" s="113">
        <f t="shared" si="9"/>
        <v>91313.71449184035</v>
      </c>
      <c r="N28" s="54">
        <f t="shared" si="10"/>
        <v>0</v>
      </c>
      <c r="O28" s="54">
        <f t="shared" si="11"/>
        <v>0</v>
      </c>
      <c r="P28" s="1"/>
    </row>
    <row r="29" spans="2:16" ht="12.5">
      <c r="B29" s="7" t="str">
        <f t="shared" si="5"/>
        <v/>
      </c>
      <c r="C29" s="50">
        <f>IF(D11="","-",+C28+1)</f>
        <v>2024</v>
      </c>
      <c r="D29" s="431">
        <v>564961.58018889162</v>
      </c>
      <c r="E29" s="430">
        <v>17906.363636363636</v>
      </c>
      <c r="F29" s="431">
        <v>547055.21655252797</v>
      </c>
      <c r="G29" s="430">
        <v>84364.452669168837</v>
      </c>
      <c r="H29" s="438">
        <v>84364.452669168837</v>
      </c>
      <c r="I29" s="52">
        <f t="shared" si="6"/>
        <v>0</v>
      </c>
      <c r="J29" s="52"/>
      <c r="K29" s="113">
        <f t="shared" ref="K29" si="12">G29</f>
        <v>84364.452669168837</v>
      </c>
      <c r="L29" s="54">
        <f t="shared" ref="L29" si="13">IF(K29&lt;&gt;0,+G29-K29,0)</f>
        <v>0</v>
      </c>
      <c r="M29" s="113">
        <f t="shared" ref="M29" si="14">H29</f>
        <v>84364.452669168837</v>
      </c>
      <c r="N29" s="54">
        <f t="shared" ref="N29" si="15">IF(M29&lt;&gt;0,+H29-M29,0)</f>
        <v>0</v>
      </c>
      <c r="O29" s="54">
        <f t="shared" ref="O29" si="16">+N29-L29</f>
        <v>0</v>
      </c>
      <c r="P29" s="1"/>
    </row>
    <row r="30" spans="2:16" ht="12.5">
      <c r="B30" s="7" t="str">
        <f t="shared" si="5"/>
        <v/>
      </c>
      <c r="C30" s="50">
        <f>IF(D11="","-",+C29+1)</f>
        <v>2025</v>
      </c>
      <c r="D30" s="55">
        <f>IF(F29+SUM(E$17:E29)=D$10,F29,D$10-SUM(E$17:E29))</f>
        <v>547055.21655252797</v>
      </c>
      <c r="E30" s="378">
        <f>IF(+I14&lt;F29,I14,D30)</f>
        <v>17906.363636363636</v>
      </c>
      <c r="F30" s="55">
        <f t="shared" ref="F30:F33" si="17">+D30-E30</f>
        <v>529148.85291616432</v>
      </c>
      <c r="G30" s="379">
        <f t="shared" ref="G30:G53" si="18">+I$12*((D30+F30)/2)+E30</f>
        <v>82224.156385360184</v>
      </c>
      <c r="H30" s="364">
        <f t="shared" ref="H30:H53" si="19">+I$13*((D30+F30)/2)+E30</f>
        <v>82224.156385360184</v>
      </c>
      <c r="I30" s="52">
        <f t="shared" si="6"/>
        <v>0</v>
      </c>
      <c r="J30" s="52"/>
      <c r="K30" s="129"/>
      <c r="L30" s="54">
        <f t="shared" ref="L30:L72" si="20">IF(K30&lt;&gt;0,+G30-K30,0)</f>
        <v>0</v>
      </c>
      <c r="M30" s="129"/>
      <c r="N30" s="54">
        <f t="shared" si="10"/>
        <v>0</v>
      </c>
      <c r="O30" s="54">
        <f t="shared" si="11"/>
        <v>0</v>
      </c>
      <c r="P30" s="1"/>
    </row>
    <row r="31" spans="2:16" ht="12.5">
      <c r="B31" s="7" t="str">
        <f t="shared" si="5"/>
        <v/>
      </c>
      <c r="C31" s="50">
        <f>IF(D11="","-",+C30+1)</f>
        <v>2026</v>
      </c>
      <c r="D31" s="55">
        <f>IF(F30+SUM(E$17:E30)=D$10,F30,D$10-SUM(E$17:E30))</f>
        <v>529148.85291616432</v>
      </c>
      <c r="E31" s="378">
        <f>IF(+I14&lt;F30,I14,D31)</f>
        <v>17906.363636363636</v>
      </c>
      <c r="F31" s="55">
        <f t="shared" si="17"/>
        <v>511242.48927980068</v>
      </c>
      <c r="G31" s="379">
        <f t="shared" si="18"/>
        <v>80083.860101551516</v>
      </c>
      <c r="H31" s="364">
        <f t="shared" si="19"/>
        <v>80083.860101551516</v>
      </c>
      <c r="I31" s="52">
        <f t="shared" si="6"/>
        <v>0</v>
      </c>
      <c r="J31" s="52"/>
      <c r="K31" s="129"/>
      <c r="L31" s="54">
        <f t="shared" si="20"/>
        <v>0</v>
      </c>
      <c r="M31" s="129"/>
      <c r="N31" s="54">
        <f t="shared" si="10"/>
        <v>0</v>
      </c>
      <c r="O31" s="54">
        <f t="shared" si="11"/>
        <v>0</v>
      </c>
      <c r="P31" s="1"/>
    </row>
    <row r="32" spans="2:16" ht="12.5">
      <c r="B32" s="7" t="str">
        <f t="shared" si="5"/>
        <v/>
      </c>
      <c r="C32" s="50">
        <f>IF(D11="","-",+C31+1)</f>
        <v>2027</v>
      </c>
      <c r="D32" s="55">
        <f>IF(F31+SUM(E$17:E31)=D$10,F31,D$10-SUM(E$17:E31))</f>
        <v>511242.48927980068</v>
      </c>
      <c r="E32" s="378">
        <f>IF(+I14&lt;F31,I14,D32)</f>
        <v>17906.363636363636</v>
      </c>
      <c r="F32" s="55">
        <f t="shared" si="17"/>
        <v>493336.12564343703</v>
      </c>
      <c r="G32" s="379">
        <f t="shared" si="18"/>
        <v>77943.563817742848</v>
      </c>
      <c r="H32" s="364">
        <f t="shared" si="19"/>
        <v>77943.563817742848</v>
      </c>
      <c r="I32" s="52">
        <f t="shared" si="6"/>
        <v>0</v>
      </c>
      <c r="J32" s="52"/>
      <c r="K32" s="129"/>
      <c r="L32" s="54">
        <f t="shared" si="20"/>
        <v>0</v>
      </c>
      <c r="M32" s="129"/>
      <c r="N32" s="54">
        <f t="shared" si="10"/>
        <v>0</v>
      </c>
      <c r="O32" s="54">
        <f t="shared" si="11"/>
        <v>0</v>
      </c>
      <c r="P32" s="1"/>
    </row>
    <row r="33" spans="2:16" ht="12.5">
      <c r="B33" s="7" t="str">
        <f t="shared" si="5"/>
        <v/>
      </c>
      <c r="C33" s="50">
        <f>IF(D11="","-",+C32+1)</f>
        <v>2028</v>
      </c>
      <c r="D33" s="55">
        <f>IF(F32+SUM(E$17:E32)=D$10,F32,D$10-SUM(E$17:E32))</f>
        <v>493336.12564343703</v>
      </c>
      <c r="E33" s="378">
        <f>IF(+I14&lt;F32,I14,D33)</f>
        <v>17906.363636363636</v>
      </c>
      <c r="F33" s="55">
        <f t="shared" si="17"/>
        <v>475429.76200707338</v>
      </c>
      <c r="G33" s="379">
        <f t="shared" si="18"/>
        <v>75803.267533934166</v>
      </c>
      <c r="H33" s="364">
        <f t="shared" si="19"/>
        <v>75803.267533934166</v>
      </c>
      <c r="I33" s="52">
        <f t="shared" si="6"/>
        <v>0</v>
      </c>
      <c r="J33" s="52"/>
      <c r="K33" s="129"/>
      <c r="L33" s="54">
        <f t="shared" si="20"/>
        <v>0</v>
      </c>
      <c r="M33" s="129"/>
      <c r="N33" s="54">
        <f t="shared" si="10"/>
        <v>0</v>
      </c>
      <c r="O33" s="54">
        <f t="shared" si="11"/>
        <v>0</v>
      </c>
      <c r="P33" s="1"/>
    </row>
    <row r="34" spans="2:16" ht="12.5">
      <c r="B34" s="7" t="str">
        <f t="shared" si="5"/>
        <v/>
      </c>
      <c r="C34" s="50">
        <f>IF(D11="","-",+C33+1)</f>
        <v>2029</v>
      </c>
      <c r="D34" s="55">
        <f>IF(F33+SUM(E$17:E33)=D$10,F33,D$10-SUM(E$17:E33))</f>
        <v>475429.76200707338</v>
      </c>
      <c r="E34" s="378">
        <f>IF(+I14&lt;F33,I14,D34)</f>
        <v>17906.363636363636</v>
      </c>
      <c r="F34" s="55">
        <f t="shared" ref="F34:F72" si="21">+D34-E34</f>
        <v>457523.39837070974</v>
      </c>
      <c r="G34" s="379">
        <f t="shared" si="18"/>
        <v>73662.971250125498</v>
      </c>
      <c r="H34" s="364">
        <f t="shared" si="19"/>
        <v>73662.971250125498</v>
      </c>
      <c r="I34" s="52">
        <f t="shared" ref="I34:I72" si="22">H34-G34</f>
        <v>0</v>
      </c>
      <c r="J34" s="52"/>
      <c r="K34" s="129"/>
      <c r="L34" s="54">
        <f t="shared" si="20"/>
        <v>0</v>
      </c>
      <c r="M34" s="129"/>
      <c r="N34" s="54">
        <f t="shared" si="10"/>
        <v>0</v>
      </c>
      <c r="O34" s="54">
        <f t="shared" si="11"/>
        <v>0</v>
      </c>
      <c r="P34" s="1"/>
    </row>
    <row r="35" spans="2:16" ht="12.5">
      <c r="B35" s="7" t="str">
        <f t="shared" si="5"/>
        <v/>
      </c>
      <c r="C35" s="50">
        <f>IF(D11="","-",+C34+1)</f>
        <v>2030</v>
      </c>
      <c r="D35" s="55">
        <f>IF(F34+SUM(E$17:E34)=D$10,F34,D$10-SUM(E$17:E34))</f>
        <v>457523.39837070974</v>
      </c>
      <c r="E35" s="378">
        <f>IF(+I14&lt;F34,I14,D35)</f>
        <v>17906.363636363636</v>
      </c>
      <c r="F35" s="55">
        <f t="shared" si="21"/>
        <v>439617.03473434609</v>
      </c>
      <c r="G35" s="379">
        <f t="shared" si="18"/>
        <v>71522.67496631683</v>
      </c>
      <c r="H35" s="364">
        <f t="shared" si="19"/>
        <v>71522.67496631683</v>
      </c>
      <c r="I35" s="52">
        <f t="shared" si="22"/>
        <v>0</v>
      </c>
      <c r="J35" s="52"/>
      <c r="K35" s="129"/>
      <c r="L35" s="54">
        <f t="shared" si="20"/>
        <v>0</v>
      </c>
      <c r="M35" s="129"/>
      <c r="N35" s="54">
        <f t="shared" si="10"/>
        <v>0</v>
      </c>
      <c r="O35" s="54">
        <f t="shared" si="11"/>
        <v>0</v>
      </c>
      <c r="P35" s="1"/>
    </row>
    <row r="36" spans="2:16" ht="12.5">
      <c r="B36" s="7" t="str">
        <f t="shared" si="5"/>
        <v/>
      </c>
      <c r="C36" s="50">
        <f>IF(D11="","-",+C35+1)</f>
        <v>2031</v>
      </c>
      <c r="D36" s="55">
        <f>IF(F35+SUM(E$17:E35)=D$10,F35,D$10-SUM(E$17:E35))</f>
        <v>439617.03473434609</v>
      </c>
      <c r="E36" s="378">
        <f>IF(+I14&lt;F35,I14,D36)</f>
        <v>17906.363636363636</v>
      </c>
      <c r="F36" s="55">
        <f t="shared" si="21"/>
        <v>421710.67109798244</v>
      </c>
      <c r="G36" s="379">
        <f t="shared" si="18"/>
        <v>69382.378682508162</v>
      </c>
      <c r="H36" s="364">
        <f t="shared" si="19"/>
        <v>69382.378682508162</v>
      </c>
      <c r="I36" s="52">
        <f t="shared" si="22"/>
        <v>0</v>
      </c>
      <c r="J36" s="52"/>
      <c r="K36" s="129"/>
      <c r="L36" s="54">
        <f t="shared" si="20"/>
        <v>0</v>
      </c>
      <c r="M36" s="129"/>
      <c r="N36" s="54">
        <f t="shared" si="10"/>
        <v>0</v>
      </c>
      <c r="O36" s="54">
        <f t="shared" si="11"/>
        <v>0</v>
      </c>
      <c r="P36" s="1"/>
    </row>
    <row r="37" spans="2:16" ht="12.5">
      <c r="B37" s="7" t="str">
        <f t="shared" si="5"/>
        <v/>
      </c>
      <c r="C37" s="50">
        <f>IF(D11="","-",+C36+1)</f>
        <v>2032</v>
      </c>
      <c r="D37" s="55">
        <f>IF(F36+SUM(E$17:E36)=D$10,F36,D$10-SUM(E$17:E36))</f>
        <v>421710.67109798244</v>
      </c>
      <c r="E37" s="378">
        <f>IF(+I14&lt;F36,I14,D37)</f>
        <v>17906.363636363636</v>
      </c>
      <c r="F37" s="55">
        <f t="shared" si="21"/>
        <v>403804.3074616188</v>
      </c>
      <c r="G37" s="379">
        <f t="shared" si="18"/>
        <v>67242.082398699495</v>
      </c>
      <c r="H37" s="364">
        <f t="shared" si="19"/>
        <v>67242.082398699495</v>
      </c>
      <c r="I37" s="52">
        <f t="shared" si="22"/>
        <v>0</v>
      </c>
      <c r="J37" s="52"/>
      <c r="K37" s="129"/>
      <c r="L37" s="54">
        <f t="shared" si="20"/>
        <v>0</v>
      </c>
      <c r="M37" s="129"/>
      <c r="N37" s="54">
        <f t="shared" si="10"/>
        <v>0</v>
      </c>
      <c r="O37" s="54">
        <f t="shared" si="11"/>
        <v>0</v>
      </c>
      <c r="P37" s="1"/>
    </row>
    <row r="38" spans="2:16" ht="12.5">
      <c r="B38" s="7" t="str">
        <f t="shared" si="5"/>
        <v/>
      </c>
      <c r="C38" s="50">
        <f>IF(D11="","-",+C37+1)</f>
        <v>2033</v>
      </c>
      <c r="D38" s="55">
        <f>IF(F37+SUM(E$17:E37)=D$10,F37,D$10-SUM(E$17:E37))</f>
        <v>403804.3074616188</v>
      </c>
      <c r="E38" s="378">
        <f>IF(+I14&lt;F37,I14,D38)</f>
        <v>17906.363636363636</v>
      </c>
      <c r="F38" s="55">
        <f t="shared" si="21"/>
        <v>385897.94382525515</v>
      </c>
      <c r="G38" s="379">
        <f t="shared" si="18"/>
        <v>65101.786114890812</v>
      </c>
      <c r="H38" s="364">
        <f t="shared" si="19"/>
        <v>65101.786114890812</v>
      </c>
      <c r="I38" s="52">
        <f t="shared" si="22"/>
        <v>0</v>
      </c>
      <c r="J38" s="52"/>
      <c r="K38" s="129"/>
      <c r="L38" s="54">
        <f t="shared" si="20"/>
        <v>0</v>
      </c>
      <c r="M38" s="129"/>
      <c r="N38" s="54">
        <f t="shared" si="10"/>
        <v>0</v>
      </c>
      <c r="O38" s="54">
        <f t="shared" si="11"/>
        <v>0</v>
      </c>
      <c r="P38" s="1"/>
    </row>
    <row r="39" spans="2:16" ht="12.5">
      <c r="B39" s="7" t="str">
        <f t="shared" si="5"/>
        <v/>
      </c>
      <c r="C39" s="50">
        <f>IF(D11="","-",+C38+1)</f>
        <v>2034</v>
      </c>
      <c r="D39" s="55">
        <f>IF(F38+SUM(E$17:E38)=D$10,F38,D$10-SUM(E$17:E38))</f>
        <v>385897.94382525515</v>
      </c>
      <c r="E39" s="378">
        <f>IF(+I14&lt;F38,I14,D39)</f>
        <v>17906.363636363636</v>
      </c>
      <c r="F39" s="55">
        <f t="shared" si="21"/>
        <v>367991.5801888915</v>
      </c>
      <c r="G39" s="379">
        <f t="shared" si="18"/>
        <v>62961.489831082145</v>
      </c>
      <c r="H39" s="364">
        <f t="shared" si="19"/>
        <v>62961.489831082145</v>
      </c>
      <c r="I39" s="52">
        <f t="shared" si="22"/>
        <v>0</v>
      </c>
      <c r="J39" s="52"/>
      <c r="K39" s="129"/>
      <c r="L39" s="54">
        <f t="shared" si="20"/>
        <v>0</v>
      </c>
      <c r="M39" s="129"/>
      <c r="N39" s="54">
        <f t="shared" si="10"/>
        <v>0</v>
      </c>
      <c r="O39" s="54">
        <f t="shared" si="11"/>
        <v>0</v>
      </c>
      <c r="P39" s="1"/>
    </row>
    <row r="40" spans="2:16" ht="12.5">
      <c r="B40" s="7" t="str">
        <f t="shared" si="5"/>
        <v/>
      </c>
      <c r="C40" s="50">
        <f>IF(D11="","-",+C39+1)</f>
        <v>2035</v>
      </c>
      <c r="D40" s="55">
        <f>IF(F39+SUM(E$17:E39)=D$10,F39,D$10-SUM(E$17:E39))</f>
        <v>367991.5801888915</v>
      </c>
      <c r="E40" s="378">
        <f>IF(+I14&lt;F39,I14,D40)</f>
        <v>17906.363636363636</v>
      </c>
      <c r="F40" s="55">
        <f t="shared" si="21"/>
        <v>350085.21655252785</v>
      </c>
      <c r="G40" s="379">
        <f t="shared" si="18"/>
        <v>60821.193547273477</v>
      </c>
      <c r="H40" s="364">
        <f t="shared" si="19"/>
        <v>60821.193547273477</v>
      </c>
      <c r="I40" s="52">
        <f t="shared" si="22"/>
        <v>0</v>
      </c>
      <c r="J40" s="52"/>
      <c r="K40" s="129"/>
      <c r="L40" s="54">
        <f t="shared" si="20"/>
        <v>0</v>
      </c>
      <c r="M40" s="129"/>
      <c r="N40" s="54">
        <f t="shared" si="10"/>
        <v>0</v>
      </c>
      <c r="O40" s="54">
        <f t="shared" si="11"/>
        <v>0</v>
      </c>
      <c r="P40" s="1"/>
    </row>
    <row r="41" spans="2:16" ht="12.5">
      <c r="B41" s="7" t="str">
        <f t="shared" si="5"/>
        <v/>
      </c>
      <c r="C41" s="50">
        <f>IF(D11="","-",+C40+1)</f>
        <v>2036</v>
      </c>
      <c r="D41" s="55">
        <f>IF(F40+SUM(E$17:E40)=D$10,F40,D$10-SUM(E$17:E40))</f>
        <v>350085.21655252785</v>
      </c>
      <c r="E41" s="378">
        <f>IF(+I14&lt;F40,I14,D41)</f>
        <v>17906.363636363636</v>
      </c>
      <c r="F41" s="55">
        <f t="shared" si="21"/>
        <v>332178.85291616421</v>
      </c>
      <c r="G41" s="379">
        <f t="shared" si="18"/>
        <v>58680.897263464809</v>
      </c>
      <c r="H41" s="364">
        <f t="shared" si="19"/>
        <v>58680.897263464809</v>
      </c>
      <c r="I41" s="52">
        <f t="shared" si="22"/>
        <v>0</v>
      </c>
      <c r="J41" s="52"/>
      <c r="K41" s="129"/>
      <c r="L41" s="54">
        <f t="shared" si="20"/>
        <v>0</v>
      </c>
      <c r="M41" s="129"/>
      <c r="N41" s="54">
        <f t="shared" si="10"/>
        <v>0</v>
      </c>
      <c r="O41" s="54">
        <f t="shared" si="11"/>
        <v>0</v>
      </c>
      <c r="P41" s="1"/>
    </row>
    <row r="42" spans="2:16" ht="12.5">
      <c r="B42" s="7" t="str">
        <f t="shared" si="5"/>
        <v/>
      </c>
      <c r="C42" s="50">
        <f>IF(D11="","-",+C41+1)</f>
        <v>2037</v>
      </c>
      <c r="D42" s="55">
        <f>IF(F41+SUM(E$17:E41)=D$10,F41,D$10-SUM(E$17:E41))</f>
        <v>332178.85291616421</v>
      </c>
      <c r="E42" s="378">
        <f>IF(+I14&lt;F41,I14,D42)</f>
        <v>17906.363636363636</v>
      </c>
      <c r="F42" s="55">
        <f t="shared" si="21"/>
        <v>314272.48927980056</v>
      </c>
      <c r="G42" s="379">
        <f t="shared" si="18"/>
        <v>56540.600979656141</v>
      </c>
      <c r="H42" s="364">
        <f t="shared" si="19"/>
        <v>56540.600979656141</v>
      </c>
      <c r="I42" s="52">
        <f t="shared" si="22"/>
        <v>0</v>
      </c>
      <c r="J42" s="52"/>
      <c r="K42" s="129"/>
      <c r="L42" s="54">
        <f t="shared" si="20"/>
        <v>0</v>
      </c>
      <c r="M42" s="129"/>
      <c r="N42" s="54">
        <f t="shared" si="10"/>
        <v>0</v>
      </c>
      <c r="O42" s="54">
        <f t="shared" si="11"/>
        <v>0</v>
      </c>
      <c r="P42" s="1"/>
    </row>
    <row r="43" spans="2:16" ht="12.5">
      <c r="B43" s="7" t="str">
        <f t="shared" si="5"/>
        <v/>
      </c>
      <c r="C43" s="50">
        <f>IF(D11="","-",+C42+1)</f>
        <v>2038</v>
      </c>
      <c r="D43" s="55">
        <f>IF(F42+SUM(E$17:E42)=D$10,F42,D$10-SUM(E$17:E42))</f>
        <v>314272.48927980056</v>
      </c>
      <c r="E43" s="378">
        <f>IF(+I14&lt;F42,I14,D43)</f>
        <v>17906.363636363636</v>
      </c>
      <c r="F43" s="55">
        <f t="shared" si="21"/>
        <v>296366.12564343691</v>
      </c>
      <c r="G43" s="379">
        <f t="shared" si="18"/>
        <v>54400.304695847459</v>
      </c>
      <c r="H43" s="364">
        <f t="shared" si="19"/>
        <v>54400.304695847459</v>
      </c>
      <c r="I43" s="52">
        <f t="shared" si="22"/>
        <v>0</v>
      </c>
      <c r="J43" s="52"/>
      <c r="K43" s="129"/>
      <c r="L43" s="54">
        <f t="shared" si="20"/>
        <v>0</v>
      </c>
      <c r="M43" s="129"/>
      <c r="N43" s="54">
        <f t="shared" si="10"/>
        <v>0</v>
      </c>
      <c r="O43" s="54">
        <f t="shared" si="11"/>
        <v>0</v>
      </c>
      <c r="P43" s="1"/>
    </row>
    <row r="44" spans="2:16" ht="12.5">
      <c r="B44" s="7" t="str">
        <f t="shared" si="5"/>
        <v/>
      </c>
      <c r="C44" s="50">
        <f>IF(D11="","-",+C43+1)</f>
        <v>2039</v>
      </c>
      <c r="D44" s="55">
        <f>IF(F43+SUM(E$17:E43)=D$10,F43,D$10-SUM(E$17:E43))</f>
        <v>296366.12564343691</v>
      </c>
      <c r="E44" s="378">
        <f>IF(+I14&lt;F43,I14,D44)</f>
        <v>17906.363636363636</v>
      </c>
      <c r="F44" s="55">
        <f t="shared" si="21"/>
        <v>278459.76200707327</v>
      </c>
      <c r="G44" s="379">
        <f t="shared" si="18"/>
        <v>52260.008412038791</v>
      </c>
      <c r="H44" s="364">
        <f t="shared" si="19"/>
        <v>52260.008412038791</v>
      </c>
      <c r="I44" s="52">
        <f t="shared" si="22"/>
        <v>0</v>
      </c>
      <c r="J44" s="52"/>
      <c r="K44" s="129"/>
      <c r="L44" s="54">
        <f t="shared" si="20"/>
        <v>0</v>
      </c>
      <c r="M44" s="129"/>
      <c r="N44" s="54">
        <f t="shared" si="10"/>
        <v>0</v>
      </c>
      <c r="O44" s="54">
        <f t="shared" si="11"/>
        <v>0</v>
      </c>
      <c r="P44" s="1"/>
    </row>
    <row r="45" spans="2:16" ht="12.5">
      <c r="B45" s="7" t="str">
        <f t="shared" si="5"/>
        <v/>
      </c>
      <c r="C45" s="50">
        <f>IF(D11="","-",+C44+1)</f>
        <v>2040</v>
      </c>
      <c r="D45" s="55">
        <f>IF(F44+SUM(E$17:E44)=D$10,F44,D$10-SUM(E$17:E44))</f>
        <v>278459.76200707327</v>
      </c>
      <c r="E45" s="378">
        <f>IF(+I14&lt;F44,I14,D45)</f>
        <v>17906.363636363636</v>
      </c>
      <c r="F45" s="55">
        <f t="shared" si="21"/>
        <v>260553.39837070962</v>
      </c>
      <c r="G45" s="379">
        <f t="shared" si="18"/>
        <v>50119.712128230123</v>
      </c>
      <c r="H45" s="364">
        <f t="shared" si="19"/>
        <v>50119.712128230123</v>
      </c>
      <c r="I45" s="52">
        <f t="shared" si="22"/>
        <v>0</v>
      </c>
      <c r="J45" s="52"/>
      <c r="K45" s="129"/>
      <c r="L45" s="54">
        <f t="shared" si="20"/>
        <v>0</v>
      </c>
      <c r="M45" s="129"/>
      <c r="N45" s="54">
        <f t="shared" si="10"/>
        <v>0</v>
      </c>
      <c r="O45" s="54">
        <f t="shared" si="11"/>
        <v>0</v>
      </c>
      <c r="P45" s="1"/>
    </row>
    <row r="46" spans="2:16" ht="12.5">
      <c r="B46" s="7" t="str">
        <f t="shared" si="5"/>
        <v/>
      </c>
      <c r="C46" s="50">
        <f>IF(D11="","-",+C45+1)</f>
        <v>2041</v>
      </c>
      <c r="D46" s="55">
        <f>IF(F45+SUM(E$17:E45)=D$10,F45,D$10-SUM(E$17:E45))</f>
        <v>260553.39837070962</v>
      </c>
      <c r="E46" s="378">
        <f>IF(+I14&lt;F45,I14,D46)</f>
        <v>17906.363636363636</v>
      </c>
      <c r="F46" s="55">
        <f t="shared" si="21"/>
        <v>242647.03473434597</v>
      </c>
      <c r="G46" s="379">
        <f t="shared" si="18"/>
        <v>47979.415844421455</v>
      </c>
      <c r="H46" s="364">
        <f t="shared" si="19"/>
        <v>47979.415844421455</v>
      </c>
      <c r="I46" s="52">
        <f t="shared" si="22"/>
        <v>0</v>
      </c>
      <c r="J46" s="52"/>
      <c r="K46" s="129"/>
      <c r="L46" s="54">
        <f t="shared" si="20"/>
        <v>0</v>
      </c>
      <c r="M46" s="129"/>
      <c r="N46" s="54">
        <f t="shared" si="10"/>
        <v>0</v>
      </c>
      <c r="O46" s="54">
        <f t="shared" si="11"/>
        <v>0</v>
      </c>
      <c r="P46" s="1"/>
    </row>
    <row r="47" spans="2:16" ht="12.5">
      <c r="B47" s="7" t="str">
        <f t="shared" si="5"/>
        <v/>
      </c>
      <c r="C47" s="50">
        <f>IF(D11="","-",+C46+1)</f>
        <v>2042</v>
      </c>
      <c r="D47" s="55">
        <f>IF(F46+SUM(E$17:E46)=D$10,F46,D$10-SUM(E$17:E46))</f>
        <v>242647.03473434597</v>
      </c>
      <c r="E47" s="378">
        <f>IF(+I14&lt;F46,I14,D47)</f>
        <v>17906.363636363636</v>
      </c>
      <c r="F47" s="55">
        <f t="shared" si="21"/>
        <v>224740.67109798233</v>
      </c>
      <c r="G47" s="379">
        <f t="shared" si="18"/>
        <v>45839.119560612788</v>
      </c>
      <c r="H47" s="364">
        <f t="shared" si="19"/>
        <v>45839.119560612788</v>
      </c>
      <c r="I47" s="52">
        <f t="shared" si="22"/>
        <v>0</v>
      </c>
      <c r="J47" s="52"/>
      <c r="K47" s="129"/>
      <c r="L47" s="54">
        <f t="shared" si="20"/>
        <v>0</v>
      </c>
      <c r="M47" s="129"/>
      <c r="N47" s="54">
        <f t="shared" si="10"/>
        <v>0</v>
      </c>
      <c r="O47" s="54">
        <f t="shared" si="11"/>
        <v>0</v>
      </c>
      <c r="P47" s="1"/>
    </row>
    <row r="48" spans="2:16" ht="12.5">
      <c r="B48" s="7" t="str">
        <f t="shared" si="5"/>
        <v/>
      </c>
      <c r="C48" s="50">
        <f>IF(D11="","-",+C47+1)</f>
        <v>2043</v>
      </c>
      <c r="D48" s="55">
        <f>IF(F47+SUM(E$17:E47)=D$10,F47,D$10-SUM(E$17:E47))</f>
        <v>224740.67109798233</v>
      </c>
      <c r="E48" s="378">
        <f>IF(+I14&lt;F47,I14,D48)</f>
        <v>17906.363636363636</v>
      </c>
      <c r="F48" s="55">
        <f t="shared" si="21"/>
        <v>206834.30746161868</v>
      </c>
      <c r="G48" s="379">
        <f t="shared" si="18"/>
        <v>43698.823276804113</v>
      </c>
      <c r="H48" s="364">
        <f t="shared" si="19"/>
        <v>43698.823276804113</v>
      </c>
      <c r="I48" s="52">
        <f t="shared" si="22"/>
        <v>0</v>
      </c>
      <c r="J48" s="52"/>
      <c r="K48" s="129"/>
      <c r="L48" s="54">
        <f t="shared" si="20"/>
        <v>0</v>
      </c>
      <c r="M48" s="129"/>
      <c r="N48" s="54">
        <f t="shared" si="10"/>
        <v>0</v>
      </c>
      <c r="O48" s="54">
        <f t="shared" si="11"/>
        <v>0</v>
      </c>
      <c r="P48" s="1"/>
    </row>
    <row r="49" spans="2:16" ht="12.5">
      <c r="B49" s="7" t="str">
        <f t="shared" si="5"/>
        <v/>
      </c>
      <c r="C49" s="50">
        <f>IF(D11="","-",+C48+1)</f>
        <v>2044</v>
      </c>
      <c r="D49" s="55">
        <f>IF(F48+SUM(E$17:E48)=D$10,F48,D$10-SUM(E$17:E48))</f>
        <v>206834.30746161868</v>
      </c>
      <c r="E49" s="378">
        <f>IF(+I14&lt;F48,I14,D49)</f>
        <v>17906.363636363636</v>
      </c>
      <c r="F49" s="55">
        <f t="shared" si="21"/>
        <v>188927.94382525503</v>
      </c>
      <c r="G49" s="379">
        <f t="shared" si="18"/>
        <v>41558.526992995437</v>
      </c>
      <c r="H49" s="364">
        <f t="shared" si="19"/>
        <v>41558.526992995437</v>
      </c>
      <c r="I49" s="52">
        <f t="shared" si="22"/>
        <v>0</v>
      </c>
      <c r="J49" s="52"/>
      <c r="K49" s="129"/>
      <c r="L49" s="54">
        <f t="shared" si="20"/>
        <v>0</v>
      </c>
      <c r="M49" s="129"/>
      <c r="N49" s="54">
        <f t="shared" si="10"/>
        <v>0</v>
      </c>
      <c r="O49" s="54">
        <f t="shared" si="11"/>
        <v>0</v>
      </c>
      <c r="P49" s="1"/>
    </row>
    <row r="50" spans="2:16" ht="12.5">
      <c r="B50" s="7" t="str">
        <f t="shared" si="5"/>
        <v/>
      </c>
      <c r="C50" s="50">
        <f>IF(D11="","-",+C49+1)</f>
        <v>2045</v>
      </c>
      <c r="D50" s="55">
        <f>IF(F49+SUM(E$17:E49)=D$10,F49,D$10-SUM(E$17:E49))</f>
        <v>188927.94382525503</v>
      </c>
      <c r="E50" s="378">
        <f>IF(+I14&lt;F49,I14,D50)</f>
        <v>17906.363636363636</v>
      </c>
      <c r="F50" s="55">
        <f t="shared" si="21"/>
        <v>171021.58018889138</v>
      </c>
      <c r="G50" s="379">
        <f t="shared" si="18"/>
        <v>39418.23070918677</v>
      </c>
      <c r="H50" s="364">
        <f t="shared" si="19"/>
        <v>39418.23070918677</v>
      </c>
      <c r="I50" s="52">
        <f t="shared" si="22"/>
        <v>0</v>
      </c>
      <c r="J50" s="52"/>
      <c r="K50" s="129"/>
      <c r="L50" s="54">
        <f t="shared" si="20"/>
        <v>0</v>
      </c>
      <c r="M50" s="129"/>
      <c r="N50" s="54">
        <f t="shared" si="10"/>
        <v>0</v>
      </c>
      <c r="O50" s="54">
        <f t="shared" si="11"/>
        <v>0</v>
      </c>
      <c r="P50" s="1"/>
    </row>
    <row r="51" spans="2:16" ht="12.5">
      <c r="B51" s="7" t="str">
        <f t="shared" si="5"/>
        <v/>
      </c>
      <c r="C51" s="50">
        <f>IF(D11="","-",+C50+1)</f>
        <v>2046</v>
      </c>
      <c r="D51" s="55">
        <f>IF(F50+SUM(E$17:E50)=D$10,F50,D$10-SUM(E$17:E50))</f>
        <v>171021.58018889138</v>
      </c>
      <c r="E51" s="378">
        <f>IF(+I14&lt;F50,I14,D51)</f>
        <v>17906.363636363636</v>
      </c>
      <c r="F51" s="55">
        <f t="shared" si="21"/>
        <v>153115.21655252774</v>
      </c>
      <c r="G51" s="379">
        <f t="shared" si="18"/>
        <v>37277.934425378102</v>
      </c>
      <c r="H51" s="364">
        <f t="shared" si="19"/>
        <v>37277.934425378102</v>
      </c>
      <c r="I51" s="52">
        <f t="shared" si="22"/>
        <v>0</v>
      </c>
      <c r="J51" s="52"/>
      <c r="K51" s="129"/>
      <c r="L51" s="54">
        <f t="shared" si="20"/>
        <v>0</v>
      </c>
      <c r="M51" s="129"/>
      <c r="N51" s="54">
        <f t="shared" si="10"/>
        <v>0</v>
      </c>
      <c r="O51" s="54">
        <f t="shared" si="11"/>
        <v>0</v>
      </c>
      <c r="P51" s="1"/>
    </row>
    <row r="52" spans="2:16" ht="12.5">
      <c r="B52" s="7" t="str">
        <f t="shared" si="5"/>
        <v/>
      </c>
      <c r="C52" s="50">
        <f>IF(D11="","-",+C51+1)</f>
        <v>2047</v>
      </c>
      <c r="D52" s="55">
        <f>IF(F51+SUM(E$17:E51)=D$10,F51,D$10-SUM(E$17:E51))</f>
        <v>153115.21655252774</v>
      </c>
      <c r="E52" s="378">
        <f>IF(+I14&lt;F51,I14,D52)</f>
        <v>17906.363636363636</v>
      </c>
      <c r="F52" s="55">
        <f t="shared" si="21"/>
        <v>135208.85291616409</v>
      </c>
      <c r="G52" s="379">
        <f t="shared" si="18"/>
        <v>35137.638141569434</v>
      </c>
      <c r="H52" s="364">
        <f t="shared" si="19"/>
        <v>35137.638141569434</v>
      </c>
      <c r="I52" s="52">
        <f t="shared" si="22"/>
        <v>0</v>
      </c>
      <c r="J52" s="52"/>
      <c r="K52" s="129"/>
      <c r="L52" s="54">
        <f t="shared" si="20"/>
        <v>0</v>
      </c>
      <c r="M52" s="129"/>
      <c r="N52" s="54">
        <f t="shared" si="10"/>
        <v>0</v>
      </c>
      <c r="O52" s="54">
        <f t="shared" si="11"/>
        <v>0</v>
      </c>
      <c r="P52" s="1"/>
    </row>
    <row r="53" spans="2:16" ht="12.5">
      <c r="B53" s="7" t="str">
        <f t="shared" si="5"/>
        <v/>
      </c>
      <c r="C53" s="50">
        <f>IF(D11="","-",+C52+1)</f>
        <v>2048</v>
      </c>
      <c r="D53" s="55">
        <f>IF(F52+SUM(E$17:E52)=D$10,F52,D$10-SUM(E$17:E52))</f>
        <v>135208.85291616409</v>
      </c>
      <c r="E53" s="378">
        <f>IF(+I14&lt;F52,I14,D53)</f>
        <v>17906.363636363636</v>
      </c>
      <c r="F53" s="55">
        <f t="shared" si="21"/>
        <v>117302.48927980046</v>
      </c>
      <c r="G53" s="379">
        <f t="shared" si="18"/>
        <v>32997.341857760759</v>
      </c>
      <c r="H53" s="364">
        <f t="shared" si="19"/>
        <v>32997.341857760759</v>
      </c>
      <c r="I53" s="52">
        <f t="shared" si="22"/>
        <v>0</v>
      </c>
      <c r="J53" s="52"/>
      <c r="K53" s="129"/>
      <c r="L53" s="54">
        <f t="shared" si="20"/>
        <v>0</v>
      </c>
      <c r="M53" s="129"/>
      <c r="N53" s="54">
        <f t="shared" si="10"/>
        <v>0</v>
      </c>
      <c r="O53" s="54">
        <f t="shared" si="11"/>
        <v>0</v>
      </c>
      <c r="P53" s="1"/>
    </row>
    <row r="54" spans="2:16" ht="12.5">
      <c r="B54" s="7" t="str">
        <f t="shared" si="5"/>
        <v/>
      </c>
      <c r="C54" s="50">
        <f>IF(D11="","-",+C53+1)</f>
        <v>2049</v>
      </c>
      <c r="D54" s="55">
        <f>IF(F53+SUM(E$17:E53)=D$10,F53,D$10-SUM(E$17:E53))</f>
        <v>117302.48927980046</v>
      </c>
      <c r="E54" s="378">
        <f>IF(+I14&lt;F53,I14,D54)</f>
        <v>17906.363636363636</v>
      </c>
      <c r="F54" s="55">
        <f t="shared" si="21"/>
        <v>99396.125643436826</v>
      </c>
      <c r="G54" s="379">
        <f t="shared" ref="G54:G72" si="23">+I$12*((D54+F54)/2)+E54</f>
        <v>30857.045573952091</v>
      </c>
      <c r="H54" s="364">
        <f t="shared" ref="H54:H72" si="24">+I$13*((D54+F54)/2)+E54</f>
        <v>30857.045573952091</v>
      </c>
      <c r="I54" s="52">
        <f t="shared" si="22"/>
        <v>0</v>
      </c>
      <c r="J54" s="52"/>
      <c r="K54" s="129"/>
      <c r="L54" s="54">
        <f t="shared" si="20"/>
        <v>0</v>
      </c>
      <c r="M54" s="129"/>
      <c r="N54" s="54">
        <f t="shared" si="10"/>
        <v>0</v>
      </c>
      <c r="O54" s="54">
        <f t="shared" si="11"/>
        <v>0</v>
      </c>
      <c r="P54" s="1"/>
    </row>
    <row r="55" spans="2:16" ht="12.5">
      <c r="B55" s="7" t="str">
        <f t="shared" si="5"/>
        <v/>
      </c>
      <c r="C55" s="50">
        <f>IF(D11="","-",+C54+1)</f>
        <v>2050</v>
      </c>
      <c r="D55" s="55">
        <f>IF(F54+SUM(E$17:E54)=D$10,F54,D$10-SUM(E$17:E54))</f>
        <v>99396.125643436826</v>
      </c>
      <c r="E55" s="378">
        <f>IF(+I14&lt;F54,I14,D55)</f>
        <v>17906.363636363636</v>
      </c>
      <c r="F55" s="55">
        <f t="shared" si="21"/>
        <v>81489.762007073194</v>
      </c>
      <c r="G55" s="379">
        <f t="shared" si="23"/>
        <v>28716.749290143423</v>
      </c>
      <c r="H55" s="364">
        <f t="shared" si="24"/>
        <v>28716.749290143423</v>
      </c>
      <c r="I55" s="52">
        <f t="shared" si="22"/>
        <v>0</v>
      </c>
      <c r="J55" s="52"/>
      <c r="K55" s="129"/>
      <c r="L55" s="54">
        <f t="shared" si="20"/>
        <v>0</v>
      </c>
      <c r="M55" s="129"/>
      <c r="N55" s="54">
        <f t="shared" si="10"/>
        <v>0</v>
      </c>
      <c r="O55" s="54">
        <f t="shared" si="11"/>
        <v>0</v>
      </c>
      <c r="P55" s="1"/>
    </row>
    <row r="56" spans="2:16" ht="12.5">
      <c r="B56" s="7" t="str">
        <f t="shared" si="5"/>
        <v/>
      </c>
      <c r="C56" s="50">
        <f>IF(D11="","-",+C55+1)</f>
        <v>2051</v>
      </c>
      <c r="D56" s="55">
        <f>IF(F55+SUM(E$17:E55)=D$10,F55,D$10-SUM(E$17:E55))</f>
        <v>81489.762007073194</v>
      </c>
      <c r="E56" s="378">
        <f>IF(+I14&lt;F55,I14,D56)</f>
        <v>17906.363636363636</v>
      </c>
      <c r="F56" s="55">
        <f t="shared" si="21"/>
        <v>63583.398370709561</v>
      </c>
      <c r="G56" s="379">
        <f t="shared" si="23"/>
        <v>26576.453006334756</v>
      </c>
      <c r="H56" s="364">
        <f t="shared" si="24"/>
        <v>26576.453006334756</v>
      </c>
      <c r="I56" s="52">
        <f t="shared" si="22"/>
        <v>0</v>
      </c>
      <c r="J56" s="52"/>
      <c r="K56" s="129"/>
      <c r="L56" s="54">
        <f t="shared" si="20"/>
        <v>0</v>
      </c>
      <c r="M56" s="129"/>
      <c r="N56" s="54">
        <f t="shared" si="10"/>
        <v>0</v>
      </c>
      <c r="O56" s="54">
        <f t="shared" si="11"/>
        <v>0</v>
      </c>
      <c r="P56" s="1"/>
    </row>
    <row r="57" spans="2:16" ht="12.5">
      <c r="B57" s="7" t="str">
        <f t="shared" si="5"/>
        <v/>
      </c>
      <c r="C57" s="50">
        <f>IF(D11="","-",+C56+1)</f>
        <v>2052</v>
      </c>
      <c r="D57" s="55">
        <f>IF(F56+SUM(E$17:E56)=D$10,F56,D$10-SUM(E$17:E56))</f>
        <v>63583.398370709561</v>
      </c>
      <c r="E57" s="378">
        <f>IF(+I14&lt;F56,I14,D57)</f>
        <v>17906.363636363636</v>
      </c>
      <c r="F57" s="55">
        <f t="shared" si="21"/>
        <v>45677.034734345929</v>
      </c>
      <c r="G57" s="379">
        <f t="shared" si="23"/>
        <v>24436.156722526088</v>
      </c>
      <c r="H57" s="364">
        <f t="shared" si="24"/>
        <v>24436.156722526088</v>
      </c>
      <c r="I57" s="52">
        <f t="shared" si="22"/>
        <v>0</v>
      </c>
      <c r="J57" s="52"/>
      <c r="K57" s="129"/>
      <c r="L57" s="54">
        <f t="shared" si="20"/>
        <v>0</v>
      </c>
      <c r="M57" s="129"/>
      <c r="N57" s="54">
        <f t="shared" si="10"/>
        <v>0</v>
      </c>
      <c r="O57" s="54">
        <f t="shared" si="11"/>
        <v>0</v>
      </c>
      <c r="P57" s="1"/>
    </row>
    <row r="58" spans="2:16" ht="12.5">
      <c r="B58" s="7" t="str">
        <f t="shared" si="5"/>
        <v/>
      </c>
      <c r="C58" s="50">
        <f>IF(D11="","-",+C57+1)</f>
        <v>2053</v>
      </c>
      <c r="D58" s="55">
        <f>IF(F57+SUM(E$17:E57)=D$10,F57,D$10-SUM(E$17:E57))</f>
        <v>45677.034734345929</v>
      </c>
      <c r="E58" s="378">
        <f>IF(+I14&lt;F57,I14,D58)</f>
        <v>17906.363636363636</v>
      </c>
      <c r="F58" s="55">
        <f t="shared" si="21"/>
        <v>27770.671097982293</v>
      </c>
      <c r="G58" s="379">
        <f t="shared" si="23"/>
        <v>22295.860438717416</v>
      </c>
      <c r="H58" s="364">
        <f t="shared" si="24"/>
        <v>22295.860438717416</v>
      </c>
      <c r="I58" s="52">
        <f t="shared" si="22"/>
        <v>0</v>
      </c>
      <c r="J58" s="52"/>
      <c r="K58" s="129"/>
      <c r="L58" s="54">
        <f t="shared" si="20"/>
        <v>0</v>
      </c>
      <c r="M58" s="129"/>
      <c r="N58" s="54">
        <f t="shared" si="10"/>
        <v>0</v>
      </c>
      <c r="O58" s="54">
        <f t="shared" si="11"/>
        <v>0</v>
      </c>
      <c r="P58" s="1"/>
    </row>
    <row r="59" spans="2:16" ht="12.5">
      <c r="B59" s="7" t="str">
        <f t="shared" si="5"/>
        <v/>
      </c>
      <c r="C59" s="50">
        <f>IF(D11="","-",+C58+1)</f>
        <v>2054</v>
      </c>
      <c r="D59" s="55">
        <f>IF(F58+SUM(E$17:E58)=D$10,F58,D$10-SUM(E$17:E58))</f>
        <v>27770.671097982293</v>
      </c>
      <c r="E59" s="378">
        <f>IF(+I14&lt;F58,I14,D59)</f>
        <v>17906.363636363636</v>
      </c>
      <c r="F59" s="55">
        <f t="shared" si="21"/>
        <v>9864.3074616186568</v>
      </c>
      <c r="G59" s="379">
        <f t="shared" si="23"/>
        <v>20155.564154908749</v>
      </c>
      <c r="H59" s="364">
        <f t="shared" si="24"/>
        <v>20155.564154908749</v>
      </c>
      <c r="I59" s="52">
        <f t="shared" si="22"/>
        <v>0</v>
      </c>
      <c r="J59" s="52"/>
      <c r="K59" s="129"/>
      <c r="L59" s="54">
        <f t="shared" si="20"/>
        <v>0</v>
      </c>
      <c r="M59" s="129"/>
      <c r="N59" s="54">
        <f t="shared" si="10"/>
        <v>0</v>
      </c>
      <c r="O59" s="54">
        <f t="shared" si="11"/>
        <v>0</v>
      </c>
      <c r="P59" s="1"/>
    </row>
    <row r="60" spans="2:16" ht="12.5">
      <c r="B60" s="7" t="str">
        <f t="shared" si="5"/>
        <v/>
      </c>
      <c r="C60" s="50">
        <f>IF(D11="","-",+C59+1)</f>
        <v>2055</v>
      </c>
      <c r="D60" s="55">
        <f>IF(F59+SUM(E$17:E59)=D$10,F59,D$10-SUM(E$17:E59))</f>
        <v>9864.3074616186568</v>
      </c>
      <c r="E60" s="378">
        <f>IF(+I14&lt;F59,I14,D60)</f>
        <v>9864.3074616186568</v>
      </c>
      <c r="F60" s="55">
        <f t="shared" si="21"/>
        <v>0</v>
      </c>
      <c r="G60" s="379">
        <f t="shared" si="23"/>
        <v>10453.833649939046</v>
      </c>
      <c r="H60" s="364">
        <f t="shared" si="24"/>
        <v>10453.833649939046</v>
      </c>
      <c r="I60" s="52">
        <f t="shared" si="22"/>
        <v>0</v>
      </c>
      <c r="J60" s="52"/>
      <c r="K60" s="129"/>
      <c r="L60" s="54">
        <f t="shared" si="20"/>
        <v>0</v>
      </c>
      <c r="M60" s="129"/>
      <c r="N60" s="54">
        <f t="shared" si="10"/>
        <v>0</v>
      </c>
      <c r="O60" s="54">
        <f t="shared" si="11"/>
        <v>0</v>
      </c>
      <c r="P60" s="1"/>
    </row>
    <row r="61" spans="2:16" ht="12.5">
      <c r="B61" s="7" t="str">
        <f t="shared" si="5"/>
        <v/>
      </c>
      <c r="C61" s="50">
        <f>IF(D11="","-",+C60+1)</f>
        <v>2056</v>
      </c>
      <c r="D61" s="55">
        <f>IF(F60+SUM(E$17:E60)=D$10,F60,D$10-SUM(E$17:E60))</f>
        <v>0</v>
      </c>
      <c r="E61" s="378">
        <f>IF(+I14&lt;F60,I14,D61)</f>
        <v>0</v>
      </c>
      <c r="F61" s="55">
        <f t="shared" si="21"/>
        <v>0</v>
      </c>
      <c r="G61" s="380">
        <f t="shared" si="23"/>
        <v>0</v>
      </c>
      <c r="H61" s="364">
        <f t="shared" si="24"/>
        <v>0</v>
      </c>
      <c r="I61" s="52">
        <f t="shared" si="22"/>
        <v>0</v>
      </c>
      <c r="J61" s="52"/>
      <c r="K61" s="129"/>
      <c r="L61" s="54">
        <f t="shared" si="20"/>
        <v>0</v>
      </c>
      <c r="M61" s="129"/>
      <c r="N61" s="54">
        <f t="shared" si="10"/>
        <v>0</v>
      </c>
      <c r="O61" s="54">
        <f t="shared" si="11"/>
        <v>0</v>
      </c>
      <c r="P61" s="1"/>
    </row>
    <row r="62" spans="2:16" ht="12.5">
      <c r="B62" s="7" t="str">
        <f t="shared" si="5"/>
        <v/>
      </c>
      <c r="C62" s="50">
        <f>IF(D11="","-",+C61+1)</f>
        <v>2057</v>
      </c>
      <c r="D62" s="55">
        <f>IF(F61+SUM(E$17:E61)=D$10,F61,D$10-SUM(E$17:E61))</f>
        <v>0</v>
      </c>
      <c r="E62" s="378">
        <f>IF(+I14&lt;F61,I14,D62)</f>
        <v>0</v>
      </c>
      <c r="F62" s="55">
        <f t="shared" si="21"/>
        <v>0</v>
      </c>
      <c r="G62" s="380">
        <f t="shared" si="23"/>
        <v>0</v>
      </c>
      <c r="H62" s="364">
        <f t="shared" si="24"/>
        <v>0</v>
      </c>
      <c r="I62" s="52">
        <f t="shared" si="22"/>
        <v>0</v>
      </c>
      <c r="J62" s="52"/>
      <c r="K62" s="129"/>
      <c r="L62" s="54">
        <f t="shared" si="20"/>
        <v>0</v>
      </c>
      <c r="M62" s="129"/>
      <c r="N62" s="54">
        <f t="shared" si="10"/>
        <v>0</v>
      </c>
      <c r="O62" s="54">
        <f t="shared" si="11"/>
        <v>0</v>
      </c>
      <c r="P62" s="1"/>
    </row>
    <row r="63" spans="2:16" ht="12.5">
      <c r="B63" s="7" t="str">
        <f t="shared" si="5"/>
        <v/>
      </c>
      <c r="C63" s="50">
        <f>IF(D11="","-",+C62+1)</f>
        <v>2058</v>
      </c>
      <c r="D63" s="55">
        <f>IF(F62+SUM(E$17:E62)=D$10,F62,D$10-SUM(E$17:E62))</f>
        <v>0</v>
      </c>
      <c r="E63" s="378">
        <f>IF(+I14&lt;F62,I14,D63)</f>
        <v>0</v>
      </c>
      <c r="F63" s="55">
        <f t="shared" si="21"/>
        <v>0</v>
      </c>
      <c r="G63" s="380">
        <f t="shared" si="23"/>
        <v>0</v>
      </c>
      <c r="H63" s="364">
        <f t="shared" si="24"/>
        <v>0</v>
      </c>
      <c r="I63" s="52">
        <f t="shared" si="22"/>
        <v>0</v>
      </c>
      <c r="J63" s="52"/>
      <c r="K63" s="129"/>
      <c r="L63" s="54">
        <f t="shared" si="20"/>
        <v>0</v>
      </c>
      <c r="M63" s="129"/>
      <c r="N63" s="54">
        <f t="shared" si="10"/>
        <v>0</v>
      </c>
      <c r="O63" s="54">
        <f t="shared" si="11"/>
        <v>0</v>
      </c>
      <c r="P63" s="1"/>
    </row>
    <row r="64" spans="2:16" ht="12.5">
      <c r="B64" s="7" t="str">
        <f t="shared" si="5"/>
        <v/>
      </c>
      <c r="C64" s="50">
        <f>IF(D11="","-",+C63+1)</f>
        <v>2059</v>
      </c>
      <c r="D64" s="55">
        <f>IF(F63+SUM(E$17:E63)=D$10,F63,D$10-SUM(E$17:E63))</f>
        <v>0</v>
      </c>
      <c r="E64" s="378">
        <f>IF(+I14&lt;F63,I14,D64)</f>
        <v>0</v>
      </c>
      <c r="F64" s="55">
        <f t="shared" si="21"/>
        <v>0</v>
      </c>
      <c r="G64" s="380">
        <f t="shared" si="23"/>
        <v>0</v>
      </c>
      <c r="H64" s="364">
        <f t="shared" si="24"/>
        <v>0</v>
      </c>
      <c r="I64" s="52">
        <f t="shared" si="22"/>
        <v>0</v>
      </c>
      <c r="J64" s="52"/>
      <c r="K64" s="129"/>
      <c r="L64" s="54">
        <f t="shared" si="20"/>
        <v>0</v>
      </c>
      <c r="M64" s="129"/>
      <c r="N64" s="54">
        <f t="shared" si="10"/>
        <v>0</v>
      </c>
      <c r="O64" s="54">
        <f t="shared" si="11"/>
        <v>0</v>
      </c>
      <c r="P64" s="1"/>
    </row>
    <row r="65" spans="2:16" ht="12.5">
      <c r="B65" s="7" t="str">
        <f t="shared" si="5"/>
        <v/>
      </c>
      <c r="C65" s="50">
        <f>IF(D11="","-",+C64+1)</f>
        <v>2060</v>
      </c>
      <c r="D65" s="55">
        <f>IF(F64+SUM(E$17:E64)=D$10,F64,D$10-SUM(E$17:E64))</f>
        <v>0</v>
      </c>
      <c r="E65" s="378">
        <f>IF(+I14&lt;F64,I14,D65)</f>
        <v>0</v>
      </c>
      <c r="F65" s="55">
        <f t="shared" si="21"/>
        <v>0</v>
      </c>
      <c r="G65" s="380">
        <f t="shared" si="23"/>
        <v>0</v>
      </c>
      <c r="H65" s="364">
        <f t="shared" si="24"/>
        <v>0</v>
      </c>
      <c r="I65" s="52">
        <f t="shared" si="22"/>
        <v>0</v>
      </c>
      <c r="J65" s="52"/>
      <c r="K65" s="129"/>
      <c r="L65" s="54">
        <f t="shared" si="20"/>
        <v>0</v>
      </c>
      <c r="M65" s="129"/>
      <c r="N65" s="54">
        <f t="shared" si="10"/>
        <v>0</v>
      </c>
      <c r="O65" s="54">
        <f t="shared" si="11"/>
        <v>0</v>
      </c>
      <c r="P65" s="1"/>
    </row>
    <row r="66" spans="2:16" ht="12.5">
      <c r="B66" s="7" t="str">
        <f t="shared" si="5"/>
        <v/>
      </c>
      <c r="C66" s="50">
        <f>IF(D11="","-",+C65+1)</f>
        <v>2061</v>
      </c>
      <c r="D66" s="55">
        <f>IF(F65+SUM(E$17:E65)=D$10,F65,D$10-SUM(E$17:E65))</f>
        <v>0</v>
      </c>
      <c r="E66" s="378">
        <f>IF(+I14&lt;F65,I14,D66)</f>
        <v>0</v>
      </c>
      <c r="F66" s="55">
        <f t="shared" si="21"/>
        <v>0</v>
      </c>
      <c r="G66" s="380">
        <f t="shared" si="23"/>
        <v>0</v>
      </c>
      <c r="H66" s="364">
        <f t="shared" si="24"/>
        <v>0</v>
      </c>
      <c r="I66" s="52">
        <f t="shared" si="22"/>
        <v>0</v>
      </c>
      <c r="J66" s="52"/>
      <c r="K66" s="129"/>
      <c r="L66" s="54">
        <f t="shared" si="20"/>
        <v>0</v>
      </c>
      <c r="M66" s="129"/>
      <c r="N66" s="54">
        <f t="shared" si="10"/>
        <v>0</v>
      </c>
      <c r="O66" s="54">
        <f t="shared" si="11"/>
        <v>0</v>
      </c>
      <c r="P66" s="1"/>
    </row>
    <row r="67" spans="2:16" ht="12.5">
      <c r="B67" s="7" t="str">
        <f t="shared" si="5"/>
        <v/>
      </c>
      <c r="C67" s="50">
        <f>IF(D11="","-",+C66+1)</f>
        <v>2062</v>
      </c>
      <c r="D67" s="55">
        <f>IF(F66+SUM(E$17:E66)=D$10,F66,D$10-SUM(E$17:E66))</f>
        <v>0</v>
      </c>
      <c r="E67" s="378">
        <f>IF(+I14&lt;F66,I14,D67)</f>
        <v>0</v>
      </c>
      <c r="F67" s="55">
        <f t="shared" si="21"/>
        <v>0</v>
      </c>
      <c r="G67" s="380">
        <f t="shared" si="23"/>
        <v>0</v>
      </c>
      <c r="H67" s="364">
        <f t="shared" si="24"/>
        <v>0</v>
      </c>
      <c r="I67" s="52">
        <f t="shared" si="22"/>
        <v>0</v>
      </c>
      <c r="J67" s="52"/>
      <c r="K67" s="129"/>
      <c r="L67" s="54">
        <f t="shared" si="20"/>
        <v>0</v>
      </c>
      <c r="M67" s="129"/>
      <c r="N67" s="54">
        <f t="shared" si="10"/>
        <v>0</v>
      </c>
      <c r="O67" s="54">
        <f t="shared" si="11"/>
        <v>0</v>
      </c>
      <c r="P67" s="1"/>
    </row>
    <row r="68" spans="2:16" ht="12.5">
      <c r="B68" s="7" t="str">
        <f t="shared" si="5"/>
        <v/>
      </c>
      <c r="C68" s="50">
        <f>IF(D11="","-",+C67+1)</f>
        <v>2063</v>
      </c>
      <c r="D68" s="55">
        <f>IF(F67+SUM(E$17:E67)=D$10,F67,D$10-SUM(E$17:E67))</f>
        <v>0</v>
      </c>
      <c r="E68" s="378">
        <f>IF(+I14&lt;F67,I14,D68)</f>
        <v>0</v>
      </c>
      <c r="F68" s="55">
        <f t="shared" si="21"/>
        <v>0</v>
      </c>
      <c r="G68" s="380">
        <f t="shared" si="23"/>
        <v>0</v>
      </c>
      <c r="H68" s="364">
        <f t="shared" si="24"/>
        <v>0</v>
      </c>
      <c r="I68" s="52">
        <f t="shared" si="22"/>
        <v>0</v>
      </c>
      <c r="J68" s="52"/>
      <c r="K68" s="129"/>
      <c r="L68" s="54">
        <f t="shared" si="20"/>
        <v>0</v>
      </c>
      <c r="M68" s="129"/>
      <c r="N68" s="54">
        <f t="shared" si="10"/>
        <v>0</v>
      </c>
      <c r="O68" s="54">
        <f t="shared" si="11"/>
        <v>0</v>
      </c>
      <c r="P68" s="1"/>
    </row>
    <row r="69" spans="2:16" ht="12.5">
      <c r="B69" s="7" t="str">
        <f t="shared" si="5"/>
        <v/>
      </c>
      <c r="C69" s="50">
        <f>IF(D11="","-",+C68+1)</f>
        <v>2064</v>
      </c>
      <c r="D69" s="55">
        <f>IF(F68+SUM(E$17:E68)=D$10,F68,D$10-SUM(E$17:E68))</f>
        <v>0</v>
      </c>
      <c r="E69" s="378">
        <f>IF(+I14&lt;F68,I14,D69)</f>
        <v>0</v>
      </c>
      <c r="F69" s="55">
        <f t="shared" si="21"/>
        <v>0</v>
      </c>
      <c r="G69" s="380">
        <f t="shared" si="23"/>
        <v>0</v>
      </c>
      <c r="H69" s="364">
        <f t="shared" si="24"/>
        <v>0</v>
      </c>
      <c r="I69" s="52">
        <f t="shared" si="22"/>
        <v>0</v>
      </c>
      <c r="J69" s="52"/>
      <c r="K69" s="129"/>
      <c r="L69" s="54">
        <f t="shared" si="20"/>
        <v>0</v>
      </c>
      <c r="M69" s="129"/>
      <c r="N69" s="54">
        <f t="shared" si="10"/>
        <v>0</v>
      </c>
      <c r="O69" s="54">
        <f t="shared" si="11"/>
        <v>0</v>
      </c>
      <c r="P69" s="1"/>
    </row>
    <row r="70" spans="2:16" ht="12.5">
      <c r="B70" s="7" t="str">
        <f t="shared" si="5"/>
        <v/>
      </c>
      <c r="C70" s="50">
        <f>IF(D11="","-",+C69+1)</f>
        <v>2065</v>
      </c>
      <c r="D70" s="55">
        <f>IF(F69+SUM(E$17:E69)=D$10,F69,D$10-SUM(E$17:E69))</f>
        <v>0</v>
      </c>
      <c r="E70" s="378">
        <f>IF(+I14&lt;F69,I14,D70)</f>
        <v>0</v>
      </c>
      <c r="F70" s="55">
        <f t="shared" si="21"/>
        <v>0</v>
      </c>
      <c r="G70" s="380">
        <f t="shared" si="23"/>
        <v>0</v>
      </c>
      <c r="H70" s="364">
        <f t="shared" si="24"/>
        <v>0</v>
      </c>
      <c r="I70" s="52">
        <f t="shared" si="22"/>
        <v>0</v>
      </c>
      <c r="J70" s="52"/>
      <c r="K70" s="129"/>
      <c r="L70" s="54">
        <f t="shared" si="20"/>
        <v>0</v>
      </c>
      <c r="M70" s="129"/>
      <c r="N70" s="54">
        <f t="shared" si="10"/>
        <v>0</v>
      </c>
      <c r="O70" s="54">
        <f t="shared" si="11"/>
        <v>0</v>
      </c>
      <c r="P70" s="1"/>
    </row>
    <row r="71" spans="2:16" ht="12.5">
      <c r="B71" s="7" t="str">
        <f t="shared" si="5"/>
        <v/>
      </c>
      <c r="C71" s="50">
        <f>IF(D11="","-",+C70+1)</f>
        <v>2066</v>
      </c>
      <c r="D71" s="55">
        <f>IF(F70+SUM(E$17:E70)=D$10,F70,D$10-SUM(E$17:E70))</f>
        <v>0</v>
      </c>
      <c r="E71" s="378">
        <f>IF(+I14&lt;F70,I14,D71)</f>
        <v>0</v>
      </c>
      <c r="F71" s="55">
        <f t="shared" si="21"/>
        <v>0</v>
      </c>
      <c r="G71" s="380">
        <f t="shared" si="23"/>
        <v>0</v>
      </c>
      <c r="H71" s="364">
        <f t="shared" si="24"/>
        <v>0</v>
      </c>
      <c r="I71" s="52">
        <f t="shared" si="22"/>
        <v>0</v>
      </c>
      <c r="J71" s="52"/>
      <c r="K71" s="129"/>
      <c r="L71" s="54">
        <f t="shared" si="20"/>
        <v>0</v>
      </c>
      <c r="M71" s="129"/>
      <c r="N71" s="54">
        <f t="shared" si="10"/>
        <v>0</v>
      </c>
      <c r="O71" s="54">
        <f t="shared" si="11"/>
        <v>0</v>
      </c>
      <c r="P71" s="1"/>
    </row>
    <row r="72" spans="2:16" ht="13" thickBot="1">
      <c r="B72" s="7" t="str">
        <f t="shared" si="5"/>
        <v/>
      </c>
      <c r="C72" s="59">
        <f>IF(D11="","-",+C71+1)</f>
        <v>2067</v>
      </c>
      <c r="D72" s="60">
        <f>IF(F71+SUM(E$17:E71)=D$10,F71,D$10-SUM(E$17:E71))</f>
        <v>0</v>
      </c>
      <c r="E72" s="381">
        <f>IF(+I14&lt;F71,I14,D72)</f>
        <v>0</v>
      </c>
      <c r="F72" s="60">
        <f t="shared" si="21"/>
        <v>0</v>
      </c>
      <c r="G72" s="382">
        <f t="shared" si="23"/>
        <v>0</v>
      </c>
      <c r="H72" s="362">
        <f t="shared" si="24"/>
        <v>0</v>
      </c>
      <c r="I72" s="63">
        <f t="shared" si="22"/>
        <v>0</v>
      </c>
      <c r="J72" s="52"/>
      <c r="K72" s="130"/>
      <c r="L72" s="64">
        <f t="shared" si="20"/>
        <v>0</v>
      </c>
      <c r="M72" s="130"/>
      <c r="N72" s="64">
        <f t="shared" si="10"/>
        <v>0</v>
      </c>
      <c r="O72" s="64">
        <f t="shared" si="11"/>
        <v>0</v>
      </c>
      <c r="P72" s="1"/>
    </row>
    <row r="73" spans="2:16" ht="12.5">
      <c r="C73" s="12" t="s">
        <v>78</v>
      </c>
      <c r="D73" s="293"/>
      <c r="E73" s="293">
        <f>SUM(E17:E72)</f>
        <v>787880.00000000012</v>
      </c>
      <c r="F73" s="293"/>
      <c r="G73" s="293">
        <f>SUM(G17:G72)</f>
        <v>2865065.9298734125</v>
      </c>
      <c r="H73" s="293">
        <f>SUM(H17:H72)</f>
        <v>2865065.9298734125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 ht="13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47 of 77</v>
      </c>
    </row>
    <row r="84" spans="1:16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84364.452669168837</v>
      </c>
      <c r="N87" s="387">
        <f>IF(J92&lt;D11,0,VLOOKUP(J92,C17:O72,11))</f>
        <v>84364.452669168837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94194.75356617842</v>
      </c>
      <c r="N88" s="390">
        <f>IF(J92&lt;D11,0,VLOOKUP(J92,C99:P154,7))</f>
        <v>94194.75356617842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FULTON - HOPE 115KV CKT 1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9830.3008970095834</v>
      </c>
      <c r="N89" s="392">
        <f>+N88-N87</f>
        <v>9830.3008970095834</v>
      </c>
      <c r="O89" s="393">
        <f>+O88-O87</f>
        <v>0</v>
      </c>
      <c r="P89" s="1"/>
    </row>
    <row r="90" spans="1:16" ht="13.5" thickBot="1">
      <c r="C90" s="29"/>
      <c r="D90" s="444" t="str">
        <f>S.046!D90</f>
        <v xml:space="preserve">***Sch. 11 recovery commenced in the 2015 rate year.  Beg Bal = to depreciated balance as of 1/1/15. *** </v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TP2006077</v>
      </c>
      <c r="E91" s="76" t="str">
        <f>E9</f>
        <v xml:space="preserve">  SPP Project ID = 221</v>
      </c>
      <c r="F91" s="76"/>
      <c r="G91" s="76"/>
      <c r="H91" s="76"/>
      <c r="I91" s="76"/>
      <c r="J91" s="76"/>
    </row>
    <row r="92" spans="1:16" ht="13">
      <c r="C92" s="34" t="s">
        <v>51</v>
      </c>
      <c r="D92" s="428">
        <f>D10</f>
        <v>787880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</row>
    <row r="93" spans="1:16" ht="12.5">
      <c r="C93" s="34" t="s">
        <v>54</v>
      </c>
      <c r="D93" s="88">
        <f>D11</f>
        <v>2012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88">
        <f>D12</f>
        <v>2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17906.363636363636</v>
      </c>
      <c r="K96" s="293"/>
      <c r="L96" s="293"/>
      <c r="M96" s="293"/>
      <c r="N96" s="293"/>
      <c r="O96" s="293"/>
      <c r="P96" s="1"/>
    </row>
    <row r="97" spans="1:16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 ht="12.5">
      <c r="C99" s="50">
        <f>IF(D93= "","-",D93)</f>
        <v>2012</v>
      </c>
      <c r="D99" s="12"/>
      <c r="E99" s="379"/>
      <c r="F99" s="55"/>
      <c r="G99" s="83"/>
      <c r="H99" s="416"/>
      <c r="I99" s="417"/>
      <c r="J99" s="54"/>
      <c r="K99" s="54"/>
      <c r="L99" s="112"/>
      <c r="M99" s="53">
        <f t="shared" ref="M99:M130" si="25">IF(L99&lt;&gt;0,+H99-L99,0)</f>
        <v>0</v>
      </c>
      <c r="N99" s="112"/>
      <c r="O99" s="53">
        <f t="shared" ref="O99:O130" si="26">IF(N99&lt;&gt;0,+I99-N99,0)</f>
        <v>0</v>
      </c>
      <c r="P99" s="53">
        <f t="shared" ref="P99:P130" si="27">+O99-M99</f>
        <v>0</v>
      </c>
    </row>
    <row r="100" spans="1:16" ht="12.5">
      <c r="B100" s="7" t="str">
        <f>IF(D100=F99,"","IU")</f>
        <v/>
      </c>
      <c r="C100" s="50">
        <f>IF(D93="","-",+C99+1)</f>
        <v>2013</v>
      </c>
      <c r="D100" s="12"/>
      <c r="E100" s="378"/>
      <c r="F100" s="55"/>
      <c r="G100" s="55"/>
      <c r="H100" s="380"/>
      <c r="I100" s="399"/>
      <c r="J100" s="54"/>
      <c r="K100" s="54"/>
      <c r="L100" s="113"/>
      <c r="M100" s="54">
        <f t="shared" si="25"/>
        <v>0</v>
      </c>
      <c r="N100" s="113"/>
      <c r="O100" s="54">
        <f t="shared" si="26"/>
        <v>0</v>
      </c>
      <c r="P100" s="54">
        <f t="shared" si="27"/>
        <v>0</v>
      </c>
    </row>
    <row r="101" spans="1:16" ht="12.5">
      <c r="B101" s="7" t="str">
        <f t="shared" ref="B101:B154" si="28">IF(D101=F100,"","IU")</f>
        <v/>
      </c>
      <c r="C101" s="50">
        <f>IF(D93="","-",+C100+1)</f>
        <v>2014</v>
      </c>
      <c r="D101" s="12"/>
      <c r="E101" s="378"/>
      <c r="F101" s="55"/>
      <c r="G101" s="55"/>
      <c r="H101" s="380"/>
      <c r="I101" s="399"/>
      <c r="J101" s="54"/>
      <c r="K101" s="54"/>
      <c r="L101" s="113"/>
      <c r="M101" s="54">
        <f t="shared" si="25"/>
        <v>0</v>
      </c>
      <c r="N101" s="113"/>
      <c r="O101" s="54">
        <f t="shared" si="26"/>
        <v>0</v>
      </c>
      <c r="P101" s="54">
        <f t="shared" si="27"/>
        <v>0</v>
      </c>
    </row>
    <row r="102" spans="1:16" ht="12.5">
      <c r="B102" s="7" t="str">
        <f t="shared" si="28"/>
        <v>IU</v>
      </c>
      <c r="C102" s="50">
        <f>IF(D93="","-",+C101+1)</f>
        <v>2015</v>
      </c>
      <c r="D102" s="429">
        <v>734729.36507936521</v>
      </c>
      <c r="E102" s="430">
        <v>17493.556311413457</v>
      </c>
      <c r="F102" s="431">
        <v>717235.80876795179</v>
      </c>
      <c r="G102" s="431">
        <v>725982.5869236585</v>
      </c>
      <c r="H102" s="433">
        <v>113155.46714712729</v>
      </c>
      <c r="I102" s="434">
        <v>113155.46714712729</v>
      </c>
      <c r="J102" s="54">
        <f>+I102-H102</f>
        <v>0</v>
      </c>
      <c r="K102" s="54"/>
      <c r="L102" s="113">
        <f t="shared" ref="L102:L107" si="29">+H102</f>
        <v>113155.46714712729</v>
      </c>
      <c r="M102" s="54">
        <f t="shared" si="25"/>
        <v>0</v>
      </c>
      <c r="N102" s="113">
        <f t="shared" ref="N102:N107" si="30">+I102</f>
        <v>113155.46714712729</v>
      </c>
      <c r="O102" s="54">
        <f t="shared" si="26"/>
        <v>0</v>
      </c>
      <c r="P102" s="54">
        <f t="shared" si="27"/>
        <v>0</v>
      </c>
    </row>
    <row r="103" spans="1:16" ht="12.5">
      <c r="B103" s="7" t="str">
        <f t="shared" si="28"/>
        <v>IU</v>
      </c>
      <c r="C103" s="50">
        <f>IF(D93="","-",+C102+1)</f>
        <v>2016</v>
      </c>
      <c r="D103" s="429">
        <v>770386.44368858659</v>
      </c>
      <c r="E103" s="430">
        <v>18322.79069767442</v>
      </c>
      <c r="F103" s="431">
        <v>752063.6529909122</v>
      </c>
      <c r="G103" s="431">
        <v>761225.04833974945</v>
      </c>
      <c r="H103" s="433">
        <v>114960.30166921337</v>
      </c>
      <c r="I103" s="434">
        <v>114960.30166921337</v>
      </c>
      <c r="J103" s="54">
        <f>+I103-H103</f>
        <v>0</v>
      </c>
      <c r="K103" s="54"/>
      <c r="L103" s="113">
        <f t="shared" si="29"/>
        <v>114960.30166921337</v>
      </c>
      <c r="M103" s="54">
        <f t="shared" ref="M103:M108" si="31">IF(L103&lt;&gt;0,+H103-L103,0)</f>
        <v>0</v>
      </c>
      <c r="N103" s="113">
        <f t="shared" si="30"/>
        <v>114960.30166921337</v>
      </c>
      <c r="O103" s="54">
        <f>IF(N103&lt;&gt;0,+I103-N103,0)</f>
        <v>0</v>
      </c>
      <c r="P103" s="54">
        <f>+O103-M103</f>
        <v>0</v>
      </c>
    </row>
    <row r="104" spans="1:16" ht="12.5">
      <c r="B104" s="7" t="str">
        <f t="shared" si="28"/>
        <v/>
      </c>
      <c r="C104" s="50">
        <f>IF(D93="","-",+C103+1)</f>
        <v>2017</v>
      </c>
      <c r="D104" s="429">
        <v>752063.6529909122</v>
      </c>
      <c r="E104" s="430">
        <v>18759.047619047618</v>
      </c>
      <c r="F104" s="431">
        <v>733304.60537186463</v>
      </c>
      <c r="G104" s="431">
        <v>742684.12918138842</v>
      </c>
      <c r="H104" s="433">
        <v>108973.97138946971</v>
      </c>
      <c r="I104" s="434">
        <v>108973.97138946971</v>
      </c>
      <c r="J104" s="54">
        <f t="shared" ref="J104:J154" si="32">+I104-H104</f>
        <v>0</v>
      </c>
      <c r="K104" s="54"/>
      <c r="L104" s="113">
        <f t="shared" si="29"/>
        <v>108973.97138946971</v>
      </c>
      <c r="M104" s="54">
        <f t="shared" si="31"/>
        <v>0</v>
      </c>
      <c r="N104" s="113">
        <f t="shared" si="30"/>
        <v>108973.97138946971</v>
      </c>
      <c r="O104" s="54">
        <f>IF(N104&lt;&gt;0,+I104-N104,0)</f>
        <v>0</v>
      </c>
      <c r="P104" s="54">
        <f>+O104-M104</f>
        <v>0</v>
      </c>
    </row>
    <row r="105" spans="1:16" ht="12.5">
      <c r="B105" s="7" t="str">
        <f t="shared" si="28"/>
        <v/>
      </c>
      <c r="C105" s="50">
        <f>IF(D93="","-",+C104+1)</f>
        <v>2018</v>
      </c>
      <c r="D105" s="429">
        <v>733304.60537186463</v>
      </c>
      <c r="E105" s="430">
        <v>18759.047619047618</v>
      </c>
      <c r="F105" s="431">
        <v>714545.55775281705</v>
      </c>
      <c r="G105" s="431">
        <v>723925.08156234084</v>
      </c>
      <c r="H105" s="433">
        <v>95208.856021995831</v>
      </c>
      <c r="I105" s="434">
        <v>95208.856021995831</v>
      </c>
      <c r="J105" s="54">
        <f t="shared" si="32"/>
        <v>0</v>
      </c>
      <c r="K105" s="54"/>
      <c r="L105" s="113">
        <f t="shared" si="29"/>
        <v>95208.856021995831</v>
      </c>
      <c r="M105" s="54">
        <f t="shared" si="31"/>
        <v>0</v>
      </c>
      <c r="N105" s="113">
        <f t="shared" si="30"/>
        <v>95208.856021995831</v>
      </c>
      <c r="O105" s="54">
        <f>IF(N105&lt;&gt;0,+I105-N105,0)</f>
        <v>0</v>
      </c>
      <c r="P105" s="54">
        <f t="shared" si="27"/>
        <v>0</v>
      </c>
    </row>
    <row r="106" spans="1:16" ht="12.5">
      <c r="B106" s="7" t="str">
        <f t="shared" si="28"/>
        <v/>
      </c>
      <c r="C106" s="50">
        <f>IF(D93="","-",+C105+1)</f>
        <v>2019</v>
      </c>
      <c r="D106" s="429">
        <v>714545.55775281705</v>
      </c>
      <c r="E106" s="430">
        <v>18322.79069767442</v>
      </c>
      <c r="F106" s="431">
        <v>696222.76705514267</v>
      </c>
      <c r="G106" s="431">
        <v>705384.1624039798</v>
      </c>
      <c r="H106" s="433">
        <v>93827.496963510814</v>
      </c>
      <c r="I106" s="434">
        <v>93827.496963510814</v>
      </c>
      <c r="J106" s="54">
        <f t="shared" si="32"/>
        <v>0</v>
      </c>
      <c r="K106" s="54"/>
      <c r="L106" s="113">
        <f t="shared" si="29"/>
        <v>93827.496963510814</v>
      </c>
      <c r="M106" s="54">
        <f t="shared" si="31"/>
        <v>0</v>
      </c>
      <c r="N106" s="113">
        <f t="shared" si="30"/>
        <v>93827.496963510814</v>
      </c>
      <c r="O106" s="54">
        <f t="shared" si="26"/>
        <v>0</v>
      </c>
      <c r="P106" s="54">
        <f t="shared" si="27"/>
        <v>0</v>
      </c>
    </row>
    <row r="107" spans="1:16" ht="12.5">
      <c r="B107" s="7" t="str">
        <f t="shared" si="28"/>
        <v/>
      </c>
      <c r="C107" s="50">
        <f>IF(D93="","-",+C106+1)</f>
        <v>2020</v>
      </c>
      <c r="D107" s="429">
        <v>696222.76705514267</v>
      </c>
      <c r="E107" s="430">
        <v>18759.047619047618</v>
      </c>
      <c r="F107" s="431">
        <v>677463.7194360951</v>
      </c>
      <c r="G107" s="431">
        <v>686843.24324561888</v>
      </c>
      <c r="H107" s="433">
        <v>92645.407622215163</v>
      </c>
      <c r="I107" s="434">
        <v>92645.407622215163</v>
      </c>
      <c r="J107" s="54">
        <f t="shared" si="32"/>
        <v>0</v>
      </c>
      <c r="K107" s="54"/>
      <c r="L107" s="113">
        <f t="shared" si="29"/>
        <v>92645.407622215163</v>
      </c>
      <c r="M107" s="54">
        <f t="shared" si="31"/>
        <v>0</v>
      </c>
      <c r="N107" s="113">
        <f t="shared" si="30"/>
        <v>92645.407622215163</v>
      </c>
      <c r="O107" s="54">
        <f t="shared" si="26"/>
        <v>0</v>
      </c>
      <c r="P107" s="54">
        <f t="shared" si="27"/>
        <v>0</v>
      </c>
    </row>
    <row r="108" spans="1:16" ht="12.5">
      <c r="B108" s="7" t="str">
        <f t="shared" si="28"/>
        <v/>
      </c>
      <c r="C108" s="50">
        <f>IF(D93="","-",+C107+1)</f>
        <v>2021</v>
      </c>
      <c r="D108" s="429">
        <v>677463.7194360951</v>
      </c>
      <c r="E108" s="430">
        <v>19216.585365853658</v>
      </c>
      <c r="F108" s="431">
        <v>658247.13407024147</v>
      </c>
      <c r="G108" s="431">
        <v>667855.42675316823</v>
      </c>
      <c r="H108" s="433">
        <v>95027.677461947256</v>
      </c>
      <c r="I108" s="434">
        <v>95027.677461947256</v>
      </c>
      <c r="J108" s="54">
        <f t="shared" si="32"/>
        <v>0</v>
      </c>
      <c r="K108" s="54"/>
      <c r="L108" s="113">
        <f t="shared" ref="L108" si="33">+H108</f>
        <v>95027.677461947256</v>
      </c>
      <c r="M108" s="54">
        <f t="shared" si="31"/>
        <v>0</v>
      </c>
      <c r="N108" s="113">
        <f t="shared" ref="N108" si="34">+I108</f>
        <v>95027.677461947256</v>
      </c>
      <c r="O108" s="54">
        <f t="shared" si="26"/>
        <v>0</v>
      </c>
      <c r="P108" s="54">
        <f t="shared" si="27"/>
        <v>0</v>
      </c>
    </row>
    <row r="109" spans="1:16" ht="12.5">
      <c r="B109" s="7" t="str">
        <f t="shared" si="28"/>
        <v/>
      </c>
      <c r="C109" s="50">
        <f>IF(D93="","-",+C108+1)</f>
        <v>2022</v>
      </c>
      <c r="D109" s="429">
        <v>658247.13407024147</v>
      </c>
      <c r="E109" s="430">
        <v>18759.047619047618</v>
      </c>
      <c r="F109" s="431">
        <v>639488.0864511939</v>
      </c>
      <c r="G109" s="431">
        <v>648867.61026071769</v>
      </c>
      <c r="H109" s="433">
        <v>94973.637540355339</v>
      </c>
      <c r="I109" s="434">
        <v>94973.637540355339</v>
      </c>
      <c r="J109" s="54">
        <f t="shared" si="32"/>
        <v>0</v>
      </c>
      <c r="K109" s="54"/>
      <c r="L109" s="113">
        <f t="shared" ref="L109" si="35">+H109</f>
        <v>94973.637540355339</v>
      </c>
      <c r="M109" s="54">
        <f t="shared" ref="M109" si="36">IF(L109&lt;&gt;0,+H109-L109,0)</f>
        <v>0</v>
      </c>
      <c r="N109" s="113">
        <f t="shared" ref="N109" si="37">+I109</f>
        <v>94973.637540355339</v>
      </c>
      <c r="O109" s="54">
        <f t="shared" ref="O109" si="38">IF(N109&lt;&gt;0,+I109-N109,0)</f>
        <v>0</v>
      </c>
      <c r="P109" s="54">
        <f t="shared" ref="P109" si="39">+O109-M109</f>
        <v>0</v>
      </c>
    </row>
    <row r="110" spans="1:16" ht="12.5">
      <c r="B110" s="7" t="str">
        <f t="shared" si="28"/>
        <v/>
      </c>
      <c r="C110" s="50">
        <f>IF(D93="","-",+C109+1)</f>
        <v>2023</v>
      </c>
      <c r="D110" s="429">
        <v>639488.0864511939</v>
      </c>
      <c r="E110" s="430">
        <v>17906.363636363636</v>
      </c>
      <c r="F110" s="431">
        <v>621581.72281483025</v>
      </c>
      <c r="G110" s="431">
        <v>630534.90463301213</v>
      </c>
      <c r="H110" s="433">
        <v>95692.337591989097</v>
      </c>
      <c r="I110" s="434">
        <v>95692.337591989097</v>
      </c>
      <c r="J110" s="54">
        <f t="shared" si="32"/>
        <v>0</v>
      </c>
      <c r="K110" s="54"/>
      <c r="L110" s="113">
        <f t="shared" ref="L110" si="40">+H110</f>
        <v>95692.337591989097</v>
      </c>
      <c r="M110" s="54">
        <f t="shared" ref="M110" si="41">IF(L110&lt;&gt;0,+H110-L110,0)</f>
        <v>0</v>
      </c>
      <c r="N110" s="113">
        <f t="shared" ref="N110" si="42">+I110</f>
        <v>95692.337591989097</v>
      </c>
      <c r="O110" s="54">
        <f t="shared" ref="O110" si="43">IF(N110&lt;&gt;0,+I110-N110,0)</f>
        <v>0</v>
      </c>
      <c r="P110" s="54">
        <f t="shared" ref="P110" si="44">+O110-M110</f>
        <v>0</v>
      </c>
    </row>
    <row r="111" spans="1:16" ht="12.5">
      <c r="B111" s="7" t="str">
        <f t="shared" si="28"/>
        <v/>
      </c>
      <c r="C111" s="50">
        <f>IF(D93="","-",+C110+1)</f>
        <v>2024</v>
      </c>
      <c r="D111" s="12">
        <f>IF(F110+SUM(E$99:E110)=D$92,F110,D$92-SUM(E$99:E110))</f>
        <v>621581.72281483025</v>
      </c>
      <c r="E111" s="378">
        <f t="shared" ref="E111:E154" si="45">IF(+$J$96&lt;F110,$J$96,D111)</f>
        <v>17906.363636363636</v>
      </c>
      <c r="F111" s="55">
        <f t="shared" ref="F111:F154" si="46">+D111-E111</f>
        <v>603675.35917846661</v>
      </c>
      <c r="G111" s="55">
        <f t="shared" ref="G111:G154" si="47">+(F111+D111)/2</f>
        <v>612628.54099664837</v>
      </c>
      <c r="H111" s="380">
        <f t="shared" ref="H111:H154" si="48">+J$94*G111+E111</f>
        <v>94194.75356617842</v>
      </c>
      <c r="I111" s="399">
        <f t="shared" ref="I111:I154" si="49">+J$95*G111+E111</f>
        <v>94194.75356617842</v>
      </c>
      <c r="J111" s="54">
        <f t="shared" si="32"/>
        <v>0</v>
      </c>
      <c r="K111" s="54"/>
      <c r="L111" s="129"/>
      <c r="M111" s="54">
        <f t="shared" si="25"/>
        <v>0</v>
      </c>
      <c r="N111" s="129"/>
      <c r="O111" s="54">
        <f t="shared" si="26"/>
        <v>0</v>
      </c>
      <c r="P111" s="54">
        <f t="shared" si="27"/>
        <v>0</v>
      </c>
    </row>
    <row r="112" spans="1:16" ht="12.5">
      <c r="B112" s="7" t="str">
        <f t="shared" si="28"/>
        <v/>
      </c>
      <c r="C112" s="50">
        <f>IF(D93="","-",+C111+1)</f>
        <v>2025</v>
      </c>
      <c r="D112" s="12">
        <f>IF(F111+SUM(E$99:E111)=D$92,F111,D$92-SUM(E$99:E111))</f>
        <v>603675.35917846661</v>
      </c>
      <c r="E112" s="378">
        <f t="shared" si="45"/>
        <v>17906.363636363636</v>
      </c>
      <c r="F112" s="55">
        <f t="shared" si="46"/>
        <v>585768.99554210296</v>
      </c>
      <c r="G112" s="55">
        <f t="shared" si="47"/>
        <v>594722.17736028484</v>
      </c>
      <c r="H112" s="380">
        <f t="shared" si="48"/>
        <v>91964.939641587815</v>
      </c>
      <c r="I112" s="399">
        <f t="shared" si="49"/>
        <v>91964.939641587815</v>
      </c>
      <c r="J112" s="54">
        <f t="shared" si="32"/>
        <v>0</v>
      </c>
      <c r="K112" s="54"/>
      <c r="L112" s="129"/>
      <c r="M112" s="54">
        <f t="shared" si="25"/>
        <v>0</v>
      </c>
      <c r="N112" s="129"/>
      <c r="O112" s="54">
        <f t="shared" si="26"/>
        <v>0</v>
      </c>
      <c r="P112" s="54">
        <f t="shared" si="27"/>
        <v>0</v>
      </c>
    </row>
    <row r="113" spans="2:16" ht="12.5">
      <c r="B113" s="7" t="str">
        <f t="shared" si="28"/>
        <v/>
      </c>
      <c r="C113" s="50">
        <f>IF(D93="","-",+C112+1)</f>
        <v>2026</v>
      </c>
      <c r="D113" s="12">
        <f>IF(F112+SUM(E$99:E112)=D$92,F112,D$92-SUM(E$99:E112))</f>
        <v>585768.99554210296</v>
      </c>
      <c r="E113" s="378">
        <f t="shared" si="45"/>
        <v>17906.363636363636</v>
      </c>
      <c r="F113" s="55">
        <f t="shared" si="46"/>
        <v>567862.63190573931</v>
      </c>
      <c r="G113" s="55">
        <f t="shared" si="47"/>
        <v>576815.81372392108</v>
      </c>
      <c r="H113" s="380">
        <f t="shared" si="48"/>
        <v>89735.125716997165</v>
      </c>
      <c r="I113" s="399">
        <f t="shared" si="49"/>
        <v>89735.125716997165</v>
      </c>
      <c r="J113" s="54">
        <f t="shared" si="32"/>
        <v>0</v>
      </c>
      <c r="K113" s="54"/>
      <c r="L113" s="129"/>
      <c r="M113" s="54">
        <f t="shared" si="25"/>
        <v>0</v>
      </c>
      <c r="N113" s="129"/>
      <c r="O113" s="54">
        <f t="shared" si="26"/>
        <v>0</v>
      </c>
      <c r="P113" s="54">
        <f t="shared" si="27"/>
        <v>0</v>
      </c>
    </row>
    <row r="114" spans="2:16" ht="12.5">
      <c r="B114" s="7" t="str">
        <f t="shared" si="28"/>
        <v/>
      </c>
      <c r="C114" s="50">
        <f>IF(D93="","-",+C113+1)</f>
        <v>2027</v>
      </c>
      <c r="D114" s="12">
        <f>IF(F113+SUM(E$99:E113)=D$92,F113,D$92-SUM(E$99:E113))</f>
        <v>567862.63190573931</v>
      </c>
      <c r="E114" s="378">
        <f t="shared" si="45"/>
        <v>17906.363636363636</v>
      </c>
      <c r="F114" s="55">
        <f t="shared" si="46"/>
        <v>549956.26826937567</v>
      </c>
      <c r="G114" s="55">
        <f t="shared" si="47"/>
        <v>558909.45008755755</v>
      </c>
      <c r="H114" s="380">
        <f t="shared" si="48"/>
        <v>87505.311792406559</v>
      </c>
      <c r="I114" s="399">
        <f t="shared" si="49"/>
        <v>87505.311792406559</v>
      </c>
      <c r="J114" s="54">
        <f t="shared" si="32"/>
        <v>0</v>
      </c>
      <c r="K114" s="54"/>
      <c r="L114" s="129"/>
      <c r="M114" s="54">
        <f t="shared" si="25"/>
        <v>0</v>
      </c>
      <c r="N114" s="129"/>
      <c r="O114" s="54">
        <f t="shared" si="26"/>
        <v>0</v>
      </c>
      <c r="P114" s="54">
        <f t="shared" si="27"/>
        <v>0</v>
      </c>
    </row>
    <row r="115" spans="2:16" ht="12.5">
      <c r="B115" s="7" t="str">
        <f t="shared" si="28"/>
        <v/>
      </c>
      <c r="C115" s="50">
        <f>IF(D93="","-",+C114+1)</f>
        <v>2028</v>
      </c>
      <c r="D115" s="12">
        <f>IF(F114+SUM(E$99:E114)=D$92,F114,D$92-SUM(E$99:E114))</f>
        <v>549956.26826937567</v>
      </c>
      <c r="E115" s="378">
        <f t="shared" si="45"/>
        <v>17906.363636363636</v>
      </c>
      <c r="F115" s="55">
        <f t="shared" si="46"/>
        <v>532049.90463301202</v>
      </c>
      <c r="G115" s="55">
        <f t="shared" si="47"/>
        <v>541003.08645119378</v>
      </c>
      <c r="H115" s="380">
        <f t="shared" si="48"/>
        <v>85275.49786781591</v>
      </c>
      <c r="I115" s="399">
        <f t="shared" si="49"/>
        <v>85275.49786781591</v>
      </c>
      <c r="J115" s="54">
        <f t="shared" si="32"/>
        <v>0</v>
      </c>
      <c r="K115" s="54"/>
      <c r="L115" s="129"/>
      <c r="M115" s="54">
        <f t="shared" si="25"/>
        <v>0</v>
      </c>
      <c r="N115" s="129"/>
      <c r="O115" s="54">
        <f t="shared" si="26"/>
        <v>0</v>
      </c>
      <c r="P115" s="54">
        <f t="shared" si="27"/>
        <v>0</v>
      </c>
    </row>
    <row r="116" spans="2:16" ht="12.5">
      <c r="B116" s="7" t="str">
        <f t="shared" si="28"/>
        <v/>
      </c>
      <c r="C116" s="50">
        <f>IF(D93="","-",+C115+1)</f>
        <v>2029</v>
      </c>
      <c r="D116" s="12">
        <f>IF(F115+SUM(E$99:E115)=D$92,F115,D$92-SUM(E$99:E115))</f>
        <v>532049.90463301202</v>
      </c>
      <c r="E116" s="378">
        <f t="shared" si="45"/>
        <v>17906.363636363636</v>
      </c>
      <c r="F116" s="55">
        <f t="shared" si="46"/>
        <v>514143.54099664837</v>
      </c>
      <c r="G116" s="55">
        <f t="shared" si="47"/>
        <v>523096.72281483019</v>
      </c>
      <c r="H116" s="380">
        <f t="shared" si="48"/>
        <v>83045.683943225304</v>
      </c>
      <c r="I116" s="399">
        <f t="shared" si="49"/>
        <v>83045.683943225304</v>
      </c>
      <c r="J116" s="54">
        <f t="shared" si="32"/>
        <v>0</v>
      </c>
      <c r="K116" s="54"/>
      <c r="L116" s="129"/>
      <c r="M116" s="54">
        <f t="shared" si="25"/>
        <v>0</v>
      </c>
      <c r="N116" s="129"/>
      <c r="O116" s="54">
        <f t="shared" si="26"/>
        <v>0</v>
      </c>
      <c r="P116" s="54">
        <f t="shared" si="27"/>
        <v>0</v>
      </c>
    </row>
    <row r="117" spans="2:16" ht="12.5">
      <c r="B117" s="7" t="str">
        <f t="shared" si="28"/>
        <v/>
      </c>
      <c r="C117" s="50">
        <f>IF(D93="","-",+C116+1)</f>
        <v>2030</v>
      </c>
      <c r="D117" s="12">
        <f>IF(F116+SUM(E$99:E116)=D$92,F116,D$92-SUM(E$99:E116))</f>
        <v>514143.54099664837</v>
      </c>
      <c r="E117" s="378">
        <f t="shared" si="45"/>
        <v>17906.363636363636</v>
      </c>
      <c r="F117" s="55">
        <f t="shared" si="46"/>
        <v>496237.17736028472</v>
      </c>
      <c r="G117" s="55">
        <f t="shared" si="47"/>
        <v>505190.35917846655</v>
      </c>
      <c r="H117" s="380">
        <f t="shared" si="48"/>
        <v>80815.870018634669</v>
      </c>
      <c r="I117" s="399">
        <f t="shared" si="49"/>
        <v>80815.870018634669</v>
      </c>
      <c r="J117" s="54">
        <f t="shared" si="32"/>
        <v>0</v>
      </c>
      <c r="K117" s="54"/>
      <c r="L117" s="129"/>
      <c r="M117" s="54">
        <f t="shared" si="25"/>
        <v>0</v>
      </c>
      <c r="N117" s="129"/>
      <c r="O117" s="54">
        <f t="shared" si="26"/>
        <v>0</v>
      </c>
      <c r="P117" s="54">
        <f t="shared" si="27"/>
        <v>0</v>
      </c>
    </row>
    <row r="118" spans="2:16" ht="12.5">
      <c r="B118" s="7" t="str">
        <f t="shared" si="28"/>
        <v/>
      </c>
      <c r="C118" s="50">
        <f>IF(D93="","-",+C117+1)</f>
        <v>2031</v>
      </c>
      <c r="D118" s="12">
        <f>IF(F117+SUM(E$99:E117)=D$92,F117,D$92-SUM(E$99:E117))</f>
        <v>496237.17736028472</v>
      </c>
      <c r="E118" s="378">
        <f t="shared" si="45"/>
        <v>17906.363636363636</v>
      </c>
      <c r="F118" s="55">
        <f t="shared" si="46"/>
        <v>478330.81372392108</v>
      </c>
      <c r="G118" s="55">
        <f t="shared" si="47"/>
        <v>487283.9955421029</v>
      </c>
      <c r="H118" s="380">
        <f t="shared" si="48"/>
        <v>78586.056094044048</v>
      </c>
      <c r="I118" s="399">
        <f t="shared" si="49"/>
        <v>78586.056094044048</v>
      </c>
      <c r="J118" s="54">
        <f t="shared" si="32"/>
        <v>0</v>
      </c>
      <c r="K118" s="54"/>
      <c r="L118" s="129"/>
      <c r="M118" s="54">
        <f t="shared" si="25"/>
        <v>0</v>
      </c>
      <c r="N118" s="129"/>
      <c r="O118" s="54">
        <f t="shared" si="26"/>
        <v>0</v>
      </c>
      <c r="P118" s="54">
        <f t="shared" si="27"/>
        <v>0</v>
      </c>
    </row>
    <row r="119" spans="2:16" ht="12.5">
      <c r="B119" s="7" t="str">
        <f t="shared" si="28"/>
        <v/>
      </c>
      <c r="C119" s="50">
        <f>IF(D93="","-",+C118+1)</f>
        <v>2032</v>
      </c>
      <c r="D119" s="12">
        <f>IF(F118+SUM(E$99:E118)=D$92,F118,D$92-SUM(E$99:E118))</f>
        <v>478330.81372392108</v>
      </c>
      <c r="E119" s="378">
        <f t="shared" si="45"/>
        <v>17906.363636363636</v>
      </c>
      <c r="F119" s="55">
        <f t="shared" si="46"/>
        <v>460424.45008755743</v>
      </c>
      <c r="G119" s="55">
        <f t="shared" si="47"/>
        <v>469377.63190573925</v>
      </c>
      <c r="H119" s="380">
        <f t="shared" si="48"/>
        <v>76356.242169453413</v>
      </c>
      <c r="I119" s="399">
        <f t="shared" si="49"/>
        <v>76356.242169453413</v>
      </c>
      <c r="J119" s="54">
        <f t="shared" si="32"/>
        <v>0</v>
      </c>
      <c r="K119" s="54"/>
      <c r="L119" s="129"/>
      <c r="M119" s="54">
        <f t="shared" si="25"/>
        <v>0</v>
      </c>
      <c r="N119" s="129"/>
      <c r="O119" s="54">
        <f t="shared" si="26"/>
        <v>0</v>
      </c>
      <c r="P119" s="54">
        <f t="shared" si="27"/>
        <v>0</v>
      </c>
    </row>
    <row r="120" spans="2:16" ht="12.5">
      <c r="B120" s="7" t="str">
        <f t="shared" si="28"/>
        <v/>
      </c>
      <c r="C120" s="50">
        <f>IF(D93="","-",+C119+1)</f>
        <v>2033</v>
      </c>
      <c r="D120" s="12">
        <f>IF(F119+SUM(E$99:E119)=D$92,F119,D$92-SUM(E$99:E119))</f>
        <v>460424.45008755743</v>
      </c>
      <c r="E120" s="378">
        <f t="shared" si="45"/>
        <v>17906.363636363636</v>
      </c>
      <c r="F120" s="55">
        <f t="shared" si="46"/>
        <v>442518.08645119378</v>
      </c>
      <c r="G120" s="55">
        <f t="shared" si="47"/>
        <v>451471.26826937561</v>
      </c>
      <c r="H120" s="380">
        <f t="shared" si="48"/>
        <v>74126.428244862793</v>
      </c>
      <c r="I120" s="399">
        <f t="shared" si="49"/>
        <v>74126.428244862793</v>
      </c>
      <c r="J120" s="54">
        <f t="shared" si="32"/>
        <v>0</v>
      </c>
      <c r="K120" s="54"/>
      <c r="L120" s="129"/>
      <c r="M120" s="54">
        <f t="shared" si="25"/>
        <v>0</v>
      </c>
      <c r="N120" s="129"/>
      <c r="O120" s="54">
        <f t="shared" si="26"/>
        <v>0</v>
      </c>
      <c r="P120" s="54">
        <f t="shared" si="27"/>
        <v>0</v>
      </c>
    </row>
    <row r="121" spans="2:16" ht="12.5">
      <c r="B121" s="7" t="str">
        <f t="shared" si="28"/>
        <v/>
      </c>
      <c r="C121" s="50">
        <f>IF(D93="","-",+C120+1)</f>
        <v>2034</v>
      </c>
      <c r="D121" s="12">
        <f>IF(F120+SUM(E$99:E120)=D$92,F120,D$92-SUM(E$99:E120))</f>
        <v>442518.08645119378</v>
      </c>
      <c r="E121" s="378">
        <f t="shared" si="45"/>
        <v>17906.363636363636</v>
      </c>
      <c r="F121" s="55">
        <f t="shared" si="46"/>
        <v>424611.72281483014</v>
      </c>
      <c r="G121" s="55">
        <f t="shared" si="47"/>
        <v>433564.90463301196</v>
      </c>
      <c r="H121" s="380">
        <f t="shared" si="48"/>
        <v>71896.614320272172</v>
      </c>
      <c r="I121" s="399">
        <f t="shared" si="49"/>
        <v>71896.614320272172</v>
      </c>
      <c r="J121" s="54">
        <f t="shared" si="32"/>
        <v>0</v>
      </c>
      <c r="K121" s="54"/>
      <c r="L121" s="129"/>
      <c r="M121" s="54">
        <f t="shared" si="25"/>
        <v>0</v>
      </c>
      <c r="N121" s="129"/>
      <c r="O121" s="54">
        <f t="shared" si="26"/>
        <v>0</v>
      </c>
      <c r="P121" s="54">
        <f t="shared" si="27"/>
        <v>0</v>
      </c>
    </row>
    <row r="122" spans="2:16" ht="12.5">
      <c r="B122" s="7" t="str">
        <f t="shared" si="28"/>
        <v/>
      </c>
      <c r="C122" s="50">
        <f>IF(D93="","-",+C121+1)</f>
        <v>2035</v>
      </c>
      <c r="D122" s="12">
        <f>IF(F121+SUM(E$99:E121)=D$92,F121,D$92-SUM(E$99:E121))</f>
        <v>424611.72281483014</v>
      </c>
      <c r="E122" s="378">
        <f t="shared" si="45"/>
        <v>17906.363636363636</v>
      </c>
      <c r="F122" s="55">
        <f t="shared" si="46"/>
        <v>406705.35917846649</v>
      </c>
      <c r="G122" s="55">
        <f t="shared" si="47"/>
        <v>415658.54099664831</v>
      </c>
      <c r="H122" s="380">
        <f t="shared" si="48"/>
        <v>69666.800395681537</v>
      </c>
      <c r="I122" s="399">
        <f t="shared" si="49"/>
        <v>69666.800395681537</v>
      </c>
      <c r="J122" s="54">
        <f t="shared" si="32"/>
        <v>0</v>
      </c>
      <c r="K122" s="54"/>
      <c r="L122" s="129"/>
      <c r="M122" s="54">
        <f t="shared" si="25"/>
        <v>0</v>
      </c>
      <c r="N122" s="129"/>
      <c r="O122" s="54">
        <f t="shared" si="26"/>
        <v>0</v>
      </c>
      <c r="P122" s="54">
        <f t="shared" si="27"/>
        <v>0</v>
      </c>
    </row>
    <row r="123" spans="2:16" ht="12.5">
      <c r="B123" s="7" t="str">
        <f t="shared" si="28"/>
        <v/>
      </c>
      <c r="C123" s="50">
        <f>IF(D93="","-",+C122+1)</f>
        <v>2036</v>
      </c>
      <c r="D123" s="12">
        <f>IF(F122+SUM(E$99:E122)=D$92,F122,D$92-SUM(E$99:E122))</f>
        <v>406705.35917846649</v>
      </c>
      <c r="E123" s="378">
        <f t="shared" si="45"/>
        <v>17906.363636363636</v>
      </c>
      <c r="F123" s="55">
        <f t="shared" si="46"/>
        <v>388798.99554210284</v>
      </c>
      <c r="G123" s="55">
        <f t="shared" si="47"/>
        <v>397752.17736028467</v>
      </c>
      <c r="H123" s="380">
        <f t="shared" si="48"/>
        <v>67436.986471090917</v>
      </c>
      <c r="I123" s="399">
        <f t="shared" si="49"/>
        <v>67436.986471090917</v>
      </c>
      <c r="J123" s="54">
        <f t="shared" si="32"/>
        <v>0</v>
      </c>
      <c r="K123" s="54"/>
      <c r="L123" s="129"/>
      <c r="M123" s="54">
        <f t="shared" si="25"/>
        <v>0</v>
      </c>
      <c r="N123" s="129"/>
      <c r="O123" s="54">
        <f t="shared" si="26"/>
        <v>0</v>
      </c>
      <c r="P123" s="54">
        <f t="shared" si="27"/>
        <v>0</v>
      </c>
    </row>
    <row r="124" spans="2:16" ht="12.5">
      <c r="B124" s="7" t="str">
        <f t="shared" si="28"/>
        <v/>
      </c>
      <c r="C124" s="50">
        <f>IF(D93="","-",+C123+1)</f>
        <v>2037</v>
      </c>
      <c r="D124" s="12">
        <f>IF(F123+SUM(E$99:E123)=D$92,F123,D$92-SUM(E$99:E123))</f>
        <v>388798.99554210284</v>
      </c>
      <c r="E124" s="378">
        <f t="shared" si="45"/>
        <v>17906.363636363636</v>
      </c>
      <c r="F124" s="55">
        <f t="shared" si="46"/>
        <v>370892.6319057392</v>
      </c>
      <c r="G124" s="55">
        <f t="shared" si="47"/>
        <v>379845.81372392102</v>
      </c>
      <c r="H124" s="380">
        <f t="shared" si="48"/>
        <v>65207.172546500282</v>
      </c>
      <c r="I124" s="399">
        <f t="shared" si="49"/>
        <v>65207.172546500282</v>
      </c>
      <c r="J124" s="54">
        <f t="shared" si="32"/>
        <v>0</v>
      </c>
      <c r="K124" s="54"/>
      <c r="L124" s="129"/>
      <c r="M124" s="54">
        <f t="shared" si="25"/>
        <v>0</v>
      </c>
      <c r="N124" s="129"/>
      <c r="O124" s="54">
        <f t="shared" si="26"/>
        <v>0</v>
      </c>
      <c r="P124" s="54">
        <f t="shared" si="27"/>
        <v>0</v>
      </c>
    </row>
    <row r="125" spans="2:16" ht="12.5">
      <c r="B125" s="7" t="str">
        <f t="shared" si="28"/>
        <v/>
      </c>
      <c r="C125" s="50">
        <f>IF(D93="","-",+C124+1)</f>
        <v>2038</v>
      </c>
      <c r="D125" s="12">
        <f>IF(F124+SUM(E$99:E124)=D$92,F124,D$92-SUM(E$99:E124))</f>
        <v>370892.6319057392</v>
      </c>
      <c r="E125" s="378">
        <f t="shared" si="45"/>
        <v>17906.363636363636</v>
      </c>
      <c r="F125" s="55">
        <f t="shared" si="46"/>
        <v>352986.26826937555</v>
      </c>
      <c r="G125" s="55">
        <f t="shared" si="47"/>
        <v>361939.45008755737</v>
      </c>
      <c r="H125" s="380">
        <f t="shared" si="48"/>
        <v>62977.358621909661</v>
      </c>
      <c r="I125" s="399">
        <f t="shared" si="49"/>
        <v>62977.358621909661</v>
      </c>
      <c r="J125" s="54">
        <f t="shared" si="32"/>
        <v>0</v>
      </c>
      <c r="K125" s="54"/>
      <c r="L125" s="129"/>
      <c r="M125" s="54">
        <f t="shared" si="25"/>
        <v>0</v>
      </c>
      <c r="N125" s="129"/>
      <c r="O125" s="54">
        <f t="shared" si="26"/>
        <v>0</v>
      </c>
      <c r="P125" s="54">
        <f t="shared" si="27"/>
        <v>0</v>
      </c>
    </row>
    <row r="126" spans="2:16" ht="12.5">
      <c r="B126" s="7" t="str">
        <f t="shared" si="28"/>
        <v/>
      </c>
      <c r="C126" s="50">
        <f>IF(D93="","-",+C125+1)</f>
        <v>2039</v>
      </c>
      <c r="D126" s="12">
        <f>IF(F125+SUM(E$99:E125)=D$92,F125,D$92-SUM(E$99:E125))</f>
        <v>352986.26826937555</v>
      </c>
      <c r="E126" s="378">
        <f t="shared" si="45"/>
        <v>17906.363636363636</v>
      </c>
      <c r="F126" s="55">
        <f t="shared" si="46"/>
        <v>335079.9046330119</v>
      </c>
      <c r="G126" s="55">
        <f t="shared" si="47"/>
        <v>344033.08645119373</v>
      </c>
      <c r="H126" s="380">
        <f t="shared" si="48"/>
        <v>60747.544697319026</v>
      </c>
      <c r="I126" s="399">
        <f t="shared" si="49"/>
        <v>60747.544697319026</v>
      </c>
      <c r="J126" s="54">
        <f t="shared" si="32"/>
        <v>0</v>
      </c>
      <c r="K126" s="54"/>
      <c r="L126" s="129"/>
      <c r="M126" s="54">
        <f t="shared" si="25"/>
        <v>0</v>
      </c>
      <c r="N126" s="129"/>
      <c r="O126" s="54">
        <f t="shared" si="26"/>
        <v>0</v>
      </c>
      <c r="P126" s="54">
        <f t="shared" si="27"/>
        <v>0</v>
      </c>
    </row>
    <row r="127" spans="2:16" ht="12.5">
      <c r="B127" s="7" t="str">
        <f t="shared" si="28"/>
        <v/>
      </c>
      <c r="C127" s="50">
        <f>IF(D93="","-",+C126+1)</f>
        <v>2040</v>
      </c>
      <c r="D127" s="12">
        <f>IF(F126+SUM(E$99:E126)=D$92,F126,D$92-SUM(E$99:E126))</f>
        <v>335079.9046330119</v>
      </c>
      <c r="E127" s="378">
        <f t="shared" si="45"/>
        <v>17906.363636363636</v>
      </c>
      <c r="F127" s="55">
        <f t="shared" si="46"/>
        <v>317173.54099664825</v>
      </c>
      <c r="G127" s="55">
        <f t="shared" si="47"/>
        <v>326126.72281483008</v>
      </c>
      <c r="H127" s="380">
        <f t="shared" si="48"/>
        <v>58517.730772728406</v>
      </c>
      <c r="I127" s="399">
        <f t="shared" si="49"/>
        <v>58517.730772728406</v>
      </c>
      <c r="J127" s="54">
        <f t="shared" si="32"/>
        <v>0</v>
      </c>
      <c r="K127" s="54"/>
      <c r="L127" s="129"/>
      <c r="M127" s="54">
        <f t="shared" si="25"/>
        <v>0</v>
      </c>
      <c r="N127" s="129"/>
      <c r="O127" s="54">
        <f t="shared" si="26"/>
        <v>0</v>
      </c>
      <c r="P127" s="54">
        <f t="shared" si="27"/>
        <v>0</v>
      </c>
    </row>
    <row r="128" spans="2:16" ht="12.5">
      <c r="B128" s="7" t="str">
        <f t="shared" si="28"/>
        <v/>
      </c>
      <c r="C128" s="50">
        <f>IF(D93="","-",+C127+1)</f>
        <v>2041</v>
      </c>
      <c r="D128" s="12">
        <f>IF(F127+SUM(E$99:E127)=D$92,F127,D$92-SUM(E$99:E127))</f>
        <v>317173.54099664825</v>
      </c>
      <c r="E128" s="378">
        <f t="shared" si="45"/>
        <v>17906.363636363636</v>
      </c>
      <c r="F128" s="55">
        <f t="shared" si="46"/>
        <v>299267.17736028461</v>
      </c>
      <c r="G128" s="55">
        <f t="shared" si="47"/>
        <v>308220.35917846643</v>
      </c>
      <c r="H128" s="380">
        <f t="shared" si="48"/>
        <v>56287.916848137786</v>
      </c>
      <c r="I128" s="399">
        <f t="shared" si="49"/>
        <v>56287.916848137786</v>
      </c>
      <c r="J128" s="54">
        <f t="shared" si="32"/>
        <v>0</v>
      </c>
      <c r="K128" s="54"/>
      <c r="L128" s="129"/>
      <c r="M128" s="54">
        <f t="shared" si="25"/>
        <v>0</v>
      </c>
      <c r="N128" s="129"/>
      <c r="O128" s="54">
        <f t="shared" si="26"/>
        <v>0</v>
      </c>
      <c r="P128" s="54">
        <f t="shared" si="27"/>
        <v>0</v>
      </c>
    </row>
    <row r="129" spans="2:16" ht="12.5">
      <c r="B129" s="7" t="str">
        <f t="shared" si="28"/>
        <v/>
      </c>
      <c r="C129" s="50">
        <f>IF(D93="","-",+C128+1)</f>
        <v>2042</v>
      </c>
      <c r="D129" s="12">
        <f>IF(F128+SUM(E$99:E128)=D$92,F128,D$92-SUM(E$99:E128))</f>
        <v>299267.17736028461</v>
      </c>
      <c r="E129" s="378">
        <f t="shared" si="45"/>
        <v>17906.363636363636</v>
      </c>
      <c r="F129" s="55">
        <f t="shared" si="46"/>
        <v>281360.81372392096</v>
      </c>
      <c r="G129" s="55">
        <f t="shared" si="47"/>
        <v>290313.99554210278</v>
      </c>
      <c r="H129" s="380">
        <f t="shared" si="48"/>
        <v>54058.102923547151</v>
      </c>
      <c r="I129" s="399">
        <f t="shared" si="49"/>
        <v>54058.102923547151</v>
      </c>
      <c r="J129" s="54">
        <f t="shared" si="32"/>
        <v>0</v>
      </c>
      <c r="K129" s="54"/>
      <c r="L129" s="129"/>
      <c r="M129" s="54">
        <f t="shared" si="25"/>
        <v>0</v>
      </c>
      <c r="N129" s="129"/>
      <c r="O129" s="54">
        <f t="shared" si="26"/>
        <v>0</v>
      </c>
      <c r="P129" s="54">
        <f t="shared" si="27"/>
        <v>0</v>
      </c>
    </row>
    <row r="130" spans="2:16" ht="12.5">
      <c r="B130" s="7" t="str">
        <f t="shared" si="28"/>
        <v/>
      </c>
      <c r="C130" s="50">
        <f>IF(D93="","-",+C129+1)</f>
        <v>2043</v>
      </c>
      <c r="D130" s="12">
        <f>IF(F129+SUM(E$99:E129)=D$92,F129,D$92-SUM(E$99:E129))</f>
        <v>281360.81372392096</v>
      </c>
      <c r="E130" s="378">
        <f t="shared" si="45"/>
        <v>17906.363636363636</v>
      </c>
      <c r="F130" s="55">
        <f t="shared" si="46"/>
        <v>263454.45008755731</v>
      </c>
      <c r="G130" s="55">
        <f t="shared" si="47"/>
        <v>272407.63190573914</v>
      </c>
      <c r="H130" s="380">
        <f t="shared" si="48"/>
        <v>51828.28899895653</v>
      </c>
      <c r="I130" s="399">
        <f t="shared" si="49"/>
        <v>51828.28899895653</v>
      </c>
      <c r="J130" s="54">
        <f t="shared" si="32"/>
        <v>0</v>
      </c>
      <c r="K130" s="54"/>
      <c r="L130" s="129"/>
      <c r="M130" s="54">
        <f t="shared" si="25"/>
        <v>0</v>
      </c>
      <c r="N130" s="129"/>
      <c r="O130" s="54">
        <f t="shared" si="26"/>
        <v>0</v>
      </c>
      <c r="P130" s="54">
        <f t="shared" si="27"/>
        <v>0</v>
      </c>
    </row>
    <row r="131" spans="2:16" ht="12.5">
      <c r="B131" s="7" t="str">
        <f t="shared" si="28"/>
        <v/>
      </c>
      <c r="C131" s="50">
        <f>IF(D93="","-",+C130+1)</f>
        <v>2044</v>
      </c>
      <c r="D131" s="12">
        <f>IF(F130+SUM(E$99:E130)=D$92,F130,D$92-SUM(E$99:E130))</f>
        <v>263454.45008755731</v>
      </c>
      <c r="E131" s="378">
        <f t="shared" si="45"/>
        <v>17906.363636363636</v>
      </c>
      <c r="F131" s="55">
        <f t="shared" si="46"/>
        <v>245548.08645119367</v>
      </c>
      <c r="G131" s="55">
        <f t="shared" si="47"/>
        <v>254501.26826937549</v>
      </c>
      <c r="H131" s="380">
        <f t="shared" si="48"/>
        <v>49598.475074365895</v>
      </c>
      <c r="I131" s="399">
        <f t="shared" si="49"/>
        <v>49598.475074365895</v>
      </c>
      <c r="J131" s="54">
        <f t="shared" si="32"/>
        <v>0</v>
      </c>
      <c r="K131" s="54"/>
      <c r="L131" s="129"/>
      <c r="M131" s="54">
        <f t="shared" ref="M131:M154" si="50">IF(L541&lt;&gt;0,+H541-L541,0)</f>
        <v>0</v>
      </c>
      <c r="N131" s="129"/>
      <c r="O131" s="54">
        <f t="shared" ref="O131:O154" si="51">IF(N541&lt;&gt;0,+I541-N541,0)</f>
        <v>0</v>
      </c>
      <c r="P131" s="54">
        <f t="shared" ref="P131:P154" si="52">+O541-M541</f>
        <v>0</v>
      </c>
    </row>
    <row r="132" spans="2:16" ht="12.5">
      <c r="B132" s="7" t="str">
        <f t="shared" si="28"/>
        <v/>
      </c>
      <c r="C132" s="50">
        <f>IF(D93="","-",+C131+1)</f>
        <v>2045</v>
      </c>
      <c r="D132" s="12">
        <f>IF(F131+SUM(E$99:E131)=D$92,F131,D$92-SUM(E$99:E131))</f>
        <v>245548.08645119367</v>
      </c>
      <c r="E132" s="378">
        <f t="shared" si="45"/>
        <v>17906.363636363636</v>
      </c>
      <c r="F132" s="55">
        <f t="shared" si="46"/>
        <v>227641.72281483002</v>
      </c>
      <c r="G132" s="55">
        <f t="shared" si="47"/>
        <v>236594.90463301184</v>
      </c>
      <c r="H132" s="380">
        <f t="shared" si="48"/>
        <v>47368.661149775275</v>
      </c>
      <c r="I132" s="399">
        <f t="shared" si="49"/>
        <v>47368.661149775275</v>
      </c>
      <c r="J132" s="54">
        <f t="shared" si="32"/>
        <v>0</v>
      </c>
      <c r="K132" s="54"/>
      <c r="L132" s="129"/>
      <c r="M132" s="54">
        <f t="shared" si="50"/>
        <v>0</v>
      </c>
      <c r="N132" s="129"/>
      <c r="O132" s="54">
        <f t="shared" si="51"/>
        <v>0</v>
      </c>
      <c r="P132" s="54">
        <f t="shared" si="52"/>
        <v>0</v>
      </c>
    </row>
    <row r="133" spans="2:16" ht="12.5">
      <c r="B133" s="7" t="str">
        <f t="shared" si="28"/>
        <v/>
      </c>
      <c r="C133" s="50">
        <f>IF(D93="","-",+C132+1)</f>
        <v>2046</v>
      </c>
      <c r="D133" s="12">
        <f>IF(F132+SUM(E$99:E132)=D$92,F132,D$92-SUM(E$99:E132))</f>
        <v>227641.72281483002</v>
      </c>
      <c r="E133" s="378">
        <f t="shared" si="45"/>
        <v>17906.363636363636</v>
      </c>
      <c r="F133" s="55">
        <f t="shared" si="46"/>
        <v>209735.35917846637</v>
      </c>
      <c r="G133" s="55">
        <f t="shared" si="47"/>
        <v>218688.5409966482</v>
      </c>
      <c r="H133" s="380">
        <f t="shared" si="48"/>
        <v>45138.84722518464</v>
      </c>
      <c r="I133" s="399">
        <f t="shared" si="49"/>
        <v>45138.84722518464</v>
      </c>
      <c r="J133" s="54">
        <f t="shared" si="32"/>
        <v>0</v>
      </c>
      <c r="K133" s="54"/>
      <c r="L133" s="129"/>
      <c r="M133" s="54">
        <f t="shared" si="50"/>
        <v>0</v>
      </c>
      <c r="N133" s="129"/>
      <c r="O133" s="54">
        <f t="shared" si="51"/>
        <v>0</v>
      </c>
      <c r="P133" s="54">
        <f t="shared" si="52"/>
        <v>0</v>
      </c>
    </row>
    <row r="134" spans="2:16" ht="12.5">
      <c r="B134" s="7" t="str">
        <f t="shared" si="28"/>
        <v/>
      </c>
      <c r="C134" s="50">
        <f>IF(D93="","-",+C133+1)</f>
        <v>2047</v>
      </c>
      <c r="D134" s="12">
        <f>IF(F133+SUM(E$99:E133)=D$92,F133,D$92-SUM(E$99:E133))</f>
        <v>209735.35917846637</v>
      </c>
      <c r="E134" s="378">
        <f t="shared" si="45"/>
        <v>17906.363636363636</v>
      </c>
      <c r="F134" s="55">
        <f t="shared" si="46"/>
        <v>191828.99554210273</v>
      </c>
      <c r="G134" s="55">
        <f t="shared" si="47"/>
        <v>200782.17736028455</v>
      </c>
      <c r="H134" s="380">
        <f t="shared" si="48"/>
        <v>42909.033300594019</v>
      </c>
      <c r="I134" s="399">
        <f t="shared" si="49"/>
        <v>42909.033300594019</v>
      </c>
      <c r="J134" s="54">
        <f t="shared" si="32"/>
        <v>0</v>
      </c>
      <c r="K134" s="54"/>
      <c r="L134" s="129"/>
      <c r="M134" s="54">
        <f t="shared" si="50"/>
        <v>0</v>
      </c>
      <c r="N134" s="129"/>
      <c r="O134" s="54">
        <f t="shared" si="51"/>
        <v>0</v>
      </c>
      <c r="P134" s="54">
        <f t="shared" si="52"/>
        <v>0</v>
      </c>
    </row>
    <row r="135" spans="2:16" ht="12.5">
      <c r="B135" s="7" t="str">
        <f t="shared" si="28"/>
        <v/>
      </c>
      <c r="C135" s="50">
        <f>IF(D93="","-",+C134+1)</f>
        <v>2048</v>
      </c>
      <c r="D135" s="12">
        <f>IF(F134+SUM(E$99:E134)=D$92,F134,D$92-SUM(E$99:E134))</f>
        <v>191828.99554210273</v>
      </c>
      <c r="E135" s="378">
        <f t="shared" si="45"/>
        <v>17906.363636363636</v>
      </c>
      <c r="F135" s="55">
        <f t="shared" si="46"/>
        <v>173922.63190573908</v>
      </c>
      <c r="G135" s="55">
        <f t="shared" si="47"/>
        <v>182875.8137239209</v>
      </c>
      <c r="H135" s="380">
        <f t="shared" si="48"/>
        <v>40679.219376003392</v>
      </c>
      <c r="I135" s="399">
        <f t="shared" si="49"/>
        <v>40679.219376003392</v>
      </c>
      <c r="J135" s="54">
        <f t="shared" si="32"/>
        <v>0</v>
      </c>
      <c r="K135" s="54"/>
      <c r="L135" s="129"/>
      <c r="M135" s="54">
        <f t="shared" si="50"/>
        <v>0</v>
      </c>
      <c r="N135" s="129"/>
      <c r="O135" s="54">
        <f t="shared" si="51"/>
        <v>0</v>
      </c>
      <c r="P135" s="54">
        <f t="shared" si="52"/>
        <v>0</v>
      </c>
    </row>
    <row r="136" spans="2:16" ht="12.5">
      <c r="B136" s="7" t="str">
        <f t="shared" si="28"/>
        <v/>
      </c>
      <c r="C136" s="50">
        <f>IF(D93="","-",+C135+1)</f>
        <v>2049</v>
      </c>
      <c r="D136" s="12">
        <f>IF(F135+SUM(E$99:E135)=D$92,F135,D$92-SUM(E$99:E135))</f>
        <v>173922.63190573908</v>
      </c>
      <c r="E136" s="378">
        <f t="shared" si="45"/>
        <v>17906.363636363636</v>
      </c>
      <c r="F136" s="55">
        <f t="shared" si="46"/>
        <v>156016.26826937543</v>
      </c>
      <c r="G136" s="55">
        <f t="shared" si="47"/>
        <v>164969.45008755726</v>
      </c>
      <c r="H136" s="380">
        <f t="shared" si="48"/>
        <v>38449.405451412764</v>
      </c>
      <c r="I136" s="399">
        <f t="shared" si="49"/>
        <v>38449.405451412764</v>
      </c>
      <c r="J136" s="54">
        <f t="shared" si="32"/>
        <v>0</v>
      </c>
      <c r="K136" s="54"/>
      <c r="L136" s="129"/>
      <c r="M136" s="54">
        <f t="shared" si="50"/>
        <v>0</v>
      </c>
      <c r="N136" s="129"/>
      <c r="O136" s="54">
        <f t="shared" si="51"/>
        <v>0</v>
      </c>
      <c r="P136" s="54">
        <f t="shared" si="52"/>
        <v>0</v>
      </c>
    </row>
    <row r="137" spans="2:16" ht="12.5">
      <c r="B137" s="7" t="str">
        <f t="shared" si="28"/>
        <v/>
      </c>
      <c r="C137" s="50">
        <f>IF(D93="","-",+C136+1)</f>
        <v>2050</v>
      </c>
      <c r="D137" s="12">
        <f>IF(F136+SUM(E$99:E136)=D$92,F136,D$92-SUM(E$99:E136))</f>
        <v>156016.26826937543</v>
      </c>
      <c r="E137" s="378">
        <f t="shared" si="45"/>
        <v>17906.363636363636</v>
      </c>
      <c r="F137" s="55">
        <f t="shared" si="46"/>
        <v>138109.90463301179</v>
      </c>
      <c r="G137" s="55">
        <f t="shared" si="47"/>
        <v>147063.08645119361</v>
      </c>
      <c r="H137" s="380">
        <f t="shared" si="48"/>
        <v>36219.591526822136</v>
      </c>
      <c r="I137" s="399">
        <f t="shared" si="49"/>
        <v>36219.591526822136</v>
      </c>
      <c r="J137" s="54">
        <f t="shared" si="32"/>
        <v>0</v>
      </c>
      <c r="K137" s="54"/>
      <c r="L137" s="129"/>
      <c r="M137" s="54">
        <f t="shared" si="50"/>
        <v>0</v>
      </c>
      <c r="N137" s="129"/>
      <c r="O137" s="54">
        <f t="shared" si="51"/>
        <v>0</v>
      </c>
      <c r="P137" s="54">
        <f t="shared" si="52"/>
        <v>0</v>
      </c>
    </row>
    <row r="138" spans="2:16" ht="12.5">
      <c r="B138" s="7" t="str">
        <f t="shared" si="28"/>
        <v/>
      </c>
      <c r="C138" s="50">
        <f>IF(D93="","-",+C137+1)</f>
        <v>2051</v>
      </c>
      <c r="D138" s="12">
        <f>IF(F137+SUM(E$99:E137)=D$92,F137,D$92-SUM(E$99:E137))</f>
        <v>138109.90463301179</v>
      </c>
      <c r="E138" s="378">
        <f t="shared" si="45"/>
        <v>17906.363636363636</v>
      </c>
      <c r="F138" s="55">
        <f t="shared" si="46"/>
        <v>120203.54099664815</v>
      </c>
      <c r="G138" s="55">
        <f t="shared" si="47"/>
        <v>129156.72281482996</v>
      </c>
      <c r="H138" s="380">
        <f t="shared" si="48"/>
        <v>33989.777602231508</v>
      </c>
      <c r="I138" s="399">
        <f t="shared" si="49"/>
        <v>33989.777602231508</v>
      </c>
      <c r="J138" s="54">
        <f t="shared" si="32"/>
        <v>0</v>
      </c>
      <c r="K138" s="54"/>
      <c r="L138" s="129"/>
      <c r="M138" s="54">
        <f t="shared" si="50"/>
        <v>0</v>
      </c>
      <c r="N138" s="129"/>
      <c r="O138" s="54">
        <f t="shared" si="51"/>
        <v>0</v>
      </c>
      <c r="P138" s="54">
        <f t="shared" si="52"/>
        <v>0</v>
      </c>
    </row>
    <row r="139" spans="2:16" ht="12.5">
      <c r="B139" s="7" t="str">
        <f t="shared" si="28"/>
        <v/>
      </c>
      <c r="C139" s="50">
        <f>IF(D93="","-",+C138+1)</f>
        <v>2052</v>
      </c>
      <c r="D139" s="12">
        <f>IF(F138+SUM(E$99:E138)=D$92,F138,D$92-SUM(E$99:E138))</f>
        <v>120203.54099664815</v>
      </c>
      <c r="E139" s="378">
        <f t="shared" si="45"/>
        <v>17906.363636363636</v>
      </c>
      <c r="F139" s="55">
        <f t="shared" si="46"/>
        <v>102297.17736028452</v>
      </c>
      <c r="G139" s="55">
        <f t="shared" si="47"/>
        <v>111250.35917846634</v>
      </c>
      <c r="H139" s="380">
        <f t="shared" si="48"/>
        <v>31759.963677640888</v>
      </c>
      <c r="I139" s="399">
        <f t="shared" si="49"/>
        <v>31759.963677640888</v>
      </c>
      <c r="J139" s="54">
        <f t="shared" si="32"/>
        <v>0</v>
      </c>
      <c r="K139" s="54"/>
      <c r="L139" s="129"/>
      <c r="M139" s="54">
        <f t="shared" si="50"/>
        <v>0</v>
      </c>
      <c r="N139" s="129"/>
      <c r="O139" s="54">
        <f t="shared" si="51"/>
        <v>0</v>
      </c>
      <c r="P139" s="54">
        <f t="shared" si="52"/>
        <v>0</v>
      </c>
    </row>
    <row r="140" spans="2:16" ht="12.5">
      <c r="B140" s="7" t="str">
        <f t="shared" si="28"/>
        <v/>
      </c>
      <c r="C140" s="50">
        <f>IF(D93="","-",+C139+1)</f>
        <v>2053</v>
      </c>
      <c r="D140" s="12">
        <f>IF(F139+SUM(E$99:E139)=D$92,F139,D$92-SUM(E$99:E139))</f>
        <v>102297.17736028452</v>
      </c>
      <c r="E140" s="378">
        <f t="shared" si="45"/>
        <v>17906.363636363636</v>
      </c>
      <c r="F140" s="55">
        <f t="shared" si="46"/>
        <v>84390.813723920888</v>
      </c>
      <c r="G140" s="55">
        <f t="shared" si="47"/>
        <v>93343.995542102697</v>
      </c>
      <c r="H140" s="380">
        <f t="shared" si="48"/>
        <v>29530.14975305026</v>
      </c>
      <c r="I140" s="399">
        <f t="shared" si="49"/>
        <v>29530.14975305026</v>
      </c>
      <c r="J140" s="54">
        <f t="shared" si="32"/>
        <v>0</v>
      </c>
      <c r="K140" s="54"/>
      <c r="L140" s="129"/>
      <c r="M140" s="54">
        <f t="shared" si="50"/>
        <v>0</v>
      </c>
      <c r="N140" s="129"/>
      <c r="O140" s="54">
        <f t="shared" si="51"/>
        <v>0</v>
      </c>
      <c r="P140" s="54">
        <f t="shared" si="52"/>
        <v>0</v>
      </c>
    </row>
    <row r="141" spans="2:16" ht="12.5">
      <c r="B141" s="7" t="str">
        <f t="shared" si="28"/>
        <v/>
      </c>
      <c r="C141" s="50">
        <f>IF(D93="","-",+C140+1)</f>
        <v>2054</v>
      </c>
      <c r="D141" s="12">
        <f>IF(F140+SUM(E$99:E140)=D$92,F140,D$92-SUM(E$99:E140))</f>
        <v>84390.813723920888</v>
      </c>
      <c r="E141" s="378">
        <f t="shared" si="45"/>
        <v>17906.363636363636</v>
      </c>
      <c r="F141" s="55">
        <f t="shared" si="46"/>
        <v>66484.450087557256</v>
      </c>
      <c r="G141" s="55">
        <f t="shared" si="47"/>
        <v>75437.631905739079</v>
      </c>
      <c r="H141" s="380">
        <f t="shared" si="48"/>
        <v>27300.33582845964</v>
      </c>
      <c r="I141" s="399">
        <f t="shared" si="49"/>
        <v>27300.33582845964</v>
      </c>
      <c r="J141" s="54">
        <f t="shared" si="32"/>
        <v>0</v>
      </c>
      <c r="K141" s="54"/>
      <c r="L141" s="129"/>
      <c r="M141" s="54">
        <f t="shared" si="50"/>
        <v>0</v>
      </c>
      <c r="N141" s="129"/>
      <c r="O141" s="54">
        <f t="shared" si="51"/>
        <v>0</v>
      </c>
      <c r="P141" s="54">
        <f t="shared" si="52"/>
        <v>0</v>
      </c>
    </row>
    <row r="142" spans="2:16" ht="12.5">
      <c r="B142" s="7" t="str">
        <f t="shared" si="28"/>
        <v/>
      </c>
      <c r="C142" s="50">
        <f>IF(D93="","-",+C141+1)</f>
        <v>2055</v>
      </c>
      <c r="D142" s="12">
        <f>IF(F141+SUM(E$99:E141)=D$92,F141,D$92-SUM(E$99:E141))</f>
        <v>66484.450087557256</v>
      </c>
      <c r="E142" s="378">
        <f t="shared" si="45"/>
        <v>17906.363636363636</v>
      </c>
      <c r="F142" s="55">
        <f t="shared" si="46"/>
        <v>48578.086451193623</v>
      </c>
      <c r="G142" s="55">
        <f t="shared" si="47"/>
        <v>57531.26826937544</v>
      </c>
      <c r="H142" s="380">
        <f t="shared" si="48"/>
        <v>25070.521903869012</v>
      </c>
      <c r="I142" s="399">
        <f t="shared" si="49"/>
        <v>25070.521903869012</v>
      </c>
      <c r="J142" s="54">
        <f t="shared" si="32"/>
        <v>0</v>
      </c>
      <c r="K142" s="54"/>
      <c r="L142" s="129"/>
      <c r="M142" s="54">
        <f t="shared" si="50"/>
        <v>0</v>
      </c>
      <c r="N142" s="129"/>
      <c r="O142" s="54">
        <f t="shared" si="51"/>
        <v>0</v>
      </c>
      <c r="P142" s="54">
        <f t="shared" si="52"/>
        <v>0</v>
      </c>
    </row>
    <row r="143" spans="2:16" ht="12.5">
      <c r="B143" s="7" t="str">
        <f t="shared" si="28"/>
        <v/>
      </c>
      <c r="C143" s="50">
        <f>IF(D93="","-",+C142+1)</f>
        <v>2056</v>
      </c>
      <c r="D143" s="12">
        <f>IF(F142+SUM(E$99:E142)=D$92,F142,D$92-SUM(E$99:E142))</f>
        <v>48578.086451193623</v>
      </c>
      <c r="E143" s="378">
        <f t="shared" si="45"/>
        <v>17906.363636363636</v>
      </c>
      <c r="F143" s="55">
        <f t="shared" si="46"/>
        <v>30671.722814829987</v>
      </c>
      <c r="G143" s="55">
        <f t="shared" si="47"/>
        <v>39624.904633011807</v>
      </c>
      <c r="H143" s="380">
        <f t="shared" si="48"/>
        <v>22840.707979278388</v>
      </c>
      <c r="I143" s="399">
        <f t="shared" si="49"/>
        <v>22840.707979278388</v>
      </c>
      <c r="J143" s="54">
        <f t="shared" si="32"/>
        <v>0</v>
      </c>
      <c r="K143" s="54"/>
      <c r="L143" s="129"/>
      <c r="M143" s="54">
        <f t="shared" si="50"/>
        <v>0</v>
      </c>
      <c r="N143" s="129"/>
      <c r="O143" s="54">
        <f t="shared" si="51"/>
        <v>0</v>
      </c>
      <c r="P143" s="54">
        <f t="shared" si="52"/>
        <v>0</v>
      </c>
    </row>
    <row r="144" spans="2:16" ht="12.5">
      <c r="B144" s="7" t="str">
        <f t="shared" si="28"/>
        <v/>
      </c>
      <c r="C144" s="50">
        <f>IF(D93="","-",+C143+1)</f>
        <v>2057</v>
      </c>
      <c r="D144" s="12">
        <f>IF(F143+SUM(E$99:E143)=D$92,F143,D$92-SUM(E$99:E143))</f>
        <v>30671.722814829987</v>
      </c>
      <c r="E144" s="378">
        <f t="shared" si="45"/>
        <v>17906.363636363636</v>
      </c>
      <c r="F144" s="55">
        <f t="shared" si="46"/>
        <v>12765.359178466351</v>
      </c>
      <c r="G144" s="55">
        <f t="shared" si="47"/>
        <v>21718.540996648167</v>
      </c>
      <c r="H144" s="380">
        <f t="shared" si="48"/>
        <v>20610.89405468776</v>
      </c>
      <c r="I144" s="399">
        <f t="shared" si="49"/>
        <v>20610.89405468776</v>
      </c>
      <c r="J144" s="54">
        <f t="shared" si="32"/>
        <v>0</v>
      </c>
      <c r="K144" s="54"/>
      <c r="L144" s="129"/>
      <c r="M144" s="54">
        <f t="shared" si="50"/>
        <v>0</v>
      </c>
      <c r="N144" s="129"/>
      <c r="O144" s="54">
        <f t="shared" si="51"/>
        <v>0</v>
      </c>
      <c r="P144" s="54">
        <f t="shared" si="52"/>
        <v>0</v>
      </c>
    </row>
    <row r="145" spans="2:16" ht="12.5">
      <c r="B145" s="7" t="str">
        <f t="shared" si="28"/>
        <v/>
      </c>
      <c r="C145" s="50">
        <f>IF(D93="","-",+C144+1)</f>
        <v>2058</v>
      </c>
      <c r="D145" s="12">
        <f>IF(F144+SUM(E$99:E144)=D$92,F144,D$92-SUM(E$99:E144))</f>
        <v>12765.359178466351</v>
      </c>
      <c r="E145" s="378">
        <f t="shared" si="45"/>
        <v>12765.359178466351</v>
      </c>
      <c r="F145" s="55">
        <f t="shared" si="46"/>
        <v>0</v>
      </c>
      <c r="G145" s="55">
        <f t="shared" si="47"/>
        <v>6382.6795892331756</v>
      </c>
      <c r="H145" s="380">
        <f t="shared" si="48"/>
        <v>13560.170906480758</v>
      </c>
      <c r="I145" s="399">
        <f t="shared" si="49"/>
        <v>13560.170906480758</v>
      </c>
      <c r="J145" s="54">
        <f t="shared" si="32"/>
        <v>0</v>
      </c>
      <c r="K145" s="54"/>
      <c r="L145" s="129"/>
      <c r="M145" s="54">
        <f t="shared" si="50"/>
        <v>0</v>
      </c>
      <c r="N145" s="129"/>
      <c r="O145" s="54">
        <f t="shared" si="51"/>
        <v>0</v>
      </c>
      <c r="P145" s="54">
        <f t="shared" si="52"/>
        <v>0</v>
      </c>
    </row>
    <row r="146" spans="2:16" ht="12.5">
      <c r="B146" s="7" t="str">
        <f t="shared" si="28"/>
        <v/>
      </c>
      <c r="C146" s="50">
        <f>IF(D93="","-",+C145+1)</f>
        <v>2059</v>
      </c>
      <c r="D146" s="12">
        <f>IF(F145+SUM(E$99:E145)=D$92,F145,D$92-SUM(E$99:E145))</f>
        <v>0</v>
      </c>
      <c r="E146" s="378">
        <f t="shared" si="45"/>
        <v>0</v>
      </c>
      <c r="F146" s="55">
        <f t="shared" si="46"/>
        <v>0</v>
      </c>
      <c r="G146" s="55">
        <f t="shared" si="47"/>
        <v>0</v>
      </c>
      <c r="H146" s="380">
        <f t="shared" si="48"/>
        <v>0</v>
      </c>
      <c r="I146" s="399">
        <f t="shared" si="49"/>
        <v>0</v>
      </c>
      <c r="J146" s="54">
        <f t="shared" si="32"/>
        <v>0</v>
      </c>
      <c r="K146" s="54"/>
      <c r="L146" s="129"/>
      <c r="M146" s="54">
        <f t="shared" si="50"/>
        <v>0</v>
      </c>
      <c r="N146" s="129"/>
      <c r="O146" s="54">
        <f t="shared" si="51"/>
        <v>0</v>
      </c>
      <c r="P146" s="54">
        <f t="shared" si="52"/>
        <v>0</v>
      </c>
    </row>
    <row r="147" spans="2:16" ht="12.5">
      <c r="B147" s="7" t="str">
        <f t="shared" si="28"/>
        <v/>
      </c>
      <c r="C147" s="50">
        <f>IF(D93="","-",+C146+1)</f>
        <v>2060</v>
      </c>
      <c r="D147" s="12">
        <f>IF(F146+SUM(E$99:E146)=D$92,F146,D$92-SUM(E$99:E146))</f>
        <v>0</v>
      </c>
      <c r="E147" s="378">
        <f t="shared" si="45"/>
        <v>0</v>
      </c>
      <c r="F147" s="55">
        <f t="shared" si="46"/>
        <v>0</v>
      </c>
      <c r="G147" s="55">
        <f t="shared" si="47"/>
        <v>0</v>
      </c>
      <c r="H147" s="380">
        <f t="shared" si="48"/>
        <v>0</v>
      </c>
      <c r="I147" s="399">
        <f t="shared" si="49"/>
        <v>0</v>
      </c>
      <c r="J147" s="54">
        <f t="shared" si="32"/>
        <v>0</v>
      </c>
      <c r="K147" s="54"/>
      <c r="L147" s="129"/>
      <c r="M147" s="54">
        <f t="shared" si="50"/>
        <v>0</v>
      </c>
      <c r="N147" s="129"/>
      <c r="O147" s="54">
        <f t="shared" si="51"/>
        <v>0</v>
      </c>
      <c r="P147" s="54">
        <f t="shared" si="52"/>
        <v>0</v>
      </c>
    </row>
    <row r="148" spans="2:16" ht="12.5">
      <c r="B148" s="7" t="str">
        <f t="shared" si="28"/>
        <v/>
      </c>
      <c r="C148" s="50">
        <f>IF(D93="","-",+C147+1)</f>
        <v>2061</v>
      </c>
      <c r="D148" s="12">
        <f>IF(F147+SUM(E$99:E147)=D$92,F147,D$92-SUM(E$99:E147))</f>
        <v>0</v>
      </c>
      <c r="E148" s="378">
        <f t="shared" si="45"/>
        <v>0</v>
      </c>
      <c r="F148" s="55">
        <f t="shared" si="46"/>
        <v>0</v>
      </c>
      <c r="G148" s="55">
        <f t="shared" si="47"/>
        <v>0</v>
      </c>
      <c r="H148" s="380">
        <f t="shared" si="48"/>
        <v>0</v>
      </c>
      <c r="I148" s="399">
        <f t="shared" si="49"/>
        <v>0</v>
      </c>
      <c r="J148" s="54">
        <f t="shared" si="32"/>
        <v>0</v>
      </c>
      <c r="K148" s="54"/>
      <c r="L148" s="129"/>
      <c r="M148" s="54">
        <f t="shared" si="50"/>
        <v>0</v>
      </c>
      <c r="N148" s="129"/>
      <c r="O148" s="54">
        <f t="shared" si="51"/>
        <v>0</v>
      </c>
      <c r="P148" s="54">
        <f t="shared" si="52"/>
        <v>0</v>
      </c>
    </row>
    <row r="149" spans="2:16" ht="12.5">
      <c r="B149" s="7" t="str">
        <f t="shared" si="28"/>
        <v/>
      </c>
      <c r="C149" s="50">
        <f>IF(D93="","-",+C148+1)</f>
        <v>2062</v>
      </c>
      <c r="D149" s="12">
        <f>IF(F148+SUM(E$99:E148)=D$92,F148,D$92-SUM(E$99:E148))</f>
        <v>0</v>
      </c>
      <c r="E149" s="378">
        <f t="shared" si="45"/>
        <v>0</v>
      </c>
      <c r="F149" s="55">
        <f t="shared" si="46"/>
        <v>0</v>
      </c>
      <c r="G149" s="55">
        <f t="shared" si="47"/>
        <v>0</v>
      </c>
      <c r="H149" s="380">
        <f t="shared" si="48"/>
        <v>0</v>
      </c>
      <c r="I149" s="399">
        <f t="shared" si="49"/>
        <v>0</v>
      </c>
      <c r="J149" s="54">
        <f t="shared" si="32"/>
        <v>0</v>
      </c>
      <c r="K149" s="54"/>
      <c r="L149" s="129"/>
      <c r="M149" s="54">
        <f t="shared" si="50"/>
        <v>0</v>
      </c>
      <c r="N149" s="129"/>
      <c r="O149" s="54">
        <f t="shared" si="51"/>
        <v>0</v>
      </c>
      <c r="P149" s="54">
        <f t="shared" si="52"/>
        <v>0</v>
      </c>
    </row>
    <row r="150" spans="2:16" ht="12.5">
      <c r="B150" s="7" t="str">
        <f t="shared" si="28"/>
        <v/>
      </c>
      <c r="C150" s="50">
        <f>IF(D93="","-",+C149+1)</f>
        <v>2063</v>
      </c>
      <c r="D150" s="12">
        <f>IF(F149+SUM(E$99:E149)=D$92,F149,D$92-SUM(E$99:E149))</f>
        <v>0</v>
      </c>
      <c r="E150" s="378">
        <f t="shared" si="45"/>
        <v>0</v>
      </c>
      <c r="F150" s="55">
        <f t="shared" si="46"/>
        <v>0</v>
      </c>
      <c r="G150" s="55">
        <f t="shared" si="47"/>
        <v>0</v>
      </c>
      <c r="H150" s="380">
        <f t="shared" si="48"/>
        <v>0</v>
      </c>
      <c r="I150" s="399">
        <f t="shared" si="49"/>
        <v>0</v>
      </c>
      <c r="J150" s="54">
        <f t="shared" si="32"/>
        <v>0</v>
      </c>
      <c r="K150" s="54"/>
      <c r="L150" s="129"/>
      <c r="M150" s="54">
        <f t="shared" si="50"/>
        <v>0</v>
      </c>
      <c r="N150" s="129"/>
      <c r="O150" s="54">
        <f t="shared" si="51"/>
        <v>0</v>
      </c>
      <c r="P150" s="54">
        <f t="shared" si="52"/>
        <v>0</v>
      </c>
    </row>
    <row r="151" spans="2:16" ht="12.5">
      <c r="B151" s="7" t="str">
        <f t="shared" si="28"/>
        <v/>
      </c>
      <c r="C151" s="50">
        <f>IF(D93="","-",+C150+1)</f>
        <v>2064</v>
      </c>
      <c r="D151" s="12">
        <f>IF(F150+SUM(E$99:E150)=D$92,F150,D$92-SUM(E$99:E150))</f>
        <v>0</v>
      </c>
      <c r="E151" s="378">
        <f t="shared" si="45"/>
        <v>0</v>
      </c>
      <c r="F151" s="55">
        <f t="shared" si="46"/>
        <v>0</v>
      </c>
      <c r="G151" s="55">
        <f t="shared" si="47"/>
        <v>0</v>
      </c>
      <c r="H151" s="380">
        <f t="shared" si="48"/>
        <v>0</v>
      </c>
      <c r="I151" s="399">
        <f t="shared" si="49"/>
        <v>0</v>
      </c>
      <c r="J151" s="54">
        <f t="shared" si="32"/>
        <v>0</v>
      </c>
      <c r="K151" s="54"/>
      <c r="L151" s="129"/>
      <c r="M151" s="54">
        <f t="shared" si="50"/>
        <v>0</v>
      </c>
      <c r="N151" s="129"/>
      <c r="O151" s="54">
        <f t="shared" si="51"/>
        <v>0</v>
      </c>
      <c r="P151" s="54">
        <f t="shared" si="52"/>
        <v>0</v>
      </c>
    </row>
    <row r="152" spans="2:16" ht="12.5">
      <c r="B152" s="7" t="str">
        <f t="shared" si="28"/>
        <v/>
      </c>
      <c r="C152" s="50">
        <f>IF(D93="","-",+C151+1)</f>
        <v>2065</v>
      </c>
      <c r="D152" s="12">
        <f>IF(F151+SUM(E$99:E151)=D$92,F151,D$92-SUM(E$99:E151))</f>
        <v>0</v>
      </c>
      <c r="E152" s="378">
        <f t="shared" si="45"/>
        <v>0</v>
      </c>
      <c r="F152" s="55">
        <f t="shared" si="46"/>
        <v>0</v>
      </c>
      <c r="G152" s="55">
        <f t="shared" si="47"/>
        <v>0</v>
      </c>
      <c r="H152" s="380">
        <f t="shared" si="48"/>
        <v>0</v>
      </c>
      <c r="I152" s="399">
        <f t="shared" si="49"/>
        <v>0</v>
      </c>
      <c r="J152" s="54">
        <f t="shared" si="32"/>
        <v>0</v>
      </c>
      <c r="K152" s="54"/>
      <c r="L152" s="129"/>
      <c r="M152" s="54">
        <f t="shared" si="50"/>
        <v>0</v>
      </c>
      <c r="N152" s="129"/>
      <c r="O152" s="54">
        <f t="shared" si="51"/>
        <v>0</v>
      </c>
      <c r="P152" s="54">
        <f t="shared" si="52"/>
        <v>0</v>
      </c>
    </row>
    <row r="153" spans="2:16" ht="12.5">
      <c r="B153" s="7" t="str">
        <f t="shared" si="28"/>
        <v/>
      </c>
      <c r="C153" s="50">
        <f>IF(D93="","-",+C152+1)</f>
        <v>2066</v>
      </c>
      <c r="D153" s="12">
        <f>IF(F152+SUM(E$99:E152)=D$92,F152,D$92-SUM(E$99:E152))</f>
        <v>0</v>
      </c>
      <c r="E153" s="378">
        <f t="shared" si="45"/>
        <v>0</v>
      </c>
      <c r="F153" s="55">
        <f t="shared" si="46"/>
        <v>0</v>
      </c>
      <c r="G153" s="55">
        <f t="shared" si="47"/>
        <v>0</v>
      </c>
      <c r="H153" s="380">
        <f t="shared" si="48"/>
        <v>0</v>
      </c>
      <c r="I153" s="399">
        <f t="shared" si="49"/>
        <v>0</v>
      </c>
      <c r="J153" s="54">
        <f t="shared" si="32"/>
        <v>0</v>
      </c>
      <c r="K153" s="54"/>
      <c r="L153" s="129"/>
      <c r="M153" s="54">
        <f t="shared" si="50"/>
        <v>0</v>
      </c>
      <c r="N153" s="129"/>
      <c r="O153" s="54">
        <f t="shared" si="51"/>
        <v>0</v>
      </c>
      <c r="P153" s="54">
        <f t="shared" si="52"/>
        <v>0</v>
      </c>
    </row>
    <row r="154" spans="2:16" ht="13" thickBot="1">
      <c r="B154" s="7" t="str">
        <f t="shared" si="28"/>
        <v/>
      </c>
      <c r="C154" s="59">
        <f>IF(D93="","-",+C153+1)</f>
        <v>2067</v>
      </c>
      <c r="D154" s="12">
        <f>IF(F153+SUM(E$99:E153)=D$92,F153,D$92-SUM(E$99:E153))</f>
        <v>0</v>
      </c>
      <c r="E154" s="378">
        <f t="shared" si="45"/>
        <v>0</v>
      </c>
      <c r="F154" s="55">
        <f t="shared" si="46"/>
        <v>0</v>
      </c>
      <c r="G154" s="55">
        <f t="shared" si="47"/>
        <v>0</v>
      </c>
      <c r="H154" s="380">
        <f t="shared" si="48"/>
        <v>0</v>
      </c>
      <c r="I154" s="399">
        <f t="shared" si="49"/>
        <v>0</v>
      </c>
      <c r="J154" s="54">
        <f t="shared" si="32"/>
        <v>0</v>
      </c>
      <c r="K154" s="54"/>
      <c r="L154" s="130"/>
      <c r="M154" s="64">
        <f t="shared" si="50"/>
        <v>0</v>
      </c>
      <c r="N154" s="130"/>
      <c r="O154" s="64">
        <f t="shared" si="51"/>
        <v>0</v>
      </c>
      <c r="P154" s="64">
        <f t="shared" si="52"/>
        <v>0</v>
      </c>
    </row>
    <row r="155" spans="2:16" ht="12.5">
      <c r="C155" s="12" t="s">
        <v>78</v>
      </c>
      <c r="D155" s="293"/>
      <c r="E155" s="293">
        <f>SUM(E99:E154)</f>
        <v>787880.00000000047</v>
      </c>
      <c r="F155" s="293"/>
      <c r="G155" s="293"/>
      <c r="H155" s="293">
        <f>SUM(H99:H154)</f>
        <v>2869721.3338690302</v>
      </c>
      <c r="I155" s="293">
        <f>SUM(I99:I154)</f>
        <v>2869721.3338690302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 ht="12.5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 ht="13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63" priority="1" stopIfTrue="1" operator="equal">
      <formula>$I$10</formula>
    </cfRule>
  </conditionalFormatting>
  <conditionalFormatting sqref="C99:C154">
    <cfRule type="cellIs" dxfId="6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97">
    <tabColor theme="9" tint="-0.249977111117893"/>
  </sheetPr>
  <dimension ref="A1:P162"/>
  <sheetViews>
    <sheetView topLeftCell="A80" zoomScaleNormal="100" zoomScaleSheetLayoutView="82" workbookViewId="0">
      <selection activeCell="D31" sqref="D31:H3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48 of 77</v>
      </c>
    </row>
    <row r="2" spans="1:16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16289.799945394194</v>
      </c>
      <c r="P5" s="1"/>
    </row>
    <row r="6" spans="1:16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16289.799945394194</v>
      </c>
      <c r="O6" s="1"/>
      <c r="P6" s="1"/>
    </row>
    <row r="7" spans="1:16" ht="13.5" thickBot="1">
      <c r="C7" s="25" t="s">
        <v>48</v>
      </c>
      <c r="D7" s="90" t="s">
        <v>339</v>
      </c>
      <c r="E7" s="406"/>
      <c r="F7" s="406"/>
      <c r="G7" s="406"/>
      <c r="H7" s="40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99" t="s">
        <v>358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338</v>
      </c>
      <c r="E9" s="436" t="s">
        <v>399</v>
      </c>
      <c r="F9" s="31"/>
      <c r="G9" s="31"/>
      <c r="H9" s="31"/>
      <c r="I9" s="32"/>
      <c r="J9" s="33"/>
      <c r="P9" s="1"/>
    </row>
    <row r="10" spans="1:16" ht="13">
      <c r="C10" s="34" t="s">
        <v>51</v>
      </c>
      <c r="D10" s="363">
        <v>160296.1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6" ht="12.5">
      <c r="C11" s="34" t="s">
        <v>54</v>
      </c>
      <c r="D11" s="37">
        <v>2010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3">
        <v>3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3643.0931818181821</v>
      </c>
      <c r="J14" s="293"/>
      <c r="K14" s="293"/>
      <c r="L14" s="293"/>
      <c r="M14" s="293"/>
      <c r="N14" s="293"/>
      <c r="O14" s="1"/>
      <c r="P14" s="1"/>
    </row>
    <row r="15" spans="1:16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2010</v>
      </c>
      <c r="D17" s="429">
        <v>160296.1</v>
      </c>
      <c r="E17" s="437">
        <v>2862.4303571428577</v>
      </c>
      <c r="F17" s="429">
        <v>157433.66964285716</v>
      </c>
      <c r="G17" s="437">
        <v>24101.886744322466</v>
      </c>
      <c r="H17" s="438">
        <v>24101.886744322466</v>
      </c>
      <c r="I17" s="52">
        <v>0</v>
      </c>
      <c r="J17" s="52"/>
      <c r="K17" s="112">
        <f t="shared" ref="K17:K22" si="0">G17</f>
        <v>24101.886744322466</v>
      </c>
      <c r="L17" s="53">
        <f t="shared" ref="L17:L22" si="1">IF(K17&lt;&gt;0,+G17-K17,0)</f>
        <v>0</v>
      </c>
      <c r="M17" s="112">
        <f t="shared" ref="M17:M22" si="2">H17</f>
        <v>24101.886744322466</v>
      </c>
      <c r="N17" s="53">
        <f t="shared" ref="N17:N22" si="3">IF(M17&lt;&gt;0,+H17-M17,0)</f>
        <v>0</v>
      </c>
      <c r="O17" s="54">
        <f t="shared" ref="O17:O22" si="4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2011</v>
      </c>
      <c r="D18" s="431">
        <v>157433.66964285716</v>
      </c>
      <c r="E18" s="430">
        <v>3816.5738095238098</v>
      </c>
      <c r="F18" s="431">
        <v>153617.09583333335</v>
      </c>
      <c r="G18" s="430">
        <v>24541.134284286942</v>
      </c>
      <c r="H18" s="438">
        <v>24541.134284286942</v>
      </c>
      <c r="I18" s="52">
        <v>0</v>
      </c>
      <c r="J18" s="52"/>
      <c r="K18" s="113">
        <f t="shared" si="0"/>
        <v>24541.134284286942</v>
      </c>
      <c r="L18" s="54">
        <f t="shared" si="1"/>
        <v>0</v>
      </c>
      <c r="M18" s="113">
        <f t="shared" si="2"/>
        <v>24541.134284286942</v>
      </c>
      <c r="N18" s="54">
        <f t="shared" si="3"/>
        <v>0</v>
      </c>
      <c r="O18" s="54">
        <f t="shared" si="4"/>
        <v>0</v>
      </c>
      <c r="P18" s="1"/>
    </row>
    <row r="19" spans="2:16" ht="12.5">
      <c r="B19" s="7" t="str">
        <f>IF(D19=F18,"","IU")</f>
        <v/>
      </c>
      <c r="C19" s="50">
        <f>IF(D11="","-",+C18+1)</f>
        <v>2012</v>
      </c>
      <c r="D19" s="431">
        <v>153617.09583333335</v>
      </c>
      <c r="E19" s="430">
        <v>3816.5738095238098</v>
      </c>
      <c r="F19" s="431">
        <v>149800.52202380955</v>
      </c>
      <c r="G19" s="430">
        <v>24026.238371870466</v>
      </c>
      <c r="H19" s="438">
        <v>24026.238371870466</v>
      </c>
      <c r="I19" s="52">
        <v>0</v>
      </c>
      <c r="J19" s="52"/>
      <c r="K19" s="113">
        <f t="shared" si="0"/>
        <v>24026.238371870466</v>
      </c>
      <c r="L19" s="54">
        <f t="shared" si="1"/>
        <v>0</v>
      </c>
      <c r="M19" s="113">
        <f t="shared" si="2"/>
        <v>24026.238371870466</v>
      </c>
      <c r="N19" s="54">
        <f t="shared" si="3"/>
        <v>0</v>
      </c>
      <c r="O19" s="54">
        <f t="shared" si="4"/>
        <v>0</v>
      </c>
      <c r="P19" s="1"/>
    </row>
    <row r="20" spans="2:16" ht="12.5">
      <c r="B20" s="7" t="str">
        <f t="shared" ref="B20:B72" si="5">IF(D20=F19,"","IU")</f>
        <v/>
      </c>
      <c r="C20" s="50">
        <f>IF(D11="","-",+C19+1)</f>
        <v>2013</v>
      </c>
      <c r="D20" s="431">
        <v>149800.52202380955</v>
      </c>
      <c r="E20" s="430">
        <v>3816.5738095238098</v>
      </c>
      <c r="F20" s="431">
        <v>145983.94821428575</v>
      </c>
      <c r="G20" s="430">
        <v>23511.342459453994</v>
      </c>
      <c r="H20" s="438">
        <v>23511.342459453994</v>
      </c>
      <c r="I20" s="52">
        <v>0</v>
      </c>
      <c r="J20" s="52"/>
      <c r="K20" s="113">
        <f t="shared" si="0"/>
        <v>23511.342459453994</v>
      </c>
      <c r="L20" s="54">
        <f t="shared" si="1"/>
        <v>0</v>
      </c>
      <c r="M20" s="113">
        <f t="shared" si="2"/>
        <v>23511.342459453994</v>
      </c>
      <c r="N20" s="54">
        <f t="shared" si="3"/>
        <v>0</v>
      </c>
      <c r="O20" s="54">
        <f t="shared" si="4"/>
        <v>0</v>
      </c>
      <c r="P20" s="1"/>
    </row>
    <row r="21" spans="2:16" ht="12.5">
      <c r="B21" s="7" t="str">
        <f t="shared" si="5"/>
        <v/>
      </c>
      <c r="C21" s="50">
        <f>IF(D11="","-",+C20+1)</f>
        <v>2014</v>
      </c>
      <c r="D21" s="431">
        <v>145983.94821428575</v>
      </c>
      <c r="E21" s="430">
        <v>3816.5738095238098</v>
      </c>
      <c r="F21" s="431">
        <v>142167.37440476194</v>
      </c>
      <c r="G21" s="430">
        <v>22996.446547037518</v>
      </c>
      <c r="H21" s="438">
        <v>22996.446547037518</v>
      </c>
      <c r="I21" s="52">
        <v>0</v>
      </c>
      <c r="J21" s="52"/>
      <c r="K21" s="113">
        <f t="shared" si="0"/>
        <v>22996.446547037518</v>
      </c>
      <c r="L21" s="54">
        <f t="shared" si="1"/>
        <v>0</v>
      </c>
      <c r="M21" s="113">
        <f t="shared" si="2"/>
        <v>22996.446547037518</v>
      </c>
      <c r="N21" s="54">
        <f t="shared" si="3"/>
        <v>0</v>
      </c>
      <c r="O21" s="54">
        <f t="shared" si="4"/>
        <v>0</v>
      </c>
      <c r="P21" s="1"/>
    </row>
    <row r="22" spans="2:16" ht="12.5">
      <c r="B22" s="7" t="str">
        <f t="shared" si="5"/>
        <v/>
      </c>
      <c r="C22" s="50">
        <f>IF(D11="","-",+C21+1)</f>
        <v>2015</v>
      </c>
      <c r="D22" s="431">
        <v>142167.37440476194</v>
      </c>
      <c r="E22" s="430">
        <v>3816.5738095238098</v>
      </c>
      <c r="F22" s="431">
        <v>138350.80059523814</v>
      </c>
      <c r="G22" s="430">
        <v>22038.03846666696</v>
      </c>
      <c r="H22" s="438">
        <v>22038.03846666696</v>
      </c>
      <c r="I22" s="52">
        <v>0</v>
      </c>
      <c r="J22" s="52"/>
      <c r="K22" s="113">
        <f t="shared" si="0"/>
        <v>22038.03846666696</v>
      </c>
      <c r="L22" s="54">
        <f t="shared" si="1"/>
        <v>0</v>
      </c>
      <c r="M22" s="113">
        <f t="shared" si="2"/>
        <v>22038.03846666696</v>
      </c>
      <c r="N22" s="54">
        <f t="shared" si="3"/>
        <v>0</v>
      </c>
      <c r="O22" s="54">
        <f t="shared" si="4"/>
        <v>0</v>
      </c>
      <c r="P22" s="1"/>
    </row>
    <row r="23" spans="2:16" ht="12.5">
      <c r="B23" s="7" t="str">
        <f t="shared" si="5"/>
        <v/>
      </c>
      <c r="C23" s="50">
        <f>IF(D11="","-",+C22+1)</f>
        <v>2016</v>
      </c>
      <c r="D23" s="431">
        <v>138350.80059523814</v>
      </c>
      <c r="E23" s="430">
        <v>3816.5738095238098</v>
      </c>
      <c r="F23" s="431">
        <v>134534.22678571433</v>
      </c>
      <c r="G23" s="430">
        <v>21316.782668999032</v>
      </c>
      <c r="H23" s="438">
        <v>21316.782668999032</v>
      </c>
      <c r="I23" s="52">
        <f t="shared" ref="I23:I33" si="6">H23-G23</f>
        <v>0</v>
      </c>
      <c r="J23" s="52"/>
      <c r="K23" s="113">
        <f t="shared" ref="K23:K28" si="7">G23</f>
        <v>21316.782668999032</v>
      </c>
      <c r="L23" s="54">
        <f t="shared" ref="L23:L28" si="8">IF(K23&lt;&gt;0,+G23-K23,0)</f>
        <v>0</v>
      </c>
      <c r="M23" s="113">
        <f t="shared" ref="M23:M28" si="9">H23</f>
        <v>21316.782668999032</v>
      </c>
      <c r="N23" s="54">
        <f>IF(M23&lt;&gt;0,+H23-M23,0)</f>
        <v>0</v>
      </c>
      <c r="O23" s="54">
        <f>+N23-L23</f>
        <v>0</v>
      </c>
      <c r="P23" s="1"/>
    </row>
    <row r="24" spans="2:16" ht="12.5">
      <c r="B24" s="7" t="str">
        <f t="shared" si="5"/>
        <v/>
      </c>
      <c r="C24" s="50">
        <f>IF(D11="","-",+C23+1)</f>
        <v>2017</v>
      </c>
      <c r="D24" s="431">
        <v>134534.22678571433</v>
      </c>
      <c r="E24" s="430">
        <v>3727.8162790697675</v>
      </c>
      <c r="F24" s="431">
        <v>130806.41050664456</v>
      </c>
      <c r="G24" s="430">
        <v>20164.678191842031</v>
      </c>
      <c r="H24" s="438">
        <v>20164.678191842031</v>
      </c>
      <c r="I24" s="52">
        <f t="shared" si="6"/>
        <v>0</v>
      </c>
      <c r="J24" s="52"/>
      <c r="K24" s="113">
        <f t="shared" si="7"/>
        <v>20164.678191842031</v>
      </c>
      <c r="L24" s="54">
        <f t="shared" si="8"/>
        <v>0</v>
      </c>
      <c r="M24" s="113">
        <f t="shared" si="9"/>
        <v>20164.678191842031</v>
      </c>
      <c r="N24" s="54">
        <f>IF(M24&lt;&gt;0,+H24-M24,0)</f>
        <v>0</v>
      </c>
      <c r="O24" s="54">
        <f>+N24-L24</f>
        <v>0</v>
      </c>
      <c r="P24" s="1"/>
    </row>
    <row r="25" spans="2:16" ht="12.5">
      <c r="B25" s="7" t="str">
        <f t="shared" si="5"/>
        <v/>
      </c>
      <c r="C25" s="50">
        <f>IF(D11="","-",+C24+1)</f>
        <v>2018</v>
      </c>
      <c r="D25" s="431">
        <v>130806.41050664456</v>
      </c>
      <c r="E25" s="430">
        <v>3909.6609756097564</v>
      </c>
      <c r="F25" s="431">
        <v>126896.7495310348</v>
      </c>
      <c r="G25" s="430">
        <v>20285.936433586696</v>
      </c>
      <c r="H25" s="438">
        <v>20285.936433586696</v>
      </c>
      <c r="I25" s="52">
        <f t="shared" si="6"/>
        <v>0</v>
      </c>
      <c r="J25" s="52"/>
      <c r="K25" s="113">
        <f t="shared" si="7"/>
        <v>20285.936433586696</v>
      </c>
      <c r="L25" s="54">
        <f t="shared" si="8"/>
        <v>0</v>
      </c>
      <c r="M25" s="113">
        <f t="shared" si="9"/>
        <v>20285.936433586696</v>
      </c>
      <c r="N25" s="54">
        <f>IF(M25&lt;&gt;0,+H25-M25,0)</f>
        <v>0</v>
      </c>
      <c r="O25" s="54">
        <f>+N25-L25</f>
        <v>0</v>
      </c>
      <c r="P25" s="1"/>
    </row>
    <row r="26" spans="2:16" ht="12.5">
      <c r="B26" s="7" t="str">
        <f t="shared" si="5"/>
        <v/>
      </c>
      <c r="C26" s="50">
        <f>IF(D11="","-",+C25+1)</f>
        <v>2019</v>
      </c>
      <c r="D26" s="431">
        <v>126896.7495310348</v>
      </c>
      <c r="E26" s="430">
        <v>3909.6609756097564</v>
      </c>
      <c r="F26" s="431">
        <v>122987.08855542504</v>
      </c>
      <c r="G26" s="430">
        <v>19789.041594776594</v>
      </c>
      <c r="H26" s="438">
        <v>19789.041594776594</v>
      </c>
      <c r="I26" s="52">
        <f t="shared" si="6"/>
        <v>0</v>
      </c>
      <c r="J26" s="52"/>
      <c r="K26" s="113">
        <f t="shared" si="7"/>
        <v>19789.041594776594</v>
      </c>
      <c r="L26" s="54">
        <f t="shared" si="8"/>
        <v>0</v>
      </c>
      <c r="M26" s="113">
        <f t="shared" si="9"/>
        <v>19789.041594776594</v>
      </c>
      <c r="N26" s="54">
        <f t="shared" ref="N26:N72" si="10">IF(M26&lt;&gt;0,+H26-M26,0)</f>
        <v>0</v>
      </c>
      <c r="O26" s="54">
        <f t="shared" ref="O26:O72" si="11">+N26-L26</f>
        <v>0</v>
      </c>
      <c r="P26" s="1"/>
    </row>
    <row r="27" spans="2:16" ht="12.5">
      <c r="B27" s="7" t="str">
        <f t="shared" si="5"/>
        <v/>
      </c>
      <c r="C27" s="50">
        <f>IF(D11="","-",+C26+1)</f>
        <v>2020</v>
      </c>
      <c r="D27" s="431">
        <v>122987.08855542504</v>
      </c>
      <c r="E27" s="430">
        <v>3909.6609756097564</v>
      </c>
      <c r="F27" s="431">
        <v>119077.42757981528</v>
      </c>
      <c r="G27" s="430">
        <v>16295.552209349336</v>
      </c>
      <c r="H27" s="438">
        <v>16295.552209349336</v>
      </c>
      <c r="I27" s="52">
        <f t="shared" si="6"/>
        <v>0</v>
      </c>
      <c r="J27" s="52"/>
      <c r="K27" s="113">
        <f t="shared" si="7"/>
        <v>16295.552209349336</v>
      </c>
      <c r="L27" s="54">
        <f t="shared" si="8"/>
        <v>0</v>
      </c>
      <c r="M27" s="113">
        <f t="shared" si="9"/>
        <v>16295.552209349336</v>
      </c>
      <c r="N27" s="54">
        <f t="shared" si="10"/>
        <v>0</v>
      </c>
      <c r="O27" s="54">
        <f t="shared" si="11"/>
        <v>0</v>
      </c>
      <c r="P27" s="1"/>
    </row>
    <row r="28" spans="2:16" ht="12.5">
      <c r="B28" s="7" t="str">
        <f t="shared" si="5"/>
        <v>IU</v>
      </c>
      <c r="C28" s="50">
        <f>IF(D11="","-",+C27+1)</f>
        <v>2021</v>
      </c>
      <c r="D28" s="431">
        <v>119259.27227635524</v>
      </c>
      <c r="E28" s="430">
        <v>3816.5738095238098</v>
      </c>
      <c r="F28" s="431">
        <v>115442.69846683144</v>
      </c>
      <c r="G28" s="430">
        <v>16256.311624142963</v>
      </c>
      <c r="H28" s="438">
        <v>16256.311624142963</v>
      </c>
      <c r="I28" s="52">
        <f t="shared" si="6"/>
        <v>0</v>
      </c>
      <c r="J28" s="52"/>
      <c r="K28" s="113">
        <f t="shared" si="7"/>
        <v>16256.311624142963</v>
      </c>
      <c r="L28" s="54">
        <f t="shared" si="8"/>
        <v>0</v>
      </c>
      <c r="M28" s="113">
        <f t="shared" si="9"/>
        <v>16256.311624142963</v>
      </c>
      <c r="N28" s="54">
        <f t="shared" si="10"/>
        <v>0</v>
      </c>
      <c r="O28" s="54">
        <f t="shared" si="11"/>
        <v>0</v>
      </c>
      <c r="P28" s="1"/>
    </row>
    <row r="29" spans="2:16" ht="12.5">
      <c r="B29" s="7" t="str">
        <f t="shared" si="5"/>
        <v>IU</v>
      </c>
      <c r="C29" s="50">
        <f>IF(D11="","-",+C28+1)</f>
        <v>2022</v>
      </c>
      <c r="D29" s="431">
        <v>115260.85377029145</v>
      </c>
      <c r="E29" s="430">
        <v>3816.5738095238098</v>
      </c>
      <c r="F29" s="431">
        <v>111444.27996076764</v>
      </c>
      <c r="G29" s="430">
        <v>16562.400820096133</v>
      </c>
      <c r="H29" s="438">
        <v>16562.400820096133</v>
      </c>
      <c r="I29" s="52">
        <f t="shared" si="6"/>
        <v>0</v>
      </c>
      <c r="J29" s="52"/>
      <c r="K29" s="113">
        <f t="shared" ref="K29" si="12">G29</f>
        <v>16562.400820096133</v>
      </c>
      <c r="L29" s="54">
        <f t="shared" ref="L29" si="13">IF(K29&lt;&gt;0,+G29-K29,0)</f>
        <v>0</v>
      </c>
      <c r="M29" s="113">
        <f t="shared" ref="M29" si="14">H29</f>
        <v>16562.400820096133</v>
      </c>
      <c r="N29" s="54">
        <f t="shared" si="10"/>
        <v>0</v>
      </c>
      <c r="O29" s="54">
        <f t="shared" si="11"/>
        <v>0</v>
      </c>
      <c r="P29" s="1"/>
    </row>
    <row r="30" spans="2:16" ht="12.5">
      <c r="B30" s="7" t="str">
        <f t="shared" si="5"/>
        <v/>
      </c>
      <c r="C30" s="50">
        <f>IF(D11="","-",+C29+1)</f>
        <v>2023</v>
      </c>
      <c r="D30" s="431">
        <v>111444.27996076764</v>
      </c>
      <c r="E30" s="430">
        <v>3816.5738095238098</v>
      </c>
      <c r="F30" s="431">
        <v>107627.70615124384</v>
      </c>
      <c r="G30" s="430">
        <v>17653.903980447743</v>
      </c>
      <c r="H30" s="438">
        <v>17653.903980447743</v>
      </c>
      <c r="I30" s="52">
        <f t="shared" si="6"/>
        <v>0</v>
      </c>
      <c r="J30" s="52"/>
      <c r="K30" s="113">
        <f t="shared" ref="K30" si="15">G30</f>
        <v>17653.903980447743</v>
      </c>
      <c r="L30" s="54">
        <f t="shared" ref="L30" si="16">IF(K30&lt;&gt;0,+G30-K30,0)</f>
        <v>0</v>
      </c>
      <c r="M30" s="113">
        <f t="shared" ref="M30" si="17">H30</f>
        <v>17653.903980447743</v>
      </c>
      <c r="N30" s="54">
        <f t="shared" si="10"/>
        <v>0</v>
      </c>
      <c r="O30" s="54">
        <f t="shared" si="11"/>
        <v>0</v>
      </c>
      <c r="P30" s="1"/>
    </row>
    <row r="31" spans="2:16" ht="12.5">
      <c r="B31" s="7" t="str">
        <f t="shared" si="5"/>
        <v/>
      </c>
      <c r="C31" s="50">
        <f>IF(D11="","-",+C30+1)</f>
        <v>2024</v>
      </c>
      <c r="D31" s="431">
        <v>107627.70615124384</v>
      </c>
      <c r="E31" s="430">
        <v>3643.0931818181821</v>
      </c>
      <c r="F31" s="431">
        <v>103984.61296942565</v>
      </c>
      <c r="G31" s="430">
        <v>16289.799945394194</v>
      </c>
      <c r="H31" s="438">
        <v>16289.799945394194</v>
      </c>
      <c r="I31" s="52">
        <f t="shared" si="6"/>
        <v>0</v>
      </c>
      <c r="J31" s="52"/>
      <c r="K31" s="113">
        <f t="shared" ref="K31" si="18">G31</f>
        <v>16289.799945394194</v>
      </c>
      <c r="L31" s="54">
        <f t="shared" ref="L31" si="19">IF(K31&lt;&gt;0,+G31-K31,0)</f>
        <v>0</v>
      </c>
      <c r="M31" s="113">
        <f t="shared" ref="M31" si="20">H31</f>
        <v>16289.799945394194</v>
      </c>
      <c r="N31" s="54">
        <f t="shared" ref="N31" si="21">IF(M31&lt;&gt;0,+H31-M31,0)</f>
        <v>0</v>
      </c>
      <c r="O31" s="54">
        <f t="shared" ref="O31" si="22">+N31-L31</f>
        <v>0</v>
      </c>
      <c r="P31" s="1"/>
    </row>
    <row r="32" spans="2:16" ht="12.5">
      <c r="B32" s="7" t="str">
        <f t="shared" si="5"/>
        <v/>
      </c>
      <c r="C32" s="50">
        <f>IF(D11="","-",+C31+1)</f>
        <v>2025</v>
      </c>
      <c r="D32" s="55">
        <f>IF(F31+SUM(E$17:E31)=D$10,F31,D$10-SUM(E$17:E31))</f>
        <v>103984.61296942565</v>
      </c>
      <c r="E32" s="378">
        <f>IF(+I14&lt;F31,I14,D32)</f>
        <v>3643.0931818181821</v>
      </c>
      <c r="F32" s="55">
        <f t="shared" ref="F32:F33" si="23">+D32-E32</f>
        <v>100341.51978760747</v>
      </c>
      <c r="G32" s="379">
        <f t="shared" ref="G32:G55" si="24">+I$12*((D32+F32)/2)+E32</f>
        <v>15854.351467023092</v>
      </c>
      <c r="H32" s="364">
        <f t="shared" ref="H32:H55" si="25">+I$13*((D32+F32)/2)+E32</f>
        <v>15854.351467023092</v>
      </c>
      <c r="I32" s="52">
        <f t="shared" si="6"/>
        <v>0</v>
      </c>
      <c r="J32" s="52"/>
      <c r="K32" s="129"/>
      <c r="L32" s="54">
        <f t="shared" ref="L32:L72" si="26">IF(K32&lt;&gt;0,+G32-K32,0)</f>
        <v>0</v>
      </c>
      <c r="M32" s="129"/>
      <c r="N32" s="54">
        <f t="shared" si="10"/>
        <v>0</v>
      </c>
      <c r="O32" s="54">
        <f t="shared" si="11"/>
        <v>0</v>
      </c>
      <c r="P32" s="1"/>
    </row>
    <row r="33" spans="2:16" ht="12.5">
      <c r="B33" s="7" t="str">
        <f t="shared" si="5"/>
        <v/>
      </c>
      <c r="C33" s="50">
        <f>IF(D11="","-",+C32+1)</f>
        <v>2026</v>
      </c>
      <c r="D33" s="55">
        <f>IF(F32+SUM(E$17:E32)=D$10,F32,D$10-SUM(E$17:E32))</f>
        <v>100341.51978760747</v>
      </c>
      <c r="E33" s="378">
        <f>IF(+I14&lt;F32,I14,D33)</f>
        <v>3643.0931818181821</v>
      </c>
      <c r="F33" s="55">
        <f t="shared" si="23"/>
        <v>96698.426605789282</v>
      </c>
      <c r="G33" s="379">
        <f t="shared" si="24"/>
        <v>15418.902988651993</v>
      </c>
      <c r="H33" s="364">
        <f t="shared" si="25"/>
        <v>15418.902988651993</v>
      </c>
      <c r="I33" s="52">
        <f t="shared" si="6"/>
        <v>0</v>
      </c>
      <c r="J33" s="52"/>
      <c r="K33" s="129"/>
      <c r="L33" s="54">
        <f t="shared" si="26"/>
        <v>0</v>
      </c>
      <c r="M33" s="129"/>
      <c r="N33" s="54">
        <f t="shared" si="10"/>
        <v>0</v>
      </c>
      <c r="O33" s="54">
        <f t="shared" si="11"/>
        <v>0</v>
      </c>
      <c r="P33" s="1"/>
    </row>
    <row r="34" spans="2:16" ht="12.5">
      <c r="B34" s="7" t="str">
        <f t="shared" si="5"/>
        <v/>
      </c>
      <c r="C34" s="50">
        <f>IF(D11="","-",+C33+1)</f>
        <v>2027</v>
      </c>
      <c r="D34" s="55">
        <f>IF(F33+SUM(E$17:E33)=D$10,F33,D$10-SUM(E$17:E33))</f>
        <v>96698.426605789282</v>
      </c>
      <c r="E34" s="378">
        <f>IF(+I14&lt;F33,I14,D34)</f>
        <v>3643.0931818181821</v>
      </c>
      <c r="F34" s="55">
        <f t="shared" ref="F34:F72" si="27">+D34-E34</f>
        <v>93055.333423971097</v>
      </c>
      <c r="G34" s="379">
        <f t="shared" si="24"/>
        <v>14983.45451028089</v>
      </c>
      <c r="H34" s="364">
        <f t="shared" si="25"/>
        <v>14983.45451028089</v>
      </c>
      <c r="I34" s="52">
        <f t="shared" ref="I34:I72" si="28">H34-G34</f>
        <v>0</v>
      </c>
      <c r="J34" s="52"/>
      <c r="K34" s="129"/>
      <c r="L34" s="54">
        <f t="shared" si="26"/>
        <v>0</v>
      </c>
      <c r="M34" s="129"/>
      <c r="N34" s="54">
        <f t="shared" si="10"/>
        <v>0</v>
      </c>
      <c r="O34" s="54">
        <f t="shared" si="11"/>
        <v>0</v>
      </c>
      <c r="P34" s="1"/>
    </row>
    <row r="35" spans="2:16" ht="12.5">
      <c r="B35" s="7" t="str">
        <f t="shared" si="5"/>
        <v/>
      </c>
      <c r="C35" s="50">
        <f>IF(D11="","-",+C34+1)</f>
        <v>2028</v>
      </c>
      <c r="D35" s="55">
        <f>IF(F34+SUM(E$17:E34)=D$10,F34,D$10-SUM(E$17:E34))</f>
        <v>93055.333423971097</v>
      </c>
      <c r="E35" s="378">
        <f>IF(+I14&lt;F34,I14,D35)</f>
        <v>3643.0931818181821</v>
      </c>
      <c r="F35" s="55">
        <f t="shared" si="27"/>
        <v>89412.240242152911</v>
      </c>
      <c r="G35" s="379">
        <f t="shared" si="24"/>
        <v>14548.00603190979</v>
      </c>
      <c r="H35" s="364">
        <f t="shared" si="25"/>
        <v>14548.00603190979</v>
      </c>
      <c r="I35" s="52">
        <f t="shared" si="28"/>
        <v>0</v>
      </c>
      <c r="J35" s="52"/>
      <c r="K35" s="129"/>
      <c r="L35" s="54">
        <f t="shared" si="26"/>
        <v>0</v>
      </c>
      <c r="M35" s="129"/>
      <c r="N35" s="54">
        <f t="shared" si="10"/>
        <v>0</v>
      </c>
      <c r="O35" s="54">
        <f t="shared" si="11"/>
        <v>0</v>
      </c>
      <c r="P35" s="1"/>
    </row>
    <row r="36" spans="2:16" ht="12.5">
      <c r="B36" s="7" t="str">
        <f t="shared" si="5"/>
        <v/>
      </c>
      <c r="C36" s="50">
        <f>IF(D11="","-",+C35+1)</f>
        <v>2029</v>
      </c>
      <c r="D36" s="55">
        <f>IF(F35+SUM(E$17:E35)=D$10,F35,D$10-SUM(E$17:E35))</f>
        <v>89412.240242152911</v>
      </c>
      <c r="E36" s="378">
        <f>IF(+I14&lt;F35,I14,D36)</f>
        <v>3643.0931818181821</v>
      </c>
      <c r="F36" s="55">
        <f t="shared" si="27"/>
        <v>85769.147060334726</v>
      </c>
      <c r="G36" s="379">
        <f t="shared" si="24"/>
        <v>14112.557553538687</v>
      </c>
      <c r="H36" s="364">
        <f t="shared" si="25"/>
        <v>14112.557553538687</v>
      </c>
      <c r="I36" s="52">
        <f t="shared" si="28"/>
        <v>0</v>
      </c>
      <c r="J36" s="52"/>
      <c r="K36" s="129"/>
      <c r="L36" s="54">
        <f t="shared" si="26"/>
        <v>0</v>
      </c>
      <c r="M36" s="129"/>
      <c r="N36" s="54">
        <f t="shared" si="10"/>
        <v>0</v>
      </c>
      <c r="O36" s="54">
        <f t="shared" si="11"/>
        <v>0</v>
      </c>
      <c r="P36" s="1"/>
    </row>
    <row r="37" spans="2:16" ht="12.5">
      <c r="B37" s="7" t="str">
        <f t="shared" si="5"/>
        <v/>
      </c>
      <c r="C37" s="50">
        <f>IF(D11="","-",+C36+1)</f>
        <v>2030</v>
      </c>
      <c r="D37" s="55">
        <f>IF(F36+SUM(E$17:E36)=D$10,F36,D$10-SUM(E$17:E36))</f>
        <v>85769.147060334726</v>
      </c>
      <c r="E37" s="378">
        <f>IF(+I14&lt;F36,I14,D37)</f>
        <v>3643.0931818181821</v>
      </c>
      <c r="F37" s="55">
        <f t="shared" si="27"/>
        <v>82126.053878516541</v>
      </c>
      <c r="G37" s="379">
        <f t="shared" si="24"/>
        <v>13677.109075167587</v>
      </c>
      <c r="H37" s="364">
        <f t="shared" si="25"/>
        <v>13677.109075167587</v>
      </c>
      <c r="I37" s="52">
        <f t="shared" si="28"/>
        <v>0</v>
      </c>
      <c r="J37" s="52"/>
      <c r="K37" s="129"/>
      <c r="L37" s="54">
        <f t="shared" si="26"/>
        <v>0</v>
      </c>
      <c r="M37" s="129"/>
      <c r="N37" s="54">
        <f t="shared" si="10"/>
        <v>0</v>
      </c>
      <c r="O37" s="54">
        <f t="shared" si="11"/>
        <v>0</v>
      </c>
      <c r="P37" s="1"/>
    </row>
    <row r="38" spans="2:16" ht="12.5">
      <c r="B38" s="7" t="str">
        <f t="shared" si="5"/>
        <v/>
      </c>
      <c r="C38" s="50">
        <f>IF(D11="","-",+C37+1)</f>
        <v>2031</v>
      </c>
      <c r="D38" s="55">
        <f>IF(F37+SUM(E$17:E37)=D$10,F37,D$10-SUM(E$17:E37))</f>
        <v>82126.053878516541</v>
      </c>
      <c r="E38" s="378">
        <f>IF(+I14&lt;F37,I14,D38)</f>
        <v>3643.0931818181821</v>
      </c>
      <c r="F38" s="55">
        <f t="shared" si="27"/>
        <v>78482.960696698356</v>
      </c>
      <c r="G38" s="379">
        <f t="shared" si="24"/>
        <v>13241.660596796484</v>
      </c>
      <c r="H38" s="364">
        <f t="shared" si="25"/>
        <v>13241.660596796484</v>
      </c>
      <c r="I38" s="52">
        <f t="shared" si="28"/>
        <v>0</v>
      </c>
      <c r="J38" s="52"/>
      <c r="K38" s="129"/>
      <c r="L38" s="54">
        <f t="shared" si="26"/>
        <v>0</v>
      </c>
      <c r="M38" s="129"/>
      <c r="N38" s="54">
        <f t="shared" si="10"/>
        <v>0</v>
      </c>
      <c r="O38" s="54">
        <f t="shared" si="11"/>
        <v>0</v>
      </c>
      <c r="P38" s="1"/>
    </row>
    <row r="39" spans="2:16" ht="12.5">
      <c r="B39" s="7" t="str">
        <f t="shared" si="5"/>
        <v/>
      </c>
      <c r="C39" s="50">
        <f>IF(D11="","-",+C38+1)</f>
        <v>2032</v>
      </c>
      <c r="D39" s="55">
        <f>IF(F38+SUM(E$17:E38)=D$10,F38,D$10-SUM(E$17:E38))</f>
        <v>78482.960696698356</v>
      </c>
      <c r="E39" s="378">
        <f>IF(+I14&lt;F38,I14,D39)</f>
        <v>3643.0931818181821</v>
      </c>
      <c r="F39" s="55">
        <f t="shared" si="27"/>
        <v>74839.86751488017</v>
      </c>
      <c r="G39" s="379">
        <f t="shared" si="24"/>
        <v>12806.212118425387</v>
      </c>
      <c r="H39" s="364">
        <f t="shared" si="25"/>
        <v>12806.212118425387</v>
      </c>
      <c r="I39" s="52">
        <f t="shared" si="28"/>
        <v>0</v>
      </c>
      <c r="J39" s="52"/>
      <c r="K39" s="129"/>
      <c r="L39" s="54">
        <f t="shared" si="26"/>
        <v>0</v>
      </c>
      <c r="M39" s="129"/>
      <c r="N39" s="54">
        <f t="shared" si="10"/>
        <v>0</v>
      </c>
      <c r="O39" s="54">
        <f t="shared" si="11"/>
        <v>0</v>
      </c>
      <c r="P39" s="1"/>
    </row>
    <row r="40" spans="2:16" ht="12.5">
      <c r="B40" s="7" t="str">
        <f t="shared" si="5"/>
        <v/>
      </c>
      <c r="C40" s="50">
        <f>IF(D11="","-",+C39+1)</f>
        <v>2033</v>
      </c>
      <c r="D40" s="55">
        <f>IF(F39+SUM(E$17:E39)=D$10,F39,D$10-SUM(E$17:E39))</f>
        <v>74839.86751488017</v>
      </c>
      <c r="E40" s="378">
        <f>IF(+I14&lt;F39,I14,D40)</f>
        <v>3643.0931818181821</v>
      </c>
      <c r="F40" s="55">
        <f t="shared" si="27"/>
        <v>71196.774333061985</v>
      </c>
      <c r="G40" s="379">
        <f t="shared" si="24"/>
        <v>12370.763640054283</v>
      </c>
      <c r="H40" s="364">
        <f t="shared" si="25"/>
        <v>12370.763640054283</v>
      </c>
      <c r="I40" s="52">
        <f t="shared" si="28"/>
        <v>0</v>
      </c>
      <c r="J40" s="52"/>
      <c r="K40" s="129"/>
      <c r="L40" s="54">
        <f t="shared" si="26"/>
        <v>0</v>
      </c>
      <c r="M40" s="129"/>
      <c r="N40" s="54">
        <f t="shared" si="10"/>
        <v>0</v>
      </c>
      <c r="O40" s="54">
        <f t="shared" si="11"/>
        <v>0</v>
      </c>
      <c r="P40" s="1"/>
    </row>
    <row r="41" spans="2:16" ht="12.5">
      <c r="B41" s="7" t="str">
        <f t="shared" si="5"/>
        <v/>
      </c>
      <c r="C41" s="50">
        <f>IF(D11="","-",+C40+1)</f>
        <v>2034</v>
      </c>
      <c r="D41" s="55">
        <f>IF(F40+SUM(E$17:E40)=D$10,F40,D$10-SUM(E$17:E40))</f>
        <v>71196.774333061985</v>
      </c>
      <c r="E41" s="378">
        <f>IF(+I14&lt;F40,I14,D41)</f>
        <v>3643.0931818181821</v>
      </c>
      <c r="F41" s="55">
        <f t="shared" si="27"/>
        <v>67553.6811512438</v>
      </c>
      <c r="G41" s="379">
        <f t="shared" si="24"/>
        <v>11935.315161683184</v>
      </c>
      <c r="H41" s="364">
        <f t="shared" si="25"/>
        <v>11935.315161683184</v>
      </c>
      <c r="I41" s="52">
        <f t="shared" si="28"/>
        <v>0</v>
      </c>
      <c r="J41" s="52"/>
      <c r="K41" s="129"/>
      <c r="L41" s="54">
        <f t="shared" si="26"/>
        <v>0</v>
      </c>
      <c r="M41" s="129"/>
      <c r="N41" s="54">
        <f t="shared" si="10"/>
        <v>0</v>
      </c>
      <c r="O41" s="54">
        <f t="shared" si="11"/>
        <v>0</v>
      </c>
      <c r="P41" s="1"/>
    </row>
    <row r="42" spans="2:16" ht="12.5">
      <c r="B42" s="7" t="str">
        <f t="shared" si="5"/>
        <v/>
      </c>
      <c r="C42" s="50">
        <f>IF(D11="","-",+C41+1)</f>
        <v>2035</v>
      </c>
      <c r="D42" s="55">
        <f>IF(F41+SUM(E$17:E41)=D$10,F41,D$10-SUM(E$17:E41))</f>
        <v>67553.6811512438</v>
      </c>
      <c r="E42" s="378">
        <f>IF(+I14&lt;F41,I14,D42)</f>
        <v>3643.0931818181821</v>
      </c>
      <c r="F42" s="55">
        <f t="shared" si="27"/>
        <v>63910.587969425615</v>
      </c>
      <c r="G42" s="379">
        <f t="shared" si="24"/>
        <v>11499.866683312081</v>
      </c>
      <c r="H42" s="364">
        <f t="shared" si="25"/>
        <v>11499.866683312081</v>
      </c>
      <c r="I42" s="52">
        <f t="shared" si="28"/>
        <v>0</v>
      </c>
      <c r="J42" s="52"/>
      <c r="K42" s="129"/>
      <c r="L42" s="54">
        <f t="shared" si="26"/>
        <v>0</v>
      </c>
      <c r="M42" s="129"/>
      <c r="N42" s="54">
        <f t="shared" si="10"/>
        <v>0</v>
      </c>
      <c r="O42" s="54">
        <f t="shared" si="11"/>
        <v>0</v>
      </c>
      <c r="P42" s="1"/>
    </row>
    <row r="43" spans="2:16" ht="12.5">
      <c r="B43" s="7" t="str">
        <f t="shared" si="5"/>
        <v/>
      </c>
      <c r="C43" s="50">
        <f>IF(D11="","-",+C42+1)</f>
        <v>2036</v>
      </c>
      <c r="D43" s="55">
        <f>IF(F42+SUM(E$17:E42)=D$10,F42,D$10-SUM(E$17:E42))</f>
        <v>63910.587969425615</v>
      </c>
      <c r="E43" s="378">
        <f>IF(+I14&lt;F42,I14,D43)</f>
        <v>3643.0931818181821</v>
      </c>
      <c r="F43" s="55">
        <f t="shared" si="27"/>
        <v>60267.494787607429</v>
      </c>
      <c r="G43" s="379">
        <f t="shared" si="24"/>
        <v>11064.418204940981</v>
      </c>
      <c r="H43" s="364">
        <f t="shared" si="25"/>
        <v>11064.418204940981</v>
      </c>
      <c r="I43" s="52">
        <f t="shared" si="28"/>
        <v>0</v>
      </c>
      <c r="J43" s="52"/>
      <c r="K43" s="129"/>
      <c r="L43" s="54">
        <f t="shared" si="26"/>
        <v>0</v>
      </c>
      <c r="M43" s="129"/>
      <c r="N43" s="54">
        <f t="shared" si="10"/>
        <v>0</v>
      </c>
      <c r="O43" s="54">
        <f t="shared" si="11"/>
        <v>0</v>
      </c>
      <c r="P43" s="1"/>
    </row>
    <row r="44" spans="2:16" ht="12.5">
      <c r="B44" s="7" t="str">
        <f t="shared" si="5"/>
        <v/>
      </c>
      <c r="C44" s="50">
        <f>IF(D11="","-",+C43+1)</f>
        <v>2037</v>
      </c>
      <c r="D44" s="55">
        <f>IF(F43+SUM(E$17:E43)=D$10,F43,D$10-SUM(E$17:E43))</f>
        <v>60267.494787607429</v>
      </c>
      <c r="E44" s="378">
        <f>IF(+I14&lt;F43,I14,D44)</f>
        <v>3643.0931818181821</v>
      </c>
      <c r="F44" s="55">
        <f t="shared" si="27"/>
        <v>56624.401605789244</v>
      </c>
      <c r="G44" s="379">
        <f t="shared" si="24"/>
        <v>10628.96972656988</v>
      </c>
      <c r="H44" s="364">
        <f t="shared" si="25"/>
        <v>10628.96972656988</v>
      </c>
      <c r="I44" s="52">
        <f t="shared" si="28"/>
        <v>0</v>
      </c>
      <c r="J44" s="52"/>
      <c r="K44" s="129"/>
      <c r="L44" s="54">
        <f t="shared" si="26"/>
        <v>0</v>
      </c>
      <c r="M44" s="129"/>
      <c r="N44" s="54">
        <f t="shared" si="10"/>
        <v>0</v>
      </c>
      <c r="O44" s="54">
        <f t="shared" si="11"/>
        <v>0</v>
      </c>
      <c r="P44" s="1"/>
    </row>
    <row r="45" spans="2:16" ht="12.5">
      <c r="B45" s="7" t="str">
        <f t="shared" si="5"/>
        <v/>
      </c>
      <c r="C45" s="50">
        <f>IF(D11="","-",+C44+1)</f>
        <v>2038</v>
      </c>
      <c r="D45" s="55">
        <f>IF(F44+SUM(E$17:E44)=D$10,F44,D$10-SUM(E$17:E44))</f>
        <v>56624.401605789244</v>
      </c>
      <c r="E45" s="378">
        <f>IF(+I14&lt;F44,I14,D45)</f>
        <v>3643.0931818181821</v>
      </c>
      <c r="F45" s="55">
        <f t="shared" si="27"/>
        <v>52981.308423971059</v>
      </c>
      <c r="G45" s="379">
        <f t="shared" si="24"/>
        <v>10193.521248198778</v>
      </c>
      <c r="H45" s="364">
        <f t="shared" si="25"/>
        <v>10193.521248198778</v>
      </c>
      <c r="I45" s="52">
        <f t="shared" si="28"/>
        <v>0</v>
      </c>
      <c r="J45" s="52"/>
      <c r="K45" s="129"/>
      <c r="L45" s="54">
        <f t="shared" si="26"/>
        <v>0</v>
      </c>
      <c r="M45" s="129"/>
      <c r="N45" s="54">
        <f t="shared" si="10"/>
        <v>0</v>
      </c>
      <c r="O45" s="54">
        <f t="shared" si="11"/>
        <v>0</v>
      </c>
      <c r="P45" s="1"/>
    </row>
    <row r="46" spans="2:16" ht="12.5">
      <c r="B46" s="7" t="str">
        <f t="shared" si="5"/>
        <v/>
      </c>
      <c r="C46" s="50">
        <f>IF(D11="","-",+C45+1)</f>
        <v>2039</v>
      </c>
      <c r="D46" s="55">
        <f>IF(F45+SUM(E$17:E45)=D$10,F45,D$10-SUM(E$17:E45))</f>
        <v>52981.308423971059</v>
      </c>
      <c r="E46" s="378">
        <f>IF(+I14&lt;F45,I14,D46)</f>
        <v>3643.0931818181821</v>
      </c>
      <c r="F46" s="55">
        <f t="shared" si="27"/>
        <v>49338.215242152874</v>
      </c>
      <c r="G46" s="379">
        <f t="shared" si="24"/>
        <v>9758.0727698276769</v>
      </c>
      <c r="H46" s="364">
        <f t="shared" si="25"/>
        <v>9758.0727698276769</v>
      </c>
      <c r="I46" s="52">
        <f t="shared" si="28"/>
        <v>0</v>
      </c>
      <c r="J46" s="52"/>
      <c r="K46" s="129"/>
      <c r="L46" s="54">
        <f t="shared" si="26"/>
        <v>0</v>
      </c>
      <c r="M46" s="129"/>
      <c r="N46" s="54">
        <f t="shared" si="10"/>
        <v>0</v>
      </c>
      <c r="O46" s="54">
        <f t="shared" si="11"/>
        <v>0</v>
      </c>
      <c r="P46" s="1"/>
    </row>
    <row r="47" spans="2:16" ht="12.5">
      <c r="B47" s="7" t="str">
        <f t="shared" si="5"/>
        <v/>
      </c>
      <c r="C47" s="50">
        <f>IF(D11="","-",+C46+1)</f>
        <v>2040</v>
      </c>
      <c r="D47" s="55">
        <f>IF(F46+SUM(E$17:E46)=D$10,F46,D$10-SUM(E$17:E46))</f>
        <v>49338.215242152874</v>
      </c>
      <c r="E47" s="378">
        <f>IF(+I14&lt;F46,I14,D47)</f>
        <v>3643.0931818181821</v>
      </c>
      <c r="F47" s="55">
        <f t="shared" si="27"/>
        <v>45695.122060334688</v>
      </c>
      <c r="G47" s="379">
        <f t="shared" si="24"/>
        <v>9322.6242914565755</v>
      </c>
      <c r="H47" s="364">
        <f t="shared" si="25"/>
        <v>9322.6242914565755</v>
      </c>
      <c r="I47" s="52">
        <f t="shared" si="28"/>
        <v>0</v>
      </c>
      <c r="J47" s="52"/>
      <c r="K47" s="129"/>
      <c r="L47" s="54">
        <f t="shared" si="26"/>
        <v>0</v>
      </c>
      <c r="M47" s="129"/>
      <c r="N47" s="54">
        <f t="shared" si="10"/>
        <v>0</v>
      </c>
      <c r="O47" s="54">
        <f t="shared" si="11"/>
        <v>0</v>
      </c>
      <c r="P47" s="1"/>
    </row>
    <row r="48" spans="2:16" ht="12.5">
      <c r="B48" s="7" t="str">
        <f t="shared" si="5"/>
        <v/>
      </c>
      <c r="C48" s="50">
        <f>IF(D11="","-",+C47+1)</f>
        <v>2041</v>
      </c>
      <c r="D48" s="55">
        <f>IF(F47+SUM(E$17:E47)=D$10,F47,D$10-SUM(E$17:E47))</f>
        <v>45695.122060334688</v>
      </c>
      <c r="E48" s="378">
        <f>IF(+I14&lt;F47,I14,D48)</f>
        <v>3643.0931818181821</v>
      </c>
      <c r="F48" s="55">
        <f t="shared" si="27"/>
        <v>42052.028878516503</v>
      </c>
      <c r="G48" s="379">
        <f t="shared" si="24"/>
        <v>8887.175813085476</v>
      </c>
      <c r="H48" s="364">
        <f t="shared" si="25"/>
        <v>8887.175813085476</v>
      </c>
      <c r="I48" s="52">
        <f t="shared" si="28"/>
        <v>0</v>
      </c>
      <c r="J48" s="52"/>
      <c r="K48" s="129"/>
      <c r="L48" s="54">
        <f t="shared" si="26"/>
        <v>0</v>
      </c>
      <c r="M48" s="129"/>
      <c r="N48" s="54">
        <f t="shared" si="10"/>
        <v>0</v>
      </c>
      <c r="O48" s="54">
        <f t="shared" si="11"/>
        <v>0</v>
      </c>
      <c r="P48" s="1"/>
    </row>
    <row r="49" spans="2:16" ht="12.5">
      <c r="B49" s="7" t="str">
        <f t="shared" si="5"/>
        <v/>
      </c>
      <c r="C49" s="50">
        <f>IF(D11="","-",+C48+1)</f>
        <v>2042</v>
      </c>
      <c r="D49" s="55">
        <f>IF(F48+SUM(E$17:E48)=D$10,F48,D$10-SUM(E$17:E48))</f>
        <v>42052.028878516503</v>
      </c>
      <c r="E49" s="378">
        <f>IF(+I14&lt;F48,I14,D49)</f>
        <v>3643.0931818181821</v>
      </c>
      <c r="F49" s="55">
        <f t="shared" si="27"/>
        <v>38408.935696698318</v>
      </c>
      <c r="G49" s="379">
        <f t="shared" si="24"/>
        <v>8451.7273347143746</v>
      </c>
      <c r="H49" s="364">
        <f t="shared" si="25"/>
        <v>8451.7273347143746</v>
      </c>
      <c r="I49" s="52">
        <f t="shared" si="28"/>
        <v>0</v>
      </c>
      <c r="J49" s="52"/>
      <c r="K49" s="129"/>
      <c r="L49" s="54">
        <f t="shared" si="26"/>
        <v>0</v>
      </c>
      <c r="M49" s="129"/>
      <c r="N49" s="54">
        <f t="shared" si="10"/>
        <v>0</v>
      </c>
      <c r="O49" s="54">
        <f t="shared" si="11"/>
        <v>0</v>
      </c>
      <c r="P49" s="1"/>
    </row>
    <row r="50" spans="2:16" ht="12.5">
      <c r="B50" s="7" t="str">
        <f t="shared" si="5"/>
        <v/>
      </c>
      <c r="C50" s="50">
        <f>IF(D11="","-",+C49+1)</f>
        <v>2043</v>
      </c>
      <c r="D50" s="55">
        <f>IF(F49+SUM(E$17:E49)=D$10,F49,D$10-SUM(E$17:E49))</f>
        <v>38408.935696698318</v>
      </c>
      <c r="E50" s="378">
        <f>IF(+I14&lt;F49,I14,D50)</f>
        <v>3643.0931818181821</v>
      </c>
      <c r="F50" s="55">
        <f t="shared" si="27"/>
        <v>34765.842514880133</v>
      </c>
      <c r="G50" s="379">
        <f t="shared" si="24"/>
        <v>8016.2788563432732</v>
      </c>
      <c r="H50" s="364">
        <f t="shared" si="25"/>
        <v>8016.2788563432732</v>
      </c>
      <c r="I50" s="52">
        <f t="shared" si="28"/>
        <v>0</v>
      </c>
      <c r="J50" s="52"/>
      <c r="K50" s="129"/>
      <c r="L50" s="54">
        <f t="shared" si="26"/>
        <v>0</v>
      </c>
      <c r="M50" s="129"/>
      <c r="N50" s="54">
        <f t="shared" si="10"/>
        <v>0</v>
      </c>
      <c r="O50" s="54">
        <f t="shared" si="11"/>
        <v>0</v>
      </c>
      <c r="P50" s="1"/>
    </row>
    <row r="51" spans="2:16" ht="12.5">
      <c r="B51" s="7" t="str">
        <f t="shared" si="5"/>
        <v/>
      </c>
      <c r="C51" s="50">
        <f>IF(D11="","-",+C50+1)</f>
        <v>2044</v>
      </c>
      <c r="D51" s="55">
        <f>IF(F50+SUM(E$17:E50)=D$10,F50,D$10-SUM(E$17:E50))</f>
        <v>34765.842514880133</v>
      </c>
      <c r="E51" s="378">
        <f>IF(+I14&lt;F50,I14,D51)</f>
        <v>3643.0931818181821</v>
      </c>
      <c r="F51" s="55">
        <f t="shared" si="27"/>
        <v>31122.749333061951</v>
      </c>
      <c r="G51" s="379">
        <f t="shared" si="24"/>
        <v>7580.8303779721718</v>
      </c>
      <c r="H51" s="364">
        <f t="shared" si="25"/>
        <v>7580.8303779721718</v>
      </c>
      <c r="I51" s="52">
        <f t="shared" si="28"/>
        <v>0</v>
      </c>
      <c r="J51" s="52"/>
      <c r="K51" s="129"/>
      <c r="L51" s="54">
        <f t="shared" si="26"/>
        <v>0</v>
      </c>
      <c r="M51" s="129"/>
      <c r="N51" s="54">
        <f t="shared" si="10"/>
        <v>0</v>
      </c>
      <c r="O51" s="54">
        <f t="shared" si="11"/>
        <v>0</v>
      </c>
      <c r="P51" s="1"/>
    </row>
    <row r="52" spans="2:16" ht="12.5">
      <c r="B52" s="7" t="str">
        <f t="shared" si="5"/>
        <v/>
      </c>
      <c r="C52" s="50">
        <f>IF(D11="","-",+C51+1)</f>
        <v>2045</v>
      </c>
      <c r="D52" s="55">
        <f>IF(F51+SUM(E$17:E51)=D$10,F51,D$10-SUM(E$17:E51))</f>
        <v>31122.749333061951</v>
      </c>
      <c r="E52" s="378">
        <f>IF(+I14&lt;F51,I14,D52)</f>
        <v>3643.0931818181821</v>
      </c>
      <c r="F52" s="55">
        <f t="shared" si="27"/>
        <v>27479.656151243769</v>
      </c>
      <c r="G52" s="379">
        <f t="shared" si="24"/>
        <v>7145.3818996010723</v>
      </c>
      <c r="H52" s="364">
        <f t="shared" si="25"/>
        <v>7145.3818996010723</v>
      </c>
      <c r="I52" s="52">
        <f t="shared" si="28"/>
        <v>0</v>
      </c>
      <c r="J52" s="52"/>
      <c r="K52" s="129"/>
      <c r="L52" s="54">
        <f t="shared" si="26"/>
        <v>0</v>
      </c>
      <c r="M52" s="129"/>
      <c r="N52" s="54">
        <f t="shared" si="10"/>
        <v>0</v>
      </c>
      <c r="O52" s="54">
        <f t="shared" si="11"/>
        <v>0</v>
      </c>
      <c r="P52" s="1"/>
    </row>
    <row r="53" spans="2:16" ht="12.5">
      <c r="B53" s="7" t="str">
        <f t="shared" si="5"/>
        <v/>
      </c>
      <c r="C53" s="50">
        <f>IF(D11="","-",+C52+1)</f>
        <v>2046</v>
      </c>
      <c r="D53" s="55">
        <f>IF(F52+SUM(E$17:E52)=D$10,F52,D$10-SUM(E$17:E52))</f>
        <v>27479.656151243769</v>
      </c>
      <c r="E53" s="378">
        <f>IF(+I14&lt;F52,I14,D53)</f>
        <v>3643.0931818181821</v>
      </c>
      <c r="F53" s="55">
        <f t="shared" si="27"/>
        <v>23836.562969425588</v>
      </c>
      <c r="G53" s="379">
        <f t="shared" si="24"/>
        <v>6709.9334212299709</v>
      </c>
      <c r="H53" s="364">
        <f t="shared" si="25"/>
        <v>6709.9334212299709</v>
      </c>
      <c r="I53" s="52">
        <f t="shared" si="28"/>
        <v>0</v>
      </c>
      <c r="J53" s="52"/>
      <c r="K53" s="129"/>
      <c r="L53" s="54">
        <f t="shared" si="26"/>
        <v>0</v>
      </c>
      <c r="M53" s="129"/>
      <c r="N53" s="54">
        <f t="shared" si="10"/>
        <v>0</v>
      </c>
      <c r="O53" s="54">
        <f t="shared" si="11"/>
        <v>0</v>
      </c>
      <c r="P53" s="1"/>
    </row>
    <row r="54" spans="2:16" ht="12.5">
      <c r="B54" s="7" t="str">
        <f t="shared" si="5"/>
        <v/>
      </c>
      <c r="C54" s="50">
        <f>IF(D11="","-",+C53+1)</f>
        <v>2047</v>
      </c>
      <c r="D54" s="55">
        <f>IF(F53+SUM(E$17:E53)=D$10,F53,D$10-SUM(E$17:E53))</f>
        <v>23836.562969425588</v>
      </c>
      <c r="E54" s="378">
        <f>IF(+I14&lt;F53,I14,D54)</f>
        <v>3643.0931818181821</v>
      </c>
      <c r="F54" s="55">
        <f t="shared" si="27"/>
        <v>20193.469787607406</v>
      </c>
      <c r="G54" s="379">
        <f t="shared" si="24"/>
        <v>6274.4849428588705</v>
      </c>
      <c r="H54" s="364">
        <f t="shared" si="25"/>
        <v>6274.4849428588705</v>
      </c>
      <c r="I54" s="52">
        <f t="shared" si="28"/>
        <v>0</v>
      </c>
      <c r="J54" s="52"/>
      <c r="K54" s="129"/>
      <c r="L54" s="54">
        <f t="shared" si="26"/>
        <v>0</v>
      </c>
      <c r="M54" s="129"/>
      <c r="N54" s="54">
        <f t="shared" si="10"/>
        <v>0</v>
      </c>
      <c r="O54" s="54">
        <f t="shared" si="11"/>
        <v>0</v>
      </c>
      <c r="P54" s="1"/>
    </row>
    <row r="55" spans="2:16" ht="12.5">
      <c r="B55" s="7" t="str">
        <f t="shared" si="5"/>
        <v/>
      </c>
      <c r="C55" s="50">
        <f>IF(D11="","-",+C54+1)</f>
        <v>2048</v>
      </c>
      <c r="D55" s="55">
        <f>IF(F54+SUM(E$17:E54)=D$10,F54,D$10-SUM(E$17:E54))</f>
        <v>20193.469787607406</v>
      </c>
      <c r="E55" s="378">
        <f>IF(+I14&lt;F54,I14,D55)</f>
        <v>3643.0931818181821</v>
      </c>
      <c r="F55" s="55">
        <f t="shared" si="27"/>
        <v>16550.376605789224</v>
      </c>
      <c r="G55" s="379">
        <f t="shared" si="24"/>
        <v>5839.0364644877691</v>
      </c>
      <c r="H55" s="364">
        <f t="shared" si="25"/>
        <v>5839.0364644877691</v>
      </c>
      <c r="I55" s="52">
        <f t="shared" si="28"/>
        <v>0</v>
      </c>
      <c r="J55" s="52"/>
      <c r="K55" s="129"/>
      <c r="L55" s="54">
        <f t="shared" si="26"/>
        <v>0</v>
      </c>
      <c r="M55" s="129"/>
      <c r="N55" s="54">
        <f t="shared" si="10"/>
        <v>0</v>
      </c>
      <c r="O55" s="54">
        <f t="shared" si="11"/>
        <v>0</v>
      </c>
      <c r="P55" s="1"/>
    </row>
    <row r="56" spans="2:16" ht="12.5">
      <c r="B56" s="7" t="str">
        <f t="shared" si="5"/>
        <v/>
      </c>
      <c r="C56" s="50">
        <f>IF(D11="","-",+C55+1)</f>
        <v>2049</v>
      </c>
      <c r="D56" s="55">
        <f>IF(F55+SUM(E$17:E55)=D$10,F55,D$10-SUM(E$17:E55))</f>
        <v>16550.376605789224</v>
      </c>
      <c r="E56" s="378">
        <f>IF(+I14&lt;F55,I14,D56)</f>
        <v>3643.0931818181821</v>
      </c>
      <c r="F56" s="55">
        <f t="shared" si="27"/>
        <v>12907.283423971043</v>
      </c>
      <c r="G56" s="379">
        <f t="shared" ref="G56:G72" si="29">+I$12*((D56+F56)/2)+E56</f>
        <v>5403.5879861166686</v>
      </c>
      <c r="H56" s="364">
        <f t="shared" ref="H56:H72" si="30">+I$13*((D56+F56)/2)+E56</f>
        <v>5403.5879861166686</v>
      </c>
      <c r="I56" s="52">
        <f t="shared" si="28"/>
        <v>0</v>
      </c>
      <c r="J56" s="52"/>
      <c r="K56" s="129"/>
      <c r="L56" s="54">
        <f t="shared" si="26"/>
        <v>0</v>
      </c>
      <c r="M56" s="129"/>
      <c r="N56" s="54">
        <f t="shared" si="10"/>
        <v>0</v>
      </c>
      <c r="O56" s="54">
        <f t="shared" si="11"/>
        <v>0</v>
      </c>
      <c r="P56" s="1"/>
    </row>
    <row r="57" spans="2:16" ht="12.5">
      <c r="B57" s="7" t="str">
        <f t="shared" si="5"/>
        <v/>
      </c>
      <c r="C57" s="50">
        <f>IF(D11="","-",+C56+1)</f>
        <v>2050</v>
      </c>
      <c r="D57" s="55">
        <f>IF(F56+SUM(E$17:E56)=D$10,F56,D$10-SUM(E$17:E56))</f>
        <v>12907.283423971043</v>
      </c>
      <c r="E57" s="378">
        <f>IF(+I14&lt;F56,I14,D57)</f>
        <v>3643.0931818181821</v>
      </c>
      <c r="F57" s="55">
        <f t="shared" si="27"/>
        <v>9264.1902421528612</v>
      </c>
      <c r="G57" s="379">
        <f t="shared" si="29"/>
        <v>4968.1395077455682</v>
      </c>
      <c r="H57" s="364">
        <f t="shared" si="30"/>
        <v>4968.1395077455682</v>
      </c>
      <c r="I57" s="52">
        <f t="shared" si="28"/>
        <v>0</v>
      </c>
      <c r="J57" s="52"/>
      <c r="K57" s="129"/>
      <c r="L57" s="54">
        <f t="shared" si="26"/>
        <v>0</v>
      </c>
      <c r="M57" s="129"/>
      <c r="N57" s="54">
        <f t="shared" si="10"/>
        <v>0</v>
      </c>
      <c r="O57" s="54">
        <f t="shared" si="11"/>
        <v>0</v>
      </c>
      <c r="P57" s="1"/>
    </row>
    <row r="58" spans="2:16" ht="12.5">
      <c r="B58" s="7" t="str">
        <f t="shared" si="5"/>
        <v/>
      </c>
      <c r="C58" s="50">
        <f>IF(D11="","-",+C57+1)</f>
        <v>2051</v>
      </c>
      <c r="D58" s="55">
        <f>IF(F57+SUM(E$17:E57)=D$10,F57,D$10-SUM(E$17:E57))</f>
        <v>9264.1902421528612</v>
      </c>
      <c r="E58" s="378">
        <f>IF(+I14&lt;F57,I14,D58)</f>
        <v>3643.0931818181821</v>
      </c>
      <c r="F58" s="55">
        <f t="shared" si="27"/>
        <v>5621.0970603346796</v>
      </c>
      <c r="G58" s="379">
        <f t="shared" si="29"/>
        <v>4532.6910293744677</v>
      </c>
      <c r="H58" s="364">
        <f t="shared" si="30"/>
        <v>4532.6910293744677</v>
      </c>
      <c r="I58" s="52">
        <f t="shared" si="28"/>
        <v>0</v>
      </c>
      <c r="J58" s="52"/>
      <c r="K58" s="129"/>
      <c r="L58" s="54">
        <f t="shared" si="26"/>
        <v>0</v>
      </c>
      <c r="M58" s="129"/>
      <c r="N58" s="54">
        <f t="shared" si="10"/>
        <v>0</v>
      </c>
      <c r="O58" s="54">
        <f t="shared" si="11"/>
        <v>0</v>
      </c>
      <c r="P58" s="1"/>
    </row>
    <row r="59" spans="2:16" ht="12.5">
      <c r="B59" s="7" t="str">
        <f t="shared" si="5"/>
        <v/>
      </c>
      <c r="C59" s="50">
        <f>IF(D11="","-",+C58+1)</f>
        <v>2052</v>
      </c>
      <c r="D59" s="55">
        <f>IF(F58+SUM(E$17:E58)=D$10,F58,D$10-SUM(E$17:E58))</f>
        <v>5621.0970603346796</v>
      </c>
      <c r="E59" s="378">
        <f>IF(+I14&lt;F58,I14,D59)</f>
        <v>3643.0931818181821</v>
      </c>
      <c r="F59" s="55">
        <f t="shared" si="27"/>
        <v>1978.0038785164975</v>
      </c>
      <c r="G59" s="379">
        <f t="shared" si="29"/>
        <v>4097.2425510033663</v>
      </c>
      <c r="H59" s="364">
        <f t="shared" si="30"/>
        <v>4097.2425510033663</v>
      </c>
      <c r="I59" s="52">
        <f t="shared" si="28"/>
        <v>0</v>
      </c>
      <c r="J59" s="52"/>
      <c r="K59" s="129"/>
      <c r="L59" s="54">
        <f t="shared" si="26"/>
        <v>0</v>
      </c>
      <c r="M59" s="129"/>
      <c r="N59" s="54">
        <f t="shared" si="10"/>
        <v>0</v>
      </c>
      <c r="O59" s="54">
        <f t="shared" si="11"/>
        <v>0</v>
      </c>
      <c r="P59" s="1"/>
    </row>
    <row r="60" spans="2:16" ht="12.5">
      <c r="B60" s="7" t="str">
        <f t="shared" si="5"/>
        <v/>
      </c>
      <c r="C60" s="50">
        <f>IF(D11="","-",+C59+1)</f>
        <v>2053</v>
      </c>
      <c r="D60" s="55">
        <f>IF(F59+SUM(E$17:E59)=D$10,F59,D$10-SUM(E$17:E59))</f>
        <v>1978.0038785164975</v>
      </c>
      <c r="E60" s="378">
        <f>IF(+I14&lt;F59,I14,D60)</f>
        <v>1978.0038785164975</v>
      </c>
      <c r="F60" s="55">
        <f t="shared" si="27"/>
        <v>0</v>
      </c>
      <c r="G60" s="379">
        <f t="shared" si="29"/>
        <v>2096.2164435163145</v>
      </c>
      <c r="H60" s="364">
        <f t="shared" si="30"/>
        <v>2096.2164435163145</v>
      </c>
      <c r="I60" s="52">
        <f t="shared" si="28"/>
        <v>0</v>
      </c>
      <c r="J60" s="52"/>
      <c r="K60" s="129"/>
      <c r="L60" s="54">
        <f t="shared" si="26"/>
        <v>0</v>
      </c>
      <c r="M60" s="129"/>
      <c r="N60" s="54">
        <f t="shared" si="10"/>
        <v>0</v>
      </c>
      <c r="O60" s="54">
        <f t="shared" si="11"/>
        <v>0</v>
      </c>
      <c r="P60" s="1"/>
    </row>
    <row r="61" spans="2:16" ht="12.5">
      <c r="B61" s="7" t="str">
        <f t="shared" si="5"/>
        <v/>
      </c>
      <c r="C61" s="50">
        <f>IF(D11="","-",+C60+1)</f>
        <v>2054</v>
      </c>
      <c r="D61" s="55">
        <f>IF(F60+SUM(E$17:E60)=D$10,F60,D$10-SUM(E$17:E60))</f>
        <v>0</v>
      </c>
      <c r="E61" s="378">
        <f>IF(+I14&lt;F60,I14,D61)</f>
        <v>0</v>
      </c>
      <c r="F61" s="55">
        <f t="shared" si="27"/>
        <v>0</v>
      </c>
      <c r="G61" s="380">
        <f t="shared" si="29"/>
        <v>0</v>
      </c>
      <c r="H61" s="364">
        <f t="shared" si="30"/>
        <v>0</v>
      </c>
      <c r="I61" s="52">
        <f t="shared" si="28"/>
        <v>0</v>
      </c>
      <c r="J61" s="52"/>
      <c r="K61" s="129"/>
      <c r="L61" s="54">
        <f t="shared" si="26"/>
        <v>0</v>
      </c>
      <c r="M61" s="129"/>
      <c r="N61" s="54">
        <f t="shared" si="10"/>
        <v>0</v>
      </c>
      <c r="O61" s="54">
        <f t="shared" si="11"/>
        <v>0</v>
      </c>
      <c r="P61" s="1"/>
    </row>
    <row r="62" spans="2:16" ht="12.5">
      <c r="B62" s="7" t="str">
        <f t="shared" si="5"/>
        <v/>
      </c>
      <c r="C62" s="50">
        <f>IF(D11="","-",+C61+1)</f>
        <v>2055</v>
      </c>
      <c r="D62" s="55">
        <f>IF(F61+SUM(E$17:E61)=D$10,F61,D$10-SUM(E$17:E61))</f>
        <v>0</v>
      </c>
      <c r="E62" s="378">
        <f>IF(+I14&lt;F61,I14,D62)</f>
        <v>0</v>
      </c>
      <c r="F62" s="55">
        <f t="shared" si="27"/>
        <v>0</v>
      </c>
      <c r="G62" s="380">
        <f t="shared" si="29"/>
        <v>0</v>
      </c>
      <c r="H62" s="364">
        <f t="shared" si="30"/>
        <v>0</v>
      </c>
      <c r="I62" s="52">
        <f t="shared" si="28"/>
        <v>0</v>
      </c>
      <c r="J62" s="52"/>
      <c r="K62" s="129"/>
      <c r="L62" s="54">
        <f t="shared" si="26"/>
        <v>0</v>
      </c>
      <c r="M62" s="129"/>
      <c r="N62" s="54">
        <f t="shared" si="10"/>
        <v>0</v>
      </c>
      <c r="O62" s="54">
        <f t="shared" si="11"/>
        <v>0</v>
      </c>
      <c r="P62" s="1"/>
    </row>
    <row r="63" spans="2:16" ht="12.5">
      <c r="B63" s="7" t="str">
        <f t="shared" si="5"/>
        <v/>
      </c>
      <c r="C63" s="50">
        <f>IF(D11="","-",+C62+1)</f>
        <v>2056</v>
      </c>
      <c r="D63" s="55">
        <f>IF(F62+SUM(E$17:E62)=D$10,F62,D$10-SUM(E$17:E62))</f>
        <v>0</v>
      </c>
      <c r="E63" s="378">
        <f>IF(+I14&lt;F62,I14,D63)</f>
        <v>0</v>
      </c>
      <c r="F63" s="55">
        <f t="shared" si="27"/>
        <v>0</v>
      </c>
      <c r="G63" s="380">
        <f t="shared" si="29"/>
        <v>0</v>
      </c>
      <c r="H63" s="364">
        <f t="shared" si="30"/>
        <v>0</v>
      </c>
      <c r="I63" s="52">
        <f t="shared" si="28"/>
        <v>0</v>
      </c>
      <c r="J63" s="52"/>
      <c r="K63" s="129"/>
      <c r="L63" s="54">
        <f t="shared" si="26"/>
        <v>0</v>
      </c>
      <c r="M63" s="129"/>
      <c r="N63" s="54">
        <f t="shared" si="10"/>
        <v>0</v>
      </c>
      <c r="O63" s="54">
        <f t="shared" si="11"/>
        <v>0</v>
      </c>
      <c r="P63" s="1"/>
    </row>
    <row r="64" spans="2:16" ht="12.5">
      <c r="B64" s="7" t="str">
        <f t="shared" si="5"/>
        <v/>
      </c>
      <c r="C64" s="50">
        <f>IF(D11="","-",+C63+1)</f>
        <v>2057</v>
      </c>
      <c r="D64" s="55">
        <f>IF(F63+SUM(E$17:E63)=D$10,F63,D$10-SUM(E$17:E63))</f>
        <v>0</v>
      </c>
      <c r="E64" s="378">
        <f>IF(+I14&lt;F63,I14,D64)</f>
        <v>0</v>
      </c>
      <c r="F64" s="55">
        <f t="shared" si="27"/>
        <v>0</v>
      </c>
      <c r="G64" s="380">
        <f t="shared" si="29"/>
        <v>0</v>
      </c>
      <c r="H64" s="364">
        <f t="shared" si="30"/>
        <v>0</v>
      </c>
      <c r="I64" s="52">
        <f t="shared" si="28"/>
        <v>0</v>
      </c>
      <c r="J64" s="52"/>
      <c r="K64" s="129"/>
      <c r="L64" s="54">
        <f t="shared" si="26"/>
        <v>0</v>
      </c>
      <c r="M64" s="129"/>
      <c r="N64" s="54">
        <f t="shared" si="10"/>
        <v>0</v>
      </c>
      <c r="O64" s="54">
        <f t="shared" si="11"/>
        <v>0</v>
      </c>
      <c r="P64" s="1"/>
    </row>
    <row r="65" spans="2:16" ht="12.5">
      <c r="B65" s="7" t="str">
        <f t="shared" si="5"/>
        <v/>
      </c>
      <c r="C65" s="50">
        <f>IF(D11="","-",+C64+1)</f>
        <v>2058</v>
      </c>
      <c r="D65" s="55">
        <f>IF(F64+SUM(E$17:E64)=D$10,F64,D$10-SUM(E$17:E64))</f>
        <v>0</v>
      </c>
      <c r="E65" s="378">
        <f>IF(+I14&lt;F64,I14,D65)</f>
        <v>0</v>
      </c>
      <c r="F65" s="55">
        <f t="shared" si="27"/>
        <v>0</v>
      </c>
      <c r="G65" s="380">
        <f t="shared" si="29"/>
        <v>0</v>
      </c>
      <c r="H65" s="364">
        <f t="shared" si="30"/>
        <v>0</v>
      </c>
      <c r="I65" s="52">
        <f t="shared" si="28"/>
        <v>0</v>
      </c>
      <c r="J65" s="52"/>
      <c r="K65" s="129"/>
      <c r="L65" s="54">
        <f t="shared" si="26"/>
        <v>0</v>
      </c>
      <c r="M65" s="129"/>
      <c r="N65" s="54">
        <f t="shared" si="10"/>
        <v>0</v>
      </c>
      <c r="O65" s="54">
        <f t="shared" si="11"/>
        <v>0</v>
      </c>
      <c r="P65" s="1"/>
    </row>
    <row r="66" spans="2:16" ht="12.5">
      <c r="B66" s="7" t="str">
        <f t="shared" si="5"/>
        <v/>
      </c>
      <c r="C66" s="50">
        <f>IF(D11="","-",+C65+1)</f>
        <v>2059</v>
      </c>
      <c r="D66" s="55">
        <f>IF(F65+SUM(E$17:E65)=D$10,F65,D$10-SUM(E$17:E65))</f>
        <v>0</v>
      </c>
      <c r="E66" s="378">
        <f>IF(+I14&lt;F65,I14,D66)</f>
        <v>0</v>
      </c>
      <c r="F66" s="55">
        <f t="shared" si="27"/>
        <v>0</v>
      </c>
      <c r="G66" s="380">
        <f t="shared" si="29"/>
        <v>0</v>
      </c>
      <c r="H66" s="364">
        <f t="shared" si="30"/>
        <v>0</v>
      </c>
      <c r="I66" s="52">
        <f t="shared" si="28"/>
        <v>0</v>
      </c>
      <c r="J66" s="52"/>
      <c r="K66" s="129"/>
      <c r="L66" s="54">
        <f t="shared" si="26"/>
        <v>0</v>
      </c>
      <c r="M66" s="129"/>
      <c r="N66" s="54">
        <f t="shared" si="10"/>
        <v>0</v>
      </c>
      <c r="O66" s="54">
        <f t="shared" si="11"/>
        <v>0</v>
      </c>
      <c r="P66" s="1"/>
    </row>
    <row r="67" spans="2:16" ht="12.5">
      <c r="B67" s="7" t="str">
        <f t="shared" si="5"/>
        <v/>
      </c>
      <c r="C67" s="50">
        <f>IF(D11="","-",+C66+1)</f>
        <v>2060</v>
      </c>
      <c r="D67" s="55">
        <f>IF(F66+SUM(E$17:E66)=D$10,F66,D$10-SUM(E$17:E66))</f>
        <v>0</v>
      </c>
      <c r="E67" s="378">
        <f>IF(+I14&lt;F66,I14,D67)</f>
        <v>0</v>
      </c>
      <c r="F67" s="55">
        <f t="shared" si="27"/>
        <v>0</v>
      </c>
      <c r="G67" s="380">
        <f t="shared" si="29"/>
        <v>0</v>
      </c>
      <c r="H67" s="364">
        <f t="shared" si="30"/>
        <v>0</v>
      </c>
      <c r="I67" s="52">
        <f t="shared" si="28"/>
        <v>0</v>
      </c>
      <c r="J67" s="52"/>
      <c r="K67" s="129"/>
      <c r="L67" s="54">
        <f t="shared" si="26"/>
        <v>0</v>
      </c>
      <c r="M67" s="129"/>
      <c r="N67" s="54">
        <f t="shared" si="10"/>
        <v>0</v>
      </c>
      <c r="O67" s="54">
        <f t="shared" si="11"/>
        <v>0</v>
      </c>
      <c r="P67" s="1"/>
    </row>
    <row r="68" spans="2:16" ht="12.5">
      <c r="B68" s="7" t="str">
        <f t="shared" si="5"/>
        <v/>
      </c>
      <c r="C68" s="50">
        <f>IF(D11="","-",+C67+1)</f>
        <v>2061</v>
      </c>
      <c r="D68" s="55">
        <f>IF(F67+SUM(E$17:E67)=D$10,F67,D$10-SUM(E$17:E67))</f>
        <v>0</v>
      </c>
      <c r="E68" s="378">
        <f>IF(+I14&lt;F67,I14,D68)</f>
        <v>0</v>
      </c>
      <c r="F68" s="55">
        <f t="shared" si="27"/>
        <v>0</v>
      </c>
      <c r="G68" s="380">
        <f t="shared" si="29"/>
        <v>0</v>
      </c>
      <c r="H68" s="364">
        <f t="shared" si="30"/>
        <v>0</v>
      </c>
      <c r="I68" s="52">
        <f t="shared" si="28"/>
        <v>0</v>
      </c>
      <c r="J68" s="52"/>
      <c r="K68" s="129"/>
      <c r="L68" s="54">
        <f t="shared" si="26"/>
        <v>0</v>
      </c>
      <c r="M68" s="129"/>
      <c r="N68" s="54">
        <f t="shared" si="10"/>
        <v>0</v>
      </c>
      <c r="O68" s="54">
        <f t="shared" si="11"/>
        <v>0</v>
      </c>
      <c r="P68" s="1"/>
    </row>
    <row r="69" spans="2:16" ht="12.5">
      <c r="B69" s="7" t="str">
        <f t="shared" si="5"/>
        <v/>
      </c>
      <c r="C69" s="50">
        <f>IF(D11="","-",+C68+1)</f>
        <v>2062</v>
      </c>
      <c r="D69" s="55">
        <f>IF(F68+SUM(E$17:E68)=D$10,F68,D$10-SUM(E$17:E68))</f>
        <v>0</v>
      </c>
      <c r="E69" s="378">
        <f>IF(+I14&lt;F68,I14,D69)</f>
        <v>0</v>
      </c>
      <c r="F69" s="55">
        <f t="shared" si="27"/>
        <v>0</v>
      </c>
      <c r="G69" s="380">
        <f t="shared" si="29"/>
        <v>0</v>
      </c>
      <c r="H69" s="364">
        <f t="shared" si="30"/>
        <v>0</v>
      </c>
      <c r="I69" s="52">
        <f t="shared" si="28"/>
        <v>0</v>
      </c>
      <c r="J69" s="52"/>
      <c r="K69" s="129"/>
      <c r="L69" s="54">
        <f t="shared" si="26"/>
        <v>0</v>
      </c>
      <c r="M69" s="129"/>
      <c r="N69" s="54">
        <f t="shared" si="10"/>
        <v>0</v>
      </c>
      <c r="O69" s="54">
        <f t="shared" si="11"/>
        <v>0</v>
      </c>
      <c r="P69" s="1"/>
    </row>
    <row r="70" spans="2:16" ht="12.5">
      <c r="B70" s="7" t="str">
        <f t="shared" si="5"/>
        <v/>
      </c>
      <c r="C70" s="50">
        <f>IF(D11="","-",+C69+1)</f>
        <v>2063</v>
      </c>
      <c r="D70" s="55">
        <f>IF(F69+SUM(E$17:E69)=D$10,F69,D$10-SUM(E$17:E69))</f>
        <v>0</v>
      </c>
      <c r="E70" s="378">
        <f>IF(+I14&lt;F69,I14,D70)</f>
        <v>0</v>
      </c>
      <c r="F70" s="55">
        <f t="shared" si="27"/>
        <v>0</v>
      </c>
      <c r="G70" s="380">
        <f t="shared" si="29"/>
        <v>0</v>
      </c>
      <c r="H70" s="364">
        <f t="shared" si="30"/>
        <v>0</v>
      </c>
      <c r="I70" s="52">
        <f t="shared" si="28"/>
        <v>0</v>
      </c>
      <c r="J70" s="52"/>
      <c r="K70" s="129"/>
      <c r="L70" s="54">
        <f t="shared" si="26"/>
        <v>0</v>
      </c>
      <c r="M70" s="129"/>
      <c r="N70" s="54">
        <f t="shared" si="10"/>
        <v>0</v>
      </c>
      <c r="O70" s="54">
        <f t="shared" si="11"/>
        <v>0</v>
      </c>
      <c r="P70" s="1"/>
    </row>
    <row r="71" spans="2:16" ht="12.5">
      <c r="B71" s="7" t="str">
        <f t="shared" si="5"/>
        <v/>
      </c>
      <c r="C71" s="50">
        <f>IF(D11="","-",+C70+1)</f>
        <v>2064</v>
      </c>
      <c r="D71" s="55">
        <f>IF(F70+SUM(E$17:E70)=D$10,F70,D$10-SUM(E$17:E70))</f>
        <v>0</v>
      </c>
      <c r="E71" s="378">
        <f>IF(+I14&lt;F70,I14,D71)</f>
        <v>0</v>
      </c>
      <c r="F71" s="55">
        <f t="shared" si="27"/>
        <v>0</v>
      </c>
      <c r="G71" s="380">
        <f t="shared" si="29"/>
        <v>0</v>
      </c>
      <c r="H71" s="364">
        <f t="shared" si="30"/>
        <v>0</v>
      </c>
      <c r="I71" s="52">
        <f t="shared" si="28"/>
        <v>0</v>
      </c>
      <c r="J71" s="52"/>
      <c r="K71" s="129"/>
      <c r="L71" s="54">
        <f t="shared" si="26"/>
        <v>0</v>
      </c>
      <c r="M71" s="129"/>
      <c r="N71" s="54">
        <f t="shared" si="10"/>
        <v>0</v>
      </c>
      <c r="O71" s="54">
        <f t="shared" si="11"/>
        <v>0</v>
      </c>
      <c r="P71" s="1"/>
    </row>
    <row r="72" spans="2:16" ht="13" thickBot="1">
      <c r="B72" s="7" t="str">
        <f t="shared" si="5"/>
        <v/>
      </c>
      <c r="C72" s="59">
        <f>IF(D11="","-",+C71+1)</f>
        <v>2065</v>
      </c>
      <c r="D72" s="60">
        <f>IF(F71+SUM(E$17:E71)=D$10,F71,D$10-SUM(E$17:E71))</f>
        <v>0</v>
      </c>
      <c r="E72" s="381">
        <f>IF(+I14&lt;F71,I14,D72)</f>
        <v>0</v>
      </c>
      <c r="F72" s="60">
        <f t="shared" si="27"/>
        <v>0</v>
      </c>
      <c r="G72" s="382">
        <f t="shared" si="29"/>
        <v>0</v>
      </c>
      <c r="H72" s="362">
        <f t="shared" si="30"/>
        <v>0</v>
      </c>
      <c r="I72" s="63">
        <f t="shared" si="28"/>
        <v>0</v>
      </c>
      <c r="J72" s="52"/>
      <c r="K72" s="130"/>
      <c r="L72" s="64">
        <f t="shared" si="26"/>
        <v>0</v>
      </c>
      <c r="M72" s="130"/>
      <c r="N72" s="64">
        <f t="shared" si="10"/>
        <v>0</v>
      </c>
      <c r="O72" s="64">
        <f t="shared" si="11"/>
        <v>0</v>
      </c>
      <c r="P72" s="1"/>
    </row>
    <row r="73" spans="2:16" ht="12.5">
      <c r="C73" s="12" t="s">
        <v>78</v>
      </c>
      <c r="D73" s="293"/>
      <c r="E73" s="293">
        <f>SUM(E17:E72)</f>
        <v>160296.09999999995</v>
      </c>
      <c r="F73" s="293"/>
      <c r="G73" s="293">
        <f>SUM(G17:G72)</f>
        <v>587248.0270381599</v>
      </c>
      <c r="H73" s="293">
        <f>SUM(H17:H72)</f>
        <v>587248.0270381599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 ht="13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48 of 77</v>
      </c>
    </row>
    <row r="84" spans="1:16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16289.799945394194</v>
      </c>
      <c r="N87" s="387">
        <f>IF(J92&lt;D11,0,VLOOKUP(J92,C17:O72,11))</f>
        <v>16289.799945394194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19185.842143042508</v>
      </c>
      <c r="N88" s="390">
        <f>IF(J92&lt;D11,0,VLOOKUP(J92,C99:P154,7))</f>
        <v>19185.842143042508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MINEOLA - NORTH MINEOLA 69KV CKT 1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2896.042197648314</v>
      </c>
      <c r="N89" s="392">
        <f>+N88-N87</f>
        <v>2896.042197648314</v>
      </c>
      <c r="O89" s="393">
        <f>+O88-O87</f>
        <v>0</v>
      </c>
      <c r="P89" s="1"/>
    </row>
    <row r="90" spans="1:16" ht="13.5" thickBot="1">
      <c r="C90" s="29"/>
      <c r="D90" s="444" t="str">
        <f>S.047!D90</f>
        <v xml:space="preserve">***Sch. 11 recovery commenced in the 2015 rate year.  Beg Bal = to depreciated balance as of 1/1/15. *** </v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TP2007166</v>
      </c>
      <c r="E91" s="76" t="str">
        <f>E9</f>
        <v xml:space="preserve">  SPP Project ID = 294</v>
      </c>
      <c r="F91" s="76"/>
      <c r="G91" s="76"/>
      <c r="H91" s="76"/>
      <c r="I91" s="76"/>
      <c r="J91" s="76"/>
    </row>
    <row r="92" spans="1:16" ht="13">
      <c r="C92" s="34" t="s">
        <v>51</v>
      </c>
      <c r="D92" s="428">
        <f>D10</f>
        <v>160296.1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</row>
    <row r="93" spans="1:16" ht="12.5">
      <c r="C93" s="34" t="s">
        <v>54</v>
      </c>
      <c r="D93" s="88">
        <f>D11</f>
        <v>2010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88">
        <f>D12</f>
        <v>3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3643.0931818181821</v>
      </c>
      <c r="K96" s="293"/>
      <c r="L96" s="293"/>
      <c r="M96" s="293"/>
      <c r="N96" s="293"/>
      <c r="O96" s="293"/>
      <c r="P96" s="1"/>
    </row>
    <row r="97" spans="1:16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 ht="12.5">
      <c r="C99" s="50">
        <f>IF(D93= "","-",D93)</f>
        <v>2010</v>
      </c>
      <c r="D99" s="12"/>
      <c r="E99" s="379"/>
      <c r="F99" s="55"/>
      <c r="G99" s="83"/>
      <c r="H99" s="416"/>
      <c r="I99" s="417"/>
      <c r="J99" s="54"/>
      <c r="K99" s="54"/>
      <c r="L99" s="112"/>
      <c r="M99" s="53">
        <f t="shared" ref="M99:M130" si="31">IF(L99&lt;&gt;0,+H99-L99,0)</f>
        <v>0</v>
      </c>
      <c r="N99" s="112"/>
      <c r="O99" s="53">
        <f t="shared" ref="O99:O130" si="32">IF(N99&lt;&gt;0,+I99-N99,0)</f>
        <v>0</v>
      </c>
      <c r="P99" s="53">
        <f t="shared" ref="P99:P130" si="33">+O99-M99</f>
        <v>0</v>
      </c>
    </row>
    <row r="100" spans="1:16" ht="12.5">
      <c r="B100" s="7" t="str">
        <f>IF(D100=F99,"","IU")</f>
        <v/>
      </c>
      <c r="C100" s="50">
        <f>IF(D93="","-",+C99+1)</f>
        <v>2011</v>
      </c>
      <c r="D100" s="12"/>
      <c r="E100" s="378"/>
      <c r="F100" s="55"/>
      <c r="G100" s="55"/>
      <c r="H100" s="380"/>
      <c r="I100" s="399"/>
      <c r="J100" s="54"/>
      <c r="K100" s="54"/>
      <c r="L100" s="113"/>
      <c r="M100" s="54">
        <f t="shared" si="31"/>
        <v>0</v>
      </c>
      <c r="N100" s="113"/>
      <c r="O100" s="54">
        <f t="shared" si="32"/>
        <v>0</v>
      </c>
      <c r="P100" s="54">
        <f t="shared" si="33"/>
        <v>0</v>
      </c>
    </row>
    <row r="101" spans="1:16" ht="12.5">
      <c r="B101" s="7" t="str">
        <f t="shared" ref="B101:B154" si="34">IF(D101=F100,"","IU")</f>
        <v/>
      </c>
      <c r="C101" s="50">
        <f>IF(D93="","-",+C100+1)</f>
        <v>2012</v>
      </c>
      <c r="D101" s="12"/>
      <c r="E101" s="378"/>
      <c r="F101" s="55"/>
      <c r="G101" s="55"/>
      <c r="H101" s="380"/>
      <c r="I101" s="399"/>
      <c r="J101" s="54"/>
      <c r="K101" s="54"/>
      <c r="L101" s="113"/>
      <c r="M101" s="54">
        <f t="shared" si="31"/>
        <v>0</v>
      </c>
      <c r="N101" s="113"/>
      <c r="O101" s="54">
        <f t="shared" si="32"/>
        <v>0</v>
      </c>
      <c r="P101" s="54">
        <f t="shared" si="33"/>
        <v>0</v>
      </c>
    </row>
    <row r="102" spans="1:16" ht="12.5">
      <c r="B102" s="7" t="str">
        <f t="shared" si="34"/>
        <v/>
      </c>
      <c r="C102" s="50">
        <f>IF(D93="","-",+C101+1)</f>
        <v>2013</v>
      </c>
      <c r="D102" s="12"/>
      <c r="E102" s="378"/>
      <c r="F102" s="55"/>
      <c r="G102" s="55"/>
      <c r="H102" s="380"/>
      <c r="I102" s="399"/>
      <c r="J102" s="54"/>
      <c r="K102" s="54"/>
      <c r="L102" s="113"/>
      <c r="M102" s="54">
        <f t="shared" si="31"/>
        <v>0</v>
      </c>
      <c r="N102" s="113"/>
      <c r="O102" s="54">
        <f t="shared" si="32"/>
        <v>0</v>
      </c>
      <c r="P102" s="54">
        <f t="shared" si="33"/>
        <v>0</v>
      </c>
    </row>
    <row r="103" spans="1:16" ht="12.5">
      <c r="B103" s="7" t="str">
        <f t="shared" si="34"/>
        <v/>
      </c>
      <c r="C103" s="50">
        <f>IF(D93="","-",+C102+1)</f>
        <v>2014</v>
      </c>
      <c r="D103" s="12"/>
      <c r="E103" s="378"/>
      <c r="F103" s="55"/>
      <c r="G103" s="55"/>
      <c r="H103" s="380"/>
      <c r="I103" s="399"/>
      <c r="J103" s="54"/>
      <c r="K103" s="54"/>
      <c r="L103" s="113"/>
      <c r="M103" s="54">
        <f t="shared" si="31"/>
        <v>0</v>
      </c>
      <c r="N103" s="113"/>
      <c r="O103" s="54">
        <f t="shared" si="32"/>
        <v>0</v>
      </c>
      <c r="P103" s="54">
        <f t="shared" si="33"/>
        <v>0</v>
      </c>
    </row>
    <row r="104" spans="1:16" ht="12.5">
      <c r="B104" s="7" t="str">
        <f t="shared" si="34"/>
        <v>IU</v>
      </c>
      <c r="C104" s="50">
        <f>IF(D93="","-",+C103+1)</f>
        <v>2015</v>
      </c>
      <c r="D104" s="429">
        <v>142167.37440476194</v>
      </c>
      <c r="E104" s="430">
        <v>3384.9374858276651</v>
      </c>
      <c r="F104" s="431">
        <v>138782.43691893428</v>
      </c>
      <c r="G104" s="431">
        <v>140474.90566184811</v>
      </c>
      <c r="H104" s="433">
        <v>21895.158174484655</v>
      </c>
      <c r="I104" s="434">
        <v>21895.158174484655</v>
      </c>
      <c r="J104" s="54">
        <f>+I104-H104</f>
        <v>0</v>
      </c>
      <c r="K104" s="54"/>
      <c r="L104" s="113">
        <f t="shared" ref="L104:L109" si="35">+H104</f>
        <v>21895.158174484655</v>
      </c>
      <c r="M104" s="54">
        <f t="shared" si="31"/>
        <v>0</v>
      </c>
      <c r="N104" s="113">
        <f t="shared" ref="N104:N109" si="36">+I104</f>
        <v>21895.158174484655</v>
      </c>
      <c r="O104" s="54">
        <f t="shared" si="32"/>
        <v>0</v>
      </c>
      <c r="P104" s="54">
        <f t="shared" si="33"/>
        <v>0</v>
      </c>
    </row>
    <row r="105" spans="1:16" ht="12.5">
      <c r="B105" s="7" t="str">
        <f t="shared" si="34"/>
        <v>IU</v>
      </c>
      <c r="C105" s="50">
        <f>IF(D93="","-",+C104+1)</f>
        <v>2016</v>
      </c>
      <c r="D105" s="429">
        <v>156911.06251417234</v>
      </c>
      <c r="E105" s="430">
        <v>3727.8139534883721</v>
      </c>
      <c r="F105" s="431">
        <v>153183.24856068398</v>
      </c>
      <c r="G105" s="431">
        <v>155047.15553742816</v>
      </c>
      <c r="H105" s="433">
        <v>23411.048533108711</v>
      </c>
      <c r="I105" s="434">
        <v>23411.048533108711</v>
      </c>
      <c r="J105" s="54">
        <f>+I105-H105</f>
        <v>0</v>
      </c>
      <c r="K105" s="54"/>
      <c r="L105" s="113">
        <f t="shared" si="35"/>
        <v>23411.048533108711</v>
      </c>
      <c r="M105" s="54">
        <f t="shared" ref="M105:M110" si="37">IF(L105&lt;&gt;0,+H105-L105,0)</f>
        <v>0</v>
      </c>
      <c r="N105" s="113">
        <f t="shared" si="36"/>
        <v>23411.048533108711</v>
      </c>
      <c r="O105" s="54">
        <f>IF(N105&lt;&gt;0,+I105-N105,0)</f>
        <v>0</v>
      </c>
      <c r="P105" s="54">
        <f>+O105-M105</f>
        <v>0</v>
      </c>
    </row>
    <row r="106" spans="1:16" ht="12.5">
      <c r="B106" s="7" t="str">
        <f t="shared" si="34"/>
        <v/>
      </c>
      <c r="C106" s="50">
        <f>IF(D93="","-",+C105+1)</f>
        <v>2017</v>
      </c>
      <c r="D106" s="429">
        <v>153183.24856068398</v>
      </c>
      <c r="E106" s="430">
        <v>3816.5714285714284</v>
      </c>
      <c r="F106" s="431">
        <v>149366.67713211256</v>
      </c>
      <c r="G106" s="431">
        <v>151274.96284639827</v>
      </c>
      <c r="H106" s="433">
        <v>22192.161676613654</v>
      </c>
      <c r="I106" s="434">
        <v>22192.161676613654</v>
      </c>
      <c r="J106" s="54">
        <f t="shared" ref="J106:J154" si="38">+I106-H106</f>
        <v>0</v>
      </c>
      <c r="K106" s="54"/>
      <c r="L106" s="113">
        <f t="shared" si="35"/>
        <v>22192.161676613654</v>
      </c>
      <c r="M106" s="54">
        <f t="shared" si="37"/>
        <v>0</v>
      </c>
      <c r="N106" s="113">
        <f t="shared" si="36"/>
        <v>22192.161676613654</v>
      </c>
      <c r="O106" s="54">
        <f>IF(N106&lt;&gt;0,+I106-N106,0)</f>
        <v>0</v>
      </c>
      <c r="P106" s="54">
        <f>+O106-M106</f>
        <v>0</v>
      </c>
    </row>
    <row r="107" spans="1:16" ht="12.5">
      <c r="B107" s="7" t="str">
        <f t="shared" si="34"/>
        <v/>
      </c>
      <c r="C107" s="50">
        <f>IF(D93="","-",+C106+1)</f>
        <v>2018</v>
      </c>
      <c r="D107" s="429">
        <v>149366.67713211256</v>
      </c>
      <c r="E107" s="430">
        <v>3816.5714285714284</v>
      </c>
      <c r="F107" s="431">
        <v>145550.10570354114</v>
      </c>
      <c r="G107" s="431">
        <v>147458.39141782685</v>
      </c>
      <c r="H107" s="433">
        <v>19388.853779903409</v>
      </c>
      <c r="I107" s="434">
        <v>19388.853779903409</v>
      </c>
      <c r="J107" s="54">
        <f t="shared" si="38"/>
        <v>0</v>
      </c>
      <c r="K107" s="54"/>
      <c r="L107" s="113">
        <f t="shared" si="35"/>
        <v>19388.853779903409</v>
      </c>
      <c r="M107" s="54">
        <f t="shared" si="37"/>
        <v>0</v>
      </c>
      <c r="N107" s="113">
        <f t="shared" si="36"/>
        <v>19388.853779903409</v>
      </c>
      <c r="O107" s="54">
        <f>IF(N107&lt;&gt;0,+I107-N107,0)</f>
        <v>0</v>
      </c>
      <c r="P107" s="54">
        <f t="shared" si="33"/>
        <v>0</v>
      </c>
    </row>
    <row r="108" spans="1:16" ht="12.5">
      <c r="B108" s="7" t="str">
        <f t="shared" si="34"/>
        <v/>
      </c>
      <c r="C108" s="50">
        <f>IF(D93="","-",+C107+1)</f>
        <v>2019</v>
      </c>
      <c r="D108" s="429">
        <v>145550.10570354114</v>
      </c>
      <c r="E108" s="430">
        <v>3727.8139534883721</v>
      </c>
      <c r="F108" s="431">
        <v>141822.29175005277</v>
      </c>
      <c r="G108" s="431">
        <v>143686.19872679695</v>
      </c>
      <c r="H108" s="433">
        <v>19108.063195756004</v>
      </c>
      <c r="I108" s="434">
        <v>19108.063195756004</v>
      </c>
      <c r="J108" s="54">
        <f t="shared" si="38"/>
        <v>0</v>
      </c>
      <c r="K108" s="54"/>
      <c r="L108" s="113">
        <f t="shared" si="35"/>
        <v>19108.063195756004</v>
      </c>
      <c r="M108" s="54">
        <f t="shared" si="37"/>
        <v>0</v>
      </c>
      <c r="N108" s="113">
        <f t="shared" si="36"/>
        <v>19108.063195756004</v>
      </c>
      <c r="O108" s="54">
        <f t="shared" si="32"/>
        <v>0</v>
      </c>
      <c r="P108" s="54">
        <f t="shared" si="33"/>
        <v>0</v>
      </c>
    </row>
    <row r="109" spans="1:16" ht="12.5">
      <c r="B109" s="7" t="str">
        <f t="shared" si="34"/>
        <v/>
      </c>
      <c r="C109" s="50">
        <f>IF(D93="","-",+C108+1)</f>
        <v>2020</v>
      </c>
      <c r="D109" s="429">
        <v>141822.29175005277</v>
      </c>
      <c r="E109" s="430">
        <v>3816.5714285714284</v>
      </c>
      <c r="F109" s="431">
        <v>138005.72032148135</v>
      </c>
      <c r="G109" s="431">
        <v>139914.00603576706</v>
      </c>
      <c r="H109" s="433">
        <v>18867.657278370214</v>
      </c>
      <c r="I109" s="434">
        <v>18867.657278370214</v>
      </c>
      <c r="J109" s="54">
        <f t="shared" si="38"/>
        <v>0</v>
      </c>
      <c r="K109" s="54"/>
      <c r="L109" s="113">
        <f t="shared" si="35"/>
        <v>18867.657278370214</v>
      </c>
      <c r="M109" s="54">
        <f t="shared" si="37"/>
        <v>0</v>
      </c>
      <c r="N109" s="113">
        <f t="shared" si="36"/>
        <v>18867.657278370214</v>
      </c>
      <c r="O109" s="54">
        <f t="shared" si="32"/>
        <v>0</v>
      </c>
      <c r="P109" s="54">
        <f t="shared" si="33"/>
        <v>0</v>
      </c>
    </row>
    <row r="110" spans="1:16" ht="12.5">
      <c r="B110" s="7" t="str">
        <f t="shared" si="34"/>
        <v/>
      </c>
      <c r="C110" s="50">
        <f>IF(D93="","-",+C109+1)</f>
        <v>2021</v>
      </c>
      <c r="D110" s="429">
        <v>138005.72032148135</v>
      </c>
      <c r="E110" s="430">
        <v>3909.6585365853657</v>
      </c>
      <c r="F110" s="431">
        <v>134096.06178489598</v>
      </c>
      <c r="G110" s="431">
        <v>136050.89105318865</v>
      </c>
      <c r="H110" s="433">
        <v>19353.370181681992</v>
      </c>
      <c r="I110" s="434">
        <v>19353.370181681992</v>
      </c>
      <c r="J110" s="54">
        <f t="shared" si="38"/>
        <v>0</v>
      </c>
      <c r="K110" s="54"/>
      <c r="L110" s="113">
        <f t="shared" ref="L110" si="39">+H110</f>
        <v>19353.370181681992</v>
      </c>
      <c r="M110" s="54">
        <f t="shared" si="37"/>
        <v>0</v>
      </c>
      <c r="N110" s="113">
        <f t="shared" ref="N110" si="40">+I110</f>
        <v>19353.370181681992</v>
      </c>
      <c r="O110" s="54">
        <f t="shared" si="32"/>
        <v>0</v>
      </c>
      <c r="P110" s="54">
        <f t="shared" si="33"/>
        <v>0</v>
      </c>
    </row>
    <row r="111" spans="1:16" ht="12.5">
      <c r="B111" s="7" t="str">
        <f t="shared" si="34"/>
        <v/>
      </c>
      <c r="C111" s="50">
        <f>IF(D93="","-",+C110+1)</f>
        <v>2022</v>
      </c>
      <c r="D111" s="429">
        <v>134096.06178489598</v>
      </c>
      <c r="E111" s="430">
        <v>3816.5714285714284</v>
      </c>
      <c r="F111" s="431">
        <v>130279.49035632455</v>
      </c>
      <c r="G111" s="431">
        <v>132187.77607061027</v>
      </c>
      <c r="H111" s="433">
        <v>19343.062482398549</v>
      </c>
      <c r="I111" s="434">
        <v>19343.062482398549</v>
      </c>
      <c r="J111" s="54">
        <f t="shared" si="38"/>
        <v>0</v>
      </c>
      <c r="K111" s="54"/>
      <c r="L111" s="113">
        <f t="shared" ref="L111" si="41">+H111</f>
        <v>19343.062482398549</v>
      </c>
      <c r="M111" s="54">
        <f t="shared" ref="M111" si="42">IF(L111&lt;&gt;0,+H111-L111,0)</f>
        <v>0</v>
      </c>
      <c r="N111" s="113">
        <f t="shared" ref="N111" si="43">+I111</f>
        <v>19343.062482398549</v>
      </c>
      <c r="O111" s="54">
        <f t="shared" ref="O111" si="44">IF(N111&lt;&gt;0,+I111-N111,0)</f>
        <v>0</v>
      </c>
      <c r="P111" s="54">
        <f t="shared" ref="P111" si="45">+O111-M111</f>
        <v>0</v>
      </c>
    </row>
    <row r="112" spans="1:16" ht="12.5">
      <c r="B112" s="7" t="str">
        <f t="shared" si="34"/>
        <v>IU</v>
      </c>
      <c r="C112" s="50">
        <f>IF(D93="","-",+C111+1)</f>
        <v>2023</v>
      </c>
      <c r="D112" s="429">
        <v>130279.59035632452</v>
      </c>
      <c r="E112" s="430">
        <v>3643.0931818181821</v>
      </c>
      <c r="F112" s="431">
        <v>126636.49717450634</v>
      </c>
      <c r="G112" s="431">
        <v>128458.04376541544</v>
      </c>
      <c r="H112" s="433">
        <v>19490.326972218641</v>
      </c>
      <c r="I112" s="434">
        <v>19490.326972218641</v>
      </c>
      <c r="J112" s="54">
        <f t="shared" si="38"/>
        <v>0</v>
      </c>
      <c r="K112" s="54"/>
      <c r="L112" s="113">
        <f t="shared" ref="L112" si="46">+H112</f>
        <v>19490.326972218641</v>
      </c>
      <c r="M112" s="54">
        <f t="shared" ref="M112" si="47">IF(L112&lt;&gt;0,+H112-L112,0)</f>
        <v>0</v>
      </c>
      <c r="N112" s="113">
        <f t="shared" ref="N112" si="48">+I112</f>
        <v>19490.326972218641</v>
      </c>
      <c r="O112" s="54">
        <f t="shared" ref="O112" si="49">IF(N112&lt;&gt;0,+I112-N112,0)</f>
        <v>0</v>
      </c>
      <c r="P112" s="54">
        <f t="shared" ref="P112" si="50">+O112-M112</f>
        <v>0</v>
      </c>
    </row>
    <row r="113" spans="2:16" ht="12.5">
      <c r="B113" s="7" t="str">
        <f t="shared" si="34"/>
        <v/>
      </c>
      <c r="C113" s="50">
        <f>IF(D93="","-",+C112+1)</f>
        <v>2024</v>
      </c>
      <c r="D113" s="12">
        <f>IF(F112+SUM(E$99:E112)=D$92,F112,D$92-SUM(E$99:E112))</f>
        <v>126636.49717450634</v>
      </c>
      <c r="E113" s="378">
        <f t="shared" ref="E113:E154" si="51">IF(+$J$96&lt;F112,$J$96,D113)</f>
        <v>3643.0931818181821</v>
      </c>
      <c r="F113" s="55">
        <f t="shared" ref="F113:F154" si="52">+D113-E113</f>
        <v>122993.40399268815</v>
      </c>
      <c r="G113" s="55">
        <f t="shared" ref="G113:G154" si="53">+(F113+D113)/2</f>
        <v>124814.95058359724</v>
      </c>
      <c r="H113" s="380">
        <f t="shared" ref="H113:H154" si="54">+J$94*G113+E113</f>
        <v>19185.842143042508</v>
      </c>
      <c r="I113" s="399">
        <f t="shared" ref="I113:I154" si="55">+J$95*G113+E113</f>
        <v>19185.842143042508</v>
      </c>
      <c r="J113" s="54">
        <f t="shared" si="38"/>
        <v>0</v>
      </c>
      <c r="K113" s="54"/>
      <c r="L113" s="129"/>
      <c r="M113" s="54">
        <f t="shared" si="31"/>
        <v>0</v>
      </c>
      <c r="N113" s="129"/>
      <c r="O113" s="54">
        <f t="shared" si="32"/>
        <v>0</v>
      </c>
      <c r="P113" s="54">
        <f t="shared" si="33"/>
        <v>0</v>
      </c>
    </row>
    <row r="114" spans="2:16" ht="12.5">
      <c r="B114" s="7" t="str">
        <f t="shared" si="34"/>
        <v/>
      </c>
      <c r="C114" s="50">
        <f>IF(D93="","-",+C113+1)</f>
        <v>2025</v>
      </c>
      <c r="D114" s="12">
        <f>IF(F113+SUM(E$99:E113)=D$92,F113,D$92-SUM(E$99:E113))</f>
        <v>122993.40399268815</v>
      </c>
      <c r="E114" s="378">
        <f t="shared" si="51"/>
        <v>3643.0931818181821</v>
      </c>
      <c r="F114" s="55">
        <f t="shared" si="52"/>
        <v>119350.31081086997</v>
      </c>
      <c r="G114" s="55">
        <f t="shared" si="53"/>
        <v>121171.85740177907</v>
      </c>
      <c r="H114" s="380">
        <f t="shared" si="54"/>
        <v>18732.18108318876</v>
      </c>
      <c r="I114" s="399">
        <f t="shared" si="55"/>
        <v>18732.18108318876</v>
      </c>
      <c r="J114" s="54">
        <f t="shared" si="38"/>
        <v>0</v>
      </c>
      <c r="K114" s="54"/>
      <c r="L114" s="129"/>
      <c r="M114" s="54">
        <f t="shared" si="31"/>
        <v>0</v>
      </c>
      <c r="N114" s="129"/>
      <c r="O114" s="54">
        <f t="shared" si="32"/>
        <v>0</v>
      </c>
      <c r="P114" s="54">
        <f t="shared" si="33"/>
        <v>0</v>
      </c>
    </row>
    <row r="115" spans="2:16" ht="12.5">
      <c r="B115" s="7" t="str">
        <f t="shared" si="34"/>
        <v/>
      </c>
      <c r="C115" s="50">
        <f>IF(D93="","-",+C114+1)</f>
        <v>2026</v>
      </c>
      <c r="D115" s="12">
        <f>IF(F114+SUM(E$99:E114)=D$92,F114,D$92-SUM(E$99:E114))</f>
        <v>119350.31081086997</v>
      </c>
      <c r="E115" s="378">
        <f t="shared" si="51"/>
        <v>3643.0931818181821</v>
      </c>
      <c r="F115" s="55">
        <f t="shared" si="52"/>
        <v>115707.21762905178</v>
      </c>
      <c r="G115" s="55">
        <f t="shared" si="53"/>
        <v>117528.76421996087</v>
      </c>
      <c r="H115" s="380">
        <f t="shared" si="54"/>
        <v>18278.520023335012</v>
      </c>
      <c r="I115" s="399">
        <f t="shared" si="55"/>
        <v>18278.520023335012</v>
      </c>
      <c r="J115" s="54">
        <f t="shared" si="38"/>
        <v>0</v>
      </c>
      <c r="K115" s="54"/>
      <c r="L115" s="129"/>
      <c r="M115" s="54">
        <f t="shared" si="31"/>
        <v>0</v>
      </c>
      <c r="N115" s="129"/>
      <c r="O115" s="54">
        <f t="shared" si="32"/>
        <v>0</v>
      </c>
      <c r="P115" s="54">
        <f t="shared" si="33"/>
        <v>0</v>
      </c>
    </row>
    <row r="116" spans="2:16" ht="12.5">
      <c r="B116" s="7" t="str">
        <f t="shared" si="34"/>
        <v/>
      </c>
      <c r="C116" s="50">
        <f>IF(D93="","-",+C115+1)</f>
        <v>2027</v>
      </c>
      <c r="D116" s="12">
        <f>IF(F115+SUM(E$99:E115)=D$92,F115,D$92-SUM(E$99:E115))</f>
        <v>115707.21762905178</v>
      </c>
      <c r="E116" s="378">
        <f t="shared" si="51"/>
        <v>3643.0931818181821</v>
      </c>
      <c r="F116" s="55">
        <f t="shared" si="52"/>
        <v>112064.1244472336</v>
      </c>
      <c r="G116" s="55">
        <f t="shared" si="53"/>
        <v>113885.6710381427</v>
      </c>
      <c r="H116" s="380">
        <f t="shared" si="54"/>
        <v>17824.858963481263</v>
      </c>
      <c r="I116" s="399">
        <f t="shared" si="55"/>
        <v>17824.858963481263</v>
      </c>
      <c r="J116" s="54">
        <f t="shared" si="38"/>
        <v>0</v>
      </c>
      <c r="K116" s="54"/>
      <c r="L116" s="129"/>
      <c r="M116" s="54">
        <f t="shared" si="31"/>
        <v>0</v>
      </c>
      <c r="N116" s="129"/>
      <c r="O116" s="54">
        <f t="shared" si="32"/>
        <v>0</v>
      </c>
      <c r="P116" s="54">
        <f t="shared" si="33"/>
        <v>0</v>
      </c>
    </row>
    <row r="117" spans="2:16" ht="12.5">
      <c r="B117" s="7" t="str">
        <f t="shared" si="34"/>
        <v/>
      </c>
      <c r="C117" s="50">
        <f>IF(D93="","-",+C116+1)</f>
        <v>2028</v>
      </c>
      <c r="D117" s="12">
        <f>IF(F116+SUM(E$99:E116)=D$92,F116,D$92-SUM(E$99:E116))</f>
        <v>112064.1244472336</v>
      </c>
      <c r="E117" s="378">
        <f t="shared" si="51"/>
        <v>3643.0931818181821</v>
      </c>
      <c r="F117" s="55">
        <f t="shared" si="52"/>
        <v>108421.03126541541</v>
      </c>
      <c r="G117" s="55">
        <f t="shared" si="53"/>
        <v>110242.5778563245</v>
      </c>
      <c r="H117" s="380">
        <f t="shared" si="54"/>
        <v>17371.197903627512</v>
      </c>
      <c r="I117" s="399">
        <f t="shared" si="55"/>
        <v>17371.197903627512</v>
      </c>
      <c r="J117" s="54">
        <f t="shared" si="38"/>
        <v>0</v>
      </c>
      <c r="K117" s="54"/>
      <c r="L117" s="129"/>
      <c r="M117" s="54">
        <f t="shared" si="31"/>
        <v>0</v>
      </c>
      <c r="N117" s="129"/>
      <c r="O117" s="54">
        <f t="shared" si="32"/>
        <v>0</v>
      </c>
      <c r="P117" s="54">
        <f t="shared" si="33"/>
        <v>0</v>
      </c>
    </row>
    <row r="118" spans="2:16" ht="12.5">
      <c r="B118" s="7" t="str">
        <f t="shared" si="34"/>
        <v/>
      </c>
      <c r="C118" s="50">
        <f>IF(D93="","-",+C117+1)</f>
        <v>2029</v>
      </c>
      <c r="D118" s="12">
        <f>IF(F117+SUM(E$99:E117)=D$92,F117,D$92-SUM(E$99:E117))</f>
        <v>108421.03126541541</v>
      </c>
      <c r="E118" s="378">
        <f t="shared" si="51"/>
        <v>3643.0931818181821</v>
      </c>
      <c r="F118" s="55">
        <f t="shared" si="52"/>
        <v>104777.93808359723</v>
      </c>
      <c r="G118" s="55">
        <f t="shared" si="53"/>
        <v>106599.48467450633</v>
      </c>
      <c r="H118" s="380">
        <f t="shared" si="54"/>
        <v>16917.536843773763</v>
      </c>
      <c r="I118" s="399">
        <f t="shared" si="55"/>
        <v>16917.536843773763</v>
      </c>
      <c r="J118" s="54">
        <f t="shared" si="38"/>
        <v>0</v>
      </c>
      <c r="K118" s="54"/>
      <c r="L118" s="129"/>
      <c r="M118" s="54">
        <f t="shared" si="31"/>
        <v>0</v>
      </c>
      <c r="N118" s="129"/>
      <c r="O118" s="54">
        <f t="shared" si="32"/>
        <v>0</v>
      </c>
      <c r="P118" s="54">
        <f t="shared" si="33"/>
        <v>0</v>
      </c>
    </row>
    <row r="119" spans="2:16" ht="12.5">
      <c r="B119" s="7" t="str">
        <f t="shared" si="34"/>
        <v/>
      </c>
      <c r="C119" s="50">
        <f>IF(D93="","-",+C118+1)</f>
        <v>2030</v>
      </c>
      <c r="D119" s="12">
        <f>IF(F118+SUM(E$99:E118)=D$92,F118,D$92-SUM(E$99:E118))</f>
        <v>104777.93808359723</v>
      </c>
      <c r="E119" s="378">
        <f t="shared" si="51"/>
        <v>3643.0931818181821</v>
      </c>
      <c r="F119" s="55">
        <f t="shared" si="52"/>
        <v>101134.84490177904</v>
      </c>
      <c r="G119" s="55">
        <f t="shared" si="53"/>
        <v>102956.39149268813</v>
      </c>
      <c r="H119" s="380">
        <f t="shared" si="54"/>
        <v>16463.875783920015</v>
      </c>
      <c r="I119" s="399">
        <f t="shared" si="55"/>
        <v>16463.875783920015</v>
      </c>
      <c r="J119" s="54">
        <f t="shared" si="38"/>
        <v>0</v>
      </c>
      <c r="K119" s="54"/>
      <c r="L119" s="129"/>
      <c r="M119" s="54">
        <f t="shared" si="31"/>
        <v>0</v>
      </c>
      <c r="N119" s="129"/>
      <c r="O119" s="54">
        <f t="shared" si="32"/>
        <v>0</v>
      </c>
      <c r="P119" s="54">
        <f t="shared" si="33"/>
        <v>0</v>
      </c>
    </row>
    <row r="120" spans="2:16" ht="12.5">
      <c r="B120" s="7" t="str">
        <f t="shared" si="34"/>
        <v/>
      </c>
      <c r="C120" s="50">
        <f>IF(D93="","-",+C119+1)</f>
        <v>2031</v>
      </c>
      <c r="D120" s="12">
        <f>IF(F119+SUM(E$99:E119)=D$92,F119,D$92-SUM(E$99:E119))</f>
        <v>101134.84490177904</v>
      </c>
      <c r="E120" s="378">
        <f t="shared" si="51"/>
        <v>3643.0931818181821</v>
      </c>
      <c r="F120" s="55">
        <f t="shared" si="52"/>
        <v>97491.751719960856</v>
      </c>
      <c r="G120" s="55">
        <f t="shared" si="53"/>
        <v>99313.298310869955</v>
      </c>
      <c r="H120" s="380">
        <f t="shared" si="54"/>
        <v>16010.214724066265</v>
      </c>
      <c r="I120" s="399">
        <f t="shared" si="55"/>
        <v>16010.214724066265</v>
      </c>
      <c r="J120" s="54">
        <f t="shared" si="38"/>
        <v>0</v>
      </c>
      <c r="K120" s="54"/>
      <c r="L120" s="129"/>
      <c r="M120" s="54">
        <f t="shared" si="31"/>
        <v>0</v>
      </c>
      <c r="N120" s="129"/>
      <c r="O120" s="54">
        <f t="shared" si="32"/>
        <v>0</v>
      </c>
      <c r="P120" s="54">
        <f t="shared" si="33"/>
        <v>0</v>
      </c>
    </row>
    <row r="121" spans="2:16" ht="12.5">
      <c r="B121" s="7" t="str">
        <f t="shared" si="34"/>
        <v/>
      </c>
      <c r="C121" s="50">
        <f>IF(D93="","-",+C120+1)</f>
        <v>2032</v>
      </c>
      <c r="D121" s="12">
        <f>IF(F120+SUM(E$99:E120)=D$92,F120,D$92-SUM(E$99:E120))</f>
        <v>97491.751719960856</v>
      </c>
      <c r="E121" s="378">
        <f t="shared" si="51"/>
        <v>3643.0931818181821</v>
      </c>
      <c r="F121" s="55">
        <f t="shared" si="52"/>
        <v>93848.65853814267</v>
      </c>
      <c r="G121" s="55">
        <f t="shared" si="53"/>
        <v>95670.205129051756</v>
      </c>
      <c r="H121" s="380">
        <f t="shared" si="54"/>
        <v>15556.553664212515</v>
      </c>
      <c r="I121" s="399">
        <f t="shared" si="55"/>
        <v>15556.553664212515</v>
      </c>
      <c r="J121" s="54">
        <f t="shared" si="38"/>
        <v>0</v>
      </c>
      <c r="K121" s="54"/>
      <c r="L121" s="129"/>
      <c r="M121" s="54">
        <f t="shared" si="31"/>
        <v>0</v>
      </c>
      <c r="N121" s="129"/>
      <c r="O121" s="54">
        <f t="shared" si="32"/>
        <v>0</v>
      </c>
      <c r="P121" s="54">
        <f t="shared" si="33"/>
        <v>0</v>
      </c>
    </row>
    <row r="122" spans="2:16" ht="12.5">
      <c r="B122" s="7" t="str">
        <f t="shared" si="34"/>
        <v/>
      </c>
      <c r="C122" s="50">
        <f>IF(D93="","-",+C121+1)</f>
        <v>2033</v>
      </c>
      <c r="D122" s="12">
        <f>IF(F121+SUM(E$99:E121)=D$92,F121,D$92-SUM(E$99:E121))</f>
        <v>93848.65853814267</v>
      </c>
      <c r="E122" s="378">
        <f t="shared" si="51"/>
        <v>3643.0931818181821</v>
      </c>
      <c r="F122" s="55">
        <f t="shared" si="52"/>
        <v>90205.565356324485</v>
      </c>
      <c r="G122" s="55">
        <f t="shared" si="53"/>
        <v>92027.111947233585</v>
      </c>
      <c r="H122" s="380">
        <f t="shared" si="54"/>
        <v>15102.892604358769</v>
      </c>
      <c r="I122" s="399">
        <f t="shared" si="55"/>
        <v>15102.892604358769</v>
      </c>
      <c r="J122" s="54">
        <f t="shared" si="38"/>
        <v>0</v>
      </c>
      <c r="K122" s="54"/>
      <c r="L122" s="129"/>
      <c r="M122" s="54">
        <f t="shared" si="31"/>
        <v>0</v>
      </c>
      <c r="N122" s="129"/>
      <c r="O122" s="54">
        <f t="shared" si="32"/>
        <v>0</v>
      </c>
      <c r="P122" s="54">
        <f t="shared" si="33"/>
        <v>0</v>
      </c>
    </row>
    <row r="123" spans="2:16" ht="12.5">
      <c r="B123" s="7" t="str">
        <f t="shared" si="34"/>
        <v/>
      </c>
      <c r="C123" s="50">
        <f>IF(D93="","-",+C122+1)</f>
        <v>2034</v>
      </c>
      <c r="D123" s="12">
        <f>IF(F122+SUM(E$99:E122)=D$92,F122,D$92-SUM(E$99:E122))</f>
        <v>90205.565356324485</v>
      </c>
      <c r="E123" s="378">
        <f t="shared" si="51"/>
        <v>3643.0931818181821</v>
      </c>
      <c r="F123" s="55">
        <f t="shared" si="52"/>
        <v>86562.4721745063</v>
      </c>
      <c r="G123" s="55">
        <f t="shared" si="53"/>
        <v>88384.018765415385</v>
      </c>
      <c r="H123" s="380">
        <f t="shared" si="54"/>
        <v>14649.231544505017</v>
      </c>
      <c r="I123" s="399">
        <f t="shared" si="55"/>
        <v>14649.231544505017</v>
      </c>
      <c r="J123" s="54">
        <f t="shared" si="38"/>
        <v>0</v>
      </c>
      <c r="K123" s="54"/>
      <c r="L123" s="129"/>
      <c r="M123" s="54">
        <f t="shared" si="31"/>
        <v>0</v>
      </c>
      <c r="N123" s="129"/>
      <c r="O123" s="54">
        <f t="shared" si="32"/>
        <v>0</v>
      </c>
      <c r="P123" s="54">
        <f t="shared" si="33"/>
        <v>0</v>
      </c>
    </row>
    <row r="124" spans="2:16" ht="12.5">
      <c r="B124" s="7" t="str">
        <f t="shared" si="34"/>
        <v/>
      </c>
      <c r="C124" s="50">
        <f>IF(D93="","-",+C123+1)</f>
        <v>2035</v>
      </c>
      <c r="D124" s="12">
        <f>IF(F123+SUM(E$99:E123)=D$92,F123,D$92-SUM(E$99:E123))</f>
        <v>86562.4721745063</v>
      </c>
      <c r="E124" s="378">
        <f t="shared" si="51"/>
        <v>3643.0931818181821</v>
      </c>
      <c r="F124" s="55">
        <f t="shared" si="52"/>
        <v>82919.378992688115</v>
      </c>
      <c r="G124" s="55">
        <f t="shared" si="53"/>
        <v>84740.925583597214</v>
      </c>
      <c r="H124" s="380">
        <f t="shared" si="54"/>
        <v>14195.570484651271</v>
      </c>
      <c r="I124" s="399">
        <f t="shared" si="55"/>
        <v>14195.570484651271</v>
      </c>
      <c r="J124" s="54">
        <f t="shared" si="38"/>
        <v>0</v>
      </c>
      <c r="K124" s="54"/>
      <c r="L124" s="129"/>
      <c r="M124" s="54">
        <f t="shared" si="31"/>
        <v>0</v>
      </c>
      <c r="N124" s="129"/>
      <c r="O124" s="54">
        <f t="shared" si="32"/>
        <v>0</v>
      </c>
      <c r="P124" s="54">
        <f t="shared" si="33"/>
        <v>0</v>
      </c>
    </row>
    <row r="125" spans="2:16" ht="12.5">
      <c r="B125" s="7" t="str">
        <f t="shared" si="34"/>
        <v/>
      </c>
      <c r="C125" s="50">
        <f>IF(D93="","-",+C124+1)</f>
        <v>2036</v>
      </c>
      <c r="D125" s="12">
        <f>IF(F124+SUM(E$99:E124)=D$92,F124,D$92-SUM(E$99:E124))</f>
        <v>82919.378992688115</v>
      </c>
      <c r="E125" s="378">
        <f t="shared" si="51"/>
        <v>3643.0931818181821</v>
      </c>
      <c r="F125" s="55">
        <f t="shared" si="52"/>
        <v>79276.285810869929</v>
      </c>
      <c r="G125" s="55">
        <f t="shared" si="53"/>
        <v>81097.832401779015</v>
      </c>
      <c r="H125" s="380">
        <f t="shared" si="54"/>
        <v>13741.909424797519</v>
      </c>
      <c r="I125" s="399">
        <f t="shared" si="55"/>
        <v>13741.909424797519</v>
      </c>
      <c r="J125" s="54">
        <f t="shared" si="38"/>
        <v>0</v>
      </c>
      <c r="K125" s="54"/>
      <c r="L125" s="129"/>
      <c r="M125" s="54">
        <f t="shared" si="31"/>
        <v>0</v>
      </c>
      <c r="N125" s="129"/>
      <c r="O125" s="54">
        <f t="shared" si="32"/>
        <v>0</v>
      </c>
      <c r="P125" s="54">
        <f t="shared" si="33"/>
        <v>0</v>
      </c>
    </row>
    <row r="126" spans="2:16" ht="12.5">
      <c r="B126" s="7" t="str">
        <f t="shared" si="34"/>
        <v/>
      </c>
      <c r="C126" s="50">
        <f>IF(D93="","-",+C125+1)</f>
        <v>2037</v>
      </c>
      <c r="D126" s="12">
        <f>IF(F125+SUM(E$99:E125)=D$92,F125,D$92-SUM(E$99:E125))</f>
        <v>79276.285810869929</v>
      </c>
      <c r="E126" s="378">
        <f t="shared" si="51"/>
        <v>3643.0931818181821</v>
      </c>
      <c r="F126" s="55">
        <f t="shared" si="52"/>
        <v>75633.192629051744</v>
      </c>
      <c r="G126" s="55">
        <f t="shared" si="53"/>
        <v>77454.739219960844</v>
      </c>
      <c r="H126" s="380">
        <f t="shared" si="54"/>
        <v>13288.248364943773</v>
      </c>
      <c r="I126" s="399">
        <f t="shared" si="55"/>
        <v>13288.248364943773</v>
      </c>
      <c r="J126" s="54">
        <f t="shared" si="38"/>
        <v>0</v>
      </c>
      <c r="K126" s="54"/>
      <c r="L126" s="129"/>
      <c r="M126" s="54">
        <f t="shared" si="31"/>
        <v>0</v>
      </c>
      <c r="N126" s="129"/>
      <c r="O126" s="54">
        <f t="shared" si="32"/>
        <v>0</v>
      </c>
      <c r="P126" s="54">
        <f t="shared" si="33"/>
        <v>0</v>
      </c>
    </row>
    <row r="127" spans="2:16" ht="12.5">
      <c r="B127" s="7" t="str">
        <f t="shared" si="34"/>
        <v/>
      </c>
      <c r="C127" s="50">
        <f>IF(D93="","-",+C126+1)</f>
        <v>2038</v>
      </c>
      <c r="D127" s="12">
        <f>IF(F126+SUM(E$99:E126)=D$92,F126,D$92-SUM(E$99:E126))</f>
        <v>75633.192629051744</v>
      </c>
      <c r="E127" s="378">
        <f t="shared" si="51"/>
        <v>3643.0931818181821</v>
      </c>
      <c r="F127" s="55">
        <f t="shared" si="52"/>
        <v>71990.099447233559</v>
      </c>
      <c r="G127" s="55">
        <f t="shared" si="53"/>
        <v>73811.646038142644</v>
      </c>
      <c r="H127" s="380">
        <f t="shared" si="54"/>
        <v>12834.587305090023</v>
      </c>
      <c r="I127" s="399">
        <f t="shared" si="55"/>
        <v>12834.587305090023</v>
      </c>
      <c r="J127" s="54">
        <f t="shared" si="38"/>
        <v>0</v>
      </c>
      <c r="K127" s="54"/>
      <c r="L127" s="129"/>
      <c r="M127" s="54">
        <f t="shared" si="31"/>
        <v>0</v>
      </c>
      <c r="N127" s="129"/>
      <c r="O127" s="54">
        <f t="shared" si="32"/>
        <v>0</v>
      </c>
      <c r="P127" s="54">
        <f t="shared" si="33"/>
        <v>0</v>
      </c>
    </row>
    <row r="128" spans="2:16" ht="12.5">
      <c r="B128" s="7" t="str">
        <f t="shared" si="34"/>
        <v/>
      </c>
      <c r="C128" s="50">
        <f>IF(D93="","-",+C127+1)</f>
        <v>2039</v>
      </c>
      <c r="D128" s="12">
        <f>IF(F127+SUM(E$99:E127)=D$92,F127,D$92-SUM(E$99:E127))</f>
        <v>71990.099447233559</v>
      </c>
      <c r="E128" s="378">
        <f t="shared" si="51"/>
        <v>3643.0931818181821</v>
      </c>
      <c r="F128" s="55">
        <f t="shared" si="52"/>
        <v>68347.006265415373</v>
      </c>
      <c r="G128" s="55">
        <f t="shared" si="53"/>
        <v>70168.552856324473</v>
      </c>
      <c r="H128" s="380">
        <f t="shared" si="54"/>
        <v>12380.926245236275</v>
      </c>
      <c r="I128" s="399">
        <f t="shared" si="55"/>
        <v>12380.926245236275</v>
      </c>
      <c r="J128" s="54">
        <f t="shared" si="38"/>
        <v>0</v>
      </c>
      <c r="K128" s="54"/>
      <c r="L128" s="129"/>
      <c r="M128" s="54">
        <f t="shared" si="31"/>
        <v>0</v>
      </c>
      <c r="N128" s="129"/>
      <c r="O128" s="54">
        <f t="shared" si="32"/>
        <v>0</v>
      </c>
      <c r="P128" s="54">
        <f t="shared" si="33"/>
        <v>0</v>
      </c>
    </row>
    <row r="129" spans="2:16" ht="12.5">
      <c r="B129" s="7" t="str">
        <f t="shared" si="34"/>
        <v/>
      </c>
      <c r="C129" s="50">
        <f>IF(D93="","-",+C128+1)</f>
        <v>2040</v>
      </c>
      <c r="D129" s="12">
        <f>IF(F128+SUM(E$99:E128)=D$92,F128,D$92-SUM(E$99:E128))</f>
        <v>68347.006265415373</v>
      </c>
      <c r="E129" s="378">
        <f t="shared" si="51"/>
        <v>3643.0931818181821</v>
      </c>
      <c r="F129" s="55">
        <f t="shared" si="52"/>
        <v>64703.913083597188</v>
      </c>
      <c r="G129" s="55">
        <f t="shared" si="53"/>
        <v>66525.459674506274</v>
      </c>
      <c r="H129" s="380">
        <f t="shared" si="54"/>
        <v>11927.265185382525</v>
      </c>
      <c r="I129" s="399">
        <f t="shared" si="55"/>
        <v>11927.265185382525</v>
      </c>
      <c r="J129" s="54">
        <f t="shared" si="38"/>
        <v>0</v>
      </c>
      <c r="K129" s="54"/>
      <c r="L129" s="129"/>
      <c r="M129" s="54">
        <f t="shared" si="31"/>
        <v>0</v>
      </c>
      <c r="N129" s="129"/>
      <c r="O129" s="54">
        <f t="shared" si="32"/>
        <v>0</v>
      </c>
      <c r="P129" s="54">
        <f t="shared" si="33"/>
        <v>0</v>
      </c>
    </row>
    <row r="130" spans="2:16" ht="12.5">
      <c r="B130" s="7" t="str">
        <f t="shared" si="34"/>
        <v/>
      </c>
      <c r="C130" s="50">
        <f>IF(D93="","-",+C129+1)</f>
        <v>2041</v>
      </c>
      <c r="D130" s="12">
        <f>IF(F129+SUM(E$99:E129)=D$92,F129,D$92-SUM(E$99:E129))</f>
        <v>64703.913083597188</v>
      </c>
      <c r="E130" s="378">
        <f t="shared" si="51"/>
        <v>3643.0931818181821</v>
      </c>
      <c r="F130" s="55">
        <f t="shared" si="52"/>
        <v>61060.819901779003</v>
      </c>
      <c r="G130" s="55">
        <f t="shared" si="53"/>
        <v>62882.366492688096</v>
      </c>
      <c r="H130" s="380">
        <f t="shared" si="54"/>
        <v>11473.604125528776</v>
      </c>
      <c r="I130" s="399">
        <f t="shared" si="55"/>
        <v>11473.604125528776</v>
      </c>
      <c r="J130" s="54">
        <f t="shared" si="38"/>
        <v>0</v>
      </c>
      <c r="K130" s="54"/>
      <c r="L130" s="129"/>
      <c r="M130" s="54">
        <f t="shared" si="31"/>
        <v>0</v>
      </c>
      <c r="N130" s="129"/>
      <c r="O130" s="54">
        <f t="shared" si="32"/>
        <v>0</v>
      </c>
      <c r="P130" s="54">
        <f t="shared" si="33"/>
        <v>0</v>
      </c>
    </row>
    <row r="131" spans="2:16" ht="12.5">
      <c r="B131" s="7" t="str">
        <f t="shared" si="34"/>
        <v/>
      </c>
      <c r="C131" s="50">
        <f>IF(D93="","-",+C130+1)</f>
        <v>2042</v>
      </c>
      <c r="D131" s="12">
        <f>IF(F130+SUM(E$99:E130)=D$92,F130,D$92-SUM(E$99:E130))</f>
        <v>61060.819901779003</v>
      </c>
      <c r="E131" s="378">
        <f t="shared" si="51"/>
        <v>3643.0931818181821</v>
      </c>
      <c r="F131" s="55">
        <f t="shared" si="52"/>
        <v>57417.726719960818</v>
      </c>
      <c r="G131" s="55">
        <f t="shared" si="53"/>
        <v>59239.27331086991</v>
      </c>
      <c r="H131" s="380">
        <f t="shared" si="54"/>
        <v>11019.943065675028</v>
      </c>
      <c r="I131" s="399">
        <f t="shared" si="55"/>
        <v>11019.943065675028</v>
      </c>
      <c r="J131" s="54">
        <f t="shared" si="38"/>
        <v>0</v>
      </c>
      <c r="K131" s="54"/>
      <c r="L131" s="129"/>
      <c r="M131" s="54">
        <f t="shared" ref="M131:M154" si="56">IF(L541&lt;&gt;0,+H541-L541,0)</f>
        <v>0</v>
      </c>
      <c r="N131" s="129"/>
      <c r="O131" s="54">
        <f t="shared" ref="O131:O154" si="57">IF(N541&lt;&gt;0,+I541-N541,0)</f>
        <v>0</v>
      </c>
      <c r="P131" s="54">
        <f t="shared" ref="P131:P154" si="58">+O541-M541</f>
        <v>0</v>
      </c>
    </row>
    <row r="132" spans="2:16" ht="12.5">
      <c r="B132" s="7" t="str">
        <f t="shared" si="34"/>
        <v/>
      </c>
      <c r="C132" s="50">
        <f>IF(D93="","-",+C131+1)</f>
        <v>2043</v>
      </c>
      <c r="D132" s="12">
        <f>IF(F131+SUM(E$99:E131)=D$92,F131,D$92-SUM(E$99:E131))</f>
        <v>57417.726719960818</v>
      </c>
      <c r="E132" s="378">
        <f t="shared" si="51"/>
        <v>3643.0931818181821</v>
      </c>
      <c r="F132" s="55">
        <f t="shared" si="52"/>
        <v>53774.633538142632</v>
      </c>
      <c r="G132" s="55">
        <f t="shared" si="53"/>
        <v>55596.180129051725</v>
      </c>
      <c r="H132" s="380">
        <f t="shared" si="54"/>
        <v>10566.282005821278</v>
      </c>
      <c r="I132" s="399">
        <f t="shared" si="55"/>
        <v>10566.282005821278</v>
      </c>
      <c r="J132" s="54">
        <f t="shared" si="38"/>
        <v>0</v>
      </c>
      <c r="K132" s="54"/>
      <c r="L132" s="129"/>
      <c r="M132" s="54">
        <f t="shared" si="56"/>
        <v>0</v>
      </c>
      <c r="N132" s="129"/>
      <c r="O132" s="54">
        <f t="shared" si="57"/>
        <v>0</v>
      </c>
      <c r="P132" s="54">
        <f t="shared" si="58"/>
        <v>0</v>
      </c>
    </row>
    <row r="133" spans="2:16" ht="12.5">
      <c r="B133" s="7" t="str">
        <f t="shared" si="34"/>
        <v/>
      </c>
      <c r="C133" s="50">
        <f>IF(D93="","-",+C132+1)</f>
        <v>2044</v>
      </c>
      <c r="D133" s="12">
        <f>IF(F132+SUM(E$99:E132)=D$92,F132,D$92-SUM(E$99:E132))</f>
        <v>53774.633538142632</v>
      </c>
      <c r="E133" s="378">
        <f t="shared" si="51"/>
        <v>3643.0931818181821</v>
      </c>
      <c r="F133" s="55">
        <f t="shared" si="52"/>
        <v>50131.540356324447</v>
      </c>
      <c r="G133" s="55">
        <f t="shared" si="53"/>
        <v>51953.08694723354</v>
      </c>
      <c r="H133" s="380">
        <f t="shared" si="54"/>
        <v>10112.62094596753</v>
      </c>
      <c r="I133" s="399">
        <f t="shared" si="55"/>
        <v>10112.62094596753</v>
      </c>
      <c r="J133" s="54">
        <f t="shared" si="38"/>
        <v>0</v>
      </c>
      <c r="K133" s="54"/>
      <c r="L133" s="129"/>
      <c r="M133" s="54">
        <f t="shared" si="56"/>
        <v>0</v>
      </c>
      <c r="N133" s="129"/>
      <c r="O133" s="54">
        <f t="shared" si="57"/>
        <v>0</v>
      </c>
      <c r="P133" s="54">
        <f t="shared" si="58"/>
        <v>0</v>
      </c>
    </row>
    <row r="134" spans="2:16" ht="12.5">
      <c r="B134" s="7" t="str">
        <f t="shared" si="34"/>
        <v/>
      </c>
      <c r="C134" s="50">
        <f>IF(D93="","-",+C133+1)</f>
        <v>2045</v>
      </c>
      <c r="D134" s="12">
        <f>IF(F133+SUM(E$99:E133)=D$92,F133,D$92-SUM(E$99:E133))</f>
        <v>50131.540356324447</v>
      </c>
      <c r="E134" s="378">
        <f t="shared" si="51"/>
        <v>3643.0931818181821</v>
      </c>
      <c r="F134" s="55">
        <f t="shared" si="52"/>
        <v>46488.447174506262</v>
      </c>
      <c r="G134" s="55">
        <f t="shared" si="53"/>
        <v>48309.993765415355</v>
      </c>
      <c r="H134" s="380">
        <f t="shared" si="54"/>
        <v>9658.9598861137802</v>
      </c>
      <c r="I134" s="399">
        <f t="shared" si="55"/>
        <v>9658.9598861137802</v>
      </c>
      <c r="J134" s="54">
        <f t="shared" si="38"/>
        <v>0</v>
      </c>
      <c r="K134" s="54"/>
      <c r="L134" s="129"/>
      <c r="M134" s="54">
        <f t="shared" si="56"/>
        <v>0</v>
      </c>
      <c r="N134" s="129"/>
      <c r="O134" s="54">
        <f t="shared" si="57"/>
        <v>0</v>
      </c>
      <c r="P134" s="54">
        <f t="shared" si="58"/>
        <v>0</v>
      </c>
    </row>
    <row r="135" spans="2:16" ht="12.5">
      <c r="B135" s="7" t="str">
        <f t="shared" si="34"/>
        <v/>
      </c>
      <c r="C135" s="50">
        <f>IF(D93="","-",+C134+1)</f>
        <v>2046</v>
      </c>
      <c r="D135" s="12">
        <f>IF(F134+SUM(E$99:E134)=D$92,F134,D$92-SUM(E$99:E134))</f>
        <v>46488.447174506262</v>
      </c>
      <c r="E135" s="378">
        <f t="shared" si="51"/>
        <v>3643.0931818181821</v>
      </c>
      <c r="F135" s="55">
        <f t="shared" si="52"/>
        <v>42845.353992688077</v>
      </c>
      <c r="G135" s="55">
        <f t="shared" si="53"/>
        <v>44666.900583597169</v>
      </c>
      <c r="H135" s="380">
        <f t="shared" si="54"/>
        <v>9205.298826260032</v>
      </c>
      <c r="I135" s="399">
        <f t="shared" si="55"/>
        <v>9205.298826260032</v>
      </c>
      <c r="J135" s="54">
        <f t="shared" si="38"/>
        <v>0</v>
      </c>
      <c r="K135" s="54"/>
      <c r="L135" s="129"/>
      <c r="M135" s="54">
        <f t="shared" si="56"/>
        <v>0</v>
      </c>
      <c r="N135" s="129"/>
      <c r="O135" s="54">
        <f t="shared" si="57"/>
        <v>0</v>
      </c>
      <c r="P135" s="54">
        <f t="shared" si="58"/>
        <v>0</v>
      </c>
    </row>
    <row r="136" spans="2:16" ht="12.5">
      <c r="B136" s="7" t="str">
        <f t="shared" si="34"/>
        <v/>
      </c>
      <c r="C136" s="50">
        <f>IF(D93="","-",+C135+1)</f>
        <v>2047</v>
      </c>
      <c r="D136" s="12">
        <f>IF(F135+SUM(E$99:E135)=D$92,F135,D$92-SUM(E$99:E135))</f>
        <v>42845.353992688077</v>
      </c>
      <c r="E136" s="378">
        <f t="shared" si="51"/>
        <v>3643.0931818181821</v>
      </c>
      <c r="F136" s="55">
        <f t="shared" si="52"/>
        <v>39202.260810869891</v>
      </c>
      <c r="G136" s="55">
        <f t="shared" si="53"/>
        <v>41023.807401778984</v>
      </c>
      <c r="H136" s="380">
        <f t="shared" si="54"/>
        <v>8751.637766406282</v>
      </c>
      <c r="I136" s="399">
        <f t="shared" si="55"/>
        <v>8751.637766406282</v>
      </c>
      <c r="J136" s="54">
        <f t="shared" si="38"/>
        <v>0</v>
      </c>
      <c r="K136" s="54"/>
      <c r="L136" s="129"/>
      <c r="M136" s="54">
        <f t="shared" si="56"/>
        <v>0</v>
      </c>
      <c r="N136" s="129"/>
      <c r="O136" s="54">
        <f t="shared" si="57"/>
        <v>0</v>
      </c>
      <c r="P136" s="54">
        <f t="shared" si="58"/>
        <v>0</v>
      </c>
    </row>
    <row r="137" spans="2:16" ht="12.5">
      <c r="B137" s="7" t="str">
        <f t="shared" si="34"/>
        <v/>
      </c>
      <c r="C137" s="50">
        <f>IF(D93="","-",+C136+1)</f>
        <v>2048</v>
      </c>
      <c r="D137" s="12">
        <f>IF(F136+SUM(E$99:E136)=D$92,F136,D$92-SUM(E$99:E136))</f>
        <v>39202.260810869891</v>
      </c>
      <c r="E137" s="378">
        <f t="shared" si="51"/>
        <v>3643.0931818181821</v>
      </c>
      <c r="F137" s="55">
        <f t="shared" si="52"/>
        <v>35559.167629051706</v>
      </c>
      <c r="G137" s="55">
        <f t="shared" si="53"/>
        <v>37380.714219960799</v>
      </c>
      <c r="H137" s="380">
        <f t="shared" si="54"/>
        <v>8297.9767065525339</v>
      </c>
      <c r="I137" s="399">
        <f t="shared" si="55"/>
        <v>8297.9767065525339</v>
      </c>
      <c r="J137" s="54">
        <f t="shared" si="38"/>
        <v>0</v>
      </c>
      <c r="K137" s="54"/>
      <c r="L137" s="129"/>
      <c r="M137" s="54">
        <f t="shared" si="56"/>
        <v>0</v>
      </c>
      <c r="N137" s="129"/>
      <c r="O137" s="54">
        <f t="shared" si="57"/>
        <v>0</v>
      </c>
      <c r="P137" s="54">
        <f t="shared" si="58"/>
        <v>0</v>
      </c>
    </row>
    <row r="138" spans="2:16" ht="12.5">
      <c r="B138" s="7" t="str">
        <f t="shared" si="34"/>
        <v/>
      </c>
      <c r="C138" s="50">
        <f>IF(D93="","-",+C137+1)</f>
        <v>2049</v>
      </c>
      <c r="D138" s="12">
        <f>IF(F137+SUM(E$99:E137)=D$92,F137,D$92-SUM(E$99:E137))</f>
        <v>35559.167629051706</v>
      </c>
      <c r="E138" s="378">
        <f t="shared" si="51"/>
        <v>3643.0931818181821</v>
      </c>
      <c r="F138" s="55">
        <f t="shared" si="52"/>
        <v>31916.074447233525</v>
      </c>
      <c r="G138" s="55">
        <f t="shared" si="53"/>
        <v>33737.621038142614</v>
      </c>
      <c r="H138" s="380">
        <f t="shared" si="54"/>
        <v>7844.3156466987857</v>
      </c>
      <c r="I138" s="399">
        <f t="shared" si="55"/>
        <v>7844.3156466987857</v>
      </c>
      <c r="J138" s="54">
        <f t="shared" si="38"/>
        <v>0</v>
      </c>
      <c r="K138" s="54"/>
      <c r="L138" s="129"/>
      <c r="M138" s="54">
        <f t="shared" si="56"/>
        <v>0</v>
      </c>
      <c r="N138" s="129"/>
      <c r="O138" s="54">
        <f t="shared" si="57"/>
        <v>0</v>
      </c>
      <c r="P138" s="54">
        <f t="shared" si="58"/>
        <v>0</v>
      </c>
    </row>
    <row r="139" spans="2:16" ht="12.5">
      <c r="B139" s="7" t="str">
        <f t="shared" si="34"/>
        <v/>
      </c>
      <c r="C139" s="50">
        <f>IF(D93="","-",+C138+1)</f>
        <v>2050</v>
      </c>
      <c r="D139" s="12">
        <f>IF(F138+SUM(E$99:E138)=D$92,F138,D$92-SUM(E$99:E138))</f>
        <v>31916.074447233525</v>
      </c>
      <c r="E139" s="378">
        <f t="shared" si="51"/>
        <v>3643.0931818181821</v>
      </c>
      <c r="F139" s="55">
        <f t="shared" si="52"/>
        <v>28272.981265415343</v>
      </c>
      <c r="G139" s="55">
        <f t="shared" si="53"/>
        <v>30094.527856324436</v>
      </c>
      <c r="H139" s="380">
        <f t="shared" si="54"/>
        <v>7390.6545868450376</v>
      </c>
      <c r="I139" s="399">
        <f t="shared" si="55"/>
        <v>7390.6545868450376</v>
      </c>
      <c r="J139" s="54">
        <f t="shared" si="38"/>
        <v>0</v>
      </c>
      <c r="K139" s="54"/>
      <c r="L139" s="129"/>
      <c r="M139" s="54">
        <f t="shared" si="56"/>
        <v>0</v>
      </c>
      <c r="N139" s="129"/>
      <c r="O139" s="54">
        <f t="shared" si="57"/>
        <v>0</v>
      </c>
      <c r="P139" s="54">
        <f t="shared" si="58"/>
        <v>0</v>
      </c>
    </row>
    <row r="140" spans="2:16" ht="12.5">
      <c r="B140" s="7" t="str">
        <f t="shared" si="34"/>
        <v/>
      </c>
      <c r="C140" s="50">
        <f>IF(D93="","-",+C139+1)</f>
        <v>2051</v>
      </c>
      <c r="D140" s="12">
        <f>IF(F139+SUM(E$99:E139)=D$92,F139,D$92-SUM(E$99:E139))</f>
        <v>28272.981265415343</v>
      </c>
      <c r="E140" s="378">
        <f t="shared" si="51"/>
        <v>3643.0931818181821</v>
      </c>
      <c r="F140" s="55">
        <f t="shared" si="52"/>
        <v>24629.888083597161</v>
      </c>
      <c r="G140" s="55">
        <f t="shared" si="53"/>
        <v>26451.43467450625</v>
      </c>
      <c r="H140" s="380">
        <f t="shared" si="54"/>
        <v>6936.9935269912876</v>
      </c>
      <c r="I140" s="399">
        <f t="shared" si="55"/>
        <v>6936.9935269912876</v>
      </c>
      <c r="J140" s="54">
        <f t="shared" si="38"/>
        <v>0</v>
      </c>
      <c r="K140" s="54"/>
      <c r="L140" s="129"/>
      <c r="M140" s="54">
        <f t="shared" si="56"/>
        <v>0</v>
      </c>
      <c r="N140" s="129"/>
      <c r="O140" s="54">
        <f t="shared" si="57"/>
        <v>0</v>
      </c>
      <c r="P140" s="54">
        <f t="shared" si="58"/>
        <v>0</v>
      </c>
    </row>
    <row r="141" spans="2:16" ht="12.5">
      <c r="B141" s="7" t="str">
        <f t="shared" si="34"/>
        <v/>
      </c>
      <c r="C141" s="50">
        <f>IF(D93="","-",+C140+1)</f>
        <v>2052</v>
      </c>
      <c r="D141" s="12">
        <f>IF(F140+SUM(E$99:E140)=D$92,F140,D$92-SUM(E$99:E140))</f>
        <v>24629.888083597161</v>
      </c>
      <c r="E141" s="378">
        <f t="shared" si="51"/>
        <v>3643.0931818181821</v>
      </c>
      <c r="F141" s="55">
        <f t="shared" si="52"/>
        <v>20986.79490177898</v>
      </c>
      <c r="G141" s="55">
        <f t="shared" si="53"/>
        <v>22808.341492688072</v>
      </c>
      <c r="H141" s="380">
        <f t="shared" si="54"/>
        <v>6483.3324671375394</v>
      </c>
      <c r="I141" s="399">
        <f t="shared" si="55"/>
        <v>6483.3324671375394</v>
      </c>
      <c r="J141" s="54">
        <f t="shared" si="38"/>
        <v>0</v>
      </c>
      <c r="K141" s="54"/>
      <c r="L141" s="129"/>
      <c r="M141" s="54">
        <f t="shared" si="56"/>
        <v>0</v>
      </c>
      <c r="N141" s="129"/>
      <c r="O141" s="54">
        <f t="shared" si="57"/>
        <v>0</v>
      </c>
      <c r="P141" s="54">
        <f t="shared" si="58"/>
        <v>0</v>
      </c>
    </row>
    <row r="142" spans="2:16" ht="12.5">
      <c r="B142" s="7" t="str">
        <f t="shared" si="34"/>
        <v/>
      </c>
      <c r="C142" s="50">
        <f>IF(D93="","-",+C141+1)</f>
        <v>2053</v>
      </c>
      <c r="D142" s="12">
        <f>IF(F141+SUM(E$99:E141)=D$92,F141,D$92-SUM(E$99:E141))</f>
        <v>20986.79490177898</v>
      </c>
      <c r="E142" s="378">
        <f t="shared" si="51"/>
        <v>3643.0931818181821</v>
      </c>
      <c r="F142" s="55">
        <f t="shared" si="52"/>
        <v>17343.701719960798</v>
      </c>
      <c r="G142" s="55">
        <f t="shared" si="53"/>
        <v>19165.248310869887</v>
      </c>
      <c r="H142" s="380">
        <f t="shared" si="54"/>
        <v>6029.6714072837913</v>
      </c>
      <c r="I142" s="399">
        <f t="shared" si="55"/>
        <v>6029.6714072837913</v>
      </c>
      <c r="J142" s="54">
        <f t="shared" si="38"/>
        <v>0</v>
      </c>
      <c r="K142" s="54"/>
      <c r="L142" s="129"/>
      <c r="M142" s="54">
        <f t="shared" si="56"/>
        <v>0</v>
      </c>
      <c r="N142" s="129"/>
      <c r="O142" s="54">
        <f t="shared" si="57"/>
        <v>0</v>
      </c>
      <c r="P142" s="54">
        <f t="shared" si="58"/>
        <v>0</v>
      </c>
    </row>
    <row r="143" spans="2:16" ht="12.5">
      <c r="B143" s="7" t="str">
        <f t="shared" si="34"/>
        <v/>
      </c>
      <c r="C143" s="50">
        <f>IF(D93="","-",+C142+1)</f>
        <v>2054</v>
      </c>
      <c r="D143" s="12">
        <f>IF(F142+SUM(E$99:E142)=D$92,F142,D$92-SUM(E$99:E142))</f>
        <v>17343.701719960798</v>
      </c>
      <c r="E143" s="378">
        <f t="shared" si="51"/>
        <v>3643.0931818181821</v>
      </c>
      <c r="F143" s="55">
        <f t="shared" si="52"/>
        <v>13700.608538142616</v>
      </c>
      <c r="G143" s="55">
        <f t="shared" si="53"/>
        <v>15522.155129051707</v>
      </c>
      <c r="H143" s="380">
        <f t="shared" si="54"/>
        <v>5576.0103474300431</v>
      </c>
      <c r="I143" s="399">
        <f t="shared" si="55"/>
        <v>5576.0103474300431</v>
      </c>
      <c r="J143" s="54">
        <f t="shared" si="38"/>
        <v>0</v>
      </c>
      <c r="K143" s="54"/>
      <c r="L143" s="129"/>
      <c r="M143" s="54">
        <f t="shared" si="56"/>
        <v>0</v>
      </c>
      <c r="N143" s="129"/>
      <c r="O143" s="54">
        <f t="shared" si="57"/>
        <v>0</v>
      </c>
      <c r="P143" s="54">
        <f t="shared" si="58"/>
        <v>0</v>
      </c>
    </row>
    <row r="144" spans="2:16" ht="12.5">
      <c r="B144" s="7" t="str">
        <f t="shared" si="34"/>
        <v/>
      </c>
      <c r="C144" s="50">
        <f>IF(D93="","-",+C143+1)</f>
        <v>2055</v>
      </c>
      <c r="D144" s="12">
        <f>IF(F143+SUM(E$99:E143)=D$92,F143,D$92-SUM(E$99:E143))</f>
        <v>13700.608538142616</v>
      </c>
      <c r="E144" s="378">
        <f t="shared" si="51"/>
        <v>3643.0931818181821</v>
      </c>
      <c r="F144" s="55">
        <f t="shared" si="52"/>
        <v>10057.515356324435</v>
      </c>
      <c r="G144" s="55">
        <f t="shared" si="53"/>
        <v>11879.061947233526</v>
      </c>
      <c r="H144" s="380">
        <f t="shared" si="54"/>
        <v>5122.349287576295</v>
      </c>
      <c r="I144" s="399">
        <f t="shared" si="55"/>
        <v>5122.349287576295</v>
      </c>
      <c r="J144" s="54">
        <f t="shared" si="38"/>
        <v>0</v>
      </c>
      <c r="K144" s="54"/>
      <c r="L144" s="129"/>
      <c r="M144" s="54">
        <f t="shared" si="56"/>
        <v>0</v>
      </c>
      <c r="N144" s="129"/>
      <c r="O144" s="54">
        <f t="shared" si="57"/>
        <v>0</v>
      </c>
      <c r="P144" s="54">
        <f t="shared" si="58"/>
        <v>0</v>
      </c>
    </row>
    <row r="145" spans="2:16" ht="12.5">
      <c r="B145" s="7" t="str">
        <f t="shared" si="34"/>
        <v/>
      </c>
      <c r="C145" s="50">
        <f>IF(D93="","-",+C144+1)</f>
        <v>2056</v>
      </c>
      <c r="D145" s="12">
        <f>IF(F144+SUM(E$99:E144)=D$92,F144,D$92-SUM(E$99:E144))</f>
        <v>10057.515356324435</v>
      </c>
      <c r="E145" s="378">
        <f t="shared" si="51"/>
        <v>3643.0931818181821</v>
      </c>
      <c r="F145" s="55">
        <f t="shared" si="52"/>
        <v>6414.4221745062532</v>
      </c>
      <c r="G145" s="55">
        <f t="shared" si="53"/>
        <v>8235.968765415344</v>
      </c>
      <c r="H145" s="380">
        <f t="shared" si="54"/>
        <v>4668.6882277225459</v>
      </c>
      <c r="I145" s="399">
        <f t="shared" si="55"/>
        <v>4668.6882277225459</v>
      </c>
      <c r="J145" s="54">
        <f t="shared" si="38"/>
        <v>0</v>
      </c>
      <c r="K145" s="54"/>
      <c r="L145" s="129"/>
      <c r="M145" s="54">
        <f t="shared" si="56"/>
        <v>0</v>
      </c>
      <c r="N145" s="129"/>
      <c r="O145" s="54">
        <f t="shared" si="57"/>
        <v>0</v>
      </c>
      <c r="P145" s="54">
        <f t="shared" si="58"/>
        <v>0</v>
      </c>
    </row>
    <row r="146" spans="2:16" ht="12.5">
      <c r="B146" s="7" t="str">
        <f t="shared" si="34"/>
        <v/>
      </c>
      <c r="C146" s="50">
        <f>IF(D93="","-",+C145+1)</f>
        <v>2057</v>
      </c>
      <c r="D146" s="12">
        <f>IF(F145+SUM(E$99:E145)=D$92,F145,D$92-SUM(E$99:E145))</f>
        <v>6414.4221745062532</v>
      </c>
      <c r="E146" s="378">
        <f t="shared" si="51"/>
        <v>3643.0931818181821</v>
      </c>
      <c r="F146" s="55">
        <f t="shared" si="52"/>
        <v>2771.3289926880711</v>
      </c>
      <c r="G146" s="55">
        <f t="shared" si="53"/>
        <v>4592.8755835971624</v>
      </c>
      <c r="H146" s="380">
        <f t="shared" si="54"/>
        <v>4215.0271678687977</v>
      </c>
      <c r="I146" s="399">
        <f t="shared" si="55"/>
        <v>4215.0271678687977</v>
      </c>
      <c r="J146" s="54">
        <f t="shared" si="38"/>
        <v>0</v>
      </c>
      <c r="K146" s="54"/>
      <c r="L146" s="129"/>
      <c r="M146" s="54">
        <f t="shared" si="56"/>
        <v>0</v>
      </c>
      <c r="N146" s="129"/>
      <c r="O146" s="54">
        <f t="shared" si="57"/>
        <v>0</v>
      </c>
      <c r="P146" s="54">
        <f t="shared" si="58"/>
        <v>0</v>
      </c>
    </row>
    <row r="147" spans="2:16" ht="12.5">
      <c r="B147" s="7" t="str">
        <f t="shared" si="34"/>
        <v/>
      </c>
      <c r="C147" s="50">
        <f>IF(D93="","-",+C146+1)</f>
        <v>2058</v>
      </c>
      <c r="D147" s="12">
        <f>IF(F146+SUM(E$99:E146)=D$92,F146,D$92-SUM(E$99:E146))</f>
        <v>2771.3289926880711</v>
      </c>
      <c r="E147" s="378">
        <f t="shared" si="51"/>
        <v>2771.3289926880711</v>
      </c>
      <c r="F147" s="55">
        <f t="shared" si="52"/>
        <v>0</v>
      </c>
      <c r="G147" s="55">
        <f t="shared" si="53"/>
        <v>1385.6644963440356</v>
      </c>
      <c r="H147" s="380">
        <f t="shared" si="54"/>
        <v>2943.8807207499417</v>
      </c>
      <c r="I147" s="399">
        <f t="shared" si="55"/>
        <v>2943.8807207499417</v>
      </c>
      <c r="J147" s="54">
        <f t="shared" si="38"/>
        <v>0</v>
      </c>
      <c r="K147" s="54"/>
      <c r="L147" s="129"/>
      <c r="M147" s="54">
        <f t="shared" si="56"/>
        <v>0</v>
      </c>
      <c r="N147" s="129"/>
      <c r="O147" s="54">
        <f t="shared" si="57"/>
        <v>0</v>
      </c>
      <c r="P147" s="54">
        <f t="shared" si="58"/>
        <v>0</v>
      </c>
    </row>
    <row r="148" spans="2:16" ht="12.5">
      <c r="B148" s="7" t="str">
        <f t="shared" si="34"/>
        <v/>
      </c>
      <c r="C148" s="50">
        <f>IF(D93="","-",+C147+1)</f>
        <v>2059</v>
      </c>
      <c r="D148" s="12">
        <f>IF(F147+SUM(E$99:E147)=D$92,F147,D$92-SUM(E$99:E147))</f>
        <v>0</v>
      </c>
      <c r="E148" s="378">
        <f t="shared" si="51"/>
        <v>0</v>
      </c>
      <c r="F148" s="55">
        <f t="shared" si="52"/>
        <v>0</v>
      </c>
      <c r="G148" s="55">
        <f t="shared" si="53"/>
        <v>0</v>
      </c>
      <c r="H148" s="380">
        <f t="shared" si="54"/>
        <v>0</v>
      </c>
      <c r="I148" s="399">
        <f t="shared" si="55"/>
        <v>0</v>
      </c>
      <c r="J148" s="54">
        <f t="shared" si="38"/>
        <v>0</v>
      </c>
      <c r="K148" s="54"/>
      <c r="L148" s="129"/>
      <c r="M148" s="54">
        <f t="shared" si="56"/>
        <v>0</v>
      </c>
      <c r="N148" s="129"/>
      <c r="O148" s="54">
        <f t="shared" si="57"/>
        <v>0</v>
      </c>
      <c r="P148" s="54">
        <f t="shared" si="58"/>
        <v>0</v>
      </c>
    </row>
    <row r="149" spans="2:16" ht="12.5">
      <c r="B149" s="7" t="str">
        <f t="shared" si="34"/>
        <v/>
      </c>
      <c r="C149" s="50">
        <f>IF(D93="","-",+C148+1)</f>
        <v>2060</v>
      </c>
      <c r="D149" s="12">
        <f>IF(F148+SUM(E$99:E148)=D$92,F148,D$92-SUM(E$99:E148))</f>
        <v>0</v>
      </c>
      <c r="E149" s="378">
        <f t="shared" si="51"/>
        <v>0</v>
      </c>
      <c r="F149" s="55">
        <f t="shared" si="52"/>
        <v>0</v>
      </c>
      <c r="G149" s="55">
        <f t="shared" si="53"/>
        <v>0</v>
      </c>
      <c r="H149" s="380">
        <f t="shared" si="54"/>
        <v>0</v>
      </c>
      <c r="I149" s="399">
        <f t="shared" si="55"/>
        <v>0</v>
      </c>
      <c r="J149" s="54">
        <f t="shared" si="38"/>
        <v>0</v>
      </c>
      <c r="K149" s="54"/>
      <c r="L149" s="129"/>
      <c r="M149" s="54">
        <f t="shared" si="56"/>
        <v>0</v>
      </c>
      <c r="N149" s="129"/>
      <c r="O149" s="54">
        <f t="shared" si="57"/>
        <v>0</v>
      </c>
      <c r="P149" s="54">
        <f t="shared" si="58"/>
        <v>0</v>
      </c>
    </row>
    <row r="150" spans="2:16" ht="12.5">
      <c r="B150" s="7" t="str">
        <f t="shared" si="34"/>
        <v/>
      </c>
      <c r="C150" s="50">
        <f>IF(D93="","-",+C149+1)</f>
        <v>2061</v>
      </c>
      <c r="D150" s="12">
        <f>IF(F149+SUM(E$99:E149)=D$92,F149,D$92-SUM(E$99:E149))</f>
        <v>0</v>
      </c>
      <c r="E150" s="378">
        <f t="shared" si="51"/>
        <v>0</v>
      </c>
      <c r="F150" s="55">
        <f t="shared" si="52"/>
        <v>0</v>
      </c>
      <c r="G150" s="55">
        <f t="shared" si="53"/>
        <v>0</v>
      </c>
      <c r="H150" s="380">
        <f t="shared" si="54"/>
        <v>0</v>
      </c>
      <c r="I150" s="399">
        <f t="shared" si="55"/>
        <v>0</v>
      </c>
      <c r="J150" s="54">
        <f t="shared" si="38"/>
        <v>0</v>
      </c>
      <c r="K150" s="54"/>
      <c r="L150" s="129"/>
      <c r="M150" s="54">
        <f t="shared" si="56"/>
        <v>0</v>
      </c>
      <c r="N150" s="129"/>
      <c r="O150" s="54">
        <f t="shared" si="57"/>
        <v>0</v>
      </c>
      <c r="P150" s="54">
        <f t="shared" si="58"/>
        <v>0</v>
      </c>
    </row>
    <row r="151" spans="2:16" ht="12.5">
      <c r="B151" s="7" t="str">
        <f t="shared" si="34"/>
        <v/>
      </c>
      <c r="C151" s="50">
        <f>IF(D93="","-",+C150+1)</f>
        <v>2062</v>
      </c>
      <c r="D151" s="12">
        <f>IF(F150+SUM(E$99:E150)=D$92,F150,D$92-SUM(E$99:E150))</f>
        <v>0</v>
      </c>
      <c r="E151" s="378">
        <f t="shared" si="51"/>
        <v>0</v>
      </c>
      <c r="F151" s="55">
        <f t="shared" si="52"/>
        <v>0</v>
      </c>
      <c r="G151" s="55">
        <f t="shared" si="53"/>
        <v>0</v>
      </c>
      <c r="H151" s="380">
        <f t="shared" si="54"/>
        <v>0</v>
      </c>
      <c r="I151" s="399">
        <f t="shared" si="55"/>
        <v>0</v>
      </c>
      <c r="J151" s="54">
        <f t="shared" si="38"/>
        <v>0</v>
      </c>
      <c r="K151" s="54"/>
      <c r="L151" s="129"/>
      <c r="M151" s="54">
        <f t="shared" si="56"/>
        <v>0</v>
      </c>
      <c r="N151" s="129"/>
      <c r="O151" s="54">
        <f t="shared" si="57"/>
        <v>0</v>
      </c>
      <c r="P151" s="54">
        <f t="shared" si="58"/>
        <v>0</v>
      </c>
    </row>
    <row r="152" spans="2:16" ht="12.5">
      <c r="B152" s="7" t="str">
        <f t="shared" si="34"/>
        <v/>
      </c>
      <c r="C152" s="50">
        <f>IF(D93="","-",+C151+1)</f>
        <v>2063</v>
      </c>
      <c r="D152" s="12">
        <f>IF(F151+SUM(E$99:E151)=D$92,F151,D$92-SUM(E$99:E151))</f>
        <v>0</v>
      </c>
      <c r="E152" s="378">
        <f t="shared" si="51"/>
        <v>0</v>
      </c>
      <c r="F152" s="55">
        <f t="shared" si="52"/>
        <v>0</v>
      </c>
      <c r="G152" s="55">
        <f t="shared" si="53"/>
        <v>0</v>
      </c>
      <c r="H152" s="380">
        <f t="shared" si="54"/>
        <v>0</v>
      </c>
      <c r="I152" s="399">
        <f t="shared" si="55"/>
        <v>0</v>
      </c>
      <c r="J152" s="54">
        <f t="shared" si="38"/>
        <v>0</v>
      </c>
      <c r="K152" s="54"/>
      <c r="L152" s="129"/>
      <c r="M152" s="54">
        <f t="shared" si="56"/>
        <v>0</v>
      </c>
      <c r="N152" s="129"/>
      <c r="O152" s="54">
        <f t="shared" si="57"/>
        <v>0</v>
      </c>
      <c r="P152" s="54">
        <f t="shared" si="58"/>
        <v>0</v>
      </c>
    </row>
    <row r="153" spans="2:16" ht="12.5">
      <c r="B153" s="7" t="str">
        <f t="shared" si="34"/>
        <v/>
      </c>
      <c r="C153" s="50">
        <f>IF(D93="","-",+C152+1)</f>
        <v>2064</v>
      </c>
      <c r="D153" s="12">
        <f>IF(F152+SUM(E$99:E152)=D$92,F152,D$92-SUM(E$99:E152))</f>
        <v>0</v>
      </c>
      <c r="E153" s="378">
        <f t="shared" si="51"/>
        <v>0</v>
      </c>
      <c r="F153" s="55">
        <f t="shared" si="52"/>
        <v>0</v>
      </c>
      <c r="G153" s="55">
        <f t="shared" si="53"/>
        <v>0</v>
      </c>
      <c r="H153" s="380">
        <f t="shared" si="54"/>
        <v>0</v>
      </c>
      <c r="I153" s="399">
        <f t="shared" si="55"/>
        <v>0</v>
      </c>
      <c r="J153" s="54">
        <f t="shared" si="38"/>
        <v>0</v>
      </c>
      <c r="K153" s="54"/>
      <c r="L153" s="129"/>
      <c r="M153" s="54">
        <f t="shared" si="56"/>
        <v>0</v>
      </c>
      <c r="N153" s="129"/>
      <c r="O153" s="54">
        <f t="shared" si="57"/>
        <v>0</v>
      </c>
      <c r="P153" s="54">
        <f t="shared" si="58"/>
        <v>0</v>
      </c>
    </row>
    <row r="154" spans="2:16" ht="13" thickBot="1">
      <c r="B154" s="7" t="str">
        <f t="shared" si="34"/>
        <v/>
      </c>
      <c r="C154" s="59">
        <f>IF(D93="","-",+C153+1)</f>
        <v>2065</v>
      </c>
      <c r="D154" s="12">
        <f>IF(F153+SUM(E$99:E153)=D$92,F153,D$92-SUM(E$99:E153))</f>
        <v>0</v>
      </c>
      <c r="E154" s="378">
        <f t="shared" si="51"/>
        <v>0</v>
      </c>
      <c r="F154" s="55">
        <f t="shared" si="52"/>
        <v>0</v>
      </c>
      <c r="G154" s="55">
        <f t="shared" si="53"/>
        <v>0</v>
      </c>
      <c r="H154" s="380">
        <f t="shared" si="54"/>
        <v>0</v>
      </c>
      <c r="I154" s="399">
        <f t="shared" si="55"/>
        <v>0</v>
      </c>
      <c r="J154" s="54">
        <f t="shared" si="38"/>
        <v>0</v>
      </c>
      <c r="K154" s="54"/>
      <c r="L154" s="130"/>
      <c r="M154" s="64">
        <f t="shared" si="56"/>
        <v>0</v>
      </c>
      <c r="N154" s="130"/>
      <c r="O154" s="64">
        <f t="shared" si="57"/>
        <v>0</v>
      </c>
      <c r="P154" s="64">
        <f t="shared" si="58"/>
        <v>0</v>
      </c>
    </row>
    <row r="155" spans="2:16" ht="12.5">
      <c r="C155" s="12" t="s">
        <v>78</v>
      </c>
      <c r="D155" s="293"/>
      <c r="E155" s="293">
        <f>SUM(E99:E154)</f>
        <v>160296.09999999992</v>
      </c>
      <c r="F155" s="293"/>
      <c r="G155" s="293"/>
      <c r="H155" s="293">
        <f>SUM(H99:H154)</f>
        <v>583808.36128077784</v>
      </c>
      <c r="I155" s="293">
        <f>SUM(I99:I154)</f>
        <v>583808.36128077784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 ht="12.5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 ht="13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61" priority="1" stopIfTrue="1" operator="equal">
      <formula>$I$10</formula>
    </cfRule>
  </conditionalFormatting>
  <conditionalFormatting sqref="C99:C154">
    <cfRule type="cellIs" dxfId="6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98">
    <tabColor theme="9" tint="-0.249977111117893"/>
  </sheetPr>
  <dimension ref="A1:P162"/>
  <sheetViews>
    <sheetView topLeftCell="A71" zoomScaleNormal="100" zoomScaleSheetLayoutView="82" workbookViewId="0">
      <selection activeCell="D31" sqref="D31:H3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49 of 77</v>
      </c>
    </row>
    <row r="2" spans="1:16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2452.8598087506471</v>
      </c>
      <c r="P5" s="1"/>
    </row>
    <row r="6" spans="1:16" ht="15.5">
      <c r="C6" s="6"/>
      <c r="D6" s="99" t="s">
        <v>358</v>
      </c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2452.8598087506471</v>
      </c>
      <c r="O6" s="1"/>
      <c r="P6" s="1"/>
    </row>
    <row r="7" spans="1:16" ht="13.5" thickBot="1">
      <c r="C7" s="25" t="s">
        <v>48</v>
      </c>
      <c r="D7" s="90" t="s">
        <v>341</v>
      </c>
      <c r="E7" s="406"/>
      <c r="F7" s="406"/>
      <c r="G7" s="406"/>
      <c r="H7" s="40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>DOES NOT MEET SPP $100,000 MINIMUM INVESTMENT FOR REGIONAL BPU SHARING.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340</v>
      </c>
      <c r="E9" s="436" t="s">
        <v>494</v>
      </c>
      <c r="F9" s="462">
        <v>875</v>
      </c>
      <c r="G9" s="31"/>
      <c r="H9" s="31"/>
      <c r="I9" s="32"/>
      <c r="J9" s="33"/>
      <c r="P9" s="1"/>
    </row>
    <row r="10" spans="1:16" ht="13">
      <c r="C10" s="34" t="s">
        <v>51</v>
      </c>
      <c r="D10" s="363">
        <v>23215.78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6" ht="12.5">
      <c r="C11" s="34" t="s">
        <v>54</v>
      </c>
      <c r="D11" s="37">
        <v>2010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3">
        <v>11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527.63136363636363</v>
      </c>
      <c r="J14" s="293"/>
      <c r="K14" s="293"/>
      <c r="L14" s="293"/>
      <c r="M14" s="293"/>
      <c r="N14" s="293"/>
      <c r="O14" s="1"/>
      <c r="P14" s="1"/>
    </row>
    <row r="15" spans="1:16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2010</v>
      </c>
      <c r="D17" s="429">
        <v>23215.78</v>
      </c>
      <c r="E17" s="437">
        <v>92.126111111111115</v>
      </c>
      <c r="F17" s="429">
        <v>23123.653888888886</v>
      </c>
      <c r="G17" s="437">
        <v>3211.7500098580754</v>
      </c>
      <c r="H17" s="438">
        <v>3211.7500098580754</v>
      </c>
      <c r="I17" s="52">
        <v>0</v>
      </c>
      <c r="J17" s="52"/>
      <c r="K17" s="112">
        <f t="shared" ref="K17:K22" si="0">G17</f>
        <v>3211.7500098580754</v>
      </c>
      <c r="L17" s="53">
        <f t="shared" ref="L17:L22" si="1">IF(K17&lt;&gt;0,+G17-K17,0)</f>
        <v>0</v>
      </c>
      <c r="M17" s="112">
        <f t="shared" ref="M17:M22" si="2">H17</f>
        <v>3211.7500098580754</v>
      </c>
      <c r="N17" s="53">
        <f t="shared" ref="N17:N22" si="3">IF(M17&lt;&gt;0,+H17-M17,0)</f>
        <v>0</v>
      </c>
      <c r="O17" s="54">
        <f t="shared" ref="O17:O22" si="4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2011</v>
      </c>
      <c r="D18" s="431">
        <v>23215.78</v>
      </c>
      <c r="E18" s="430">
        <v>92.126111111111115</v>
      </c>
      <c r="F18" s="431">
        <v>23123.653888888886</v>
      </c>
      <c r="G18" s="430">
        <v>3211.7500098580754</v>
      </c>
      <c r="H18" s="438">
        <v>3211.7500098580754</v>
      </c>
      <c r="I18" s="52">
        <v>0</v>
      </c>
      <c r="J18" s="52"/>
      <c r="K18" s="113">
        <f t="shared" si="0"/>
        <v>3211.7500098580754</v>
      </c>
      <c r="L18" s="54">
        <f t="shared" si="1"/>
        <v>0</v>
      </c>
      <c r="M18" s="113">
        <f t="shared" si="2"/>
        <v>3211.7500098580754</v>
      </c>
      <c r="N18" s="54">
        <f t="shared" si="3"/>
        <v>0</v>
      </c>
      <c r="O18" s="54">
        <f t="shared" si="4"/>
        <v>0</v>
      </c>
      <c r="P18" s="1"/>
    </row>
    <row r="19" spans="2:16" ht="12.5">
      <c r="B19" s="7" t="str">
        <f>IF(D19=F18,"","IU")</f>
        <v/>
      </c>
      <c r="C19" s="50">
        <f>IF(D11="","-",+C18+1)</f>
        <v>2012</v>
      </c>
      <c r="D19" s="431">
        <v>23123.653888888886</v>
      </c>
      <c r="E19" s="430">
        <v>552.75666666666666</v>
      </c>
      <c r="F19" s="431">
        <v>22570.897222222218</v>
      </c>
      <c r="G19" s="430">
        <v>3597.8078825750581</v>
      </c>
      <c r="H19" s="438">
        <v>3597.8078825750581</v>
      </c>
      <c r="I19" s="52">
        <v>0</v>
      </c>
      <c r="J19" s="52"/>
      <c r="K19" s="113">
        <f t="shared" si="0"/>
        <v>3597.8078825750581</v>
      </c>
      <c r="L19" s="54">
        <f t="shared" si="1"/>
        <v>0</v>
      </c>
      <c r="M19" s="113">
        <f t="shared" si="2"/>
        <v>3597.8078825750581</v>
      </c>
      <c r="N19" s="54">
        <f t="shared" si="3"/>
        <v>0</v>
      </c>
      <c r="O19" s="54">
        <f t="shared" si="4"/>
        <v>0</v>
      </c>
      <c r="P19" s="1"/>
    </row>
    <row r="20" spans="2:16" ht="12.5">
      <c r="B20" s="7" t="str">
        <f t="shared" ref="B20:B72" si="5">IF(D20=F19,"","IU")</f>
        <v/>
      </c>
      <c r="C20" s="50">
        <f>IF(D11="","-",+C19+1)</f>
        <v>2013</v>
      </c>
      <c r="D20" s="431">
        <v>22570.897222222218</v>
      </c>
      <c r="E20" s="430">
        <v>552.75666666666666</v>
      </c>
      <c r="F20" s="431">
        <v>22018.14055555555</v>
      </c>
      <c r="G20" s="430">
        <v>3523.2351997364849</v>
      </c>
      <c r="H20" s="438">
        <v>3523.2351997364849</v>
      </c>
      <c r="I20" s="52">
        <v>0</v>
      </c>
      <c r="J20" s="52"/>
      <c r="K20" s="113">
        <f t="shared" si="0"/>
        <v>3523.2351997364849</v>
      </c>
      <c r="L20" s="54">
        <f t="shared" si="1"/>
        <v>0</v>
      </c>
      <c r="M20" s="113">
        <f t="shared" si="2"/>
        <v>3523.2351997364849</v>
      </c>
      <c r="N20" s="54">
        <f t="shared" si="3"/>
        <v>0</v>
      </c>
      <c r="O20" s="54">
        <f t="shared" si="4"/>
        <v>0</v>
      </c>
      <c r="P20" s="1"/>
    </row>
    <row r="21" spans="2:16" ht="12.5">
      <c r="B21" s="7" t="str">
        <f t="shared" si="5"/>
        <v/>
      </c>
      <c r="C21" s="50">
        <f>IF(D11="","-",+C20+1)</f>
        <v>2014</v>
      </c>
      <c r="D21" s="431">
        <v>22018.14055555555</v>
      </c>
      <c r="E21" s="430">
        <v>552.75666666666666</v>
      </c>
      <c r="F21" s="431">
        <v>21465.383888888882</v>
      </c>
      <c r="G21" s="430">
        <v>3448.6625168979117</v>
      </c>
      <c r="H21" s="438">
        <v>3448.6625168979117</v>
      </c>
      <c r="I21" s="52">
        <v>0</v>
      </c>
      <c r="J21" s="52"/>
      <c r="K21" s="113">
        <f t="shared" si="0"/>
        <v>3448.6625168979117</v>
      </c>
      <c r="L21" s="54">
        <f t="shared" si="1"/>
        <v>0</v>
      </c>
      <c r="M21" s="113">
        <f t="shared" si="2"/>
        <v>3448.6625168979117</v>
      </c>
      <c r="N21" s="54">
        <f t="shared" si="3"/>
        <v>0</v>
      </c>
      <c r="O21" s="54">
        <f t="shared" si="4"/>
        <v>0</v>
      </c>
      <c r="P21" s="1"/>
    </row>
    <row r="22" spans="2:16" ht="12.5">
      <c r="B22" s="7" t="str">
        <f t="shared" si="5"/>
        <v/>
      </c>
      <c r="C22" s="50">
        <f>IF(D11="","-",+C21+1)</f>
        <v>2015</v>
      </c>
      <c r="D22" s="431">
        <v>21465.383888888882</v>
      </c>
      <c r="E22" s="430">
        <v>552.75666666666666</v>
      </c>
      <c r="F22" s="431">
        <v>20912.627222222214</v>
      </c>
      <c r="G22" s="430">
        <v>3307.050072836138</v>
      </c>
      <c r="H22" s="438">
        <v>3307.050072836138</v>
      </c>
      <c r="I22" s="52">
        <f t="shared" ref="I22:I33" si="6">H22-G22</f>
        <v>0</v>
      </c>
      <c r="J22" s="52"/>
      <c r="K22" s="113">
        <f t="shared" si="0"/>
        <v>3307.050072836138</v>
      </c>
      <c r="L22" s="54">
        <f t="shared" si="1"/>
        <v>0</v>
      </c>
      <c r="M22" s="113">
        <f t="shared" si="2"/>
        <v>3307.050072836138</v>
      </c>
      <c r="N22" s="54">
        <f t="shared" si="3"/>
        <v>0</v>
      </c>
      <c r="O22" s="54">
        <f t="shared" si="4"/>
        <v>0</v>
      </c>
      <c r="P22" s="1"/>
    </row>
    <row r="23" spans="2:16" ht="12.5">
      <c r="B23" s="7" t="str">
        <f t="shared" si="5"/>
        <v/>
      </c>
      <c r="C23" s="50">
        <f>IF(D11="","-",+C22+1)</f>
        <v>2016</v>
      </c>
      <c r="D23" s="431">
        <v>20912.627222222214</v>
      </c>
      <c r="E23" s="430">
        <v>552.75666666666666</v>
      </c>
      <c r="F23" s="431">
        <v>20359.870555555546</v>
      </c>
      <c r="G23" s="430">
        <v>3201.1681199217446</v>
      </c>
      <c r="H23" s="438">
        <v>3201.1681199217446</v>
      </c>
      <c r="I23" s="52">
        <f t="shared" si="6"/>
        <v>0</v>
      </c>
      <c r="J23" s="52"/>
      <c r="K23" s="113">
        <f t="shared" ref="K23:K28" si="7">G23</f>
        <v>3201.1681199217446</v>
      </c>
      <c r="L23" s="54">
        <f t="shared" ref="L23:L28" si="8">IF(K23&lt;&gt;0,+G23-K23,0)</f>
        <v>0</v>
      </c>
      <c r="M23" s="113">
        <f t="shared" ref="M23:M28" si="9">H23</f>
        <v>3201.1681199217446</v>
      </c>
      <c r="N23" s="54">
        <f>IF(M23&lt;&gt;0,+H23-M23,0)</f>
        <v>0</v>
      </c>
      <c r="O23" s="54">
        <f>+N23-L23</f>
        <v>0</v>
      </c>
      <c r="P23" s="1"/>
    </row>
    <row r="24" spans="2:16" ht="12.5">
      <c r="B24" s="7" t="str">
        <f t="shared" si="5"/>
        <v/>
      </c>
      <c r="C24" s="50">
        <f>IF(D11="","-",+C23+1)</f>
        <v>2017</v>
      </c>
      <c r="D24" s="431">
        <v>20359.870555555546</v>
      </c>
      <c r="E24" s="430">
        <v>539.90186046511621</v>
      </c>
      <c r="F24" s="431">
        <v>19819.968695090429</v>
      </c>
      <c r="G24" s="430">
        <v>3028.8929029965175</v>
      </c>
      <c r="H24" s="438">
        <v>3028.8929029965175</v>
      </c>
      <c r="I24" s="52">
        <f t="shared" si="6"/>
        <v>0</v>
      </c>
      <c r="J24" s="52"/>
      <c r="K24" s="113">
        <f t="shared" si="7"/>
        <v>3028.8929029965175</v>
      </c>
      <c r="L24" s="54">
        <f t="shared" si="8"/>
        <v>0</v>
      </c>
      <c r="M24" s="113">
        <f t="shared" si="9"/>
        <v>3028.8929029965175</v>
      </c>
      <c r="N24" s="54">
        <f>IF(M24&lt;&gt;0,+H24-M24,0)</f>
        <v>0</v>
      </c>
      <c r="O24" s="54">
        <f>+N24-L24</f>
        <v>0</v>
      </c>
      <c r="P24" s="1"/>
    </row>
    <row r="25" spans="2:16" ht="12.5">
      <c r="B25" s="7" t="str">
        <f t="shared" si="5"/>
        <v/>
      </c>
      <c r="C25" s="50">
        <f>IF(D11="","-",+C24+1)</f>
        <v>2018</v>
      </c>
      <c r="D25" s="431">
        <v>19819.968695090429</v>
      </c>
      <c r="E25" s="430">
        <v>566.23853658536586</v>
      </c>
      <c r="F25" s="431">
        <v>19253.730158505063</v>
      </c>
      <c r="G25" s="430">
        <v>3049.2568103813055</v>
      </c>
      <c r="H25" s="438">
        <v>3049.2568103813055</v>
      </c>
      <c r="I25" s="52">
        <f t="shared" si="6"/>
        <v>0</v>
      </c>
      <c r="J25" s="52"/>
      <c r="K25" s="113">
        <f t="shared" si="7"/>
        <v>3049.2568103813055</v>
      </c>
      <c r="L25" s="54">
        <f t="shared" si="8"/>
        <v>0</v>
      </c>
      <c r="M25" s="113">
        <f t="shared" si="9"/>
        <v>3049.2568103813055</v>
      </c>
      <c r="N25" s="54">
        <f t="shared" ref="N25:N72" si="10">IF(M25&lt;&gt;0,+H25-M25,0)</f>
        <v>0</v>
      </c>
      <c r="O25" s="54">
        <f t="shared" ref="O25:O72" si="11">+N25-L25</f>
        <v>0</v>
      </c>
      <c r="P25" s="1"/>
    </row>
    <row r="26" spans="2:16" ht="12.5">
      <c r="B26" s="7" t="str">
        <f t="shared" si="5"/>
        <v/>
      </c>
      <c r="C26" s="50">
        <f>IF(D11="","-",+C25+1)</f>
        <v>2019</v>
      </c>
      <c r="D26" s="431">
        <v>19253.730158505063</v>
      </c>
      <c r="E26" s="430">
        <v>566.23853658536586</v>
      </c>
      <c r="F26" s="431">
        <v>18687.491621919697</v>
      </c>
      <c r="G26" s="430">
        <v>2977.2912337955331</v>
      </c>
      <c r="H26" s="438">
        <v>2977.2912337955331</v>
      </c>
      <c r="I26" s="52">
        <f t="shared" si="6"/>
        <v>0</v>
      </c>
      <c r="J26" s="52"/>
      <c r="K26" s="113">
        <f t="shared" si="7"/>
        <v>2977.2912337955331</v>
      </c>
      <c r="L26" s="54">
        <f t="shared" si="8"/>
        <v>0</v>
      </c>
      <c r="M26" s="113">
        <f t="shared" si="9"/>
        <v>2977.2912337955331</v>
      </c>
      <c r="N26" s="54">
        <f t="shared" si="10"/>
        <v>0</v>
      </c>
      <c r="O26" s="54">
        <f t="shared" si="11"/>
        <v>0</v>
      </c>
      <c r="P26" s="1"/>
    </row>
    <row r="27" spans="2:16" ht="12.5">
      <c r="B27" s="7" t="str">
        <f t="shared" si="5"/>
        <v>IU</v>
      </c>
      <c r="C27" s="50">
        <f>IF(D11="","-",+C26+1)</f>
        <v>2020</v>
      </c>
      <c r="D27" s="431">
        <v>18595.365510808595</v>
      </c>
      <c r="E27" s="430">
        <v>566.23853658536586</v>
      </c>
      <c r="F27" s="431">
        <v>18029.126974223229</v>
      </c>
      <c r="G27" s="430">
        <v>2440.2305931372539</v>
      </c>
      <c r="H27" s="438">
        <v>2440.2305931372539</v>
      </c>
      <c r="I27" s="52">
        <f t="shared" si="6"/>
        <v>0</v>
      </c>
      <c r="J27" s="52"/>
      <c r="K27" s="113">
        <f t="shared" si="7"/>
        <v>2440.2305931372539</v>
      </c>
      <c r="L27" s="54">
        <f t="shared" si="8"/>
        <v>0</v>
      </c>
      <c r="M27" s="113">
        <f t="shared" si="9"/>
        <v>2440.2305931372539</v>
      </c>
      <c r="N27" s="54">
        <f t="shared" si="10"/>
        <v>0</v>
      </c>
      <c r="O27" s="54">
        <f t="shared" si="11"/>
        <v>0</v>
      </c>
      <c r="P27" s="1"/>
    </row>
    <row r="28" spans="2:16" ht="12.5">
      <c r="B28" s="7" t="str">
        <f t="shared" si="5"/>
        <v>IU</v>
      </c>
      <c r="C28" s="50">
        <f>IF(D11="","-",+C27+1)</f>
        <v>2021</v>
      </c>
      <c r="D28" s="431">
        <v>18055.463650343478</v>
      </c>
      <c r="E28" s="430">
        <v>552.75666666666666</v>
      </c>
      <c r="F28" s="431">
        <v>17502.70698367681</v>
      </c>
      <c r="G28" s="430">
        <v>2437.4205169702896</v>
      </c>
      <c r="H28" s="438">
        <v>2437.4205169702896</v>
      </c>
      <c r="I28" s="52">
        <f t="shared" si="6"/>
        <v>0</v>
      </c>
      <c r="J28" s="52"/>
      <c r="K28" s="113">
        <f t="shared" si="7"/>
        <v>2437.4205169702896</v>
      </c>
      <c r="L28" s="54">
        <f t="shared" si="8"/>
        <v>0</v>
      </c>
      <c r="M28" s="113">
        <f t="shared" si="9"/>
        <v>2437.4205169702896</v>
      </c>
      <c r="N28" s="54">
        <f t="shared" si="10"/>
        <v>0</v>
      </c>
      <c r="O28" s="54">
        <f t="shared" si="11"/>
        <v>0</v>
      </c>
      <c r="P28" s="1"/>
    </row>
    <row r="29" spans="2:16" ht="12.5">
      <c r="B29" s="7" t="str">
        <f t="shared" si="5"/>
        <v>IU</v>
      </c>
      <c r="C29" s="50">
        <f>IF(D11="","-",+C28+1)</f>
        <v>2022</v>
      </c>
      <c r="D29" s="431">
        <v>17476.370307556565</v>
      </c>
      <c r="E29" s="430">
        <v>552.75666666666666</v>
      </c>
      <c r="F29" s="431">
        <v>16923.613640889896</v>
      </c>
      <c r="G29" s="430">
        <v>2486.7942306042569</v>
      </c>
      <c r="H29" s="438">
        <v>2486.7942306042569</v>
      </c>
      <c r="I29" s="52">
        <f t="shared" si="6"/>
        <v>0</v>
      </c>
      <c r="J29" s="52"/>
      <c r="K29" s="113">
        <f t="shared" ref="K29" si="12">G29</f>
        <v>2486.7942306042569</v>
      </c>
      <c r="L29" s="54">
        <f t="shared" ref="L29" si="13">IF(K29&lt;&gt;0,+G29-K29,0)</f>
        <v>0</v>
      </c>
      <c r="M29" s="113">
        <f t="shared" ref="M29" si="14">H29</f>
        <v>2486.7942306042569</v>
      </c>
      <c r="N29" s="54">
        <f t="shared" si="10"/>
        <v>0</v>
      </c>
      <c r="O29" s="54">
        <f t="shared" si="11"/>
        <v>0</v>
      </c>
      <c r="P29" s="1"/>
    </row>
    <row r="30" spans="2:16" ht="12.5">
      <c r="B30" s="7" t="str">
        <f t="shared" si="5"/>
        <v/>
      </c>
      <c r="C30" s="50">
        <f>IF(D11="","-",+C29+1)</f>
        <v>2023</v>
      </c>
      <c r="D30" s="431">
        <v>16923.613640889896</v>
      </c>
      <c r="E30" s="430">
        <v>552.75666666666666</v>
      </c>
      <c r="F30" s="431">
        <v>16370.85697422323</v>
      </c>
      <c r="G30" s="430">
        <v>2655.7484318113256</v>
      </c>
      <c r="H30" s="438">
        <v>2655.7484318113256</v>
      </c>
      <c r="I30" s="52">
        <f t="shared" si="6"/>
        <v>0</v>
      </c>
      <c r="J30" s="52"/>
      <c r="K30" s="113">
        <f t="shared" ref="K30" si="15">G30</f>
        <v>2655.7484318113256</v>
      </c>
      <c r="L30" s="54">
        <f t="shared" ref="L30" si="16">IF(K30&lt;&gt;0,+G30-K30,0)</f>
        <v>0</v>
      </c>
      <c r="M30" s="113">
        <f t="shared" ref="M30" si="17">H30</f>
        <v>2655.7484318113256</v>
      </c>
      <c r="N30" s="54">
        <f t="shared" si="10"/>
        <v>0</v>
      </c>
      <c r="O30" s="54">
        <f t="shared" si="11"/>
        <v>0</v>
      </c>
      <c r="P30" s="1"/>
    </row>
    <row r="31" spans="2:16" ht="12.5">
      <c r="B31" s="7" t="str">
        <f t="shared" si="5"/>
        <v/>
      </c>
      <c r="C31" s="50">
        <f>IF(D11="","-",+C30+1)</f>
        <v>2024</v>
      </c>
      <c r="D31" s="431">
        <v>16370.85697422323</v>
      </c>
      <c r="E31" s="430">
        <v>527.63136363636363</v>
      </c>
      <c r="F31" s="431">
        <v>15843.225610586867</v>
      </c>
      <c r="G31" s="430">
        <v>2452.8598087506471</v>
      </c>
      <c r="H31" s="438">
        <v>2452.8598087506471</v>
      </c>
      <c r="I31" s="52">
        <f t="shared" si="6"/>
        <v>0</v>
      </c>
      <c r="J31" s="52"/>
      <c r="K31" s="113">
        <f t="shared" ref="K31" si="18">G31</f>
        <v>2452.8598087506471</v>
      </c>
      <c r="L31" s="54">
        <f t="shared" ref="L31" si="19">IF(K31&lt;&gt;0,+G31-K31,0)</f>
        <v>0</v>
      </c>
      <c r="M31" s="113">
        <f t="shared" ref="M31" si="20">H31</f>
        <v>2452.8598087506471</v>
      </c>
      <c r="N31" s="54">
        <f t="shared" ref="N31" si="21">IF(M31&lt;&gt;0,+H31-M31,0)</f>
        <v>0</v>
      </c>
      <c r="O31" s="54">
        <f t="shared" ref="O31" si="22">+N31-L31</f>
        <v>0</v>
      </c>
      <c r="P31" s="1"/>
    </row>
    <row r="32" spans="2:16" ht="12.5">
      <c r="B32" s="7" t="str">
        <f t="shared" si="5"/>
        <v/>
      </c>
      <c r="C32" s="50">
        <f>IF(D11="","-",+C31+1)</f>
        <v>2025</v>
      </c>
      <c r="D32" s="55">
        <f>IF(F31+SUM(E$17:E31)=D$10,F31,D$10-SUM(E$17:E31))</f>
        <v>15843.225610586867</v>
      </c>
      <c r="E32" s="378">
        <f>IF(+I14&lt;F31,I14,D32)</f>
        <v>527.63136363636363</v>
      </c>
      <c r="F32" s="55">
        <f t="shared" ref="F32:F33" si="23">+D32-E32</f>
        <v>15315.594246950504</v>
      </c>
      <c r="G32" s="379">
        <f t="shared" ref="G32:G54" si="24">+I$12*((D32+F32)/2)+E32</f>
        <v>2389.7935452844854</v>
      </c>
      <c r="H32" s="364">
        <f t="shared" ref="H32:H54" si="25">+I$13*((D32+F32)/2)+E32</f>
        <v>2389.7935452844854</v>
      </c>
      <c r="I32" s="52">
        <f t="shared" si="6"/>
        <v>0</v>
      </c>
      <c r="J32" s="52"/>
      <c r="K32" s="129"/>
      <c r="L32" s="54">
        <f t="shared" ref="L32:L72" si="26">IF(K32&lt;&gt;0,+G32-K32,0)</f>
        <v>0</v>
      </c>
      <c r="M32" s="129"/>
      <c r="N32" s="54">
        <f t="shared" si="10"/>
        <v>0</v>
      </c>
      <c r="O32" s="54">
        <f t="shared" si="11"/>
        <v>0</v>
      </c>
      <c r="P32" s="1"/>
    </row>
    <row r="33" spans="2:16" ht="12.5">
      <c r="B33" s="7" t="str">
        <f t="shared" si="5"/>
        <v/>
      </c>
      <c r="C33" s="50">
        <f>IF(D11="","-",+C32+1)</f>
        <v>2026</v>
      </c>
      <c r="D33" s="55">
        <f>IF(F32+SUM(E$17:E32)=D$10,F32,D$10-SUM(E$17:E32))</f>
        <v>15315.594246950504</v>
      </c>
      <c r="E33" s="378">
        <f>IF(+I14&lt;F32,I14,D33)</f>
        <v>527.63136363636363</v>
      </c>
      <c r="F33" s="55">
        <f t="shared" si="23"/>
        <v>14787.962883314141</v>
      </c>
      <c r="G33" s="379">
        <f t="shared" si="24"/>
        <v>2326.7272818183237</v>
      </c>
      <c r="H33" s="364">
        <f t="shared" si="25"/>
        <v>2326.7272818183237</v>
      </c>
      <c r="I33" s="52">
        <f t="shared" si="6"/>
        <v>0</v>
      </c>
      <c r="J33" s="52"/>
      <c r="K33" s="129"/>
      <c r="L33" s="54">
        <f t="shared" si="26"/>
        <v>0</v>
      </c>
      <c r="M33" s="129"/>
      <c r="N33" s="54">
        <f t="shared" si="10"/>
        <v>0</v>
      </c>
      <c r="O33" s="54">
        <f t="shared" si="11"/>
        <v>0</v>
      </c>
      <c r="P33" s="1"/>
    </row>
    <row r="34" spans="2:16" ht="12.5">
      <c r="B34" s="7" t="str">
        <f t="shared" si="5"/>
        <v/>
      </c>
      <c r="C34" s="50">
        <f>IF(D11="","-",+C33+1)</f>
        <v>2027</v>
      </c>
      <c r="D34" s="55">
        <f>IF(F33+SUM(E$17:E33)=D$10,F33,D$10-SUM(E$17:E33))</f>
        <v>14787.962883314141</v>
      </c>
      <c r="E34" s="378">
        <f>IF(+I14&lt;F33,I14,D34)</f>
        <v>527.63136363636363</v>
      </c>
      <c r="F34" s="55">
        <f t="shared" ref="F34:F72" si="27">+D34-E34</f>
        <v>14260.331519677778</v>
      </c>
      <c r="G34" s="379">
        <f t="shared" si="24"/>
        <v>2263.6610183521616</v>
      </c>
      <c r="H34" s="364">
        <f t="shared" si="25"/>
        <v>2263.6610183521616</v>
      </c>
      <c r="I34" s="52">
        <f t="shared" ref="I34:I72" si="28">H34-G34</f>
        <v>0</v>
      </c>
      <c r="J34" s="52"/>
      <c r="K34" s="129"/>
      <c r="L34" s="54">
        <f t="shared" si="26"/>
        <v>0</v>
      </c>
      <c r="M34" s="129"/>
      <c r="N34" s="54">
        <f t="shared" si="10"/>
        <v>0</v>
      </c>
      <c r="O34" s="54">
        <f t="shared" si="11"/>
        <v>0</v>
      </c>
      <c r="P34" s="1"/>
    </row>
    <row r="35" spans="2:16" ht="12.5">
      <c r="B35" s="7" t="str">
        <f t="shared" si="5"/>
        <v/>
      </c>
      <c r="C35" s="50">
        <f>IF(D11="","-",+C34+1)</f>
        <v>2028</v>
      </c>
      <c r="D35" s="55">
        <f>IF(F34+SUM(E$17:E34)=D$10,F34,D$10-SUM(E$17:E34))</f>
        <v>14260.331519677778</v>
      </c>
      <c r="E35" s="378">
        <f>IF(+I14&lt;F34,I14,D35)</f>
        <v>527.63136363636363</v>
      </c>
      <c r="F35" s="55">
        <f t="shared" si="27"/>
        <v>13732.700156041416</v>
      </c>
      <c r="G35" s="379">
        <f t="shared" si="24"/>
        <v>2200.5947548859999</v>
      </c>
      <c r="H35" s="364">
        <f t="shared" si="25"/>
        <v>2200.5947548859999</v>
      </c>
      <c r="I35" s="52">
        <f t="shared" si="28"/>
        <v>0</v>
      </c>
      <c r="J35" s="52"/>
      <c r="K35" s="129"/>
      <c r="L35" s="54">
        <f t="shared" si="26"/>
        <v>0</v>
      </c>
      <c r="M35" s="129"/>
      <c r="N35" s="54">
        <f t="shared" si="10"/>
        <v>0</v>
      </c>
      <c r="O35" s="54">
        <f t="shared" si="11"/>
        <v>0</v>
      </c>
      <c r="P35" s="1"/>
    </row>
    <row r="36" spans="2:16" ht="12.5">
      <c r="B36" s="7" t="str">
        <f t="shared" si="5"/>
        <v/>
      </c>
      <c r="C36" s="50">
        <f>IF(D11="","-",+C35+1)</f>
        <v>2029</v>
      </c>
      <c r="D36" s="55">
        <f>IF(F35+SUM(E$17:E35)=D$10,F35,D$10-SUM(E$17:E35))</f>
        <v>13732.700156041416</v>
      </c>
      <c r="E36" s="378">
        <f>IF(+I14&lt;F35,I14,D36)</f>
        <v>527.63136363636363</v>
      </c>
      <c r="F36" s="55">
        <f t="shared" si="27"/>
        <v>13205.068792405053</v>
      </c>
      <c r="G36" s="379">
        <f t="shared" si="24"/>
        <v>2137.5284914198382</v>
      </c>
      <c r="H36" s="364">
        <f t="shared" si="25"/>
        <v>2137.5284914198382</v>
      </c>
      <c r="I36" s="52">
        <f t="shared" si="28"/>
        <v>0</v>
      </c>
      <c r="J36" s="52"/>
      <c r="K36" s="129"/>
      <c r="L36" s="54">
        <f t="shared" si="26"/>
        <v>0</v>
      </c>
      <c r="M36" s="129"/>
      <c r="N36" s="54">
        <f t="shared" si="10"/>
        <v>0</v>
      </c>
      <c r="O36" s="54">
        <f t="shared" si="11"/>
        <v>0</v>
      </c>
      <c r="P36" s="1"/>
    </row>
    <row r="37" spans="2:16" ht="12.5">
      <c r="B37" s="7" t="str">
        <f t="shared" si="5"/>
        <v/>
      </c>
      <c r="C37" s="50">
        <f>IF(D11="","-",+C36+1)</f>
        <v>2030</v>
      </c>
      <c r="D37" s="55">
        <f>IF(F36+SUM(E$17:E36)=D$10,F36,D$10-SUM(E$17:E36))</f>
        <v>13205.068792405053</v>
      </c>
      <c r="E37" s="378">
        <f>IF(+I14&lt;F36,I14,D37)</f>
        <v>527.63136363636363</v>
      </c>
      <c r="F37" s="55">
        <f t="shared" si="27"/>
        <v>12677.43742876869</v>
      </c>
      <c r="G37" s="379">
        <f t="shared" si="24"/>
        <v>2074.4622279536761</v>
      </c>
      <c r="H37" s="364">
        <f t="shared" si="25"/>
        <v>2074.4622279536761</v>
      </c>
      <c r="I37" s="52">
        <f t="shared" si="28"/>
        <v>0</v>
      </c>
      <c r="J37" s="52"/>
      <c r="K37" s="129"/>
      <c r="L37" s="54">
        <f t="shared" si="26"/>
        <v>0</v>
      </c>
      <c r="M37" s="129"/>
      <c r="N37" s="54">
        <f t="shared" si="10"/>
        <v>0</v>
      </c>
      <c r="O37" s="54">
        <f t="shared" si="11"/>
        <v>0</v>
      </c>
      <c r="P37" s="1"/>
    </row>
    <row r="38" spans="2:16" ht="12.5">
      <c r="B38" s="7" t="str">
        <f t="shared" si="5"/>
        <v/>
      </c>
      <c r="C38" s="50">
        <f>IF(D11="","-",+C37+1)</f>
        <v>2031</v>
      </c>
      <c r="D38" s="55">
        <f>IF(F37+SUM(E$17:E37)=D$10,F37,D$10-SUM(E$17:E37))</f>
        <v>12677.43742876869</v>
      </c>
      <c r="E38" s="378">
        <f>IF(+I14&lt;F37,I14,D38)</f>
        <v>527.63136363636363</v>
      </c>
      <c r="F38" s="55">
        <f t="shared" si="27"/>
        <v>12149.806065132327</v>
      </c>
      <c r="G38" s="379">
        <f t="shared" si="24"/>
        <v>2011.3959644875144</v>
      </c>
      <c r="H38" s="364">
        <f t="shared" si="25"/>
        <v>2011.3959644875144</v>
      </c>
      <c r="I38" s="52">
        <f t="shared" si="28"/>
        <v>0</v>
      </c>
      <c r="J38" s="52"/>
      <c r="K38" s="129"/>
      <c r="L38" s="54">
        <f t="shared" si="26"/>
        <v>0</v>
      </c>
      <c r="M38" s="129"/>
      <c r="N38" s="54">
        <f t="shared" si="10"/>
        <v>0</v>
      </c>
      <c r="O38" s="54">
        <f t="shared" si="11"/>
        <v>0</v>
      </c>
      <c r="P38" s="1"/>
    </row>
    <row r="39" spans="2:16" ht="12.5">
      <c r="B39" s="7" t="str">
        <f t="shared" si="5"/>
        <v/>
      </c>
      <c r="C39" s="50">
        <f>IF(D11="","-",+C38+1)</f>
        <v>2032</v>
      </c>
      <c r="D39" s="55">
        <f>IF(F38+SUM(E$17:E38)=D$10,F38,D$10-SUM(E$17:E38))</f>
        <v>12149.806065132327</v>
      </c>
      <c r="E39" s="378">
        <f>IF(+I14&lt;F38,I14,D39)</f>
        <v>527.63136363636363</v>
      </c>
      <c r="F39" s="55">
        <f t="shared" si="27"/>
        <v>11622.174701495964</v>
      </c>
      <c r="G39" s="379">
        <f t="shared" si="24"/>
        <v>1948.3297010213528</v>
      </c>
      <c r="H39" s="364">
        <f t="shared" si="25"/>
        <v>1948.3297010213528</v>
      </c>
      <c r="I39" s="52">
        <f t="shared" si="28"/>
        <v>0</v>
      </c>
      <c r="J39" s="52"/>
      <c r="K39" s="129"/>
      <c r="L39" s="54">
        <f t="shared" si="26"/>
        <v>0</v>
      </c>
      <c r="M39" s="129"/>
      <c r="N39" s="54">
        <f t="shared" si="10"/>
        <v>0</v>
      </c>
      <c r="O39" s="54">
        <f t="shared" si="11"/>
        <v>0</v>
      </c>
      <c r="P39" s="1"/>
    </row>
    <row r="40" spans="2:16" ht="12.5">
      <c r="B40" s="7" t="str">
        <f t="shared" si="5"/>
        <v/>
      </c>
      <c r="C40" s="50">
        <f>IF(D11="","-",+C39+1)</f>
        <v>2033</v>
      </c>
      <c r="D40" s="55">
        <f>IF(F39+SUM(E$17:E39)=D$10,F39,D$10-SUM(E$17:E39))</f>
        <v>11622.174701495964</v>
      </c>
      <c r="E40" s="378">
        <f>IF(+I14&lt;F39,I14,D40)</f>
        <v>527.63136363636363</v>
      </c>
      <c r="F40" s="55">
        <f t="shared" si="27"/>
        <v>11094.543337859601</v>
      </c>
      <c r="G40" s="379">
        <f t="shared" si="24"/>
        <v>1885.2634375551909</v>
      </c>
      <c r="H40" s="364">
        <f t="shared" si="25"/>
        <v>1885.2634375551909</v>
      </c>
      <c r="I40" s="52">
        <f t="shared" si="28"/>
        <v>0</v>
      </c>
      <c r="J40" s="52"/>
      <c r="K40" s="129"/>
      <c r="L40" s="54">
        <f t="shared" si="26"/>
        <v>0</v>
      </c>
      <c r="M40" s="129"/>
      <c r="N40" s="54">
        <f t="shared" si="10"/>
        <v>0</v>
      </c>
      <c r="O40" s="54">
        <f t="shared" si="11"/>
        <v>0</v>
      </c>
      <c r="P40" s="1"/>
    </row>
    <row r="41" spans="2:16" ht="12.5">
      <c r="B41" s="7" t="str">
        <f t="shared" si="5"/>
        <v/>
      </c>
      <c r="C41" s="50">
        <f>IF(D11="","-",+C40+1)</f>
        <v>2034</v>
      </c>
      <c r="D41" s="55">
        <f>IF(F40+SUM(E$17:E40)=D$10,F40,D$10-SUM(E$17:E40))</f>
        <v>11094.543337859601</v>
      </c>
      <c r="E41" s="378">
        <f>IF(+I14&lt;F40,I14,D41)</f>
        <v>527.63136363636363</v>
      </c>
      <c r="F41" s="55">
        <f t="shared" si="27"/>
        <v>10566.911974223238</v>
      </c>
      <c r="G41" s="379">
        <f t="shared" si="24"/>
        <v>1822.197174089029</v>
      </c>
      <c r="H41" s="364">
        <f t="shared" si="25"/>
        <v>1822.197174089029</v>
      </c>
      <c r="I41" s="52">
        <f t="shared" si="28"/>
        <v>0</v>
      </c>
      <c r="J41" s="52"/>
      <c r="K41" s="129"/>
      <c r="L41" s="54">
        <f t="shared" si="26"/>
        <v>0</v>
      </c>
      <c r="M41" s="129"/>
      <c r="N41" s="54">
        <f t="shared" si="10"/>
        <v>0</v>
      </c>
      <c r="O41" s="54">
        <f t="shared" si="11"/>
        <v>0</v>
      </c>
      <c r="P41" s="1"/>
    </row>
    <row r="42" spans="2:16" ht="12.5">
      <c r="B42" s="7" t="str">
        <f t="shared" si="5"/>
        <v/>
      </c>
      <c r="C42" s="50">
        <f>IF(D11="","-",+C41+1)</f>
        <v>2035</v>
      </c>
      <c r="D42" s="55">
        <f>IF(F41+SUM(E$17:E41)=D$10,F41,D$10-SUM(E$17:E41))</f>
        <v>10566.911974223238</v>
      </c>
      <c r="E42" s="378">
        <f>IF(+I14&lt;F41,I14,D42)</f>
        <v>527.63136363636363</v>
      </c>
      <c r="F42" s="55">
        <f t="shared" si="27"/>
        <v>10039.280610586875</v>
      </c>
      <c r="G42" s="379">
        <f t="shared" si="24"/>
        <v>1759.1309106228673</v>
      </c>
      <c r="H42" s="364">
        <f t="shared" si="25"/>
        <v>1759.1309106228673</v>
      </c>
      <c r="I42" s="52">
        <f t="shared" si="28"/>
        <v>0</v>
      </c>
      <c r="J42" s="52"/>
      <c r="K42" s="129"/>
      <c r="L42" s="54">
        <f t="shared" si="26"/>
        <v>0</v>
      </c>
      <c r="M42" s="129"/>
      <c r="N42" s="54">
        <f t="shared" si="10"/>
        <v>0</v>
      </c>
      <c r="O42" s="54">
        <f t="shared" si="11"/>
        <v>0</v>
      </c>
      <c r="P42" s="1"/>
    </row>
    <row r="43" spans="2:16" ht="12.5">
      <c r="B43" s="7" t="str">
        <f t="shared" si="5"/>
        <v/>
      </c>
      <c r="C43" s="50">
        <f>IF(D11="","-",+C42+1)</f>
        <v>2036</v>
      </c>
      <c r="D43" s="55">
        <f>IF(F42+SUM(E$17:E42)=D$10,F42,D$10-SUM(E$17:E42))</f>
        <v>10039.280610586875</v>
      </c>
      <c r="E43" s="378">
        <f>IF(+I14&lt;F42,I14,D43)</f>
        <v>527.63136363636363</v>
      </c>
      <c r="F43" s="55">
        <f t="shared" si="27"/>
        <v>9511.649246950512</v>
      </c>
      <c r="G43" s="379">
        <f t="shared" si="24"/>
        <v>1696.0646471567054</v>
      </c>
      <c r="H43" s="364">
        <f t="shared" si="25"/>
        <v>1696.0646471567054</v>
      </c>
      <c r="I43" s="52">
        <f t="shared" si="28"/>
        <v>0</v>
      </c>
      <c r="J43" s="52"/>
      <c r="K43" s="129"/>
      <c r="L43" s="54">
        <f t="shared" si="26"/>
        <v>0</v>
      </c>
      <c r="M43" s="129"/>
      <c r="N43" s="54">
        <f t="shared" si="10"/>
        <v>0</v>
      </c>
      <c r="O43" s="54">
        <f t="shared" si="11"/>
        <v>0</v>
      </c>
      <c r="P43" s="1"/>
    </row>
    <row r="44" spans="2:16" ht="12.5">
      <c r="B44" s="7" t="str">
        <f t="shared" si="5"/>
        <v/>
      </c>
      <c r="C44" s="50">
        <f>IF(D11="","-",+C43+1)</f>
        <v>2037</v>
      </c>
      <c r="D44" s="55">
        <f>IF(F43+SUM(E$17:E43)=D$10,F43,D$10-SUM(E$17:E43))</f>
        <v>9511.649246950512</v>
      </c>
      <c r="E44" s="378">
        <f>IF(+I14&lt;F43,I14,D44)</f>
        <v>527.63136363636363</v>
      </c>
      <c r="F44" s="55">
        <f t="shared" si="27"/>
        <v>8984.017883314149</v>
      </c>
      <c r="G44" s="379">
        <f t="shared" si="24"/>
        <v>1632.9983836905437</v>
      </c>
      <c r="H44" s="364">
        <f t="shared" si="25"/>
        <v>1632.9983836905437</v>
      </c>
      <c r="I44" s="52">
        <f t="shared" si="28"/>
        <v>0</v>
      </c>
      <c r="J44" s="52"/>
      <c r="K44" s="129"/>
      <c r="L44" s="54">
        <f t="shared" si="26"/>
        <v>0</v>
      </c>
      <c r="M44" s="129"/>
      <c r="N44" s="54">
        <f t="shared" si="10"/>
        <v>0</v>
      </c>
      <c r="O44" s="54">
        <f t="shared" si="11"/>
        <v>0</v>
      </c>
      <c r="P44" s="1"/>
    </row>
    <row r="45" spans="2:16" ht="12.5">
      <c r="B45" s="7" t="str">
        <f t="shared" si="5"/>
        <v/>
      </c>
      <c r="C45" s="50">
        <f>IF(D11="","-",+C44+1)</f>
        <v>2038</v>
      </c>
      <c r="D45" s="55">
        <f>IF(F44+SUM(E$17:E44)=D$10,F44,D$10-SUM(E$17:E44))</f>
        <v>8984.017883314149</v>
      </c>
      <c r="E45" s="378">
        <f>IF(+I14&lt;F44,I14,D45)</f>
        <v>527.63136363636363</v>
      </c>
      <c r="F45" s="55">
        <f t="shared" si="27"/>
        <v>8456.3865196777861</v>
      </c>
      <c r="G45" s="379">
        <f t="shared" si="24"/>
        <v>1569.9321202243818</v>
      </c>
      <c r="H45" s="364">
        <f t="shared" si="25"/>
        <v>1569.9321202243818</v>
      </c>
      <c r="I45" s="52">
        <f t="shared" si="28"/>
        <v>0</v>
      </c>
      <c r="J45" s="52"/>
      <c r="K45" s="129"/>
      <c r="L45" s="54">
        <f t="shared" si="26"/>
        <v>0</v>
      </c>
      <c r="M45" s="129"/>
      <c r="N45" s="54">
        <f t="shared" si="10"/>
        <v>0</v>
      </c>
      <c r="O45" s="54">
        <f t="shared" si="11"/>
        <v>0</v>
      </c>
      <c r="P45" s="1"/>
    </row>
    <row r="46" spans="2:16" ht="12.5">
      <c r="B46" s="7" t="str">
        <f t="shared" si="5"/>
        <v/>
      </c>
      <c r="C46" s="50">
        <f>IF(D11="","-",+C45+1)</f>
        <v>2039</v>
      </c>
      <c r="D46" s="55">
        <f>IF(F45+SUM(E$17:E45)=D$10,F45,D$10-SUM(E$17:E45))</f>
        <v>8456.3865196777861</v>
      </c>
      <c r="E46" s="378">
        <f>IF(+I14&lt;F45,I14,D46)</f>
        <v>527.63136363636363</v>
      </c>
      <c r="F46" s="55">
        <f t="shared" si="27"/>
        <v>7928.7551560414222</v>
      </c>
      <c r="G46" s="379">
        <f t="shared" si="24"/>
        <v>1506.8658567582202</v>
      </c>
      <c r="H46" s="364">
        <f t="shared" si="25"/>
        <v>1506.8658567582202</v>
      </c>
      <c r="I46" s="52">
        <f t="shared" si="28"/>
        <v>0</v>
      </c>
      <c r="J46" s="52"/>
      <c r="K46" s="129"/>
      <c r="L46" s="54">
        <f t="shared" si="26"/>
        <v>0</v>
      </c>
      <c r="M46" s="129"/>
      <c r="N46" s="54">
        <f t="shared" si="10"/>
        <v>0</v>
      </c>
      <c r="O46" s="54">
        <f t="shared" si="11"/>
        <v>0</v>
      </c>
      <c r="P46" s="1"/>
    </row>
    <row r="47" spans="2:16" ht="12.5">
      <c r="B47" s="7" t="str">
        <f t="shared" si="5"/>
        <v/>
      </c>
      <c r="C47" s="50">
        <f>IF(D11="","-",+C46+1)</f>
        <v>2040</v>
      </c>
      <c r="D47" s="55">
        <f>IF(F46+SUM(E$17:E46)=D$10,F46,D$10-SUM(E$17:E46))</f>
        <v>7928.7551560414222</v>
      </c>
      <c r="E47" s="378">
        <f>IF(+I14&lt;F46,I14,D47)</f>
        <v>527.63136363636363</v>
      </c>
      <c r="F47" s="55">
        <f t="shared" si="27"/>
        <v>7401.1237924050583</v>
      </c>
      <c r="G47" s="379">
        <f t="shared" si="24"/>
        <v>1443.799593292058</v>
      </c>
      <c r="H47" s="364">
        <f t="shared" si="25"/>
        <v>1443.799593292058</v>
      </c>
      <c r="I47" s="52">
        <f t="shared" si="28"/>
        <v>0</v>
      </c>
      <c r="J47" s="52"/>
      <c r="K47" s="129"/>
      <c r="L47" s="54">
        <f t="shared" si="26"/>
        <v>0</v>
      </c>
      <c r="M47" s="129"/>
      <c r="N47" s="54">
        <f t="shared" si="10"/>
        <v>0</v>
      </c>
      <c r="O47" s="54">
        <f t="shared" si="11"/>
        <v>0</v>
      </c>
      <c r="P47" s="1"/>
    </row>
    <row r="48" spans="2:16" ht="12.5">
      <c r="B48" s="7" t="str">
        <f t="shared" si="5"/>
        <v/>
      </c>
      <c r="C48" s="50">
        <f>IF(D11="","-",+C47+1)</f>
        <v>2041</v>
      </c>
      <c r="D48" s="55">
        <f>IF(F47+SUM(E$17:E47)=D$10,F47,D$10-SUM(E$17:E47))</f>
        <v>7401.1237924050583</v>
      </c>
      <c r="E48" s="378">
        <f>IF(+I14&lt;F47,I14,D48)</f>
        <v>527.63136363636363</v>
      </c>
      <c r="F48" s="55">
        <f t="shared" si="27"/>
        <v>6873.4924287686945</v>
      </c>
      <c r="G48" s="379">
        <f t="shared" si="24"/>
        <v>1380.7333298258964</v>
      </c>
      <c r="H48" s="364">
        <f t="shared" si="25"/>
        <v>1380.7333298258964</v>
      </c>
      <c r="I48" s="52">
        <f t="shared" si="28"/>
        <v>0</v>
      </c>
      <c r="J48" s="52"/>
      <c r="K48" s="129"/>
      <c r="L48" s="54">
        <f t="shared" si="26"/>
        <v>0</v>
      </c>
      <c r="M48" s="129"/>
      <c r="N48" s="54">
        <f t="shared" si="10"/>
        <v>0</v>
      </c>
      <c r="O48" s="54">
        <f t="shared" si="11"/>
        <v>0</v>
      </c>
      <c r="P48" s="1"/>
    </row>
    <row r="49" spans="2:16" ht="12.5">
      <c r="B49" s="7" t="str">
        <f t="shared" si="5"/>
        <v/>
      </c>
      <c r="C49" s="50">
        <f>IF(D11="","-",+C48+1)</f>
        <v>2042</v>
      </c>
      <c r="D49" s="55">
        <f>IF(F48+SUM(E$17:E48)=D$10,F48,D$10-SUM(E$17:E48))</f>
        <v>6873.4924287686945</v>
      </c>
      <c r="E49" s="378">
        <f>IF(+I14&lt;F48,I14,D49)</f>
        <v>527.63136363636363</v>
      </c>
      <c r="F49" s="55">
        <f t="shared" si="27"/>
        <v>6345.8610651323306</v>
      </c>
      <c r="G49" s="379">
        <f t="shared" si="24"/>
        <v>1317.6670663597342</v>
      </c>
      <c r="H49" s="364">
        <f t="shared" si="25"/>
        <v>1317.6670663597342</v>
      </c>
      <c r="I49" s="52">
        <f t="shared" si="28"/>
        <v>0</v>
      </c>
      <c r="J49" s="52"/>
      <c r="K49" s="129"/>
      <c r="L49" s="54">
        <f t="shared" si="26"/>
        <v>0</v>
      </c>
      <c r="M49" s="129"/>
      <c r="N49" s="54">
        <f t="shared" si="10"/>
        <v>0</v>
      </c>
      <c r="O49" s="54">
        <f t="shared" si="11"/>
        <v>0</v>
      </c>
      <c r="P49" s="1"/>
    </row>
    <row r="50" spans="2:16" ht="12.5">
      <c r="B50" s="7" t="str">
        <f t="shared" si="5"/>
        <v/>
      </c>
      <c r="C50" s="50">
        <f>IF(D11="","-",+C49+1)</f>
        <v>2043</v>
      </c>
      <c r="D50" s="55">
        <f>IF(F49+SUM(E$17:E49)=D$10,F49,D$10-SUM(E$17:E49))</f>
        <v>6345.8610651323306</v>
      </c>
      <c r="E50" s="378">
        <f>IF(+I14&lt;F49,I14,D50)</f>
        <v>527.63136363636363</v>
      </c>
      <c r="F50" s="55">
        <f t="shared" si="27"/>
        <v>5818.2297014959668</v>
      </c>
      <c r="G50" s="379">
        <f t="shared" si="24"/>
        <v>1254.6008028935726</v>
      </c>
      <c r="H50" s="364">
        <f t="shared" si="25"/>
        <v>1254.6008028935726</v>
      </c>
      <c r="I50" s="52">
        <f t="shared" si="28"/>
        <v>0</v>
      </c>
      <c r="J50" s="52"/>
      <c r="K50" s="129"/>
      <c r="L50" s="54">
        <f t="shared" si="26"/>
        <v>0</v>
      </c>
      <c r="M50" s="129"/>
      <c r="N50" s="54">
        <f t="shared" si="10"/>
        <v>0</v>
      </c>
      <c r="O50" s="54">
        <f t="shared" si="11"/>
        <v>0</v>
      </c>
      <c r="P50" s="1"/>
    </row>
    <row r="51" spans="2:16" ht="12.5">
      <c r="B51" s="7" t="str">
        <f t="shared" si="5"/>
        <v/>
      </c>
      <c r="C51" s="50">
        <f>IF(D11="","-",+C50+1)</f>
        <v>2044</v>
      </c>
      <c r="D51" s="55">
        <f>IF(F50+SUM(E$17:E50)=D$10,F50,D$10-SUM(E$17:E50))</f>
        <v>5818.2297014959668</v>
      </c>
      <c r="E51" s="378">
        <f>IF(+I14&lt;F50,I14,D51)</f>
        <v>527.63136363636363</v>
      </c>
      <c r="F51" s="55">
        <f t="shared" si="27"/>
        <v>5290.5983378596029</v>
      </c>
      <c r="G51" s="379">
        <f t="shared" si="24"/>
        <v>1191.5345394274104</v>
      </c>
      <c r="H51" s="364">
        <f t="shared" si="25"/>
        <v>1191.5345394274104</v>
      </c>
      <c r="I51" s="52">
        <f t="shared" si="28"/>
        <v>0</v>
      </c>
      <c r="J51" s="52"/>
      <c r="K51" s="129"/>
      <c r="L51" s="54">
        <f t="shared" si="26"/>
        <v>0</v>
      </c>
      <c r="M51" s="129"/>
      <c r="N51" s="54">
        <f t="shared" si="10"/>
        <v>0</v>
      </c>
      <c r="O51" s="54">
        <f t="shared" si="11"/>
        <v>0</v>
      </c>
      <c r="P51" s="1"/>
    </row>
    <row r="52" spans="2:16" ht="12.5">
      <c r="B52" s="7" t="str">
        <f t="shared" si="5"/>
        <v/>
      </c>
      <c r="C52" s="50">
        <f>IF(D11="","-",+C51+1)</f>
        <v>2045</v>
      </c>
      <c r="D52" s="55">
        <f>IF(F51+SUM(E$17:E51)=D$10,F51,D$10-SUM(E$17:E51))</f>
        <v>5290.5983378596029</v>
      </c>
      <c r="E52" s="378">
        <f>IF(+I14&lt;F51,I14,D52)</f>
        <v>527.63136363636363</v>
      </c>
      <c r="F52" s="55">
        <f t="shared" si="27"/>
        <v>4762.966974223239</v>
      </c>
      <c r="G52" s="379">
        <f t="shared" si="24"/>
        <v>1128.4682759612485</v>
      </c>
      <c r="H52" s="364">
        <f t="shared" si="25"/>
        <v>1128.4682759612485</v>
      </c>
      <c r="I52" s="52">
        <f t="shared" si="28"/>
        <v>0</v>
      </c>
      <c r="J52" s="52"/>
      <c r="K52" s="129"/>
      <c r="L52" s="54">
        <f t="shared" si="26"/>
        <v>0</v>
      </c>
      <c r="M52" s="129"/>
      <c r="N52" s="54">
        <f t="shared" si="10"/>
        <v>0</v>
      </c>
      <c r="O52" s="54">
        <f t="shared" si="11"/>
        <v>0</v>
      </c>
      <c r="P52" s="1"/>
    </row>
    <row r="53" spans="2:16" ht="12.5">
      <c r="B53" s="7" t="str">
        <f t="shared" si="5"/>
        <v/>
      </c>
      <c r="C53" s="50">
        <f>IF(D11="","-",+C52+1)</f>
        <v>2046</v>
      </c>
      <c r="D53" s="55">
        <f>IF(F52+SUM(E$17:E52)=D$10,F52,D$10-SUM(E$17:E52))</f>
        <v>4762.966974223239</v>
      </c>
      <c r="E53" s="378">
        <f>IF(+I14&lt;F52,I14,D53)</f>
        <v>527.63136363636363</v>
      </c>
      <c r="F53" s="55">
        <f t="shared" si="27"/>
        <v>4235.3356105868752</v>
      </c>
      <c r="G53" s="379">
        <f t="shared" si="24"/>
        <v>1065.4020124950866</v>
      </c>
      <c r="H53" s="364">
        <f t="shared" si="25"/>
        <v>1065.4020124950866</v>
      </c>
      <c r="I53" s="52">
        <f t="shared" si="28"/>
        <v>0</v>
      </c>
      <c r="J53" s="52"/>
      <c r="K53" s="129"/>
      <c r="L53" s="54">
        <f t="shared" si="26"/>
        <v>0</v>
      </c>
      <c r="M53" s="129"/>
      <c r="N53" s="54">
        <f t="shared" si="10"/>
        <v>0</v>
      </c>
      <c r="O53" s="54">
        <f t="shared" si="11"/>
        <v>0</v>
      </c>
      <c r="P53" s="1"/>
    </row>
    <row r="54" spans="2:16" ht="12.5">
      <c r="B54" s="7" t="str">
        <f t="shared" si="5"/>
        <v/>
      </c>
      <c r="C54" s="50">
        <f>IF(D11="","-",+C53+1)</f>
        <v>2047</v>
      </c>
      <c r="D54" s="55">
        <f>IF(F53+SUM(E$17:E53)=D$10,F53,D$10-SUM(E$17:E53))</f>
        <v>4235.3356105868752</v>
      </c>
      <c r="E54" s="378">
        <f>IF(+I14&lt;F53,I14,D54)</f>
        <v>527.63136363636363</v>
      </c>
      <c r="F54" s="55">
        <f t="shared" si="27"/>
        <v>3707.7042469505113</v>
      </c>
      <c r="G54" s="379">
        <f t="shared" si="24"/>
        <v>1002.3357490289247</v>
      </c>
      <c r="H54" s="364">
        <f t="shared" si="25"/>
        <v>1002.3357490289247</v>
      </c>
      <c r="I54" s="52">
        <f t="shared" si="28"/>
        <v>0</v>
      </c>
      <c r="J54" s="52"/>
      <c r="K54" s="129"/>
      <c r="L54" s="54">
        <f t="shared" si="26"/>
        <v>0</v>
      </c>
      <c r="M54" s="129"/>
      <c r="N54" s="54">
        <f t="shared" si="10"/>
        <v>0</v>
      </c>
      <c r="O54" s="54">
        <f t="shared" si="11"/>
        <v>0</v>
      </c>
      <c r="P54" s="1"/>
    </row>
    <row r="55" spans="2:16" ht="12.5">
      <c r="B55" s="7" t="str">
        <f t="shared" si="5"/>
        <v/>
      </c>
      <c r="C55" s="50">
        <f>IF(D11="","-",+C54+1)</f>
        <v>2048</v>
      </c>
      <c r="D55" s="55">
        <f>IF(F54+SUM(E$17:E54)=D$10,F54,D$10-SUM(E$17:E54))</f>
        <v>3707.7042469505113</v>
      </c>
      <c r="E55" s="378">
        <f>IF(+I14&lt;F54,I14,D55)</f>
        <v>527.63136363636363</v>
      </c>
      <c r="F55" s="55">
        <f t="shared" si="27"/>
        <v>3180.0728833141475</v>
      </c>
      <c r="G55" s="379">
        <f t="shared" ref="G55:G72" si="29">+I$12*((D55+F55)/2)+E55</f>
        <v>939.26948556276284</v>
      </c>
      <c r="H55" s="364">
        <f t="shared" ref="H55:H72" si="30">+I$13*((D55+F55)/2)+E55</f>
        <v>939.26948556276284</v>
      </c>
      <c r="I55" s="52">
        <f t="shared" si="28"/>
        <v>0</v>
      </c>
      <c r="J55" s="52"/>
      <c r="K55" s="129"/>
      <c r="L55" s="54">
        <f t="shared" si="26"/>
        <v>0</v>
      </c>
      <c r="M55" s="129"/>
      <c r="N55" s="54">
        <f t="shared" si="10"/>
        <v>0</v>
      </c>
      <c r="O55" s="54">
        <f t="shared" si="11"/>
        <v>0</v>
      </c>
      <c r="P55" s="1"/>
    </row>
    <row r="56" spans="2:16" ht="12.5">
      <c r="B56" s="7" t="str">
        <f t="shared" si="5"/>
        <v/>
      </c>
      <c r="C56" s="50">
        <f>IF(D11="","-",+C55+1)</f>
        <v>2049</v>
      </c>
      <c r="D56" s="55">
        <f>IF(F55+SUM(E$17:E55)=D$10,F55,D$10-SUM(E$17:E55))</f>
        <v>3180.0728833141475</v>
      </c>
      <c r="E56" s="378">
        <f>IF(+I14&lt;F55,I14,D56)</f>
        <v>527.63136363636363</v>
      </c>
      <c r="F56" s="55">
        <f t="shared" si="27"/>
        <v>2652.4415196777836</v>
      </c>
      <c r="G56" s="379">
        <f t="shared" si="29"/>
        <v>876.20322209660094</v>
      </c>
      <c r="H56" s="364">
        <f t="shared" si="30"/>
        <v>876.20322209660094</v>
      </c>
      <c r="I56" s="52">
        <f t="shared" si="28"/>
        <v>0</v>
      </c>
      <c r="J56" s="52"/>
      <c r="K56" s="129"/>
      <c r="L56" s="54">
        <f t="shared" si="26"/>
        <v>0</v>
      </c>
      <c r="M56" s="129"/>
      <c r="N56" s="54">
        <f t="shared" si="10"/>
        <v>0</v>
      </c>
      <c r="O56" s="54">
        <f t="shared" si="11"/>
        <v>0</v>
      </c>
      <c r="P56" s="1"/>
    </row>
    <row r="57" spans="2:16" ht="12.5">
      <c r="B57" s="7" t="str">
        <f t="shared" si="5"/>
        <v/>
      </c>
      <c r="C57" s="50">
        <f>IF(D11="","-",+C56+1)</f>
        <v>2050</v>
      </c>
      <c r="D57" s="55">
        <f>IF(F56+SUM(E$17:E56)=D$10,F56,D$10-SUM(E$17:E56))</f>
        <v>2652.4415196777836</v>
      </c>
      <c r="E57" s="378">
        <f>IF(+I14&lt;F56,I14,D57)</f>
        <v>527.63136363636363</v>
      </c>
      <c r="F57" s="55">
        <f t="shared" si="27"/>
        <v>2124.8101560414198</v>
      </c>
      <c r="G57" s="379">
        <f t="shared" si="29"/>
        <v>813.13695863043904</v>
      </c>
      <c r="H57" s="364">
        <f t="shared" si="30"/>
        <v>813.13695863043904</v>
      </c>
      <c r="I57" s="52">
        <f t="shared" si="28"/>
        <v>0</v>
      </c>
      <c r="J57" s="52"/>
      <c r="K57" s="129"/>
      <c r="L57" s="54">
        <f t="shared" si="26"/>
        <v>0</v>
      </c>
      <c r="M57" s="129"/>
      <c r="N57" s="54">
        <f t="shared" si="10"/>
        <v>0</v>
      </c>
      <c r="O57" s="54">
        <f t="shared" si="11"/>
        <v>0</v>
      </c>
      <c r="P57" s="1"/>
    </row>
    <row r="58" spans="2:16" ht="12.5">
      <c r="B58" s="7" t="str">
        <f t="shared" si="5"/>
        <v/>
      </c>
      <c r="C58" s="50">
        <f>IF(D11="","-",+C57+1)</f>
        <v>2051</v>
      </c>
      <c r="D58" s="55">
        <f>IF(F57+SUM(E$17:E57)=D$10,F57,D$10-SUM(E$17:E57))</f>
        <v>2124.8101560414198</v>
      </c>
      <c r="E58" s="378">
        <f>IF(+I14&lt;F57,I14,D58)</f>
        <v>527.63136363636363</v>
      </c>
      <c r="F58" s="55">
        <f t="shared" si="27"/>
        <v>1597.1787924050561</v>
      </c>
      <c r="G58" s="379">
        <f t="shared" si="29"/>
        <v>750.07069516427703</v>
      </c>
      <c r="H58" s="364">
        <f t="shared" si="30"/>
        <v>750.07069516427703</v>
      </c>
      <c r="I58" s="52">
        <f t="shared" si="28"/>
        <v>0</v>
      </c>
      <c r="J58" s="52"/>
      <c r="K58" s="129"/>
      <c r="L58" s="54">
        <f t="shared" si="26"/>
        <v>0</v>
      </c>
      <c r="M58" s="129"/>
      <c r="N58" s="54">
        <f t="shared" si="10"/>
        <v>0</v>
      </c>
      <c r="O58" s="54">
        <f t="shared" si="11"/>
        <v>0</v>
      </c>
      <c r="P58" s="1"/>
    </row>
    <row r="59" spans="2:16" ht="12.5">
      <c r="B59" s="7" t="str">
        <f t="shared" si="5"/>
        <v/>
      </c>
      <c r="C59" s="50">
        <f>IF(D11="","-",+C58+1)</f>
        <v>2052</v>
      </c>
      <c r="D59" s="55">
        <f>IF(F58+SUM(E$17:E58)=D$10,F58,D$10-SUM(E$17:E58))</f>
        <v>1597.1787924050561</v>
      </c>
      <c r="E59" s="378">
        <f>IF(+I14&lt;F58,I14,D59)</f>
        <v>527.63136363636363</v>
      </c>
      <c r="F59" s="55">
        <f t="shared" si="27"/>
        <v>1069.5474287686925</v>
      </c>
      <c r="G59" s="379">
        <f t="shared" si="29"/>
        <v>687.00443169811524</v>
      </c>
      <c r="H59" s="364">
        <f t="shared" si="30"/>
        <v>687.00443169811524</v>
      </c>
      <c r="I59" s="52">
        <f t="shared" si="28"/>
        <v>0</v>
      </c>
      <c r="J59" s="52"/>
      <c r="K59" s="129"/>
      <c r="L59" s="54">
        <f t="shared" si="26"/>
        <v>0</v>
      </c>
      <c r="M59" s="129"/>
      <c r="N59" s="54">
        <f t="shared" si="10"/>
        <v>0</v>
      </c>
      <c r="O59" s="54">
        <f t="shared" si="11"/>
        <v>0</v>
      </c>
      <c r="P59" s="1"/>
    </row>
    <row r="60" spans="2:16" ht="12.5">
      <c r="B60" s="7" t="str">
        <f t="shared" si="5"/>
        <v/>
      </c>
      <c r="C60" s="50">
        <f>IF(D11="","-",+C59+1)</f>
        <v>2053</v>
      </c>
      <c r="D60" s="55">
        <f>IF(F59+SUM(E$17:E59)=D$10,F59,D$10-SUM(E$17:E59))</f>
        <v>1069.5474287686925</v>
      </c>
      <c r="E60" s="378">
        <f>IF(+I14&lt;F59,I14,D60)</f>
        <v>527.63136363636363</v>
      </c>
      <c r="F60" s="55">
        <f t="shared" si="27"/>
        <v>541.91606513232887</v>
      </c>
      <c r="G60" s="379">
        <f t="shared" si="29"/>
        <v>623.93816823195334</v>
      </c>
      <c r="H60" s="364">
        <f t="shared" si="30"/>
        <v>623.93816823195334</v>
      </c>
      <c r="I60" s="52">
        <f t="shared" si="28"/>
        <v>0</v>
      </c>
      <c r="J60" s="52"/>
      <c r="K60" s="129"/>
      <c r="L60" s="54">
        <f t="shared" si="26"/>
        <v>0</v>
      </c>
      <c r="M60" s="129"/>
      <c r="N60" s="54">
        <f t="shared" si="10"/>
        <v>0</v>
      </c>
      <c r="O60" s="54">
        <f t="shared" si="11"/>
        <v>0</v>
      </c>
      <c r="P60" s="1"/>
    </row>
    <row r="61" spans="2:16" ht="12.5">
      <c r="B61" s="7" t="str">
        <f t="shared" si="5"/>
        <v/>
      </c>
      <c r="C61" s="50">
        <f>IF(D11="","-",+C60+1)</f>
        <v>2054</v>
      </c>
      <c r="D61" s="55">
        <f>IF(F60+SUM(E$17:E60)=D$10,F60,D$10-SUM(E$17:E60))</f>
        <v>541.91606513232887</v>
      </c>
      <c r="E61" s="378">
        <f>IF(+I14&lt;F60,I14,D61)</f>
        <v>527.63136363636363</v>
      </c>
      <c r="F61" s="55">
        <f t="shared" si="27"/>
        <v>14.284701495965237</v>
      </c>
      <c r="G61" s="380">
        <f t="shared" si="29"/>
        <v>560.87190476579144</v>
      </c>
      <c r="H61" s="364">
        <f t="shared" si="30"/>
        <v>560.87190476579144</v>
      </c>
      <c r="I61" s="52">
        <f t="shared" si="28"/>
        <v>0</v>
      </c>
      <c r="J61" s="52"/>
      <c r="K61" s="129"/>
      <c r="L61" s="54">
        <f t="shared" si="26"/>
        <v>0</v>
      </c>
      <c r="M61" s="129"/>
      <c r="N61" s="54">
        <f t="shared" si="10"/>
        <v>0</v>
      </c>
      <c r="O61" s="54">
        <f t="shared" si="11"/>
        <v>0</v>
      </c>
      <c r="P61" s="1"/>
    </row>
    <row r="62" spans="2:16" ht="12.5">
      <c r="B62" s="7" t="str">
        <f t="shared" si="5"/>
        <v/>
      </c>
      <c r="C62" s="50">
        <f>IF(D11="","-",+C61+1)</f>
        <v>2055</v>
      </c>
      <c r="D62" s="55">
        <f>IF(F61+SUM(E$17:E61)=D$10,F61,D$10-SUM(E$17:E61))</f>
        <v>14.284701495965237</v>
      </c>
      <c r="E62" s="378">
        <f>IF(+I14&lt;F61,I14,D62)</f>
        <v>14.284701495965237</v>
      </c>
      <c r="F62" s="55">
        <f t="shared" si="27"/>
        <v>0</v>
      </c>
      <c r="G62" s="380">
        <f t="shared" si="29"/>
        <v>15.138406194138653</v>
      </c>
      <c r="H62" s="364">
        <f t="shared" si="30"/>
        <v>15.138406194138653</v>
      </c>
      <c r="I62" s="52">
        <f t="shared" si="28"/>
        <v>0</v>
      </c>
      <c r="J62" s="52"/>
      <c r="K62" s="129"/>
      <c r="L62" s="54">
        <f t="shared" si="26"/>
        <v>0</v>
      </c>
      <c r="M62" s="129"/>
      <c r="N62" s="54">
        <f t="shared" si="10"/>
        <v>0</v>
      </c>
      <c r="O62" s="54">
        <f t="shared" si="11"/>
        <v>0</v>
      </c>
      <c r="P62" s="1"/>
    </row>
    <row r="63" spans="2:16" ht="12.5">
      <c r="B63" s="7" t="str">
        <f t="shared" si="5"/>
        <v/>
      </c>
      <c r="C63" s="50">
        <f>IF(D11="","-",+C62+1)</f>
        <v>2056</v>
      </c>
      <c r="D63" s="55">
        <f>IF(F62+SUM(E$17:E62)=D$10,F62,D$10-SUM(E$17:E62))</f>
        <v>0</v>
      </c>
      <c r="E63" s="378">
        <f>IF(+I14&lt;F62,I14,D63)</f>
        <v>0</v>
      </c>
      <c r="F63" s="55">
        <f t="shared" si="27"/>
        <v>0</v>
      </c>
      <c r="G63" s="380">
        <f t="shared" si="29"/>
        <v>0</v>
      </c>
      <c r="H63" s="364">
        <f t="shared" si="30"/>
        <v>0</v>
      </c>
      <c r="I63" s="52">
        <f t="shared" si="28"/>
        <v>0</v>
      </c>
      <c r="J63" s="52"/>
      <c r="K63" s="129"/>
      <c r="L63" s="54">
        <f t="shared" si="26"/>
        <v>0</v>
      </c>
      <c r="M63" s="129"/>
      <c r="N63" s="54">
        <f t="shared" si="10"/>
        <v>0</v>
      </c>
      <c r="O63" s="54">
        <f t="shared" si="11"/>
        <v>0</v>
      </c>
      <c r="P63" s="1"/>
    </row>
    <row r="64" spans="2:16" ht="12.5">
      <c r="B64" s="7" t="str">
        <f t="shared" si="5"/>
        <v/>
      </c>
      <c r="C64" s="50">
        <f>IF(D11="","-",+C63+1)</f>
        <v>2057</v>
      </c>
      <c r="D64" s="55">
        <f>IF(F63+SUM(E$17:E63)=D$10,F63,D$10-SUM(E$17:E63))</f>
        <v>0</v>
      </c>
      <c r="E64" s="378">
        <f>IF(+I14&lt;F63,I14,D64)</f>
        <v>0</v>
      </c>
      <c r="F64" s="55">
        <f t="shared" si="27"/>
        <v>0</v>
      </c>
      <c r="G64" s="380">
        <f t="shared" si="29"/>
        <v>0</v>
      </c>
      <c r="H64" s="364">
        <f t="shared" si="30"/>
        <v>0</v>
      </c>
      <c r="I64" s="52">
        <f t="shared" si="28"/>
        <v>0</v>
      </c>
      <c r="J64" s="52"/>
      <c r="K64" s="129"/>
      <c r="L64" s="54">
        <f t="shared" si="26"/>
        <v>0</v>
      </c>
      <c r="M64" s="129"/>
      <c r="N64" s="54">
        <f t="shared" si="10"/>
        <v>0</v>
      </c>
      <c r="O64" s="54">
        <f t="shared" si="11"/>
        <v>0</v>
      </c>
      <c r="P64" s="1"/>
    </row>
    <row r="65" spans="2:16" ht="12.5">
      <c r="B65" s="7" t="str">
        <f t="shared" si="5"/>
        <v/>
      </c>
      <c r="C65" s="50">
        <f>IF(D11="","-",+C64+1)</f>
        <v>2058</v>
      </c>
      <c r="D65" s="55">
        <f>IF(F64+SUM(E$17:E64)=D$10,F64,D$10-SUM(E$17:E64))</f>
        <v>0</v>
      </c>
      <c r="E65" s="378">
        <f>IF(+I14&lt;F64,I14,D65)</f>
        <v>0</v>
      </c>
      <c r="F65" s="55">
        <f t="shared" si="27"/>
        <v>0</v>
      </c>
      <c r="G65" s="380">
        <f t="shared" si="29"/>
        <v>0</v>
      </c>
      <c r="H65" s="364">
        <f t="shared" si="30"/>
        <v>0</v>
      </c>
      <c r="I65" s="52">
        <f t="shared" si="28"/>
        <v>0</v>
      </c>
      <c r="J65" s="52"/>
      <c r="K65" s="129"/>
      <c r="L65" s="54">
        <f t="shared" si="26"/>
        <v>0</v>
      </c>
      <c r="M65" s="129"/>
      <c r="N65" s="54">
        <f t="shared" si="10"/>
        <v>0</v>
      </c>
      <c r="O65" s="54">
        <f t="shared" si="11"/>
        <v>0</v>
      </c>
      <c r="P65" s="1"/>
    </row>
    <row r="66" spans="2:16" ht="12.5">
      <c r="B66" s="7" t="str">
        <f t="shared" si="5"/>
        <v/>
      </c>
      <c r="C66" s="50">
        <f>IF(D11="","-",+C65+1)</f>
        <v>2059</v>
      </c>
      <c r="D66" s="55">
        <f>IF(F65+SUM(E$17:E65)=D$10,F65,D$10-SUM(E$17:E65))</f>
        <v>0</v>
      </c>
      <c r="E66" s="378">
        <f>IF(+I14&lt;F65,I14,D66)</f>
        <v>0</v>
      </c>
      <c r="F66" s="55">
        <f t="shared" si="27"/>
        <v>0</v>
      </c>
      <c r="G66" s="380">
        <f t="shared" si="29"/>
        <v>0</v>
      </c>
      <c r="H66" s="364">
        <f t="shared" si="30"/>
        <v>0</v>
      </c>
      <c r="I66" s="52">
        <f t="shared" si="28"/>
        <v>0</v>
      </c>
      <c r="J66" s="52"/>
      <c r="K66" s="129"/>
      <c r="L66" s="54">
        <f t="shared" si="26"/>
        <v>0</v>
      </c>
      <c r="M66" s="129"/>
      <c r="N66" s="54">
        <f t="shared" si="10"/>
        <v>0</v>
      </c>
      <c r="O66" s="54">
        <f t="shared" si="11"/>
        <v>0</v>
      </c>
      <c r="P66" s="1"/>
    </row>
    <row r="67" spans="2:16" ht="12.5">
      <c r="B67" s="7" t="str">
        <f t="shared" si="5"/>
        <v/>
      </c>
      <c r="C67" s="50">
        <f>IF(D11="","-",+C66+1)</f>
        <v>2060</v>
      </c>
      <c r="D67" s="55">
        <f>IF(F66+SUM(E$17:E66)=D$10,F66,D$10-SUM(E$17:E66))</f>
        <v>0</v>
      </c>
      <c r="E67" s="378">
        <f>IF(+I14&lt;F66,I14,D67)</f>
        <v>0</v>
      </c>
      <c r="F67" s="55">
        <f t="shared" si="27"/>
        <v>0</v>
      </c>
      <c r="G67" s="380">
        <f t="shared" si="29"/>
        <v>0</v>
      </c>
      <c r="H67" s="364">
        <f t="shared" si="30"/>
        <v>0</v>
      </c>
      <c r="I67" s="52">
        <f t="shared" si="28"/>
        <v>0</v>
      </c>
      <c r="J67" s="52"/>
      <c r="K67" s="129"/>
      <c r="L67" s="54">
        <f t="shared" si="26"/>
        <v>0</v>
      </c>
      <c r="M67" s="129"/>
      <c r="N67" s="54">
        <f t="shared" si="10"/>
        <v>0</v>
      </c>
      <c r="O67" s="54">
        <f t="shared" si="11"/>
        <v>0</v>
      </c>
      <c r="P67" s="1"/>
    </row>
    <row r="68" spans="2:16" ht="12.5">
      <c r="B68" s="7" t="str">
        <f t="shared" si="5"/>
        <v/>
      </c>
      <c r="C68" s="50">
        <f>IF(D11="","-",+C67+1)</f>
        <v>2061</v>
      </c>
      <c r="D68" s="55">
        <f>IF(F67+SUM(E$17:E67)=D$10,F67,D$10-SUM(E$17:E67))</f>
        <v>0</v>
      </c>
      <c r="E68" s="378">
        <f>IF(+I14&lt;F67,I14,D68)</f>
        <v>0</v>
      </c>
      <c r="F68" s="55">
        <f t="shared" si="27"/>
        <v>0</v>
      </c>
      <c r="G68" s="380">
        <f t="shared" si="29"/>
        <v>0</v>
      </c>
      <c r="H68" s="364">
        <f t="shared" si="30"/>
        <v>0</v>
      </c>
      <c r="I68" s="52">
        <f t="shared" si="28"/>
        <v>0</v>
      </c>
      <c r="J68" s="52"/>
      <c r="K68" s="129"/>
      <c r="L68" s="54">
        <f t="shared" si="26"/>
        <v>0</v>
      </c>
      <c r="M68" s="129"/>
      <c r="N68" s="54">
        <f t="shared" si="10"/>
        <v>0</v>
      </c>
      <c r="O68" s="54">
        <f t="shared" si="11"/>
        <v>0</v>
      </c>
      <c r="P68" s="1"/>
    </row>
    <row r="69" spans="2:16" ht="12.5">
      <c r="B69" s="7" t="str">
        <f t="shared" si="5"/>
        <v/>
      </c>
      <c r="C69" s="50">
        <f>IF(D11="","-",+C68+1)</f>
        <v>2062</v>
      </c>
      <c r="D69" s="55">
        <f>IF(F68+SUM(E$17:E68)=D$10,F68,D$10-SUM(E$17:E68))</f>
        <v>0</v>
      </c>
      <c r="E69" s="378">
        <f>IF(+I14&lt;F68,I14,D69)</f>
        <v>0</v>
      </c>
      <c r="F69" s="55">
        <f t="shared" si="27"/>
        <v>0</v>
      </c>
      <c r="G69" s="380">
        <f t="shared" si="29"/>
        <v>0</v>
      </c>
      <c r="H69" s="364">
        <f t="shared" si="30"/>
        <v>0</v>
      </c>
      <c r="I69" s="52">
        <f t="shared" si="28"/>
        <v>0</v>
      </c>
      <c r="J69" s="52"/>
      <c r="K69" s="129"/>
      <c r="L69" s="54">
        <f t="shared" si="26"/>
        <v>0</v>
      </c>
      <c r="M69" s="129"/>
      <c r="N69" s="54">
        <f t="shared" si="10"/>
        <v>0</v>
      </c>
      <c r="O69" s="54">
        <f t="shared" si="11"/>
        <v>0</v>
      </c>
      <c r="P69" s="1"/>
    </row>
    <row r="70" spans="2:16" ht="12.5">
      <c r="B70" s="7" t="str">
        <f t="shared" si="5"/>
        <v/>
      </c>
      <c r="C70" s="50">
        <f>IF(D11="","-",+C69+1)</f>
        <v>2063</v>
      </c>
      <c r="D70" s="55">
        <f>IF(F69+SUM(E$17:E69)=D$10,F69,D$10-SUM(E$17:E69))</f>
        <v>0</v>
      </c>
      <c r="E70" s="378">
        <f>IF(+I14&lt;F69,I14,D70)</f>
        <v>0</v>
      </c>
      <c r="F70" s="55">
        <f t="shared" si="27"/>
        <v>0</v>
      </c>
      <c r="G70" s="380">
        <f t="shared" si="29"/>
        <v>0</v>
      </c>
      <c r="H70" s="364">
        <f t="shared" si="30"/>
        <v>0</v>
      </c>
      <c r="I70" s="52">
        <f t="shared" si="28"/>
        <v>0</v>
      </c>
      <c r="J70" s="52"/>
      <c r="K70" s="129"/>
      <c r="L70" s="54">
        <f t="shared" si="26"/>
        <v>0</v>
      </c>
      <c r="M70" s="129"/>
      <c r="N70" s="54">
        <f t="shared" si="10"/>
        <v>0</v>
      </c>
      <c r="O70" s="54">
        <f t="shared" si="11"/>
        <v>0</v>
      </c>
      <c r="P70" s="1"/>
    </row>
    <row r="71" spans="2:16" ht="12.5">
      <c r="B71" s="7" t="str">
        <f t="shared" si="5"/>
        <v/>
      </c>
      <c r="C71" s="50">
        <f>IF(D11="","-",+C70+1)</f>
        <v>2064</v>
      </c>
      <c r="D71" s="55">
        <f>IF(F70+SUM(E$17:E70)=D$10,F70,D$10-SUM(E$17:E70))</f>
        <v>0</v>
      </c>
      <c r="E71" s="378">
        <f>IF(+I14&lt;F70,I14,D71)</f>
        <v>0</v>
      </c>
      <c r="F71" s="55">
        <f t="shared" si="27"/>
        <v>0</v>
      </c>
      <c r="G71" s="380">
        <f t="shared" si="29"/>
        <v>0</v>
      </c>
      <c r="H71" s="364">
        <f t="shared" si="30"/>
        <v>0</v>
      </c>
      <c r="I71" s="52">
        <f t="shared" si="28"/>
        <v>0</v>
      </c>
      <c r="J71" s="52"/>
      <c r="K71" s="129"/>
      <c r="L71" s="54">
        <f t="shared" si="26"/>
        <v>0</v>
      </c>
      <c r="M71" s="129"/>
      <c r="N71" s="54">
        <f t="shared" si="10"/>
        <v>0</v>
      </c>
      <c r="O71" s="54">
        <f t="shared" si="11"/>
        <v>0</v>
      </c>
      <c r="P71" s="1"/>
    </row>
    <row r="72" spans="2:16" ht="13" thickBot="1">
      <c r="B72" s="7" t="str">
        <f t="shared" si="5"/>
        <v/>
      </c>
      <c r="C72" s="59">
        <f>IF(D11="","-",+C71+1)</f>
        <v>2065</v>
      </c>
      <c r="D72" s="60">
        <f>IF(F71+SUM(E$17:E71)=D$10,F71,D$10-SUM(E$17:E71))</f>
        <v>0</v>
      </c>
      <c r="E72" s="381">
        <f>IF(+I14&lt;F71,I14,D72)</f>
        <v>0</v>
      </c>
      <c r="F72" s="60">
        <f t="shared" si="27"/>
        <v>0</v>
      </c>
      <c r="G72" s="382">
        <f t="shared" si="29"/>
        <v>0</v>
      </c>
      <c r="H72" s="362">
        <f t="shared" si="30"/>
        <v>0</v>
      </c>
      <c r="I72" s="63">
        <f t="shared" si="28"/>
        <v>0</v>
      </c>
      <c r="J72" s="52"/>
      <c r="K72" s="130"/>
      <c r="L72" s="64">
        <f t="shared" si="26"/>
        <v>0</v>
      </c>
      <c r="M72" s="130"/>
      <c r="N72" s="64">
        <f t="shared" si="10"/>
        <v>0</v>
      </c>
      <c r="O72" s="64">
        <f t="shared" si="11"/>
        <v>0</v>
      </c>
      <c r="P72" s="1"/>
    </row>
    <row r="73" spans="2:16" ht="12.5">
      <c r="C73" s="12" t="s">
        <v>78</v>
      </c>
      <c r="D73" s="293"/>
      <c r="E73" s="293">
        <f>SUM(E17:E72)</f>
        <v>23215.779999999988</v>
      </c>
      <c r="F73" s="293"/>
      <c r="G73" s="293">
        <f>SUM(G17:G72)</f>
        <v>89305.038497078946</v>
      </c>
      <c r="H73" s="293">
        <f>SUM(H17:H72)</f>
        <v>89305.038497078946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 ht="13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49 of 77</v>
      </c>
    </row>
    <row r="84" spans="1:16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2452.8598087506471</v>
      </c>
      <c r="N87" s="387">
        <f>IF(J92&lt;D11,0,VLOOKUP(J92,C17:O72,11))</f>
        <v>2452.8598087506471</v>
      </c>
      <c r="O87" s="69">
        <f>+N87-M87</f>
        <v>0</v>
      </c>
      <c r="P87" s="1"/>
    </row>
    <row r="88" spans="1:16" ht="15.5">
      <c r="C88" s="6"/>
      <c r="D88" s="99" t="str">
        <f>S.048!D90</f>
        <v xml:space="preserve">***Sch. 11 recovery commenced in the 2015 rate year.  Beg Bal = to depreciated balance as of 1/1/15. *** </v>
      </c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2708.8646114680059</v>
      </c>
      <c r="N88" s="390">
        <f>IF(J92&lt;D11,0,VLOOKUP(J92,C99:P154,7))</f>
        <v>2708.8646114680059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 xml:space="preserve">SUGAR HILL 138/69KV TRANSFORMER CKT 1 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256.00480271735887</v>
      </c>
      <c r="N89" s="392">
        <f>+N88-N87</f>
        <v>256.00480271735887</v>
      </c>
      <c r="O89" s="393">
        <f>+O88-O87</f>
        <v>0</v>
      </c>
      <c r="P89" s="1"/>
    </row>
    <row r="90" spans="1:16" ht="13.5" thickBot="1">
      <c r="C90" s="29"/>
      <c r="D90" s="66" t="str">
        <f>D8</f>
        <v>DOES NOT MEET SPP $100,000 MINIMUM INVESTMENT FOR REGIONAL BPU SHARING.</v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TP2004032</v>
      </c>
      <c r="E91" s="76" t="s">
        <v>494</v>
      </c>
      <c r="F91" s="463">
        <f>F9</f>
        <v>875</v>
      </c>
      <c r="G91" s="76"/>
      <c r="H91" s="76"/>
      <c r="I91" s="76"/>
      <c r="J91" s="76"/>
    </row>
    <row r="92" spans="1:16" ht="13">
      <c r="C92" s="34" t="s">
        <v>51</v>
      </c>
      <c r="D92" s="428">
        <f>D10</f>
        <v>23215.78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</row>
    <row r="93" spans="1:16" ht="12.5">
      <c r="C93" s="34" t="s">
        <v>54</v>
      </c>
      <c r="D93" s="88">
        <f>D11</f>
        <v>2010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88">
        <f>D12</f>
        <v>11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527.63136363636363</v>
      </c>
      <c r="K96" s="293"/>
      <c r="L96" s="293"/>
      <c r="M96" s="293"/>
      <c r="N96" s="293"/>
      <c r="O96" s="293"/>
      <c r="P96" s="1"/>
    </row>
    <row r="97" spans="1:16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 ht="12.5">
      <c r="C99" s="50">
        <f>IF(D93= "","-",D93)</f>
        <v>2010</v>
      </c>
      <c r="D99" s="12"/>
      <c r="E99" s="379"/>
      <c r="F99" s="55"/>
      <c r="G99" s="83"/>
      <c r="H99" s="416"/>
      <c r="I99" s="417"/>
      <c r="J99" s="54"/>
      <c r="K99" s="54"/>
      <c r="L99" s="112"/>
      <c r="M99" s="53">
        <f t="shared" ref="M99:M130" si="31">IF(L99&lt;&gt;0,+H99-L99,0)</f>
        <v>0</v>
      </c>
      <c r="N99" s="112"/>
      <c r="O99" s="53">
        <f t="shared" ref="O99:O130" si="32">IF(N99&lt;&gt;0,+I99-N99,0)</f>
        <v>0</v>
      </c>
      <c r="P99" s="53">
        <f t="shared" ref="P99:P130" si="33">+O99-M99</f>
        <v>0</v>
      </c>
    </row>
    <row r="100" spans="1:16" ht="12.5">
      <c r="B100" s="7" t="str">
        <f>IF(D100=F99,"","IU")</f>
        <v/>
      </c>
      <c r="C100" s="50">
        <f>IF(D93="","-",+C99+1)</f>
        <v>2011</v>
      </c>
      <c r="D100" s="12"/>
      <c r="E100" s="378"/>
      <c r="F100" s="55"/>
      <c r="G100" s="55"/>
      <c r="H100" s="380"/>
      <c r="I100" s="399"/>
      <c r="J100" s="54"/>
      <c r="K100" s="54"/>
      <c r="L100" s="113"/>
      <c r="M100" s="54">
        <f t="shared" si="31"/>
        <v>0</v>
      </c>
      <c r="N100" s="113"/>
      <c r="O100" s="54">
        <f t="shared" si="32"/>
        <v>0</v>
      </c>
      <c r="P100" s="54">
        <f t="shared" si="33"/>
        <v>0</v>
      </c>
    </row>
    <row r="101" spans="1:16" ht="12.5">
      <c r="B101" s="7" t="str">
        <f t="shared" ref="B101:B154" si="34">IF(D101=F100,"","IU")</f>
        <v/>
      </c>
      <c r="C101" s="50">
        <f>IF(D93="","-",+C100+1)</f>
        <v>2012</v>
      </c>
      <c r="D101" s="12"/>
      <c r="E101" s="378"/>
      <c r="F101" s="55"/>
      <c r="G101" s="55"/>
      <c r="H101" s="380"/>
      <c r="I101" s="399"/>
      <c r="J101" s="54"/>
      <c r="K101" s="54"/>
      <c r="L101" s="113"/>
      <c r="M101" s="54">
        <f t="shared" si="31"/>
        <v>0</v>
      </c>
      <c r="N101" s="113"/>
      <c r="O101" s="54">
        <f t="shared" si="32"/>
        <v>0</v>
      </c>
      <c r="P101" s="54">
        <f t="shared" si="33"/>
        <v>0</v>
      </c>
    </row>
    <row r="102" spans="1:16" ht="12.5">
      <c r="B102" s="7" t="str">
        <f t="shared" si="34"/>
        <v/>
      </c>
      <c r="C102" s="50">
        <f>IF(D93="","-",+C101+1)</f>
        <v>2013</v>
      </c>
      <c r="D102" s="12"/>
      <c r="E102" s="378"/>
      <c r="F102" s="55"/>
      <c r="G102" s="55"/>
      <c r="H102" s="380"/>
      <c r="I102" s="399"/>
      <c r="J102" s="54"/>
      <c r="K102" s="54"/>
      <c r="L102" s="113"/>
      <c r="M102" s="54">
        <f t="shared" si="31"/>
        <v>0</v>
      </c>
      <c r="N102" s="113"/>
      <c r="O102" s="54">
        <f t="shared" si="32"/>
        <v>0</v>
      </c>
      <c r="P102" s="54">
        <f t="shared" si="33"/>
        <v>0</v>
      </c>
    </row>
    <row r="103" spans="1:16" ht="12.5">
      <c r="B103" s="7" t="str">
        <f t="shared" si="34"/>
        <v>IU</v>
      </c>
      <c r="C103" s="50">
        <f>IF(D93="","-",+C102+1)</f>
        <v>2014</v>
      </c>
      <c r="D103" s="429">
        <v>21465.383888888882</v>
      </c>
      <c r="E103" s="430">
        <v>511.0805687830686</v>
      </c>
      <c r="F103" s="431">
        <v>20954.303320105813</v>
      </c>
      <c r="G103" s="431">
        <v>21209.84360449735</v>
      </c>
      <c r="H103" s="433">
        <v>3305.8778604517456</v>
      </c>
      <c r="I103" s="434">
        <v>3305.8778604517456</v>
      </c>
      <c r="J103" s="54">
        <f>+I103-H103</f>
        <v>0</v>
      </c>
      <c r="K103" s="54"/>
      <c r="L103" s="113">
        <f t="shared" ref="L103:L108" si="35">+H103</f>
        <v>3305.8778604517456</v>
      </c>
      <c r="M103" s="54">
        <f t="shared" si="31"/>
        <v>0</v>
      </c>
      <c r="N103" s="113">
        <f t="shared" ref="N103:N108" si="36">+I103</f>
        <v>3305.8778604517456</v>
      </c>
      <c r="O103" s="54">
        <f t="shared" si="32"/>
        <v>0</v>
      </c>
      <c r="P103" s="54">
        <f t="shared" si="33"/>
        <v>0</v>
      </c>
    </row>
    <row r="104" spans="1:16" ht="12.5">
      <c r="B104" s="7" t="str">
        <f t="shared" si="34"/>
        <v>IU</v>
      </c>
      <c r="C104" s="50">
        <f>IF(D93="","-",+C103+1)</f>
        <v>2015</v>
      </c>
      <c r="D104" s="429">
        <v>22704.919431216931</v>
      </c>
      <c r="E104" s="430">
        <v>539.90697674418607</v>
      </c>
      <c r="F104" s="431">
        <v>22165.012454472744</v>
      </c>
      <c r="G104" s="431">
        <v>22434.965942844836</v>
      </c>
      <c r="H104" s="433">
        <v>3388.0256404381366</v>
      </c>
      <c r="I104" s="434">
        <v>3388.0256404381366</v>
      </c>
      <c r="J104" s="54">
        <f>+I104-H104</f>
        <v>0</v>
      </c>
      <c r="K104" s="54"/>
      <c r="L104" s="113">
        <f t="shared" si="35"/>
        <v>3388.0256404381366</v>
      </c>
      <c r="M104" s="54">
        <f t="shared" ref="M104:M109" si="37">IF(L104&lt;&gt;0,+H104-L104,0)</f>
        <v>0</v>
      </c>
      <c r="N104" s="113">
        <f t="shared" si="36"/>
        <v>3388.0256404381366</v>
      </c>
      <c r="O104" s="54">
        <f>IF(N104&lt;&gt;0,+I104-N104,0)</f>
        <v>0</v>
      </c>
      <c r="P104" s="54">
        <f>+O104-M104</f>
        <v>0</v>
      </c>
    </row>
    <row r="105" spans="1:16" ht="12.5">
      <c r="B105" s="7" t="str">
        <f t="shared" si="34"/>
        <v/>
      </c>
      <c r="C105" s="50">
        <f>IF(D93="","-",+C104+1)</f>
        <v>2016</v>
      </c>
      <c r="D105" s="429">
        <v>22165.012454472744</v>
      </c>
      <c r="E105" s="430">
        <v>552.76190476190482</v>
      </c>
      <c r="F105" s="431">
        <v>21612.25054971084</v>
      </c>
      <c r="G105" s="431">
        <v>21888.63150209179</v>
      </c>
      <c r="H105" s="433">
        <v>3211.6058800285246</v>
      </c>
      <c r="I105" s="434">
        <v>3211.6058800285246</v>
      </c>
      <c r="J105" s="54">
        <f t="shared" ref="J105:J154" si="38">+I105-H105</f>
        <v>0</v>
      </c>
      <c r="K105" s="54"/>
      <c r="L105" s="113">
        <f t="shared" si="35"/>
        <v>3211.6058800285246</v>
      </c>
      <c r="M105" s="54">
        <f t="shared" si="37"/>
        <v>0</v>
      </c>
      <c r="N105" s="113">
        <f t="shared" si="36"/>
        <v>3211.6058800285246</v>
      </c>
      <c r="O105" s="54">
        <f>IF(N105&lt;&gt;0,+I105-N105,0)</f>
        <v>0</v>
      </c>
      <c r="P105" s="54">
        <f>+O105-M105</f>
        <v>0</v>
      </c>
    </row>
    <row r="106" spans="1:16" ht="12.5">
      <c r="B106" s="7" t="str">
        <f t="shared" si="34"/>
        <v/>
      </c>
      <c r="C106" s="50">
        <f>IF(D93="","-",+C105+1)</f>
        <v>2017</v>
      </c>
      <c r="D106" s="429">
        <v>21612.25054971084</v>
      </c>
      <c r="E106" s="430">
        <v>552.76190476190482</v>
      </c>
      <c r="F106" s="431">
        <v>21059.488644948935</v>
      </c>
      <c r="G106" s="431">
        <v>21335.869597329889</v>
      </c>
      <c r="H106" s="433">
        <v>2805.9275766929632</v>
      </c>
      <c r="I106" s="434">
        <v>2805.9275766929632</v>
      </c>
      <c r="J106" s="54">
        <f t="shared" si="38"/>
        <v>0</v>
      </c>
      <c r="K106" s="54"/>
      <c r="L106" s="113">
        <f t="shared" si="35"/>
        <v>2805.9275766929632</v>
      </c>
      <c r="M106" s="54">
        <f t="shared" si="37"/>
        <v>0</v>
      </c>
      <c r="N106" s="113">
        <f t="shared" si="36"/>
        <v>2805.9275766929632</v>
      </c>
      <c r="O106" s="54">
        <f>IF(N106&lt;&gt;0,+I106-N106,0)</f>
        <v>0</v>
      </c>
      <c r="P106" s="54">
        <f t="shared" si="33"/>
        <v>0</v>
      </c>
    </row>
    <row r="107" spans="1:16" ht="12.5">
      <c r="B107" s="7" t="str">
        <f t="shared" si="34"/>
        <v/>
      </c>
      <c r="C107" s="50">
        <f>IF(D93="","-",+C106+1)</f>
        <v>2018</v>
      </c>
      <c r="D107" s="429">
        <v>21059.488644948935</v>
      </c>
      <c r="E107" s="430">
        <v>539.90697674418607</v>
      </c>
      <c r="F107" s="431">
        <v>20519.581668204748</v>
      </c>
      <c r="G107" s="431">
        <v>20789.535156576843</v>
      </c>
      <c r="H107" s="433">
        <v>2765.2301822595773</v>
      </c>
      <c r="I107" s="434">
        <v>2765.2301822595773</v>
      </c>
      <c r="J107" s="54">
        <f t="shared" si="38"/>
        <v>0</v>
      </c>
      <c r="K107" s="54"/>
      <c r="L107" s="113">
        <f t="shared" si="35"/>
        <v>2765.2301822595773</v>
      </c>
      <c r="M107" s="54">
        <f t="shared" si="37"/>
        <v>0</v>
      </c>
      <c r="N107" s="113">
        <f t="shared" si="36"/>
        <v>2765.2301822595773</v>
      </c>
      <c r="O107" s="54">
        <f t="shared" si="32"/>
        <v>0</v>
      </c>
      <c r="P107" s="54">
        <f t="shared" si="33"/>
        <v>0</v>
      </c>
    </row>
    <row r="108" spans="1:16" ht="12.5">
      <c r="B108" s="7" t="str">
        <f t="shared" si="34"/>
        <v/>
      </c>
      <c r="C108" s="50">
        <f>IF(D93="","-",+C107+1)</f>
        <v>2019</v>
      </c>
      <c r="D108" s="429">
        <v>20519.581668204748</v>
      </c>
      <c r="E108" s="430">
        <v>539.90697674418607</v>
      </c>
      <c r="F108" s="431">
        <v>19979.674691460561</v>
      </c>
      <c r="G108" s="431">
        <v>20249.628179832653</v>
      </c>
      <c r="H108" s="433">
        <v>2707.4382443870068</v>
      </c>
      <c r="I108" s="434">
        <v>2707.4382443870068</v>
      </c>
      <c r="J108" s="54">
        <f t="shared" si="38"/>
        <v>0</v>
      </c>
      <c r="K108" s="54"/>
      <c r="L108" s="113">
        <f t="shared" si="35"/>
        <v>2707.4382443870068</v>
      </c>
      <c r="M108" s="54">
        <f t="shared" si="37"/>
        <v>0</v>
      </c>
      <c r="N108" s="113">
        <f t="shared" si="36"/>
        <v>2707.4382443870068</v>
      </c>
      <c r="O108" s="54">
        <f t="shared" si="32"/>
        <v>0</v>
      </c>
      <c r="P108" s="54">
        <f t="shared" si="33"/>
        <v>0</v>
      </c>
    </row>
    <row r="109" spans="1:16" ht="12.5">
      <c r="B109" s="7" t="str">
        <f t="shared" si="34"/>
        <v/>
      </c>
      <c r="C109" s="50">
        <f>IF(D93="","-",+C108+1)</f>
        <v>2020</v>
      </c>
      <c r="D109" s="429">
        <v>19979.674691460561</v>
      </c>
      <c r="E109" s="430">
        <v>552.76190476190482</v>
      </c>
      <c r="F109" s="431">
        <v>19426.912786698656</v>
      </c>
      <c r="G109" s="431">
        <v>19703.293739079607</v>
      </c>
      <c r="H109" s="433">
        <v>2672.3207251624854</v>
      </c>
      <c r="I109" s="434">
        <v>2672.3207251624854</v>
      </c>
      <c r="J109" s="54">
        <f t="shared" si="38"/>
        <v>0</v>
      </c>
      <c r="K109" s="54"/>
      <c r="L109" s="113">
        <f t="shared" ref="L109" si="39">+H109</f>
        <v>2672.3207251624854</v>
      </c>
      <c r="M109" s="54">
        <f t="shared" si="37"/>
        <v>0</v>
      </c>
      <c r="N109" s="113">
        <f t="shared" ref="N109" si="40">+I109</f>
        <v>2672.3207251624854</v>
      </c>
      <c r="O109" s="54">
        <f t="shared" si="32"/>
        <v>0</v>
      </c>
      <c r="P109" s="54">
        <f t="shared" si="33"/>
        <v>0</v>
      </c>
    </row>
    <row r="110" spans="1:16" ht="12.5">
      <c r="B110" s="7" t="str">
        <f t="shared" si="34"/>
        <v/>
      </c>
      <c r="C110" s="50">
        <f>IF(D93="","-",+C109+1)</f>
        <v>2021</v>
      </c>
      <c r="D110" s="429">
        <v>19426.912786698656</v>
      </c>
      <c r="E110" s="430">
        <v>566.2439024390244</v>
      </c>
      <c r="F110" s="431">
        <v>18860.66888425963</v>
      </c>
      <c r="G110" s="431">
        <v>19143.790835479143</v>
      </c>
      <c r="H110" s="433">
        <v>2739.3365089519757</v>
      </c>
      <c r="I110" s="434">
        <v>2739.3365089519757</v>
      </c>
      <c r="J110" s="54">
        <f t="shared" si="38"/>
        <v>0</v>
      </c>
      <c r="K110" s="54"/>
      <c r="L110" s="113">
        <f t="shared" ref="L110" si="41">+H110</f>
        <v>2739.3365089519757</v>
      </c>
      <c r="M110" s="54">
        <f t="shared" ref="M110" si="42">IF(L110&lt;&gt;0,+H110-L110,0)</f>
        <v>0</v>
      </c>
      <c r="N110" s="113">
        <f t="shared" ref="N110" si="43">+I110</f>
        <v>2739.3365089519757</v>
      </c>
      <c r="O110" s="54">
        <f t="shared" si="32"/>
        <v>0</v>
      </c>
      <c r="P110" s="54">
        <f t="shared" si="33"/>
        <v>0</v>
      </c>
    </row>
    <row r="111" spans="1:16" ht="12.5">
      <c r="B111" s="7" t="str">
        <f t="shared" si="34"/>
        <v/>
      </c>
      <c r="C111" s="50">
        <f>IF(D93="","-",+C110+1)</f>
        <v>2022</v>
      </c>
      <c r="D111" s="429">
        <v>18860.66888425963</v>
      </c>
      <c r="E111" s="430">
        <v>552.76190476190482</v>
      </c>
      <c r="F111" s="431">
        <v>18307.906979497726</v>
      </c>
      <c r="G111" s="431">
        <v>18584.28793187868</v>
      </c>
      <c r="H111" s="433">
        <v>2735.6322797194844</v>
      </c>
      <c r="I111" s="434">
        <v>2735.6322797194844</v>
      </c>
      <c r="J111" s="54">
        <f t="shared" si="38"/>
        <v>0</v>
      </c>
      <c r="K111" s="54"/>
      <c r="L111" s="113">
        <f t="shared" ref="L111" si="44">+H111</f>
        <v>2735.6322797194844</v>
      </c>
      <c r="M111" s="54">
        <f t="shared" ref="M111" si="45">IF(L111&lt;&gt;0,+H111-L111,0)</f>
        <v>0</v>
      </c>
      <c r="N111" s="113">
        <f t="shared" ref="N111" si="46">+I111</f>
        <v>2735.6322797194844</v>
      </c>
      <c r="O111" s="54">
        <f t="shared" ref="O111" si="47">IF(N111&lt;&gt;0,+I111-N111,0)</f>
        <v>0</v>
      </c>
      <c r="P111" s="54">
        <f t="shared" ref="P111" si="48">+O111-M111</f>
        <v>0</v>
      </c>
    </row>
    <row r="112" spans="1:16" ht="12.5">
      <c r="B112" s="7" t="str">
        <f t="shared" si="34"/>
        <v>IU</v>
      </c>
      <c r="C112" s="50">
        <f>IF(D93="","-",+C111+1)</f>
        <v>2023</v>
      </c>
      <c r="D112" s="429">
        <v>18307.686979497728</v>
      </c>
      <c r="E112" s="430">
        <v>527.63136363636363</v>
      </c>
      <c r="F112" s="431">
        <v>17780.055615861365</v>
      </c>
      <c r="G112" s="431">
        <v>18043.871297679547</v>
      </c>
      <c r="H112" s="433">
        <v>2753.6145606123782</v>
      </c>
      <c r="I112" s="434">
        <v>2753.6145606123782</v>
      </c>
      <c r="J112" s="54">
        <f t="shared" si="38"/>
        <v>0</v>
      </c>
      <c r="K112" s="54"/>
      <c r="L112" s="113">
        <f t="shared" ref="L112" si="49">+H112</f>
        <v>2753.6145606123782</v>
      </c>
      <c r="M112" s="54">
        <f t="shared" ref="M112" si="50">IF(L112&lt;&gt;0,+H112-L112,0)</f>
        <v>0</v>
      </c>
      <c r="N112" s="113">
        <f t="shared" ref="N112" si="51">+I112</f>
        <v>2753.6145606123782</v>
      </c>
      <c r="O112" s="54">
        <f t="shared" ref="O112" si="52">IF(N112&lt;&gt;0,+I112-N112,0)</f>
        <v>0</v>
      </c>
      <c r="P112" s="54">
        <f t="shared" ref="P112" si="53">+O112-M112</f>
        <v>0</v>
      </c>
    </row>
    <row r="113" spans="2:16" ht="12.5">
      <c r="B113" s="7" t="str">
        <f t="shared" si="34"/>
        <v/>
      </c>
      <c r="C113" s="50">
        <f>IF(D93="","-",+C112+1)</f>
        <v>2024</v>
      </c>
      <c r="D113" s="12">
        <f>IF(F112+SUM(E$99:E112)=D$92,F112,D$92-SUM(E$99:E112))</f>
        <v>17780.055615861365</v>
      </c>
      <c r="E113" s="378">
        <f t="shared" ref="E113:E154" si="54">IF(+$J$96&lt;F112,$J$96,D113)</f>
        <v>527.63136363636363</v>
      </c>
      <c r="F113" s="55">
        <f t="shared" ref="F113:F154" si="55">+D113-E113</f>
        <v>17252.424252225002</v>
      </c>
      <c r="G113" s="55">
        <f t="shared" ref="G113:G154" si="56">+(F113+D113)/2</f>
        <v>17516.239934043184</v>
      </c>
      <c r="H113" s="380">
        <f t="shared" ref="H113:H154" si="57">+J$94*G113+E113</f>
        <v>2708.8646114680059</v>
      </c>
      <c r="I113" s="399">
        <f t="shared" ref="I113:I154" si="58">+J$95*G113+E113</f>
        <v>2708.8646114680059</v>
      </c>
      <c r="J113" s="54">
        <f t="shared" si="38"/>
        <v>0</v>
      </c>
      <c r="K113" s="54"/>
      <c r="L113" s="129"/>
      <c r="M113" s="54">
        <f t="shared" si="31"/>
        <v>0</v>
      </c>
      <c r="N113" s="129"/>
      <c r="O113" s="54">
        <f t="shared" si="32"/>
        <v>0</v>
      </c>
      <c r="P113" s="54">
        <f t="shared" si="33"/>
        <v>0</v>
      </c>
    </row>
    <row r="114" spans="2:16" ht="12.5">
      <c r="B114" s="7" t="str">
        <f t="shared" si="34"/>
        <v/>
      </c>
      <c r="C114" s="50">
        <f>IF(D93="","-",+C113+1)</f>
        <v>2025</v>
      </c>
      <c r="D114" s="12">
        <f>IF(F113+SUM(E$99:E113)=D$92,F113,D$92-SUM(E$99:E113))</f>
        <v>17252.424252225002</v>
      </c>
      <c r="E114" s="378">
        <f t="shared" si="54"/>
        <v>527.63136363636363</v>
      </c>
      <c r="F114" s="55">
        <f t="shared" si="55"/>
        <v>16724.792888588639</v>
      </c>
      <c r="G114" s="55">
        <f t="shared" si="56"/>
        <v>16988.608570406821</v>
      </c>
      <c r="H114" s="380">
        <f t="shared" si="57"/>
        <v>2643.1606089368688</v>
      </c>
      <c r="I114" s="399">
        <f t="shared" si="58"/>
        <v>2643.1606089368688</v>
      </c>
      <c r="J114" s="54">
        <f t="shared" si="38"/>
        <v>0</v>
      </c>
      <c r="K114" s="54"/>
      <c r="L114" s="129"/>
      <c r="M114" s="54">
        <f t="shared" si="31"/>
        <v>0</v>
      </c>
      <c r="N114" s="129"/>
      <c r="O114" s="54">
        <f t="shared" si="32"/>
        <v>0</v>
      </c>
      <c r="P114" s="54">
        <f t="shared" si="33"/>
        <v>0</v>
      </c>
    </row>
    <row r="115" spans="2:16" ht="12.5">
      <c r="B115" s="7" t="str">
        <f t="shared" si="34"/>
        <v/>
      </c>
      <c r="C115" s="50">
        <f>IF(D93="","-",+C114+1)</f>
        <v>2026</v>
      </c>
      <c r="D115" s="12">
        <f>IF(F114+SUM(E$99:E114)=D$92,F114,D$92-SUM(E$99:E114))</f>
        <v>16724.792888588639</v>
      </c>
      <c r="E115" s="378">
        <f t="shared" si="54"/>
        <v>527.63136363636363</v>
      </c>
      <c r="F115" s="55">
        <f t="shared" si="55"/>
        <v>16197.161524952277</v>
      </c>
      <c r="G115" s="55">
        <f t="shared" si="56"/>
        <v>16460.977206770458</v>
      </c>
      <c r="H115" s="380">
        <f t="shared" si="57"/>
        <v>2577.4566064057308</v>
      </c>
      <c r="I115" s="399">
        <f t="shared" si="58"/>
        <v>2577.4566064057308</v>
      </c>
      <c r="J115" s="54">
        <f t="shared" si="38"/>
        <v>0</v>
      </c>
      <c r="K115" s="54"/>
      <c r="L115" s="129"/>
      <c r="M115" s="54">
        <f t="shared" si="31"/>
        <v>0</v>
      </c>
      <c r="N115" s="129"/>
      <c r="O115" s="54">
        <f t="shared" si="32"/>
        <v>0</v>
      </c>
      <c r="P115" s="54">
        <f t="shared" si="33"/>
        <v>0</v>
      </c>
    </row>
    <row r="116" spans="2:16" ht="12.5">
      <c r="B116" s="7" t="str">
        <f t="shared" si="34"/>
        <v/>
      </c>
      <c r="C116" s="50">
        <f>IF(D93="","-",+C115+1)</f>
        <v>2027</v>
      </c>
      <c r="D116" s="12">
        <f>IF(F115+SUM(E$99:E115)=D$92,F115,D$92-SUM(E$99:E115))</f>
        <v>16197.161524952277</v>
      </c>
      <c r="E116" s="378">
        <f t="shared" si="54"/>
        <v>527.63136363636363</v>
      </c>
      <c r="F116" s="55">
        <f t="shared" si="55"/>
        <v>15669.530161315914</v>
      </c>
      <c r="G116" s="55">
        <f t="shared" si="56"/>
        <v>15933.345843134095</v>
      </c>
      <c r="H116" s="380">
        <f t="shared" si="57"/>
        <v>2511.7526038745937</v>
      </c>
      <c r="I116" s="399">
        <f t="shared" si="58"/>
        <v>2511.7526038745937</v>
      </c>
      <c r="J116" s="54">
        <f t="shared" si="38"/>
        <v>0</v>
      </c>
      <c r="K116" s="54"/>
      <c r="L116" s="129"/>
      <c r="M116" s="54">
        <f t="shared" si="31"/>
        <v>0</v>
      </c>
      <c r="N116" s="129"/>
      <c r="O116" s="54">
        <f t="shared" si="32"/>
        <v>0</v>
      </c>
      <c r="P116" s="54">
        <f t="shared" si="33"/>
        <v>0</v>
      </c>
    </row>
    <row r="117" spans="2:16" ht="12.5">
      <c r="B117" s="7" t="str">
        <f t="shared" si="34"/>
        <v/>
      </c>
      <c r="C117" s="50">
        <f>IF(D93="","-",+C116+1)</f>
        <v>2028</v>
      </c>
      <c r="D117" s="12">
        <f>IF(F116+SUM(E$99:E116)=D$92,F116,D$92-SUM(E$99:E116))</f>
        <v>15669.530161315914</v>
      </c>
      <c r="E117" s="378">
        <f t="shared" si="54"/>
        <v>527.63136363636363</v>
      </c>
      <c r="F117" s="55">
        <f t="shared" si="55"/>
        <v>15141.898797679551</v>
      </c>
      <c r="G117" s="55">
        <f t="shared" si="56"/>
        <v>15405.714479497732</v>
      </c>
      <c r="H117" s="380">
        <f t="shared" si="57"/>
        <v>2446.0486013434565</v>
      </c>
      <c r="I117" s="399">
        <f t="shared" si="58"/>
        <v>2446.0486013434565</v>
      </c>
      <c r="J117" s="54">
        <f t="shared" si="38"/>
        <v>0</v>
      </c>
      <c r="K117" s="54"/>
      <c r="L117" s="129"/>
      <c r="M117" s="54">
        <f t="shared" si="31"/>
        <v>0</v>
      </c>
      <c r="N117" s="129"/>
      <c r="O117" s="54">
        <f t="shared" si="32"/>
        <v>0</v>
      </c>
      <c r="P117" s="54">
        <f t="shared" si="33"/>
        <v>0</v>
      </c>
    </row>
    <row r="118" spans="2:16" ht="12.5">
      <c r="B118" s="7" t="str">
        <f t="shared" si="34"/>
        <v/>
      </c>
      <c r="C118" s="50">
        <f>IF(D93="","-",+C117+1)</f>
        <v>2029</v>
      </c>
      <c r="D118" s="12">
        <f>IF(F117+SUM(E$99:E117)=D$92,F117,D$92-SUM(E$99:E117))</f>
        <v>15141.898797679551</v>
      </c>
      <c r="E118" s="378">
        <f t="shared" si="54"/>
        <v>527.63136363636363</v>
      </c>
      <c r="F118" s="55">
        <f t="shared" si="55"/>
        <v>14614.267434043188</v>
      </c>
      <c r="G118" s="55">
        <f t="shared" si="56"/>
        <v>14878.083115861369</v>
      </c>
      <c r="H118" s="380">
        <f t="shared" si="57"/>
        <v>2380.3445988123194</v>
      </c>
      <c r="I118" s="399">
        <f t="shared" si="58"/>
        <v>2380.3445988123194</v>
      </c>
      <c r="J118" s="54">
        <f t="shared" si="38"/>
        <v>0</v>
      </c>
      <c r="K118" s="54"/>
      <c r="L118" s="129"/>
      <c r="M118" s="54">
        <f t="shared" si="31"/>
        <v>0</v>
      </c>
      <c r="N118" s="129"/>
      <c r="O118" s="54">
        <f t="shared" si="32"/>
        <v>0</v>
      </c>
      <c r="P118" s="54">
        <f t="shared" si="33"/>
        <v>0</v>
      </c>
    </row>
    <row r="119" spans="2:16" ht="12.5">
      <c r="B119" s="7" t="str">
        <f t="shared" si="34"/>
        <v/>
      </c>
      <c r="C119" s="50">
        <f>IF(D93="","-",+C118+1)</f>
        <v>2030</v>
      </c>
      <c r="D119" s="12">
        <f>IF(F118+SUM(E$99:E118)=D$92,F118,D$92-SUM(E$99:E118))</f>
        <v>14614.267434043188</v>
      </c>
      <c r="E119" s="378">
        <f t="shared" si="54"/>
        <v>527.63136363636363</v>
      </c>
      <c r="F119" s="55">
        <f t="shared" si="55"/>
        <v>14086.636070406825</v>
      </c>
      <c r="G119" s="55">
        <f t="shared" si="56"/>
        <v>14350.451752225006</v>
      </c>
      <c r="H119" s="380">
        <f t="shared" si="57"/>
        <v>2314.6405962811818</v>
      </c>
      <c r="I119" s="399">
        <f t="shared" si="58"/>
        <v>2314.6405962811818</v>
      </c>
      <c r="J119" s="54">
        <f t="shared" si="38"/>
        <v>0</v>
      </c>
      <c r="K119" s="54"/>
      <c r="L119" s="129"/>
      <c r="M119" s="54">
        <f t="shared" si="31"/>
        <v>0</v>
      </c>
      <c r="N119" s="129"/>
      <c r="O119" s="54">
        <f t="shared" si="32"/>
        <v>0</v>
      </c>
      <c r="P119" s="54">
        <f t="shared" si="33"/>
        <v>0</v>
      </c>
    </row>
    <row r="120" spans="2:16" ht="12.5">
      <c r="B120" s="7" t="str">
        <f t="shared" si="34"/>
        <v/>
      </c>
      <c r="C120" s="50">
        <f>IF(D93="","-",+C119+1)</f>
        <v>2031</v>
      </c>
      <c r="D120" s="12">
        <f>IF(F119+SUM(E$99:E119)=D$92,F119,D$92-SUM(E$99:E119))</f>
        <v>14086.636070406825</v>
      </c>
      <c r="E120" s="378">
        <f t="shared" si="54"/>
        <v>527.63136363636363</v>
      </c>
      <c r="F120" s="55">
        <f t="shared" si="55"/>
        <v>13559.004706770462</v>
      </c>
      <c r="G120" s="55">
        <f t="shared" si="56"/>
        <v>13822.820388588643</v>
      </c>
      <c r="H120" s="380">
        <f t="shared" si="57"/>
        <v>2248.9365937500443</v>
      </c>
      <c r="I120" s="399">
        <f t="shared" si="58"/>
        <v>2248.9365937500443</v>
      </c>
      <c r="J120" s="54">
        <f t="shared" si="38"/>
        <v>0</v>
      </c>
      <c r="K120" s="54"/>
      <c r="L120" s="129"/>
      <c r="M120" s="54">
        <f t="shared" si="31"/>
        <v>0</v>
      </c>
      <c r="N120" s="129"/>
      <c r="O120" s="54">
        <f t="shared" si="32"/>
        <v>0</v>
      </c>
      <c r="P120" s="54">
        <f t="shared" si="33"/>
        <v>0</v>
      </c>
    </row>
    <row r="121" spans="2:16" ht="12.5">
      <c r="B121" s="7" t="str">
        <f t="shared" si="34"/>
        <v/>
      </c>
      <c r="C121" s="50">
        <f>IF(D93="","-",+C120+1)</f>
        <v>2032</v>
      </c>
      <c r="D121" s="12">
        <f>IF(F120+SUM(E$99:E120)=D$92,F120,D$92-SUM(E$99:E120))</f>
        <v>13559.004706770462</v>
      </c>
      <c r="E121" s="378">
        <f t="shared" si="54"/>
        <v>527.63136363636363</v>
      </c>
      <c r="F121" s="55">
        <f t="shared" si="55"/>
        <v>13031.373343134099</v>
      </c>
      <c r="G121" s="55">
        <f t="shared" si="56"/>
        <v>13295.18902495228</v>
      </c>
      <c r="H121" s="380">
        <f t="shared" si="57"/>
        <v>2183.2325912189071</v>
      </c>
      <c r="I121" s="399">
        <f t="shared" si="58"/>
        <v>2183.2325912189071</v>
      </c>
      <c r="J121" s="54">
        <f t="shared" si="38"/>
        <v>0</v>
      </c>
      <c r="K121" s="54"/>
      <c r="L121" s="129"/>
      <c r="M121" s="54">
        <f t="shared" si="31"/>
        <v>0</v>
      </c>
      <c r="N121" s="129"/>
      <c r="O121" s="54">
        <f t="shared" si="32"/>
        <v>0</v>
      </c>
      <c r="P121" s="54">
        <f t="shared" si="33"/>
        <v>0</v>
      </c>
    </row>
    <row r="122" spans="2:16" ht="12.5">
      <c r="B122" s="7" t="str">
        <f t="shared" si="34"/>
        <v/>
      </c>
      <c r="C122" s="50">
        <f>IF(D93="","-",+C121+1)</f>
        <v>2033</v>
      </c>
      <c r="D122" s="12">
        <f>IF(F121+SUM(E$99:E121)=D$92,F121,D$92-SUM(E$99:E121))</f>
        <v>13031.373343134099</v>
      </c>
      <c r="E122" s="378">
        <f t="shared" si="54"/>
        <v>527.63136363636363</v>
      </c>
      <c r="F122" s="55">
        <f t="shared" si="55"/>
        <v>12503.741979497736</v>
      </c>
      <c r="G122" s="55">
        <f t="shared" si="56"/>
        <v>12767.557661315917</v>
      </c>
      <c r="H122" s="380">
        <f t="shared" si="57"/>
        <v>2117.52858868777</v>
      </c>
      <c r="I122" s="399">
        <f t="shared" si="58"/>
        <v>2117.52858868777</v>
      </c>
      <c r="J122" s="54">
        <f t="shared" si="38"/>
        <v>0</v>
      </c>
      <c r="K122" s="54"/>
      <c r="L122" s="129"/>
      <c r="M122" s="54">
        <f t="shared" si="31"/>
        <v>0</v>
      </c>
      <c r="N122" s="129"/>
      <c r="O122" s="54">
        <f t="shared" si="32"/>
        <v>0</v>
      </c>
      <c r="P122" s="54">
        <f t="shared" si="33"/>
        <v>0</v>
      </c>
    </row>
    <row r="123" spans="2:16" ht="12.5">
      <c r="B123" s="7" t="str">
        <f t="shared" si="34"/>
        <v/>
      </c>
      <c r="C123" s="50">
        <f>IF(D93="","-",+C122+1)</f>
        <v>2034</v>
      </c>
      <c r="D123" s="12">
        <f>IF(F122+SUM(E$99:E122)=D$92,F122,D$92-SUM(E$99:E122))</f>
        <v>12503.741979497736</v>
      </c>
      <c r="E123" s="378">
        <f t="shared" si="54"/>
        <v>527.63136363636363</v>
      </c>
      <c r="F123" s="55">
        <f t="shared" si="55"/>
        <v>11976.110615861373</v>
      </c>
      <c r="G123" s="55">
        <f t="shared" si="56"/>
        <v>12239.926297679554</v>
      </c>
      <c r="H123" s="380">
        <f t="shared" si="57"/>
        <v>2051.8245861566324</v>
      </c>
      <c r="I123" s="399">
        <f t="shared" si="58"/>
        <v>2051.8245861566324</v>
      </c>
      <c r="J123" s="54">
        <f t="shared" si="38"/>
        <v>0</v>
      </c>
      <c r="K123" s="54"/>
      <c r="L123" s="129"/>
      <c r="M123" s="54">
        <f t="shared" si="31"/>
        <v>0</v>
      </c>
      <c r="N123" s="129"/>
      <c r="O123" s="54">
        <f t="shared" si="32"/>
        <v>0</v>
      </c>
      <c r="P123" s="54">
        <f t="shared" si="33"/>
        <v>0</v>
      </c>
    </row>
    <row r="124" spans="2:16" ht="12.5">
      <c r="B124" s="7" t="str">
        <f t="shared" si="34"/>
        <v/>
      </c>
      <c r="C124" s="50">
        <f>IF(D93="","-",+C123+1)</f>
        <v>2035</v>
      </c>
      <c r="D124" s="12">
        <f>IF(F123+SUM(E$99:E123)=D$92,F123,D$92-SUM(E$99:E123))</f>
        <v>11976.110615861373</v>
      </c>
      <c r="E124" s="378">
        <f t="shared" si="54"/>
        <v>527.63136363636363</v>
      </c>
      <c r="F124" s="55">
        <f t="shared" si="55"/>
        <v>11448.47925222501</v>
      </c>
      <c r="G124" s="55">
        <f t="shared" si="56"/>
        <v>11712.294934043191</v>
      </c>
      <c r="H124" s="380">
        <f t="shared" si="57"/>
        <v>1986.1205836254951</v>
      </c>
      <c r="I124" s="399">
        <f t="shared" si="58"/>
        <v>1986.1205836254951</v>
      </c>
      <c r="J124" s="54">
        <f t="shared" si="38"/>
        <v>0</v>
      </c>
      <c r="K124" s="54"/>
      <c r="L124" s="129"/>
      <c r="M124" s="54">
        <f t="shared" si="31"/>
        <v>0</v>
      </c>
      <c r="N124" s="129"/>
      <c r="O124" s="54">
        <f t="shared" si="32"/>
        <v>0</v>
      </c>
      <c r="P124" s="54">
        <f t="shared" si="33"/>
        <v>0</v>
      </c>
    </row>
    <row r="125" spans="2:16" ht="12.5">
      <c r="B125" s="7" t="str">
        <f t="shared" si="34"/>
        <v/>
      </c>
      <c r="C125" s="50">
        <f>IF(D93="","-",+C124+1)</f>
        <v>2036</v>
      </c>
      <c r="D125" s="12">
        <f>IF(F124+SUM(E$99:E124)=D$92,F124,D$92-SUM(E$99:E124))</f>
        <v>11448.47925222501</v>
      </c>
      <c r="E125" s="378">
        <f t="shared" si="54"/>
        <v>527.63136363636363</v>
      </c>
      <c r="F125" s="55">
        <f t="shared" si="55"/>
        <v>10920.847888588647</v>
      </c>
      <c r="G125" s="55">
        <f t="shared" si="56"/>
        <v>11184.663570406829</v>
      </c>
      <c r="H125" s="380">
        <f t="shared" si="57"/>
        <v>1920.416581094358</v>
      </c>
      <c r="I125" s="399">
        <f t="shared" si="58"/>
        <v>1920.416581094358</v>
      </c>
      <c r="J125" s="54">
        <f t="shared" si="38"/>
        <v>0</v>
      </c>
      <c r="K125" s="54"/>
      <c r="L125" s="129"/>
      <c r="M125" s="54">
        <f t="shared" si="31"/>
        <v>0</v>
      </c>
      <c r="N125" s="129"/>
      <c r="O125" s="54">
        <f t="shared" si="32"/>
        <v>0</v>
      </c>
      <c r="P125" s="54">
        <f t="shared" si="33"/>
        <v>0</v>
      </c>
    </row>
    <row r="126" spans="2:16" ht="12.5">
      <c r="B126" s="7" t="str">
        <f t="shared" si="34"/>
        <v/>
      </c>
      <c r="C126" s="50">
        <f>IF(D93="","-",+C125+1)</f>
        <v>2037</v>
      </c>
      <c r="D126" s="12">
        <f>IF(F125+SUM(E$99:E125)=D$92,F125,D$92-SUM(E$99:E125))</f>
        <v>10920.847888588647</v>
      </c>
      <c r="E126" s="378">
        <f t="shared" si="54"/>
        <v>527.63136363636363</v>
      </c>
      <c r="F126" s="55">
        <f t="shared" si="55"/>
        <v>10393.216524952284</v>
      </c>
      <c r="G126" s="55">
        <f t="shared" si="56"/>
        <v>10657.032206770466</v>
      </c>
      <c r="H126" s="380">
        <f t="shared" si="57"/>
        <v>1854.7125785632206</v>
      </c>
      <c r="I126" s="399">
        <f t="shared" si="58"/>
        <v>1854.7125785632206</v>
      </c>
      <c r="J126" s="54">
        <f t="shared" si="38"/>
        <v>0</v>
      </c>
      <c r="K126" s="54"/>
      <c r="L126" s="129"/>
      <c r="M126" s="54">
        <f t="shared" si="31"/>
        <v>0</v>
      </c>
      <c r="N126" s="129"/>
      <c r="O126" s="54">
        <f t="shared" si="32"/>
        <v>0</v>
      </c>
      <c r="P126" s="54">
        <f t="shared" si="33"/>
        <v>0</v>
      </c>
    </row>
    <row r="127" spans="2:16" ht="12.5">
      <c r="B127" s="7" t="str">
        <f t="shared" si="34"/>
        <v/>
      </c>
      <c r="C127" s="50">
        <f>IF(D93="","-",+C126+1)</f>
        <v>2038</v>
      </c>
      <c r="D127" s="12">
        <f>IF(F126+SUM(E$99:E126)=D$92,F126,D$92-SUM(E$99:E126))</f>
        <v>10393.216524952284</v>
      </c>
      <c r="E127" s="378">
        <f t="shared" si="54"/>
        <v>527.63136363636363</v>
      </c>
      <c r="F127" s="55">
        <f t="shared" si="55"/>
        <v>9865.5851613159211</v>
      </c>
      <c r="G127" s="55">
        <f t="shared" si="56"/>
        <v>10129.400843134103</v>
      </c>
      <c r="H127" s="380">
        <f t="shared" si="57"/>
        <v>1789.0085760320833</v>
      </c>
      <c r="I127" s="399">
        <f t="shared" si="58"/>
        <v>1789.0085760320833</v>
      </c>
      <c r="J127" s="54">
        <f t="shared" si="38"/>
        <v>0</v>
      </c>
      <c r="K127" s="54"/>
      <c r="L127" s="129"/>
      <c r="M127" s="54">
        <f t="shared" si="31"/>
        <v>0</v>
      </c>
      <c r="N127" s="129"/>
      <c r="O127" s="54">
        <f t="shared" si="32"/>
        <v>0</v>
      </c>
      <c r="P127" s="54">
        <f t="shared" si="33"/>
        <v>0</v>
      </c>
    </row>
    <row r="128" spans="2:16" ht="12.5">
      <c r="B128" s="7" t="str">
        <f t="shared" si="34"/>
        <v/>
      </c>
      <c r="C128" s="50">
        <f>IF(D93="","-",+C127+1)</f>
        <v>2039</v>
      </c>
      <c r="D128" s="12">
        <f>IF(F127+SUM(E$99:E127)=D$92,F127,D$92-SUM(E$99:E127))</f>
        <v>9865.5851613159211</v>
      </c>
      <c r="E128" s="378">
        <f t="shared" si="54"/>
        <v>527.63136363636363</v>
      </c>
      <c r="F128" s="55">
        <f t="shared" si="55"/>
        <v>9337.9537976795582</v>
      </c>
      <c r="G128" s="55">
        <f t="shared" si="56"/>
        <v>9601.7694794977397</v>
      </c>
      <c r="H128" s="380">
        <f t="shared" si="57"/>
        <v>1723.3045735009459</v>
      </c>
      <c r="I128" s="399">
        <f t="shared" si="58"/>
        <v>1723.3045735009459</v>
      </c>
      <c r="J128" s="54">
        <f t="shared" si="38"/>
        <v>0</v>
      </c>
      <c r="K128" s="54"/>
      <c r="L128" s="129"/>
      <c r="M128" s="54">
        <f t="shared" si="31"/>
        <v>0</v>
      </c>
      <c r="N128" s="129"/>
      <c r="O128" s="54">
        <f t="shared" si="32"/>
        <v>0</v>
      </c>
      <c r="P128" s="54">
        <f t="shared" si="33"/>
        <v>0</v>
      </c>
    </row>
    <row r="129" spans="2:16" ht="12.5">
      <c r="B129" s="7" t="str">
        <f t="shared" si="34"/>
        <v/>
      </c>
      <c r="C129" s="50">
        <f>IF(D93="","-",+C128+1)</f>
        <v>2040</v>
      </c>
      <c r="D129" s="12">
        <f>IF(F128+SUM(E$99:E128)=D$92,F128,D$92-SUM(E$99:E128))</f>
        <v>9337.9537976795582</v>
      </c>
      <c r="E129" s="378">
        <f t="shared" si="54"/>
        <v>527.63136363636363</v>
      </c>
      <c r="F129" s="55">
        <f t="shared" si="55"/>
        <v>8810.3224340431952</v>
      </c>
      <c r="G129" s="55">
        <f t="shared" si="56"/>
        <v>9074.1381158613767</v>
      </c>
      <c r="H129" s="380">
        <f t="shared" si="57"/>
        <v>1657.6005709698086</v>
      </c>
      <c r="I129" s="399">
        <f t="shared" si="58"/>
        <v>1657.6005709698086</v>
      </c>
      <c r="J129" s="54">
        <f t="shared" si="38"/>
        <v>0</v>
      </c>
      <c r="K129" s="54"/>
      <c r="L129" s="129"/>
      <c r="M129" s="54">
        <f t="shared" si="31"/>
        <v>0</v>
      </c>
      <c r="N129" s="129"/>
      <c r="O129" s="54">
        <f t="shared" si="32"/>
        <v>0</v>
      </c>
      <c r="P129" s="54">
        <f t="shared" si="33"/>
        <v>0</v>
      </c>
    </row>
    <row r="130" spans="2:16" ht="12.5">
      <c r="B130" s="7" t="str">
        <f t="shared" si="34"/>
        <v/>
      </c>
      <c r="C130" s="50">
        <f>IF(D93="","-",+C129+1)</f>
        <v>2041</v>
      </c>
      <c r="D130" s="12">
        <f>IF(F129+SUM(E$99:E129)=D$92,F129,D$92-SUM(E$99:E129))</f>
        <v>8810.3224340431952</v>
      </c>
      <c r="E130" s="378">
        <f t="shared" si="54"/>
        <v>527.63136363636363</v>
      </c>
      <c r="F130" s="55">
        <f t="shared" si="55"/>
        <v>8282.6910704068323</v>
      </c>
      <c r="G130" s="55">
        <f t="shared" si="56"/>
        <v>8546.5067522250138</v>
      </c>
      <c r="H130" s="380">
        <f t="shared" si="57"/>
        <v>1591.8965684386712</v>
      </c>
      <c r="I130" s="399">
        <f t="shared" si="58"/>
        <v>1591.8965684386712</v>
      </c>
      <c r="J130" s="54">
        <f t="shared" si="38"/>
        <v>0</v>
      </c>
      <c r="K130" s="54"/>
      <c r="L130" s="129"/>
      <c r="M130" s="54">
        <f t="shared" si="31"/>
        <v>0</v>
      </c>
      <c r="N130" s="129"/>
      <c r="O130" s="54">
        <f t="shared" si="32"/>
        <v>0</v>
      </c>
      <c r="P130" s="54">
        <f t="shared" si="33"/>
        <v>0</v>
      </c>
    </row>
    <row r="131" spans="2:16" ht="12.5">
      <c r="B131" s="7" t="str">
        <f t="shared" si="34"/>
        <v/>
      </c>
      <c r="C131" s="50">
        <f>IF(D93="","-",+C130+1)</f>
        <v>2042</v>
      </c>
      <c r="D131" s="12">
        <f>IF(F130+SUM(E$99:E130)=D$92,F130,D$92-SUM(E$99:E130))</f>
        <v>8282.6910704068323</v>
      </c>
      <c r="E131" s="378">
        <f t="shared" si="54"/>
        <v>527.63136363636363</v>
      </c>
      <c r="F131" s="55">
        <f t="shared" si="55"/>
        <v>7755.0597067704684</v>
      </c>
      <c r="G131" s="55">
        <f t="shared" si="56"/>
        <v>8018.8753885886508</v>
      </c>
      <c r="H131" s="380">
        <f t="shared" si="57"/>
        <v>1526.1925659075339</v>
      </c>
      <c r="I131" s="399">
        <f t="shared" si="58"/>
        <v>1526.1925659075339</v>
      </c>
      <c r="J131" s="54">
        <f t="shared" si="38"/>
        <v>0</v>
      </c>
      <c r="K131" s="54"/>
      <c r="L131" s="129"/>
      <c r="M131" s="54">
        <f t="shared" ref="M131:M154" si="59">IF(L541&lt;&gt;0,+H541-L541,0)</f>
        <v>0</v>
      </c>
      <c r="N131" s="129"/>
      <c r="O131" s="54">
        <f t="shared" ref="O131:O154" si="60">IF(N541&lt;&gt;0,+I541-N541,0)</f>
        <v>0</v>
      </c>
      <c r="P131" s="54">
        <f t="shared" ref="P131:P154" si="61">+O541-M541</f>
        <v>0</v>
      </c>
    </row>
    <row r="132" spans="2:16" ht="12.5">
      <c r="B132" s="7" t="str">
        <f t="shared" si="34"/>
        <v/>
      </c>
      <c r="C132" s="50">
        <f>IF(D93="","-",+C131+1)</f>
        <v>2043</v>
      </c>
      <c r="D132" s="12">
        <f>IF(F131+SUM(E$99:E131)=D$92,F131,D$92-SUM(E$99:E131))</f>
        <v>7755.0597067704684</v>
      </c>
      <c r="E132" s="378">
        <f t="shared" si="54"/>
        <v>527.63136363636363</v>
      </c>
      <c r="F132" s="55">
        <f t="shared" si="55"/>
        <v>7227.4283431341046</v>
      </c>
      <c r="G132" s="55">
        <f t="shared" si="56"/>
        <v>7491.2440249522861</v>
      </c>
      <c r="H132" s="380">
        <f t="shared" si="57"/>
        <v>1460.4885633763963</v>
      </c>
      <c r="I132" s="399">
        <f t="shared" si="58"/>
        <v>1460.4885633763963</v>
      </c>
      <c r="J132" s="54">
        <f t="shared" si="38"/>
        <v>0</v>
      </c>
      <c r="K132" s="54"/>
      <c r="L132" s="129"/>
      <c r="M132" s="54">
        <f t="shared" si="59"/>
        <v>0</v>
      </c>
      <c r="N132" s="129"/>
      <c r="O132" s="54">
        <f t="shared" si="60"/>
        <v>0</v>
      </c>
      <c r="P132" s="54">
        <f t="shared" si="61"/>
        <v>0</v>
      </c>
    </row>
    <row r="133" spans="2:16" ht="12.5">
      <c r="B133" s="7" t="str">
        <f t="shared" si="34"/>
        <v/>
      </c>
      <c r="C133" s="50">
        <f>IF(D93="","-",+C132+1)</f>
        <v>2044</v>
      </c>
      <c r="D133" s="12">
        <f>IF(F132+SUM(E$99:E132)=D$92,F132,D$92-SUM(E$99:E132))</f>
        <v>7227.4283431341046</v>
      </c>
      <c r="E133" s="378">
        <f t="shared" si="54"/>
        <v>527.63136363636363</v>
      </c>
      <c r="F133" s="55">
        <f t="shared" si="55"/>
        <v>6699.7969794977407</v>
      </c>
      <c r="G133" s="55">
        <f t="shared" si="56"/>
        <v>6963.6126613159231</v>
      </c>
      <c r="H133" s="380">
        <f t="shared" si="57"/>
        <v>1394.784560845259</v>
      </c>
      <c r="I133" s="399">
        <f t="shared" si="58"/>
        <v>1394.784560845259</v>
      </c>
      <c r="J133" s="54">
        <f t="shared" si="38"/>
        <v>0</v>
      </c>
      <c r="K133" s="54"/>
      <c r="L133" s="129"/>
      <c r="M133" s="54">
        <f t="shared" si="59"/>
        <v>0</v>
      </c>
      <c r="N133" s="129"/>
      <c r="O133" s="54">
        <f t="shared" si="60"/>
        <v>0</v>
      </c>
      <c r="P133" s="54">
        <f t="shared" si="61"/>
        <v>0</v>
      </c>
    </row>
    <row r="134" spans="2:16" ht="12.5">
      <c r="B134" s="7" t="str">
        <f t="shared" si="34"/>
        <v/>
      </c>
      <c r="C134" s="50">
        <f>IF(D93="","-",+C133+1)</f>
        <v>2045</v>
      </c>
      <c r="D134" s="12">
        <f>IF(F133+SUM(E$99:E133)=D$92,F133,D$92-SUM(E$99:E133))</f>
        <v>6699.7969794977407</v>
      </c>
      <c r="E134" s="378">
        <f t="shared" si="54"/>
        <v>527.63136363636363</v>
      </c>
      <c r="F134" s="55">
        <f t="shared" si="55"/>
        <v>6172.1656158613769</v>
      </c>
      <c r="G134" s="55">
        <f t="shared" si="56"/>
        <v>6435.9812976795583</v>
      </c>
      <c r="H134" s="380">
        <f t="shared" si="57"/>
        <v>1329.0805583141214</v>
      </c>
      <c r="I134" s="399">
        <f t="shared" si="58"/>
        <v>1329.0805583141214</v>
      </c>
      <c r="J134" s="54">
        <f t="shared" si="38"/>
        <v>0</v>
      </c>
      <c r="K134" s="54"/>
      <c r="L134" s="129"/>
      <c r="M134" s="54">
        <f t="shared" si="59"/>
        <v>0</v>
      </c>
      <c r="N134" s="129"/>
      <c r="O134" s="54">
        <f t="shared" si="60"/>
        <v>0</v>
      </c>
      <c r="P134" s="54">
        <f t="shared" si="61"/>
        <v>0</v>
      </c>
    </row>
    <row r="135" spans="2:16" ht="12.5">
      <c r="B135" s="7" t="str">
        <f t="shared" si="34"/>
        <v/>
      </c>
      <c r="C135" s="50">
        <f>IF(D93="","-",+C134+1)</f>
        <v>2046</v>
      </c>
      <c r="D135" s="12">
        <f>IF(F134+SUM(E$99:E134)=D$92,F134,D$92-SUM(E$99:E134))</f>
        <v>6172.1656158613769</v>
      </c>
      <c r="E135" s="378">
        <f t="shared" si="54"/>
        <v>527.63136363636363</v>
      </c>
      <c r="F135" s="55">
        <f t="shared" si="55"/>
        <v>5644.534252225013</v>
      </c>
      <c r="G135" s="55">
        <f t="shared" si="56"/>
        <v>5908.3499340431954</v>
      </c>
      <c r="H135" s="380">
        <f t="shared" si="57"/>
        <v>1263.376555782984</v>
      </c>
      <c r="I135" s="399">
        <f t="shared" si="58"/>
        <v>1263.376555782984</v>
      </c>
      <c r="J135" s="54">
        <f t="shared" si="38"/>
        <v>0</v>
      </c>
      <c r="K135" s="54"/>
      <c r="L135" s="129"/>
      <c r="M135" s="54">
        <f t="shared" si="59"/>
        <v>0</v>
      </c>
      <c r="N135" s="129"/>
      <c r="O135" s="54">
        <f t="shared" si="60"/>
        <v>0</v>
      </c>
      <c r="P135" s="54">
        <f t="shared" si="61"/>
        <v>0</v>
      </c>
    </row>
    <row r="136" spans="2:16" ht="12.5">
      <c r="B136" s="7" t="str">
        <f t="shared" si="34"/>
        <v/>
      </c>
      <c r="C136" s="50">
        <f>IF(D93="","-",+C135+1)</f>
        <v>2047</v>
      </c>
      <c r="D136" s="12">
        <f>IF(F135+SUM(E$99:E135)=D$92,F135,D$92-SUM(E$99:E135))</f>
        <v>5644.534252225013</v>
      </c>
      <c r="E136" s="378">
        <f t="shared" si="54"/>
        <v>527.63136363636363</v>
      </c>
      <c r="F136" s="55">
        <f t="shared" si="55"/>
        <v>5116.9028885886491</v>
      </c>
      <c r="G136" s="55">
        <f t="shared" si="56"/>
        <v>5380.7185704068306</v>
      </c>
      <c r="H136" s="380">
        <f t="shared" si="57"/>
        <v>1197.6725532518465</v>
      </c>
      <c r="I136" s="399">
        <f t="shared" si="58"/>
        <v>1197.6725532518465</v>
      </c>
      <c r="J136" s="54">
        <f t="shared" si="38"/>
        <v>0</v>
      </c>
      <c r="K136" s="54"/>
      <c r="L136" s="129"/>
      <c r="M136" s="54">
        <f t="shared" si="59"/>
        <v>0</v>
      </c>
      <c r="N136" s="129"/>
      <c r="O136" s="54">
        <f t="shared" si="60"/>
        <v>0</v>
      </c>
      <c r="P136" s="54">
        <f t="shared" si="61"/>
        <v>0</v>
      </c>
    </row>
    <row r="137" spans="2:16" ht="12.5">
      <c r="B137" s="7" t="str">
        <f t="shared" si="34"/>
        <v/>
      </c>
      <c r="C137" s="50">
        <f>IF(D93="","-",+C136+1)</f>
        <v>2048</v>
      </c>
      <c r="D137" s="12">
        <f>IF(F136+SUM(E$99:E136)=D$92,F136,D$92-SUM(E$99:E136))</f>
        <v>5116.9028885886491</v>
      </c>
      <c r="E137" s="378">
        <f t="shared" si="54"/>
        <v>527.63136363636363</v>
      </c>
      <c r="F137" s="55">
        <f t="shared" si="55"/>
        <v>4589.2715249522853</v>
      </c>
      <c r="G137" s="55">
        <f t="shared" si="56"/>
        <v>4853.0872067704677</v>
      </c>
      <c r="H137" s="380">
        <f t="shared" si="57"/>
        <v>1131.9685507207091</v>
      </c>
      <c r="I137" s="399">
        <f t="shared" si="58"/>
        <v>1131.9685507207091</v>
      </c>
      <c r="J137" s="54">
        <f t="shared" si="38"/>
        <v>0</v>
      </c>
      <c r="K137" s="54"/>
      <c r="L137" s="129"/>
      <c r="M137" s="54">
        <f t="shared" si="59"/>
        <v>0</v>
      </c>
      <c r="N137" s="129"/>
      <c r="O137" s="54">
        <f t="shared" si="60"/>
        <v>0</v>
      </c>
      <c r="P137" s="54">
        <f t="shared" si="61"/>
        <v>0</v>
      </c>
    </row>
    <row r="138" spans="2:16" ht="12.5">
      <c r="B138" s="7" t="str">
        <f t="shared" si="34"/>
        <v/>
      </c>
      <c r="C138" s="50">
        <f>IF(D93="","-",+C137+1)</f>
        <v>2049</v>
      </c>
      <c r="D138" s="12">
        <f>IF(F137+SUM(E$99:E137)=D$92,F137,D$92-SUM(E$99:E137))</f>
        <v>4589.2715249522853</v>
      </c>
      <c r="E138" s="378">
        <f t="shared" si="54"/>
        <v>527.63136363636363</v>
      </c>
      <c r="F138" s="55">
        <f t="shared" si="55"/>
        <v>4061.6401613159214</v>
      </c>
      <c r="G138" s="55">
        <f t="shared" si="56"/>
        <v>4325.4558431341029</v>
      </c>
      <c r="H138" s="380">
        <f t="shared" si="57"/>
        <v>1066.2645481895715</v>
      </c>
      <c r="I138" s="399">
        <f t="shared" si="58"/>
        <v>1066.2645481895715</v>
      </c>
      <c r="J138" s="54">
        <f t="shared" si="38"/>
        <v>0</v>
      </c>
      <c r="K138" s="54"/>
      <c r="L138" s="129"/>
      <c r="M138" s="54">
        <f t="shared" si="59"/>
        <v>0</v>
      </c>
      <c r="N138" s="129"/>
      <c r="O138" s="54">
        <f t="shared" si="60"/>
        <v>0</v>
      </c>
      <c r="P138" s="54">
        <f t="shared" si="61"/>
        <v>0</v>
      </c>
    </row>
    <row r="139" spans="2:16" ht="12.5">
      <c r="B139" s="7" t="str">
        <f t="shared" si="34"/>
        <v/>
      </c>
      <c r="C139" s="50">
        <f>IF(D93="","-",+C138+1)</f>
        <v>2050</v>
      </c>
      <c r="D139" s="12">
        <f>IF(F138+SUM(E$99:E138)=D$92,F138,D$92-SUM(E$99:E138))</f>
        <v>4061.6401613159214</v>
      </c>
      <c r="E139" s="378">
        <f t="shared" si="54"/>
        <v>527.63136363636363</v>
      </c>
      <c r="F139" s="55">
        <f t="shared" si="55"/>
        <v>3534.0087976795576</v>
      </c>
      <c r="G139" s="55">
        <f t="shared" si="56"/>
        <v>3797.8244794977395</v>
      </c>
      <c r="H139" s="380">
        <f t="shared" si="57"/>
        <v>1000.5605456584342</v>
      </c>
      <c r="I139" s="399">
        <f t="shared" si="58"/>
        <v>1000.5605456584342</v>
      </c>
      <c r="J139" s="54">
        <f t="shared" si="38"/>
        <v>0</v>
      </c>
      <c r="K139" s="54"/>
      <c r="L139" s="129"/>
      <c r="M139" s="54">
        <f t="shared" si="59"/>
        <v>0</v>
      </c>
      <c r="N139" s="129"/>
      <c r="O139" s="54">
        <f t="shared" si="60"/>
        <v>0</v>
      </c>
      <c r="P139" s="54">
        <f t="shared" si="61"/>
        <v>0</v>
      </c>
    </row>
    <row r="140" spans="2:16" ht="12.5">
      <c r="B140" s="7" t="str">
        <f t="shared" si="34"/>
        <v/>
      </c>
      <c r="C140" s="50">
        <f>IF(D93="","-",+C139+1)</f>
        <v>2051</v>
      </c>
      <c r="D140" s="12">
        <f>IF(F139+SUM(E$99:E139)=D$92,F139,D$92-SUM(E$99:E139))</f>
        <v>3534.0087976795576</v>
      </c>
      <c r="E140" s="378">
        <f t="shared" si="54"/>
        <v>527.63136363636363</v>
      </c>
      <c r="F140" s="55">
        <f t="shared" si="55"/>
        <v>3006.3774340431937</v>
      </c>
      <c r="G140" s="55">
        <f t="shared" si="56"/>
        <v>3270.1931158613756</v>
      </c>
      <c r="H140" s="380">
        <f t="shared" si="57"/>
        <v>934.85654312729685</v>
      </c>
      <c r="I140" s="399">
        <f t="shared" si="58"/>
        <v>934.85654312729685</v>
      </c>
      <c r="J140" s="54">
        <f t="shared" si="38"/>
        <v>0</v>
      </c>
      <c r="K140" s="54"/>
      <c r="L140" s="129"/>
      <c r="M140" s="54">
        <f t="shared" si="59"/>
        <v>0</v>
      </c>
      <c r="N140" s="129"/>
      <c r="O140" s="54">
        <f t="shared" si="60"/>
        <v>0</v>
      </c>
      <c r="P140" s="54">
        <f t="shared" si="61"/>
        <v>0</v>
      </c>
    </row>
    <row r="141" spans="2:16" ht="12.5">
      <c r="B141" s="7" t="str">
        <f t="shared" si="34"/>
        <v/>
      </c>
      <c r="C141" s="50">
        <f>IF(D93="","-",+C140+1)</f>
        <v>2052</v>
      </c>
      <c r="D141" s="12">
        <f>IF(F140+SUM(E$99:E140)=D$92,F140,D$92-SUM(E$99:E140))</f>
        <v>3006.3774340431937</v>
      </c>
      <c r="E141" s="378">
        <f t="shared" si="54"/>
        <v>527.63136363636363</v>
      </c>
      <c r="F141" s="55">
        <f t="shared" si="55"/>
        <v>2478.7460704068299</v>
      </c>
      <c r="G141" s="55">
        <f t="shared" si="56"/>
        <v>2742.5617522250118</v>
      </c>
      <c r="H141" s="380">
        <f t="shared" si="57"/>
        <v>869.15254059615927</v>
      </c>
      <c r="I141" s="399">
        <f t="shared" si="58"/>
        <v>869.15254059615927</v>
      </c>
      <c r="J141" s="54">
        <f t="shared" si="38"/>
        <v>0</v>
      </c>
      <c r="K141" s="54"/>
      <c r="L141" s="129"/>
      <c r="M141" s="54">
        <f t="shared" si="59"/>
        <v>0</v>
      </c>
      <c r="N141" s="129"/>
      <c r="O141" s="54">
        <f t="shared" si="60"/>
        <v>0</v>
      </c>
      <c r="P141" s="54">
        <f t="shared" si="61"/>
        <v>0</v>
      </c>
    </row>
    <row r="142" spans="2:16" ht="12.5">
      <c r="B142" s="7" t="str">
        <f t="shared" si="34"/>
        <v/>
      </c>
      <c r="C142" s="50">
        <f>IF(D93="","-",+C141+1)</f>
        <v>2053</v>
      </c>
      <c r="D142" s="12">
        <f>IF(F141+SUM(E$99:E141)=D$92,F141,D$92-SUM(E$99:E141))</f>
        <v>2478.7460704068299</v>
      </c>
      <c r="E142" s="378">
        <f t="shared" si="54"/>
        <v>527.63136363636363</v>
      </c>
      <c r="F142" s="55">
        <f t="shared" si="55"/>
        <v>1951.1147067704662</v>
      </c>
      <c r="G142" s="55">
        <f t="shared" si="56"/>
        <v>2214.9303885886479</v>
      </c>
      <c r="H142" s="380">
        <f t="shared" si="57"/>
        <v>803.44853806502192</v>
      </c>
      <c r="I142" s="399">
        <f t="shared" si="58"/>
        <v>803.44853806502192</v>
      </c>
      <c r="J142" s="54">
        <f t="shared" si="38"/>
        <v>0</v>
      </c>
      <c r="K142" s="54"/>
      <c r="L142" s="129"/>
      <c r="M142" s="54">
        <f t="shared" si="59"/>
        <v>0</v>
      </c>
      <c r="N142" s="129"/>
      <c r="O142" s="54">
        <f t="shared" si="60"/>
        <v>0</v>
      </c>
      <c r="P142" s="54">
        <f t="shared" si="61"/>
        <v>0</v>
      </c>
    </row>
    <row r="143" spans="2:16" ht="12.5">
      <c r="B143" s="7" t="str">
        <f t="shared" si="34"/>
        <v/>
      </c>
      <c r="C143" s="50">
        <f>IF(D93="","-",+C142+1)</f>
        <v>2054</v>
      </c>
      <c r="D143" s="12">
        <f>IF(F142+SUM(E$99:E142)=D$92,F142,D$92-SUM(E$99:E142))</f>
        <v>1951.1147067704662</v>
      </c>
      <c r="E143" s="378">
        <f t="shared" si="54"/>
        <v>527.63136363636363</v>
      </c>
      <c r="F143" s="55">
        <f t="shared" si="55"/>
        <v>1423.4833431341026</v>
      </c>
      <c r="G143" s="55">
        <f t="shared" si="56"/>
        <v>1687.2990249522845</v>
      </c>
      <c r="H143" s="380">
        <f t="shared" si="57"/>
        <v>737.74453553388446</v>
      </c>
      <c r="I143" s="399">
        <f t="shared" si="58"/>
        <v>737.74453553388446</v>
      </c>
      <c r="J143" s="54">
        <f t="shared" si="38"/>
        <v>0</v>
      </c>
      <c r="K143" s="54"/>
      <c r="L143" s="129"/>
      <c r="M143" s="54">
        <f t="shared" si="59"/>
        <v>0</v>
      </c>
      <c r="N143" s="129"/>
      <c r="O143" s="54">
        <f t="shared" si="60"/>
        <v>0</v>
      </c>
      <c r="P143" s="54">
        <f t="shared" si="61"/>
        <v>0</v>
      </c>
    </row>
    <row r="144" spans="2:16" ht="12.5">
      <c r="B144" s="7" t="str">
        <f t="shared" si="34"/>
        <v/>
      </c>
      <c r="C144" s="50">
        <f>IF(D93="","-",+C143+1)</f>
        <v>2055</v>
      </c>
      <c r="D144" s="12">
        <f>IF(F143+SUM(E$99:E143)=D$92,F143,D$92-SUM(E$99:E143))</f>
        <v>1423.4833431341026</v>
      </c>
      <c r="E144" s="378">
        <f t="shared" si="54"/>
        <v>527.63136363636363</v>
      </c>
      <c r="F144" s="55">
        <f t="shared" si="55"/>
        <v>895.85197949773897</v>
      </c>
      <c r="G144" s="55">
        <f t="shared" si="56"/>
        <v>1159.6676613159207</v>
      </c>
      <c r="H144" s="380">
        <f t="shared" si="57"/>
        <v>672.040533002747</v>
      </c>
      <c r="I144" s="399">
        <f t="shared" si="58"/>
        <v>672.040533002747</v>
      </c>
      <c r="J144" s="54">
        <f t="shared" si="38"/>
        <v>0</v>
      </c>
      <c r="K144" s="54"/>
      <c r="L144" s="129"/>
      <c r="M144" s="54">
        <f t="shared" si="59"/>
        <v>0</v>
      </c>
      <c r="N144" s="129"/>
      <c r="O144" s="54">
        <f t="shared" si="60"/>
        <v>0</v>
      </c>
      <c r="P144" s="54">
        <f t="shared" si="61"/>
        <v>0</v>
      </c>
    </row>
    <row r="145" spans="2:16" ht="12.5">
      <c r="B145" s="7" t="str">
        <f t="shared" si="34"/>
        <v/>
      </c>
      <c r="C145" s="50">
        <f>IF(D93="","-",+C144+1)</f>
        <v>2056</v>
      </c>
      <c r="D145" s="12">
        <f>IF(F144+SUM(E$99:E144)=D$92,F144,D$92-SUM(E$99:E144))</f>
        <v>895.85197949773897</v>
      </c>
      <c r="E145" s="378">
        <f t="shared" si="54"/>
        <v>527.63136363636363</v>
      </c>
      <c r="F145" s="55">
        <f t="shared" si="55"/>
        <v>368.22061586137534</v>
      </c>
      <c r="G145" s="55">
        <f t="shared" si="56"/>
        <v>632.03629767955715</v>
      </c>
      <c r="H145" s="380">
        <f t="shared" si="57"/>
        <v>606.33653047160965</v>
      </c>
      <c r="I145" s="399">
        <f t="shared" si="58"/>
        <v>606.33653047160965</v>
      </c>
      <c r="J145" s="54">
        <f t="shared" si="38"/>
        <v>0</v>
      </c>
      <c r="K145" s="54"/>
      <c r="L145" s="129"/>
      <c r="M145" s="54">
        <f t="shared" si="59"/>
        <v>0</v>
      </c>
      <c r="N145" s="129"/>
      <c r="O145" s="54">
        <f t="shared" si="60"/>
        <v>0</v>
      </c>
      <c r="P145" s="54">
        <f t="shared" si="61"/>
        <v>0</v>
      </c>
    </row>
    <row r="146" spans="2:16" ht="12.5">
      <c r="B146" s="7" t="str">
        <f t="shared" si="34"/>
        <v/>
      </c>
      <c r="C146" s="50">
        <f>IF(D93="","-",+C145+1)</f>
        <v>2057</v>
      </c>
      <c r="D146" s="12">
        <f>IF(F145+SUM(E$99:E145)=D$92,F145,D$92-SUM(E$99:E145))</f>
        <v>368.22061586137534</v>
      </c>
      <c r="E146" s="378">
        <f t="shared" si="54"/>
        <v>368.22061586137534</v>
      </c>
      <c r="F146" s="55">
        <f t="shared" si="55"/>
        <v>0</v>
      </c>
      <c r="G146" s="55">
        <f t="shared" si="56"/>
        <v>184.11030793068767</v>
      </c>
      <c r="H146" s="380">
        <f t="shared" si="57"/>
        <v>391.14719864621395</v>
      </c>
      <c r="I146" s="399">
        <f t="shared" si="58"/>
        <v>391.14719864621395</v>
      </c>
      <c r="J146" s="54">
        <f t="shared" si="38"/>
        <v>0</v>
      </c>
      <c r="K146" s="54"/>
      <c r="L146" s="129"/>
      <c r="M146" s="54">
        <f t="shared" si="59"/>
        <v>0</v>
      </c>
      <c r="N146" s="129"/>
      <c r="O146" s="54">
        <f t="shared" si="60"/>
        <v>0</v>
      </c>
      <c r="P146" s="54">
        <f t="shared" si="61"/>
        <v>0</v>
      </c>
    </row>
    <row r="147" spans="2:16" ht="12.5">
      <c r="B147" s="7" t="str">
        <f t="shared" si="34"/>
        <v/>
      </c>
      <c r="C147" s="50">
        <f>IF(D93="","-",+C146+1)</f>
        <v>2058</v>
      </c>
      <c r="D147" s="12">
        <f>IF(F146+SUM(E$99:E146)=D$92,F146,D$92-SUM(E$99:E146))</f>
        <v>0</v>
      </c>
      <c r="E147" s="378">
        <f t="shared" si="54"/>
        <v>0</v>
      </c>
      <c r="F147" s="55">
        <f t="shared" si="55"/>
        <v>0</v>
      </c>
      <c r="G147" s="55">
        <f t="shared" si="56"/>
        <v>0</v>
      </c>
      <c r="H147" s="380">
        <f t="shared" si="57"/>
        <v>0</v>
      </c>
      <c r="I147" s="399">
        <f t="shared" si="58"/>
        <v>0</v>
      </c>
      <c r="J147" s="54">
        <f t="shared" si="38"/>
        <v>0</v>
      </c>
      <c r="K147" s="54"/>
      <c r="L147" s="129"/>
      <c r="M147" s="54">
        <f t="shared" si="59"/>
        <v>0</v>
      </c>
      <c r="N147" s="129"/>
      <c r="O147" s="54">
        <f t="shared" si="60"/>
        <v>0</v>
      </c>
      <c r="P147" s="54">
        <f t="shared" si="61"/>
        <v>0</v>
      </c>
    </row>
    <row r="148" spans="2:16" ht="12.5">
      <c r="B148" s="7" t="str">
        <f t="shared" si="34"/>
        <v/>
      </c>
      <c r="C148" s="50">
        <f>IF(D93="","-",+C147+1)</f>
        <v>2059</v>
      </c>
      <c r="D148" s="12">
        <f>IF(F147+SUM(E$99:E147)=D$92,F147,D$92-SUM(E$99:E147))</f>
        <v>0</v>
      </c>
      <c r="E148" s="378">
        <f t="shared" si="54"/>
        <v>0</v>
      </c>
      <c r="F148" s="55">
        <f t="shared" si="55"/>
        <v>0</v>
      </c>
      <c r="G148" s="55">
        <f t="shared" si="56"/>
        <v>0</v>
      </c>
      <c r="H148" s="380">
        <f t="shared" si="57"/>
        <v>0</v>
      </c>
      <c r="I148" s="399">
        <f t="shared" si="58"/>
        <v>0</v>
      </c>
      <c r="J148" s="54">
        <f t="shared" si="38"/>
        <v>0</v>
      </c>
      <c r="K148" s="54"/>
      <c r="L148" s="129"/>
      <c r="M148" s="54">
        <f t="shared" si="59"/>
        <v>0</v>
      </c>
      <c r="N148" s="129"/>
      <c r="O148" s="54">
        <f t="shared" si="60"/>
        <v>0</v>
      </c>
      <c r="P148" s="54">
        <f t="shared" si="61"/>
        <v>0</v>
      </c>
    </row>
    <row r="149" spans="2:16" ht="12.5">
      <c r="B149" s="7" t="str">
        <f t="shared" si="34"/>
        <v/>
      </c>
      <c r="C149" s="50">
        <f>IF(D93="","-",+C148+1)</f>
        <v>2060</v>
      </c>
      <c r="D149" s="12">
        <f>IF(F148+SUM(E$99:E148)=D$92,F148,D$92-SUM(E$99:E148))</f>
        <v>0</v>
      </c>
      <c r="E149" s="378">
        <f t="shared" si="54"/>
        <v>0</v>
      </c>
      <c r="F149" s="55">
        <f t="shared" si="55"/>
        <v>0</v>
      </c>
      <c r="G149" s="55">
        <f t="shared" si="56"/>
        <v>0</v>
      </c>
      <c r="H149" s="380">
        <f t="shared" si="57"/>
        <v>0</v>
      </c>
      <c r="I149" s="399">
        <f t="shared" si="58"/>
        <v>0</v>
      </c>
      <c r="J149" s="54">
        <f t="shared" si="38"/>
        <v>0</v>
      </c>
      <c r="K149" s="54"/>
      <c r="L149" s="129"/>
      <c r="M149" s="54">
        <f t="shared" si="59"/>
        <v>0</v>
      </c>
      <c r="N149" s="129"/>
      <c r="O149" s="54">
        <f t="shared" si="60"/>
        <v>0</v>
      </c>
      <c r="P149" s="54">
        <f t="shared" si="61"/>
        <v>0</v>
      </c>
    </row>
    <row r="150" spans="2:16" ht="12.5">
      <c r="B150" s="7" t="str">
        <f t="shared" si="34"/>
        <v/>
      </c>
      <c r="C150" s="50">
        <f>IF(D93="","-",+C149+1)</f>
        <v>2061</v>
      </c>
      <c r="D150" s="12">
        <f>IF(F149+SUM(E$99:E149)=D$92,F149,D$92-SUM(E$99:E149))</f>
        <v>0</v>
      </c>
      <c r="E150" s="378">
        <f t="shared" si="54"/>
        <v>0</v>
      </c>
      <c r="F150" s="55">
        <f t="shared" si="55"/>
        <v>0</v>
      </c>
      <c r="G150" s="55">
        <f t="shared" si="56"/>
        <v>0</v>
      </c>
      <c r="H150" s="380">
        <f t="shared" si="57"/>
        <v>0</v>
      </c>
      <c r="I150" s="399">
        <f t="shared" si="58"/>
        <v>0</v>
      </c>
      <c r="J150" s="54">
        <f t="shared" si="38"/>
        <v>0</v>
      </c>
      <c r="K150" s="54"/>
      <c r="L150" s="129"/>
      <c r="M150" s="54">
        <f t="shared" si="59"/>
        <v>0</v>
      </c>
      <c r="N150" s="129"/>
      <c r="O150" s="54">
        <f t="shared" si="60"/>
        <v>0</v>
      </c>
      <c r="P150" s="54">
        <f t="shared" si="61"/>
        <v>0</v>
      </c>
    </row>
    <row r="151" spans="2:16" ht="12.5">
      <c r="B151" s="7" t="str">
        <f t="shared" si="34"/>
        <v/>
      </c>
      <c r="C151" s="50">
        <f>IF(D93="","-",+C150+1)</f>
        <v>2062</v>
      </c>
      <c r="D151" s="12">
        <f>IF(F150+SUM(E$99:E150)=D$92,F150,D$92-SUM(E$99:E150))</f>
        <v>0</v>
      </c>
      <c r="E151" s="378">
        <f t="shared" si="54"/>
        <v>0</v>
      </c>
      <c r="F151" s="55">
        <f t="shared" si="55"/>
        <v>0</v>
      </c>
      <c r="G151" s="55">
        <f t="shared" si="56"/>
        <v>0</v>
      </c>
      <c r="H151" s="380">
        <f t="shared" si="57"/>
        <v>0</v>
      </c>
      <c r="I151" s="399">
        <f t="shared" si="58"/>
        <v>0</v>
      </c>
      <c r="J151" s="54">
        <f t="shared" si="38"/>
        <v>0</v>
      </c>
      <c r="K151" s="54"/>
      <c r="L151" s="129"/>
      <c r="M151" s="54">
        <f t="shared" si="59"/>
        <v>0</v>
      </c>
      <c r="N151" s="129"/>
      <c r="O151" s="54">
        <f t="shared" si="60"/>
        <v>0</v>
      </c>
      <c r="P151" s="54">
        <f t="shared" si="61"/>
        <v>0</v>
      </c>
    </row>
    <row r="152" spans="2:16" ht="12.5">
      <c r="B152" s="7" t="str">
        <f t="shared" si="34"/>
        <v/>
      </c>
      <c r="C152" s="50">
        <f>IF(D93="","-",+C151+1)</f>
        <v>2063</v>
      </c>
      <c r="D152" s="12">
        <f>IF(F151+SUM(E$99:E151)=D$92,F151,D$92-SUM(E$99:E151))</f>
        <v>0</v>
      </c>
      <c r="E152" s="378">
        <f t="shared" si="54"/>
        <v>0</v>
      </c>
      <c r="F152" s="55">
        <f t="shared" si="55"/>
        <v>0</v>
      </c>
      <c r="G152" s="55">
        <f t="shared" si="56"/>
        <v>0</v>
      </c>
      <c r="H152" s="380">
        <f t="shared" si="57"/>
        <v>0</v>
      </c>
      <c r="I152" s="399">
        <f t="shared" si="58"/>
        <v>0</v>
      </c>
      <c r="J152" s="54">
        <f t="shared" si="38"/>
        <v>0</v>
      </c>
      <c r="K152" s="54"/>
      <c r="L152" s="129"/>
      <c r="M152" s="54">
        <f t="shared" si="59"/>
        <v>0</v>
      </c>
      <c r="N152" s="129"/>
      <c r="O152" s="54">
        <f t="shared" si="60"/>
        <v>0</v>
      </c>
      <c r="P152" s="54">
        <f t="shared" si="61"/>
        <v>0</v>
      </c>
    </row>
    <row r="153" spans="2:16" ht="12.5">
      <c r="B153" s="7" t="str">
        <f t="shared" si="34"/>
        <v/>
      </c>
      <c r="C153" s="50">
        <f>IF(D93="","-",+C152+1)</f>
        <v>2064</v>
      </c>
      <c r="D153" s="12">
        <f>IF(F152+SUM(E$99:E152)=D$92,F152,D$92-SUM(E$99:E152))</f>
        <v>0</v>
      </c>
      <c r="E153" s="378">
        <f t="shared" si="54"/>
        <v>0</v>
      </c>
      <c r="F153" s="55">
        <f t="shared" si="55"/>
        <v>0</v>
      </c>
      <c r="G153" s="55">
        <f t="shared" si="56"/>
        <v>0</v>
      </c>
      <c r="H153" s="380">
        <f t="shared" si="57"/>
        <v>0</v>
      </c>
      <c r="I153" s="399">
        <f t="shared" si="58"/>
        <v>0</v>
      </c>
      <c r="J153" s="54">
        <f t="shared" si="38"/>
        <v>0</v>
      </c>
      <c r="K153" s="54"/>
      <c r="L153" s="129"/>
      <c r="M153" s="54">
        <f t="shared" si="59"/>
        <v>0</v>
      </c>
      <c r="N153" s="129"/>
      <c r="O153" s="54">
        <f t="shared" si="60"/>
        <v>0</v>
      </c>
      <c r="P153" s="54">
        <f t="shared" si="61"/>
        <v>0</v>
      </c>
    </row>
    <row r="154" spans="2:16" ht="13" thickBot="1">
      <c r="B154" s="7" t="str">
        <f t="shared" si="34"/>
        <v/>
      </c>
      <c r="C154" s="59">
        <f>IF(D93="","-",+C153+1)</f>
        <v>2065</v>
      </c>
      <c r="D154" s="12">
        <f>IF(F153+SUM(E$99:E153)=D$92,F153,D$92-SUM(E$99:E153))</f>
        <v>0</v>
      </c>
      <c r="E154" s="378">
        <f t="shared" si="54"/>
        <v>0</v>
      </c>
      <c r="F154" s="55">
        <f t="shared" si="55"/>
        <v>0</v>
      </c>
      <c r="G154" s="55">
        <f t="shared" si="56"/>
        <v>0</v>
      </c>
      <c r="H154" s="380">
        <f t="shared" si="57"/>
        <v>0</v>
      </c>
      <c r="I154" s="399">
        <f t="shared" si="58"/>
        <v>0</v>
      </c>
      <c r="J154" s="54">
        <f t="shared" si="38"/>
        <v>0</v>
      </c>
      <c r="K154" s="54"/>
      <c r="L154" s="130"/>
      <c r="M154" s="64">
        <f t="shared" si="59"/>
        <v>0</v>
      </c>
      <c r="N154" s="130"/>
      <c r="O154" s="64">
        <f t="shared" si="60"/>
        <v>0</v>
      </c>
      <c r="P154" s="64">
        <f t="shared" si="61"/>
        <v>0</v>
      </c>
    </row>
    <row r="155" spans="2:16" ht="12.5">
      <c r="C155" s="12" t="s">
        <v>78</v>
      </c>
      <c r="D155" s="293"/>
      <c r="E155" s="293">
        <f>SUM(E99:E154)</f>
        <v>23215.779999999992</v>
      </c>
      <c r="F155" s="293"/>
      <c r="G155" s="293"/>
      <c r="H155" s="293">
        <f>SUM(H99:H154)</f>
        <v>84176.975499354157</v>
      </c>
      <c r="I155" s="293">
        <f>SUM(I99:I154)</f>
        <v>84176.975499354157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 ht="12.5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 ht="13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59" priority="1" stopIfTrue="1" operator="equal">
      <formula>$I$10</formula>
    </cfRule>
  </conditionalFormatting>
  <conditionalFormatting sqref="C99:C154">
    <cfRule type="cellIs" dxfId="5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99"/>
  <dimension ref="A1:P162"/>
  <sheetViews>
    <sheetView topLeftCell="A80" zoomScaleNormal="100" zoomScaleSheetLayoutView="82" workbookViewId="0">
      <selection activeCell="D26" sqref="D26:H26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50 of 77</v>
      </c>
    </row>
    <row r="2" spans="1:16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1856585.3167079764</v>
      </c>
      <c r="P5" s="1"/>
    </row>
    <row r="6" spans="1:16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1856585.3167079764</v>
      </c>
      <c r="O6" s="1"/>
      <c r="P6" s="1"/>
    </row>
    <row r="7" spans="1:16" ht="13.5" thickBot="1">
      <c r="C7" s="25" t="s">
        <v>48</v>
      </c>
      <c r="D7" s="90" t="s">
        <v>342</v>
      </c>
      <c r="E7" s="406"/>
      <c r="F7" s="406"/>
      <c r="G7" s="406"/>
      <c r="H7" s="40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510</v>
      </c>
      <c r="E9" s="436" t="s">
        <v>400</v>
      </c>
      <c r="F9" s="31"/>
      <c r="G9" s="31"/>
      <c r="H9" s="31"/>
      <c r="I9" s="32"/>
      <c r="J9" s="33"/>
      <c r="P9" s="1"/>
    </row>
    <row r="10" spans="1:16" ht="13">
      <c r="C10" s="34" t="s">
        <v>51</v>
      </c>
      <c r="D10" s="363">
        <v>15930624.490000006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6" ht="12.5">
      <c r="C11" s="34" t="s">
        <v>54</v>
      </c>
      <c r="D11" s="37">
        <v>2015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3">
        <v>6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362059.64750000014</v>
      </c>
      <c r="J14" s="293"/>
      <c r="K14" s="293"/>
      <c r="L14" s="293"/>
      <c r="M14" s="293"/>
      <c r="N14" s="293"/>
      <c r="O14" s="1"/>
      <c r="P14" s="1"/>
    </row>
    <row r="15" spans="1:16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2015</v>
      </c>
      <c r="D17" s="429">
        <v>15500000</v>
      </c>
      <c r="E17" s="437">
        <v>184523.80952380953</v>
      </c>
      <c r="F17" s="429">
        <v>15315476.19047619</v>
      </c>
      <c r="G17" s="437">
        <v>2201645.5530295321</v>
      </c>
      <c r="H17" s="438">
        <v>2201645.5530295321</v>
      </c>
      <c r="I17" s="52">
        <v>0</v>
      </c>
      <c r="J17" s="52"/>
      <c r="K17" s="113">
        <f t="shared" ref="K17:K22" si="0">G17</f>
        <v>2201645.5530295321</v>
      </c>
      <c r="L17" s="54">
        <f t="shared" ref="L17:L22" si="1">IF(K17&lt;&gt;0,+G17-K17,0)</f>
        <v>0</v>
      </c>
      <c r="M17" s="113">
        <f t="shared" ref="M17:M22" si="2">H17</f>
        <v>2201645.5530295321</v>
      </c>
      <c r="N17" s="54">
        <f>IF(M17&lt;&gt;0,+H17-M17,0)</f>
        <v>0</v>
      </c>
      <c r="O17" s="54">
        <f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2016</v>
      </c>
      <c r="D18" s="431">
        <v>15593387.19047619</v>
      </c>
      <c r="E18" s="430">
        <v>375664.54761904763</v>
      </c>
      <c r="F18" s="431">
        <v>15217722.642857142</v>
      </c>
      <c r="G18" s="430">
        <v>2355185.5288467337</v>
      </c>
      <c r="H18" s="438">
        <v>2355185.5288467337</v>
      </c>
      <c r="I18" s="52">
        <f>H18-G18</f>
        <v>0</v>
      </c>
      <c r="J18" s="52"/>
      <c r="K18" s="113">
        <f t="shared" si="0"/>
        <v>2355185.5288467337</v>
      </c>
      <c r="L18" s="54">
        <f t="shared" si="1"/>
        <v>0</v>
      </c>
      <c r="M18" s="113">
        <f t="shared" si="2"/>
        <v>2355185.5288467337</v>
      </c>
      <c r="N18" s="54">
        <f>IF(M18&lt;&gt;0,+H18-M18,0)</f>
        <v>0</v>
      </c>
      <c r="O18" s="54">
        <f>+N18-L18</f>
        <v>0</v>
      </c>
      <c r="P18" s="1"/>
    </row>
    <row r="19" spans="2:16" ht="12.5">
      <c r="B19" s="7" t="str">
        <f>IF(D19=F18,"","IU")</f>
        <v>IU</v>
      </c>
      <c r="C19" s="50">
        <f>IF(D11="","-",+C18+1)</f>
        <v>2017</v>
      </c>
      <c r="D19" s="431">
        <v>15438728.642857144</v>
      </c>
      <c r="E19" s="430">
        <v>372067.83720930235</v>
      </c>
      <c r="F19" s="431">
        <v>15066660.805647841</v>
      </c>
      <c r="G19" s="430">
        <v>2261762.8310746681</v>
      </c>
      <c r="H19" s="438">
        <v>2261762.8310746681</v>
      </c>
      <c r="I19" s="52">
        <f t="shared" ref="I19:I72" si="3">H19-G19</f>
        <v>0</v>
      </c>
      <c r="J19" s="52"/>
      <c r="K19" s="113">
        <f t="shared" si="0"/>
        <v>2261762.8310746681</v>
      </c>
      <c r="L19" s="54">
        <f t="shared" si="1"/>
        <v>0</v>
      </c>
      <c r="M19" s="113">
        <f t="shared" si="2"/>
        <v>2261762.8310746681</v>
      </c>
      <c r="N19" s="54">
        <f>IF(M19&lt;&gt;0,+H19-M19,0)</f>
        <v>0</v>
      </c>
      <c r="O19" s="54">
        <f>+N19-L19</f>
        <v>0</v>
      </c>
      <c r="P19" s="1"/>
    </row>
    <row r="20" spans="2:16" ht="12.5">
      <c r="B20" s="7" t="str">
        <f t="shared" ref="B20:B72" si="4">IF(D20=F19,"","IU")</f>
        <v/>
      </c>
      <c r="C20" s="50">
        <f>IF(D11="","-",+C19+1)</f>
        <v>2018</v>
      </c>
      <c r="D20" s="431">
        <v>15066660.805647841</v>
      </c>
      <c r="E20" s="430">
        <v>390217.48780487804</v>
      </c>
      <c r="F20" s="431">
        <v>14676443.317842962</v>
      </c>
      <c r="G20" s="430">
        <v>2280303.9967571078</v>
      </c>
      <c r="H20" s="438">
        <v>2280303.9967571078</v>
      </c>
      <c r="I20" s="52">
        <f t="shared" si="3"/>
        <v>0</v>
      </c>
      <c r="J20" s="52"/>
      <c r="K20" s="113">
        <f t="shared" si="0"/>
        <v>2280303.9967571078</v>
      </c>
      <c r="L20" s="54">
        <f t="shared" si="1"/>
        <v>0</v>
      </c>
      <c r="M20" s="113">
        <f t="shared" si="2"/>
        <v>2280303.9967571078</v>
      </c>
      <c r="N20" s="54">
        <f>IF(M20&lt;&gt;0,+H20-M20,0)</f>
        <v>0</v>
      </c>
      <c r="O20" s="54">
        <f>+N20-L20</f>
        <v>0</v>
      </c>
      <c r="P20" s="1"/>
    </row>
    <row r="21" spans="2:16" ht="12.5">
      <c r="B21" s="7" t="str">
        <f t="shared" si="4"/>
        <v/>
      </c>
      <c r="C21" s="50">
        <f>IF(D11="","-",+C20+1)</f>
        <v>2019</v>
      </c>
      <c r="D21" s="431">
        <v>14676443.317842962</v>
      </c>
      <c r="E21" s="430">
        <v>390217.48780487804</v>
      </c>
      <c r="F21" s="431">
        <v>14286225.830038084</v>
      </c>
      <c r="G21" s="430">
        <v>2230709.6567584975</v>
      </c>
      <c r="H21" s="438">
        <v>2230709.6567584975</v>
      </c>
      <c r="I21" s="52">
        <f t="shared" si="3"/>
        <v>0</v>
      </c>
      <c r="J21" s="52"/>
      <c r="K21" s="113">
        <f t="shared" si="0"/>
        <v>2230709.6567584975</v>
      </c>
      <c r="L21" s="54">
        <f t="shared" si="1"/>
        <v>0</v>
      </c>
      <c r="M21" s="113">
        <f t="shared" si="2"/>
        <v>2230709.6567584975</v>
      </c>
      <c r="N21" s="54">
        <f t="shared" ref="N21:N72" si="5">IF(M21&lt;&gt;0,+H21-M21,0)</f>
        <v>0</v>
      </c>
      <c r="O21" s="54">
        <f t="shared" ref="O21:O72" si="6">+N21-L21</f>
        <v>0</v>
      </c>
      <c r="P21" s="1"/>
    </row>
    <row r="22" spans="2:16" ht="12.5">
      <c r="B22" s="7" t="str">
        <f t="shared" si="4"/>
        <v>IU</v>
      </c>
      <c r="C22" s="50">
        <f>IF(D11="","-",+C21+1)</f>
        <v>2020</v>
      </c>
      <c r="D22" s="431">
        <v>14496645.830038084</v>
      </c>
      <c r="E22" s="430">
        <v>395349.68292682926</v>
      </c>
      <c r="F22" s="431">
        <v>14101296.147111254</v>
      </c>
      <c r="G22" s="430">
        <v>1858641.3891753859</v>
      </c>
      <c r="H22" s="438">
        <v>1858641.3891753859</v>
      </c>
      <c r="I22" s="52">
        <f t="shared" si="3"/>
        <v>0</v>
      </c>
      <c r="J22" s="52"/>
      <c r="K22" s="113">
        <f t="shared" si="0"/>
        <v>1858641.3891753859</v>
      </c>
      <c r="L22" s="54">
        <f t="shared" si="1"/>
        <v>0</v>
      </c>
      <c r="M22" s="113">
        <f t="shared" si="2"/>
        <v>1858641.3891753859</v>
      </c>
      <c r="N22" s="54">
        <f t="shared" si="5"/>
        <v>0</v>
      </c>
      <c r="O22" s="54">
        <f t="shared" si="6"/>
        <v>0</v>
      </c>
      <c r="P22" s="1"/>
    </row>
    <row r="23" spans="2:16" ht="12.5">
      <c r="B23" s="7" t="str">
        <f t="shared" si="4"/>
        <v>IU</v>
      </c>
      <c r="C23" s="50">
        <f>IF(D11="","-",+C22+1)</f>
        <v>2021</v>
      </c>
      <c r="D23" s="431">
        <v>13840732.797706831</v>
      </c>
      <c r="E23" s="430">
        <v>379300.57142857142</v>
      </c>
      <c r="F23" s="431">
        <v>13461432.22627826</v>
      </c>
      <c r="G23" s="430">
        <v>1826377.362451636</v>
      </c>
      <c r="H23" s="438">
        <v>1826377.362451636</v>
      </c>
      <c r="I23" s="52">
        <f t="shared" si="3"/>
        <v>0</v>
      </c>
      <c r="J23" s="52"/>
      <c r="K23" s="113">
        <f t="shared" ref="K23" si="7">G23</f>
        <v>1826377.362451636</v>
      </c>
      <c r="L23" s="54">
        <f t="shared" ref="L23" si="8">IF(K23&lt;&gt;0,+G23-K23,0)</f>
        <v>0</v>
      </c>
      <c r="M23" s="113">
        <f t="shared" ref="M23" si="9">H23</f>
        <v>1826377.362451636</v>
      </c>
      <c r="N23" s="54">
        <f t="shared" si="5"/>
        <v>0</v>
      </c>
      <c r="O23" s="54">
        <f t="shared" si="6"/>
        <v>0</v>
      </c>
      <c r="P23" s="1"/>
    </row>
    <row r="24" spans="2:16" ht="12.5">
      <c r="B24" s="7" t="str">
        <f t="shared" si="4"/>
        <v>IU</v>
      </c>
      <c r="C24" s="50">
        <f>IF(D11="","-",+C23+1)</f>
        <v>2022</v>
      </c>
      <c r="D24" s="431">
        <v>13443282.575682685</v>
      </c>
      <c r="E24" s="430">
        <v>379300.57142857142</v>
      </c>
      <c r="F24" s="431">
        <v>13063982.004254114</v>
      </c>
      <c r="G24" s="430">
        <v>1869593.2846943685</v>
      </c>
      <c r="H24" s="438">
        <v>1869593.2846943685</v>
      </c>
      <c r="I24" s="52">
        <f t="shared" si="3"/>
        <v>0</v>
      </c>
      <c r="J24" s="52"/>
      <c r="K24" s="113">
        <f t="shared" ref="K24" si="10">G24</f>
        <v>1869593.2846943685</v>
      </c>
      <c r="L24" s="54">
        <f t="shared" ref="L24" si="11">IF(K24&lt;&gt;0,+G24-K24,0)</f>
        <v>0</v>
      </c>
      <c r="M24" s="113">
        <f t="shared" ref="M24" si="12">H24</f>
        <v>1869593.2846943685</v>
      </c>
      <c r="N24" s="54">
        <f t="shared" si="5"/>
        <v>0</v>
      </c>
      <c r="O24" s="54">
        <f t="shared" si="6"/>
        <v>0</v>
      </c>
      <c r="P24" s="1"/>
    </row>
    <row r="25" spans="2:16" ht="12.5">
      <c r="B25" s="7" t="str">
        <f t="shared" si="4"/>
        <v>IU</v>
      </c>
      <c r="C25" s="50">
        <f>IF(D11="","-",+C24+1)</f>
        <v>2023</v>
      </c>
      <c r="D25" s="431">
        <v>13063982.494254118</v>
      </c>
      <c r="E25" s="430">
        <v>379300.58309523825</v>
      </c>
      <c r="F25" s="431">
        <v>12684681.91115888</v>
      </c>
      <c r="G25" s="430">
        <v>2005673.6176458267</v>
      </c>
      <c r="H25" s="438">
        <v>2005673.6176458267</v>
      </c>
      <c r="I25" s="52">
        <f t="shared" si="3"/>
        <v>0</v>
      </c>
      <c r="J25" s="52"/>
      <c r="K25" s="113">
        <f t="shared" ref="K25" si="13">G25</f>
        <v>2005673.6176458267</v>
      </c>
      <c r="L25" s="54">
        <f t="shared" ref="L25" si="14">IF(K25&lt;&gt;0,+G25-K25,0)</f>
        <v>0</v>
      </c>
      <c r="M25" s="113">
        <f t="shared" ref="M25" si="15">H25</f>
        <v>2005673.6176458267</v>
      </c>
      <c r="N25" s="54">
        <f t="shared" si="5"/>
        <v>0</v>
      </c>
      <c r="O25" s="54">
        <f t="shared" si="6"/>
        <v>0</v>
      </c>
      <c r="P25" s="1"/>
    </row>
    <row r="26" spans="2:16" ht="12.5">
      <c r="B26" s="7" t="str">
        <f t="shared" si="4"/>
        <v/>
      </c>
      <c r="C26" s="50">
        <f>IF(D11="","-",+C25+1)</f>
        <v>2024</v>
      </c>
      <c r="D26" s="431">
        <v>12684681.91115888</v>
      </c>
      <c r="E26" s="430">
        <v>362059.64750000014</v>
      </c>
      <c r="F26" s="431">
        <v>12322622.263658879</v>
      </c>
      <c r="G26" s="430">
        <v>1856585.3167079764</v>
      </c>
      <c r="H26" s="438">
        <v>1856585.3167079764</v>
      </c>
      <c r="I26" s="52">
        <f t="shared" si="3"/>
        <v>0</v>
      </c>
      <c r="J26" s="52"/>
      <c r="K26" s="113">
        <f t="shared" ref="K26" si="16">G26</f>
        <v>1856585.3167079764</v>
      </c>
      <c r="L26" s="54">
        <f t="shared" ref="L26" si="17">IF(K26&lt;&gt;0,+G26-K26,0)</f>
        <v>0</v>
      </c>
      <c r="M26" s="113">
        <f t="shared" ref="M26" si="18">H26</f>
        <v>1856585.3167079764</v>
      </c>
      <c r="N26" s="54">
        <f t="shared" ref="N26" si="19">IF(M26&lt;&gt;0,+H26-M26,0)</f>
        <v>0</v>
      </c>
      <c r="O26" s="54">
        <f t="shared" ref="O26" si="20">+N26-L26</f>
        <v>0</v>
      </c>
      <c r="P26" s="1"/>
    </row>
    <row r="27" spans="2:16" ht="12.5">
      <c r="B27" s="7" t="str">
        <f t="shared" si="4"/>
        <v/>
      </c>
      <c r="C27" s="50">
        <f>IF(D11="","-",+C26+1)</f>
        <v>2025</v>
      </c>
      <c r="D27" s="55">
        <f>IF(F26+SUM(E$17:E26)=D$10,F26,D$10-SUM(E$17:E26))</f>
        <v>12322622.263658879</v>
      </c>
      <c r="E27" s="378">
        <f t="shared" ref="E27:E72" si="21">IF(+$I$14&lt;F26,$I$14,D27)</f>
        <v>362059.64750000014</v>
      </c>
      <c r="F27" s="55">
        <f t="shared" ref="F27:F72" si="22">+D27-E27</f>
        <v>11960562.616158878</v>
      </c>
      <c r="G27" s="379">
        <f t="shared" ref="G27:G50" si="23">+I$12*((D27+F27)/2)+E27</f>
        <v>1813309.3655546303</v>
      </c>
      <c r="H27" s="364">
        <f t="shared" ref="H27:H50" si="24">+I$13*((D27+F27)/2)+E27</f>
        <v>1813309.3655546303</v>
      </c>
      <c r="I27" s="52">
        <f t="shared" si="3"/>
        <v>0</v>
      </c>
      <c r="J27" s="52"/>
      <c r="K27" s="129"/>
      <c r="L27" s="54">
        <f t="shared" ref="L27:L72" si="25">IF(K27&lt;&gt;0,+G27-K27,0)</f>
        <v>0</v>
      </c>
      <c r="M27" s="129"/>
      <c r="N27" s="54">
        <f t="shared" si="5"/>
        <v>0</v>
      </c>
      <c r="O27" s="54">
        <f t="shared" si="6"/>
        <v>0</v>
      </c>
      <c r="P27" s="1"/>
    </row>
    <row r="28" spans="2:16" ht="12.5">
      <c r="B28" s="7" t="str">
        <f t="shared" si="4"/>
        <v/>
      </c>
      <c r="C28" s="50">
        <f>IF(D11="","-",+C27+1)</f>
        <v>2026</v>
      </c>
      <c r="D28" s="55">
        <f>IF(F27+SUM(E$17:E27)=D$10,F27,D$10-SUM(E$17:E27))</f>
        <v>11960562.616158878</v>
      </c>
      <c r="E28" s="378">
        <f t="shared" si="21"/>
        <v>362059.64750000014</v>
      </c>
      <c r="F28" s="55">
        <f t="shared" si="22"/>
        <v>11598502.968658878</v>
      </c>
      <c r="G28" s="379">
        <f t="shared" si="23"/>
        <v>1770033.414401284</v>
      </c>
      <c r="H28" s="364">
        <f t="shared" si="24"/>
        <v>1770033.414401284</v>
      </c>
      <c r="I28" s="52">
        <f t="shared" si="3"/>
        <v>0</v>
      </c>
      <c r="J28" s="52"/>
      <c r="K28" s="129"/>
      <c r="L28" s="54">
        <f t="shared" si="25"/>
        <v>0</v>
      </c>
      <c r="M28" s="129"/>
      <c r="N28" s="54">
        <f t="shared" si="5"/>
        <v>0</v>
      </c>
      <c r="O28" s="54">
        <f t="shared" si="6"/>
        <v>0</v>
      </c>
      <c r="P28" s="1"/>
    </row>
    <row r="29" spans="2:16" ht="12.5">
      <c r="B29" s="7" t="str">
        <f t="shared" si="4"/>
        <v/>
      </c>
      <c r="C29" s="50">
        <f>IF(D11="","-",+C28+1)</f>
        <v>2027</v>
      </c>
      <c r="D29" s="55">
        <f>IF(F28+SUM(E$17:E28)=D$10,F28,D$10-SUM(E$17:E28))</f>
        <v>11598502.968658878</v>
      </c>
      <c r="E29" s="378">
        <f t="shared" si="21"/>
        <v>362059.64750000014</v>
      </c>
      <c r="F29" s="55">
        <f t="shared" si="22"/>
        <v>11236443.321158877</v>
      </c>
      <c r="G29" s="379">
        <f t="shared" si="23"/>
        <v>1726757.4632479376</v>
      </c>
      <c r="H29" s="364">
        <f t="shared" si="24"/>
        <v>1726757.4632479376</v>
      </c>
      <c r="I29" s="52">
        <f t="shared" si="3"/>
        <v>0</v>
      </c>
      <c r="J29" s="52"/>
      <c r="K29" s="129"/>
      <c r="L29" s="54">
        <f t="shared" si="25"/>
        <v>0</v>
      </c>
      <c r="M29" s="129"/>
      <c r="N29" s="54">
        <f t="shared" si="5"/>
        <v>0</v>
      </c>
      <c r="O29" s="54">
        <f t="shared" si="6"/>
        <v>0</v>
      </c>
      <c r="P29" s="1"/>
    </row>
    <row r="30" spans="2:16" ht="12.5">
      <c r="B30" s="7" t="str">
        <f t="shared" si="4"/>
        <v/>
      </c>
      <c r="C30" s="50">
        <f>IF(D11="","-",+C29+1)</f>
        <v>2028</v>
      </c>
      <c r="D30" s="55">
        <f>IF(F29+SUM(E$17:E29)=D$10,F29,D$10-SUM(E$17:E29))</f>
        <v>11236443.321158877</v>
      </c>
      <c r="E30" s="378">
        <f t="shared" si="21"/>
        <v>362059.64750000014</v>
      </c>
      <c r="F30" s="55">
        <f t="shared" si="22"/>
        <v>10874383.673658876</v>
      </c>
      <c r="G30" s="379">
        <f t="shared" si="23"/>
        <v>1683481.5120945913</v>
      </c>
      <c r="H30" s="364">
        <f t="shared" si="24"/>
        <v>1683481.5120945913</v>
      </c>
      <c r="I30" s="52">
        <f t="shared" si="3"/>
        <v>0</v>
      </c>
      <c r="J30" s="52"/>
      <c r="K30" s="129"/>
      <c r="L30" s="54">
        <f t="shared" si="25"/>
        <v>0</v>
      </c>
      <c r="M30" s="129"/>
      <c r="N30" s="54">
        <f t="shared" si="5"/>
        <v>0</v>
      </c>
      <c r="O30" s="54">
        <f t="shared" si="6"/>
        <v>0</v>
      </c>
      <c r="P30" s="1"/>
    </row>
    <row r="31" spans="2:16" ht="12.5">
      <c r="B31" s="7" t="str">
        <f t="shared" si="4"/>
        <v/>
      </c>
      <c r="C31" s="50">
        <f>IF(D11="","-",+C30+1)</f>
        <v>2029</v>
      </c>
      <c r="D31" s="55">
        <f>IF(F30+SUM(E$17:E30)=D$10,F30,D$10-SUM(E$17:E30))</f>
        <v>10874383.673658876</v>
      </c>
      <c r="E31" s="378">
        <f t="shared" si="21"/>
        <v>362059.64750000014</v>
      </c>
      <c r="F31" s="55">
        <f t="shared" si="22"/>
        <v>10512324.026158875</v>
      </c>
      <c r="G31" s="379">
        <f t="shared" si="23"/>
        <v>1640205.5609412452</v>
      </c>
      <c r="H31" s="364">
        <f t="shared" si="24"/>
        <v>1640205.5609412452</v>
      </c>
      <c r="I31" s="52">
        <f t="shared" si="3"/>
        <v>0</v>
      </c>
      <c r="J31" s="52"/>
      <c r="K31" s="129"/>
      <c r="L31" s="54">
        <f t="shared" si="25"/>
        <v>0</v>
      </c>
      <c r="M31" s="129"/>
      <c r="N31" s="54">
        <f t="shared" si="5"/>
        <v>0</v>
      </c>
      <c r="O31" s="54">
        <f t="shared" si="6"/>
        <v>0</v>
      </c>
      <c r="P31" s="1"/>
    </row>
    <row r="32" spans="2:16" ht="12.5">
      <c r="B32" s="7" t="str">
        <f t="shared" si="4"/>
        <v/>
      </c>
      <c r="C32" s="50">
        <f>IF(D11="","-",+C31+1)</f>
        <v>2030</v>
      </c>
      <c r="D32" s="55">
        <f>IF(F31+SUM(E$17:E31)=D$10,F31,D$10-SUM(E$17:E31))</f>
        <v>10512324.026158875</v>
      </c>
      <c r="E32" s="378">
        <f t="shared" si="21"/>
        <v>362059.64750000014</v>
      </c>
      <c r="F32" s="55">
        <f t="shared" si="22"/>
        <v>10150264.378658874</v>
      </c>
      <c r="G32" s="379">
        <f t="shared" si="23"/>
        <v>1596929.6097878988</v>
      </c>
      <c r="H32" s="364">
        <f t="shared" si="24"/>
        <v>1596929.6097878988</v>
      </c>
      <c r="I32" s="52">
        <f t="shared" si="3"/>
        <v>0</v>
      </c>
      <c r="J32" s="52"/>
      <c r="K32" s="129"/>
      <c r="L32" s="54">
        <f t="shared" si="25"/>
        <v>0</v>
      </c>
      <c r="M32" s="129"/>
      <c r="N32" s="54">
        <f t="shared" si="5"/>
        <v>0</v>
      </c>
      <c r="O32" s="54">
        <f t="shared" si="6"/>
        <v>0</v>
      </c>
      <c r="P32" s="1"/>
    </row>
    <row r="33" spans="2:16" ht="12.5">
      <c r="B33" s="7" t="str">
        <f t="shared" si="4"/>
        <v/>
      </c>
      <c r="C33" s="50">
        <f>IF(D11="","-",+C32+1)</f>
        <v>2031</v>
      </c>
      <c r="D33" s="55">
        <f>IF(F32+SUM(E$17:E32)=D$10,F32,D$10-SUM(E$17:E32))</f>
        <v>10150264.378658874</v>
      </c>
      <c r="E33" s="378">
        <f t="shared" si="21"/>
        <v>362059.64750000014</v>
      </c>
      <c r="F33" s="55">
        <f t="shared" si="22"/>
        <v>9788204.7311588731</v>
      </c>
      <c r="G33" s="379">
        <f t="shared" si="23"/>
        <v>1553653.6586345525</v>
      </c>
      <c r="H33" s="364">
        <f t="shared" si="24"/>
        <v>1553653.6586345525</v>
      </c>
      <c r="I33" s="52">
        <f t="shared" si="3"/>
        <v>0</v>
      </c>
      <c r="J33" s="52"/>
      <c r="K33" s="129"/>
      <c r="L33" s="54">
        <f t="shared" si="25"/>
        <v>0</v>
      </c>
      <c r="M33" s="129"/>
      <c r="N33" s="54">
        <f t="shared" si="5"/>
        <v>0</v>
      </c>
      <c r="O33" s="54">
        <f t="shared" si="6"/>
        <v>0</v>
      </c>
      <c r="P33" s="1"/>
    </row>
    <row r="34" spans="2:16" ht="12.5">
      <c r="B34" s="7" t="str">
        <f t="shared" si="4"/>
        <v/>
      </c>
      <c r="C34" s="50">
        <f>IF(D11="","-",+C33+1)</f>
        <v>2032</v>
      </c>
      <c r="D34" s="55">
        <f>IF(F33+SUM(E$17:E33)=D$10,F33,D$10-SUM(E$17:E33))</f>
        <v>9788204.7311588731</v>
      </c>
      <c r="E34" s="378">
        <f t="shared" si="21"/>
        <v>362059.64750000014</v>
      </c>
      <c r="F34" s="55">
        <f t="shared" si="22"/>
        <v>9426145.0836588722</v>
      </c>
      <c r="G34" s="379">
        <f t="shared" si="23"/>
        <v>1510377.7074812064</v>
      </c>
      <c r="H34" s="364">
        <f t="shared" si="24"/>
        <v>1510377.7074812064</v>
      </c>
      <c r="I34" s="52">
        <f t="shared" si="3"/>
        <v>0</v>
      </c>
      <c r="J34" s="52"/>
      <c r="K34" s="129"/>
      <c r="L34" s="54">
        <f t="shared" si="25"/>
        <v>0</v>
      </c>
      <c r="M34" s="129"/>
      <c r="N34" s="54">
        <f t="shared" si="5"/>
        <v>0</v>
      </c>
      <c r="O34" s="54">
        <f t="shared" si="6"/>
        <v>0</v>
      </c>
      <c r="P34" s="1"/>
    </row>
    <row r="35" spans="2:16" ht="12.5">
      <c r="B35" s="7" t="str">
        <f t="shared" si="4"/>
        <v/>
      </c>
      <c r="C35" s="50">
        <f>IF(D11="","-",+C34+1)</f>
        <v>2033</v>
      </c>
      <c r="D35" s="55">
        <f>IF(F34+SUM(E$17:E34)=D$10,F34,D$10-SUM(E$17:E34))</f>
        <v>9426145.0836588722</v>
      </c>
      <c r="E35" s="378">
        <f t="shared" si="21"/>
        <v>362059.64750000014</v>
      </c>
      <c r="F35" s="55">
        <f t="shared" si="22"/>
        <v>9064085.4361588713</v>
      </c>
      <c r="G35" s="379">
        <f t="shared" si="23"/>
        <v>1467101.7563278601</v>
      </c>
      <c r="H35" s="364">
        <f t="shared" si="24"/>
        <v>1467101.7563278601</v>
      </c>
      <c r="I35" s="52">
        <f t="shared" si="3"/>
        <v>0</v>
      </c>
      <c r="J35" s="52"/>
      <c r="K35" s="129"/>
      <c r="L35" s="54">
        <f t="shared" si="25"/>
        <v>0</v>
      </c>
      <c r="M35" s="129"/>
      <c r="N35" s="54">
        <f t="shared" si="5"/>
        <v>0</v>
      </c>
      <c r="O35" s="54">
        <f t="shared" si="6"/>
        <v>0</v>
      </c>
      <c r="P35" s="1"/>
    </row>
    <row r="36" spans="2:16" ht="12.5">
      <c r="B36" s="7" t="str">
        <f t="shared" si="4"/>
        <v/>
      </c>
      <c r="C36" s="50">
        <f>IF(D11="","-",+C35+1)</f>
        <v>2034</v>
      </c>
      <c r="D36" s="55">
        <f>IF(F35+SUM(E$17:E35)=D$10,F35,D$10-SUM(E$17:E35))</f>
        <v>9064085.4361588713</v>
      </c>
      <c r="E36" s="378">
        <f t="shared" si="21"/>
        <v>362059.64750000014</v>
      </c>
      <c r="F36" s="55">
        <f t="shared" si="22"/>
        <v>8702025.7886588704</v>
      </c>
      <c r="G36" s="379">
        <f t="shared" si="23"/>
        <v>1423825.8051745137</v>
      </c>
      <c r="H36" s="364">
        <f t="shared" si="24"/>
        <v>1423825.8051745137</v>
      </c>
      <c r="I36" s="52">
        <f t="shared" si="3"/>
        <v>0</v>
      </c>
      <c r="J36" s="52"/>
      <c r="K36" s="129"/>
      <c r="L36" s="54">
        <f t="shared" si="25"/>
        <v>0</v>
      </c>
      <c r="M36" s="129"/>
      <c r="N36" s="54">
        <f t="shared" si="5"/>
        <v>0</v>
      </c>
      <c r="O36" s="54">
        <f t="shared" si="6"/>
        <v>0</v>
      </c>
      <c r="P36" s="1"/>
    </row>
    <row r="37" spans="2:16" ht="12.5">
      <c r="B37" s="7" t="str">
        <f t="shared" si="4"/>
        <v/>
      </c>
      <c r="C37" s="50">
        <f>IF(D11="","-",+C36+1)</f>
        <v>2035</v>
      </c>
      <c r="D37" s="55">
        <f>IF(F36+SUM(E$17:E36)=D$10,F36,D$10-SUM(E$17:E36))</f>
        <v>8702025.7886588704</v>
      </c>
      <c r="E37" s="378">
        <f t="shared" si="21"/>
        <v>362059.64750000014</v>
      </c>
      <c r="F37" s="55">
        <f t="shared" si="22"/>
        <v>8339966.1411588704</v>
      </c>
      <c r="G37" s="379">
        <f t="shared" si="23"/>
        <v>1380549.8540211674</v>
      </c>
      <c r="H37" s="364">
        <f t="shared" si="24"/>
        <v>1380549.8540211674</v>
      </c>
      <c r="I37" s="52">
        <f t="shared" si="3"/>
        <v>0</v>
      </c>
      <c r="J37" s="52"/>
      <c r="K37" s="129"/>
      <c r="L37" s="54">
        <f t="shared" si="25"/>
        <v>0</v>
      </c>
      <c r="M37" s="129"/>
      <c r="N37" s="54">
        <f t="shared" si="5"/>
        <v>0</v>
      </c>
      <c r="O37" s="54">
        <f t="shared" si="6"/>
        <v>0</v>
      </c>
      <c r="P37" s="1"/>
    </row>
    <row r="38" spans="2:16" ht="12.5">
      <c r="B38" s="7" t="str">
        <f t="shared" si="4"/>
        <v/>
      </c>
      <c r="C38" s="50">
        <f>IF(D11="","-",+C37+1)</f>
        <v>2036</v>
      </c>
      <c r="D38" s="55">
        <f>IF(F37+SUM(E$17:E37)=D$10,F37,D$10-SUM(E$17:E37))</f>
        <v>8339966.1411588704</v>
      </c>
      <c r="E38" s="378">
        <f t="shared" si="21"/>
        <v>362059.64750000014</v>
      </c>
      <c r="F38" s="55">
        <f t="shared" si="22"/>
        <v>7977906.4936588705</v>
      </c>
      <c r="G38" s="379">
        <f t="shared" si="23"/>
        <v>1337273.9028678213</v>
      </c>
      <c r="H38" s="364">
        <f t="shared" si="24"/>
        <v>1337273.9028678213</v>
      </c>
      <c r="I38" s="52">
        <f t="shared" si="3"/>
        <v>0</v>
      </c>
      <c r="J38" s="52"/>
      <c r="K38" s="129"/>
      <c r="L38" s="54">
        <f t="shared" si="25"/>
        <v>0</v>
      </c>
      <c r="M38" s="129"/>
      <c r="N38" s="54">
        <f t="shared" si="5"/>
        <v>0</v>
      </c>
      <c r="O38" s="54">
        <f t="shared" si="6"/>
        <v>0</v>
      </c>
      <c r="P38" s="1"/>
    </row>
    <row r="39" spans="2:16" ht="12.5">
      <c r="B39" s="7" t="str">
        <f t="shared" si="4"/>
        <v/>
      </c>
      <c r="C39" s="50">
        <f>IF(D11="","-",+C38+1)</f>
        <v>2037</v>
      </c>
      <c r="D39" s="55">
        <f>IF(F38+SUM(E$17:E38)=D$10,F38,D$10-SUM(E$17:E38))</f>
        <v>7977906.4936588705</v>
      </c>
      <c r="E39" s="378">
        <f t="shared" si="21"/>
        <v>362059.64750000014</v>
      </c>
      <c r="F39" s="55">
        <f t="shared" si="22"/>
        <v>7615846.8461588705</v>
      </c>
      <c r="G39" s="379">
        <f t="shared" si="23"/>
        <v>1293997.9517144752</v>
      </c>
      <c r="H39" s="364">
        <f t="shared" si="24"/>
        <v>1293997.9517144752</v>
      </c>
      <c r="I39" s="52">
        <f t="shared" si="3"/>
        <v>0</v>
      </c>
      <c r="J39" s="52"/>
      <c r="K39" s="129"/>
      <c r="L39" s="54">
        <f t="shared" si="25"/>
        <v>0</v>
      </c>
      <c r="M39" s="129"/>
      <c r="N39" s="54">
        <f t="shared" si="5"/>
        <v>0</v>
      </c>
      <c r="O39" s="54">
        <f t="shared" si="6"/>
        <v>0</v>
      </c>
      <c r="P39" s="1"/>
    </row>
    <row r="40" spans="2:16" ht="12.5">
      <c r="B40" s="7" t="str">
        <f t="shared" si="4"/>
        <v/>
      </c>
      <c r="C40" s="50">
        <f>IF(D11="","-",+C39+1)</f>
        <v>2038</v>
      </c>
      <c r="D40" s="55">
        <f>IF(F39+SUM(E$17:E39)=D$10,F39,D$10-SUM(E$17:E39))</f>
        <v>7615846.8461588705</v>
      </c>
      <c r="E40" s="378">
        <f t="shared" si="21"/>
        <v>362059.64750000014</v>
      </c>
      <c r="F40" s="55">
        <f t="shared" si="22"/>
        <v>7253787.1986588705</v>
      </c>
      <c r="G40" s="379">
        <f t="shared" si="23"/>
        <v>1250722.0005611291</v>
      </c>
      <c r="H40" s="364">
        <f t="shared" si="24"/>
        <v>1250722.0005611291</v>
      </c>
      <c r="I40" s="52">
        <f t="shared" si="3"/>
        <v>0</v>
      </c>
      <c r="J40" s="52"/>
      <c r="K40" s="129"/>
      <c r="L40" s="54">
        <f t="shared" si="25"/>
        <v>0</v>
      </c>
      <c r="M40" s="129"/>
      <c r="N40" s="54">
        <f t="shared" si="5"/>
        <v>0</v>
      </c>
      <c r="O40" s="54">
        <f t="shared" si="6"/>
        <v>0</v>
      </c>
      <c r="P40" s="1"/>
    </row>
    <row r="41" spans="2:16" ht="12.5">
      <c r="B41" s="7" t="str">
        <f t="shared" si="4"/>
        <v/>
      </c>
      <c r="C41" s="50">
        <f>IF(D11="","-",+C40+1)</f>
        <v>2039</v>
      </c>
      <c r="D41" s="55">
        <f>IF(F40+SUM(E$17:E40)=D$10,F40,D$10-SUM(E$17:E40))</f>
        <v>7253787.1986588705</v>
      </c>
      <c r="E41" s="378">
        <f t="shared" si="21"/>
        <v>362059.64750000014</v>
      </c>
      <c r="F41" s="55">
        <f t="shared" si="22"/>
        <v>6891727.5511588706</v>
      </c>
      <c r="G41" s="379">
        <f t="shared" si="23"/>
        <v>1207446.0494077827</v>
      </c>
      <c r="H41" s="364">
        <f t="shared" si="24"/>
        <v>1207446.0494077827</v>
      </c>
      <c r="I41" s="52">
        <f t="shared" si="3"/>
        <v>0</v>
      </c>
      <c r="J41" s="52"/>
      <c r="K41" s="129"/>
      <c r="L41" s="54">
        <f t="shared" si="25"/>
        <v>0</v>
      </c>
      <c r="M41" s="129"/>
      <c r="N41" s="54">
        <f t="shared" si="5"/>
        <v>0</v>
      </c>
      <c r="O41" s="54">
        <f t="shared" si="6"/>
        <v>0</v>
      </c>
      <c r="P41" s="1"/>
    </row>
    <row r="42" spans="2:16" ht="12.5">
      <c r="B42" s="7" t="str">
        <f t="shared" si="4"/>
        <v/>
      </c>
      <c r="C42" s="50">
        <f>IF(D11="","-",+C41+1)</f>
        <v>2040</v>
      </c>
      <c r="D42" s="55">
        <f>IF(F41+SUM(E$17:E41)=D$10,F41,D$10-SUM(E$17:E41))</f>
        <v>6891727.5511588706</v>
      </c>
      <c r="E42" s="378">
        <f t="shared" si="21"/>
        <v>362059.64750000014</v>
      </c>
      <c r="F42" s="55">
        <f t="shared" si="22"/>
        <v>6529667.9036588706</v>
      </c>
      <c r="G42" s="379">
        <f t="shared" si="23"/>
        <v>1164170.0982544366</v>
      </c>
      <c r="H42" s="364">
        <f t="shared" si="24"/>
        <v>1164170.0982544366</v>
      </c>
      <c r="I42" s="52">
        <f t="shared" si="3"/>
        <v>0</v>
      </c>
      <c r="J42" s="52"/>
      <c r="K42" s="129"/>
      <c r="L42" s="54">
        <f t="shared" si="25"/>
        <v>0</v>
      </c>
      <c r="M42" s="129"/>
      <c r="N42" s="54">
        <f t="shared" si="5"/>
        <v>0</v>
      </c>
      <c r="O42" s="54">
        <f t="shared" si="6"/>
        <v>0</v>
      </c>
      <c r="P42" s="1"/>
    </row>
    <row r="43" spans="2:16" ht="12.5">
      <c r="B43" s="7" t="str">
        <f t="shared" si="4"/>
        <v/>
      </c>
      <c r="C43" s="50">
        <f>IF(D11="","-",+C42+1)</f>
        <v>2041</v>
      </c>
      <c r="D43" s="55">
        <f>IF(F42+SUM(E$17:E42)=D$10,F42,D$10-SUM(E$17:E42))</f>
        <v>6529667.9036588706</v>
      </c>
      <c r="E43" s="378">
        <f t="shared" si="21"/>
        <v>362059.64750000014</v>
      </c>
      <c r="F43" s="55">
        <f t="shared" si="22"/>
        <v>6167608.2561588706</v>
      </c>
      <c r="G43" s="379">
        <f t="shared" si="23"/>
        <v>1120894.1471010905</v>
      </c>
      <c r="H43" s="364">
        <f t="shared" si="24"/>
        <v>1120894.1471010905</v>
      </c>
      <c r="I43" s="52">
        <f t="shared" si="3"/>
        <v>0</v>
      </c>
      <c r="J43" s="52"/>
      <c r="K43" s="129"/>
      <c r="L43" s="54">
        <f t="shared" si="25"/>
        <v>0</v>
      </c>
      <c r="M43" s="129"/>
      <c r="N43" s="54">
        <f t="shared" si="5"/>
        <v>0</v>
      </c>
      <c r="O43" s="54">
        <f t="shared" si="6"/>
        <v>0</v>
      </c>
      <c r="P43" s="1"/>
    </row>
    <row r="44" spans="2:16" ht="12.5">
      <c r="B44" s="7" t="str">
        <f t="shared" si="4"/>
        <v/>
      </c>
      <c r="C44" s="50">
        <f>IF(D11="","-",+C43+1)</f>
        <v>2042</v>
      </c>
      <c r="D44" s="55">
        <f>IF(F43+SUM(E$17:E43)=D$10,F43,D$10-SUM(E$17:E43))</f>
        <v>6167608.2561588706</v>
      </c>
      <c r="E44" s="378">
        <f t="shared" si="21"/>
        <v>362059.64750000014</v>
      </c>
      <c r="F44" s="55">
        <f t="shared" si="22"/>
        <v>5805548.6086588707</v>
      </c>
      <c r="G44" s="379">
        <f t="shared" si="23"/>
        <v>1077618.1959477444</v>
      </c>
      <c r="H44" s="364">
        <f t="shared" si="24"/>
        <v>1077618.1959477444</v>
      </c>
      <c r="I44" s="52">
        <f t="shared" si="3"/>
        <v>0</v>
      </c>
      <c r="J44" s="52"/>
      <c r="K44" s="129"/>
      <c r="L44" s="54">
        <f t="shared" si="25"/>
        <v>0</v>
      </c>
      <c r="M44" s="129"/>
      <c r="N44" s="54">
        <f t="shared" si="5"/>
        <v>0</v>
      </c>
      <c r="O44" s="54">
        <f t="shared" si="6"/>
        <v>0</v>
      </c>
      <c r="P44" s="1"/>
    </row>
    <row r="45" spans="2:16" ht="12.5">
      <c r="B45" s="7" t="str">
        <f t="shared" si="4"/>
        <v/>
      </c>
      <c r="C45" s="50">
        <f>IF(D11="","-",+C44+1)</f>
        <v>2043</v>
      </c>
      <c r="D45" s="55">
        <f>IF(F44+SUM(E$17:E44)=D$10,F44,D$10-SUM(E$17:E44))</f>
        <v>5805548.6086588707</v>
      </c>
      <c r="E45" s="378">
        <f t="shared" si="21"/>
        <v>362059.64750000014</v>
      </c>
      <c r="F45" s="55">
        <f t="shared" si="22"/>
        <v>5443488.9611588707</v>
      </c>
      <c r="G45" s="379">
        <f t="shared" si="23"/>
        <v>1034342.2447943981</v>
      </c>
      <c r="H45" s="364">
        <f t="shared" si="24"/>
        <v>1034342.2447943981</v>
      </c>
      <c r="I45" s="52">
        <f t="shared" si="3"/>
        <v>0</v>
      </c>
      <c r="J45" s="52"/>
      <c r="K45" s="129"/>
      <c r="L45" s="54">
        <f t="shared" si="25"/>
        <v>0</v>
      </c>
      <c r="M45" s="129"/>
      <c r="N45" s="54">
        <f t="shared" si="5"/>
        <v>0</v>
      </c>
      <c r="O45" s="54">
        <f t="shared" si="6"/>
        <v>0</v>
      </c>
      <c r="P45" s="1"/>
    </row>
    <row r="46" spans="2:16" ht="12.5">
      <c r="B46" s="7" t="str">
        <f t="shared" si="4"/>
        <v/>
      </c>
      <c r="C46" s="50">
        <f>IF(D11="","-",+C45+1)</f>
        <v>2044</v>
      </c>
      <c r="D46" s="55">
        <f>IF(F45+SUM(E$17:E45)=D$10,F45,D$10-SUM(E$17:E45))</f>
        <v>5443488.9611588707</v>
      </c>
      <c r="E46" s="378">
        <f t="shared" si="21"/>
        <v>362059.64750000014</v>
      </c>
      <c r="F46" s="55">
        <f t="shared" si="22"/>
        <v>5081429.3136588708</v>
      </c>
      <c r="G46" s="379">
        <f t="shared" si="23"/>
        <v>991066.29364105221</v>
      </c>
      <c r="H46" s="364">
        <f t="shared" si="24"/>
        <v>991066.29364105221</v>
      </c>
      <c r="I46" s="52">
        <f t="shared" si="3"/>
        <v>0</v>
      </c>
      <c r="J46" s="52"/>
      <c r="K46" s="129"/>
      <c r="L46" s="54">
        <f t="shared" si="25"/>
        <v>0</v>
      </c>
      <c r="M46" s="129"/>
      <c r="N46" s="54">
        <f t="shared" si="5"/>
        <v>0</v>
      </c>
      <c r="O46" s="54">
        <f t="shared" si="6"/>
        <v>0</v>
      </c>
      <c r="P46" s="1"/>
    </row>
    <row r="47" spans="2:16" ht="12.5">
      <c r="B47" s="7" t="str">
        <f t="shared" si="4"/>
        <v/>
      </c>
      <c r="C47" s="50">
        <f>IF(D11="","-",+C46+1)</f>
        <v>2045</v>
      </c>
      <c r="D47" s="55">
        <f>IF(F46+SUM(E$17:E46)=D$10,F46,D$10-SUM(E$17:E46))</f>
        <v>5081429.3136588708</v>
      </c>
      <c r="E47" s="378">
        <f t="shared" si="21"/>
        <v>362059.64750000014</v>
      </c>
      <c r="F47" s="55">
        <f t="shared" si="22"/>
        <v>4719369.6661588708</v>
      </c>
      <c r="G47" s="379">
        <f t="shared" si="23"/>
        <v>947790.34248770587</v>
      </c>
      <c r="H47" s="364">
        <f t="shared" si="24"/>
        <v>947790.34248770587</v>
      </c>
      <c r="I47" s="52">
        <f t="shared" si="3"/>
        <v>0</v>
      </c>
      <c r="J47" s="52"/>
      <c r="K47" s="129"/>
      <c r="L47" s="54">
        <f t="shared" si="25"/>
        <v>0</v>
      </c>
      <c r="M47" s="129"/>
      <c r="N47" s="54">
        <f t="shared" si="5"/>
        <v>0</v>
      </c>
      <c r="O47" s="54">
        <f t="shared" si="6"/>
        <v>0</v>
      </c>
      <c r="P47" s="1"/>
    </row>
    <row r="48" spans="2:16" ht="12.5">
      <c r="B48" s="7" t="str">
        <f t="shared" si="4"/>
        <v/>
      </c>
      <c r="C48" s="50">
        <f>IF(D11="","-",+C47+1)</f>
        <v>2046</v>
      </c>
      <c r="D48" s="55">
        <f>IF(F47+SUM(E$17:E47)=D$10,F47,D$10-SUM(E$17:E47))</f>
        <v>4719369.6661588708</v>
      </c>
      <c r="E48" s="378">
        <f t="shared" si="21"/>
        <v>362059.64750000014</v>
      </c>
      <c r="F48" s="55">
        <f t="shared" si="22"/>
        <v>4357310.0186588708</v>
      </c>
      <c r="G48" s="379">
        <f t="shared" si="23"/>
        <v>904514.39133435977</v>
      </c>
      <c r="H48" s="364">
        <f t="shared" si="24"/>
        <v>904514.39133435977</v>
      </c>
      <c r="I48" s="52">
        <f t="shared" si="3"/>
        <v>0</v>
      </c>
      <c r="J48" s="52"/>
      <c r="K48" s="129"/>
      <c r="L48" s="54">
        <f t="shared" si="25"/>
        <v>0</v>
      </c>
      <c r="M48" s="129"/>
      <c r="N48" s="54">
        <f t="shared" si="5"/>
        <v>0</v>
      </c>
      <c r="O48" s="54">
        <f t="shared" si="6"/>
        <v>0</v>
      </c>
      <c r="P48" s="1"/>
    </row>
    <row r="49" spans="2:16" ht="12.5">
      <c r="B49" s="7" t="str">
        <f t="shared" si="4"/>
        <v/>
      </c>
      <c r="C49" s="50">
        <f>IF(D11="","-",+C48+1)</f>
        <v>2047</v>
      </c>
      <c r="D49" s="55">
        <f>IF(F48+SUM(E$17:E48)=D$10,F48,D$10-SUM(E$17:E48))</f>
        <v>4357310.0186588708</v>
      </c>
      <c r="E49" s="378">
        <f t="shared" si="21"/>
        <v>362059.64750000014</v>
      </c>
      <c r="F49" s="55">
        <f t="shared" si="22"/>
        <v>3995250.3711588709</v>
      </c>
      <c r="G49" s="379">
        <f t="shared" si="23"/>
        <v>861238.44018101355</v>
      </c>
      <c r="H49" s="364">
        <f t="shared" si="24"/>
        <v>861238.44018101355</v>
      </c>
      <c r="I49" s="52">
        <f t="shared" si="3"/>
        <v>0</v>
      </c>
      <c r="J49" s="52"/>
      <c r="K49" s="129"/>
      <c r="L49" s="54">
        <f t="shared" si="25"/>
        <v>0</v>
      </c>
      <c r="M49" s="129"/>
      <c r="N49" s="54">
        <f t="shared" si="5"/>
        <v>0</v>
      </c>
      <c r="O49" s="54">
        <f t="shared" si="6"/>
        <v>0</v>
      </c>
      <c r="P49" s="1"/>
    </row>
    <row r="50" spans="2:16" ht="12.5">
      <c r="B50" s="7" t="str">
        <f t="shared" si="4"/>
        <v/>
      </c>
      <c r="C50" s="50">
        <f>IF(D11="","-",+C49+1)</f>
        <v>2048</v>
      </c>
      <c r="D50" s="55">
        <f>IF(F49+SUM(E$17:E49)=D$10,F49,D$10-SUM(E$17:E49))</f>
        <v>3995250.3711588709</v>
      </c>
      <c r="E50" s="378">
        <f t="shared" si="21"/>
        <v>362059.64750000014</v>
      </c>
      <c r="F50" s="55">
        <f t="shared" si="22"/>
        <v>3633190.7236588709</v>
      </c>
      <c r="G50" s="379">
        <f t="shared" si="23"/>
        <v>817962.48902766732</v>
      </c>
      <c r="H50" s="364">
        <f t="shared" si="24"/>
        <v>817962.48902766732</v>
      </c>
      <c r="I50" s="52">
        <f t="shared" si="3"/>
        <v>0</v>
      </c>
      <c r="J50" s="52"/>
      <c r="K50" s="129"/>
      <c r="L50" s="54">
        <f t="shared" si="25"/>
        <v>0</v>
      </c>
      <c r="M50" s="129"/>
      <c r="N50" s="54">
        <f t="shared" si="5"/>
        <v>0</v>
      </c>
      <c r="O50" s="54">
        <f t="shared" si="6"/>
        <v>0</v>
      </c>
      <c r="P50" s="1"/>
    </row>
    <row r="51" spans="2:16" ht="12.5">
      <c r="B51" s="7" t="str">
        <f t="shared" si="4"/>
        <v/>
      </c>
      <c r="C51" s="50">
        <f>IF(D11="","-",+C50+1)</f>
        <v>2049</v>
      </c>
      <c r="D51" s="55">
        <f>IF(F50+SUM(E$17:E50)=D$10,F50,D$10-SUM(E$17:E50))</f>
        <v>3633190.7236588709</v>
      </c>
      <c r="E51" s="378">
        <f t="shared" si="21"/>
        <v>362059.64750000014</v>
      </c>
      <c r="F51" s="55">
        <f t="shared" si="22"/>
        <v>3271131.0761588709</v>
      </c>
      <c r="G51" s="379">
        <f t="shared" ref="G51:G72" si="26">+I$12*((D51+F51)/2)+E51</f>
        <v>774686.53787432122</v>
      </c>
      <c r="H51" s="364">
        <f t="shared" ref="H51:H72" si="27">+I$13*((D51+F51)/2)+E51</f>
        <v>774686.53787432122</v>
      </c>
      <c r="I51" s="52">
        <f t="shared" si="3"/>
        <v>0</v>
      </c>
      <c r="J51" s="52"/>
      <c r="K51" s="129"/>
      <c r="L51" s="54">
        <f t="shared" si="25"/>
        <v>0</v>
      </c>
      <c r="M51" s="129"/>
      <c r="N51" s="54">
        <f t="shared" si="5"/>
        <v>0</v>
      </c>
      <c r="O51" s="54">
        <f t="shared" si="6"/>
        <v>0</v>
      </c>
      <c r="P51" s="1"/>
    </row>
    <row r="52" spans="2:16" ht="12.5">
      <c r="B52" s="7" t="str">
        <f t="shared" si="4"/>
        <v/>
      </c>
      <c r="C52" s="50">
        <f>IF(D11="","-",+C51+1)</f>
        <v>2050</v>
      </c>
      <c r="D52" s="55">
        <f>IF(F51+SUM(E$17:E51)=D$10,F51,D$10-SUM(E$17:E51))</f>
        <v>3271131.0761588709</v>
      </c>
      <c r="E52" s="378">
        <f t="shared" si="21"/>
        <v>362059.64750000014</v>
      </c>
      <c r="F52" s="55">
        <f t="shared" si="22"/>
        <v>2909071.428658871</v>
      </c>
      <c r="G52" s="379">
        <f t="shared" si="26"/>
        <v>731410.58672097512</v>
      </c>
      <c r="H52" s="364">
        <f t="shared" si="27"/>
        <v>731410.58672097512</v>
      </c>
      <c r="I52" s="52">
        <f t="shared" si="3"/>
        <v>0</v>
      </c>
      <c r="J52" s="52"/>
      <c r="K52" s="129"/>
      <c r="L52" s="54">
        <f t="shared" si="25"/>
        <v>0</v>
      </c>
      <c r="M52" s="129"/>
      <c r="N52" s="54">
        <f t="shared" si="5"/>
        <v>0</v>
      </c>
      <c r="O52" s="54">
        <f t="shared" si="6"/>
        <v>0</v>
      </c>
      <c r="P52" s="1"/>
    </row>
    <row r="53" spans="2:16" ht="12.5">
      <c r="B53" s="7" t="str">
        <f t="shared" si="4"/>
        <v/>
      </c>
      <c r="C53" s="50">
        <f>IF(D11="","-",+C52+1)</f>
        <v>2051</v>
      </c>
      <c r="D53" s="55">
        <f>IF(F52+SUM(E$17:E52)=D$10,F52,D$10-SUM(E$17:E52))</f>
        <v>2909071.428658871</v>
      </c>
      <c r="E53" s="378">
        <f t="shared" si="21"/>
        <v>362059.64750000014</v>
      </c>
      <c r="F53" s="55">
        <f t="shared" si="22"/>
        <v>2547011.781158871</v>
      </c>
      <c r="G53" s="379">
        <f t="shared" si="26"/>
        <v>688134.63556762889</v>
      </c>
      <c r="H53" s="364">
        <f t="shared" si="27"/>
        <v>688134.63556762889</v>
      </c>
      <c r="I53" s="52">
        <f t="shared" si="3"/>
        <v>0</v>
      </c>
      <c r="J53" s="52"/>
      <c r="K53" s="129"/>
      <c r="L53" s="54">
        <f t="shared" si="25"/>
        <v>0</v>
      </c>
      <c r="M53" s="129"/>
      <c r="N53" s="54">
        <f t="shared" si="5"/>
        <v>0</v>
      </c>
      <c r="O53" s="54">
        <f t="shared" si="6"/>
        <v>0</v>
      </c>
      <c r="P53" s="1"/>
    </row>
    <row r="54" spans="2:16" ht="12.5">
      <c r="B54" s="7" t="str">
        <f t="shared" si="4"/>
        <v/>
      </c>
      <c r="C54" s="50">
        <f>IF(D11="","-",+C53+1)</f>
        <v>2052</v>
      </c>
      <c r="D54" s="55">
        <f>IF(F53+SUM(E$17:E53)=D$10,F53,D$10-SUM(E$17:E53))</f>
        <v>2547011.781158871</v>
      </c>
      <c r="E54" s="378">
        <f t="shared" si="21"/>
        <v>362059.64750000014</v>
      </c>
      <c r="F54" s="55">
        <f t="shared" si="22"/>
        <v>2184952.1336588711</v>
      </c>
      <c r="G54" s="379">
        <f t="shared" si="26"/>
        <v>644858.68441428267</v>
      </c>
      <c r="H54" s="364">
        <f t="shared" si="27"/>
        <v>644858.68441428267</v>
      </c>
      <c r="I54" s="52">
        <f t="shared" si="3"/>
        <v>0</v>
      </c>
      <c r="J54" s="52"/>
      <c r="K54" s="129"/>
      <c r="L54" s="54">
        <f t="shared" si="25"/>
        <v>0</v>
      </c>
      <c r="M54" s="129"/>
      <c r="N54" s="54">
        <f t="shared" si="5"/>
        <v>0</v>
      </c>
      <c r="O54" s="54">
        <f t="shared" si="6"/>
        <v>0</v>
      </c>
      <c r="P54" s="1"/>
    </row>
    <row r="55" spans="2:16" ht="12.5">
      <c r="B55" s="7" t="str">
        <f t="shared" si="4"/>
        <v/>
      </c>
      <c r="C55" s="50">
        <f>IF(D11="","-",+C54+1)</f>
        <v>2053</v>
      </c>
      <c r="D55" s="55">
        <f>IF(F54+SUM(E$17:E54)=D$10,F54,D$10-SUM(E$17:E54))</f>
        <v>2184952.1336588711</v>
      </c>
      <c r="E55" s="378">
        <f t="shared" si="21"/>
        <v>362059.64750000014</v>
      </c>
      <c r="F55" s="55">
        <f t="shared" si="22"/>
        <v>1822892.4861588709</v>
      </c>
      <c r="G55" s="379">
        <f t="shared" si="26"/>
        <v>601582.73326093657</v>
      </c>
      <c r="H55" s="364">
        <f t="shared" si="27"/>
        <v>601582.73326093657</v>
      </c>
      <c r="I55" s="52">
        <f t="shared" si="3"/>
        <v>0</v>
      </c>
      <c r="J55" s="52"/>
      <c r="K55" s="129"/>
      <c r="L55" s="54">
        <f t="shared" si="25"/>
        <v>0</v>
      </c>
      <c r="M55" s="129"/>
      <c r="N55" s="54">
        <f t="shared" si="5"/>
        <v>0</v>
      </c>
      <c r="O55" s="54">
        <f t="shared" si="6"/>
        <v>0</v>
      </c>
      <c r="P55" s="1"/>
    </row>
    <row r="56" spans="2:16" ht="12.5">
      <c r="B56" s="7" t="str">
        <f t="shared" si="4"/>
        <v/>
      </c>
      <c r="C56" s="50">
        <f>IF(D11="","-",+C55+1)</f>
        <v>2054</v>
      </c>
      <c r="D56" s="55">
        <f>IF(F55+SUM(E$17:E55)=D$10,F55,D$10-SUM(E$17:E55))</f>
        <v>1822892.4861588709</v>
      </c>
      <c r="E56" s="378">
        <f t="shared" si="21"/>
        <v>362059.64750000014</v>
      </c>
      <c r="F56" s="55">
        <f t="shared" si="22"/>
        <v>1460832.8386588707</v>
      </c>
      <c r="G56" s="379">
        <f t="shared" si="26"/>
        <v>558306.78210759035</v>
      </c>
      <c r="H56" s="364">
        <f t="shared" si="27"/>
        <v>558306.78210759035</v>
      </c>
      <c r="I56" s="52">
        <f t="shared" si="3"/>
        <v>0</v>
      </c>
      <c r="J56" s="52"/>
      <c r="K56" s="129"/>
      <c r="L56" s="54">
        <f t="shared" si="25"/>
        <v>0</v>
      </c>
      <c r="M56" s="129"/>
      <c r="N56" s="54">
        <f t="shared" si="5"/>
        <v>0</v>
      </c>
      <c r="O56" s="54">
        <f t="shared" si="6"/>
        <v>0</v>
      </c>
      <c r="P56" s="1"/>
    </row>
    <row r="57" spans="2:16" ht="12.5">
      <c r="B57" s="7" t="str">
        <f t="shared" si="4"/>
        <v/>
      </c>
      <c r="C57" s="50">
        <f>IF(D11="","-",+C56+1)</f>
        <v>2055</v>
      </c>
      <c r="D57" s="55">
        <f>IF(F56+SUM(E$17:E56)=D$10,F56,D$10-SUM(E$17:E56))</f>
        <v>1460832.8386588707</v>
      </c>
      <c r="E57" s="378">
        <f t="shared" si="21"/>
        <v>362059.64750000014</v>
      </c>
      <c r="F57" s="55">
        <f t="shared" si="22"/>
        <v>1098773.1911588705</v>
      </c>
      <c r="G57" s="379">
        <f t="shared" si="26"/>
        <v>515030.83095424424</v>
      </c>
      <c r="H57" s="364">
        <f t="shared" si="27"/>
        <v>515030.83095424424</v>
      </c>
      <c r="I57" s="52">
        <f t="shared" si="3"/>
        <v>0</v>
      </c>
      <c r="J57" s="52"/>
      <c r="K57" s="129"/>
      <c r="L57" s="54">
        <f t="shared" si="25"/>
        <v>0</v>
      </c>
      <c r="M57" s="129"/>
      <c r="N57" s="54">
        <f t="shared" si="5"/>
        <v>0</v>
      </c>
      <c r="O57" s="54">
        <f t="shared" si="6"/>
        <v>0</v>
      </c>
      <c r="P57" s="1"/>
    </row>
    <row r="58" spans="2:16" ht="12.5">
      <c r="B58" s="7" t="str">
        <f t="shared" si="4"/>
        <v/>
      </c>
      <c r="C58" s="50">
        <f>IF(D11="","-",+C57+1)</f>
        <v>2056</v>
      </c>
      <c r="D58" s="55">
        <f>IF(F57+SUM(E$17:E57)=D$10,F57,D$10-SUM(E$17:E57))</f>
        <v>1098773.1911588705</v>
      </c>
      <c r="E58" s="378">
        <f t="shared" si="21"/>
        <v>362059.64750000014</v>
      </c>
      <c r="F58" s="55">
        <f t="shared" si="22"/>
        <v>736713.54365887027</v>
      </c>
      <c r="G58" s="379">
        <f t="shared" si="26"/>
        <v>471754.87980089802</v>
      </c>
      <c r="H58" s="364">
        <f t="shared" si="27"/>
        <v>471754.87980089802</v>
      </c>
      <c r="I58" s="52">
        <f t="shared" si="3"/>
        <v>0</v>
      </c>
      <c r="J58" s="52"/>
      <c r="K58" s="129"/>
      <c r="L58" s="54">
        <f t="shared" si="25"/>
        <v>0</v>
      </c>
      <c r="M58" s="129"/>
      <c r="N58" s="54">
        <f t="shared" si="5"/>
        <v>0</v>
      </c>
      <c r="O58" s="54">
        <f t="shared" si="6"/>
        <v>0</v>
      </c>
      <c r="P58" s="1"/>
    </row>
    <row r="59" spans="2:16" ht="12.5">
      <c r="B59" s="7" t="str">
        <f t="shared" si="4"/>
        <v/>
      </c>
      <c r="C59" s="50">
        <f>IF(D11="","-",+C58+1)</f>
        <v>2057</v>
      </c>
      <c r="D59" s="55">
        <f>IF(F58+SUM(E$17:E58)=D$10,F58,D$10-SUM(E$17:E58))</f>
        <v>736713.54365887027</v>
      </c>
      <c r="E59" s="378">
        <f t="shared" si="21"/>
        <v>362059.64750000014</v>
      </c>
      <c r="F59" s="55">
        <f t="shared" si="22"/>
        <v>374653.89615887013</v>
      </c>
      <c r="G59" s="379">
        <f t="shared" si="26"/>
        <v>428478.9286475518</v>
      </c>
      <c r="H59" s="364">
        <f t="shared" si="27"/>
        <v>428478.9286475518</v>
      </c>
      <c r="I59" s="52">
        <f t="shared" si="3"/>
        <v>0</v>
      </c>
      <c r="J59" s="52"/>
      <c r="K59" s="129"/>
      <c r="L59" s="54">
        <f t="shared" si="25"/>
        <v>0</v>
      </c>
      <c r="M59" s="129"/>
      <c r="N59" s="54">
        <f t="shared" si="5"/>
        <v>0</v>
      </c>
      <c r="O59" s="54">
        <f t="shared" si="6"/>
        <v>0</v>
      </c>
      <c r="P59" s="1"/>
    </row>
    <row r="60" spans="2:16" ht="12.5">
      <c r="B60" s="7" t="str">
        <f t="shared" si="4"/>
        <v/>
      </c>
      <c r="C60" s="50">
        <f>IF(D11="","-",+C59+1)</f>
        <v>2058</v>
      </c>
      <c r="D60" s="55">
        <f>IF(F59+SUM(E$17:E59)=D$10,F59,D$10-SUM(E$17:E59))</f>
        <v>374653.89615887013</v>
      </c>
      <c r="E60" s="378">
        <f t="shared" si="21"/>
        <v>362059.64750000014</v>
      </c>
      <c r="F60" s="55">
        <f t="shared" si="22"/>
        <v>12594.248658869998</v>
      </c>
      <c r="G60" s="379">
        <f t="shared" si="26"/>
        <v>385202.97749420564</v>
      </c>
      <c r="H60" s="364">
        <f t="shared" si="27"/>
        <v>385202.97749420564</v>
      </c>
      <c r="I60" s="52">
        <f t="shared" si="3"/>
        <v>0</v>
      </c>
      <c r="J60" s="52"/>
      <c r="K60" s="129"/>
      <c r="L60" s="54">
        <f t="shared" si="25"/>
        <v>0</v>
      </c>
      <c r="M60" s="129"/>
      <c r="N60" s="54">
        <f t="shared" si="5"/>
        <v>0</v>
      </c>
      <c r="O60" s="54">
        <f t="shared" si="6"/>
        <v>0</v>
      </c>
      <c r="P60" s="1"/>
    </row>
    <row r="61" spans="2:16" ht="12.5">
      <c r="B61" s="7" t="str">
        <f t="shared" si="4"/>
        <v/>
      </c>
      <c r="C61" s="50">
        <f>IF(D11="","-",+C60+1)</f>
        <v>2059</v>
      </c>
      <c r="D61" s="55">
        <f>IF(F60+SUM(E$17:E60)=D$10,F60,D$10-SUM(E$17:E60))</f>
        <v>12594.248658869998</v>
      </c>
      <c r="E61" s="378">
        <f t="shared" si="21"/>
        <v>12594.248658869998</v>
      </c>
      <c r="F61" s="55">
        <f t="shared" si="22"/>
        <v>0</v>
      </c>
      <c r="G61" s="379">
        <f t="shared" si="26"/>
        <v>13346.925867636204</v>
      </c>
      <c r="H61" s="364">
        <f t="shared" si="27"/>
        <v>13346.925867636204</v>
      </c>
      <c r="I61" s="52">
        <f t="shared" si="3"/>
        <v>0</v>
      </c>
      <c r="J61" s="52"/>
      <c r="K61" s="129"/>
      <c r="L61" s="54">
        <f t="shared" si="25"/>
        <v>0</v>
      </c>
      <c r="M61" s="129"/>
      <c r="N61" s="54">
        <f t="shared" si="5"/>
        <v>0</v>
      </c>
      <c r="O61" s="54">
        <f t="shared" si="6"/>
        <v>0</v>
      </c>
      <c r="P61" s="1"/>
    </row>
    <row r="62" spans="2:16" ht="12.5">
      <c r="B62" s="7" t="str">
        <f t="shared" si="4"/>
        <v/>
      </c>
      <c r="C62" s="50">
        <f>IF(D11="","-",+C61+1)</f>
        <v>2060</v>
      </c>
      <c r="D62" s="55">
        <f>IF(F61+SUM(E$17:E61)=D$10,F61,D$10-SUM(E$17:E61))</f>
        <v>0</v>
      </c>
      <c r="E62" s="378">
        <f t="shared" si="21"/>
        <v>0</v>
      </c>
      <c r="F62" s="55">
        <f t="shared" si="22"/>
        <v>0</v>
      </c>
      <c r="G62" s="379">
        <f t="shared" si="26"/>
        <v>0</v>
      </c>
      <c r="H62" s="364">
        <f t="shared" si="27"/>
        <v>0</v>
      </c>
      <c r="I62" s="52">
        <f t="shared" si="3"/>
        <v>0</v>
      </c>
      <c r="J62" s="52"/>
      <c r="K62" s="129"/>
      <c r="L62" s="54">
        <f t="shared" si="25"/>
        <v>0</v>
      </c>
      <c r="M62" s="129"/>
      <c r="N62" s="54">
        <f t="shared" si="5"/>
        <v>0</v>
      </c>
      <c r="O62" s="54">
        <f t="shared" si="6"/>
        <v>0</v>
      </c>
      <c r="P62" s="1"/>
    </row>
    <row r="63" spans="2:16" ht="12.5">
      <c r="B63" s="7" t="str">
        <f t="shared" si="4"/>
        <v/>
      </c>
      <c r="C63" s="50">
        <f>IF(D11="","-",+C62+1)</f>
        <v>2061</v>
      </c>
      <c r="D63" s="55">
        <f>IF(F62+SUM(E$17:E62)=D$10,F62,D$10-SUM(E$17:E62))</f>
        <v>0</v>
      </c>
      <c r="E63" s="378">
        <f t="shared" si="21"/>
        <v>0</v>
      </c>
      <c r="F63" s="55">
        <f t="shared" si="22"/>
        <v>0</v>
      </c>
      <c r="G63" s="379">
        <f t="shared" si="26"/>
        <v>0</v>
      </c>
      <c r="H63" s="364">
        <f t="shared" si="27"/>
        <v>0</v>
      </c>
      <c r="I63" s="52">
        <f t="shared" si="3"/>
        <v>0</v>
      </c>
      <c r="J63" s="52"/>
      <c r="K63" s="129"/>
      <c r="L63" s="54">
        <f t="shared" si="25"/>
        <v>0</v>
      </c>
      <c r="M63" s="129"/>
      <c r="N63" s="54">
        <f t="shared" si="5"/>
        <v>0</v>
      </c>
      <c r="O63" s="54">
        <f t="shared" si="6"/>
        <v>0</v>
      </c>
      <c r="P63" s="1"/>
    </row>
    <row r="64" spans="2:16" ht="12.5">
      <c r="B64" s="7" t="str">
        <f t="shared" si="4"/>
        <v/>
      </c>
      <c r="C64" s="50">
        <f>IF(D11="","-",+C63+1)</f>
        <v>2062</v>
      </c>
      <c r="D64" s="55">
        <f>IF(F63+SUM(E$17:E63)=D$10,F63,D$10-SUM(E$17:E63))</f>
        <v>0</v>
      </c>
      <c r="E64" s="378">
        <f t="shared" si="21"/>
        <v>0</v>
      </c>
      <c r="F64" s="55">
        <f t="shared" si="22"/>
        <v>0</v>
      </c>
      <c r="G64" s="379">
        <f t="shared" si="26"/>
        <v>0</v>
      </c>
      <c r="H64" s="364">
        <f t="shared" si="27"/>
        <v>0</v>
      </c>
      <c r="I64" s="52">
        <f t="shared" si="3"/>
        <v>0</v>
      </c>
      <c r="J64" s="52"/>
      <c r="K64" s="129"/>
      <c r="L64" s="54">
        <f t="shared" si="25"/>
        <v>0</v>
      </c>
      <c r="M64" s="129"/>
      <c r="N64" s="54">
        <f t="shared" si="5"/>
        <v>0</v>
      </c>
      <c r="O64" s="54">
        <f t="shared" si="6"/>
        <v>0</v>
      </c>
      <c r="P64" s="1"/>
    </row>
    <row r="65" spans="2:16" ht="12.5">
      <c r="B65" s="7" t="str">
        <f t="shared" si="4"/>
        <v/>
      </c>
      <c r="C65" s="50">
        <f>IF(D11="","-",+C64+1)</f>
        <v>2063</v>
      </c>
      <c r="D65" s="55">
        <f>IF(F64+SUM(E$17:E64)=D$10,F64,D$10-SUM(E$17:E64))</f>
        <v>0</v>
      </c>
      <c r="E65" s="378">
        <f t="shared" si="21"/>
        <v>0</v>
      </c>
      <c r="F65" s="55">
        <f t="shared" si="22"/>
        <v>0</v>
      </c>
      <c r="G65" s="379">
        <f t="shared" si="26"/>
        <v>0</v>
      </c>
      <c r="H65" s="364">
        <f t="shared" si="27"/>
        <v>0</v>
      </c>
      <c r="I65" s="52">
        <f t="shared" si="3"/>
        <v>0</v>
      </c>
      <c r="J65" s="52"/>
      <c r="K65" s="129"/>
      <c r="L65" s="54">
        <f t="shared" si="25"/>
        <v>0</v>
      </c>
      <c r="M65" s="129"/>
      <c r="N65" s="54">
        <f t="shared" si="5"/>
        <v>0</v>
      </c>
      <c r="O65" s="54">
        <f t="shared" si="6"/>
        <v>0</v>
      </c>
      <c r="P65" s="1"/>
    </row>
    <row r="66" spans="2:16" ht="12.5">
      <c r="B66" s="7" t="str">
        <f t="shared" si="4"/>
        <v/>
      </c>
      <c r="C66" s="50">
        <f>IF(D11="","-",+C65+1)</f>
        <v>2064</v>
      </c>
      <c r="D66" s="55">
        <f>IF(F65+SUM(E$17:E65)=D$10,F65,D$10-SUM(E$17:E65))</f>
        <v>0</v>
      </c>
      <c r="E66" s="378">
        <f t="shared" si="21"/>
        <v>0</v>
      </c>
      <c r="F66" s="55">
        <f t="shared" si="22"/>
        <v>0</v>
      </c>
      <c r="G66" s="379">
        <f t="shared" si="26"/>
        <v>0</v>
      </c>
      <c r="H66" s="364">
        <f t="shared" si="27"/>
        <v>0</v>
      </c>
      <c r="I66" s="52">
        <f t="shared" si="3"/>
        <v>0</v>
      </c>
      <c r="J66" s="52"/>
      <c r="K66" s="129"/>
      <c r="L66" s="54">
        <f t="shared" si="25"/>
        <v>0</v>
      </c>
      <c r="M66" s="129"/>
      <c r="N66" s="54">
        <f t="shared" si="5"/>
        <v>0</v>
      </c>
      <c r="O66" s="54">
        <f t="shared" si="6"/>
        <v>0</v>
      </c>
      <c r="P66" s="1"/>
    </row>
    <row r="67" spans="2:16" ht="12.5">
      <c r="B67" s="7" t="str">
        <f t="shared" si="4"/>
        <v/>
      </c>
      <c r="C67" s="50">
        <f>IF(D11="","-",+C66+1)</f>
        <v>2065</v>
      </c>
      <c r="D67" s="55">
        <f>IF(F66+SUM(E$17:E66)=D$10,F66,D$10-SUM(E$17:E66))</f>
        <v>0</v>
      </c>
      <c r="E67" s="378">
        <f t="shared" si="21"/>
        <v>0</v>
      </c>
      <c r="F67" s="55">
        <f t="shared" si="22"/>
        <v>0</v>
      </c>
      <c r="G67" s="379">
        <f t="shared" si="26"/>
        <v>0</v>
      </c>
      <c r="H67" s="364">
        <f t="shared" si="27"/>
        <v>0</v>
      </c>
      <c r="I67" s="52">
        <f t="shared" si="3"/>
        <v>0</v>
      </c>
      <c r="J67" s="52"/>
      <c r="K67" s="129"/>
      <c r="L67" s="54">
        <f t="shared" si="25"/>
        <v>0</v>
      </c>
      <c r="M67" s="129"/>
      <c r="N67" s="54">
        <f t="shared" si="5"/>
        <v>0</v>
      </c>
      <c r="O67" s="54">
        <f t="shared" si="6"/>
        <v>0</v>
      </c>
      <c r="P67" s="1"/>
    </row>
    <row r="68" spans="2:16" ht="12.5">
      <c r="B68" s="7" t="str">
        <f t="shared" si="4"/>
        <v/>
      </c>
      <c r="C68" s="50">
        <f>IF(D11="","-",+C67+1)</f>
        <v>2066</v>
      </c>
      <c r="D68" s="55">
        <f>IF(F67+SUM(E$17:E67)=D$10,F67,D$10-SUM(E$17:E67))</f>
        <v>0</v>
      </c>
      <c r="E68" s="378">
        <f t="shared" si="21"/>
        <v>0</v>
      </c>
      <c r="F68" s="55">
        <f t="shared" si="22"/>
        <v>0</v>
      </c>
      <c r="G68" s="379">
        <f t="shared" si="26"/>
        <v>0</v>
      </c>
      <c r="H68" s="364">
        <f t="shared" si="27"/>
        <v>0</v>
      </c>
      <c r="I68" s="52">
        <f t="shared" si="3"/>
        <v>0</v>
      </c>
      <c r="J68" s="52"/>
      <c r="K68" s="129"/>
      <c r="L68" s="54">
        <f t="shared" si="25"/>
        <v>0</v>
      </c>
      <c r="M68" s="129"/>
      <c r="N68" s="54">
        <f t="shared" si="5"/>
        <v>0</v>
      </c>
      <c r="O68" s="54">
        <f t="shared" si="6"/>
        <v>0</v>
      </c>
      <c r="P68" s="1"/>
    </row>
    <row r="69" spans="2:16" ht="12.5">
      <c r="B69" s="7" t="str">
        <f t="shared" si="4"/>
        <v/>
      </c>
      <c r="C69" s="50">
        <f>IF(D11="","-",+C68+1)</f>
        <v>2067</v>
      </c>
      <c r="D69" s="55">
        <f>IF(F68+SUM(E$17:E68)=D$10,F68,D$10-SUM(E$17:E68))</f>
        <v>0</v>
      </c>
      <c r="E69" s="378">
        <f t="shared" si="21"/>
        <v>0</v>
      </c>
      <c r="F69" s="55">
        <f t="shared" si="22"/>
        <v>0</v>
      </c>
      <c r="G69" s="379">
        <f t="shared" si="26"/>
        <v>0</v>
      </c>
      <c r="H69" s="364">
        <f t="shared" si="27"/>
        <v>0</v>
      </c>
      <c r="I69" s="52">
        <f t="shared" si="3"/>
        <v>0</v>
      </c>
      <c r="J69" s="52"/>
      <c r="K69" s="129"/>
      <c r="L69" s="54">
        <f t="shared" si="25"/>
        <v>0</v>
      </c>
      <c r="M69" s="129"/>
      <c r="N69" s="54">
        <f t="shared" si="5"/>
        <v>0</v>
      </c>
      <c r="O69" s="54">
        <f t="shared" si="6"/>
        <v>0</v>
      </c>
      <c r="P69" s="1"/>
    </row>
    <row r="70" spans="2:16" ht="12.5">
      <c r="B70" s="7" t="str">
        <f t="shared" si="4"/>
        <v/>
      </c>
      <c r="C70" s="50">
        <f>IF(D11="","-",+C69+1)</f>
        <v>2068</v>
      </c>
      <c r="D70" s="55">
        <f>IF(F69+SUM(E$17:E69)=D$10,F69,D$10-SUM(E$17:E69))</f>
        <v>0</v>
      </c>
      <c r="E70" s="378">
        <f t="shared" si="21"/>
        <v>0</v>
      </c>
      <c r="F70" s="55">
        <f t="shared" si="22"/>
        <v>0</v>
      </c>
      <c r="G70" s="379">
        <f t="shared" si="26"/>
        <v>0</v>
      </c>
      <c r="H70" s="364">
        <f t="shared" si="27"/>
        <v>0</v>
      </c>
      <c r="I70" s="52">
        <f t="shared" si="3"/>
        <v>0</v>
      </c>
      <c r="J70" s="52"/>
      <c r="K70" s="129"/>
      <c r="L70" s="54">
        <f t="shared" si="25"/>
        <v>0</v>
      </c>
      <c r="M70" s="129"/>
      <c r="N70" s="54">
        <f t="shared" si="5"/>
        <v>0</v>
      </c>
      <c r="O70" s="54">
        <f t="shared" si="6"/>
        <v>0</v>
      </c>
      <c r="P70" s="1"/>
    </row>
    <row r="71" spans="2:16" ht="12.5">
      <c r="B71" s="7" t="str">
        <f t="shared" si="4"/>
        <v/>
      </c>
      <c r="C71" s="50">
        <f>IF(D11="","-",+C70+1)</f>
        <v>2069</v>
      </c>
      <c r="D71" s="55">
        <f>IF(F70+SUM(E$17:E70)=D$10,F70,D$10-SUM(E$17:E70))</f>
        <v>0</v>
      </c>
      <c r="E71" s="378">
        <f t="shared" si="21"/>
        <v>0</v>
      </c>
      <c r="F71" s="55">
        <f t="shared" si="22"/>
        <v>0</v>
      </c>
      <c r="G71" s="379">
        <f t="shared" si="26"/>
        <v>0</v>
      </c>
      <c r="H71" s="364">
        <f t="shared" si="27"/>
        <v>0</v>
      </c>
      <c r="I71" s="52">
        <f t="shared" si="3"/>
        <v>0</v>
      </c>
      <c r="J71" s="52"/>
      <c r="K71" s="129"/>
      <c r="L71" s="54">
        <f t="shared" si="25"/>
        <v>0</v>
      </c>
      <c r="M71" s="129"/>
      <c r="N71" s="54">
        <f t="shared" si="5"/>
        <v>0</v>
      </c>
      <c r="O71" s="54">
        <f t="shared" si="6"/>
        <v>0</v>
      </c>
      <c r="P71" s="1"/>
    </row>
    <row r="72" spans="2:16" ht="13" thickBot="1">
      <c r="B72" s="7" t="str">
        <f t="shared" si="4"/>
        <v/>
      </c>
      <c r="C72" s="59">
        <f>IF(D11="","-",+C71+1)</f>
        <v>2070</v>
      </c>
      <c r="D72" s="55">
        <f>IF(F71+SUM(E$17:E71)=D$10,F71,D$10-SUM(E$17:E71))</f>
        <v>0</v>
      </c>
      <c r="E72" s="378">
        <f t="shared" si="21"/>
        <v>0</v>
      </c>
      <c r="F72" s="55">
        <f t="shared" si="22"/>
        <v>0</v>
      </c>
      <c r="G72" s="379">
        <f t="shared" si="26"/>
        <v>0</v>
      </c>
      <c r="H72" s="364">
        <f t="shared" si="27"/>
        <v>0</v>
      </c>
      <c r="I72" s="52">
        <f t="shared" si="3"/>
        <v>0</v>
      </c>
      <c r="J72" s="52"/>
      <c r="K72" s="130"/>
      <c r="L72" s="64">
        <f t="shared" si="25"/>
        <v>0</v>
      </c>
      <c r="M72" s="130"/>
      <c r="N72" s="64">
        <f t="shared" si="5"/>
        <v>0</v>
      </c>
      <c r="O72" s="64">
        <f t="shared" si="6"/>
        <v>0</v>
      </c>
      <c r="P72" s="1"/>
    </row>
    <row r="73" spans="2:16" ht="12.5">
      <c r="C73" s="12" t="s">
        <v>78</v>
      </c>
      <c r="D73" s="293"/>
      <c r="E73" s="293">
        <f>SUM(E17:E72)</f>
        <v>15930624.490000013</v>
      </c>
      <c r="F73" s="293"/>
      <c r="G73" s="293">
        <f>SUM(G17:G72)</f>
        <v>58134535.294839576</v>
      </c>
      <c r="H73" s="293">
        <f>SUM(H17:H72)</f>
        <v>58134535.294839576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 ht="13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50 of 77</v>
      </c>
    </row>
    <row r="84" spans="1:16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1856585.3167079764</v>
      </c>
      <c r="N87" s="387">
        <f>IF(J92&lt;D11,0,VLOOKUP(J92,C17:O72,11))</f>
        <v>1856585.3167079764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1923606.2969129921</v>
      </c>
      <c r="N88" s="390">
        <f>IF(J92&lt;D11,0,VLOOKUP(J92,C99:P154,7))</f>
        <v>1923606.2969129921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Dekalb-New Boston 69 kV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67020.980205015745</v>
      </c>
      <c r="N89" s="392">
        <f>+N88-N87</f>
        <v>67020.980205015745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TP2012144</v>
      </c>
      <c r="E91" s="76" t="str">
        <f>E9</f>
        <v xml:space="preserve">  SPP Project ID = 30471</v>
      </c>
      <c r="F91" s="76"/>
      <c r="G91" s="76"/>
      <c r="H91" s="76"/>
      <c r="I91" s="76"/>
      <c r="J91" s="76"/>
    </row>
    <row r="92" spans="1:16" ht="13">
      <c r="C92" s="34" t="s">
        <v>51</v>
      </c>
      <c r="D92" s="428">
        <f>D10</f>
        <v>15930624.490000006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</row>
    <row r="93" spans="1:16" ht="12.5">
      <c r="C93" s="34" t="s">
        <v>54</v>
      </c>
      <c r="D93" s="88">
        <f>IF(D11=I10,"",D11)</f>
        <v>2015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4">
        <f>IF(D11=I10,"",D12)</f>
        <v>6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362059.64750000014</v>
      </c>
      <c r="K96" s="293"/>
      <c r="L96" s="293"/>
      <c r="M96" s="293"/>
      <c r="N96" s="293"/>
      <c r="O96" s="293"/>
      <c r="P96" s="1"/>
    </row>
    <row r="97" spans="1:16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 ht="12.5">
      <c r="C99" s="50">
        <f>IF(D93= "","-",D93)</f>
        <v>2015</v>
      </c>
      <c r="D99" s="429">
        <v>0</v>
      </c>
      <c r="E99" s="430">
        <v>187832.27380952382</v>
      </c>
      <c r="F99" s="431">
        <v>15590078.726190476</v>
      </c>
      <c r="G99" s="432">
        <v>7795039.3630952379</v>
      </c>
      <c r="H99" s="433">
        <v>1214975.8636759706</v>
      </c>
      <c r="I99" s="434">
        <v>1214975.8636759706</v>
      </c>
      <c r="J99" s="54">
        <f>+I99-H99</f>
        <v>0</v>
      </c>
      <c r="K99" s="54"/>
      <c r="L99" s="112">
        <f t="shared" ref="L99:L104" si="28">+H99</f>
        <v>1214975.8636759706</v>
      </c>
      <c r="M99" s="53">
        <f t="shared" ref="M99:M130" si="29">IF(L99&lt;&gt;0,+H99-L99,0)</f>
        <v>0</v>
      </c>
      <c r="N99" s="112">
        <f t="shared" ref="N99:N104" si="30">+I99</f>
        <v>1214975.8636759706</v>
      </c>
      <c r="O99" s="53">
        <f t="shared" ref="O99:O130" si="31">IF(N99&lt;&gt;0,+I99-N99,0)</f>
        <v>0</v>
      </c>
      <c r="P99" s="53">
        <f t="shared" ref="P99:P130" si="32">+O99-M99</f>
        <v>0</v>
      </c>
    </row>
    <row r="100" spans="1:16" ht="12.5">
      <c r="B100" s="7" t="str">
        <f>IF(D100=F99,"","IU")</f>
        <v>IU</v>
      </c>
      <c r="C100" s="50">
        <f>IF(D93="","-",+C99+1)</f>
        <v>2016</v>
      </c>
      <c r="D100" s="429">
        <v>15804084.726190476</v>
      </c>
      <c r="E100" s="430">
        <v>371905.04651162791</v>
      </c>
      <c r="F100" s="431">
        <v>15432179.679678848</v>
      </c>
      <c r="G100" s="431">
        <v>15618132.202934662</v>
      </c>
      <c r="H100" s="433">
        <v>2354626.7467602715</v>
      </c>
      <c r="I100" s="434">
        <v>2354626.7467602715</v>
      </c>
      <c r="J100" s="54">
        <f>+I100-H100</f>
        <v>0</v>
      </c>
      <c r="K100" s="54"/>
      <c r="L100" s="113">
        <f t="shared" si="28"/>
        <v>2354626.7467602715</v>
      </c>
      <c r="M100" s="54">
        <f t="shared" ref="M100:M105" si="33">IF(L100&lt;&gt;0,+H100-L100,0)</f>
        <v>0</v>
      </c>
      <c r="N100" s="113">
        <f t="shared" si="30"/>
        <v>2354626.7467602715</v>
      </c>
      <c r="O100" s="54">
        <f>IF(N100&lt;&gt;0,+I100-N100,0)</f>
        <v>0</v>
      </c>
      <c r="P100" s="54">
        <f>+O100-M100</f>
        <v>0</v>
      </c>
    </row>
    <row r="101" spans="1:16" ht="12.5">
      <c r="B101" s="7" t="str">
        <f t="shared" ref="B101:B154" si="34">IF(D101=F100,"","IU")</f>
        <v>IU</v>
      </c>
      <c r="C101" s="50">
        <f>IF(D93="","-",+C100+1)</f>
        <v>2017</v>
      </c>
      <c r="D101" s="429">
        <v>15582465.679678848</v>
      </c>
      <c r="E101" s="430">
        <v>384338.16666666669</v>
      </c>
      <c r="F101" s="431">
        <v>15198127.513012182</v>
      </c>
      <c r="G101" s="431">
        <v>15390296.596345514</v>
      </c>
      <c r="H101" s="433">
        <v>2253819.9284135839</v>
      </c>
      <c r="I101" s="434">
        <v>2253819.9284135839</v>
      </c>
      <c r="J101" s="54">
        <f t="shared" ref="J101:J154" si="35">+I101-H101</f>
        <v>0</v>
      </c>
      <c r="K101" s="54"/>
      <c r="L101" s="113">
        <f t="shared" si="28"/>
        <v>2253819.9284135839</v>
      </c>
      <c r="M101" s="54">
        <f t="shared" si="33"/>
        <v>0</v>
      </c>
      <c r="N101" s="113">
        <f t="shared" si="30"/>
        <v>2253819.9284135839</v>
      </c>
      <c r="O101" s="54">
        <f>IF(N101&lt;&gt;0,+I101-N101,0)</f>
        <v>0</v>
      </c>
      <c r="P101" s="54">
        <f>+O101-M101</f>
        <v>0</v>
      </c>
    </row>
    <row r="102" spans="1:16" ht="12.5">
      <c r="B102" s="7" t="str">
        <f t="shared" si="34"/>
        <v>IU</v>
      </c>
      <c r="C102" s="50">
        <f>IF(D93="","-",+C101+1)</f>
        <v>2018</v>
      </c>
      <c r="D102" s="429">
        <v>15265261.513012182</v>
      </c>
      <c r="E102" s="430">
        <v>385936.59523809527</v>
      </c>
      <c r="F102" s="431">
        <v>14879324.917774087</v>
      </c>
      <c r="G102" s="431">
        <v>15072293.215393133</v>
      </c>
      <c r="H102" s="433">
        <v>1977639.8776041078</v>
      </c>
      <c r="I102" s="434">
        <v>1977639.8776041078</v>
      </c>
      <c r="J102" s="54">
        <f t="shared" si="35"/>
        <v>0</v>
      </c>
      <c r="K102" s="54"/>
      <c r="L102" s="113">
        <f t="shared" si="28"/>
        <v>1977639.8776041078</v>
      </c>
      <c r="M102" s="54">
        <f t="shared" si="33"/>
        <v>0</v>
      </c>
      <c r="N102" s="113">
        <f t="shared" si="30"/>
        <v>1977639.8776041078</v>
      </c>
      <c r="O102" s="54">
        <f>IF(N102&lt;&gt;0,+I102-N102,0)</f>
        <v>0</v>
      </c>
      <c r="P102" s="54">
        <f>+O102-M102</f>
        <v>0</v>
      </c>
    </row>
    <row r="103" spans="1:16" ht="12.5">
      <c r="B103" s="7" t="str">
        <f t="shared" si="34"/>
        <v>IU</v>
      </c>
      <c r="C103" s="50">
        <f>IF(D93="","-",+C102+1)</f>
        <v>2019</v>
      </c>
      <c r="D103" s="429">
        <v>14600611.917774087</v>
      </c>
      <c r="E103" s="430">
        <v>370479.62790697673</v>
      </c>
      <c r="F103" s="431">
        <v>14230132.289867111</v>
      </c>
      <c r="G103" s="431">
        <v>14415372.1038206</v>
      </c>
      <c r="H103" s="433">
        <v>1913508.9365071231</v>
      </c>
      <c r="I103" s="434">
        <v>1913508.9365071231</v>
      </c>
      <c r="J103" s="54">
        <f t="shared" si="35"/>
        <v>0</v>
      </c>
      <c r="K103" s="54"/>
      <c r="L103" s="113">
        <f t="shared" si="28"/>
        <v>1913508.9365071231</v>
      </c>
      <c r="M103" s="54">
        <f t="shared" si="33"/>
        <v>0</v>
      </c>
      <c r="N103" s="113">
        <f t="shared" si="30"/>
        <v>1913508.9365071231</v>
      </c>
      <c r="O103" s="54">
        <f t="shared" si="31"/>
        <v>0</v>
      </c>
      <c r="P103" s="54">
        <f t="shared" si="32"/>
        <v>0</v>
      </c>
    </row>
    <row r="104" spans="1:16" ht="12.5">
      <c r="B104" s="7" t="str">
        <f t="shared" si="34"/>
        <v/>
      </c>
      <c r="C104" s="50">
        <f>IF(D93="","-",+C103+1)</f>
        <v>2020</v>
      </c>
      <c r="D104" s="429">
        <v>14230132.289867111</v>
      </c>
      <c r="E104" s="430">
        <v>379300.57142857142</v>
      </c>
      <c r="F104" s="431">
        <v>13850831.71843854</v>
      </c>
      <c r="G104" s="431">
        <v>14040482.004152825</v>
      </c>
      <c r="H104" s="433">
        <v>1889689.0307729272</v>
      </c>
      <c r="I104" s="434">
        <v>1889689.0307729272</v>
      </c>
      <c r="J104" s="54">
        <f t="shared" si="35"/>
        <v>0</v>
      </c>
      <c r="K104" s="54"/>
      <c r="L104" s="113">
        <f t="shared" si="28"/>
        <v>1889689.0307729272</v>
      </c>
      <c r="M104" s="54">
        <f t="shared" si="33"/>
        <v>0</v>
      </c>
      <c r="N104" s="113">
        <f t="shared" si="30"/>
        <v>1889689.0307729272</v>
      </c>
      <c r="O104" s="54">
        <f t="shared" si="31"/>
        <v>0</v>
      </c>
      <c r="P104" s="54">
        <f t="shared" si="32"/>
        <v>0</v>
      </c>
    </row>
    <row r="105" spans="1:16" ht="12.5">
      <c r="B105" s="7" t="str">
        <f t="shared" si="34"/>
        <v/>
      </c>
      <c r="C105" s="50">
        <f>IF(D93="","-",+C104+1)</f>
        <v>2021</v>
      </c>
      <c r="D105" s="429">
        <v>13850831.71843854</v>
      </c>
      <c r="E105" s="430">
        <v>388551.80487804877</v>
      </c>
      <c r="F105" s="431">
        <v>13462279.913560491</v>
      </c>
      <c r="G105" s="431">
        <v>13656555.815999515</v>
      </c>
      <c r="H105" s="433">
        <v>1938765.1732345268</v>
      </c>
      <c r="I105" s="434">
        <v>1938765.1732345268</v>
      </c>
      <c r="J105" s="54">
        <f t="shared" si="35"/>
        <v>0</v>
      </c>
      <c r="K105" s="54"/>
      <c r="L105" s="113">
        <f t="shared" ref="L105" si="36">+H105</f>
        <v>1938765.1732345268</v>
      </c>
      <c r="M105" s="54">
        <f t="shared" si="33"/>
        <v>0</v>
      </c>
      <c r="N105" s="113">
        <f t="shared" ref="N105" si="37">+I105</f>
        <v>1938765.1732345268</v>
      </c>
      <c r="O105" s="54">
        <f t="shared" si="31"/>
        <v>0</v>
      </c>
      <c r="P105" s="54">
        <f t="shared" si="32"/>
        <v>0</v>
      </c>
    </row>
    <row r="106" spans="1:16" ht="12.5">
      <c r="B106" s="7" t="str">
        <f t="shared" si="34"/>
        <v/>
      </c>
      <c r="C106" s="50">
        <f>IF(D93="","-",+C105+1)</f>
        <v>2022</v>
      </c>
      <c r="D106" s="429">
        <v>13462279.913560491</v>
      </c>
      <c r="E106" s="430">
        <v>379300.57142857142</v>
      </c>
      <c r="F106" s="431">
        <v>13082979.34213192</v>
      </c>
      <c r="G106" s="431">
        <v>13272629.627846206</v>
      </c>
      <c r="H106" s="433">
        <v>1938275.0190161855</v>
      </c>
      <c r="I106" s="434">
        <v>1938275.0190161855</v>
      </c>
      <c r="J106" s="54">
        <f t="shared" si="35"/>
        <v>0</v>
      </c>
      <c r="K106" s="54"/>
      <c r="L106" s="113">
        <f t="shared" ref="L106" si="38">+H106</f>
        <v>1938275.0190161855</v>
      </c>
      <c r="M106" s="54">
        <f t="shared" ref="M106" si="39">IF(L106&lt;&gt;0,+H106-L106,0)</f>
        <v>0</v>
      </c>
      <c r="N106" s="113">
        <f t="shared" ref="N106" si="40">+I106</f>
        <v>1938275.0190161855</v>
      </c>
      <c r="O106" s="54">
        <f t="shared" ref="O106" si="41">IF(N106&lt;&gt;0,+I106-N106,0)</f>
        <v>0</v>
      </c>
      <c r="P106" s="54">
        <f t="shared" ref="P106" si="42">+O106-M106</f>
        <v>0</v>
      </c>
    </row>
    <row r="107" spans="1:16" ht="12.5">
      <c r="B107" s="7" t="str">
        <f t="shared" si="34"/>
        <v>IU</v>
      </c>
      <c r="C107" s="50">
        <f>IF(D93="","-",+C106+1)</f>
        <v>2023</v>
      </c>
      <c r="D107" s="429">
        <v>13082979.832131924</v>
      </c>
      <c r="E107" s="430">
        <v>362059.64750000014</v>
      </c>
      <c r="F107" s="431">
        <v>12720920.184631923</v>
      </c>
      <c r="G107" s="431">
        <v>12901950.008381924</v>
      </c>
      <c r="H107" s="433">
        <v>1953709.4355682661</v>
      </c>
      <c r="I107" s="434">
        <v>1953709.4355682661</v>
      </c>
      <c r="J107" s="54">
        <f t="shared" si="35"/>
        <v>0</v>
      </c>
      <c r="K107" s="54"/>
      <c r="L107" s="113">
        <f t="shared" ref="L107" si="43">+H107</f>
        <v>1953709.4355682661</v>
      </c>
      <c r="M107" s="54">
        <f t="shared" ref="M107" si="44">IF(L107&lt;&gt;0,+H107-L107,0)</f>
        <v>0</v>
      </c>
      <c r="N107" s="113">
        <f t="shared" ref="N107" si="45">+I107</f>
        <v>1953709.4355682661</v>
      </c>
      <c r="O107" s="54">
        <f t="shared" ref="O107" si="46">IF(N107&lt;&gt;0,+I107-N107,0)</f>
        <v>0</v>
      </c>
      <c r="P107" s="54">
        <f t="shared" ref="P107" si="47">+O107-M107</f>
        <v>0</v>
      </c>
    </row>
    <row r="108" spans="1:16" ht="12.5">
      <c r="B108" s="7" t="str">
        <f t="shared" si="34"/>
        <v/>
      </c>
      <c r="C108" s="50">
        <f>IF(D93="","-",+C107+1)</f>
        <v>2024</v>
      </c>
      <c r="D108" s="12">
        <f>IF(F107+SUM(E$99:E107)=D$92,F107,D$92-SUM(E$99:E107))</f>
        <v>12720920.184631923</v>
      </c>
      <c r="E108" s="378">
        <f t="shared" ref="E108:E154" si="48">IF(+$J$96&lt;F107,$J$96,D108)</f>
        <v>362059.64750000014</v>
      </c>
      <c r="F108" s="55">
        <f t="shared" ref="F108:F154" si="49">+D108-E108</f>
        <v>12358860.537131922</v>
      </c>
      <c r="G108" s="55">
        <f t="shared" ref="G108:G154" si="50">+(F108+D108)/2</f>
        <v>12539890.360881923</v>
      </c>
      <c r="H108" s="380">
        <f t="shared" ref="H108:H154" si="51">+J$94*G108+E108</f>
        <v>1923606.2969129921</v>
      </c>
      <c r="I108" s="399">
        <f t="shared" ref="I108:I154" si="52">+J$95*G108+E108</f>
        <v>1923606.2969129921</v>
      </c>
      <c r="J108" s="54">
        <f t="shared" si="35"/>
        <v>0</v>
      </c>
      <c r="K108" s="54"/>
      <c r="L108" s="129"/>
      <c r="M108" s="54">
        <f t="shared" si="29"/>
        <v>0</v>
      </c>
      <c r="N108" s="129"/>
      <c r="O108" s="54">
        <f t="shared" si="31"/>
        <v>0</v>
      </c>
      <c r="P108" s="54">
        <f t="shared" si="32"/>
        <v>0</v>
      </c>
    </row>
    <row r="109" spans="1:16" ht="12.5">
      <c r="B109" s="7" t="str">
        <f t="shared" si="34"/>
        <v/>
      </c>
      <c r="C109" s="50">
        <f>IF(D93="","-",+C108+1)</f>
        <v>2025</v>
      </c>
      <c r="D109" s="12">
        <f>IF(F108+SUM(E$99:E108)=D$92,F108,D$92-SUM(E$99:E108))</f>
        <v>12358860.537131922</v>
      </c>
      <c r="E109" s="378">
        <f t="shared" si="48"/>
        <v>362059.64750000014</v>
      </c>
      <c r="F109" s="55">
        <f t="shared" si="49"/>
        <v>11996800.889631921</v>
      </c>
      <c r="G109" s="55">
        <f t="shared" si="50"/>
        <v>12177830.713381922</v>
      </c>
      <c r="H109" s="380">
        <f t="shared" si="51"/>
        <v>1878520.3341836089</v>
      </c>
      <c r="I109" s="399">
        <f t="shared" si="52"/>
        <v>1878520.3341836089</v>
      </c>
      <c r="J109" s="54">
        <f t="shared" si="35"/>
        <v>0</v>
      </c>
      <c r="K109" s="54"/>
      <c r="L109" s="129"/>
      <c r="M109" s="54">
        <f t="shared" si="29"/>
        <v>0</v>
      </c>
      <c r="N109" s="129"/>
      <c r="O109" s="54">
        <f t="shared" si="31"/>
        <v>0</v>
      </c>
      <c r="P109" s="54">
        <f t="shared" si="32"/>
        <v>0</v>
      </c>
    </row>
    <row r="110" spans="1:16" ht="12.5">
      <c r="B110" s="7" t="str">
        <f t="shared" si="34"/>
        <v/>
      </c>
      <c r="C110" s="50">
        <f>IF(D93="","-",+C109+1)</f>
        <v>2026</v>
      </c>
      <c r="D110" s="12">
        <f>IF(F109+SUM(E$99:E109)=D$92,F109,D$92-SUM(E$99:E109))</f>
        <v>11996800.889631921</v>
      </c>
      <c r="E110" s="378">
        <f t="shared" si="48"/>
        <v>362059.64750000014</v>
      </c>
      <c r="F110" s="55">
        <f t="shared" si="49"/>
        <v>11634741.242131921</v>
      </c>
      <c r="G110" s="55">
        <f t="shared" si="50"/>
        <v>11815771.065881921</v>
      </c>
      <c r="H110" s="380">
        <f t="shared" si="51"/>
        <v>1833434.3714542256</v>
      </c>
      <c r="I110" s="399">
        <f t="shared" si="52"/>
        <v>1833434.3714542256</v>
      </c>
      <c r="J110" s="54">
        <f t="shared" si="35"/>
        <v>0</v>
      </c>
      <c r="K110" s="54"/>
      <c r="L110" s="129"/>
      <c r="M110" s="54">
        <f t="shared" si="29"/>
        <v>0</v>
      </c>
      <c r="N110" s="129"/>
      <c r="O110" s="54">
        <f t="shared" si="31"/>
        <v>0</v>
      </c>
      <c r="P110" s="54">
        <f t="shared" si="32"/>
        <v>0</v>
      </c>
    </row>
    <row r="111" spans="1:16" ht="12.5">
      <c r="B111" s="7" t="str">
        <f t="shared" si="34"/>
        <v/>
      </c>
      <c r="C111" s="50">
        <f>IF(D93="","-",+C110+1)</f>
        <v>2027</v>
      </c>
      <c r="D111" s="12">
        <f>IF(F110+SUM(E$99:E110)=D$92,F110,D$92-SUM(E$99:E110))</f>
        <v>11634741.242131921</v>
      </c>
      <c r="E111" s="378">
        <f t="shared" si="48"/>
        <v>362059.64750000014</v>
      </c>
      <c r="F111" s="55">
        <f t="shared" si="49"/>
        <v>11272681.59463192</v>
      </c>
      <c r="G111" s="55">
        <f t="shared" si="50"/>
        <v>11453711.41838192</v>
      </c>
      <c r="H111" s="380">
        <f t="shared" si="51"/>
        <v>1788348.4087248421</v>
      </c>
      <c r="I111" s="399">
        <f t="shared" si="52"/>
        <v>1788348.4087248421</v>
      </c>
      <c r="J111" s="54">
        <f t="shared" si="35"/>
        <v>0</v>
      </c>
      <c r="K111" s="54"/>
      <c r="L111" s="129"/>
      <c r="M111" s="54">
        <f t="shared" si="29"/>
        <v>0</v>
      </c>
      <c r="N111" s="129"/>
      <c r="O111" s="54">
        <f t="shared" si="31"/>
        <v>0</v>
      </c>
      <c r="P111" s="54">
        <f t="shared" si="32"/>
        <v>0</v>
      </c>
    </row>
    <row r="112" spans="1:16" ht="12.5">
      <c r="B112" s="7" t="str">
        <f t="shared" si="34"/>
        <v/>
      </c>
      <c r="C112" s="50">
        <f>IF(D93="","-",+C111+1)</f>
        <v>2028</v>
      </c>
      <c r="D112" s="12">
        <f>IF(F111+SUM(E$99:E111)=D$92,F111,D$92-SUM(E$99:E111))</f>
        <v>11272681.59463192</v>
      </c>
      <c r="E112" s="378">
        <f t="shared" si="48"/>
        <v>362059.64750000014</v>
      </c>
      <c r="F112" s="55">
        <f t="shared" si="49"/>
        <v>10910621.947131919</v>
      </c>
      <c r="G112" s="55">
        <f t="shared" si="50"/>
        <v>11091651.770881919</v>
      </c>
      <c r="H112" s="380">
        <f t="shared" si="51"/>
        <v>1743262.4459954589</v>
      </c>
      <c r="I112" s="399">
        <f t="shared" si="52"/>
        <v>1743262.4459954589</v>
      </c>
      <c r="J112" s="54">
        <f t="shared" si="35"/>
        <v>0</v>
      </c>
      <c r="K112" s="54"/>
      <c r="L112" s="129"/>
      <c r="M112" s="54">
        <f t="shared" si="29"/>
        <v>0</v>
      </c>
      <c r="N112" s="129"/>
      <c r="O112" s="54">
        <f t="shared" si="31"/>
        <v>0</v>
      </c>
      <c r="P112" s="54">
        <f t="shared" si="32"/>
        <v>0</v>
      </c>
    </row>
    <row r="113" spans="2:16" ht="12.5">
      <c r="B113" s="7" t="str">
        <f t="shared" si="34"/>
        <v/>
      </c>
      <c r="C113" s="50">
        <f>IF(D93="","-",+C112+1)</f>
        <v>2029</v>
      </c>
      <c r="D113" s="12">
        <f>IF(F112+SUM(E$99:E112)=D$92,F112,D$92-SUM(E$99:E112))</f>
        <v>10910621.947131919</v>
      </c>
      <c r="E113" s="378">
        <f t="shared" si="48"/>
        <v>362059.64750000014</v>
      </c>
      <c r="F113" s="55">
        <f t="shared" si="49"/>
        <v>10548562.299631918</v>
      </c>
      <c r="G113" s="55">
        <f t="shared" si="50"/>
        <v>10729592.123381918</v>
      </c>
      <c r="H113" s="380">
        <f t="shared" si="51"/>
        <v>1698176.4832660756</v>
      </c>
      <c r="I113" s="399">
        <f t="shared" si="52"/>
        <v>1698176.4832660756</v>
      </c>
      <c r="J113" s="54">
        <f t="shared" si="35"/>
        <v>0</v>
      </c>
      <c r="K113" s="54"/>
      <c r="L113" s="129"/>
      <c r="M113" s="54">
        <f t="shared" si="29"/>
        <v>0</v>
      </c>
      <c r="N113" s="129"/>
      <c r="O113" s="54">
        <f t="shared" si="31"/>
        <v>0</v>
      </c>
      <c r="P113" s="54">
        <f t="shared" si="32"/>
        <v>0</v>
      </c>
    </row>
    <row r="114" spans="2:16" ht="12.5">
      <c r="B114" s="7" t="str">
        <f t="shared" si="34"/>
        <v/>
      </c>
      <c r="C114" s="50">
        <f>IF(D93="","-",+C113+1)</f>
        <v>2030</v>
      </c>
      <c r="D114" s="12">
        <f>IF(F113+SUM(E$99:E113)=D$92,F113,D$92-SUM(E$99:E113))</f>
        <v>10548562.299631918</v>
      </c>
      <c r="E114" s="378">
        <f t="shared" si="48"/>
        <v>362059.64750000014</v>
      </c>
      <c r="F114" s="55">
        <f t="shared" si="49"/>
        <v>10186502.652131917</v>
      </c>
      <c r="G114" s="55">
        <f t="shared" si="50"/>
        <v>10367532.475881917</v>
      </c>
      <c r="H114" s="380">
        <f t="shared" si="51"/>
        <v>1653090.5205366923</v>
      </c>
      <c r="I114" s="399">
        <f t="shared" si="52"/>
        <v>1653090.5205366923</v>
      </c>
      <c r="J114" s="54">
        <f t="shared" si="35"/>
        <v>0</v>
      </c>
      <c r="K114" s="54"/>
      <c r="L114" s="129"/>
      <c r="M114" s="54">
        <f t="shared" si="29"/>
        <v>0</v>
      </c>
      <c r="N114" s="129"/>
      <c r="O114" s="54">
        <f t="shared" si="31"/>
        <v>0</v>
      </c>
      <c r="P114" s="54">
        <f t="shared" si="32"/>
        <v>0</v>
      </c>
    </row>
    <row r="115" spans="2:16" ht="12.5">
      <c r="B115" s="7" t="str">
        <f t="shared" si="34"/>
        <v/>
      </c>
      <c r="C115" s="50">
        <f>IF(D93="","-",+C114+1)</f>
        <v>2031</v>
      </c>
      <c r="D115" s="12">
        <f>IF(F114+SUM(E$99:E114)=D$92,F114,D$92-SUM(E$99:E114))</f>
        <v>10186502.652131917</v>
      </c>
      <c r="E115" s="378">
        <f t="shared" si="48"/>
        <v>362059.64750000014</v>
      </c>
      <c r="F115" s="55">
        <f t="shared" si="49"/>
        <v>9824443.0046319161</v>
      </c>
      <c r="G115" s="55">
        <f t="shared" si="50"/>
        <v>10005472.828381917</v>
      </c>
      <c r="H115" s="380">
        <f t="shared" si="51"/>
        <v>1608004.5578073091</v>
      </c>
      <c r="I115" s="399">
        <f t="shared" si="52"/>
        <v>1608004.5578073091</v>
      </c>
      <c r="J115" s="54">
        <f t="shared" si="35"/>
        <v>0</v>
      </c>
      <c r="K115" s="54"/>
      <c r="L115" s="129"/>
      <c r="M115" s="54">
        <f t="shared" si="29"/>
        <v>0</v>
      </c>
      <c r="N115" s="129"/>
      <c r="O115" s="54">
        <f t="shared" si="31"/>
        <v>0</v>
      </c>
      <c r="P115" s="54">
        <f t="shared" si="32"/>
        <v>0</v>
      </c>
    </row>
    <row r="116" spans="2:16" ht="12.5">
      <c r="B116" s="7" t="str">
        <f t="shared" si="34"/>
        <v/>
      </c>
      <c r="C116" s="50">
        <f>IF(D93="","-",+C115+1)</f>
        <v>2032</v>
      </c>
      <c r="D116" s="12">
        <f>IF(F115+SUM(E$99:E115)=D$92,F115,D$92-SUM(E$99:E115))</f>
        <v>9824443.0046319161</v>
      </c>
      <c r="E116" s="378">
        <f t="shared" si="48"/>
        <v>362059.64750000014</v>
      </c>
      <c r="F116" s="55">
        <f t="shared" si="49"/>
        <v>9462383.3571319152</v>
      </c>
      <c r="G116" s="55">
        <f t="shared" si="50"/>
        <v>9643413.1808819156</v>
      </c>
      <c r="H116" s="380">
        <f t="shared" si="51"/>
        <v>1562918.5950779256</v>
      </c>
      <c r="I116" s="399">
        <f t="shared" si="52"/>
        <v>1562918.5950779256</v>
      </c>
      <c r="J116" s="54">
        <f t="shared" si="35"/>
        <v>0</v>
      </c>
      <c r="K116" s="54"/>
      <c r="L116" s="129"/>
      <c r="M116" s="54">
        <f t="shared" si="29"/>
        <v>0</v>
      </c>
      <c r="N116" s="129"/>
      <c r="O116" s="54">
        <f t="shared" si="31"/>
        <v>0</v>
      </c>
      <c r="P116" s="54">
        <f t="shared" si="32"/>
        <v>0</v>
      </c>
    </row>
    <row r="117" spans="2:16" ht="12.5">
      <c r="B117" s="7" t="str">
        <f t="shared" si="34"/>
        <v/>
      </c>
      <c r="C117" s="50">
        <f>IF(D93="","-",+C116+1)</f>
        <v>2033</v>
      </c>
      <c r="D117" s="12">
        <f>IF(F116+SUM(E$99:E116)=D$92,F116,D$92-SUM(E$99:E116))</f>
        <v>9462383.3571319152</v>
      </c>
      <c r="E117" s="378">
        <f t="shared" si="48"/>
        <v>362059.64750000014</v>
      </c>
      <c r="F117" s="55">
        <f t="shared" si="49"/>
        <v>9100323.7096319143</v>
      </c>
      <c r="G117" s="55">
        <f t="shared" si="50"/>
        <v>9281353.5333819147</v>
      </c>
      <c r="H117" s="380">
        <f t="shared" si="51"/>
        <v>1517832.6323485423</v>
      </c>
      <c r="I117" s="399">
        <f t="shared" si="52"/>
        <v>1517832.6323485423</v>
      </c>
      <c r="J117" s="54">
        <f t="shared" si="35"/>
        <v>0</v>
      </c>
      <c r="K117" s="54"/>
      <c r="L117" s="129"/>
      <c r="M117" s="54">
        <f t="shared" si="29"/>
        <v>0</v>
      </c>
      <c r="N117" s="129"/>
      <c r="O117" s="54">
        <f t="shared" si="31"/>
        <v>0</v>
      </c>
      <c r="P117" s="54">
        <f t="shared" si="32"/>
        <v>0</v>
      </c>
    </row>
    <row r="118" spans="2:16" ht="12.5">
      <c r="B118" s="7" t="str">
        <f t="shared" si="34"/>
        <v/>
      </c>
      <c r="C118" s="50">
        <f>IF(D93="","-",+C117+1)</f>
        <v>2034</v>
      </c>
      <c r="D118" s="12">
        <f>IF(F117+SUM(E$99:E117)=D$92,F117,D$92-SUM(E$99:E117))</f>
        <v>9100323.7096319143</v>
      </c>
      <c r="E118" s="378">
        <f t="shared" si="48"/>
        <v>362059.64750000014</v>
      </c>
      <c r="F118" s="55">
        <f t="shared" si="49"/>
        <v>8738264.0621319134</v>
      </c>
      <c r="G118" s="55">
        <f t="shared" si="50"/>
        <v>8919293.8858819138</v>
      </c>
      <c r="H118" s="380">
        <f t="shared" si="51"/>
        <v>1472746.6696191591</v>
      </c>
      <c r="I118" s="399">
        <f t="shared" si="52"/>
        <v>1472746.6696191591</v>
      </c>
      <c r="J118" s="54">
        <f t="shared" si="35"/>
        <v>0</v>
      </c>
      <c r="K118" s="54"/>
      <c r="L118" s="129"/>
      <c r="M118" s="54">
        <f t="shared" si="29"/>
        <v>0</v>
      </c>
      <c r="N118" s="129"/>
      <c r="O118" s="54">
        <f t="shared" si="31"/>
        <v>0</v>
      </c>
      <c r="P118" s="54">
        <f t="shared" si="32"/>
        <v>0</v>
      </c>
    </row>
    <row r="119" spans="2:16" ht="12.5">
      <c r="B119" s="7" t="str">
        <f t="shared" si="34"/>
        <v/>
      </c>
      <c r="C119" s="50">
        <f>IF(D93="","-",+C118+1)</f>
        <v>2035</v>
      </c>
      <c r="D119" s="12">
        <f>IF(F118+SUM(E$99:E118)=D$92,F118,D$92-SUM(E$99:E118))</f>
        <v>8738264.0621319134</v>
      </c>
      <c r="E119" s="378">
        <f t="shared" si="48"/>
        <v>362059.64750000014</v>
      </c>
      <c r="F119" s="55">
        <f t="shared" si="49"/>
        <v>8376204.4146319134</v>
      </c>
      <c r="G119" s="55">
        <f t="shared" si="50"/>
        <v>8557234.2383819129</v>
      </c>
      <c r="H119" s="380">
        <f t="shared" si="51"/>
        <v>1427660.7068897758</v>
      </c>
      <c r="I119" s="399">
        <f t="shared" si="52"/>
        <v>1427660.7068897758</v>
      </c>
      <c r="J119" s="54">
        <f t="shared" si="35"/>
        <v>0</v>
      </c>
      <c r="K119" s="54"/>
      <c r="L119" s="129"/>
      <c r="M119" s="54">
        <f t="shared" si="29"/>
        <v>0</v>
      </c>
      <c r="N119" s="129"/>
      <c r="O119" s="54">
        <f t="shared" si="31"/>
        <v>0</v>
      </c>
      <c r="P119" s="54">
        <f t="shared" si="32"/>
        <v>0</v>
      </c>
    </row>
    <row r="120" spans="2:16" ht="12.5">
      <c r="B120" s="7" t="str">
        <f t="shared" si="34"/>
        <v/>
      </c>
      <c r="C120" s="50">
        <f>IF(D93="","-",+C119+1)</f>
        <v>2036</v>
      </c>
      <c r="D120" s="12">
        <f>IF(F119+SUM(E$99:E119)=D$92,F119,D$92-SUM(E$99:E119))</f>
        <v>8376204.4146319134</v>
      </c>
      <c r="E120" s="378">
        <f t="shared" si="48"/>
        <v>362059.64750000014</v>
      </c>
      <c r="F120" s="55">
        <f t="shared" si="49"/>
        <v>8014144.7671319135</v>
      </c>
      <c r="G120" s="55">
        <f t="shared" si="50"/>
        <v>8195174.5908819139</v>
      </c>
      <c r="H120" s="380">
        <f t="shared" si="51"/>
        <v>1382574.7441603926</v>
      </c>
      <c r="I120" s="399">
        <f t="shared" si="52"/>
        <v>1382574.7441603926</v>
      </c>
      <c r="J120" s="54">
        <f t="shared" si="35"/>
        <v>0</v>
      </c>
      <c r="K120" s="54"/>
      <c r="L120" s="129"/>
      <c r="M120" s="54">
        <f t="shared" si="29"/>
        <v>0</v>
      </c>
      <c r="N120" s="129"/>
      <c r="O120" s="54">
        <f t="shared" si="31"/>
        <v>0</v>
      </c>
      <c r="P120" s="54">
        <f t="shared" si="32"/>
        <v>0</v>
      </c>
    </row>
    <row r="121" spans="2:16" ht="12.5">
      <c r="B121" s="7" t="str">
        <f t="shared" si="34"/>
        <v/>
      </c>
      <c r="C121" s="50">
        <f>IF(D93="","-",+C120+1)</f>
        <v>2037</v>
      </c>
      <c r="D121" s="12">
        <f>IF(F120+SUM(E$99:E120)=D$92,F120,D$92-SUM(E$99:E120))</f>
        <v>8014144.7671319135</v>
      </c>
      <c r="E121" s="378">
        <f t="shared" si="48"/>
        <v>362059.64750000014</v>
      </c>
      <c r="F121" s="55">
        <f t="shared" si="49"/>
        <v>7652085.1196319135</v>
      </c>
      <c r="G121" s="55">
        <f t="shared" si="50"/>
        <v>7833114.943381913</v>
      </c>
      <c r="H121" s="380">
        <f t="shared" si="51"/>
        <v>1337488.7814310093</v>
      </c>
      <c r="I121" s="399">
        <f t="shared" si="52"/>
        <v>1337488.7814310093</v>
      </c>
      <c r="J121" s="54">
        <f t="shared" si="35"/>
        <v>0</v>
      </c>
      <c r="K121" s="54"/>
      <c r="L121" s="129"/>
      <c r="M121" s="54">
        <f t="shared" si="29"/>
        <v>0</v>
      </c>
      <c r="N121" s="129"/>
      <c r="O121" s="54">
        <f t="shared" si="31"/>
        <v>0</v>
      </c>
      <c r="P121" s="54">
        <f t="shared" si="32"/>
        <v>0</v>
      </c>
    </row>
    <row r="122" spans="2:16" ht="12.5">
      <c r="B122" s="7" t="str">
        <f t="shared" si="34"/>
        <v/>
      </c>
      <c r="C122" s="50">
        <f>IF(D93="","-",+C121+1)</f>
        <v>2038</v>
      </c>
      <c r="D122" s="12">
        <f>IF(F121+SUM(E$99:E121)=D$92,F121,D$92-SUM(E$99:E121))</f>
        <v>7652085.1196319135</v>
      </c>
      <c r="E122" s="378">
        <f t="shared" si="48"/>
        <v>362059.64750000014</v>
      </c>
      <c r="F122" s="55">
        <f t="shared" si="49"/>
        <v>7290025.4721319135</v>
      </c>
      <c r="G122" s="55">
        <f t="shared" si="50"/>
        <v>7471055.295881914</v>
      </c>
      <c r="H122" s="380">
        <f t="shared" si="51"/>
        <v>1292402.8187016263</v>
      </c>
      <c r="I122" s="399">
        <f t="shared" si="52"/>
        <v>1292402.8187016263</v>
      </c>
      <c r="J122" s="54">
        <f t="shared" si="35"/>
        <v>0</v>
      </c>
      <c r="K122" s="54"/>
      <c r="L122" s="129"/>
      <c r="M122" s="54">
        <f t="shared" si="29"/>
        <v>0</v>
      </c>
      <c r="N122" s="129"/>
      <c r="O122" s="54">
        <f t="shared" si="31"/>
        <v>0</v>
      </c>
      <c r="P122" s="54">
        <f t="shared" si="32"/>
        <v>0</v>
      </c>
    </row>
    <row r="123" spans="2:16" ht="12.5">
      <c r="B123" s="7" t="str">
        <f t="shared" si="34"/>
        <v/>
      </c>
      <c r="C123" s="50">
        <f>IF(D93="","-",+C122+1)</f>
        <v>2039</v>
      </c>
      <c r="D123" s="12">
        <f>IF(F122+SUM(E$99:E122)=D$92,F122,D$92-SUM(E$99:E122))</f>
        <v>7290025.4721319135</v>
      </c>
      <c r="E123" s="378">
        <f t="shared" si="48"/>
        <v>362059.64750000014</v>
      </c>
      <c r="F123" s="55">
        <f t="shared" si="49"/>
        <v>6927965.8246319136</v>
      </c>
      <c r="G123" s="55">
        <f t="shared" si="50"/>
        <v>7108995.6483819131</v>
      </c>
      <c r="H123" s="380">
        <f t="shared" si="51"/>
        <v>1247316.855972243</v>
      </c>
      <c r="I123" s="399">
        <f t="shared" si="52"/>
        <v>1247316.855972243</v>
      </c>
      <c r="J123" s="54">
        <f t="shared" si="35"/>
        <v>0</v>
      </c>
      <c r="K123" s="54"/>
      <c r="L123" s="129"/>
      <c r="M123" s="54">
        <f t="shared" si="29"/>
        <v>0</v>
      </c>
      <c r="N123" s="129"/>
      <c r="O123" s="54">
        <f t="shared" si="31"/>
        <v>0</v>
      </c>
      <c r="P123" s="54">
        <f t="shared" si="32"/>
        <v>0</v>
      </c>
    </row>
    <row r="124" spans="2:16" ht="12.5">
      <c r="B124" s="7" t="str">
        <f t="shared" si="34"/>
        <v/>
      </c>
      <c r="C124" s="50">
        <f>IF(D93="","-",+C123+1)</f>
        <v>2040</v>
      </c>
      <c r="D124" s="12">
        <f>IF(F123+SUM(E$99:E123)=D$92,F123,D$92-SUM(E$99:E123))</f>
        <v>6927965.8246319136</v>
      </c>
      <c r="E124" s="378">
        <f t="shared" si="48"/>
        <v>362059.64750000014</v>
      </c>
      <c r="F124" s="55">
        <f t="shared" si="49"/>
        <v>6565906.1771319136</v>
      </c>
      <c r="G124" s="55">
        <f t="shared" si="50"/>
        <v>6746936.000881914</v>
      </c>
      <c r="H124" s="380">
        <f t="shared" si="51"/>
        <v>1202230.89324286</v>
      </c>
      <c r="I124" s="399">
        <f t="shared" si="52"/>
        <v>1202230.89324286</v>
      </c>
      <c r="J124" s="54">
        <f t="shared" si="35"/>
        <v>0</v>
      </c>
      <c r="K124" s="54"/>
      <c r="L124" s="129"/>
      <c r="M124" s="54">
        <f t="shared" si="29"/>
        <v>0</v>
      </c>
      <c r="N124" s="129"/>
      <c r="O124" s="54">
        <f t="shared" si="31"/>
        <v>0</v>
      </c>
      <c r="P124" s="54">
        <f t="shared" si="32"/>
        <v>0</v>
      </c>
    </row>
    <row r="125" spans="2:16" ht="12.5">
      <c r="B125" s="7" t="str">
        <f t="shared" si="34"/>
        <v/>
      </c>
      <c r="C125" s="50">
        <f>IF(D93="","-",+C124+1)</f>
        <v>2041</v>
      </c>
      <c r="D125" s="12">
        <f>IF(F124+SUM(E$99:E124)=D$92,F124,D$92-SUM(E$99:E124))</f>
        <v>6565906.1771319136</v>
      </c>
      <c r="E125" s="378">
        <f t="shared" si="48"/>
        <v>362059.64750000014</v>
      </c>
      <c r="F125" s="55">
        <f t="shared" si="49"/>
        <v>6203846.5296319136</v>
      </c>
      <c r="G125" s="55">
        <f t="shared" si="50"/>
        <v>6384876.3533819132</v>
      </c>
      <c r="H125" s="380">
        <f t="shared" si="51"/>
        <v>1157144.9305134765</v>
      </c>
      <c r="I125" s="399">
        <f t="shared" si="52"/>
        <v>1157144.9305134765</v>
      </c>
      <c r="J125" s="54">
        <f t="shared" si="35"/>
        <v>0</v>
      </c>
      <c r="K125" s="54"/>
      <c r="L125" s="129"/>
      <c r="M125" s="54">
        <f t="shared" si="29"/>
        <v>0</v>
      </c>
      <c r="N125" s="129"/>
      <c r="O125" s="54">
        <f t="shared" si="31"/>
        <v>0</v>
      </c>
      <c r="P125" s="54">
        <f t="shared" si="32"/>
        <v>0</v>
      </c>
    </row>
    <row r="126" spans="2:16" ht="12.5">
      <c r="B126" s="7" t="str">
        <f t="shared" si="34"/>
        <v/>
      </c>
      <c r="C126" s="50">
        <f>IF(D93="","-",+C125+1)</f>
        <v>2042</v>
      </c>
      <c r="D126" s="12">
        <f>IF(F125+SUM(E$99:E125)=D$92,F125,D$92-SUM(E$99:E125))</f>
        <v>6203846.5296319136</v>
      </c>
      <c r="E126" s="378">
        <f t="shared" si="48"/>
        <v>362059.64750000014</v>
      </c>
      <c r="F126" s="55">
        <f t="shared" si="49"/>
        <v>5841786.8821319137</v>
      </c>
      <c r="G126" s="55">
        <f t="shared" si="50"/>
        <v>6022816.7058819141</v>
      </c>
      <c r="H126" s="380">
        <f t="shared" si="51"/>
        <v>1112058.9677840935</v>
      </c>
      <c r="I126" s="399">
        <f t="shared" si="52"/>
        <v>1112058.9677840935</v>
      </c>
      <c r="J126" s="54">
        <f t="shared" si="35"/>
        <v>0</v>
      </c>
      <c r="K126" s="54"/>
      <c r="L126" s="129"/>
      <c r="M126" s="54">
        <f t="shared" si="29"/>
        <v>0</v>
      </c>
      <c r="N126" s="129"/>
      <c r="O126" s="54">
        <f t="shared" si="31"/>
        <v>0</v>
      </c>
      <c r="P126" s="54">
        <f t="shared" si="32"/>
        <v>0</v>
      </c>
    </row>
    <row r="127" spans="2:16" ht="12.5">
      <c r="B127" s="7" t="str">
        <f t="shared" si="34"/>
        <v/>
      </c>
      <c r="C127" s="50">
        <f>IF(D93="","-",+C126+1)</f>
        <v>2043</v>
      </c>
      <c r="D127" s="12">
        <f>IF(F126+SUM(E$99:E126)=D$92,F126,D$92-SUM(E$99:E126))</f>
        <v>5841786.8821319137</v>
      </c>
      <c r="E127" s="378">
        <f t="shared" si="48"/>
        <v>362059.64750000014</v>
      </c>
      <c r="F127" s="55">
        <f t="shared" si="49"/>
        <v>5479727.2346319137</v>
      </c>
      <c r="G127" s="55">
        <f t="shared" si="50"/>
        <v>5660757.0583819132</v>
      </c>
      <c r="H127" s="380">
        <f t="shared" si="51"/>
        <v>1066973.0050547102</v>
      </c>
      <c r="I127" s="399">
        <f t="shared" si="52"/>
        <v>1066973.0050547102</v>
      </c>
      <c r="J127" s="54">
        <f t="shared" si="35"/>
        <v>0</v>
      </c>
      <c r="K127" s="54"/>
      <c r="L127" s="129"/>
      <c r="M127" s="54">
        <f t="shared" si="29"/>
        <v>0</v>
      </c>
      <c r="N127" s="129"/>
      <c r="O127" s="54">
        <f t="shared" si="31"/>
        <v>0</v>
      </c>
      <c r="P127" s="54">
        <f t="shared" si="32"/>
        <v>0</v>
      </c>
    </row>
    <row r="128" spans="2:16" ht="12.5">
      <c r="B128" s="7" t="str">
        <f t="shared" si="34"/>
        <v/>
      </c>
      <c r="C128" s="50">
        <f>IF(D93="","-",+C127+1)</f>
        <v>2044</v>
      </c>
      <c r="D128" s="12">
        <f>IF(F127+SUM(E$99:E127)=D$92,F127,D$92-SUM(E$99:E127))</f>
        <v>5479727.2346319137</v>
      </c>
      <c r="E128" s="378">
        <f t="shared" si="48"/>
        <v>362059.64750000014</v>
      </c>
      <c r="F128" s="55">
        <f t="shared" si="49"/>
        <v>5117667.5871319138</v>
      </c>
      <c r="G128" s="55">
        <f t="shared" si="50"/>
        <v>5298697.4108819142</v>
      </c>
      <c r="H128" s="380">
        <f t="shared" si="51"/>
        <v>1021887.0423253272</v>
      </c>
      <c r="I128" s="399">
        <f t="shared" si="52"/>
        <v>1021887.0423253272</v>
      </c>
      <c r="J128" s="54">
        <f t="shared" si="35"/>
        <v>0</v>
      </c>
      <c r="K128" s="54"/>
      <c r="L128" s="129"/>
      <c r="M128" s="54">
        <f t="shared" si="29"/>
        <v>0</v>
      </c>
      <c r="N128" s="129"/>
      <c r="O128" s="54">
        <f t="shared" si="31"/>
        <v>0</v>
      </c>
      <c r="P128" s="54">
        <f t="shared" si="32"/>
        <v>0</v>
      </c>
    </row>
    <row r="129" spans="2:16" ht="12.5">
      <c r="B129" s="7" t="str">
        <f t="shared" si="34"/>
        <v/>
      </c>
      <c r="C129" s="50">
        <f>IF(D93="","-",+C128+1)</f>
        <v>2045</v>
      </c>
      <c r="D129" s="12">
        <f>IF(F128+SUM(E$99:E128)=D$92,F128,D$92-SUM(E$99:E128))</f>
        <v>5117667.5871319138</v>
      </c>
      <c r="E129" s="378">
        <f t="shared" si="48"/>
        <v>362059.64750000014</v>
      </c>
      <c r="F129" s="55">
        <f t="shared" si="49"/>
        <v>4755607.9396319138</v>
      </c>
      <c r="G129" s="55">
        <f t="shared" si="50"/>
        <v>4936637.7633819133</v>
      </c>
      <c r="H129" s="380">
        <f t="shared" si="51"/>
        <v>976801.07959594391</v>
      </c>
      <c r="I129" s="399">
        <f t="shared" si="52"/>
        <v>976801.07959594391</v>
      </c>
      <c r="J129" s="54">
        <f t="shared" si="35"/>
        <v>0</v>
      </c>
      <c r="K129" s="54"/>
      <c r="L129" s="129"/>
      <c r="M129" s="54">
        <f t="shared" si="29"/>
        <v>0</v>
      </c>
      <c r="N129" s="129"/>
      <c r="O129" s="54">
        <f t="shared" si="31"/>
        <v>0</v>
      </c>
      <c r="P129" s="54">
        <f t="shared" si="32"/>
        <v>0</v>
      </c>
    </row>
    <row r="130" spans="2:16" ht="12.5">
      <c r="B130" s="7" t="str">
        <f t="shared" si="34"/>
        <v/>
      </c>
      <c r="C130" s="50">
        <f>IF(D93="","-",+C129+1)</f>
        <v>2046</v>
      </c>
      <c r="D130" s="12">
        <f>IF(F129+SUM(E$99:E129)=D$92,F129,D$92-SUM(E$99:E129))</f>
        <v>4755607.9396319138</v>
      </c>
      <c r="E130" s="378">
        <f t="shared" si="48"/>
        <v>362059.64750000014</v>
      </c>
      <c r="F130" s="55">
        <f t="shared" si="49"/>
        <v>4393548.2921319138</v>
      </c>
      <c r="G130" s="55">
        <f t="shared" si="50"/>
        <v>4574578.1158819143</v>
      </c>
      <c r="H130" s="380">
        <f t="shared" si="51"/>
        <v>931715.11686656065</v>
      </c>
      <c r="I130" s="399">
        <f t="shared" si="52"/>
        <v>931715.11686656065</v>
      </c>
      <c r="J130" s="54">
        <f t="shared" si="35"/>
        <v>0</v>
      </c>
      <c r="K130" s="54"/>
      <c r="L130" s="129"/>
      <c r="M130" s="54">
        <f t="shared" si="29"/>
        <v>0</v>
      </c>
      <c r="N130" s="129"/>
      <c r="O130" s="54">
        <f t="shared" si="31"/>
        <v>0</v>
      </c>
      <c r="P130" s="54">
        <f t="shared" si="32"/>
        <v>0</v>
      </c>
    </row>
    <row r="131" spans="2:16" ht="12.5">
      <c r="B131" s="7" t="str">
        <f t="shared" si="34"/>
        <v/>
      </c>
      <c r="C131" s="50">
        <f>IF(D93="","-",+C130+1)</f>
        <v>2047</v>
      </c>
      <c r="D131" s="12">
        <f>IF(F130+SUM(E$99:E130)=D$92,F130,D$92-SUM(E$99:E130))</f>
        <v>4393548.2921319138</v>
      </c>
      <c r="E131" s="378">
        <f t="shared" si="48"/>
        <v>362059.64750000014</v>
      </c>
      <c r="F131" s="55">
        <f t="shared" si="49"/>
        <v>4031488.6446319139</v>
      </c>
      <c r="G131" s="55">
        <f t="shared" si="50"/>
        <v>4212518.4683819134</v>
      </c>
      <c r="H131" s="380">
        <f t="shared" si="51"/>
        <v>886629.15413717739</v>
      </c>
      <c r="I131" s="399">
        <f t="shared" si="52"/>
        <v>886629.15413717739</v>
      </c>
      <c r="J131" s="54">
        <f t="shared" si="35"/>
        <v>0</v>
      </c>
      <c r="K131" s="54"/>
      <c r="L131" s="129"/>
      <c r="M131" s="54">
        <f t="shared" ref="M131:M154" si="53">IF(L541&lt;&gt;0,+H541-L541,0)</f>
        <v>0</v>
      </c>
      <c r="N131" s="129"/>
      <c r="O131" s="54">
        <f t="shared" ref="O131:O154" si="54">IF(N541&lt;&gt;0,+I541-N541,0)</f>
        <v>0</v>
      </c>
      <c r="P131" s="54">
        <f t="shared" ref="P131:P154" si="55">+O541-M541</f>
        <v>0</v>
      </c>
    </row>
    <row r="132" spans="2:16" ht="12.5">
      <c r="B132" s="7" t="str">
        <f t="shared" si="34"/>
        <v/>
      </c>
      <c r="C132" s="50">
        <f>IF(D93="","-",+C131+1)</f>
        <v>2048</v>
      </c>
      <c r="D132" s="12">
        <f>IF(F131+SUM(E$99:E131)=D$92,F131,D$92-SUM(E$99:E131))</f>
        <v>4031488.6446319139</v>
      </c>
      <c r="E132" s="378">
        <f t="shared" si="48"/>
        <v>362059.64750000014</v>
      </c>
      <c r="F132" s="55">
        <f t="shared" si="49"/>
        <v>3669428.9971319139</v>
      </c>
      <c r="G132" s="55">
        <f t="shared" si="50"/>
        <v>3850458.8208819139</v>
      </c>
      <c r="H132" s="380">
        <f t="shared" si="51"/>
        <v>841543.19140779437</v>
      </c>
      <c r="I132" s="399">
        <f t="shared" si="52"/>
        <v>841543.19140779437</v>
      </c>
      <c r="J132" s="54">
        <f t="shared" si="35"/>
        <v>0</v>
      </c>
      <c r="K132" s="54"/>
      <c r="L132" s="129"/>
      <c r="M132" s="54">
        <f t="shared" si="53"/>
        <v>0</v>
      </c>
      <c r="N132" s="129"/>
      <c r="O132" s="54">
        <f t="shared" si="54"/>
        <v>0</v>
      </c>
      <c r="P132" s="54">
        <f t="shared" si="55"/>
        <v>0</v>
      </c>
    </row>
    <row r="133" spans="2:16" ht="12.5">
      <c r="B133" s="7" t="str">
        <f t="shared" si="34"/>
        <v/>
      </c>
      <c r="C133" s="50">
        <f>IF(D93="","-",+C132+1)</f>
        <v>2049</v>
      </c>
      <c r="D133" s="12">
        <f>IF(F132+SUM(E$99:E132)=D$92,F132,D$92-SUM(E$99:E132))</f>
        <v>3669428.9971319139</v>
      </c>
      <c r="E133" s="378">
        <f t="shared" si="48"/>
        <v>362059.64750000014</v>
      </c>
      <c r="F133" s="55">
        <f t="shared" si="49"/>
        <v>3307369.3496319139</v>
      </c>
      <c r="G133" s="55">
        <f t="shared" si="50"/>
        <v>3488399.1733819139</v>
      </c>
      <c r="H133" s="380">
        <f t="shared" si="51"/>
        <v>796457.22867841111</v>
      </c>
      <c r="I133" s="399">
        <f t="shared" si="52"/>
        <v>796457.22867841111</v>
      </c>
      <c r="J133" s="54">
        <f t="shared" si="35"/>
        <v>0</v>
      </c>
      <c r="K133" s="54"/>
      <c r="L133" s="129"/>
      <c r="M133" s="54">
        <f t="shared" si="53"/>
        <v>0</v>
      </c>
      <c r="N133" s="129"/>
      <c r="O133" s="54">
        <f t="shared" si="54"/>
        <v>0</v>
      </c>
      <c r="P133" s="54">
        <f t="shared" si="55"/>
        <v>0</v>
      </c>
    </row>
    <row r="134" spans="2:16" ht="12.5">
      <c r="B134" s="7" t="str">
        <f t="shared" si="34"/>
        <v/>
      </c>
      <c r="C134" s="50">
        <f>IF(D93="","-",+C133+1)</f>
        <v>2050</v>
      </c>
      <c r="D134" s="12">
        <f>IF(F133+SUM(E$99:E133)=D$92,F133,D$92-SUM(E$99:E133))</f>
        <v>3307369.3496319139</v>
      </c>
      <c r="E134" s="378">
        <f t="shared" si="48"/>
        <v>362059.64750000014</v>
      </c>
      <c r="F134" s="55">
        <f t="shared" si="49"/>
        <v>2945309.702131914</v>
      </c>
      <c r="G134" s="55">
        <f t="shared" si="50"/>
        <v>3126339.525881914</v>
      </c>
      <c r="H134" s="380">
        <f t="shared" si="51"/>
        <v>751371.26594902796</v>
      </c>
      <c r="I134" s="399">
        <f t="shared" si="52"/>
        <v>751371.26594902796</v>
      </c>
      <c r="J134" s="54">
        <f t="shared" si="35"/>
        <v>0</v>
      </c>
      <c r="K134" s="54"/>
      <c r="L134" s="129"/>
      <c r="M134" s="54">
        <f t="shared" si="53"/>
        <v>0</v>
      </c>
      <c r="N134" s="129"/>
      <c r="O134" s="54">
        <f t="shared" si="54"/>
        <v>0</v>
      </c>
      <c r="P134" s="54">
        <f t="shared" si="55"/>
        <v>0</v>
      </c>
    </row>
    <row r="135" spans="2:16" ht="12.5">
      <c r="B135" s="7" t="str">
        <f t="shared" si="34"/>
        <v/>
      </c>
      <c r="C135" s="50">
        <f>IF(D93="","-",+C134+1)</f>
        <v>2051</v>
      </c>
      <c r="D135" s="12">
        <f>IF(F134+SUM(E$99:E134)=D$92,F134,D$92-SUM(E$99:E134))</f>
        <v>2945309.702131914</v>
      </c>
      <c r="E135" s="378">
        <f t="shared" si="48"/>
        <v>362059.64750000014</v>
      </c>
      <c r="F135" s="55">
        <f t="shared" si="49"/>
        <v>2583250.054631914</v>
      </c>
      <c r="G135" s="55">
        <f t="shared" si="50"/>
        <v>2764279.878381914</v>
      </c>
      <c r="H135" s="380">
        <f t="shared" si="51"/>
        <v>706285.30321964482</v>
      </c>
      <c r="I135" s="399">
        <f t="shared" si="52"/>
        <v>706285.30321964482</v>
      </c>
      <c r="J135" s="54">
        <f t="shared" si="35"/>
        <v>0</v>
      </c>
      <c r="K135" s="54"/>
      <c r="L135" s="129"/>
      <c r="M135" s="54">
        <f t="shared" si="53"/>
        <v>0</v>
      </c>
      <c r="N135" s="129"/>
      <c r="O135" s="54">
        <f t="shared" si="54"/>
        <v>0</v>
      </c>
      <c r="P135" s="54">
        <f t="shared" si="55"/>
        <v>0</v>
      </c>
    </row>
    <row r="136" spans="2:16" ht="12.5">
      <c r="B136" s="7" t="str">
        <f t="shared" si="34"/>
        <v/>
      </c>
      <c r="C136" s="50">
        <f>IF(D93="","-",+C135+1)</f>
        <v>2052</v>
      </c>
      <c r="D136" s="12">
        <f>IF(F135+SUM(E$99:E135)=D$92,F135,D$92-SUM(E$99:E135))</f>
        <v>2583250.054631914</v>
      </c>
      <c r="E136" s="378">
        <f t="shared" si="48"/>
        <v>362059.64750000014</v>
      </c>
      <c r="F136" s="55">
        <f t="shared" si="49"/>
        <v>2221190.407131914</v>
      </c>
      <c r="G136" s="55">
        <f t="shared" si="50"/>
        <v>2402220.230881914</v>
      </c>
      <c r="H136" s="380">
        <f t="shared" si="51"/>
        <v>661199.34049026156</v>
      </c>
      <c r="I136" s="399">
        <f t="shared" si="52"/>
        <v>661199.34049026156</v>
      </c>
      <c r="J136" s="54">
        <f t="shared" si="35"/>
        <v>0</v>
      </c>
      <c r="K136" s="54"/>
      <c r="L136" s="129"/>
      <c r="M136" s="54">
        <f t="shared" si="53"/>
        <v>0</v>
      </c>
      <c r="N136" s="129"/>
      <c r="O136" s="54">
        <f t="shared" si="54"/>
        <v>0</v>
      </c>
      <c r="P136" s="54">
        <f t="shared" si="55"/>
        <v>0</v>
      </c>
    </row>
    <row r="137" spans="2:16" ht="12.5">
      <c r="B137" s="7" t="str">
        <f t="shared" si="34"/>
        <v/>
      </c>
      <c r="C137" s="50">
        <f>IF(D93="","-",+C136+1)</f>
        <v>2053</v>
      </c>
      <c r="D137" s="12">
        <f>IF(F136+SUM(E$99:E136)=D$92,F136,D$92-SUM(E$99:E136))</f>
        <v>2221190.407131914</v>
      </c>
      <c r="E137" s="378">
        <f t="shared" si="48"/>
        <v>362059.64750000014</v>
      </c>
      <c r="F137" s="55">
        <f t="shared" si="49"/>
        <v>1859130.7596319139</v>
      </c>
      <c r="G137" s="55">
        <f t="shared" si="50"/>
        <v>2040160.5833819141</v>
      </c>
      <c r="H137" s="380">
        <f t="shared" si="51"/>
        <v>616113.3777608783</v>
      </c>
      <c r="I137" s="399">
        <f t="shared" si="52"/>
        <v>616113.3777608783</v>
      </c>
      <c r="J137" s="54">
        <f t="shared" si="35"/>
        <v>0</v>
      </c>
      <c r="K137" s="54"/>
      <c r="L137" s="129"/>
      <c r="M137" s="54">
        <f t="shared" si="53"/>
        <v>0</v>
      </c>
      <c r="N137" s="129"/>
      <c r="O137" s="54">
        <f t="shared" si="54"/>
        <v>0</v>
      </c>
      <c r="P137" s="54">
        <f t="shared" si="55"/>
        <v>0</v>
      </c>
    </row>
    <row r="138" spans="2:16" ht="12.5">
      <c r="B138" s="7" t="str">
        <f t="shared" si="34"/>
        <v/>
      </c>
      <c r="C138" s="50">
        <f>IF(D93="","-",+C137+1)</f>
        <v>2054</v>
      </c>
      <c r="D138" s="12">
        <f>IF(F137+SUM(E$99:E137)=D$92,F137,D$92-SUM(E$99:E137))</f>
        <v>1859130.7596319139</v>
      </c>
      <c r="E138" s="378">
        <f t="shared" si="48"/>
        <v>362059.64750000014</v>
      </c>
      <c r="F138" s="55">
        <f t="shared" si="49"/>
        <v>1497071.1121319137</v>
      </c>
      <c r="G138" s="55">
        <f t="shared" si="50"/>
        <v>1678100.9358819136</v>
      </c>
      <c r="H138" s="380">
        <f t="shared" si="51"/>
        <v>571027.41503149515</v>
      </c>
      <c r="I138" s="399">
        <f t="shared" si="52"/>
        <v>571027.41503149515</v>
      </c>
      <c r="J138" s="54">
        <f t="shared" si="35"/>
        <v>0</v>
      </c>
      <c r="K138" s="54"/>
      <c r="L138" s="129"/>
      <c r="M138" s="54">
        <f t="shared" si="53"/>
        <v>0</v>
      </c>
      <c r="N138" s="129"/>
      <c r="O138" s="54">
        <f t="shared" si="54"/>
        <v>0</v>
      </c>
      <c r="P138" s="54">
        <f t="shared" si="55"/>
        <v>0</v>
      </c>
    </row>
    <row r="139" spans="2:16" ht="12.5">
      <c r="B139" s="7" t="str">
        <f t="shared" si="34"/>
        <v/>
      </c>
      <c r="C139" s="50">
        <f>IF(D93="","-",+C138+1)</f>
        <v>2055</v>
      </c>
      <c r="D139" s="12">
        <f>IF(F138+SUM(E$99:E138)=D$92,F138,D$92-SUM(E$99:E138))</f>
        <v>1497071.1121319137</v>
      </c>
      <c r="E139" s="378">
        <f t="shared" si="48"/>
        <v>362059.64750000014</v>
      </c>
      <c r="F139" s="55">
        <f t="shared" si="49"/>
        <v>1135011.4646319135</v>
      </c>
      <c r="G139" s="55">
        <f t="shared" si="50"/>
        <v>1316041.2883819137</v>
      </c>
      <c r="H139" s="380">
        <f t="shared" si="51"/>
        <v>525941.45230211189</v>
      </c>
      <c r="I139" s="399">
        <f t="shared" si="52"/>
        <v>525941.45230211189</v>
      </c>
      <c r="J139" s="54">
        <f t="shared" si="35"/>
        <v>0</v>
      </c>
      <c r="K139" s="54"/>
      <c r="L139" s="129"/>
      <c r="M139" s="54">
        <f t="shared" si="53"/>
        <v>0</v>
      </c>
      <c r="N139" s="129"/>
      <c r="O139" s="54">
        <f t="shared" si="54"/>
        <v>0</v>
      </c>
      <c r="P139" s="54">
        <f t="shared" si="55"/>
        <v>0</v>
      </c>
    </row>
    <row r="140" spans="2:16" ht="12.5">
      <c r="B140" s="7" t="str">
        <f t="shared" si="34"/>
        <v/>
      </c>
      <c r="C140" s="50">
        <f>IF(D93="","-",+C139+1)</f>
        <v>2056</v>
      </c>
      <c r="D140" s="12">
        <f>IF(F139+SUM(E$99:E139)=D$92,F139,D$92-SUM(E$99:E139))</f>
        <v>1135011.4646319135</v>
      </c>
      <c r="E140" s="378">
        <f t="shared" si="48"/>
        <v>362059.64750000014</v>
      </c>
      <c r="F140" s="55">
        <f t="shared" si="49"/>
        <v>772951.81713191327</v>
      </c>
      <c r="G140" s="55">
        <f t="shared" si="50"/>
        <v>953981.64088191336</v>
      </c>
      <c r="H140" s="380">
        <f t="shared" si="51"/>
        <v>480855.48957272869</v>
      </c>
      <c r="I140" s="399">
        <f t="shared" si="52"/>
        <v>480855.48957272869</v>
      </c>
      <c r="J140" s="54">
        <f t="shared" si="35"/>
        <v>0</v>
      </c>
      <c r="K140" s="54"/>
      <c r="L140" s="129"/>
      <c r="M140" s="54">
        <f t="shared" si="53"/>
        <v>0</v>
      </c>
      <c r="N140" s="129"/>
      <c r="O140" s="54">
        <f t="shared" si="54"/>
        <v>0</v>
      </c>
      <c r="P140" s="54">
        <f t="shared" si="55"/>
        <v>0</v>
      </c>
    </row>
    <row r="141" spans="2:16" ht="12.5">
      <c r="B141" s="7" t="str">
        <f t="shared" si="34"/>
        <v/>
      </c>
      <c r="C141" s="50">
        <f>IF(D93="","-",+C140+1)</f>
        <v>2057</v>
      </c>
      <c r="D141" s="12">
        <f>IF(F140+SUM(E$99:E140)=D$92,F140,D$92-SUM(E$99:E140))</f>
        <v>772951.81713191327</v>
      </c>
      <c r="E141" s="378">
        <f t="shared" si="48"/>
        <v>362059.64750000014</v>
      </c>
      <c r="F141" s="55">
        <f t="shared" si="49"/>
        <v>410892.16963191313</v>
      </c>
      <c r="G141" s="55">
        <f t="shared" si="50"/>
        <v>591921.99338191317</v>
      </c>
      <c r="H141" s="380">
        <f t="shared" si="51"/>
        <v>435769.52684334549</v>
      </c>
      <c r="I141" s="399">
        <f t="shared" si="52"/>
        <v>435769.52684334549</v>
      </c>
      <c r="J141" s="54">
        <f t="shared" si="35"/>
        <v>0</v>
      </c>
      <c r="K141" s="54"/>
      <c r="L141" s="129"/>
      <c r="M141" s="54">
        <f t="shared" si="53"/>
        <v>0</v>
      </c>
      <c r="N141" s="129"/>
      <c r="O141" s="54">
        <f t="shared" si="54"/>
        <v>0</v>
      </c>
      <c r="P141" s="54">
        <f t="shared" si="55"/>
        <v>0</v>
      </c>
    </row>
    <row r="142" spans="2:16" ht="12.5">
      <c r="B142" s="7" t="str">
        <f t="shared" si="34"/>
        <v/>
      </c>
      <c r="C142" s="50">
        <f>IF(D93="","-",+C141+1)</f>
        <v>2058</v>
      </c>
      <c r="D142" s="12">
        <f>IF(F141+SUM(E$99:E141)=D$92,F141,D$92-SUM(E$99:E141))</f>
        <v>410892.16963191313</v>
      </c>
      <c r="E142" s="378">
        <f t="shared" si="48"/>
        <v>362059.64750000014</v>
      </c>
      <c r="F142" s="55">
        <f t="shared" si="49"/>
        <v>48832.522131912992</v>
      </c>
      <c r="G142" s="55">
        <f t="shared" si="50"/>
        <v>229862.34588191306</v>
      </c>
      <c r="H142" s="380">
        <f t="shared" si="51"/>
        <v>390683.56411396229</v>
      </c>
      <c r="I142" s="399">
        <f t="shared" si="52"/>
        <v>390683.56411396229</v>
      </c>
      <c r="J142" s="54">
        <f t="shared" si="35"/>
        <v>0</v>
      </c>
      <c r="K142" s="54"/>
      <c r="L142" s="129"/>
      <c r="M142" s="54">
        <f t="shared" si="53"/>
        <v>0</v>
      </c>
      <c r="N142" s="129"/>
      <c r="O142" s="54">
        <f t="shared" si="54"/>
        <v>0</v>
      </c>
      <c r="P142" s="54">
        <f t="shared" si="55"/>
        <v>0</v>
      </c>
    </row>
    <row r="143" spans="2:16" ht="12.5">
      <c r="B143" s="7" t="str">
        <f t="shared" si="34"/>
        <v/>
      </c>
      <c r="C143" s="50">
        <f>IF(D93="","-",+C142+1)</f>
        <v>2059</v>
      </c>
      <c r="D143" s="12">
        <f>IF(F142+SUM(E$99:E142)=D$92,F142,D$92-SUM(E$99:E142))</f>
        <v>48832.522131912992</v>
      </c>
      <c r="E143" s="378">
        <f t="shared" si="48"/>
        <v>48832.522131912992</v>
      </c>
      <c r="F143" s="55">
        <f t="shared" si="49"/>
        <v>0</v>
      </c>
      <c r="G143" s="55">
        <f t="shared" si="50"/>
        <v>24416.261065956496</v>
      </c>
      <c r="H143" s="380">
        <f t="shared" si="51"/>
        <v>51872.989756548253</v>
      </c>
      <c r="I143" s="399">
        <f t="shared" si="52"/>
        <v>51872.989756548253</v>
      </c>
      <c r="J143" s="54">
        <f t="shared" si="35"/>
        <v>0</v>
      </c>
      <c r="K143" s="54"/>
      <c r="L143" s="129"/>
      <c r="M143" s="54">
        <f t="shared" si="53"/>
        <v>0</v>
      </c>
      <c r="N143" s="129"/>
      <c r="O143" s="54">
        <f t="shared" si="54"/>
        <v>0</v>
      </c>
      <c r="P143" s="54">
        <f t="shared" si="55"/>
        <v>0</v>
      </c>
    </row>
    <row r="144" spans="2:16" ht="12.5">
      <c r="B144" s="7" t="str">
        <f t="shared" si="34"/>
        <v/>
      </c>
      <c r="C144" s="50">
        <f>IF(D93="","-",+C143+1)</f>
        <v>2060</v>
      </c>
      <c r="D144" s="12">
        <f>IF(F143+SUM(E$99:E143)=D$92,F143,D$92-SUM(E$99:E143))</f>
        <v>0</v>
      </c>
      <c r="E144" s="378">
        <f t="shared" si="48"/>
        <v>0</v>
      </c>
      <c r="F144" s="55">
        <f t="shared" si="49"/>
        <v>0</v>
      </c>
      <c r="G144" s="55">
        <f t="shared" si="50"/>
        <v>0</v>
      </c>
      <c r="H144" s="380">
        <f t="shared" si="51"/>
        <v>0</v>
      </c>
      <c r="I144" s="399">
        <f t="shared" si="52"/>
        <v>0</v>
      </c>
      <c r="J144" s="54">
        <f t="shared" si="35"/>
        <v>0</v>
      </c>
      <c r="K144" s="54"/>
      <c r="L144" s="129"/>
      <c r="M144" s="54">
        <f t="shared" si="53"/>
        <v>0</v>
      </c>
      <c r="N144" s="129"/>
      <c r="O144" s="54">
        <f t="shared" si="54"/>
        <v>0</v>
      </c>
      <c r="P144" s="54">
        <f t="shared" si="55"/>
        <v>0</v>
      </c>
    </row>
    <row r="145" spans="2:16" ht="12.5">
      <c r="B145" s="7" t="str">
        <f t="shared" si="34"/>
        <v/>
      </c>
      <c r="C145" s="50">
        <f>IF(D93="","-",+C144+1)</f>
        <v>2061</v>
      </c>
      <c r="D145" s="12">
        <f>IF(F144+SUM(E$99:E144)=D$92,F144,D$92-SUM(E$99:E144))</f>
        <v>0</v>
      </c>
      <c r="E145" s="378">
        <f t="shared" si="48"/>
        <v>0</v>
      </c>
      <c r="F145" s="55">
        <f t="shared" si="49"/>
        <v>0</v>
      </c>
      <c r="G145" s="55">
        <f t="shared" si="50"/>
        <v>0</v>
      </c>
      <c r="H145" s="380">
        <f t="shared" si="51"/>
        <v>0</v>
      </c>
      <c r="I145" s="399">
        <f t="shared" si="52"/>
        <v>0</v>
      </c>
      <c r="J145" s="54">
        <f t="shared" si="35"/>
        <v>0</v>
      </c>
      <c r="K145" s="54"/>
      <c r="L145" s="129"/>
      <c r="M145" s="54">
        <f t="shared" si="53"/>
        <v>0</v>
      </c>
      <c r="N145" s="129"/>
      <c r="O145" s="54">
        <f t="shared" si="54"/>
        <v>0</v>
      </c>
      <c r="P145" s="54">
        <f t="shared" si="55"/>
        <v>0</v>
      </c>
    </row>
    <row r="146" spans="2:16" ht="12.5">
      <c r="B146" s="7" t="str">
        <f t="shared" si="34"/>
        <v/>
      </c>
      <c r="C146" s="50">
        <f>IF(D93="","-",+C145+1)</f>
        <v>2062</v>
      </c>
      <c r="D146" s="12">
        <f>IF(F145+SUM(E$99:E145)=D$92,F145,D$92-SUM(E$99:E145))</f>
        <v>0</v>
      </c>
      <c r="E146" s="378">
        <f t="shared" si="48"/>
        <v>0</v>
      </c>
      <c r="F146" s="55">
        <f t="shared" si="49"/>
        <v>0</v>
      </c>
      <c r="G146" s="55">
        <f t="shared" si="50"/>
        <v>0</v>
      </c>
      <c r="H146" s="380">
        <f t="shared" si="51"/>
        <v>0</v>
      </c>
      <c r="I146" s="399">
        <f t="shared" si="52"/>
        <v>0</v>
      </c>
      <c r="J146" s="54">
        <f t="shared" si="35"/>
        <v>0</v>
      </c>
      <c r="K146" s="54"/>
      <c r="L146" s="129"/>
      <c r="M146" s="54">
        <f t="shared" si="53"/>
        <v>0</v>
      </c>
      <c r="N146" s="129"/>
      <c r="O146" s="54">
        <f t="shared" si="54"/>
        <v>0</v>
      </c>
      <c r="P146" s="54">
        <f t="shared" si="55"/>
        <v>0</v>
      </c>
    </row>
    <row r="147" spans="2:16" ht="12.5">
      <c r="B147" s="7" t="str">
        <f t="shared" si="34"/>
        <v/>
      </c>
      <c r="C147" s="50">
        <f>IF(D93="","-",+C146+1)</f>
        <v>2063</v>
      </c>
      <c r="D147" s="12">
        <f>IF(F146+SUM(E$99:E146)=D$92,F146,D$92-SUM(E$99:E146))</f>
        <v>0</v>
      </c>
      <c r="E147" s="378">
        <f t="shared" si="48"/>
        <v>0</v>
      </c>
      <c r="F147" s="55">
        <f t="shared" si="49"/>
        <v>0</v>
      </c>
      <c r="G147" s="55">
        <f t="shared" si="50"/>
        <v>0</v>
      </c>
      <c r="H147" s="380">
        <f t="shared" si="51"/>
        <v>0</v>
      </c>
      <c r="I147" s="399">
        <f t="shared" si="52"/>
        <v>0</v>
      </c>
      <c r="J147" s="54">
        <f t="shared" si="35"/>
        <v>0</v>
      </c>
      <c r="K147" s="54"/>
      <c r="L147" s="129"/>
      <c r="M147" s="54">
        <f t="shared" si="53"/>
        <v>0</v>
      </c>
      <c r="N147" s="129"/>
      <c r="O147" s="54">
        <f t="shared" si="54"/>
        <v>0</v>
      </c>
      <c r="P147" s="54">
        <f t="shared" si="55"/>
        <v>0</v>
      </c>
    </row>
    <row r="148" spans="2:16" ht="12.5">
      <c r="B148" s="7" t="str">
        <f t="shared" si="34"/>
        <v/>
      </c>
      <c r="C148" s="50">
        <f>IF(D93="","-",+C147+1)</f>
        <v>2064</v>
      </c>
      <c r="D148" s="12">
        <f>IF(F147+SUM(E$99:E147)=D$92,F147,D$92-SUM(E$99:E147))</f>
        <v>0</v>
      </c>
      <c r="E148" s="378">
        <f t="shared" si="48"/>
        <v>0</v>
      </c>
      <c r="F148" s="55">
        <f t="shared" si="49"/>
        <v>0</v>
      </c>
      <c r="G148" s="55">
        <f t="shared" si="50"/>
        <v>0</v>
      </c>
      <c r="H148" s="380">
        <f t="shared" si="51"/>
        <v>0</v>
      </c>
      <c r="I148" s="399">
        <f t="shared" si="52"/>
        <v>0</v>
      </c>
      <c r="J148" s="54">
        <f t="shared" si="35"/>
        <v>0</v>
      </c>
      <c r="K148" s="54"/>
      <c r="L148" s="129"/>
      <c r="M148" s="54">
        <f t="shared" si="53"/>
        <v>0</v>
      </c>
      <c r="N148" s="129"/>
      <c r="O148" s="54">
        <f t="shared" si="54"/>
        <v>0</v>
      </c>
      <c r="P148" s="54">
        <f t="shared" si="55"/>
        <v>0</v>
      </c>
    </row>
    <row r="149" spans="2:16" ht="12.5">
      <c r="B149" s="7" t="str">
        <f t="shared" si="34"/>
        <v/>
      </c>
      <c r="C149" s="50">
        <f>IF(D93="","-",+C148+1)</f>
        <v>2065</v>
      </c>
      <c r="D149" s="12">
        <f>IF(F148+SUM(E$99:E148)=D$92,F148,D$92-SUM(E$99:E148))</f>
        <v>0</v>
      </c>
      <c r="E149" s="378">
        <f t="shared" si="48"/>
        <v>0</v>
      </c>
      <c r="F149" s="55">
        <f t="shared" si="49"/>
        <v>0</v>
      </c>
      <c r="G149" s="55">
        <f t="shared" si="50"/>
        <v>0</v>
      </c>
      <c r="H149" s="380">
        <f t="shared" si="51"/>
        <v>0</v>
      </c>
      <c r="I149" s="399">
        <f t="shared" si="52"/>
        <v>0</v>
      </c>
      <c r="J149" s="54">
        <f t="shared" si="35"/>
        <v>0</v>
      </c>
      <c r="K149" s="54"/>
      <c r="L149" s="129"/>
      <c r="M149" s="54">
        <f t="shared" si="53"/>
        <v>0</v>
      </c>
      <c r="N149" s="129"/>
      <c r="O149" s="54">
        <f t="shared" si="54"/>
        <v>0</v>
      </c>
      <c r="P149" s="54">
        <f t="shared" si="55"/>
        <v>0</v>
      </c>
    </row>
    <row r="150" spans="2:16" ht="12.5">
      <c r="B150" s="7" t="str">
        <f t="shared" si="34"/>
        <v/>
      </c>
      <c r="C150" s="50">
        <f>IF(D93="","-",+C149+1)</f>
        <v>2066</v>
      </c>
      <c r="D150" s="12">
        <f>IF(F149+SUM(E$99:E149)=D$92,F149,D$92-SUM(E$99:E149))</f>
        <v>0</v>
      </c>
      <c r="E150" s="378">
        <f t="shared" si="48"/>
        <v>0</v>
      </c>
      <c r="F150" s="55">
        <f t="shared" si="49"/>
        <v>0</v>
      </c>
      <c r="G150" s="55">
        <f t="shared" si="50"/>
        <v>0</v>
      </c>
      <c r="H150" s="380">
        <f t="shared" si="51"/>
        <v>0</v>
      </c>
      <c r="I150" s="399">
        <f t="shared" si="52"/>
        <v>0</v>
      </c>
      <c r="J150" s="54">
        <f t="shared" si="35"/>
        <v>0</v>
      </c>
      <c r="K150" s="54"/>
      <c r="L150" s="129"/>
      <c r="M150" s="54">
        <f t="shared" si="53"/>
        <v>0</v>
      </c>
      <c r="N150" s="129"/>
      <c r="O150" s="54">
        <f t="shared" si="54"/>
        <v>0</v>
      </c>
      <c r="P150" s="54">
        <f t="shared" si="55"/>
        <v>0</v>
      </c>
    </row>
    <row r="151" spans="2:16" ht="12.5">
      <c r="B151" s="7" t="str">
        <f t="shared" si="34"/>
        <v/>
      </c>
      <c r="C151" s="50">
        <f>IF(D93="","-",+C150+1)</f>
        <v>2067</v>
      </c>
      <c r="D151" s="12">
        <f>IF(F150+SUM(E$99:E150)=D$92,F150,D$92-SUM(E$99:E150))</f>
        <v>0</v>
      </c>
      <c r="E151" s="378">
        <f t="shared" si="48"/>
        <v>0</v>
      </c>
      <c r="F151" s="55">
        <f t="shared" si="49"/>
        <v>0</v>
      </c>
      <c r="G151" s="55">
        <f t="shared" si="50"/>
        <v>0</v>
      </c>
      <c r="H151" s="380">
        <f t="shared" si="51"/>
        <v>0</v>
      </c>
      <c r="I151" s="399">
        <f t="shared" si="52"/>
        <v>0</v>
      </c>
      <c r="J151" s="54">
        <f t="shared" si="35"/>
        <v>0</v>
      </c>
      <c r="K151" s="54"/>
      <c r="L151" s="129"/>
      <c r="M151" s="54">
        <f t="shared" si="53"/>
        <v>0</v>
      </c>
      <c r="N151" s="129"/>
      <c r="O151" s="54">
        <f t="shared" si="54"/>
        <v>0</v>
      </c>
      <c r="P151" s="54">
        <f t="shared" si="55"/>
        <v>0</v>
      </c>
    </row>
    <row r="152" spans="2:16" ht="12.5">
      <c r="B152" s="7" t="str">
        <f t="shared" si="34"/>
        <v/>
      </c>
      <c r="C152" s="50">
        <f>IF(D93="","-",+C151+1)</f>
        <v>2068</v>
      </c>
      <c r="D152" s="12">
        <f>IF(F151+SUM(E$99:E151)=D$92,F151,D$92-SUM(E$99:E151))</f>
        <v>0</v>
      </c>
      <c r="E152" s="378">
        <f t="shared" si="48"/>
        <v>0</v>
      </c>
      <c r="F152" s="55">
        <f t="shared" si="49"/>
        <v>0</v>
      </c>
      <c r="G152" s="55">
        <f t="shared" si="50"/>
        <v>0</v>
      </c>
      <c r="H152" s="380">
        <f t="shared" si="51"/>
        <v>0</v>
      </c>
      <c r="I152" s="399">
        <f t="shared" si="52"/>
        <v>0</v>
      </c>
      <c r="J152" s="54">
        <f t="shared" si="35"/>
        <v>0</v>
      </c>
      <c r="K152" s="54"/>
      <c r="L152" s="129"/>
      <c r="M152" s="54">
        <f t="shared" si="53"/>
        <v>0</v>
      </c>
      <c r="N152" s="129"/>
      <c r="O152" s="54">
        <f t="shared" si="54"/>
        <v>0</v>
      </c>
      <c r="P152" s="54">
        <f t="shared" si="55"/>
        <v>0</v>
      </c>
    </row>
    <row r="153" spans="2:16" ht="12.5">
      <c r="B153" s="7" t="str">
        <f t="shared" si="34"/>
        <v/>
      </c>
      <c r="C153" s="50">
        <f>IF(D93="","-",+C152+1)</f>
        <v>2069</v>
      </c>
      <c r="D153" s="12">
        <f>IF(F152+SUM(E$99:E152)=D$92,F152,D$92-SUM(E$99:E152))</f>
        <v>0</v>
      </c>
      <c r="E153" s="378">
        <f t="shared" si="48"/>
        <v>0</v>
      </c>
      <c r="F153" s="55">
        <f t="shared" si="49"/>
        <v>0</v>
      </c>
      <c r="G153" s="55">
        <f t="shared" si="50"/>
        <v>0</v>
      </c>
      <c r="H153" s="380">
        <f t="shared" si="51"/>
        <v>0</v>
      </c>
      <c r="I153" s="399">
        <f t="shared" si="52"/>
        <v>0</v>
      </c>
      <c r="J153" s="54">
        <f t="shared" si="35"/>
        <v>0</v>
      </c>
      <c r="K153" s="54"/>
      <c r="L153" s="129"/>
      <c r="M153" s="54">
        <f t="shared" si="53"/>
        <v>0</v>
      </c>
      <c r="N153" s="129"/>
      <c r="O153" s="54">
        <f t="shared" si="54"/>
        <v>0</v>
      </c>
      <c r="P153" s="54">
        <f t="shared" si="55"/>
        <v>0</v>
      </c>
    </row>
    <row r="154" spans="2:16" ht="13" thickBot="1">
      <c r="B154" s="7" t="str">
        <f t="shared" si="34"/>
        <v/>
      </c>
      <c r="C154" s="59">
        <f>IF(D93="","-",+C153+1)</f>
        <v>2070</v>
      </c>
      <c r="D154" s="12">
        <f>IF(F153+SUM(E$99:E153)=D$92,F153,D$92-SUM(E$99:E153))</f>
        <v>0</v>
      </c>
      <c r="E154" s="378">
        <f t="shared" si="48"/>
        <v>0</v>
      </c>
      <c r="F154" s="55">
        <f t="shared" si="49"/>
        <v>0</v>
      </c>
      <c r="G154" s="55">
        <f t="shared" si="50"/>
        <v>0</v>
      </c>
      <c r="H154" s="380">
        <f t="shared" si="51"/>
        <v>0</v>
      </c>
      <c r="I154" s="399">
        <f t="shared" si="52"/>
        <v>0</v>
      </c>
      <c r="J154" s="54">
        <f t="shared" si="35"/>
        <v>0</v>
      </c>
      <c r="K154" s="54"/>
      <c r="L154" s="130"/>
      <c r="M154" s="64">
        <f t="shared" si="53"/>
        <v>0</v>
      </c>
      <c r="N154" s="130"/>
      <c r="O154" s="64">
        <f t="shared" si="54"/>
        <v>0</v>
      </c>
      <c r="P154" s="64">
        <f t="shared" si="55"/>
        <v>0</v>
      </c>
    </row>
    <row r="155" spans="2:16" ht="12.5">
      <c r="C155" s="12" t="s">
        <v>78</v>
      </c>
      <c r="D155" s="293"/>
      <c r="E155" s="293">
        <f>SUM(E99:E154)</f>
        <v>15930624.490000011</v>
      </c>
      <c r="F155" s="293"/>
      <c r="G155" s="293"/>
      <c r="H155" s="293">
        <f>SUM(H99:H154)</f>
        <v>57986955.569281183</v>
      </c>
      <c r="I155" s="293">
        <f>SUM(I99:I154)</f>
        <v>57986955.569281183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 ht="12.5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 ht="13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57" priority="1" stopIfTrue="1" operator="equal">
      <formula>$I$10</formula>
    </cfRule>
  </conditionalFormatting>
  <conditionalFormatting sqref="C99:C154">
    <cfRule type="cellIs" dxfId="5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100"/>
  <dimension ref="A1:P162"/>
  <sheetViews>
    <sheetView topLeftCell="A87" zoomScaleNormal="100" zoomScaleSheetLayoutView="82" workbookViewId="0">
      <selection activeCell="D26" sqref="D26:H26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51 of 77</v>
      </c>
    </row>
    <row r="2" spans="1:16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652814.62084982684</v>
      </c>
      <c r="P5" s="1"/>
    </row>
    <row r="6" spans="1:16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652814.62084982684</v>
      </c>
      <c r="O6" s="1"/>
      <c r="P6" s="1"/>
    </row>
    <row r="7" spans="1:16" ht="13.5" thickBot="1">
      <c r="C7" s="25" t="s">
        <v>48</v>
      </c>
      <c r="D7" s="90" t="s">
        <v>343</v>
      </c>
      <c r="E7" s="406"/>
      <c r="F7" s="406"/>
      <c r="G7" s="406"/>
      <c r="H7" s="40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479</v>
      </c>
      <c r="E9" s="436" t="s">
        <v>401</v>
      </c>
      <c r="F9" s="31"/>
      <c r="G9" s="31"/>
      <c r="H9" s="31"/>
      <c r="I9" s="32"/>
      <c r="J9" s="33"/>
      <c r="P9" s="1"/>
    </row>
    <row r="10" spans="1:16" ht="13">
      <c r="C10" s="34" t="s">
        <v>51</v>
      </c>
      <c r="D10" s="363">
        <v>5522411.1500000004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6" ht="12.5">
      <c r="C11" s="34" t="s">
        <v>54</v>
      </c>
      <c r="D11" s="37">
        <v>2015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3">
        <v>6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125509.34431818183</v>
      </c>
      <c r="J14" s="293"/>
      <c r="K14" s="293"/>
      <c r="L14" s="293"/>
      <c r="M14" s="293"/>
      <c r="N14" s="293"/>
      <c r="O14" s="1"/>
      <c r="P14" s="1"/>
    </row>
    <row r="15" spans="1:16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2015</v>
      </c>
      <c r="D17" s="429">
        <v>5200000</v>
      </c>
      <c r="E17" s="437">
        <v>0</v>
      </c>
      <c r="F17" s="429">
        <v>5200000</v>
      </c>
      <c r="G17" s="437">
        <v>684864.96507057885</v>
      </c>
      <c r="H17" s="438">
        <v>684864.96507057885</v>
      </c>
      <c r="I17" s="52">
        <v>0</v>
      </c>
      <c r="J17" s="52"/>
      <c r="K17" s="113">
        <f t="shared" ref="K17:K22" si="0">G17</f>
        <v>684864.96507057885</v>
      </c>
      <c r="L17" s="54">
        <f t="shared" ref="L17:L22" si="1">IF(K17&lt;&gt;0,+G17-K17,0)</f>
        <v>0</v>
      </c>
      <c r="M17" s="113">
        <f t="shared" ref="M17:M22" si="2">H17</f>
        <v>684864.96507057885</v>
      </c>
      <c r="N17" s="54">
        <f>IF(M17&lt;&gt;0,+H17-M17,0)</f>
        <v>0</v>
      </c>
      <c r="O17" s="54">
        <f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2016</v>
      </c>
      <c r="D18" s="431">
        <v>5366606</v>
      </c>
      <c r="E18" s="430">
        <v>127776.33333333333</v>
      </c>
      <c r="F18" s="431">
        <v>5238829.666666667</v>
      </c>
      <c r="G18" s="430">
        <v>809243.16550170211</v>
      </c>
      <c r="H18" s="438">
        <v>809243.16550170211</v>
      </c>
      <c r="I18" s="52">
        <f>H18-G18</f>
        <v>0</v>
      </c>
      <c r="J18" s="52"/>
      <c r="K18" s="113">
        <f t="shared" si="0"/>
        <v>809243.16550170211</v>
      </c>
      <c r="L18" s="54">
        <f t="shared" si="1"/>
        <v>0</v>
      </c>
      <c r="M18" s="113">
        <f t="shared" si="2"/>
        <v>809243.16550170211</v>
      </c>
      <c r="N18" s="54">
        <f>IF(M18&lt;&gt;0,+H18-M18,0)</f>
        <v>0</v>
      </c>
      <c r="O18" s="54">
        <f>+N18-L18</f>
        <v>0</v>
      </c>
      <c r="P18" s="1"/>
    </row>
    <row r="19" spans="2:16" ht="12.5">
      <c r="B19" s="7" t="str">
        <f>IF(D19=F18,"","IU")</f>
        <v>IU</v>
      </c>
      <c r="C19" s="50">
        <f>IF(D11="","-",+C18+1)</f>
        <v>2017</v>
      </c>
      <c r="D19" s="431">
        <v>5301908.666666667</v>
      </c>
      <c r="E19" s="430">
        <v>126271.74418604652</v>
      </c>
      <c r="F19" s="431">
        <v>5175636.9224806204</v>
      </c>
      <c r="G19" s="430">
        <v>775316.5787465215</v>
      </c>
      <c r="H19" s="438">
        <v>775316.5787465215</v>
      </c>
      <c r="I19" s="52">
        <f t="shared" ref="I19:I72" si="3">H19-G19</f>
        <v>0</v>
      </c>
      <c r="J19" s="52"/>
      <c r="K19" s="113">
        <f t="shared" si="0"/>
        <v>775316.5787465215</v>
      </c>
      <c r="L19" s="54">
        <f t="shared" si="1"/>
        <v>0</v>
      </c>
      <c r="M19" s="113">
        <f t="shared" si="2"/>
        <v>775316.5787465215</v>
      </c>
      <c r="N19" s="54">
        <f>IF(M19&lt;&gt;0,+H19-M19,0)</f>
        <v>0</v>
      </c>
      <c r="O19" s="54">
        <f>+N19-L19</f>
        <v>0</v>
      </c>
      <c r="P19" s="1"/>
    </row>
    <row r="20" spans="2:16" ht="12.5">
      <c r="B20" s="7" t="str">
        <f t="shared" ref="B20:B72" si="4">IF(D20=F19,"","IU")</f>
        <v/>
      </c>
      <c r="C20" s="50">
        <f>IF(D11="","-",+C19+1)</f>
        <v>2018</v>
      </c>
      <c r="D20" s="431">
        <v>5175636.9224806204</v>
      </c>
      <c r="E20" s="430">
        <v>132431.34146341463</v>
      </c>
      <c r="F20" s="431">
        <v>5043205.5810172055</v>
      </c>
      <c r="G20" s="430">
        <v>781808.63149934181</v>
      </c>
      <c r="H20" s="438">
        <v>781808.63149934181</v>
      </c>
      <c r="I20" s="52">
        <f t="shared" si="3"/>
        <v>0</v>
      </c>
      <c r="J20" s="52"/>
      <c r="K20" s="113">
        <f t="shared" si="0"/>
        <v>781808.63149934181</v>
      </c>
      <c r="L20" s="54">
        <f t="shared" si="1"/>
        <v>0</v>
      </c>
      <c r="M20" s="113">
        <f t="shared" si="2"/>
        <v>781808.63149934181</v>
      </c>
      <c r="N20" s="54">
        <f>IF(M20&lt;&gt;0,+H20-M20,0)</f>
        <v>0</v>
      </c>
      <c r="O20" s="54">
        <f>+N20-L20</f>
        <v>0</v>
      </c>
      <c r="P20" s="1"/>
    </row>
    <row r="21" spans="2:16" ht="12.5">
      <c r="B21" s="7" t="str">
        <f t="shared" si="4"/>
        <v/>
      </c>
      <c r="C21" s="50">
        <f>IF(D11="","-",+C20+1)</f>
        <v>2019</v>
      </c>
      <c r="D21" s="431">
        <v>5043205.5810172055</v>
      </c>
      <c r="E21" s="430">
        <v>132431.34146341463</v>
      </c>
      <c r="F21" s="431">
        <v>4910774.2395537905</v>
      </c>
      <c r="G21" s="430">
        <v>764977.38948618842</v>
      </c>
      <c r="H21" s="438">
        <v>764977.38948618842</v>
      </c>
      <c r="I21" s="52">
        <f t="shared" si="3"/>
        <v>0</v>
      </c>
      <c r="J21" s="52"/>
      <c r="K21" s="113">
        <f t="shared" si="0"/>
        <v>764977.38948618842</v>
      </c>
      <c r="L21" s="54">
        <f t="shared" si="1"/>
        <v>0</v>
      </c>
      <c r="M21" s="113">
        <f t="shared" si="2"/>
        <v>764977.38948618842</v>
      </c>
      <c r="N21" s="54">
        <f t="shared" ref="N21:N72" si="5">IF(M21&lt;&gt;0,+H21-M21,0)</f>
        <v>0</v>
      </c>
      <c r="O21" s="54">
        <f t="shared" ref="O21:O72" si="6">+N21-L21</f>
        <v>0</v>
      </c>
      <c r="P21" s="1"/>
    </row>
    <row r="22" spans="2:16" ht="12.5">
      <c r="B22" s="7" t="str">
        <f t="shared" si="4"/>
        <v>IU</v>
      </c>
      <c r="C22" s="50">
        <f>IF(D11="","-",+C21+1)</f>
        <v>2020</v>
      </c>
      <c r="D22" s="431">
        <v>5003500.2395537905</v>
      </c>
      <c r="E22" s="430">
        <v>134692.95121951221</v>
      </c>
      <c r="F22" s="431">
        <v>4868807.2883342784</v>
      </c>
      <c r="G22" s="430">
        <v>639836.49401838449</v>
      </c>
      <c r="H22" s="438">
        <v>639836.49401838449</v>
      </c>
      <c r="I22" s="52">
        <f t="shared" si="3"/>
        <v>0</v>
      </c>
      <c r="J22" s="52"/>
      <c r="K22" s="113">
        <f t="shared" si="0"/>
        <v>639836.49401838449</v>
      </c>
      <c r="L22" s="54">
        <f t="shared" si="1"/>
        <v>0</v>
      </c>
      <c r="M22" s="113">
        <f t="shared" si="2"/>
        <v>639836.49401838449</v>
      </c>
      <c r="N22" s="54">
        <f t="shared" si="5"/>
        <v>0</v>
      </c>
      <c r="O22" s="54">
        <f t="shared" si="6"/>
        <v>0</v>
      </c>
      <c r="P22" s="1"/>
    </row>
    <row r="23" spans="2:16" ht="12.5">
      <c r="B23" s="7" t="str">
        <f t="shared" si="4"/>
        <v>IU</v>
      </c>
      <c r="C23" s="50">
        <f>IF(D11="","-",+C22+1)</f>
        <v>2021</v>
      </c>
      <c r="D23" s="431">
        <v>4874966.8856116468</v>
      </c>
      <c r="E23" s="430">
        <v>131485.97619047618</v>
      </c>
      <c r="F23" s="431">
        <v>4743480.9094211711</v>
      </c>
      <c r="G23" s="430">
        <v>641285.56745480897</v>
      </c>
      <c r="H23" s="438">
        <v>641285.56745480897</v>
      </c>
      <c r="I23" s="52">
        <f t="shared" si="3"/>
        <v>0</v>
      </c>
      <c r="J23" s="52"/>
      <c r="K23" s="113">
        <f t="shared" ref="K23" si="7">G23</f>
        <v>641285.56745480897</v>
      </c>
      <c r="L23" s="54">
        <f t="shared" ref="L23" si="8">IF(K23&lt;&gt;0,+G23-K23,0)</f>
        <v>0</v>
      </c>
      <c r="M23" s="113">
        <f t="shared" ref="M23" si="9">H23</f>
        <v>641285.56745480897</v>
      </c>
      <c r="N23" s="54">
        <f t="shared" si="5"/>
        <v>0</v>
      </c>
      <c r="O23" s="54">
        <f t="shared" si="6"/>
        <v>0</v>
      </c>
      <c r="P23" s="1"/>
    </row>
    <row r="24" spans="2:16" ht="12.5">
      <c r="B24" s="7" t="str">
        <f t="shared" si="4"/>
        <v>IU</v>
      </c>
      <c r="C24" s="50">
        <f>IF(D11="","-",+C23+1)</f>
        <v>2022</v>
      </c>
      <c r="D24" s="431">
        <v>4737321.3121438026</v>
      </c>
      <c r="E24" s="430">
        <v>131485.97619047618</v>
      </c>
      <c r="F24" s="431">
        <v>4605835.3359533269</v>
      </c>
      <c r="G24" s="430">
        <v>656777.38185664476</v>
      </c>
      <c r="H24" s="438">
        <v>656777.38185664476</v>
      </c>
      <c r="I24" s="52">
        <f t="shared" si="3"/>
        <v>0</v>
      </c>
      <c r="J24" s="52"/>
      <c r="K24" s="113">
        <f t="shared" ref="K24" si="10">G24</f>
        <v>656777.38185664476</v>
      </c>
      <c r="L24" s="54">
        <f t="shared" ref="L24" si="11">IF(K24&lt;&gt;0,+G24-K24,0)</f>
        <v>0</v>
      </c>
      <c r="M24" s="113">
        <f t="shared" ref="M24" si="12">H24</f>
        <v>656777.38185664476</v>
      </c>
      <c r="N24" s="54">
        <f t="shared" si="5"/>
        <v>0</v>
      </c>
      <c r="O24" s="54">
        <f t="shared" si="6"/>
        <v>0</v>
      </c>
      <c r="P24" s="1"/>
    </row>
    <row r="25" spans="2:16" ht="12.5">
      <c r="B25" s="7" t="str">
        <f t="shared" si="4"/>
        <v>IU</v>
      </c>
      <c r="C25" s="50">
        <f>IF(D11="","-",+C24+1)</f>
        <v>2023</v>
      </c>
      <c r="D25" s="431">
        <v>4605835.4859533263</v>
      </c>
      <c r="E25" s="430">
        <v>131485.97976190477</v>
      </c>
      <c r="F25" s="431">
        <v>4474349.5061914213</v>
      </c>
      <c r="G25" s="430">
        <v>705021.28192113526</v>
      </c>
      <c r="H25" s="438">
        <v>705021.28192113526</v>
      </c>
      <c r="I25" s="52">
        <f t="shared" si="3"/>
        <v>0</v>
      </c>
      <c r="J25" s="52"/>
      <c r="K25" s="113">
        <f t="shared" ref="K25" si="13">G25</f>
        <v>705021.28192113526</v>
      </c>
      <c r="L25" s="54">
        <f t="shared" ref="L25" si="14">IF(K25&lt;&gt;0,+G25-K25,0)</f>
        <v>0</v>
      </c>
      <c r="M25" s="113">
        <f t="shared" ref="M25" si="15">H25</f>
        <v>705021.28192113526</v>
      </c>
      <c r="N25" s="54">
        <f t="shared" si="5"/>
        <v>0</v>
      </c>
      <c r="O25" s="54">
        <f t="shared" si="6"/>
        <v>0</v>
      </c>
      <c r="P25" s="1"/>
    </row>
    <row r="26" spans="2:16" ht="12.5">
      <c r="B26" s="7" t="str">
        <f t="shared" si="4"/>
        <v/>
      </c>
      <c r="C26" s="50">
        <f>IF(D11="","-",+C25+1)</f>
        <v>2024</v>
      </c>
      <c r="D26" s="431">
        <v>4474349.5061914213</v>
      </c>
      <c r="E26" s="430">
        <v>125509.34431818183</v>
      </c>
      <c r="F26" s="431">
        <v>4348840.1618732391</v>
      </c>
      <c r="G26" s="430">
        <v>652814.62084982684</v>
      </c>
      <c r="H26" s="438">
        <v>652814.62084982684</v>
      </c>
      <c r="I26" s="52">
        <f t="shared" si="3"/>
        <v>0</v>
      </c>
      <c r="J26" s="52"/>
      <c r="K26" s="113">
        <f t="shared" ref="K26" si="16">G26</f>
        <v>652814.62084982684</v>
      </c>
      <c r="L26" s="54">
        <f t="shared" ref="L26" si="17">IF(K26&lt;&gt;0,+G26-K26,0)</f>
        <v>0</v>
      </c>
      <c r="M26" s="113">
        <f t="shared" ref="M26" si="18">H26</f>
        <v>652814.62084982684</v>
      </c>
      <c r="N26" s="54">
        <f t="shared" ref="N26" si="19">IF(M26&lt;&gt;0,+H26-M26,0)</f>
        <v>0</v>
      </c>
      <c r="O26" s="54">
        <f t="shared" ref="O26" si="20">+N26-L26</f>
        <v>0</v>
      </c>
      <c r="P26" s="1"/>
    </row>
    <row r="27" spans="2:16" ht="12.5">
      <c r="B27" s="7" t="str">
        <f t="shared" si="4"/>
        <v/>
      </c>
      <c r="C27" s="50">
        <f>IF(D11="","-",+C26+1)</f>
        <v>2025</v>
      </c>
      <c r="D27" s="55">
        <f>IF(F26+SUM(E$17:E26)=D$10,F26,D$10-SUM(E$17:E26))</f>
        <v>4348840.1618732391</v>
      </c>
      <c r="E27" s="378">
        <f t="shared" ref="E27:E72" si="21">IF(+$I$14&lt;F26,$I$14,D27)</f>
        <v>125509.34431818183</v>
      </c>
      <c r="F27" s="55">
        <f t="shared" ref="F27:F72" si="22">+D27-E27</f>
        <v>4223330.8175550569</v>
      </c>
      <c r="G27" s="379">
        <f t="shared" ref="G27:G50" si="23">+I$12*((D27+F27)/2)+E27</f>
        <v>637812.84892769577</v>
      </c>
      <c r="H27" s="364">
        <f t="shared" ref="H27:H50" si="24">+I$13*((D27+F27)/2)+E27</f>
        <v>637812.84892769577</v>
      </c>
      <c r="I27" s="52">
        <f t="shared" si="3"/>
        <v>0</v>
      </c>
      <c r="J27" s="52"/>
      <c r="K27" s="129"/>
      <c r="L27" s="54">
        <f t="shared" ref="L27:L72" si="25">IF(K27&lt;&gt;0,+G27-K27,0)</f>
        <v>0</v>
      </c>
      <c r="M27" s="129"/>
      <c r="N27" s="54">
        <f t="shared" si="5"/>
        <v>0</v>
      </c>
      <c r="O27" s="54">
        <f t="shared" si="6"/>
        <v>0</v>
      </c>
      <c r="P27" s="1"/>
    </row>
    <row r="28" spans="2:16" ht="12.5">
      <c r="B28" s="7" t="str">
        <f t="shared" si="4"/>
        <v/>
      </c>
      <c r="C28" s="50">
        <f>IF(D11="","-",+C27+1)</f>
        <v>2026</v>
      </c>
      <c r="D28" s="55">
        <f>IF(F27+SUM(E$17:E27)=D$10,F27,D$10-SUM(E$17:E27))</f>
        <v>4223330.8175550569</v>
      </c>
      <c r="E28" s="378">
        <f t="shared" si="21"/>
        <v>125509.34431818183</v>
      </c>
      <c r="F28" s="55">
        <f t="shared" si="22"/>
        <v>4097821.4732368751</v>
      </c>
      <c r="G28" s="379">
        <f t="shared" si="23"/>
        <v>622811.07700556482</v>
      </c>
      <c r="H28" s="364">
        <f t="shared" si="24"/>
        <v>622811.07700556482</v>
      </c>
      <c r="I28" s="52">
        <f t="shared" si="3"/>
        <v>0</v>
      </c>
      <c r="J28" s="52"/>
      <c r="K28" s="129"/>
      <c r="L28" s="54">
        <f t="shared" si="25"/>
        <v>0</v>
      </c>
      <c r="M28" s="129"/>
      <c r="N28" s="54">
        <f t="shared" si="5"/>
        <v>0</v>
      </c>
      <c r="O28" s="54">
        <f t="shared" si="6"/>
        <v>0</v>
      </c>
      <c r="P28" s="1"/>
    </row>
    <row r="29" spans="2:16" ht="12.5">
      <c r="B29" s="7" t="str">
        <f t="shared" si="4"/>
        <v/>
      </c>
      <c r="C29" s="50">
        <f>IF(D11="","-",+C28+1)</f>
        <v>2027</v>
      </c>
      <c r="D29" s="55">
        <f>IF(F28+SUM(E$17:E28)=D$10,F28,D$10-SUM(E$17:E28))</f>
        <v>4097821.4732368751</v>
      </c>
      <c r="E29" s="378">
        <f t="shared" si="21"/>
        <v>125509.34431818183</v>
      </c>
      <c r="F29" s="55">
        <f t="shared" si="22"/>
        <v>3972312.1289186934</v>
      </c>
      <c r="G29" s="379">
        <f t="shared" si="23"/>
        <v>607809.30508343375</v>
      </c>
      <c r="H29" s="364">
        <f t="shared" si="24"/>
        <v>607809.30508343375</v>
      </c>
      <c r="I29" s="52">
        <f t="shared" si="3"/>
        <v>0</v>
      </c>
      <c r="J29" s="52"/>
      <c r="K29" s="129"/>
      <c r="L29" s="54">
        <f t="shared" si="25"/>
        <v>0</v>
      </c>
      <c r="M29" s="129"/>
      <c r="N29" s="54">
        <f t="shared" si="5"/>
        <v>0</v>
      </c>
      <c r="O29" s="54">
        <f t="shared" si="6"/>
        <v>0</v>
      </c>
      <c r="P29" s="1"/>
    </row>
    <row r="30" spans="2:16" ht="12.5">
      <c r="B30" s="7" t="str">
        <f t="shared" si="4"/>
        <v/>
      </c>
      <c r="C30" s="50">
        <f>IF(D11="","-",+C29+1)</f>
        <v>2028</v>
      </c>
      <c r="D30" s="55">
        <f>IF(F29+SUM(E$17:E29)=D$10,F29,D$10-SUM(E$17:E29))</f>
        <v>3972312.1289186934</v>
      </c>
      <c r="E30" s="378">
        <f t="shared" si="21"/>
        <v>125509.34431818183</v>
      </c>
      <c r="F30" s="55">
        <f t="shared" si="22"/>
        <v>3846802.7846005117</v>
      </c>
      <c r="G30" s="379">
        <f t="shared" si="23"/>
        <v>592807.53316130291</v>
      </c>
      <c r="H30" s="364">
        <f t="shared" si="24"/>
        <v>592807.53316130291</v>
      </c>
      <c r="I30" s="52">
        <f t="shared" si="3"/>
        <v>0</v>
      </c>
      <c r="J30" s="52"/>
      <c r="K30" s="129"/>
      <c r="L30" s="54">
        <f t="shared" si="25"/>
        <v>0</v>
      </c>
      <c r="M30" s="129"/>
      <c r="N30" s="54">
        <f t="shared" si="5"/>
        <v>0</v>
      </c>
      <c r="O30" s="54">
        <f t="shared" si="6"/>
        <v>0</v>
      </c>
      <c r="P30" s="1"/>
    </row>
    <row r="31" spans="2:16" ht="12.5">
      <c r="B31" s="7" t="str">
        <f t="shared" si="4"/>
        <v/>
      </c>
      <c r="C31" s="50">
        <f>IF(D11="","-",+C30+1)</f>
        <v>2029</v>
      </c>
      <c r="D31" s="55">
        <f>IF(F30+SUM(E$17:E30)=D$10,F30,D$10-SUM(E$17:E30))</f>
        <v>3846802.7846005117</v>
      </c>
      <c r="E31" s="378">
        <f t="shared" si="21"/>
        <v>125509.34431818183</v>
      </c>
      <c r="F31" s="55">
        <f t="shared" si="22"/>
        <v>3721293.4402823299</v>
      </c>
      <c r="G31" s="379">
        <f t="shared" si="23"/>
        <v>577805.76123917184</v>
      </c>
      <c r="H31" s="364">
        <f t="shared" si="24"/>
        <v>577805.76123917184</v>
      </c>
      <c r="I31" s="52">
        <f t="shared" si="3"/>
        <v>0</v>
      </c>
      <c r="J31" s="52"/>
      <c r="K31" s="129"/>
      <c r="L31" s="54">
        <f t="shared" si="25"/>
        <v>0</v>
      </c>
      <c r="M31" s="129"/>
      <c r="N31" s="54">
        <f t="shared" si="5"/>
        <v>0</v>
      </c>
      <c r="O31" s="54">
        <f t="shared" si="6"/>
        <v>0</v>
      </c>
      <c r="P31" s="1"/>
    </row>
    <row r="32" spans="2:16" ht="12.5">
      <c r="B32" s="7" t="str">
        <f t="shared" si="4"/>
        <v/>
      </c>
      <c r="C32" s="50">
        <f>IF(D11="","-",+C31+1)</f>
        <v>2030</v>
      </c>
      <c r="D32" s="55">
        <f>IF(F31+SUM(E$17:E31)=D$10,F31,D$10-SUM(E$17:E31))</f>
        <v>3721293.4402823299</v>
      </c>
      <c r="E32" s="378">
        <f t="shared" si="21"/>
        <v>125509.34431818183</v>
      </c>
      <c r="F32" s="55">
        <f t="shared" si="22"/>
        <v>3595784.0959641482</v>
      </c>
      <c r="G32" s="379">
        <f t="shared" si="23"/>
        <v>562803.98931704089</v>
      </c>
      <c r="H32" s="364">
        <f t="shared" si="24"/>
        <v>562803.98931704089</v>
      </c>
      <c r="I32" s="52">
        <f t="shared" si="3"/>
        <v>0</v>
      </c>
      <c r="J32" s="52"/>
      <c r="K32" s="129"/>
      <c r="L32" s="54">
        <f t="shared" si="25"/>
        <v>0</v>
      </c>
      <c r="M32" s="129"/>
      <c r="N32" s="54">
        <f t="shared" si="5"/>
        <v>0</v>
      </c>
      <c r="O32" s="54">
        <f t="shared" si="6"/>
        <v>0</v>
      </c>
      <c r="P32" s="1"/>
    </row>
    <row r="33" spans="2:16" ht="12.5">
      <c r="B33" s="7" t="str">
        <f t="shared" si="4"/>
        <v/>
      </c>
      <c r="C33" s="50">
        <f>IF(D11="","-",+C32+1)</f>
        <v>2031</v>
      </c>
      <c r="D33" s="55">
        <f>IF(F32+SUM(E$17:E32)=D$10,F32,D$10-SUM(E$17:E32))</f>
        <v>3595784.0959641482</v>
      </c>
      <c r="E33" s="378">
        <f t="shared" si="21"/>
        <v>125509.34431818183</v>
      </c>
      <c r="F33" s="55">
        <f t="shared" si="22"/>
        <v>3470274.7516459664</v>
      </c>
      <c r="G33" s="379">
        <f t="shared" si="23"/>
        <v>547802.21739490982</v>
      </c>
      <c r="H33" s="364">
        <f t="shared" si="24"/>
        <v>547802.21739490982</v>
      </c>
      <c r="I33" s="52">
        <f t="shared" si="3"/>
        <v>0</v>
      </c>
      <c r="J33" s="52"/>
      <c r="K33" s="129"/>
      <c r="L33" s="54">
        <f t="shared" si="25"/>
        <v>0</v>
      </c>
      <c r="M33" s="129"/>
      <c r="N33" s="54">
        <f t="shared" si="5"/>
        <v>0</v>
      </c>
      <c r="O33" s="54">
        <f t="shared" si="6"/>
        <v>0</v>
      </c>
      <c r="P33" s="1"/>
    </row>
    <row r="34" spans="2:16" ht="12.5">
      <c r="B34" s="7" t="str">
        <f t="shared" si="4"/>
        <v/>
      </c>
      <c r="C34" s="50">
        <f>IF(D11="","-",+C33+1)</f>
        <v>2032</v>
      </c>
      <c r="D34" s="55">
        <f>IF(F33+SUM(E$17:E33)=D$10,F33,D$10-SUM(E$17:E33))</f>
        <v>3470274.7516459664</v>
      </c>
      <c r="E34" s="378">
        <f t="shared" si="21"/>
        <v>125509.34431818183</v>
      </c>
      <c r="F34" s="55">
        <f t="shared" si="22"/>
        <v>3344765.4073277847</v>
      </c>
      <c r="G34" s="379">
        <f t="shared" si="23"/>
        <v>532800.44547277899</v>
      </c>
      <c r="H34" s="364">
        <f t="shared" si="24"/>
        <v>532800.44547277899</v>
      </c>
      <c r="I34" s="52">
        <f t="shared" si="3"/>
        <v>0</v>
      </c>
      <c r="J34" s="52"/>
      <c r="K34" s="129"/>
      <c r="L34" s="54">
        <f t="shared" si="25"/>
        <v>0</v>
      </c>
      <c r="M34" s="129"/>
      <c r="N34" s="54">
        <f t="shared" si="5"/>
        <v>0</v>
      </c>
      <c r="O34" s="54">
        <f t="shared" si="6"/>
        <v>0</v>
      </c>
      <c r="P34" s="1"/>
    </row>
    <row r="35" spans="2:16" ht="12.5">
      <c r="B35" s="7" t="str">
        <f t="shared" si="4"/>
        <v/>
      </c>
      <c r="C35" s="50">
        <f>IF(D11="","-",+C34+1)</f>
        <v>2033</v>
      </c>
      <c r="D35" s="55">
        <f>IF(F34+SUM(E$17:E34)=D$10,F34,D$10-SUM(E$17:E34))</f>
        <v>3344765.4073277847</v>
      </c>
      <c r="E35" s="378">
        <f t="shared" si="21"/>
        <v>125509.34431818183</v>
      </c>
      <c r="F35" s="55">
        <f t="shared" si="22"/>
        <v>3219256.0630096029</v>
      </c>
      <c r="G35" s="379">
        <f t="shared" si="23"/>
        <v>517798.67355064792</v>
      </c>
      <c r="H35" s="364">
        <f t="shared" si="24"/>
        <v>517798.67355064792</v>
      </c>
      <c r="I35" s="52">
        <f t="shared" si="3"/>
        <v>0</v>
      </c>
      <c r="J35" s="52"/>
      <c r="K35" s="129"/>
      <c r="L35" s="54">
        <f t="shared" si="25"/>
        <v>0</v>
      </c>
      <c r="M35" s="129"/>
      <c r="N35" s="54">
        <f t="shared" si="5"/>
        <v>0</v>
      </c>
      <c r="O35" s="54">
        <f t="shared" si="6"/>
        <v>0</v>
      </c>
      <c r="P35" s="1"/>
    </row>
    <row r="36" spans="2:16" ht="12.5">
      <c r="B36" s="7" t="str">
        <f t="shared" si="4"/>
        <v/>
      </c>
      <c r="C36" s="50">
        <f>IF(D11="","-",+C35+1)</f>
        <v>2034</v>
      </c>
      <c r="D36" s="55">
        <f>IF(F35+SUM(E$17:E35)=D$10,F35,D$10-SUM(E$17:E35))</f>
        <v>3219256.0630096029</v>
      </c>
      <c r="E36" s="378">
        <f t="shared" si="21"/>
        <v>125509.34431818183</v>
      </c>
      <c r="F36" s="55">
        <f t="shared" si="22"/>
        <v>3093746.7186914212</v>
      </c>
      <c r="G36" s="379">
        <f t="shared" si="23"/>
        <v>502796.90162851696</v>
      </c>
      <c r="H36" s="364">
        <f t="shared" si="24"/>
        <v>502796.90162851696</v>
      </c>
      <c r="I36" s="52">
        <f t="shared" si="3"/>
        <v>0</v>
      </c>
      <c r="J36" s="52"/>
      <c r="K36" s="129"/>
      <c r="L36" s="54">
        <f t="shared" si="25"/>
        <v>0</v>
      </c>
      <c r="M36" s="129"/>
      <c r="N36" s="54">
        <f t="shared" si="5"/>
        <v>0</v>
      </c>
      <c r="O36" s="54">
        <f t="shared" si="6"/>
        <v>0</v>
      </c>
      <c r="P36" s="1"/>
    </row>
    <row r="37" spans="2:16" ht="12.5">
      <c r="B37" s="7" t="str">
        <f t="shared" si="4"/>
        <v/>
      </c>
      <c r="C37" s="50">
        <f>IF(D11="","-",+C36+1)</f>
        <v>2035</v>
      </c>
      <c r="D37" s="55">
        <f>IF(F36+SUM(E$17:E36)=D$10,F36,D$10-SUM(E$17:E36))</f>
        <v>3093746.7186914212</v>
      </c>
      <c r="E37" s="378">
        <f t="shared" si="21"/>
        <v>125509.34431818183</v>
      </c>
      <c r="F37" s="55">
        <f t="shared" si="22"/>
        <v>2968237.3743732395</v>
      </c>
      <c r="G37" s="379">
        <f t="shared" si="23"/>
        <v>487795.12970638601</v>
      </c>
      <c r="H37" s="364">
        <f t="shared" si="24"/>
        <v>487795.12970638601</v>
      </c>
      <c r="I37" s="52">
        <f t="shared" si="3"/>
        <v>0</v>
      </c>
      <c r="J37" s="52"/>
      <c r="K37" s="129"/>
      <c r="L37" s="54">
        <f t="shared" si="25"/>
        <v>0</v>
      </c>
      <c r="M37" s="129"/>
      <c r="N37" s="54">
        <f t="shared" si="5"/>
        <v>0</v>
      </c>
      <c r="O37" s="54">
        <f t="shared" si="6"/>
        <v>0</v>
      </c>
      <c r="P37" s="1"/>
    </row>
    <row r="38" spans="2:16" ht="12.5">
      <c r="B38" s="7" t="str">
        <f t="shared" si="4"/>
        <v/>
      </c>
      <c r="C38" s="50">
        <f>IF(D11="","-",+C37+1)</f>
        <v>2036</v>
      </c>
      <c r="D38" s="55">
        <f>IF(F37+SUM(E$17:E37)=D$10,F37,D$10-SUM(E$17:E37))</f>
        <v>2968237.3743732395</v>
      </c>
      <c r="E38" s="378">
        <f t="shared" si="21"/>
        <v>125509.34431818183</v>
      </c>
      <c r="F38" s="55">
        <f t="shared" si="22"/>
        <v>2842728.0300550577</v>
      </c>
      <c r="G38" s="379">
        <f t="shared" si="23"/>
        <v>472793.35778425506</v>
      </c>
      <c r="H38" s="364">
        <f t="shared" si="24"/>
        <v>472793.35778425506</v>
      </c>
      <c r="I38" s="52">
        <f t="shared" si="3"/>
        <v>0</v>
      </c>
      <c r="J38" s="52"/>
      <c r="K38" s="129"/>
      <c r="L38" s="54">
        <f t="shared" si="25"/>
        <v>0</v>
      </c>
      <c r="M38" s="129"/>
      <c r="N38" s="54">
        <f t="shared" si="5"/>
        <v>0</v>
      </c>
      <c r="O38" s="54">
        <f t="shared" si="6"/>
        <v>0</v>
      </c>
      <c r="P38" s="1"/>
    </row>
    <row r="39" spans="2:16" ht="12.5">
      <c r="B39" s="7" t="str">
        <f t="shared" si="4"/>
        <v/>
      </c>
      <c r="C39" s="50">
        <f>IF(D11="","-",+C38+1)</f>
        <v>2037</v>
      </c>
      <c r="D39" s="55">
        <f>IF(F38+SUM(E$17:E38)=D$10,F38,D$10-SUM(E$17:E38))</f>
        <v>2842728.0300550577</v>
      </c>
      <c r="E39" s="378">
        <f t="shared" si="21"/>
        <v>125509.34431818183</v>
      </c>
      <c r="F39" s="55">
        <f t="shared" si="22"/>
        <v>2717218.685736876</v>
      </c>
      <c r="G39" s="379">
        <f t="shared" si="23"/>
        <v>457791.58586212399</v>
      </c>
      <c r="H39" s="364">
        <f t="shared" si="24"/>
        <v>457791.58586212399</v>
      </c>
      <c r="I39" s="52">
        <f t="shared" si="3"/>
        <v>0</v>
      </c>
      <c r="J39" s="52"/>
      <c r="K39" s="129"/>
      <c r="L39" s="54">
        <f t="shared" si="25"/>
        <v>0</v>
      </c>
      <c r="M39" s="129"/>
      <c r="N39" s="54">
        <f t="shared" si="5"/>
        <v>0</v>
      </c>
      <c r="O39" s="54">
        <f t="shared" si="6"/>
        <v>0</v>
      </c>
      <c r="P39" s="1"/>
    </row>
    <row r="40" spans="2:16" ht="12.5">
      <c r="B40" s="7" t="str">
        <f t="shared" si="4"/>
        <v/>
      </c>
      <c r="C40" s="50">
        <f>IF(D11="","-",+C39+1)</f>
        <v>2038</v>
      </c>
      <c r="D40" s="55">
        <f>IF(F39+SUM(E$17:E39)=D$10,F39,D$10-SUM(E$17:E39))</f>
        <v>2717218.685736876</v>
      </c>
      <c r="E40" s="378">
        <f t="shared" si="21"/>
        <v>125509.34431818183</v>
      </c>
      <c r="F40" s="55">
        <f t="shared" si="22"/>
        <v>2591709.3414186942</v>
      </c>
      <c r="G40" s="379">
        <f t="shared" si="23"/>
        <v>442789.81393999315</v>
      </c>
      <c r="H40" s="364">
        <f t="shared" si="24"/>
        <v>442789.81393999315</v>
      </c>
      <c r="I40" s="52">
        <f t="shared" si="3"/>
        <v>0</v>
      </c>
      <c r="J40" s="52"/>
      <c r="K40" s="129"/>
      <c r="L40" s="54">
        <f t="shared" si="25"/>
        <v>0</v>
      </c>
      <c r="M40" s="129"/>
      <c r="N40" s="54">
        <f t="shared" si="5"/>
        <v>0</v>
      </c>
      <c r="O40" s="54">
        <f t="shared" si="6"/>
        <v>0</v>
      </c>
      <c r="P40" s="1"/>
    </row>
    <row r="41" spans="2:16" ht="12.5">
      <c r="B41" s="7" t="str">
        <f t="shared" si="4"/>
        <v/>
      </c>
      <c r="C41" s="50">
        <f>IF(D11="","-",+C40+1)</f>
        <v>2039</v>
      </c>
      <c r="D41" s="55">
        <f>IF(F40+SUM(E$17:E40)=D$10,F40,D$10-SUM(E$17:E40))</f>
        <v>2591709.3414186942</v>
      </c>
      <c r="E41" s="378">
        <f t="shared" si="21"/>
        <v>125509.34431818183</v>
      </c>
      <c r="F41" s="55">
        <f t="shared" si="22"/>
        <v>2466199.9971005125</v>
      </c>
      <c r="G41" s="379">
        <f t="shared" si="23"/>
        <v>427788.04201786208</v>
      </c>
      <c r="H41" s="364">
        <f t="shared" si="24"/>
        <v>427788.04201786208</v>
      </c>
      <c r="I41" s="52">
        <f t="shared" si="3"/>
        <v>0</v>
      </c>
      <c r="J41" s="52"/>
      <c r="K41" s="129"/>
      <c r="L41" s="54">
        <f t="shared" si="25"/>
        <v>0</v>
      </c>
      <c r="M41" s="129"/>
      <c r="N41" s="54">
        <f t="shared" si="5"/>
        <v>0</v>
      </c>
      <c r="O41" s="54">
        <f t="shared" si="6"/>
        <v>0</v>
      </c>
      <c r="P41" s="1"/>
    </row>
    <row r="42" spans="2:16" ht="12.5">
      <c r="B42" s="7" t="str">
        <f t="shared" si="4"/>
        <v/>
      </c>
      <c r="C42" s="50">
        <f>IF(D11="","-",+C41+1)</f>
        <v>2040</v>
      </c>
      <c r="D42" s="55">
        <f>IF(F41+SUM(E$17:E41)=D$10,F41,D$10-SUM(E$17:E41))</f>
        <v>2466199.9971005125</v>
      </c>
      <c r="E42" s="378">
        <f t="shared" si="21"/>
        <v>125509.34431818183</v>
      </c>
      <c r="F42" s="55">
        <f t="shared" si="22"/>
        <v>2340690.6527823308</v>
      </c>
      <c r="G42" s="379">
        <f t="shared" si="23"/>
        <v>412786.27009573113</v>
      </c>
      <c r="H42" s="364">
        <f t="shared" si="24"/>
        <v>412786.27009573113</v>
      </c>
      <c r="I42" s="52">
        <f t="shared" si="3"/>
        <v>0</v>
      </c>
      <c r="J42" s="52"/>
      <c r="K42" s="129"/>
      <c r="L42" s="54">
        <f t="shared" si="25"/>
        <v>0</v>
      </c>
      <c r="M42" s="129"/>
      <c r="N42" s="54">
        <f t="shared" si="5"/>
        <v>0</v>
      </c>
      <c r="O42" s="54">
        <f t="shared" si="6"/>
        <v>0</v>
      </c>
      <c r="P42" s="1"/>
    </row>
    <row r="43" spans="2:16" ht="12.5">
      <c r="B43" s="7" t="str">
        <f t="shared" si="4"/>
        <v/>
      </c>
      <c r="C43" s="50">
        <f>IF(D11="","-",+C42+1)</f>
        <v>2041</v>
      </c>
      <c r="D43" s="55">
        <f>IF(F42+SUM(E$17:E42)=D$10,F42,D$10-SUM(E$17:E42))</f>
        <v>2340690.6527823308</v>
      </c>
      <c r="E43" s="378">
        <f t="shared" si="21"/>
        <v>125509.34431818183</v>
      </c>
      <c r="F43" s="55">
        <f t="shared" si="22"/>
        <v>2215181.308464149</v>
      </c>
      <c r="G43" s="379">
        <f t="shared" si="23"/>
        <v>397784.49817360018</v>
      </c>
      <c r="H43" s="364">
        <f t="shared" si="24"/>
        <v>397784.49817360018</v>
      </c>
      <c r="I43" s="52">
        <f t="shared" si="3"/>
        <v>0</v>
      </c>
      <c r="J43" s="52"/>
      <c r="K43" s="129"/>
      <c r="L43" s="54">
        <f t="shared" si="25"/>
        <v>0</v>
      </c>
      <c r="M43" s="129"/>
      <c r="N43" s="54">
        <f t="shared" si="5"/>
        <v>0</v>
      </c>
      <c r="O43" s="54">
        <f t="shared" si="6"/>
        <v>0</v>
      </c>
      <c r="P43" s="1"/>
    </row>
    <row r="44" spans="2:16" ht="12.5">
      <c r="B44" s="7" t="str">
        <f t="shared" si="4"/>
        <v/>
      </c>
      <c r="C44" s="50">
        <f>IF(D11="","-",+C43+1)</f>
        <v>2042</v>
      </c>
      <c r="D44" s="55">
        <f>IF(F43+SUM(E$17:E43)=D$10,F43,D$10-SUM(E$17:E43))</f>
        <v>2215181.308464149</v>
      </c>
      <c r="E44" s="378">
        <f t="shared" si="21"/>
        <v>125509.34431818183</v>
      </c>
      <c r="F44" s="55">
        <f t="shared" si="22"/>
        <v>2089671.9641459673</v>
      </c>
      <c r="G44" s="379">
        <f t="shared" si="23"/>
        <v>382782.72625146923</v>
      </c>
      <c r="H44" s="364">
        <f t="shared" si="24"/>
        <v>382782.72625146923</v>
      </c>
      <c r="I44" s="52">
        <f t="shared" si="3"/>
        <v>0</v>
      </c>
      <c r="J44" s="52"/>
      <c r="K44" s="129"/>
      <c r="L44" s="54">
        <f t="shared" si="25"/>
        <v>0</v>
      </c>
      <c r="M44" s="129"/>
      <c r="N44" s="54">
        <f t="shared" si="5"/>
        <v>0</v>
      </c>
      <c r="O44" s="54">
        <f t="shared" si="6"/>
        <v>0</v>
      </c>
      <c r="P44" s="1"/>
    </row>
    <row r="45" spans="2:16" ht="12.5">
      <c r="B45" s="7" t="str">
        <f t="shared" si="4"/>
        <v/>
      </c>
      <c r="C45" s="50">
        <f>IF(D11="","-",+C44+1)</f>
        <v>2043</v>
      </c>
      <c r="D45" s="55">
        <f>IF(F44+SUM(E$17:E44)=D$10,F44,D$10-SUM(E$17:E44))</f>
        <v>2089671.9641459673</v>
      </c>
      <c r="E45" s="378">
        <f t="shared" si="21"/>
        <v>125509.34431818183</v>
      </c>
      <c r="F45" s="55">
        <f t="shared" si="22"/>
        <v>1964162.6198277855</v>
      </c>
      <c r="G45" s="379">
        <f t="shared" si="23"/>
        <v>367780.95432933822</v>
      </c>
      <c r="H45" s="364">
        <f t="shared" si="24"/>
        <v>367780.95432933822</v>
      </c>
      <c r="I45" s="52">
        <f t="shared" si="3"/>
        <v>0</v>
      </c>
      <c r="J45" s="52"/>
      <c r="K45" s="129"/>
      <c r="L45" s="54">
        <f t="shared" si="25"/>
        <v>0</v>
      </c>
      <c r="M45" s="129"/>
      <c r="N45" s="54">
        <f t="shared" si="5"/>
        <v>0</v>
      </c>
      <c r="O45" s="54">
        <f t="shared" si="6"/>
        <v>0</v>
      </c>
      <c r="P45" s="1"/>
    </row>
    <row r="46" spans="2:16" ht="12.5">
      <c r="B46" s="7" t="str">
        <f t="shared" si="4"/>
        <v/>
      </c>
      <c r="C46" s="50">
        <f>IF(D11="","-",+C45+1)</f>
        <v>2044</v>
      </c>
      <c r="D46" s="55">
        <f>IF(F45+SUM(E$17:E45)=D$10,F45,D$10-SUM(E$17:E45))</f>
        <v>1964162.6198277855</v>
      </c>
      <c r="E46" s="378">
        <f t="shared" si="21"/>
        <v>125509.34431818183</v>
      </c>
      <c r="F46" s="55">
        <f t="shared" si="22"/>
        <v>1838653.2755096038</v>
      </c>
      <c r="G46" s="379">
        <f t="shared" si="23"/>
        <v>352779.1824072072</v>
      </c>
      <c r="H46" s="364">
        <f t="shared" si="24"/>
        <v>352779.1824072072</v>
      </c>
      <c r="I46" s="52">
        <f t="shared" si="3"/>
        <v>0</v>
      </c>
      <c r="J46" s="52"/>
      <c r="K46" s="129"/>
      <c r="L46" s="54">
        <f t="shared" si="25"/>
        <v>0</v>
      </c>
      <c r="M46" s="129"/>
      <c r="N46" s="54">
        <f t="shared" si="5"/>
        <v>0</v>
      </c>
      <c r="O46" s="54">
        <f t="shared" si="6"/>
        <v>0</v>
      </c>
      <c r="P46" s="1"/>
    </row>
    <row r="47" spans="2:16" ht="12.5">
      <c r="B47" s="7" t="str">
        <f t="shared" si="4"/>
        <v/>
      </c>
      <c r="C47" s="50">
        <f>IF(D11="","-",+C46+1)</f>
        <v>2045</v>
      </c>
      <c r="D47" s="55">
        <f>IF(F46+SUM(E$17:E46)=D$10,F46,D$10-SUM(E$17:E46))</f>
        <v>1838653.2755096038</v>
      </c>
      <c r="E47" s="378">
        <f t="shared" si="21"/>
        <v>125509.34431818183</v>
      </c>
      <c r="F47" s="55">
        <f t="shared" si="22"/>
        <v>1713143.931191422</v>
      </c>
      <c r="G47" s="379">
        <f t="shared" si="23"/>
        <v>337777.41048507625</v>
      </c>
      <c r="H47" s="364">
        <f t="shared" si="24"/>
        <v>337777.41048507625</v>
      </c>
      <c r="I47" s="52">
        <f t="shared" si="3"/>
        <v>0</v>
      </c>
      <c r="J47" s="52"/>
      <c r="K47" s="129"/>
      <c r="L47" s="54">
        <f t="shared" si="25"/>
        <v>0</v>
      </c>
      <c r="M47" s="129"/>
      <c r="N47" s="54">
        <f t="shared" si="5"/>
        <v>0</v>
      </c>
      <c r="O47" s="54">
        <f t="shared" si="6"/>
        <v>0</v>
      </c>
      <c r="P47" s="1"/>
    </row>
    <row r="48" spans="2:16" ht="12.5">
      <c r="B48" s="7" t="str">
        <f t="shared" si="4"/>
        <v/>
      </c>
      <c r="C48" s="50">
        <f>IF(D11="","-",+C47+1)</f>
        <v>2046</v>
      </c>
      <c r="D48" s="55">
        <f>IF(F47+SUM(E$17:E47)=D$10,F47,D$10-SUM(E$17:E47))</f>
        <v>1713143.931191422</v>
      </c>
      <c r="E48" s="378">
        <f t="shared" si="21"/>
        <v>125509.34431818183</v>
      </c>
      <c r="F48" s="55">
        <f t="shared" si="22"/>
        <v>1587634.5868732403</v>
      </c>
      <c r="G48" s="379">
        <f t="shared" si="23"/>
        <v>322775.6385629453</v>
      </c>
      <c r="H48" s="364">
        <f t="shared" si="24"/>
        <v>322775.6385629453</v>
      </c>
      <c r="I48" s="52">
        <f t="shared" si="3"/>
        <v>0</v>
      </c>
      <c r="J48" s="52"/>
      <c r="K48" s="129"/>
      <c r="L48" s="54">
        <f t="shared" si="25"/>
        <v>0</v>
      </c>
      <c r="M48" s="129"/>
      <c r="N48" s="54">
        <f t="shared" si="5"/>
        <v>0</v>
      </c>
      <c r="O48" s="54">
        <f t="shared" si="6"/>
        <v>0</v>
      </c>
      <c r="P48" s="1"/>
    </row>
    <row r="49" spans="2:16" ht="12.5">
      <c r="B49" s="7" t="str">
        <f t="shared" si="4"/>
        <v/>
      </c>
      <c r="C49" s="50">
        <f>IF(D11="","-",+C48+1)</f>
        <v>2047</v>
      </c>
      <c r="D49" s="55">
        <f>IF(F48+SUM(E$17:E48)=D$10,F48,D$10-SUM(E$17:E48))</f>
        <v>1587634.5868732403</v>
      </c>
      <c r="E49" s="378">
        <f t="shared" si="21"/>
        <v>125509.34431818183</v>
      </c>
      <c r="F49" s="55">
        <f t="shared" si="22"/>
        <v>1462125.2425550586</v>
      </c>
      <c r="G49" s="379">
        <f t="shared" si="23"/>
        <v>307773.86664081435</v>
      </c>
      <c r="H49" s="364">
        <f t="shared" si="24"/>
        <v>307773.86664081435</v>
      </c>
      <c r="I49" s="52">
        <f t="shared" si="3"/>
        <v>0</v>
      </c>
      <c r="J49" s="52"/>
      <c r="K49" s="129"/>
      <c r="L49" s="54">
        <f t="shared" si="25"/>
        <v>0</v>
      </c>
      <c r="M49" s="129"/>
      <c r="N49" s="54">
        <f t="shared" si="5"/>
        <v>0</v>
      </c>
      <c r="O49" s="54">
        <f t="shared" si="6"/>
        <v>0</v>
      </c>
      <c r="P49" s="1"/>
    </row>
    <row r="50" spans="2:16" ht="12.5">
      <c r="B50" s="7" t="str">
        <f t="shared" si="4"/>
        <v/>
      </c>
      <c r="C50" s="50">
        <f>IF(D11="","-",+C49+1)</f>
        <v>2048</v>
      </c>
      <c r="D50" s="55">
        <f>IF(F49+SUM(E$17:E49)=D$10,F49,D$10-SUM(E$17:E49))</f>
        <v>1462125.2425550586</v>
      </c>
      <c r="E50" s="378">
        <f t="shared" si="21"/>
        <v>125509.34431818183</v>
      </c>
      <c r="F50" s="55">
        <f t="shared" si="22"/>
        <v>1336615.8982368768</v>
      </c>
      <c r="G50" s="379">
        <f t="shared" si="23"/>
        <v>292772.09471868334</v>
      </c>
      <c r="H50" s="364">
        <f t="shared" si="24"/>
        <v>292772.09471868334</v>
      </c>
      <c r="I50" s="52">
        <f t="shared" si="3"/>
        <v>0</v>
      </c>
      <c r="J50" s="52"/>
      <c r="K50" s="129"/>
      <c r="L50" s="54">
        <f t="shared" si="25"/>
        <v>0</v>
      </c>
      <c r="M50" s="129"/>
      <c r="N50" s="54">
        <f t="shared" si="5"/>
        <v>0</v>
      </c>
      <c r="O50" s="54">
        <f t="shared" si="6"/>
        <v>0</v>
      </c>
      <c r="P50" s="1"/>
    </row>
    <row r="51" spans="2:16" ht="12.5">
      <c r="B51" s="7" t="str">
        <f t="shared" si="4"/>
        <v/>
      </c>
      <c r="C51" s="50">
        <f>IF(D11="","-",+C50+1)</f>
        <v>2049</v>
      </c>
      <c r="D51" s="55">
        <f>IF(F50+SUM(E$17:E50)=D$10,F50,D$10-SUM(E$17:E50))</f>
        <v>1336615.8982368768</v>
      </c>
      <c r="E51" s="378">
        <f t="shared" si="21"/>
        <v>125509.34431818183</v>
      </c>
      <c r="F51" s="55">
        <f t="shared" si="22"/>
        <v>1211106.5539186951</v>
      </c>
      <c r="G51" s="379">
        <f t="shared" ref="G51:G72" si="26">+I$12*((D51+F51)/2)+E51</f>
        <v>277770.32279655233</v>
      </c>
      <c r="H51" s="364">
        <f t="shared" ref="H51:H72" si="27">+I$13*((D51+F51)/2)+E51</f>
        <v>277770.32279655233</v>
      </c>
      <c r="I51" s="52">
        <f t="shared" si="3"/>
        <v>0</v>
      </c>
      <c r="J51" s="52"/>
      <c r="K51" s="129"/>
      <c r="L51" s="54">
        <f t="shared" si="25"/>
        <v>0</v>
      </c>
      <c r="M51" s="129"/>
      <c r="N51" s="54">
        <f t="shared" si="5"/>
        <v>0</v>
      </c>
      <c r="O51" s="54">
        <f t="shared" si="6"/>
        <v>0</v>
      </c>
      <c r="P51" s="1"/>
    </row>
    <row r="52" spans="2:16" ht="12.5">
      <c r="B52" s="7" t="str">
        <f t="shared" si="4"/>
        <v/>
      </c>
      <c r="C52" s="50">
        <f>IF(D11="","-",+C51+1)</f>
        <v>2050</v>
      </c>
      <c r="D52" s="55">
        <f>IF(F51+SUM(E$17:E51)=D$10,F51,D$10-SUM(E$17:E51))</f>
        <v>1211106.5539186951</v>
      </c>
      <c r="E52" s="378">
        <f t="shared" si="21"/>
        <v>125509.34431818183</v>
      </c>
      <c r="F52" s="55">
        <f t="shared" si="22"/>
        <v>1085597.2096005133</v>
      </c>
      <c r="G52" s="379">
        <f t="shared" si="26"/>
        <v>262768.55087442137</v>
      </c>
      <c r="H52" s="364">
        <f t="shared" si="27"/>
        <v>262768.55087442137</v>
      </c>
      <c r="I52" s="52">
        <f t="shared" si="3"/>
        <v>0</v>
      </c>
      <c r="J52" s="52"/>
      <c r="K52" s="129"/>
      <c r="L52" s="54">
        <f t="shared" si="25"/>
        <v>0</v>
      </c>
      <c r="M52" s="129"/>
      <c r="N52" s="54">
        <f t="shared" si="5"/>
        <v>0</v>
      </c>
      <c r="O52" s="54">
        <f t="shared" si="6"/>
        <v>0</v>
      </c>
      <c r="P52" s="1"/>
    </row>
    <row r="53" spans="2:16" ht="12.5">
      <c r="B53" s="7" t="str">
        <f t="shared" si="4"/>
        <v/>
      </c>
      <c r="C53" s="50">
        <f>IF(D11="","-",+C52+1)</f>
        <v>2051</v>
      </c>
      <c r="D53" s="55">
        <f>IF(F52+SUM(E$17:E52)=D$10,F52,D$10-SUM(E$17:E52))</f>
        <v>1085597.2096005133</v>
      </c>
      <c r="E53" s="378">
        <f t="shared" si="21"/>
        <v>125509.34431818183</v>
      </c>
      <c r="F53" s="55">
        <f t="shared" si="22"/>
        <v>960087.86528233148</v>
      </c>
      <c r="G53" s="379">
        <f t="shared" si="26"/>
        <v>247766.77895229042</v>
      </c>
      <c r="H53" s="364">
        <f t="shared" si="27"/>
        <v>247766.77895229042</v>
      </c>
      <c r="I53" s="52">
        <f t="shared" si="3"/>
        <v>0</v>
      </c>
      <c r="J53" s="52"/>
      <c r="K53" s="129"/>
      <c r="L53" s="54">
        <f t="shared" si="25"/>
        <v>0</v>
      </c>
      <c r="M53" s="129"/>
      <c r="N53" s="54">
        <f t="shared" si="5"/>
        <v>0</v>
      </c>
      <c r="O53" s="54">
        <f t="shared" si="6"/>
        <v>0</v>
      </c>
      <c r="P53" s="1"/>
    </row>
    <row r="54" spans="2:16" ht="12.5">
      <c r="B54" s="7" t="str">
        <f t="shared" si="4"/>
        <v/>
      </c>
      <c r="C54" s="50">
        <f>IF(D11="","-",+C53+1)</f>
        <v>2052</v>
      </c>
      <c r="D54" s="55">
        <f>IF(F53+SUM(E$17:E53)=D$10,F53,D$10-SUM(E$17:E53))</f>
        <v>960087.86528233148</v>
      </c>
      <c r="E54" s="378">
        <f t="shared" si="21"/>
        <v>125509.34431818183</v>
      </c>
      <c r="F54" s="55">
        <f t="shared" si="22"/>
        <v>834578.52096414962</v>
      </c>
      <c r="G54" s="379">
        <f t="shared" si="26"/>
        <v>232765.00703015941</v>
      </c>
      <c r="H54" s="364">
        <f t="shared" si="27"/>
        <v>232765.00703015941</v>
      </c>
      <c r="I54" s="52">
        <f t="shared" si="3"/>
        <v>0</v>
      </c>
      <c r="J54" s="52"/>
      <c r="K54" s="129"/>
      <c r="L54" s="54">
        <f t="shared" si="25"/>
        <v>0</v>
      </c>
      <c r="M54" s="129"/>
      <c r="N54" s="54">
        <f t="shared" si="5"/>
        <v>0</v>
      </c>
      <c r="O54" s="54">
        <f t="shared" si="6"/>
        <v>0</v>
      </c>
      <c r="P54" s="1"/>
    </row>
    <row r="55" spans="2:16" ht="12.5">
      <c r="B55" s="7" t="str">
        <f t="shared" si="4"/>
        <v/>
      </c>
      <c r="C55" s="50">
        <f>IF(D11="","-",+C54+1)</f>
        <v>2053</v>
      </c>
      <c r="D55" s="55">
        <f>IF(F54+SUM(E$17:E54)=D$10,F54,D$10-SUM(E$17:E54))</f>
        <v>834578.52096414962</v>
      </c>
      <c r="E55" s="378">
        <f t="shared" si="21"/>
        <v>125509.34431818183</v>
      </c>
      <c r="F55" s="55">
        <f t="shared" si="22"/>
        <v>709069.17664596776</v>
      </c>
      <c r="G55" s="379">
        <f t="shared" si="26"/>
        <v>217763.23510802843</v>
      </c>
      <c r="H55" s="364">
        <f t="shared" si="27"/>
        <v>217763.23510802843</v>
      </c>
      <c r="I55" s="52">
        <f t="shared" si="3"/>
        <v>0</v>
      </c>
      <c r="J55" s="52"/>
      <c r="K55" s="129"/>
      <c r="L55" s="54">
        <f t="shared" si="25"/>
        <v>0</v>
      </c>
      <c r="M55" s="129"/>
      <c r="N55" s="54">
        <f t="shared" si="5"/>
        <v>0</v>
      </c>
      <c r="O55" s="54">
        <f t="shared" si="6"/>
        <v>0</v>
      </c>
      <c r="P55" s="1"/>
    </row>
    <row r="56" spans="2:16" ht="12.5">
      <c r="B56" s="7" t="str">
        <f t="shared" si="4"/>
        <v/>
      </c>
      <c r="C56" s="50">
        <f>IF(D11="","-",+C55+1)</f>
        <v>2054</v>
      </c>
      <c r="D56" s="55">
        <f>IF(F55+SUM(E$17:E55)=D$10,F55,D$10-SUM(E$17:E55))</f>
        <v>709069.17664596776</v>
      </c>
      <c r="E56" s="378">
        <f t="shared" si="21"/>
        <v>125509.34431818183</v>
      </c>
      <c r="F56" s="55">
        <f t="shared" si="22"/>
        <v>583559.8323277859</v>
      </c>
      <c r="G56" s="379">
        <f t="shared" si="26"/>
        <v>202761.46318589745</v>
      </c>
      <c r="H56" s="364">
        <f t="shared" si="27"/>
        <v>202761.46318589745</v>
      </c>
      <c r="I56" s="52">
        <f t="shared" si="3"/>
        <v>0</v>
      </c>
      <c r="J56" s="52"/>
      <c r="K56" s="129"/>
      <c r="L56" s="54">
        <f t="shared" si="25"/>
        <v>0</v>
      </c>
      <c r="M56" s="129"/>
      <c r="N56" s="54">
        <f t="shared" si="5"/>
        <v>0</v>
      </c>
      <c r="O56" s="54">
        <f t="shared" si="6"/>
        <v>0</v>
      </c>
      <c r="P56" s="1"/>
    </row>
    <row r="57" spans="2:16" ht="12.5">
      <c r="B57" s="7" t="str">
        <f t="shared" si="4"/>
        <v/>
      </c>
      <c r="C57" s="50">
        <f>IF(D11="","-",+C56+1)</f>
        <v>2055</v>
      </c>
      <c r="D57" s="55">
        <f>IF(F56+SUM(E$17:E56)=D$10,F56,D$10-SUM(E$17:E56))</f>
        <v>583559.8323277859</v>
      </c>
      <c r="E57" s="378">
        <f t="shared" si="21"/>
        <v>125509.34431818183</v>
      </c>
      <c r="F57" s="55">
        <f t="shared" si="22"/>
        <v>458050.48800960404</v>
      </c>
      <c r="G57" s="379">
        <f t="shared" si="26"/>
        <v>187759.69126376644</v>
      </c>
      <c r="H57" s="364">
        <f t="shared" si="27"/>
        <v>187759.69126376644</v>
      </c>
      <c r="I57" s="52">
        <f t="shared" si="3"/>
        <v>0</v>
      </c>
      <c r="J57" s="52"/>
      <c r="K57" s="129"/>
      <c r="L57" s="54">
        <f t="shared" si="25"/>
        <v>0</v>
      </c>
      <c r="M57" s="129"/>
      <c r="N57" s="54">
        <f t="shared" si="5"/>
        <v>0</v>
      </c>
      <c r="O57" s="54">
        <f t="shared" si="6"/>
        <v>0</v>
      </c>
      <c r="P57" s="1"/>
    </row>
    <row r="58" spans="2:16" ht="12.5">
      <c r="B58" s="7" t="str">
        <f t="shared" si="4"/>
        <v/>
      </c>
      <c r="C58" s="50">
        <f>IF(D11="","-",+C57+1)</f>
        <v>2056</v>
      </c>
      <c r="D58" s="55">
        <f>IF(F57+SUM(E$17:E57)=D$10,F57,D$10-SUM(E$17:E57))</f>
        <v>458050.48800960404</v>
      </c>
      <c r="E58" s="378">
        <f t="shared" si="21"/>
        <v>125509.34431818183</v>
      </c>
      <c r="F58" s="55">
        <f t="shared" si="22"/>
        <v>332541.14369142218</v>
      </c>
      <c r="G58" s="379">
        <f t="shared" si="26"/>
        <v>172757.91934163545</v>
      </c>
      <c r="H58" s="364">
        <f t="shared" si="27"/>
        <v>172757.91934163545</v>
      </c>
      <c r="I58" s="52">
        <f t="shared" si="3"/>
        <v>0</v>
      </c>
      <c r="J58" s="52"/>
      <c r="K58" s="129"/>
      <c r="L58" s="54">
        <f t="shared" si="25"/>
        <v>0</v>
      </c>
      <c r="M58" s="129"/>
      <c r="N58" s="54">
        <f t="shared" si="5"/>
        <v>0</v>
      </c>
      <c r="O58" s="54">
        <f t="shared" si="6"/>
        <v>0</v>
      </c>
      <c r="P58" s="1"/>
    </row>
    <row r="59" spans="2:16" ht="12.5">
      <c r="B59" s="7" t="str">
        <f t="shared" si="4"/>
        <v/>
      </c>
      <c r="C59" s="50">
        <f>IF(D11="","-",+C58+1)</f>
        <v>2057</v>
      </c>
      <c r="D59" s="55">
        <f>IF(F58+SUM(E$17:E58)=D$10,F58,D$10-SUM(E$17:E58))</f>
        <v>332541.14369142218</v>
      </c>
      <c r="E59" s="378">
        <f t="shared" si="21"/>
        <v>125509.34431818183</v>
      </c>
      <c r="F59" s="55">
        <f t="shared" si="22"/>
        <v>207031.79937324036</v>
      </c>
      <c r="G59" s="379">
        <f t="shared" si="26"/>
        <v>157756.14741950447</v>
      </c>
      <c r="H59" s="364">
        <f t="shared" si="27"/>
        <v>157756.14741950447</v>
      </c>
      <c r="I59" s="52">
        <f t="shared" si="3"/>
        <v>0</v>
      </c>
      <c r="J59" s="52"/>
      <c r="K59" s="129"/>
      <c r="L59" s="54">
        <f t="shared" si="25"/>
        <v>0</v>
      </c>
      <c r="M59" s="129"/>
      <c r="N59" s="54">
        <f t="shared" si="5"/>
        <v>0</v>
      </c>
      <c r="O59" s="54">
        <f t="shared" si="6"/>
        <v>0</v>
      </c>
      <c r="P59" s="1"/>
    </row>
    <row r="60" spans="2:16" ht="12.5">
      <c r="B60" s="7" t="str">
        <f t="shared" si="4"/>
        <v/>
      </c>
      <c r="C60" s="50">
        <f>IF(D11="","-",+C59+1)</f>
        <v>2058</v>
      </c>
      <c r="D60" s="55">
        <f>IF(F59+SUM(E$17:E59)=D$10,F59,D$10-SUM(E$17:E59))</f>
        <v>207031.79937324036</v>
      </c>
      <c r="E60" s="378">
        <f t="shared" si="21"/>
        <v>125509.34431818183</v>
      </c>
      <c r="F60" s="55">
        <f t="shared" si="22"/>
        <v>81522.455055058526</v>
      </c>
      <c r="G60" s="379">
        <f t="shared" si="26"/>
        <v>142754.37549737349</v>
      </c>
      <c r="H60" s="364">
        <f t="shared" si="27"/>
        <v>142754.37549737349</v>
      </c>
      <c r="I60" s="52">
        <f t="shared" si="3"/>
        <v>0</v>
      </c>
      <c r="J60" s="52"/>
      <c r="K60" s="129"/>
      <c r="L60" s="54">
        <f t="shared" si="25"/>
        <v>0</v>
      </c>
      <c r="M60" s="129"/>
      <c r="N60" s="54">
        <f t="shared" si="5"/>
        <v>0</v>
      </c>
      <c r="O60" s="54">
        <f t="shared" si="6"/>
        <v>0</v>
      </c>
      <c r="P60" s="1"/>
    </row>
    <row r="61" spans="2:16" ht="12.5">
      <c r="B61" s="7" t="str">
        <f t="shared" si="4"/>
        <v/>
      </c>
      <c r="C61" s="50">
        <f>IF(D11="","-",+C60+1)</f>
        <v>2059</v>
      </c>
      <c r="D61" s="55">
        <f>IF(F60+SUM(E$17:E60)=D$10,F60,D$10-SUM(E$17:E60))</f>
        <v>81522.455055058526</v>
      </c>
      <c r="E61" s="378">
        <f t="shared" si="21"/>
        <v>81522.455055058526</v>
      </c>
      <c r="F61" s="55">
        <f t="shared" si="22"/>
        <v>0</v>
      </c>
      <c r="G61" s="379">
        <f t="shared" si="26"/>
        <v>86394.527664121604</v>
      </c>
      <c r="H61" s="364">
        <f t="shared" si="27"/>
        <v>86394.527664121604</v>
      </c>
      <c r="I61" s="52">
        <f t="shared" si="3"/>
        <v>0</v>
      </c>
      <c r="J61" s="52"/>
      <c r="K61" s="129"/>
      <c r="L61" s="54">
        <f t="shared" si="25"/>
        <v>0</v>
      </c>
      <c r="M61" s="129"/>
      <c r="N61" s="54">
        <f t="shared" si="5"/>
        <v>0</v>
      </c>
      <c r="O61" s="54">
        <f t="shared" si="6"/>
        <v>0</v>
      </c>
      <c r="P61" s="1"/>
    </row>
    <row r="62" spans="2:16" ht="12.5">
      <c r="B62" s="7" t="str">
        <f t="shared" si="4"/>
        <v/>
      </c>
      <c r="C62" s="50">
        <f>IF(D11="","-",+C61+1)</f>
        <v>2060</v>
      </c>
      <c r="D62" s="55">
        <f>IF(F61+SUM(E$17:E61)=D$10,F61,D$10-SUM(E$17:E61))</f>
        <v>0</v>
      </c>
      <c r="E62" s="378">
        <f t="shared" si="21"/>
        <v>0</v>
      </c>
      <c r="F62" s="55">
        <f t="shared" si="22"/>
        <v>0</v>
      </c>
      <c r="G62" s="379">
        <f t="shared" si="26"/>
        <v>0</v>
      </c>
      <c r="H62" s="364">
        <f t="shared" si="27"/>
        <v>0</v>
      </c>
      <c r="I62" s="52">
        <f t="shared" si="3"/>
        <v>0</v>
      </c>
      <c r="J62" s="52"/>
      <c r="K62" s="129"/>
      <c r="L62" s="54">
        <f t="shared" si="25"/>
        <v>0</v>
      </c>
      <c r="M62" s="129"/>
      <c r="N62" s="54">
        <f t="shared" si="5"/>
        <v>0</v>
      </c>
      <c r="O62" s="54">
        <f t="shared" si="6"/>
        <v>0</v>
      </c>
      <c r="P62" s="1"/>
    </row>
    <row r="63" spans="2:16" ht="12.5">
      <c r="B63" s="7" t="str">
        <f t="shared" si="4"/>
        <v/>
      </c>
      <c r="C63" s="50">
        <f>IF(D11="","-",+C62+1)</f>
        <v>2061</v>
      </c>
      <c r="D63" s="55">
        <f>IF(F62+SUM(E$17:E62)=D$10,F62,D$10-SUM(E$17:E62))</f>
        <v>0</v>
      </c>
      <c r="E63" s="378">
        <f t="shared" si="21"/>
        <v>0</v>
      </c>
      <c r="F63" s="55">
        <f t="shared" si="22"/>
        <v>0</v>
      </c>
      <c r="G63" s="379">
        <f t="shared" si="26"/>
        <v>0</v>
      </c>
      <c r="H63" s="364">
        <f t="shared" si="27"/>
        <v>0</v>
      </c>
      <c r="I63" s="52">
        <f t="shared" si="3"/>
        <v>0</v>
      </c>
      <c r="J63" s="52"/>
      <c r="K63" s="129"/>
      <c r="L63" s="54">
        <f t="shared" si="25"/>
        <v>0</v>
      </c>
      <c r="M63" s="129"/>
      <c r="N63" s="54">
        <f t="shared" si="5"/>
        <v>0</v>
      </c>
      <c r="O63" s="54">
        <f t="shared" si="6"/>
        <v>0</v>
      </c>
      <c r="P63" s="1"/>
    </row>
    <row r="64" spans="2:16" ht="12.5">
      <c r="B64" s="7" t="str">
        <f t="shared" si="4"/>
        <v/>
      </c>
      <c r="C64" s="50">
        <f>IF(D11="","-",+C63+1)</f>
        <v>2062</v>
      </c>
      <c r="D64" s="55">
        <f>IF(F63+SUM(E$17:E63)=D$10,F63,D$10-SUM(E$17:E63))</f>
        <v>0</v>
      </c>
      <c r="E64" s="378">
        <f t="shared" si="21"/>
        <v>0</v>
      </c>
      <c r="F64" s="55">
        <f t="shared" si="22"/>
        <v>0</v>
      </c>
      <c r="G64" s="379">
        <f t="shared" si="26"/>
        <v>0</v>
      </c>
      <c r="H64" s="364">
        <f t="shared" si="27"/>
        <v>0</v>
      </c>
      <c r="I64" s="52">
        <f t="shared" si="3"/>
        <v>0</v>
      </c>
      <c r="J64" s="52"/>
      <c r="K64" s="129"/>
      <c r="L64" s="54">
        <f t="shared" si="25"/>
        <v>0</v>
      </c>
      <c r="M64" s="129"/>
      <c r="N64" s="54">
        <f t="shared" si="5"/>
        <v>0</v>
      </c>
      <c r="O64" s="54">
        <f t="shared" si="6"/>
        <v>0</v>
      </c>
      <c r="P64" s="1"/>
    </row>
    <row r="65" spans="2:16" ht="12.5">
      <c r="B65" s="7" t="str">
        <f t="shared" si="4"/>
        <v/>
      </c>
      <c r="C65" s="50">
        <f>IF(D11="","-",+C64+1)</f>
        <v>2063</v>
      </c>
      <c r="D65" s="55">
        <f>IF(F64+SUM(E$17:E64)=D$10,F64,D$10-SUM(E$17:E64))</f>
        <v>0</v>
      </c>
      <c r="E65" s="378">
        <f t="shared" si="21"/>
        <v>0</v>
      </c>
      <c r="F65" s="55">
        <f t="shared" si="22"/>
        <v>0</v>
      </c>
      <c r="G65" s="379">
        <f t="shared" si="26"/>
        <v>0</v>
      </c>
      <c r="H65" s="364">
        <f t="shared" si="27"/>
        <v>0</v>
      </c>
      <c r="I65" s="52">
        <f t="shared" si="3"/>
        <v>0</v>
      </c>
      <c r="J65" s="52"/>
      <c r="K65" s="129"/>
      <c r="L65" s="54">
        <f t="shared" si="25"/>
        <v>0</v>
      </c>
      <c r="M65" s="129"/>
      <c r="N65" s="54">
        <f t="shared" si="5"/>
        <v>0</v>
      </c>
      <c r="O65" s="54">
        <f t="shared" si="6"/>
        <v>0</v>
      </c>
      <c r="P65" s="1"/>
    </row>
    <row r="66" spans="2:16" ht="12.5">
      <c r="B66" s="7" t="str">
        <f t="shared" si="4"/>
        <v/>
      </c>
      <c r="C66" s="50">
        <f>IF(D11="","-",+C65+1)</f>
        <v>2064</v>
      </c>
      <c r="D66" s="55">
        <f>IF(F65+SUM(E$17:E65)=D$10,F65,D$10-SUM(E$17:E65))</f>
        <v>0</v>
      </c>
      <c r="E66" s="378">
        <f t="shared" si="21"/>
        <v>0</v>
      </c>
      <c r="F66" s="55">
        <f t="shared" si="22"/>
        <v>0</v>
      </c>
      <c r="G66" s="379">
        <f t="shared" si="26"/>
        <v>0</v>
      </c>
      <c r="H66" s="364">
        <f t="shared" si="27"/>
        <v>0</v>
      </c>
      <c r="I66" s="52">
        <f t="shared" si="3"/>
        <v>0</v>
      </c>
      <c r="J66" s="52"/>
      <c r="K66" s="129"/>
      <c r="L66" s="54">
        <f t="shared" si="25"/>
        <v>0</v>
      </c>
      <c r="M66" s="129"/>
      <c r="N66" s="54">
        <f t="shared" si="5"/>
        <v>0</v>
      </c>
      <c r="O66" s="54">
        <f t="shared" si="6"/>
        <v>0</v>
      </c>
      <c r="P66" s="1"/>
    </row>
    <row r="67" spans="2:16" ht="12.5">
      <c r="B67" s="7" t="str">
        <f t="shared" si="4"/>
        <v/>
      </c>
      <c r="C67" s="50">
        <f>IF(D11="","-",+C66+1)</f>
        <v>2065</v>
      </c>
      <c r="D67" s="55">
        <f>IF(F66+SUM(E$17:E66)=D$10,F66,D$10-SUM(E$17:E66))</f>
        <v>0</v>
      </c>
      <c r="E67" s="378">
        <f t="shared" si="21"/>
        <v>0</v>
      </c>
      <c r="F67" s="55">
        <f t="shared" si="22"/>
        <v>0</v>
      </c>
      <c r="G67" s="379">
        <f t="shared" si="26"/>
        <v>0</v>
      </c>
      <c r="H67" s="364">
        <f t="shared" si="27"/>
        <v>0</v>
      </c>
      <c r="I67" s="52">
        <f t="shared" si="3"/>
        <v>0</v>
      </c>
      <c r="J67" s="52"/>
      <c r="K67" s="129"/>
      <c r="L67" s="54">
        <f t="shared" si="25"/>
        <v>0</v>
      </c>
      <c r="M67" s="129"/>
      <c r="N67" s="54">
        <f t="shared" si="5"/>
        <v>0</v>
      </c>
      <c r="O67" s="54">
        <f t="shared" si="6"/>
        <v>0</v>
      </c>
      <c r="P67" s="1"/>
    </row>
    <row r="68" spans="2:16" ht="12.5">
      <c r="B68" s="7" t="str">
        <f t="shared" si="4"/>
        <v/>
      </c>
      <c r="C68" s="50">
        <f>IF(D11="","-",+C67+1)</f>
        <v>2066</v>
      </c>
      <c r="D68" s="55">
        <f>IF(F67+SUM(E$17:E67)=D$10,F67,D$10-SUM(E$17:E67))</f>
        <v>0</v>
      </c>
      <c r="E68" s="378">
        <f t="shared" si="21"/>
        <v>0</v>
      </c>
      <c r="F68" s="55">
        <f t="shared" si="22"/>
        <v>0</v>
      </c>
      <c r="G68" s="379">
        <f t="shared" si="26"/>
        <v>0</v>
      </c>
      <c r="H68" s="364">
        <f t="shared" si="27"/>
        <v>0</v>
      </c>
      <c r="I68" s="52">
        <f t="shared" si="3"/>
        <v>0</v>
      </c>
      <c r="J68" s="52"/>
      <c r="K68" s="129"/>
      <c r="L68" s="54">
        <f t="shared" si="25"/>
        <v>0</v>
      </c>
      <c r="M68" s="129"/>
      <c r="N68" s="54">
        <f t="shared" si="5"/>
        <v>0</v>
      </c>
      <c r="O68" s="54">
        <f t="shared" si="6"/>
        <v>0</v>
      </c>
      <c r="P68" s="1"/>
    </row>
    <row r="69" spans="2:16" ht="12.5">
      <c r="B69" s="7" t="str">
        <f t="shared" si="4"/>
        <v/>
      </c>
      <c r="C69" s="50">
        <f>IF(D11="","-",+C68+1)</f>
        <v>2067</v>
      </c>
      <c r="D69" s="55">
        <f>IF(F68+SUM(E$17:E68)=D$10,F68,D$10-SUM(E$17:E68))</f>
        <v>0</v>
      </c>
      <c r="E69" s="378">
        <f t="shared" si="21"/>
        <v>0</v>
      </c>
      <c r="F69" s="55">
        <f t="shared" si="22"/>
        <v>0</v>
      </c>
      <c r="G69" s="379">
        <f t="shared" si="26"/>
        <v>0</v>
      </c>
      <c r="H69" s="364">
        <f t="shared" si="27"/>
        <v>0</v>
      </c>
      <c r="I69" s="52">
        <f t="shared" si="3"/>
        <v>0</v>
      </c>
      <c r="J69" s="52"/>
      <c r="K69" s="129"/>
      <c r="L69" s="54">
        <f t="shared" si="25"/>
        <v>0</v>
      </c>
      <c r="M69" s="129"/>
      <c r="N69" s="54">
        <f t="shared" si="5"/>
        <v>0</v>
      </c>
      <c r="O69" s="54">
        <f t="shared" si="6"/>
        <v>0</v>
      </c>
      <c r="P69" s="1"/>
    </row>
    <row r="70" spans="2:16" ht="12.5">
      <c r="B70" s="7" t="str">
        <f t="shared" si="4"/>
        <v/>
      </c>
      <c r="C70" s="50">
        <f>IF(D11="","-",+C69+1)</f>
        <v>2068</v>
      </c>
      <c r="D70" s="55">
        <f>IF(F69+SUM(E$17:E69)=D$10,F69,D$10-SUM(E$17:E69))</f>
        <v>0</v>
      </c>
      <c r="E70" s="378">
        <f t="shared" si="21"/>
        <v>0</v>
      </c>
      <c r="F70" s="55">
        <f t="shared" si="22"/>
        <v>0</v>
      </c>
      <c r="G70" s="379">
        <f t="shared" si="26"/>
        <v>0</v>
      </c>
      <c r="H70" s="364">
        <f t="shared" si="27"/>
        <v>0</v>
      </c>
      <c r="I70" s="52">
        <f t="shared" si="3"/>
        <v>0</v>
      </c>
      <c r="J70" s="52"/>
      <c r="K70" s="129"/>
      <c r="L70" s="54">
        <f t="shared" si="25"/>
        <v>0</v>
      </c>
      <c r="M70" s="129"/>
      <c r="N70" s="54">
        <f t="shared" si="5"/>
        <v>0</v>
      </c>
      <c r="O70" s="54">
        <f t="shared" si="6"/>
        <v>0</v>
      </c>
      <c r="P70" s="1"/>
    </row>
    <row r="71" spans="2:16" ht="12.5">
      <c r="B71" s="7" t="str">
        <f t="shared" si="4"/>
        <v/>
      </c>
      <c r="C71" s="50">
        <f>IF(D11="","-",+C70+1)</f>
        <v>2069</v>
      </c>
      <c r="D71" s="55">
        <f>IF(F70+SUM(E$17:E70)=D$10,F70,D$10-SUM(E$17:E70))</f>
        <v>0</v>
      </c>
      <c r="E71" s="378">
        <f t="shared" si="21"/>
        <v>0</v>
      </c>
      <c r="F71" s="55">
        <f t="shared" si="22"/>
        <v>0</v>
      </c>
      <c r="G71" s="379">
        <f t="shared" si="26"/>
        <v>0</v>
      </c>
      <c r="H71" s="364">
        <f t="shared" si="27"/>
        <v>0</v>
      </c>
      <c r="I71" s="52">
        <f t="shared" si="3"/>
        <v>0</v>
      </c>
      <c r="J71" s="52"/>
      <c r="K71" s="129"/>
      <c r="L71" s="54">
        <f t="shared" si="25"/>
        <v>0</v>
      </c>
      <c r="M71" s="129"/>
      <c r="N71" s="54">
        <f t="shared" si="5"/>
        <v>0</v>
      </c>
      <c r="O71" s="54">
        <f t="shared" si="6"/>
        <v>0</v>
      </c>
      <c r="P71" s="1"/>
    </row>
    <row r="72" spans="2:16" ht="13" thickBot="1">
      <c r="B72" s="7" t="str">
        <f t="shared" si="4"/>
        <v/>
      </c>
      <c r="C72" s="59">
        <f>IF(D11="","-",+C71+1)</f>
        <v>2070</v>
      </c>
      <c r="D72" s="55">
        <f>IF(F71+SUM(E$17:E71)=D$10,F71,D$10-SUM(E$17:E71))</f>
        <v>0</v>
      </c>
      <c r="E72" s="378">
        <f t="shared" si="21"/>
        <v>0</v>
      </c>
      <c r="F72" s="55">
        <f t="shared" si="22"/>
        <v>0</v>
      </c>
      <c r="G72" s="379">
        <f t="shared" si="26"/>
        <v>0</v>
      </c>
      <c r="H72" s="364">
        <f t="shared" si="27"/>
        <v>0</v>
      </c>
      <c r="I72" s="52">
        <f t="shared" si="3"/>
        <v>0</v>
      </c>
      <c r="J72" s="52"/>
      <c r="K72" s="130"/>
      <c r="L72" s="64">
        <f t="shared" si="25"/>
        <v>0</v>
      </c>
      <c r="M72" s="130"/>
      <c r="N72" s="64">
        <f t="shared" si="5"/>
        <v>0</v>
      </c>
      <c r="O72" s="64">
        <f t="shared" si="6"/>
        <v>0</v>
      </c>
      <c r="P72" s="1"/>
    </row>
    <row r="73" spans="2:16" ht="12.5">
      <c r="C73" s="12" t="s">
        <v>78</v>
      </c>
      <c r="D73" s="293"/>
      <c r="E73" s="293">
        <f>SUM(E17:E72)</f>
        <v>5522411.1500000032</v>
      </c>
      <c r="F73" s="293"/>
      <c r="G73" s="293">
        <f>SUM(G17:G72)</f>
        <v>20467983.419295434</v>
      </c>
      <c r="H73" s="293">
        <f>SUM(H17:H72)</f>
        <v>20467983.419295434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 ht="13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51 of 77</v>
      </c>
    </row>
    <row r="84" spans="1:16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652814.62084982684</v>
      </c>
      <c r="N87" s="387">
        <f>IF(J92&lt;D11,0,VLOOKUP(J92,C17:O72,11))</f>
        <v>652814.62084982684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675848.11973250657</v>
      </c>
      <c r="N88" s="390">
        <f>IF(J92&lt;D11,0,VLOOKUP(J92,C99:P154,7))</f>
        <v>675848.11973250657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Hardy Street-Waterworks 69 kV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23033.498882679734</v>
      </c>
      <c r="N89" s="392">
        <f>+N88-N87</f>
        <v>23033.498882679734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TP2012146</v>
      </c>
      <c r="E91" s="76" t="str">
        <f>E9</f>
        <v xml:space="preserve">  SPP Project ID = 30472</v>
      </c>
      <c r="F91" s="76"/>
      <c r="G91" s="76"/>
      <c r="H91" s="76"/>
      <c r="I91" s="76"/>
      <c r="J91" s="76"/>
    </row>
    <row r="92" spans="1:16" ht="13">
      <c r="C92" s="34" t="s">
        <v>51</v>
      </c>
      <c r="D92" s="428">
        <f>D10</f>
        <v>5522411.1500000004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</row>
    <row r="93" spans="1:16" ht="12.5">
      <c r="C93" s="34" t="s">
        <v>54</v>
      </c>
      <c r="D93" s="88">
        <f>IF(D11=I10,"",D11)</f>
        <v>2015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4">
        <f>IF(D11=I10,"",D12)</f>
        <v>6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125509.34431818183</v>
      </c>
      <c r="K96" s="293"/>
      <c r="L96" s="293"/>
      <c r="M96" s="293"/>
      <c r="N96" s="293"/>
      <c r="O96" s="293"/>
      <c r="P96" s="1"/>
    </row>
    <row r="97" spans="1:16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 ht="12.5">
      <c r="C99" s="50">
        <f>IF(D93= "","-",D93)</f>
        <v>2015</v>
      </c>
      <c r="D99" s="429">
        <v>0</v>
      </c>
      <c r="E99" s="430">
        <v>0</v>
      </c>
      <c r="F99" s="431">
        <v>5366606</v>
      </c>
      <c r="G99" s="432">
        <v>2683303</v>
      </c>
      <c r="H99" s="433">
        <v>353575.82530859788</v>
      </c>
      <c r="I99" s="434">
        <v>353575.82530859788</v>
      </c>
      <c r="J99" s="54">
        <f>+I99-H99</f>
        <v>0</v>
      </c>
      <c r="K99" s="54"/>
      <c r="L99" s="112">
        <f t="shared" ref="L99:L104" si="28">+H99</f>
        <v>353575.82530859788</v>
      </c>
      <c r="M99" s="53">
        <f t="shared" ref="M99:M130" si="29">IF(L99&lt;&gt;0,+H99-L99,0)</f>
        <v>0</v>
      </c>
      <c r="N99" s="112">
        <f t="shared" ref="N99:N104" si="30">+I99</f>
        <v>353575.82530859788</v>
      </c>
      <c r="O99" s="53">
        <f t="shared" ref="O99:O130" si="31">IF(N99&lt;&gt;0,+I99-N99,0)</f>
        <v>0</v>
      </c>
      <c r="P99" s="53">
        <f t="shared" ref="P99:P130" si="32">+O99-M99</f>
        <v>0</v>
      </c>
    </row>
    <row r="100" spans="1:16" ht="12.5">
      <c r="B100" s="7" t="str">
        <f>IF(D100=F99,"","IU")</f>
        <v>IU</v>
      </c>
      <c r="C100" s="50">
        <f>IF(D93="","-",+C99+1)</f>
        <v>2016</v>
      </c>
      <c r="D100" s="429">
        <v>5401890</v>
      </c>
      <c r="E100" s="430">
        <v>125625.3488372093</v>
      </c>
      <c r="F100" s="431">
        <v>5276264.6511627911</v>
      </c>
      <c r="G100" s="431">
        <v>5339077.325581396</v>
      </c>
      <c r="H100" s="433">
        <v>803421.15279042628</v>
      </c>
      <c r="I100" s="434">
        <v>803421.15279042628</v>
      </c>
      <c r="J100" s="54">
        <f>+I100-H100</f>
        <v>0</v>
      </c>
      <c r="K100" s="54"/>
      <c r="L100" s="113">
        <f t="shared" si="28"/>
        <v>803421.15279042628</v>
      </c>
      <c r="M100" s="54">
        <f t="shared" ref="M100:M105" si="33">IF(L100&lt;&gt;0,+H100-L100,0)</f>
        <v>0</v>
      </c>
      <c r="N100" s="113">
        <f t="shared" si="30"/>
        <v>803421.15279042628</v>
      </c>
      <c r="O100" s="54">
        <f>IF(N100&lt;&gt;0,+I100-N100,0)</f>
        <v>0</v>
      </c>
      <c r="P100" s="54">
        <f>+O100-M100</f>
        <v>0</v>
      </c>
    </row>
    <row r="101" spans="1:16" ht="12.5">
      <c r="B101" s="7" t="str">
        <f t="shared" ref="B101:B154" si="34">IF(D101=F100,"","IU")</f>
        <v>IU</v>
      </c>
      <c r="C101" s="50">
        <f>IF(D93="","-",+C100+1)</f>
        <v>2017</v>
      </c>
      <c r="D101" s="429">
        <v>5396785.6511627911</v>
      </c>
      <c r="E101" s="430">
        <v>131485.97619047618</v>
      </c>
      <c r="F101" s="431">
        <v>5265299.6749723153</v>
      </c>
      <c r="G101" s="431">
        <v>5331042.6630675532</v>
      </c>
      <c r="H101" s="433">
        <v>779055.49944878952</v>
      </c>
      <c r="I101" s="434">
        <v>779055.49944878952</v>
      </c>
      <c r="J101" s="54">
        <f t="shared" ref="J101:J154" si="35">+I101-H101</f>
        <v>0</v>
      </c>
      <c r="K101" s="54"/>
      <c r="L101" s="113">
        <f t="shared" si="28"/>
        <v>779055.49944878952</v>
      </c>
      <c r="M101" s="54">
        <f t="shared" si="33"/>
        <v>0</v>
      </c>
      <c r="N101" s="113">
        <f t="shared" si="30"/>
        <v>779055.49944878952</v>
      </c>
      <c r="O101" s="54">
        <f>IF(N101&lt;&gt;0,+I101-N101,0)</f>
        <v>0</v>
      </c>
      <c r="P101" s="54">
        <f>+O101-M101</f>
        <v>0</v>
      </c>
    </row>
    <row r="102" spans="1:16" ht="12.5">
      <c r="B102" s="7" t="str">
        <f t="shared" si="34"/>
        <v/>
      </c>
      <c r="C102" s="50">
        <f>IF(D93="","-",+C101+1)</f>
        <v>2018</v>
      </c>
      <c r="D102" s="429">
        <v>5265299.6749723153</v>
      </c>
      <c r="E102" s="430">
        <v>131485.97619047618</v>
      </c>
      <c r="F102" s="431">
        <v>5133813.6987818396</v>
      </c>
      <c r="G102" s="431">
        <v>5199556.6868770774</v>
      </c>
      <c r="H102" s="433">
        <v>680583.00655464595</v>
      </c>
      <c r="I102" s="434">
        <v>680583.00655464595</v>
      </c>
      <c r="J102" s="54">
        <f t="shared" si="35"/>
        <v>0</v>
      </c>
      <c r="K102" s="54"/>
      <c r="L102" s="113">
        <f t="shared" si="28"/>
        <v>680583.00655464595</v>
      </c>
      <c r="M102" s="54">
        <f t="shared" si="33"/>
        <v>0</v>
      </c>
      <c r="N102" s="113">
        <f t="shared" si="30"/>
        <v>680583.00655464595</v>
      </c>
      <c r="O102" s="54">
        <f>IF(N102&lt;&gt;0,+I102-N102,0)</f>
        <v>0</v>
      </c>
      <c r="P102" s="54">
        <f t="shared" si="32"/>
        <v>0</v>
      </c>
    </row>
    <row r="103" spans="1:16" ht="12.5">
      <c r="B103" s="7" t="str">
        <f t="shared" si="34"/>
        <v/>
      </c>
      <c r="C103" s="50">
        <f>IF(D93="","-",+C102+1)</f>
        <v>2019</v>
      </c>
      <c r="D103" s="429">
        <v>5133813.6987818396</v>
      </c>
      <c r="E103" s="430">
        <v>128428.16279069768</v>
      </c>
      <c r="F103" s="431">
        <v>5005385.5359911416</v>
      </c>
      <c r="G103" s="431">
        <v>5069599.6173864901</v>
      </c>
      <c r="H103" s="433">
        <v>671080.87658517435</v>
      </c>
      <c r="I103" s="434">
        <v>671080.87658517435</v>
      </c>
      <c r="J103" s="54">
        <f t="shared" si="35"/>
        <v>0</v>
      </c>
      <c r="K103" s="54"/>
      <c r="L103" s="113">
        <f t="shared" si="28"/>
        <v>671080.87658517435</v>
      </c>
      <c r="M103" s="54">
        <f t="shared" si="33"/>
        <v>0</v>
      </c>
      <c r="N103" s="113">
        <f t="shared" si="30"/>
        <v>671080.87658517435</v>
      </c>
      <c r="O103" s="54">
        <f t="shared" si="31"/>
        <v>0</v>
      </c>
      <c r="P103" s="54">
        <f t="shared" si="32"/>
        <v>0</v>
      </c>
    </row>
    <row r="104" spans="1:16" ht="12.5">
      <c r="B104" s="7" t="str">
        <f t="shared" si="34"/>
        <v/>
      </c>
      <c r="C104" s="50">
        <f>IF(D93="","-",+C103+1)</f>
        <v>2020</v>
      </c>
      <c r="D104" s="429">
        <v>5005385.5359911416</v>
      </c>
      <c r="E104" s="430">
        <v>131485.97619047618</v>
      </c>
      <c r="F104" s="431">
        <v>4873899.5598006658</v>
      </c>
      <c r="G104" s="431">
        <v>4939642.5478959037</v>
      </c>
      <c r="H104" s="433">
        <v>662862.25625134655</v>
      </c>
      <c r="I104" s="434">
        <v>662862.25625134655</v>
      </c>
      <c r="J104" s="54">
        <f t="shared" si="35"/>
        <v>0</v>
      </c>
      <c r="K104" s="54"/>
      <c r="L104" s="113">
        <f t="shared" si="28"/>
        <v>662862.25625134655</v>
      </c>
      <c r="M104" s="54">
        <f t="shared" si="33"/>
        <v>0</v>
      </c>
      <c r="N104" s="113">
        <f t="shared" si="30"/>
        <v>662862.25625134655</v>
      </c>
      <c r="O104" s="54">
        <f t="shared" si="31"/>
        <v>0</v>
      </c>
      <c r="P104" s="54">
        <f t="shared" si="32"/>
        <v>0</v>
      </c>
    </row>
    <row r="105" spans="1:16" ht="12.5">
      <c r="B105" s="7" t="str">
        <f t="shared" si="34"/>
        <v/>
      </c>
      <c r="C105" s="50">
        <f>IF(D93="","-",+C104+1)</f>
        <v>2021</v>
      </c>
      <c r="D105" s="429">
        <v>4873899.5598006658</v>
      </c>
      <c r="E105" s="430">
        <v>134692.95121951221</v>
      </c>
      <c r="F105" s="431">
        <v>4739206.6085811537</v>
      </c>
      <c r="G105" s="431">
        <v>4806553.0841909098</v>
      </c>
      <c r="H105" s="433">
        <v>680305.10608642804</v>
      </c>
      <c r="I105" s="434">
        <v>680305.10608642804</v>
      </c>
      <c r="J105" s="54">
        <f t="shared" si="35"/>
        <v>0</v>
      </c>
      <c r="K105" s="54"/>
      <c r="L105" s="113">
        <f t="shared" ref="L105" si="36">+H105</f>
        <v>680305.10608642804</v>
      </c>
      <c r="M105" s="54">
        <f t="shared" si="33"/>
        <v>0</v>
      </c>
      <c r="N105" s="113">
        <f t="shared" ref="N105" si="37">+I105</f>
        <v>680305.10608642804</v>
      </c>
      <c r="O105" s="54">
        <f t="shared" si="31"/>
        <v>0</v>
      </c>
      <c r="P105" s="54">
        <f t="shared" si="32"/>
        <v>0</v>
      </c>
    </row>
    <row r="106" spans="1:16" ht="12.5">
      <c r="B106" s="7" t="str">
        <f t="shared" si="34"/>
        <v/>
      </c>
      <c r="C106" s="50">
        <f>IF(D93="","-",+C105+1)</f>
        <v>2022</v>
      </c>
      <c r="D106" s="429">
        <v>4739206.6085811537</v>
      </c>
      <c r="E106" s="430">
        <v>131485.97619047618</v>
      </c>
      <c r="F106" s="431">
        <v>4607720.6323906779</v>
      </c>
      <c r="G106" s="431">
        <v>4673463.6204859158</v>
      </c>
      <c r="H106" s="433">
        <v>680420.93258992897</v>
      </c>
      <c r="I106" s="434">
        <v>680420.93258992897</v>
      </c>
      <c r="J106" s="54">
        <f t="shared" si="35"/>
        <v>0</v>
      </c>
      <c r="K106" s="54"/>
      <c r="L106" s="113">
        <f t="shared" ref="L106" si="38">+H106</f>
        <v>680420.93258992897</v>
      </c>
      <c r="M106" s="54">
        <f t="shared" ref="M106" si="39">IF(L106&lt;&gt;0,+H106-L106,0)</f>
        <v>0</v>
      </c>
      <c r="N106" s="113">
        <f t="shared" ref="N106" si="40">+I106</f>
        <v>680420.93258992897</v>
      </c>
      <c r="O106" s="54">
        <f t="shared" ref="O106" si="41">IF(N106&lt;&gt;0,+I106-N106,0)</f>
        <v>0</v>
      </c>
      <c r="P106" s="54">
        <f t="shared" ref="P106" si="42">+O106-M106</f>
        <v>0</v>
      </c>
    </row>
    <row r="107" spans="1:16" ht="12.5">
      <c r="B107" s="7" t="str">
        <f t="shared" si="34"/>
        <v>IU</v>
      </c>
      <c r="C107" s="50">
        <f>IF(D93="","-",+C106+1)</f>
        <v>2023</v>
      </c>
      <c r="D107" s="429">
        <v>4607720.7823906764</v>
      </c>
      <c r="E107" s="430">
        <v>125509.34431818183</v>
      </c>
      <c r="F107" s="431">
        <v>4482211.4380724942</v>
      </c>
      <c r="G107" s="431">
        <v>4544966.1102315858</v>
      </c>
      <c r="H107" s="433">
        <v>686199.34400256246</v>
      </c>
      <c r="I107" s="434">
        <v>686199.34400256246</v>
      </c>
      <c r="J107" s="54">
        <f t="shared" si="35"/>
        <v>0</v>
      </c>
      <c r="K107" s="54"/>
      <c r="L107" s="113">
        <f t="shared" ref="L107" si="43">+H107</f>
        <v>686199.34400256246</v>
      </c>
      <c r="M107" s="54">
        <f t="shared" ref="M107" si="44">IF(L107&lt;&gt;0,+H107-L107,0)</f>
        <v>0</v>
      </c>
      <c r="N107" s="113">
        <f t="shared" ref="N107" si="45">+I107</f>
        <v>686199.34400256246</v>
      </c>
      <c r="O107" s="54">
        <f t="shared" ref="O107" si="46">IF(N107&lt;&gt;0,+I107-N107,0)</f>
        <v>0</v>
      </c>
      <c r="P107" s="54">
        <f t="shared" ref="P107" si="47">+O107-M107</f>
        <v>0</v>
      </c>
    </row>
    <row r="108" spans="1:16" ht="12.5">
      <c r="B108" s="7" t="str">
        <f t="shared" si="34"/>
        <v/>
      </c>
      <c r="C108" s="50">
        <f>IF(D93="","-",+C107+1)</f>
        <v>2024</v>
      </c>
      <c r="D108" s="12">
        <f>IF(F107+SUM(E$99:E107)=D$92,F107,D$92-SUM(E$99:E107))</f>
        <v>4482211.4380724942</v>
      </c>
      <c r="E108" s="378">
        <f t="shared" ref="E108:E154" si="48">IF(+$J$96&lt;F107,$J$96,D108)</f>
        <v>125509.34431818183</v>
      </c>
      <c r="F108" s="55">
        <f t="shared" ref="F108:F154" si="49">+D108-E108</f>
        <v>4356702.093754312</v>
      </c>
      <c r="G108" s="55">
        <f t="shared" ref="G108:G154" si="50">+(F108+D108)/2</f>
        <v>4419456.7659134027</v>
      </c>
      <c r="H108" s="380">
        <f t="shared" ref="H108:H154" si="51">+J$94*G108+E108</f>
        <v>675848.11973250657</v>
      </c>
      <c r="I108" s="399">
        <f t="shared" ref="I108:I154" si="52">+J$95*G108+E108</f>
        <v>675848.11973250657</v>
      </c>
      <c r="J108" s="54">
        <f t="shared" si="35"/>
        <v>0</v>
      </c>
      <c r="K108" s="54"/>
      <c r="L108" s="129"/>
      <c r="M108" s="54">
        <f t="shared" si="29"/>
        <v>0</v>
      </c>
      <c r="N108" s="129"/>
      <c r="O108" s="54">
        <f t="shared" si="31"/>
        <v>0</v>
      </c>
      <c r="P108" s="54">
        <f t="shared" si="32"/>
        <v>0</v>
      </c>
    </row>
    <row r="109" spans="1:16" ht="12.5">
      <c r="B109" s="7" t="str">
        <f t="shared" si="34"/>
        <v/>
      </c>
      <c r="C109" s="50">
        <f>IF(D93="","-",+C108+1)</f>
        <v>2025</v>
      </c>
      <c r="D109" s="12">
        <f>IF(F108+SUM(E$99:E108)=D$92,F108,D$92-SUM(E$99:E108))</f>
        <v>4356702.093754312</v>
      </c>
      <c r="E109" s="378">
        <f t="shared" si="48"/>
        <v>125509.34431818183</v>
      </c>
      <c r="F109" s="55">
        <f t="shared" si="49"/>
        <v>4231192.7494361298</v>
      </c>
      <c r="G109" s="55">
        <f t="shared" si="50"/>
        <v>4293947.4215952214</v>
      </c>
      <c r="H109" s="380">
        <f t="shared" si="51"/>
        <v>660218.9004610636</v>
      </c>
      <c r="I109" s="399">
        <f t="shared" si="52"/>
        <v>660218.9004610636</v>
      </c>
      <c r="J109" s="54">
        <f t="shared" si="35"/>
        <v>0</v>
      </c>
      <c r="K109" s="54"/>
      <c r="L109" s="129"/>
      <c r="M109" s="54">
        <f t="shared" si="29"/>
        <v>0</v>
      </c>
      <c r="N109" s="129"/>
      <c r="O109" s="54">
        <f t="shared" si="31"/>
        <v>0</v>
      </c>
      <c r="P109" s="54">
        <f t="shared" si="32"/>
        <v>0</v>
      </c>
    </row>
    <row r="110" spans="1:16" ht="12.5">
      <c r="B110" s="7" t="str">
        <f t="shared" si="34"/>
        <v/>
      </c>
      <c r="C110" s="50">
        <f>IF(D93="","-",+C109+1)</f>
        <v>2026</v>
      </c>
      <c r="D110" s="12">
        <f>IF(F109+SUM(E$99:E109)=D$92,F109,D$92-SUM(E$99:E109))</f>
        <v>4231192.7494361298</v>
      </c>
      <c r="E110" s="378">
        <f t="shared" si="48"/>
        <v>125509.34431818183</v>
      </c>
      <c r="F110" s="55">
        <f t="shared" si="49"/>
        <v>4105683.4051179481</v>
      </c>
      <c r="G110" s="55">
        <f t="shared" si="50"/>
        <v>4168438.0772770392</v>
      </c>
      <c r="H110" s="380">
        <f t="shared" si="51"/>
        <v>644589.68118962052</v>
      </c>
      <c r="I110" s="399">
        <f t="shared" si="52"/>
        <v>644589.68118962052</v>
      </c>
      <c r="J110" s="54">
        <f t="shared" si="35"/>
        <v>0</v>
      </c>
      <c r="K110" s="54"/>
      <c r="L110" s="129"/>
      <c r="M110" s="54">
        <f t="shared" si="29"/>
        <v>0</v>
      </c>
      <c r="N110" s="129"/>
      <c r="O110" s="54">
        <f t="shared" si="31"/>
        <v>0</v>
      </c>
      <c r="P110" s="54">
        <f t="shared" si="32"/>
        <v>0</v>
      </c>
    </row>
    <row r="111" spans="1:16" ht="12.5">
      <c r="B111" s="7" t="str">
        <f t="shared" si="34"/>
        <v/>
      </c>
      <c r="C111" s="50">
        <f>IF(D93="","-",+C110+1)</f>
        <v>2027</v>
      </c>
      <c r="D111" s="12">
        <f>IF(F110+SUM(E$99:E110)=D$92,F110,D$92-SUM(E$99:E110))</f>
        <v>4105683.4051179481</v>
      </c>
      <c r="E111" s="378">
        <f t="shared" si="48"/>
        <v>125509.34431818183</v>
      </c>
      <c r="F111" s="55">
        <f t="shared" si="49"/>
        <v>3980174.0607997663</v>
      </c>
      <c r="G111" s="55">
        <f t="shared" si="50"/>
        <v>4042928.732958857</v>
      </c>
      <c r="H111" s="380">
        <f t="shared" si="51"/>
        <v>628960.46191817743</v>
      </c>
      <c r="I111" s="399">
        <f t="shared" si="52"/>
        <v>628960.46191817743</v>
      </c>
      <c r="J111" s="54">
        <f t="shared" si="35"/>
        <v>0</v>
      </c>
      <c r="K111" s="54"/>
      <c r="L111" s="129"/>
      <c r="M111" s="54">
        <f t="shared" si="29"/>
        <v>0</v>
      </c>
      <c r="N111" s="129"/>
      <c r="O111" s="54">
        <f t="shared" si="31"/>
        <v>0</v>
      </c>
      <c r="P111" s="54">
        <f t="shared" si="32"/>
        <v>0</v>
      </c>
    </row>
    <row r="112" spans="1:16" ht="12.5">
      <c r="B112" s="7" t="str">
        <f t="shared" si="34"/>
        <v/>
      </c>
      <c r="C112" s="50">
        <f>IF(D93="","-",+C111+1)</f>
        <v>2028</v>
      </c>
      <c r="D112" s="12">
        <f>IF(F111+SUM(E$99:E111)=D$92,F111,D$92-SUM(E$99:E111))</f>
        <v>3980174.0607997663</v>
      </c>
      <c r="E112" s="378">
        <f t="shared" si="48"/>
        <v>125509.34431818183</v>
      </c>
      <c r="F112" s="55">
        <f t="shared" si="49"/>
        <v>3854664.7164815846</v>
      </c>
      <c r="G112" s="55">
        <f t="shared" si="50"/>
        <v>3917419.3886406757</v>
      </c>
      <c r="H112" s="380">
        <f t="shared" si="51"/>
        <v>613331.24264673446</v>
      </c>
      <c r="I112" s="399">
        <f t="shared" si="52"/>
        <v>613331.24264673446</v>
      </c>
      <c r="J112" s="54">
        <f t="shared" si="35"/>
        <v>0</v>
      </c>
      <c r="K112" s="54"/>
      <c r="L112" s="129"/>
      <c r="M112" s="54">
        <f t="shared" si="29"/>
        <v>0</v>
      </c>
      <c r="N112" s="129"/>
      <c r="O112" s="54">
        <f t="shared" si="31"/>
        <v>0</v>
      </c>
      <c r="P112" s="54">
        <f t="shared" si="32"/>
        <v>0</v>
      </c>
    </row>
    <row r="113" spans="2:16" ht="12.5">
      <c r="B113" s="7" t="str">
        <f t="shared" si="34"/>
        <v/>
      </c>
      <c r="C113" s="50">
        <f>IF(D93="","-",+C112+1)</f>
        <v>2029</v>
      </c>
      <c r="D113" s="12">
        <f>IF(F112+SUM(E$99:E112)=D$92,F112,D$92-SUM(E$99:E112))</f>
        <v>3854664.7164815846</v>
      </c>
      <c r="E113" s="378">
        <f t="shared" si="48"/>
        <v>125509.34431818183</v>
      </c>
      <c r="F113" s="55">
        <f t="shared" si="49"/>
        <v>3729155.3721634028</v>
      </c>
      <c r="G113" s="55">
        <f t="shared" si="50"/>
        <v>3791910.0443224935</v>
      </c>
      <c r="H113" s="380">
        <f t="shared" si="51"/>
        <v>597702.02337529138</v>
      </c>
      <c r="I113" s="399">
        <f t="shared" si="52"/>
        <v>597702.02337529138</v>
      </c>
      <c r="J113" s="54">
        <f t="shared" si="35"/>
        <v>0</v>
      </c>
      <c r="K113" s="54"/>
      <c r="L113" s="129"/>
      <c r="M113" s="54">
        <f t="shared" si="29"/>
        <v>0</v>
      </c>
      <c r="N113" s="129"/>
      <c r="O113" s="54">
        <f t="shared" si="31"/>
        <v>0</v>
      </c>
      <c r="P113" s="54">
        <f t="shared" si="32"/>
        <v>0</v>
      </c>
    </row>
    <row r="114" spans="2:16" ht="12.5">
      <c r="B114" s="7" t="str">
        <f t="shared" si="34"/>
        <v/>
      </c>
      <c r="C114" s="50">
        <f>IF(D93="","-",+C113+1)</f>
        <v>2030</v>
      </c>
      <c r="D114" s="12">
        <f>IF(F113+SUM(E$99:E113)=D$92,F113,D$92-SUM(E$99:E113))</f>
        <v>3729155.3721634028</v>
      </c>
      <c r="E114" s="378">
        <f t="shared" si="48"/>
        <v>125509.34431818183</v>
      </c>
      <c r="F114" s="55">
        <f t="shared" si="49"/>
        <v>3603646.0278452211</v>
      </c>
      <c r="G114" s="55">
        <f t="shared" si="50"/>
        <v>3666400.7000043122</v>
      </c>
      <c r="H114" s="380">
        <f t="shared" si="51"/>
        <v>582072.80410384841</v>
      </c>
      <c r="I114" s="399">
        <f t="shared" si="52"/>
        <v>582072.80410384841</v>
      </c>
      <c r="J114" s="54">
        <f t="shared" si="35"/>
        <v>0</v>
      </c>
      <c r="K114" s="54"/>
      <c r="L114" s="129"/>
      <c r="M114" s="54">
        <f t="shared" si="29"/>
        <v>0</v>
      </c>
      <c r="N114" s="129"/>
      <c r="O114" s="54">
        <f t="shared" si="31"/>
        <v>0</v>
      </c>
      <c r="P114" s="54">
        <f t="shared" si="32"/>
        <v>0</v>
      </c>
    </row>
    <row r="115" spans="2:16" ht="12.5">
      <c r="B115" s="7" t="str">
        <f t="shared" si="34"/>
        <v/>
      </c>
      <c r="C115" s="50">
        <f>IF(D93="","-",+C114+1)</f>
        <v>2031</v>
      </c>
      <c r="D115" s="12">
        <f>IF(F114+SUM(E$99:E114)=D$92,F114,D$92-SUM(E$99:E114))</f>
        <v>3603646.0278452211</v>
      </c>
      <c r="E115" s="378">
        <f t="shared" si="48"/>
        <v>125509.34431818183</v>
      </c>
      <c r="F115" s="55">
        <f t="shared" si="49"/>
        <v>3478136.6835270394</v>
      </c>
      <c r="G115" s="55">
        <f t="shared" si="50"/>
        <v>3540891.35568613</v>
      </c>
      <c r="H115" s="380">
        <f t="shared" si="51"/>
        <v>566443.58483240532</v>
      </c>
      <c r="I115" s="399">
        <f t="shared" si="52"/>
        <v>566443.58483240532</v>
      </c>
      <c r="J115" s="54">
        <f t="shared" si="35"/>
        <v>0</v>
      </c>
      <c r="K115" s="54"/>
      <c r="L115" s="129"/>
      <c r="M115" s="54">
        <f t="shared" si="29"/>
        <v>0</v>
      </c>
      <c r="N115" s="129"/>
      <c r="O115" s="54">
        <f t="shared" si="31"/>
        <v>0</v>
      </c>
      <c r="P115" s="54">
        <f t="shared" si="32"/>
        <v>0</v>
      </c>
    </row>
    <row r="116" spans="2:16" ht="12.5">
      <c r="B116" s="7" t="str">
        <f t="shared" si="34"/>
        <v/>
      </c>
      <c r="C116" s="50">
        <f>IF(D93="","-",+C115+1)</f>
        <v>2032</v>
      </c>
      <c r="D116" s="12">
        <f>IF(F115+SUM(E$99:E115)=D$92,F115,D$92-SUM(E$99:E115))</f>
        <v>3478136.6835270394</v>
      </c>
      <c r="E116" s="378">
        <f t="shared" si="48"/>
        <v>125509.34431818183</v>
      </c>
      <c r="F116" s="55">
        <f t="shared" si="49"/>
        <v>3352627.3392088576</v>
      </c>
      <c r="G116" s="55">
        <f t="shared" si="50"/>
        <v>3415382.0113679487</v>
      </c>
      <c r="H116" s="380">
        <f t="shared" si="51"/>
        <v>550814.36556096235</v>
      </c>
      <c r="I116" s="399">
        <f t="shared" si="52"/>
        <v>550814.36556096235</v>
      </c>
      <c r="J116" s="54">
        <f t="shared" si="35"/>
        <v>0</v>
      </c>
      <c r="K116" s="54"/>
      <c r="L116" s="129"/>
      <c r="M116" s="54">
        <f t="shared" si="29"/>
        <v>0</v>
      </c>
      <c r="N116" s="129"/>
      <c r="O116" s="54">
        <f t="shared" si="31"/>
        <v>0</v>
      </c>
      <c r="P116" s="54">
        <f t="shared" si="32"/>
        <v>0</v>
      </c>
    </row>
    <row r="117" spans="2:16" ht="12.5">
      <c r="B117" s="7" t="str">
        <f t="shared" si="34"/>
        <v/>
      </c>
      <c r="C117" s="50">
        <f>IF(D93="","-",+C116+1)</f>
        <v>2033</v>
      </c>
      <c r="D117" s="12">
        <f>IF(F116+SUM(E$99:E116)=D$92,F116,D$92-SUM(E$99:E116))</f>
        <v>3352627.3392088576</v>
      </c>
      <c r="E117" s="378">
        <f t="shared" si="48"/>
        <v>125509.34431818183</v>
      </c>
      <c r="F117" s="55">
        <f t="shared" si="49"/>
        <v>3227117.9948906759</v>
      </c>
      <c r="G117" s="55">
        <f t="shared" si="50"/>
        <v>3289872.6670497665</v>
      </c>
      <c r="H117" s="380">
        <f t="shared" si="51"/>
        <v>535185.14628951938</v>
      </c>
      <c r="I117" s="399">
        <f t="shared" si="52"/>
        <v>535185.14628951938</v>
      </c>
      <c r="J117" s="54">
        <f t="shared" si="35"/>
        <v>0</v>
      </c>
      <c r="K117" s="54"/>
      <c r="L117" s="129"/>
      <c r="M117" s="54">
        <f t="shared" si="29"/>
        <v>0</v>
      </c>
      <c r="N117" s="129"/>
      <c r="O117" s="54">
        <f t="shared" si="31"/>
        <v>0</v>
      </c>
      <c r="P117" s="54">
        <f t="shared" si="32"/>
        <v>0</v>
      </c>
    </row>
    <row r="118" spans="2:16" ht="12.5">
      <c r="B118" s="7" t="str">
        <f t="shared" si="34"/>
        <v/>
      </c>
      <c r="C118" s="50">
        <f>IF(D93="","-",+C117+1)</f>
        <v>2034</v>
      </c>
      <c r="D118" s="12">
        <f>IF(F117+SUM(E$99:E117)=D$92,F117,D$92-SUM(E$99:E117))</f>
        <v>3227117.9948906759</v>
      </c>
      <c r="E118" s="378">
        <f t="shared" si="48"/>
        <v>125509.34431818183</v>
      </c>
      <c r="F118" s="55">
        <f t="shared" si="49"/>
        <v>3101608.6505724941</v>
      </c>
      <c r="G118" s="55">
        <f t="shared" si="50"/>
        <v>3164363.3227315852</v>
      </c>
      <c r="H118" s="380">
        <f t="shared" si="51"/>
        <v>519555.92701807641</v>
      </c>
      <c r="I118" s="399">
        <f t="shared" si="52"/>
        <v>519555.92701807641</v>
      </c>
      <c r="J118" s="54">
        <f t="shared" si="35"/>
        <v>0</v>
      </c>
      <c r="K118" s="54"/>
      <c r="L118" s="129"/>
      <c r="M118" s="54">
        <f t="shared" si="29"/>
        <v>0</v>
      </c>
      <c r="N118" s="129"/>
      <c r="O118" s="54">
        <f t="shared" si="31"/>
        <v>0</v>
      </c>
      <c r="P118" s="54">
        <f t="shared" si="32"/>
        <v>0</v>
      </c>
    </row>
    <row r="119" spans="2:16" ht="12.5">
      <c r="B119" s="7" t="str">
        <f t="shared" si="34"/>
        <v/>
      </c>
      <c r="C119" s="50">
        <f>IF(D93="","-",+C118+1)</f>
        <v>2035</v>
      </c>
      <c r="D119" s="12">
        <f>IF(F118+SUM(E$99:E118)=D$92,F118,D$92-SUM(E$99:E118))</f>
        <v>3101608.6505724941</v>
      </c>
      <c r="E119" s="378">
        <f t="shared" si="48"/>
        <v>125509.34431818183</v>
      </c>
      <c r="F119" s="55">
        <f t="shared" si="49"/>
        <v>2976099.3062543124</v>
      </c>
      <c r="G119" s="55">
        <f t="shared" si="50"/>
        <v>3038853.978413403</v>
      </c>
      <c r="H119" s="380">
        <f t="shared" si="51"/>
        <v>503926.70774663333</v>
      </c>
      <c r="I119" s="399">
        <f t="shared" si="52"/>
        <v>503926.70774663333</v>
      </c>
      <c r="J119" s="54">
        <f t="shared" si="35"/>
        <v>0</v>
      </c>
      <c r="K119" s="54"/>
      <c r="L119" s="129"/>
      <c r="M119" s="54">
        <f t="shared" si="29"/>
        <v>0</v>
      </c>
      <c r="N119" s="129"/>
      <c r="O119" s="54">
        <f t="shared" si="31"/>
        <v>0</v>
      </c>
      <c r="P119" s="54">
        <f t="shared" si="32"/>
        <v>0</v>
      </c>
    </row>
    <row r="120" spans="2:16" ht="12.5">
      <c r="B120" s="7" t="str">
        <f t="shared" si="34"/>
        <v/>
      </c>
      <c r="C120" s="50">
        <f>IF(D93="","-",+C119+1)</f>
        <v>2036</v>
      </c>
      <c r="D120" s="12">
        <f>IF(F119+SUM(E$99:E119)=D$92,F119,D$92-SUM(E$99:E119))</f>
        <v>2976099.3062543124</v>
      </c>
      <c r="E120" s="378">
        <f t="shared" si="48"/>
        <v>125509.34431818183</v>
      </c>
      <c r="F120" s="55">
        <f t="shared" si="49"/>
        <v>2850589.9619361307</v>
      </c>
      <c r="G120" s="55">
        <f t="shared" si="50"/>
        <v>2913344.6340952218</v>
      </c>
      <c r="H120" s="380">
        <f t="shared" si="51"/>
        <v>488297.48847519036</v>
      </c>
      <c r="I120" s="399">
        <f t="shared" si="52"/>
        <v>488297.48847519036</v>
      </c>
      <c r="J120" s="54">
        <f t="shared" si="35"/>
        <v>0</v>
      </c>
      <c r="K120" s="54"/>
      <c r="L120" s="129"/>
      <c r="M120" s="54">
        <f t="shared" si="29"/>
        <v>0</v>
      </c>
      <c r="N120" s="129"/>
      <c r="O120" s="54">
        <f t="shared" si="31"/>
        <v>0</v>
      </c>
      <c r="P120" s="54">
        <f t="shared" si="32"/>
        <v>0</v>
      </c>
    </row>
    <row r="121" spans="2:16" ht="12.5">
      <c r="B121" s="7" t="str">
        <f t="shared" si="34"/>
        <v/>
      </c>
      <c r="C121" s="50">
        <f>IF(D93="","-",+C120+1)</f>
        <v>2037</v>
      </c>
      <c r="D121" s="12">
        <f>IF(F120+SUM(E$99:E120)=D$92,F120,D$92-SUM(E$99:E120))</f>
        <v>2850589.9619361307</v>
      </c>
      <c r="E121" s="378">
        <f t="shared" si="48"/>
        <v>125509.34431818183</v>
      </c>
      <c r="F121" s="55">
        <f t="shared" si="49"/>
        <v>2725080.6176179489</v>
      </c>
      <c r="G121" s="55">
        <f t="shared" si="50"/>
        <v>2787835.2897770396</v>
      </c>
      <c r="H121" s="380">
        <f t="shared" si="51"/>
        <v>472668.26920374727</v>
      </c>
      <c r="I121" s="399">
        <f t="shared" si="52"/>
        <v>472668.26920374727</v>
      </c>
      <c r="J121" s="54">
        <f t="shared" si="35"/>
        <v>0</v>
      </c>
      <c r="K121" s="54"/>
      <c r="L121" s="129"/>
      <c r="M121" s="54">
        <f t="shared" si="29"/>
        <v>0</v>
      </c>
      <c r="N121" s="129"/>
      <c r="O121" s="54">
        <f t="shared" si="31"/>
        <v>0</v>
      </c>
      <c r="P121" s="54">
        <f t="shared" si="32"/>
        <v>0</v>
      </c>
    </row>
    <row r="122" spans="2:16" ht="12.5">
      <c r="B122" s="7" t="str">
        <f t="shared" si="34"/>
        <v/>
      </c>
      <c r="C122" s="50">
        <f>IF(D93="","-",+C121+1)</f>
        <v>2038</v>
      </c>
      <c r="D122" s="12">
        <f>IF(F121+SUM(E$99:E121)=D$92,F121,D$92-SUM(E$99:E121))</f>
        <v>2725080.6176179489</v>
      </c>
      <c r="E122" s="378">
        <f t="shared" si="48"/>
        <v>125509.34431818183</v>
      </c>
      <c r="F122" s="55">
        <f t="shared" si="49"/>
        <v>2599571.2732997672</v>
      </c>
      <c r="G122" s="55">
        <f t="shared" si="50"/>
        <v>2662325.9454588583</v>
      </c>
      <c r="H122" s="380">
        <f t="shared" si="51"/>
        <v>457039.0499323043</v>
      </c>
      <c r="I122" s="399">
        <f t="shared" si="52"/>
        <v>457039.0499323043</v>
      </c>
      <c r="J122" s="54">
        <f t="shared" si="35"/>
        <v>0</v>
      </c>
      <c r="K122" s="54"/>
      <c r="L122" s="129"/>
      <c r="M122" s="54">
        <f t="shared" si="29"/>
        <v>0</v>
      </c>
      <c r="N122" s="129"/>
      <c r="O122" s="54">
        <f t="shared" si="31"/>
        <v>0</v>
      </c>
      <c r="P122" s="54">
        <f t="shared" si="32"/>
        <v>0</v>
      </c>
    </row>
    <row r="123" spans="2:16" ht="12.5">
      <c r="B123" s="7" t="str">
        <f t="shared" si="34"/>
        <v/>
      </c>
      <c r="C123" s="50">
        <f>IF(D93="","-",+C122+1)</f>
        <v>2039</v>
      </c>
      <c r="D123" s="12">
        <f>IF(F122+SUM(E$99:E122)=D$92,F122,D$92-SUM(E$99:E122))</f>
        <v>2599571.2732997672</v>
      </c>
      <c r="E123" s="378">
        <f t="shared" si="48"/>
        <v>125509.34431818183</v>
      </c>
      <c r="F123" s="55">
        <f t="shared" si="49"/>
        <v>2474061.9289815854</v>
      </c>
      <c r="G123" s="55">
        <f t="shared" si="50"/>
        <v>2536816.6011406761</v>
      </c>
      <c r="H123" s="380">
        <f t="shared" si="51"/>
        <v>441409.83066086122</v>
      </c>
      <c r="I123" s="399">
        <f t="shared" si="52"/>
        <v>441409.83066086122</v>
      </c>
      <c r="J123" s="54">
        <f t="shared" si="35"/>
        <v>0</v>
      </c>
      <c r="K123" s="54"/>
      <c r="L123" s="129"/>
      <c r="M123" s="54">
        <f t="shared" si="29"/>
        <v>0</v>
      </c>
      <c r="N123" s="129"/>
      <c r="O123" s="54">
        <f t="shared" si="31"/>
        <v>0</v>
      </c>
      <c r="P123" s="54">
        <f t="shared" si="32"/>
        <v>0</v>
      </c>
    </row>
    <row r="124" spans="2:16" ht="12.5">
      <c r="B124" s="7" t="str">
        <f t="shared" si="34"/>
        <v/>
      </c>
      <c r="C124" s="50">
        <f>IF(D93="","-",+C123+1)</f>
        <v>2040</v>
      </c>
      <c r="D124" s="12">
        <f>IF(F123+SUM(E$99:E123)=D$92,F123,D$92-SUM(E$99:E123))</f>
        <v>2474061.9289815854</v>
      </c>
      <c r="E124" s="378">
        <f t="shared" si="48"/>
        <v>125509.34431818183</v>
      </c>
      <c r="F124" s="55">
        <f t="shared" si="49"/>
        <v>2348552.5846634037</v>
      </c>
      <c r="G124" s="55">
        <f t="shared" si="50"/>
        <v>2411307.2568224948</v>
      </c>
      <c r="H124" s="380">
        <f t="shared" si="51"/>
        <v>425780.61138941825</v>
      </c>
      <c r="I124" s="399">
        <f t="shared" si="52"/>
        <v>425780.61138941825</v>
      </c>
      <c r="J124" s="54">
        <f t="shared" si="35"/>
        <v>0</v>
      </c>
      <c r="K124" s="54"/>
      <c r="L124" s="129"/>
      <c r="M124" s="54">
        <f t="shared" si="29"/>
        <v>0</v>
      </c>
      <c r="N124" s="129"/>
      <c r="O124" s="54">
        <f t="shared" si="31"/>
        <v>0</v>
      </c>
      <c r="P124" s="54">
        <f t="shared" si="32"/>
        <v>0</v>
      </c>
    </row>
    <row r="125" spans="2:16" ht="12.5">
      <c r="B125" s="7" t="str">
        <f t="shared" si="34"/>
        <v/>
      </c>
      <c r="C125" s="50">
        <f>IF(D93="","-",+C124+1)</f>
        <v>2041</v>
      </c>
      <c r="D125" s="12">
        <f>IF(F124+SUM(E$99:E124)=D$92,F124,D$92-SUM(E$99:E124))</f>
        <v>2348552.5846634037</v>
      </c>
      <c r="E125" s="378">
        <f t="shared" si="48"/>
        <v>125509.34431818183</v>
      </c>
      <c r="F125" s="55">
        <f t="shared" si="49"/>
        <v>2223043.2403452219</v>
      </c>
      <c r="G125" s="55">
        <f t="shared" si="50"/>
        <v>2285797.9125043126</v>
      </c>
      <c r="H125" s="380">
        <f t="shared" si="51"/>
        <v>410151.39211797516</v>
      </c>
      <c r="I125" s="399">
        <f t="shared" si="52"/>
        <v>410151.39211797516</v>
      </c>
      <c r="J125" s="54">
        <f t="shared" si="35"/>
        <v>0</v>
      </c>
      <c r="K125" s="54"/>
      <c r="L125" s="129"/>
      <c r="M125" s="54">
        <f t="shared" si="29"/>
        <v>0</v>
      </c>
      <c r="N125" s="129"/>
      <c r="O125" s="54">
        <f t="shared" si="31"/>
        <v>0</v>
      </c>
      <c r="P125" s="54">
        <f t="shared" si="32"/>
        <v>0</v>
      </c>
    </row>
    <row r="126" spans="2:16" ht="12.5">
      <c r="B126" s="7" t="str">
        <f t="shared" si="34"/>
        <v/>
      </c>
      <c r="C126" s="50">
        <f>IF(D93="","-",+C125+1)</f>
        <v>2042</v>
      </c>
      <c r="D126" s="12">
        <f>IF(F125+SUM(E$99:E125)=D$92,F125,D$92-SUM(E$99:E125))</f>
        <v>2223043.2403452219</v>
      </c>
      <c r="E126" s="378">
        <f t="shared" si="48"/>
        <v>125509.34431818183</v>
      </c>
      <c r="F126" s="55">
        <f t="shared" si="49"/>
        <v>2097533.8960270402</v>
      </c>
      <c r="G126" s="55">
        <f t="shared" si="50"/>
        <v>2160288.5681861313</v>
      </c>
      <c r="H126" s="380">
        <f t="shared" si="51"/>
        <v>394522.17284653231</v>
      </c>
      <c r="I126" s="399">
        <f t="shared" si="52"/>
        <v>394522.17284653231</v>
      </c>
      <c r="J126" s="54">
        <f t="shared" si="35"/>
        <v>0</v>
      </c>
      <c r="K126" s="54"/>
      <c r="L126" s="129"/>
      <c r="M126" s="54">
        <f t="shared" si="29"/>
        <v>0</v>
      </c>
      <c r="N126" s="129"/>
      <c r="O126" s="54">
        <f t="shared" si="31"/>
        <v>0</v>
      </c>
      <c r="P126" s="54">
        <f t="shared" si="32"/>
        <v>0</v>
      </c>
    </row>
    <row r="127" spans="2:16" ht="12.5">
      <c r="B127" s="7" t="str">
        <f t="shared" si="34"/>
        <v/>
      </c>
      <c r="C127" s="50">
        <f>IF(D93="","-",+C126+1)</f>
        <v>2043</v>
      </c>
      <c r="D127" s="12">
        <f>IF(F126+SUM(E$99:E126)=D$92,F126,D$92-SUM(E$99:E126))</f>
        <v>2097533.8960270402</v>
      </c>
      <c r="E127" s="378">
        <f t="shared" si="48"/>
        <v>125509.34431818183</v>
      </c>
      <c r="F127" s="55">
        <f t="shared" si="49"/>
        <v>1972024.5517088585</v>
      </c>
      <c r="G127" s="55">
        <f t="shared" si="50"/>
        <v>2034779.2238679493</v>
      </c>
      <c r="H127" s="380">
        <f t="shared" si="51"/>
        <v>378892.95357508922</v>
      </c>
      <c r="I127" s="399">
        <f t="shared" si="52"/>
        <v>378892.95357508922</v>
      </c>
      <c r="J127" s="54">
        <f t="shared" si="35"/>
        <v>0</v>
      </c>
      <c r="K127" s="54"/>
      <c r="L127" s="129"/>
      <c r="M127" s="54">
        <f t="shared" si="29"/>
        <v>0</v>
      </c>
      <c r="N127" s="129"/>
      <c r="O127" s="54">
        <f t="shared" si="31"/>
        <v>0</v>
      </c>
      <c r="P127" s="54">
        <f t="shared" si="32"/>
        <v>0</v>
      </c>
    </row>
    <row r="128" spans="2:16" ht="12.5">
      <c r="B128" s="7" t="str">
        <f t="shared" si="34"/>
        <v/>
      </c>
      <c r="C128" s="50">
        <f>IF(D93="","-",+C127+1)</f>
        <v>2044</v>
      </c>
      <c r="D128" s="12">
        <f>IF(F127+SUM(E$99:E127)=D$92,F127,D$92-SUM(E$99:E127))</f>
        <v>1972024.5517088585</v>
      </c>
      <c r="E128" s="378">
        <f t="shared" si="48"/>
        <v>125509.34431818183</v>
      </c>
      <c r="F128" s="55">
        <f t="shared" si="49"/>
        <v>1846515.2073906767</v>
      </c>
      <c r="G128" s="55">
        <f t="shared" si="50"/>
        <v>1909269.8795497676</v>
      </c>
      <c r="H128" s="380">
        <f t="shared" si="51"/>
        <v>363263.7343036462</v>
      </c>
      <c r="I128" s="399">
        <f t="shared" si="52"/>
        <v>363263.7343036462</v>
      </c>
      <c r="J128" s="54">
        <f t="shared" si="35"/>
        <v>0</v>
      </c>
      <c r="K128" s="54"/>
      <c r="L128" s="129"/>
      <c r="M128" s="54">
        <f t="shared" si="29"/>
        <v>0</v>
      </c>
      <c r="N128" s="129"/>
      <c r="O128" s="54">
        <f t="shared" si="31"/>
        <v>0</v>
      </c>
      <c r="P128" s="54">
        <f t="shared" si="32"/>
        <v>0</v>
      </c>
    </row>
    <row r="129" spans="2:16" ht="12.5">
      <c r="B129" s="7" t="str">
        <f t="shared" si="34"/>
        <v/>
      </c>
      <c r="C129" s="50">
        <f>IF(D93="","-",+C128+1)</f>
        <v>2045</v>
      </c>
      <c r="D129" s="12">
        <f>IF(F128+SUM(E$99:E128)=D$92,F128,D$92-SUM(E$99:E128))</f>
        <v>1846515.2073906767</v>
      </c>
      <c r="E129" s="378">
        <f t="shared" si="48"/>
        <v>125509.34431818183</v>
      </c>
      <c r="F129" s="55">
        <f t="shared" si="49"/>
        <v>1721005.863072495</v>
      </c>
      <c r="G129" s="55">
        <f t="shared" si="50"/>
        <v>1783760.5352315858</v>
      </c>
      <c r="H129" s="380">
        <f t="shared" si="51"/>
        <v>347634.51503220317</v>
      </c>
      <c r="I129" s="399">
        <f t="shared" si="52"/>
        <v>347634.51503220317</v>
      </c>
      <c r="J129" s="54">
        <f t="shared" si="35"/>
        <v>0</v>
      </c>
      <c r="K129" s="54"/>
      <c r="L129" s="129"/>
      <c r="M129" s="54">
        <f t="shared" si="29"/>
        <v>0</v>
      </c>
      <c r="N129" s="129"/>
      <c r="O129" s="54">
        <f t="shared" si="31"/>
        <v>0</v>
      </c>
      <c r="P129" s="54">
        <f t="shared" si="32"/>
        <v>0</v>
      </c>
    </row>
    <row r="130" spans="2:16" ht="12.5">
      <c r="B130" s="7" t="str">
        <f t="shared" si="34"/>
        <v/>
      </c>
      <c r="C130" s="50">
        <f>IF(D93="","-",+C129+1)</f>
        <v>2046</v>
      </c>
      <c r="D130" s="12">
        <f>IF(F129+SUM(E$99:E129)=D$92,F129,D$92-SUM(E$99:E129))</f>
        <v>1721005.863072495</v>
      </c>
      <c r="E130" s="378">
        <f t="shared" si="48"/>
        <v>125509.34431818183</v>
      </c>
      <c r="F130" s="55">
        <f t="shared" si="49"/>
        <v>1595496.5187543132</v>
      </c>
      <c r="G130" s="55">
        <f t="shared" si="50"/>
        <v>1658251.1909134041</v>
      </c>
      <c r="H130" s="380">
        <f t="shared" si="51"/>
        <v>332005.2957607602</v>
      </c>
      <c r="I130" s="399">
        <f t="shared" si="52"/>
        <v>332005.2957607602</v>
      </c>
      <c r="J130" s="54">
        <f t="shared" si="35"/>
        <v>0</v>
      </c>
      <c r="K130" s="54"/>
      <c r="L130" s="129"/>
      <c r="M130" s="54">
        <f t="shared" si="29"/>
        <v>0</v>
      </c>
      <c r="N130" s="129"/>
      <c r="O130" s="54">
        <f t="shared" si="31"/>
        <v>0</v>
      </c>
      <c r="P130" s="54">
        <f t="shared" si="32"/>
        <v>0</v>
      </c>
    </row>
    <row r="131" spans="2:16" ht="12.5">
      <c r="B131" s="7" t="str">
        <f t="shared" si="34"/>
        <v/>
      </c>
      <c r="C131" s="50">
        <f>IF(D93="","-",+C130+1)</f>
        <v>2047</v>
      </c>
      <c r="D131" s="12">
        <f>IF(F130+SUM(E$99:E130)=D$92,F130,D$92-SUM(E$99:E130))</f>
        <v>1595496.5187543132</v>
      </c>
      <c r="E131" s="378">
        <f t="shared" si="48"/>
        <v>125509.34431818183</v>
      </c>
      <c r="F131" s="55">
        <f t="shared" si="49"/>
        <v>1469987.1744361315</v>
      </c>
      <c r="G131" s="55">
        <f t="shared" si="50"/>
        <v>1532741.8465952224</v>
      </c>
      <c r="H131" s="380">
        <f t="shared" si="51"/>
        <v>316376.07648931717</v>
      </c>
      <c r="I131" s="399">
        <f t="shared" si="52"/>
        <v>316376.07648931717</v>
      </c>
      <c r="J131" s="54">
        <f t="shared" si="35"/>
        <v>0</v>
      </c>
      <c r="K131" s="54"/>
      <c r="L131" s="129"/>
      <c r="M131" s="54">
        <f t="shared" ref="M131:M154" si="53">IF(L541&lt;&gt;0,+H541-L541,0)</f>
        <v>0</v>
      </c>
      <c r="N131" s="129"/>
      <c r="O131" s="54">
        <f t="shared" ref="O131:O154" si="54">IF(N541&lt;&gt;0,+I541-N541,0)</f>
        <v>0</v>
      </c>
      <c r="P131" s="54">
        <f t="shared" ref="P131:P154" si="55">+O541-M541</f>
        <v>0</v>
      </c>
    </row>
    <row r="132" spans="2:16" ht="12.5">
      <c r="B132" s="7" t="str">
        <f t="shared" si="34"/>
        <v/>
      </c>
      <c r="C132" s="50">
        <f>IF(D93="","-",+C131+1)</f>
        <v>2048</v>
      </c>
      <c r="D132" s="12">
        <f>IF(F131+SUM(E$99:E131)=D$92,F131,D$92-SUM(E$99:E131))</f>
        <v>1469987.1744361315</v>
      </c>
      <c r="E132" s="378">
        <f t="shared" si="48"/>
        <v>125509.34431818183</v>
      </c>
      <c r="F132" s="55">
        <f t="shared" si="49"/>
        <v>1344477.8301179498</v>
      </c>
      <c r="G132" s="55">
        <f t="shared" si="50"/>
        <v>1407232.5022770406</v>
      </c>
      <c r="H132" s="380">
        <f t="shared" si="51"/>
        <v>300746.85721787415</v>
      </c>
      <c r="I132" s="399">
        <f t="shared" si="52"/>
        <v>300746.85721787415</v>
      </c>
      <c r="J132" s="54">
        <f t="shared" si="35"/>
        <v>0</v>
      </c>
      <c r="K132" s="54"/>
      <c r="L132" s="129"/>
      <c r="M132" s="54">
        <f t="shared" si="53"/>
        <v>0</v>
      </c>
      <c r="N132" s="129"/>
      <c r="O132" s="54">
        <f t="shared" si="54"/>
        <v>0</v>
      </c>
      <c r="P132" s="54">
        <f t="shared" si="55"/>
        <v>0</v>
      </c>
    </row>
    <row r="133" spans="2:16" ht="12.5">
      <c r="B133" s="7" t="str">
        <f t="shared" si="34"/>
        <v/>
      </c>
      <c r="C133" s="50">
        <f>IF(D93="","-",+C132+1)</f>
        <v>2049</v>
      </c>
      <c r="D133" s="12">
        <f>IF(F132+SUM(E$99:E132)=D$92,F132,D$92-SUM(E$99:E132))</f>
        <v>1344477.8301179498</v>
      </c>
      <c r="E133" s="378">
        <f t="shared" si="48"/>
        <v>125509.34431818183</v>
      </c>
      <c r="F133" s="55">
        <f t="shared" si="49"/>
        <v>1218968.485799768</v>
      </c>
      <c r="G133" s="55">
        <f t="shared" si="50"/>
        <v>1281723.1579588589</v>
      </c>
      <c r="H133" s="380">
        <f t="shared" si="51"/>
        <v>285117.63794643118</v>
      </c>
      <c r="I133" s="399">
        <f t="shared" si="52"/>
        <v>285117.63794643118</v>
      </c>
      <c r="J133" s="54">
        <f t="shared" si="35"/>
        <v>0</v>
      </c>
      <c r="K133" s="54"/>
      <c r="L133" s="129"/>
      <c r="M133" s="54">
        <f t="shared" si="53"/>
        <v>0</v>
      </c>
      <c r="N133" s="129"/>
      <c r="O133" s="54">
        <f t="shared" si="54"/>
        <v>0</v>
      </c>
      <c r="P133" s="54">
        <f t="shared" si="55"/>
        <v>0</v>
      </c>
    </row>
    <row r="134" spans="2:16" ht="12.5">
      <c r="B134" s="7" t="str">
        <f t="shared" si="34"/>
        <v/>
      </c>
      <c r="C134" s="50">
        <f>IF(D93="","-",+C133+1)</f>
        <v>2050</v>
      </c>
      <c r="D134" s="12">
        <f>IF(F133+SUM(E$99:E133)=D$92,F133,D$92-SUM(E$99:E133))</f>
        <v>1218968.485799768</v>
      </c>
      <c r="E134" s="378">
        <f t="shared" si="48"/>
        <v>125509.34431818183</v>
      </c>
      <c r="F134" s="55">
        <f t="shared" si="49"/>
        <v>1093459.1414815863</v>
      </c>
      <c r="G134" s="55">
        <f t="shared" si="50"/>
        <v>1156213.8136406771</v>
      </c>
      <c r="H134" s="380">
        <f t="shared" si="51"/>
        <v>269488.41867498809</v>
      </c>
      <c r="I134" s="399">
        <f t="shared" si="52"/>
        <v>269488.41867498809</v>
      </c>
      <c r="J134" s="54">
        <f t="shared" si="35"/>
        <v>0</v>
      </c>
      <c r="K134" s="54"/>
      <c r="L134" s="129"/>
      <c r="M134" s="54">
        <f t="shared" si="53"/>
        <v>0</v>
      </c>
      <c r="N134" s="129"/>
      <c r="O134" s="54">
        <f t="shared" si="54"/>
        <v>0</v>
      </c>
      <c r="P134" s="54">
        <f t="shared" si="55"/>
        <v>0</v>
      </c>
    </row>
    <row r="135" spans="2:16" ht="12.5">
      <c r="B135" s="7" t="str">
        <f t="shared" si="34"/>
        <v/>
      </c>
      <c r="C135" s="50">
        <f>IF(D93="","-",+C134+1)</f>
        <v>2051</v>
      </c>
      <c r="D135" s="12">
        <f>IF(F134+SUM(E$99:E134)=D$92,F134,D$92-SUM(E$99:E134))</f>
        <v>1093459.1414815863</v>
      </c>
      <c r="E135" s="378">
        <f t="shared" si="48"/>
        <v>125509.34431818183</v>
      </c>
      <c r="F135" s="55">
        <f t="shared" si="49"/>
        <v>967949.79716340441</v>
      </c>
      <c r="G135" s="55">
        <f t="shared" si="50"/>
        <v>1030704.4693224954</v>
      </c>
      <c r="H135" s="380">
        <f t="shared" si="51"/>
        <v>253859.19940354512</v>
      </c>
      <c r="I135" s="399">
        <f t="shared" si="52"/>
        <v>253859.19940354512</v>
      </c>
      <c r="J135" s="54">
        <f t="shared" si="35"/>
        <v>0</v>
      </c>
      <c r="K135" s="54"/>
      <c r="L135" s="129"/>
      <c r="M135" s="54">
        <f t="shared" si="53"/>
        <v>0</v>
      </c>
      <c r="N135" s="129"/>
      <c r="O135" s="54">
        <f t="shared" si="54"/>
        <v>0</v>
      </c>
      <c r="P135" s="54">
        <f t="shared" si="55"/>
        <v>0</v>
      </c>
    </row>
    <row r="136" spans="2:16" ht="12.5">
      <c r="B136" s="7" t="str">
        <f t="shared" si="34"/>
        <v/>
      </c>
      <c r="C136" s="50">
        <f>IF(D93="","-",+C135+1)</f>
        <v>2052</v>
      </c>
      <c r="D136" s="12">
        <f>IF(F135+SUM(E$99:E135)=D$92,F135,D$92-SUM(E$99:E135))</f>
        <v>967949.79716340441</v>
      </c>
      <c r="E136" s="378">
        <f t="shared" si="48"/>
        <v>125509.34431818183</v>
      </c>
      <c r="F136" s="55">
        <f t="shared" si="49"/>
        <v>842440.45284522255</v>
      </c>
      <c r="G136" s="55">
        <f t="shared" si="50"/>
        <v>905195.12500431342</v>
      </c>
      <c r="H136" s="380">
        <f t="shared" si="51"/>
        <v>238229.98013210206</v>
      </c>
      <c r="I136" s="399">
        <f t="shared" si="52"/>
        <v>238229.98013210206</v>
      </c>
      <c r="J136" s="54">
        <f t="shared" si="35"/>
        <v>0</v>
      </c>
      <c r="K136" s="54"/>
      <c r="L136" s="129"/>
      <c r="M136" s="54">
        <f t="shared" si="53"/>
        <v>0</v>
      </c>
      <c r="N136" s="129"/>
      <c r="O136" s="54">
        <f t="shared" si="54"/>
        <v>0</v>
      </c>
      <c r="P136" s="54">
        <f t="shared" si="55"/>
        <v>0</v>
      </c>
    </row>
    <row r="137" spans="2:16" ht="12.5">
      <c r="B137" s="7" t="str">
        <f t="shared" si="34"/>
        <v/>
      </c>
      <c r="C137" s="50">
        <f>IF(D93="","-",+C136+1)</f>
        <v>2053</v>
      </c>
      <c r="D137" s="12">
        <f>IF(F136+SUM(E$99:E136)=D$92,F136,D$92-SUM(E$99:E136))</f>
        <v>842440.45284522255</v>
      </c>
      <c r="E137" s="378">
        <f t="shared" si="48"/>
        <v>125509.34431818183</v>
      </c>
      <c r="F137" s="55">
        <f t="shared" si="49"/>
        <v>716931.10852704069</v>
      </c>
      <c r="G137" s="55">
        <f t="shared" si="50"/>
        <v>779685.78068613168</v>
      </c>
      <c r="H137" s="380">
        <f t="shared" si="51"/>
        <v>222600.76086065907</v>
      </c>
      <c r="I137" s="399">
        <f t="shared" si="52"/>
        <v>222600.76086065907</v>
      </c>
      <c r="J137" s="54">
        <f t="shared" si="35"/>
        <v>0</v>
      </c>
      <c r="K137" s="54"/>
      <c r="L137" s="129"/>
      <c r="M137" s="54">
        <f t="shared" si="53"/>
        <v>0</v>
      </c>
      <c r="N137" s="129"/>
      <c r="O137" s="54">
        <f t="shared" si="54"/>
        <v>0</v>
      </c>
      <c r="P137" s="54">
        <f t="shared" si="55"/>
        <v>0</v>
      </c>
    </row>
    <row r="138" spans="2:16" ht="12.5">
      <c r="B138" s="7" t="str">
        <f t="shared" si="34"/>
        <v/>
      </c>
      <c r="C138" s="50">
        <f>IF(D93="","-",+C137+1)</f>
        <v>2054</v>
      </c>
      <c r="D138" s="12">
        <f>IF(F137+SUM(E$99:E137)=D$92,F137,D$92-SUM(E$99:E137))</f>
        <v>716931.10852704069</v>
      </c>
      <c r="E138" s="378">
        <f t="shared" si="48"/>
        <v>125509.34431818183</v>
      </c>
      <c r="F138" s="55">
        <f t="shared" si="49"/>
        <v>591421.76420885883</v>
      </c>
      <c r="G138" s="55">
        <f t="shared" si="50"/>
        <v>654176.4363679497</v>
      </c>
      <c r="H138" s="380">
        <f t="shared" si="51"/>
        <v>206971.54158921601</v>
      </c>
      <c r="I138" s="399">
        <f t="shared" si="52"/>
        <v>206971.54158921601</v>
      </c>
      <c r="J138" s="54">
        <f t="shared" si="35"/>
        <v>0</v>
      </c>
      <c r="K138" s="54"/>
      <c r="L138" s="129"/>
      <c r="M138" s="54">
        <f t="shared" si="53"/>
        <v>0</v>
      </c>
      <c r="N138" s="129"/>
      <c r="O138" s="54">
        <f t="shared" si="54"/>
        <v>0</v>
      </c>
      <c r="P138" s="54">
        <f t="shared" si="55"/>
        <v>0</v>
      </c>
    </row>
    <row r="139" spans="2:16" ht="12.5">
      <c r="B139" s="7" t="str">
        <f t="shared" si="34"/>
        <v/>
      </c>
      <c r="C139" s="50">
        <f>IF(D93="","-",+C138+1)</f>
        <v>2055</v>
      </c>
      <c r="D139" s="12">
        <f>IF(F138+SUM(E$99:E138)=D$92,F138,D$92-SUM(E$99:E138))</f>
        <v>591421.76420885883</v>
      </c>
      <c r="E139" s="378">
        <f t="shared" si="48"/>
        <v>125509.34431818183</v>
      </c>
      <c r="F139" s="55">
        <f t="shared" si="49"/>
        <v>465912.41989067697</v>
      </c>
      <c r="G139" s="55">
        <f t="shared" si="50"/>
        <v>528667.09204976796</v>
      </c>
      <c r="H139" s="380">
        <f t="shared" si="51"/>
        <v>191342.32231777301</v>
      </c>
      <c r="I139" s="399">
        <f t="shared" si="52"/>
        <v>191342.32231777301</v>
      </c>
      <c r="J139" s="54">
        <f t="shared" si="35"/>
        <v>0</v>
      </c>
      <c r="K139" s="54"/>
      <c r="L139" s="129"/>
      <c r="M139" s="54">
        <f t="shared" si="53"/>
        <v>0</v>
      </c>
      <c r="N139" s="129"/>
      <c r="O139" s="54">
        <f t="shared" si="54"/>
        <v>0</v>
      </c>
      <c r="P139" s="54">
        <f t="shared" si="55"/>
        <v>0</v>
      </c>
    </row>
    <row r="140" spans="2:16" ht="12.5">
      <c r="B140" s="7" t="str">
        <f t="shared" si="34"/>
        <v/>
      </c>
      <c r="C140" s="50">
        <f>IF(D93="","-",+C139+1)</f>
        <v>2056</v>
      </c>
      <c r="D140" s="12">
        <f>IF(F139+SUM(E$99:E139)=D$92,F139,D$92-SUM(E$99:E139))</f>
        <v>465912.41989067697</v>
      </c>
      <c r="E140" s="378">
        <f t="shared" si="48"/>
        <v>125509.34431818183</v>
      </c>
      <c r="F140" s="55">
        <f t="shared" si="49"/>
        <v>340403.07557249512</v>
      </c>
      <c r="G140" s="55">
        <f t="shared" si="50"/>
        <v>403157.74773158605</v>
      </c>
      <c r="H140" s="380">
        <f t="shared" si="51"/>
        <v>175713.10304632995</v>
      </c>
      <c r="I140" s="399">
        <f t="shared" si="52"/>
        <v>175713.10304632995</v>
      </c>
      <c r="J140" s="54">
        <f t="shared" si="35"/>
        <v>0</v>
      </c>
      <c r="K140" s="54"/>
      <c r="L140" s="129"/>
      <c r="M140" s="54">
        <f t="shared" si="53"/>
        <v>0</v>
      </c>
      <c r="N140" s="129"/>
      <c r="O140" s="54">
        <f t="shared" si="54"/>
        <v>0</v>
      </c>
      <c r="P140" s="54">
        <f t="shared" si="55"/>
        <v>0</v>
      </c>
    </row>
    <row r="141" spans="2:16" ht="12.5">
      <c r="B141" s="7" t="str">
        <f t="shared" si="34"/>
        <v/>
      </c>
      <c r="C141" s="50">
        <f>IF(D93="","-",+C140+1)</f>
        <v>2057</v>
      </c>
      <c r="D141" s="12">
        <f>IF(F140+SUM(E$99:E140)=D$92,F140,D$92-SUM(E$99:E140))</f>
        <v>340403.07557249512</v>
      </c>
      <c r="E141" s="378">
        <f t="shared" si="48"/>
        <v>125509.34431818183</v>
      </c>
      <c r="F141" s="55">
        <f t="shared" si="49"/>
        <v>214893.73125431329</v>
      </c>
      <c r="G141" s="55">
        <f t="shared" si="50"/>
        <v>277648.40341340419</v>
      </c>
      <c r="H141" s="380">
        <f t="shared" si="51"/>
        <v>160083.88377488693</v>
      </c>
      <c r="I141" s="399">
        <f t="shared" si="52"/>
        <v>160083.88377488693</v>
      </c>
      <c r="J141" s="54">
        <f t="shared" si="35"/>
        <v>0</v>
      </c>
      <c r="K141" s="54"/>
      <c r="L141" s="129"/>
      <c r="M141" s="54">
        <f t="shared" si="53"/>
        <v>0</v>
      </c>
      <c r="N141" s="129"/>
      <c r="O141" s="54">
        <f t="shared" si="54"/>
        <v>0</v>
      </c>
      <c r="P141" s="54">
        <f t="shared" si="55"/>
        <v>0</v>
      </c>
    </row>
    <row r="142" spans="2:16" ht="12.5">
      <c r="B142" s="7" t="str">
        <f t="shared" si="34"/>
        <v/>
      </c>
      <c r="C142" s="50">
        <f>IF(D93="","-",+C141+1)</f>
        <v>2058</v>
      </c>
      <c r="D142" s="12">
        <f>IF(F141+SUM(E$99:E141)=D$92,F141,D$92-SUM(E$99:E141))</f>
        <v>214893.73125431329</v>
      </c>
      <c r="E142" s="378">
        <f t="shared" si="48"/>
        <v>125509.34431818183</v>
      </c>
      <c r="F142" s="55">
        <f t="shared" si="49"/>
        <v>89384.386936131457</v>
      </c>
      <c r="G142" s="55">
        <f t="shared" si="50"/>
        <v>152139.05909522239</v>
      </c>
      <c r="H142" s="380">
        <f t="shared" si="51"/>
        <v>144454.6645034439</v>
      </c>
      <c r="I142" s="399">
        <f t="shared" si="52"/>
        <v>144454.6645034439</v>
      </c>
      <c r="J142" s="54">
        <f t="shared" si="35"/>
        <v>0</v>
      </c>
      <c r="K142" s="54"/>
      <c r="L142" s="129"/>
      <c r="M142" s="54">
        <f t="shared" si="53"/>
        <v>0</v>
      </c>
      <c r="N142" s="129"/>
      <c r="O142" s="54">
        <f t="shared" si="54"/>
        <v>0</v>
      </c>
      <c r="P142" s="54">
        <f t="shared" si="55"/>
        <v>0</v>
      </c>
    </row>
    <row r="143" spans="2:16" ht="12.5">
      <c r="B143" s="7" t="str">
        <f t="shared" si="34"/>
        <v/>
      </c>
      <c r="C143" s="50">
        <f>IF(D93="","-",+C142+1)</f>
        <v>2059</v>
      </c>
      <c r="D143" s="12">
        <f>IF(F142+SUM(E$99:E142)=D$92,F142,D$92-SUM(E$99:E142))</f>
        <v>89384.386936131457</v>
      </c>
      <c r="E143" s="378">
        <f t="shared" si="48"/>
        <v>89384.386936131457</v>
      </c>
      <c r="F143" s="55">
        <f t="shared" si="49"/>
        <v>0</v>
      </c>
      <c r="G143" s="55">
        <f t="shared" si="50"/>
        <v>44692.193468065729</v>
      </c>
      <c r="H143" s="380">
        <f t="shared" si="51"/>
        <v>94949.742210901735</v>
      </c>
      <c r="I143" s="399">
        <f t="shared" si="52"/>
        <v>94949.742210901735</v>
      </c>
      <c r="J143" s="54">
        <f t="shared" si="35"/>
        <v>0</v>
      </c>
      <c r="K143" s="54"/>
      <c r="L143" s="129"/>
      <c r="M143" s="54">
        <f t="shared" si="53"/>
        <v>0</v>
      </c>
      <c r="N143" s="129"/>
      <c r="O143" s="54">
        <f t="shared" si="54"/>
        <v>0</v>
      </c>
      <c r="P143" s="54">
        <f t="shared" si="55"/>
        <v>0</v>
      </c>
    </row>
    <row r="144" spans="2:16" ht="12.5">
      <c r="B144" s="7" t="str">
        <f t="shared" si="34"/>
        <v/>
      </c>
      <c r="C144" s="50">
        <f>IF(D93="","-",+C143+1)</f>
        <v>2060</v>
      </c>
      <c r="D144" s="12">
        <f>IF(F143+SUM(E$99:E143)=D$92,F143,D$92-SUM(E$99:E143))</f>
        <v>0</v>
      </c>
      <c r="E144" s="378">
        <f t="shared" si="48"/>
        <v>0</v>
      </c>
      <c r="F144" s="55">
        <f t="shared" si="49"/>
        <v>0</v>
      </c>
      <c r="G144" s="55">
        <f t="shared" si="50"/>
        <v>0</v>
      </c>
      <c r="H144" s="380">
        <f t="shared" si="51"/>
        <v>0</v>
      </c>
      <c r="I144" s="399">
        <f t="shared" si="52"/>
        <v>0</v>
      </c>
      <c r="J144" s="54">
        <f t="shared" si="35"/>
        <v>0</v>
      </c>
      <c r="K144" s="54"/>
      <c r="L144" s="129"/>
      <c r="M144" s="54">
        <f t="shared" si="53"/>
        <v>0</v>
      </c>
      <c r="N144" s="129"/>
      <c r="O144" s="54">
        <f t="shared" si="54"/>
        <v>0</v>
      </c>
      <c r="P144" s="54">
        <f t="shared" si="55"/>
        <v>0</v>
      </c>
    </row>
    <row r="145" spans="2:16" ht="12.5">
      <c r="B145" s="7" t="str">
        <f t="shared" si="34"/>
        <v/>
      </c>
      <c r="C145" s="50">
        <f>IF(D93="","-",+C144+1)</f>
        <v>2061</v>
      </c>
      <c r="D145" s="12">
        <f>IF(F144+SUM(E$99:E144)=D$92,F144,D$92-SUM(E$99:E144))</f>
        <v>0</v>
      </c>
      <c r="E145" s="378">
        <f t="shared" si="48"/>
        <v>0</v>
      </c>
      <c r="F145" s="55">
        <f t="shared" si="49"/>
        <v>0</v>
      </c>
      <c r="G145" s="55">
        <f t="shared" si="50"/>
        <v>0</v>
      </c>
      <c r="H145" s="380">
        <f t="shared" si="51"/>
        <v>0</v>
      </c>
      <c r="I145" s="399">
        <f t="shared" si="52"/>
        <v>0</v>
      </c>
      <c r="J145" s="54">
        <f t="shared" si="35"/>
        <v>0</v>
      </c>
      <c r="K145" s="54"/>
      <c r="L145" s="129"/>
      <c r="M145" s="54">
        <f t="shared" si="53"/>
        <v>0</v>
      </c>
      <c r="N145" s="129"/>
      <c r="O145" s="54">
        <f t="shared" si="54"/>
        <v>0</v>
      </c>
      <c r="P145" s="54">
        <f t="shared" si="55"/>
        <v>0</v>
      </c>
    </row>
    <row r="146" spans="2:16" ht="12.5">
      <c r="B146" s="7" t="str">
        <f t="shared" si="34"/>
        <v/>
      </c>
      <c r="C146" s="50">
        <f>IF(D93="","-",+C145+1)</f>
        <v>2062</v>
      </c>
      <c r="D146" s="12">
        <f>IF(F145+SUM(E$99:E145)=D$92,F145,D$92-SUM(E$99:E145))</f>
        <v>0</v>
      </c>
      <c r="E146" s="378">
        <f t="shared" si="48"/>
        <v>0</v>
      </c>
      <c r="F146" s="55">
        <f t="shared" si="49"/>
        <v>0</v>
      </c>
      <c r="G146" s="55">
        <f t="shared" si="50"/>
        <v>0</v>
      </c>
      <c r="H146" s="380">
        <f t="shared" si="51"/>
        <v>0</v>
      </c>
      <c r="I146" s="399">
        <f t="shared" si="52"/>
        <v>0</v>
      </c>
      <c r="J146" s="54">
        <f t="shared" si="35"/>
        <v>0</v>
      </c>
      <c r="K146" s="54"/>
      <c r="L146" s="129"/>
      <c r="M146" s="54">
        <f t="shared" si="53"/>
        <v>0</v>
      </c>
      <c r="N146" s="129"/>
      <c r="O146" s="54">
        <f t="shared" si="54"/>
        <v>0</v>
      </c>
      <c r="P146" s="54">
        <f t="shared" si="55"/>
        <v>0</v>
      </c>
    </row>
    <row r="147" spans="2:16" ht="12.5">
      <c r="B147" s="7" t="str">
        <f t="shared" si="34"/>
        <v/>
      </c>
      <c r="C147" s="50">
        <f>IF(D93="","-",+C146+1)</f>
        <v>2063</v>
      </c>
      <c r="D147" s="12">
        <f>IF(F146+SUM(E$99:E146)=D$92,F146,D$92-SUM(E$99:E146))</f>
        <v>0</v>
      </c>
      <c r="E147" s="378">
        <f t="shared" si="48"/>
        <v>0</v>
      </c>
      <c r="F147" s="55">
        <f t="shared" si="49"/>
        <v>0</v>
      </c>
      <c r="G147" s="55">
        <f t="shared" si="50"/>
        <v>0</v>
      </c>
      <c r="H147" s="380">
        <f t="shared" si="51"/>
        <v>0</v>
      </c>
      <c r="I147" s="399">
        <f t="shared" si="52"/>
        <v>0</v>
      </c>
      <c r="J147" s="54">
        <f t="shared" si="35"/>
        <v>0</v>
      </c>
      <c r="K147" s="54"/>
      <c r="L147" s="129"/>
      <c r="M147" s="54">
        <f t="shared" si="53"/>
        <v>0</v>
      </c>
      <c r="N147" s="129"/>
      <c r="O147" s="54">
        <f t="shared" si="54"/>
        <v>0</v>
      </c>
      <c r="P147" s="54">
        <f t="shared" si="55"/>
        <v>0</v>
      </c>
    </row>
    <row r="148" spans="2:16" ht="12.5">
      <c r="B148" s="7" t="str">
        <f t="shared" si="34"/>
        <v/>
      </c>
      <c r="C148" s="50">
        <f>IF(D93="","-",+C147+1)</f>
        <v>2064</v>
      </c>
      <c r="D148" s="12">
        <f>IF(F147+SUM(E$99:E147)=D$92,F147,D$92-SUM(E$99:E147))</f>
        <v>0</v>
      </c>
      <c r="E148" s="378">
        <f t="shared" si="48"/>
        <v>0</v>
      </c>
      <c r="F148" s="55">
        <f t="shared" si="49"/>
        <v>0</v>
      </c>
      <c r="G148" s="55">
        <f t="shared" si="50"/>
        <v>0</v>
      </c>
      <c r="H148" s="380">
        <f t="shared" si="51"/>
        <v>0</v>
      </c>
      <c r="I148" s="399">
        <f t="shared" si="52"/>
        <v>0</v>
      </c>
      <c r="J148" s="54">
        <f t="shared" si="35"/>
        <v>0</v>
      </c>
      <c r="K148" s="54"/>
      <c r="L148" s="129"/>
      <c r="M148" s="54">
        <f t="shared" si="53"/>
        <v>0</v>
      </c>
      <c r="N148" s="129"/>
      <c r="O148" s="54">
        <f t="shared" si="54"/>
        <v>0</v>
      </c>
      <c r="P148" s="54">
        <f t="shared" si="55"/>
        <v>0</v>
      </c>
    </row>
    <row r="149" spans="2:16" ht="12.5">
      <c r="B149" s="7" t="str">
        <f t="shared" si="34"/>
        <v/>
      </c>
      <c r="C149" s="50">
        <f>IF(D93="","-",+C148+1)</f>
        <v>2065</v>
      </c>
      <c r="D149" s="12">
        <f>IF(F148+SUM(E$99:E148)=D$92,F148,D$92-SUM(E$99:E148))</f>
        <v>0</v>
      </c>
      <c r="E149" s="378">
        <f t="shared" si="48"/>
        <v>0</v>
      </c>
      <c r="F149" s="55">
        <f t="shared" si="49"/>
        <v>0</v>
      </c>
      <c r="G149" s="55">
        <f t="shared" si="50"/>
        <v>0</v>
      </c>
      <c r="H149" s="380">
        <f t="shared" si="51"/>
        <v>0</v>
      </c>
      <c r="I149" s="399">
        <f t="shared" si="52"/>
        <v>0</v>
      </c>
      <c r="J149" s="54">
        <f t="shared" si="35"/>
        <v>0</v>
      </c>
      <c r="K149" s="54"/>
      <c r="L149" s="129"/>
      <c r="M149" s="54">
        <f t="shared" si="53"/>
        <v>0</v>
      </c>
      <c r="N149" s="129"/>
      <c r="O149" s="54">
        <f t="shared" si="54"/>
        <v>0</v>
      </c>
      <c r="P149" s="54">
        <f t="shared" si="55"/>
        <v>0</v>
      </c>
    </row>
    <row r="150" spans="2:16" ht="12.5">
      <c r="B150" s="7" t="str">
        <f t="shared" si="34"/>
        <v/>
      </c>
      <c r="C150" s="50">
        <f>IF(D93="","-",+C149+1)</f>
        <v>2066</v>
      </c>
      <c r="D150" s="12">
        <f>IF(F149+SUM(E$99:E149)=D$92,F149,D$92-SUM(E$99:E149))</f>
        <v>0</v>
      </c>
      <c r="E150" s="378">
        <f t="shared" si="48"/>
        <v>0</v>
      </c>
      <c r="F150" s="55">
        <f t="shared" si="49"/>
        <v>0</v>
      </c>
      <c r="G150" s="55">
        <f t="shared" si="50"/>
        <v>0</v>
      </c>
      <c r="H150" s="380">
        <f t="shared" si="51"/>
        <v>0</v>
      </c>
      <c r="I150" s="399">
        <f t="shared" si="52"/>
        <v>0</v>
      </c>
      <c r="J150" s="54">
        <f t="shared" si="35"/>
        <v>0</v>
      </c>
      <c r="K150" s="54"/>
      <c r="L150" s="129"/>
      <c r="M150" s="54">
        <f t="shared" si="53"/>
        <v>0</v>
      </c>
      <c r="N150" s="129"/>
      <c r="O150" s="54">
        <f t="shared" si="54"/>
        <v>0</v>
      </c>
      <c r="P150" s="54">
        <f t="shared" si="55"/>
        <v>0</v>
      </c>
    </row>
    <row r="151" spans="2:16" ht="12.5">
      <c r="B151" s="7" t="str">
        <f t="shared" si="34"/>
        <v/>
      </c>
      <c r="C151" s="50">
        <f>IF(D93="","-",+C150+1)</f>
        <v>2067</v>
      </c>
      <c r="D151" s="12">
        <f>IF(F150+SUM(E$99:E150)=D$92,F150,D$92-SUM(E$99:E150))</f>
        <v>0</v>
      </c>
      <c r="E151" s="378">
        <f t="shared" si="48"/>
        <v>0</v>
      </c>
      <c r="F151" s="55">
        <f t="shared" si="49"/>
        <v>0</v>
      </c>
      <c r="G151" s="55">
        <f t="shared" si="50"/>
        <v>0</v>
      </c>
      <c r="H151" s="380">
        <f t="shared" si="51"/>
        <v>0</v>
      </c>
      <c r="I151" s="399">
        <f t="shared" si="52"/>
        <v>0</v>
      </c>
      <c r="J151" s="54">
        <f t="shared" si="35"/>
        <v>0</v>
      </c>
      <c r="K151" s="54"/>
      <c r="L151" s="129"/>
      <c r="M151" s="54">
        <f t="shared" si="53"/>
        <v>0</v>
      </c>
      <c r="N151" s="129"/>
      <c r="O151" s="54">
        <f t="shared" si="54"/>
        <v>0</v>
      </c>
      <c r="P151" s="54">
        <f t="shared" si="55"/>
        <v>0</v>
      </c>
    </row>
    <row r="152" spans="2:16" ht="12.5">
      <c r="B152" s="7" t="str">
        <f t="shared" si="34"/>
        <v/>
      </c>
      <c r="C152" s="50">
        <f>IF(D93="","-",+C151+1)</f>
        <v>2068</v>
      </c>
      <c r="D152" s="12">
        <f>IF(F151+SUM(E$99:E151)=D$92,F151,D$92-SUM(E$99:E151))</f>
        <v>0</v>
      </c>
      <c r="E152" s="378">
        <f t="shared" si="48"/>
        <v>0</v>
      </c>
      <c r="F152" s="55">
        <f t="shared" si="49"/>
        <v>0</v>
      </c>
      <c r="G152" s="55">
        <f t="shared" si="50"/>
        <v>0</v>
      </c>
      <c r="H152" s="380">
        <f t="shared" si="51"/>
        <v>0</v>
      </c>
      <c r="I152" s="399">
        <f t="shared" si="52"/>
        <v>0</v>
      </c>
      <c r="J152" s="54">
        <f t="shared" si="35"/>
        <v>0</v>
      </c>
      <c r="K152" s="54"/>
      <c r="L152" s="129"/>
      <c r="M152" s="54">
        <f t="shared" si="53"/>
        <v>0</v>
      </c>
      <c r="N152" s="129"/>
      <c r="O152" s="54">
        <f t="shared" si="54"/>
        <v>0</v>
      </c>
      <c r="P152" s="54">
        <f t="shared" si="55"/>
        <v>0</v>
      </c>
    </row>
    <row r="153" spans="2:16" ht="12.5">
      <c r="B153" s="7" t="str">
        <f t="shared" si="34"/>
        <v/>
      </c>
      <c r="C153" s="50">
        <f>IF(D93="","-",+C152+1)</f>
        <v>2069</v>
      </c>
      <c r="D153" s="12">
        <f>IF(F152+SUM(E$99:E152)=D$92,F152,D$92-SUM(E$99:E152))</f>
        <v>0</v>
      </c>
      <c r="E153" s="378">
        <f t="shared" si="48"/>
        <v>0</v>
      </c>
      <c r="F153" s="55">
        <f t="shared" si="49"/>
        <v>0</v>
      </c>
      <c r="G153" s="55">
        <f t="shared" si="50"/>
        <v>0</v>
      </c>
      <c r="H153" s="380">
        <f t="shared" si="51"/>
        <v>0</v>
      </c>
      <c r="I153" s="399">
        <f t="shared" si="52"/>
        <v>0</v>
      </c>
      <c r="J153" s="54">
        <f t="shared" si="35"/>
        <v>0</v>
      </c>
      <c r="K153" s="54"/>
      <c r="L153" s="129"/>
      <c r="M153" s="54">
        <f t="shared" si="53"/>
        <v>0</v>
      </c>
      <c r="N153" s="129"/>
      <c r="O153" s="54">
        <f t="shared" si="54"/>
        <v>0</v>
      </c>
      <c r="P153" s="54">
        <f t="shared" si="55"/>
        <v>0</v>
      </c>
    </row>
    <row r="154" spans="2:16" ht="13" thickBot="1">
      <c r="B154" s="7" t="str">
        <f t="shared" si="34"/>
        <v/>
      </c>
      <c r="C154" s="59">
        <f>IF(D93="","-",+C153+1)</f>
        <v>2070</v>
      </c>
      <c r="D154" s="12">
        <f>IF(F153+SUM(E$99:E153)=D$92,F153,D$92-SUM(E$99:E153))</f>
        <v>0</v>
      </c>
      <c r="E154" s="378">
        <f t="shared" si="48"/>
        <v>0</v>
      </c>
      <c r="F154" s="55">
        <f t="shared" si="49"/>
        <v>0</v>
      </c>
      <c r="G154" s="55">
        <f t="shared" si="50"/>
        <v>0</v>
      </c>
      <c r="H154" s="380">
        <f t="shared" si="51"/>
        <v>0</v>
      </c>
      <c r="I154" s="399">
        <f t="shared" si="52"/>
        <v>0</v>
      </c>
      <c r="J154" s="54">
        <f t="shared" si="35"/>
        <v>0</v>
      </c>
      <c r="K154" s="54"/>
      <c r="L154" s="130"/>
      <c r="M154" s="64">
        <f t="shared" si="53"/>
        <v>0</v>
      </c>
      <c r="N154" s="130"/>
      <c r="O154" s="64">
        <f t="shared" si="54"/>
        <v>0</v>
      </c>
      <c r="P154" s="64">
        <f t="shared" si="55"/>
        <v>0</v>
      </c>
    </row>
    <row r="155" spans="2:16" ht="12.5">
      <c r="C155" s="12" t="s">
        <v>78</v>
      </c>
      <c r="D155" s="293"/>
      <c r="E155" s="293">
        <f>SUM(E99:E154)</f>
        <v>5522411.1500000032</v>
      </c>
      <c r="F155" s="293"/>
      <c r="G155" s="293"/>
      <c r="H155" s="293">
        <f>SUM(H99:H154)</f>
        <v>20447752.46595794</v>
      </c>
      <c r="I155" s="293">
        <f>SUM(I99:I154)</f>
        <v>20447752.46595794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 ht="12.5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 ht="13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55" priority="1" stopIfTrue="1" operator="equal">
      <formula>$I$10</formula>
    </cfRule>
  </conditionalFormatting>
  <conditionalFormatting sqref="C99:C154">
    <cfRule type="cellIs" dxfId="5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101"/>
  <dimension ref="A1:P162"/>
  <sheetViews>
    <sheetView topLeftCell="A85" zoomScaleNormal="100" zoomScaleSheetLayoutView="82" workbookViewId="0">
      <selection activeCell="D26" sqref="D26:H26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52 of 77</v>
      </c>
    </row>
    <row r="2" spans="1:16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1400491.7031747443</v>
      </c>
      <c r="P5" s="1"/>
    </row>
    <row r="6" spans="1:16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1400491.7031747443</v>
      </c>
      <c r="O6" s="1"/>
      <c r="P6" s="1"/>
    </row>
    <row r="7" spans="1:16" ht="13.5" thickBot="1">
      <c r="C7" s="25" t="s">
        <v>48</v>
      </c>
      <c r="D7" s="90" t="s">
        <v>344</v>
      </c>
      <c r="E7" s="406"/>
      <c r="F7" s="406"/>
      <c r="G7" s="406"/>
      <c r="H7" s="40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338</v>
      </c>
      <c r="E9" s="436" t="s">
        <v>494</v>
      </c>
      <c r="F9" s="462" t="s">
        <v>511</v>
      </c>
      <c r="G9" s="31"/>
      <c r="H9" s="31"/>
      <c r="I9" s="32"/>
      <c r="J9" s="33"/>
      <c r="P9" s="1"/>
    </row>
    <row r="10" spans="1:16" ht="13">
      <c r="C10" s="34" t="s">
        <v>51</v>
      </c>
      <c r="D10" s="363">
        <v>12017566.600000001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6" ht="12.5">
      <c r="C11" s="34" t="s">
        <v>54</v>
      </c>
      <c r="D11" s="37">
        <v>2015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3">
        <v>5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273126.51363636367</v>
      </c>
      <c r="J14" s="293"/>
      <c r="K14" s="293"/>
      <c r="L14" s="293"/>
      <c r="M14" s="293"/>
      <c r="N14" s="293"/>
      <c r="O14" s="1"/>
      <c r="P14" s="1"/>
    </row>
    <row r="15" spans="1:16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2015</v>
      </c>
      <c r="D17" s="429">
        <v>12300000</v>
      </c>
      <c r="E17" s="437">
        <v>146428.57142857142</v>
      </c>
      <c r="F17" s="429">
        <v>12153571.428571429</v>
      </c>
      <c r="G17" s="437">
        <v>1747112.2775653705</v>
      </c>
      <c r="H17" s="438">
        <v>1747112.2775653705</v>
      </c>
      <c r="I17" s="52">
        <v>0</v>
      </c>
      <c r="J17" s="52"/>
      <c r="K17" s="113">
        <f t="shared" ref="K17:K22" si="0">G17</f>
        <v>1747112.2775653705</v>
      </c>
      <c r="L17" s="54">
        <f t="shared" ref="L17:L22" si="1">IF(K17&lt;&gt;0,+G17-K17,0)</f>
        <v>0</v>
      </c>
      <c r="M17" s="113">
        <f t="shared" ref="M17:M22" si="2">H17</f>
        <v>1747112.2775653705</v>
      </c>
      <c r="N17" s="54">
        <f>IF(M17&lt;&gt;0,+H17-M17,0)</f>
        <v>0</v>
      </c>
      <c r="O17" s="54">
        <f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2016</v>
      </c>
      <c r="D18" s="431">
        <v>11844058.428571429</v>
      </c>
      <c r="E18" s="430">
        <v>285487.78571428574</v>
      </c>
      <c r="F18" s="431">
        <v>11558570.642857144</v>
      </c>
      <c r="G18" s="430">
        <v>1789026.3661915467</v>
      </c>
      <c r="H18" s="438">
        <v>1789026.3661915467</v>
      </c>
      <c r="I18" s="52">
        <f>H18-G18</f>
        <v>0</v>
      </c>
      <c r="J18" s="52"/>
      <c r="K18" s="113">
        <f t="shared" si="0"/>
        <v>1789026.3661915467</v>
      </c>
      <c r="L18" s="54">
        <f t="shared" si="1"/>
        <v>0</v>
      </c>
      <c r="M18" s="113">
        <f t="shared" si="2"/>
        <v>1789026.3661915467</v>
      </c>
      <c r="N18" s="54">
        <f>IF(M18&lt;&gt;0,+H18-M18,0)</f>
        <v>0</v>
      </c>
      <c r="O18" s="54">
        <f>+N18-L18</f>
        <v>0</v>
      </c>
      <c r="P18" s="1"/>
    </row>
    <row r="19" spans="2:16" ht="12.5">
      <c r="B19" s="7" t="str">
        <f>IF(D19=F18,"","IU")</f>
        <v>IU</v>
      </c>
      <c r="C19" s="50">
        <f>IF(D11="","-",+C18+1)</f>
        <v>2017</v>
      </c>
      <c r="D19" s="431">
        <v>11585650.642857144</v>
      </c>
      <c r="E19" s="430">
        <v>279478.30232558138</v>
      </c>
      <c r="F19" s="431">
        <v>11306172.340531562</v>
      </c>
      <c r="G19" s="430">
        <v>1697541.2765808336</v>
      </c>
      <c r="H19" s="438">
        <v>1697541.2765808336</v>
      </c>
      <c r="I19" s="52">
        <f t="shared" ref="I19:I72" si="3">H19-G19</f>
        <v>0</v>
      </c>
      <c r="J19" s="52"/>
      <c r="K19" s="113">
        <f t="shared" si="0"/>
        <v>1697541.2765808336</v>
      </c>
      <c r="L19" s="54">
        <f t="shared" si="1"/>
        <v>0</v>
      </c>
      <c r="M19" s="113">
        <f t="shared" si="2"/>
        <v>1697541.2765808336</v>
      </c>
      <c r="N19" s="54">
        <f>IF(M19&lt;&gt;0,+H19-M19,0)</f>
        <v>0</v>
      </c>
      <c r="O19" s="54">
        <f>+N19-L19</f>
        <v>0</v>
      </c>
      <c r="P19" s="1"/>
    </row>
    <row r="20" spans="2:16" ht="12.5">
      <c r="B20" s="7" t="str">
        <f t="shared" ref="B20:B72" si="4">IF(D20=F19,"","IU")</f>
        <v/>
      </c>
      <c r="C20" s="50">
        <f>IF(D11="","-",+C19+1)</f>
        <v>2018</v>
      </c>
      <c r="D20" s="431">
        <v>11306172.340531562</v>
      </c>
      <c r="E20" s="430">
        <v>293111.39024390245</v>
      </c>
      <c r="F20" s="431">
        <v>11013060.950287659</v>
      </c>
      <c r="G20" s="430">
        <v>1711432.8121770415</v>
      </c>
      <c r="H20" s="438">
        <v>1711432.8121770415</v>
      </c>
      <c r="I20" s="52">
        <f t="shared" si="3"/>
        <v>0</v>
      </c>
      <c r="J20" s="52"/>
      <c r="K20" s="113">
        <f t="shared" si="0"/>
        <v>1711432.8121770415</v>
      </c>
      <c r="L20" s="54">
        <f t="shared" si="1"/>
        <v>0</v>
      </c>
      <c r="M20" s="113">
        <f t="shared" si="2"/>
        <v>1711432.8121770415</v>
      </c>
      <c r="N20" s="54">
        <f>IF(M20&lt;&gt;0,+H20-M20,0)</f>
        <v>0</v>
      </c>
      <c r="O20" s="54">
        <f>+N20-L20</f>
        <v>0</v>
      </c>
      <c r="P20" s="1"/>
    </row>
    <row r="21" spans="2:16" ht="12.5">
      <c r="B21" s="7" t="str">
        <f t="shared" si="4"/>
        <v/>
      </c>
      <c r="C21" s="50">
        <f>IF(D11="","-",+C20+1)</f>
        <v>2019</v>
      </c>
      <c r="D21" s="431">
        <v>11013060.950287659</v>
      </c>
      <c r="E21" s="430">
        <v>293111.39024390245</v>
      </c>
      <c r="F21" s="431">
        <v>10719949.560043756</v>
      </c>
      <c r="G21" s="430">
        <v>1674180.0841483832</v>
      </c>
      <c r="H21" s="438">
        <v>1674180.0841483832</v>
      </c>
      <c r="I21" s="52">
        <f t="shared" si="3"/>
        <v>0</v>
      </c>
      <c r="J21" s="52"/>
      <c r="K21" s="113">
        <f t="shared" si="0"/>
        <v>1674180.0841483832</v>
      </c>
      <c r="L21" s="54">
        <f t="shared" si="1"/>
        <v>0</v>
      </c>
      <c r="M21" s="113">
        <f t="shared" si="2"/>
        <v>1674180.0841483832</v>
      </c>
      <c r="N21" s="54">
        <f t="shared" ref="N21:N72" si="5">IF(M21&lt;&gt;0,+H21-M21,0)</f>
        <v>0</v>
      </c>
      <c r="O21" s="54">
        <f t="shared" ref="O21:O72" si="6">+N21-L21</f>
        <v>0</v>
      </c>
      <c r="P21" s="1"/>
    </row>
    <row r="22" spans="2:16" ht="12.5">
      <c r="B22" s="7" t="str">
        <f t="shared" si="4"/>
        <v/>
      </c>
      <c r="C22" s="50">
        <f>IF(D11="","-",+C21+1)</f>
        <v>2020</v>
      </c>
      <c r="D22" s="431">
        <v>10719949.560043756</v>
      </c>
      <c r="E22" s="430">
        <v>293111.39024390245</v>
      </c>
      <c r="F22" s="431">
        <v>10426838.169799853</v>
      </c>
      <c r="G22" s="430">
        <v>1375144.4653373505</v>
      </c>
      <c r="H22" s="438">
        <v>1375144.4653373505</v>
      </c>
      <c r="I22" s="52">
        <f t="shared" si="3"/>
        <v>0</v>
      </c>
      <c r="J22" s="52"/>
      <c r="K22" s="113">
        <f t="shared" si="0"/>
        <v>1375144.4653373505</v>
      </c>
      <c r="L22" s="54">
        <f t="shared" si="1"/>
        <v>0</v>
      </c>
      <c r="M22" s="113">
        <f t="shared" si="2"/>
        <v>1375144.4653373505</v>
      </c>
      <c r="N22" s="54">
        <f t="shared" si="5"/>
        <v>0</v>
      </c>
      <c r="O22" s="54">
        <f t="shared" si="6"/>
        <v>0</v>
      </c>
      <c r="P22" s="1"/>
    </row>
    <row r="23" spans="2:16" ht="12.5">
      <c r="B23" s="7" t="str">
        <f t="shared" si="4"/>
        <v>IU</v>
      </c>
      <c r="C23" s="50">
        <f>IF(D11="","-",+C22+1)</f>
        <v>2021</v>
      </c>
      <c r="D23" s="431">
        <v>10440471.257718176</v>
      </c>
      <c r="E23" s="430">
        <v>286132.54761904763</v>
      </c>
      <c r="F23" s="431">
        <v>10154338.710099127</v>
      </c>
      <c r="G23" s="430">
        <v>1377704.2780579135</v>
      </c>
      <c r="H23" s="438">
        <v>1377704.2780579135</v>
      </c>
      <c r="I23" s="52">
        <f t="shared" si="3"/>
        <v>0</v>
      </c>
      <c r="J23" s="52"/>
      <c r="K23" s="113">
        <f t="shared" ref="K23" si="7">G23</f>
        <v>1377704.2780579135</v>
      </c>
      <c r="L23" s="54">
        <f t="shared" ref="L23" si="8">IF(K23&lt;&gt;0,+G23-K23,0)</f>
        <v>0</v>
      </c>
      <c r="M23" s="113">
        <f t="shared" ref="M23" si="9">H23</f>
        <v>1377704.2780579135</v>
      </c>
      <c r="N23" s="54">
        <f t="shared" si="5"/>
        <v>0</v>
      </c>
      <c r="O23" s="54">
        <f t="shared" si="6"/>
        <v>0</v>
      </c>
      <c r="P23" s="1"/>
    </row>
    <row r="24" spans="2:16" ht="12.5">
      <c r="B24" s="7" t="str">
        <f t="shared" si="4"/>
        <v>IU</v>
      </c>
      <c r="C24" s="50">
        <f>IF(D11="","-",+C23+1)</f>
        <v>2022</v>
      </c>
      <c r="D24" s="431">
        <v>10140705.622180806</v>
      </c>
      <c r="E24" s="430">
        <v>286132.54761904763</v>
      </c>
      <c r="F24" s="431">
        <v>9854573.074561758</v>
      </c>
      <c r="G24" s="430">
        <v>1410308.0751093051</v>
      </c>
      <c r="H24" s="438">
        <v>1410308.0751093051</v>
      </c>
      <c r="I24" s="52">
        <f t="shared" si="3"/>
        <v>0</v>
      </c>
      <c r="J24" s="52"/>
      <c r="K24" s="113">
        <f t="shared" ref="K24" si="10">G24</f>
        <v>1410308.0751093051</v>
      </c>
      <c r="L24" s="54">
        <f t="shared" ref="L24" si="11">IF(K24&lt;&gt;0,+G24-K24,0)</f>
        <v>0</v>
      </c>
      <c r="M24" s="113">
        <f t="shared" ref="M24" si="12">H24</f>
        <v>1410308.0751093051</v>
      </c>
      <c r="N24" s="54">
        <f t="shared" si="5"/>
        <v>0</v>
      </c>
      <c r="O24" s="54">
        <f t="shared" si="6"/>
        <v>0</v>
      </c>
      <c r="P24" s="1"/>
    </row>
    <row r="25" spans="2:16" ht="12.5">
      <c r="B25" s="7" t="str">
        <f t="shared" si="4"/>
        <v>IU</v>
      </c>
      <c r="C25" s="50">
        <f>IF(D11="","-",+C24+1)</f>
        <v>2023</v>
      </c>
      <c r="D25" s="431">
        <v>9854572.6745617613</v>
      </c>
      <c r="E25" s="430">
        <v>286132.53809523815</v>
      </c>
      <c r="F25" s="431">
        <v>9568440.1364665236</v>
      </c>
      <c r="G25" s="430">
        <v>1512955.948747413</v>
      </c>
      <c r="H25" s="438">
        <v>1512955.948747413</v>
      </c>
      <c r="I25" s="52">
        <f t="shared" si="3"/>
        <v>0</v>
      </c>
      <c r="J25" s="52"/>
      <c r="K25" s="113">
        <f t="shared" ref="K25" si="13">G25</f>
        <v>1512955.948747413</v>
      </c>
      <c r="L25" s="54">
        <f t="shared" ref="L25" si="14">IF(K25&lt;&gt;0,+G25-K25,0)</f>
        <v>0</v>
      </c>
      <c r="M25" s="113">
        <f t="shared" ref="M25" si="15">H25</f>
        <v>1512955.948747413</v>
      </c>
      <c r="N25" s="54">
        <f t="shared" si="5"/>
        <v>0</v>
      </c>
      <c r="O25" s="54">
        <f t="shared" si="6"/>
        <v>0</v>
      </c>
      <c r="P25" s="1"/>
    </row>
    <row r="26" spans="2:16" ht="12.5">
      <c r="B26" s="7" t="str">
        <f t="shared" si="4"/>
        <v/>
      </c>
      <c r="C26" s="50">
        <f>IF(D11="","-",+C25+1)</f>
        <v>2024</v>
      </c>
      <c r="D26" s="431">
        <v>9568440.1364665236</v>
      </c>
      <c r="E26" s="430">
        <v>273126.51363636367</v>
      </c>
      <c r="F26" s="431">
        <v>9295313.62283016</v>
      </c>
      <c r="G26" s="430">
        <v>1400491.7031747443</v>
      </c>
      <c r="H26" s="438">
        <v>1400491.7031747443</v>
      </c>
      <c r="I26" s="52">
        <f t="shared" si="3"/>
        <v>0</v>
      </c>
      <c r="J26" s="52"/>
      <c r="K26" s="113">
        <f t="shared" ref="K26" si="16">G26</f>
        <v>1400491.7031747443</v>
      </c>
      <c r="L26" s="54">
        <f t="shared" ref="L26" si="17">IF(K26&lt;&gt;0,+G26-K26,0)</f>
        <v>0</v>
      </c>
      <c r="M26" s="113">
        <f t="shared" ref="M26" si="18">H26</f>
        <v>1400491.7031747443</v>
      </c>
      <c r="N26" s="54">
        <f t="shared" ref="N26" si="19">IF(M26&lt;&gt;0,+H26-M26,0)</f>
        <v>0</v>
      </c>
      <c r="O26" s="54">
        <f t="shared" ref="O26" si="20">+N26-L26</f>
        <v>0</v>
      </c>
      <c r="P26" s="1"/>
    </row>
    <row r="27" spans="2:16" ht="12.5">
      <c r="B27" s="7" t="str">
        <f t="shared" si="4"/>
        <v/>
      </c>
      <c r="C27" s="50">
        <f>IF(D11="","-",+C26+1)</f>
        <v>2025</v>
      </c>
      <c r="D27" s="55">
        <f>IF(F26+SUM(E$17:E26)=D$10,F26,D$10-SUM(E$17:E26))</f>
        <v>9295313.62283016</v>
      </c>
      <c r="E27" s="378">
        <f t="shared" ref="E27:E72" si="21">IF(+$I$14&lt;F26,$I$14,D27)</f>
        <v>273126.51363636367</v>
      </c>
      <c r="F27" s="55">
        <f t="shared" ref="F27:F72" si="22">+D27-E27</f>
        <v>9022187.1091937963</v>
      </c>
      <c r="G27" s="379">
        <f t="shared" ref="G27:G50" si="23">+I$12*((D27+F27)/2)+E27</f>
        <v>1367845.6744211225</v>
      </c>
      <c r="H27" s="364">
        <f t="shared" ref="H27:H50" si="24">+I$13*((D27+F27)/2)+E27</f>
        <v>1367845.6744211225</v>
      </c>
      <c r="I27" s="52">
        <f t="shared" si="3"/>
        <v>0</v>
      </c>
      <c r="J27" s="52"/>
      <c r="K27" s="129"/>
      <c r="L27" s="54">
        <f t="shared" ref="L27:L72" si="25">IF(K27&lt;&gt;0,+G27-K27,0)</f>
        <v>0</v>
      </c>
      <c r="M27" s="129"/>
      <c r="N27" s="54">
        <f t="shared" si="5"/>
        <v>0</v>
      </c>
      <c r="O27" s="54">
        <f t="shared" si="6"/>
        <v>0</v>
      </c>
      <c r="P27" s="1"/>
    </row>
    <row r="28" spans="2:16" ht="12.5">
      <c r="B28" s="7" t="str">
        <f t="shared" si="4"/>
        <v/>
      </c>
      <c r="C28" s="50">
        <f>IF(D11="","-",+C27+1)</f>
        <v>2026</v>
      </c>
      <c r="D28" s="55">
        <f>IF(F27+SUM(E$17:E27)=D$10,F27,D$10-SUM(E$17:E27))</f>
        <v>9022187.1091937963</v>
      </c>
      <c r="E28" s="378">
        <f t="shared" si="21"/>
        <v>273126.51363636367</v>
      </c>
      <c r="F28" s="55">
        <f t="shared" si="22"/>
        <v>8749060.5955574326</v>
      </c>
      <c r="G28" s="379">
        <f t="shared" si="23"/>
        <v>1335199.6456675015</v>
      </c>
      <c r="H28" s="364">
        <f t="shared" si="24"/>
        <v>1335199.6456675015</v>
      </c>
      <c r="I28" s="52">
        <f t="shared" si="3"/>
        <v>0</v>
      </c>
      <c r="J28" s="52"/>
      <c r="K28" s="129"/>
      <c r="L28" s="54">
        <f t="shared" si="25"/>
        <v>0</v>
      </c>
      <c r="M28" s="129"/>
      <c r="N28" s="54">
        <f t="shared" si="5"/>
        <v>0</v>
      </c>
      <c r="O28" s="54">
        <f t="shared" si="6"/>
        <v>0</v>
      </c>
      <c r="P28" s="1"/>
    </row>
    <row r="29" spans="2:16" ht="12.5">
      <c r="B29" s="7" t="str">
        <f t="shared" si="4"/>
        <v/>
      </c>
      <c r="C29" s="50">
        <f>IF(D11="","-",+C28+1)</f>
        <v>2027</v>
      </c>
      <c r="D29" s="55">
        <f>IF(F28+SUM(E$17:E28)=D$10,F28,D$10-SUM(E$17:E28))</f>
        <v>8749060.5955574326</v>
      </c>
      <c r="E29" s="378">
        <f t="shared" si="21"/>
        <v>273126.51363636367</v>
      </c>
      <c r="F29" s="55">
        <f t="shared" si="22"/>
        <v>8475934.081921069</v>
      </c>
      <c r="G29" s="379">
        <f t="shared" si="23"/>
        <v>1302553.6169138798</v>
      </c>
      <c r="H29" s="364">
        <f t="shared" si="24"/>
        <v>1302553.6169138798</v>
      </c>
      <c r="I29" s="52">
        <f t="shared" si="3"/>
        <v>0</v>
      </c>
      <c r="J29" s="52"/>
      <c r="K29" s="129"/>
      <c r="L29" s="54">
        <f t="shared" si="25"/>
        <v>0</v>
      </c>
      <c r="M29" s="129"/>
      <c r="N29" s="54">
        <f t="shared" si="5"/>
        <v>0</v>
      </c>
      <c r="O29" s="54">
        <f t="shared" si="6"/>
        <v>0</v>
      </c>
      <c r="P29" s="1"/>
    </row>
    <row r="30" spans="2:16" ht="12.5">
      <c r="B30" s="7" t="str">
        <f t="shared" si="4"/>
        <v/>
      </c>
      <c r="C30" s="50">
        <f>IF(D11="","-",+C29+1)</f>
        <v>2028</v>
      </c>
      <c r="D30" s="55">
        <f>IF(F29+SUM(E$17:E29)=D$10,F29,D$10-SUM(E$17:E29))</f>
        <v>8475934.081921069</v>
      </c>
      <c r="E30" s="378">
        <f t="shared" si="21"/>
        <v>273126.51363636367</v>
      </c>
      <c r="F30" s="55">
        <f t="shared" si="22"/>
        <v>8202807.5682847053</v>
      </c>
      <c r="G30" s="379">
        <f t="shared" si="23"/>
        <v>1269907.5881602587</v>
      </c>
      <c r="H30" s="364">
        <f t="shared" si="24"/>
        <v>1269907.5881602587</v>
      </c>
      <c r="I30" s="52">
        <f t="shared" si="3"/>
        <v>0</v>
      </c>
      <c r="J30" s="52"/>
      <c r="K30" s="129"/>
      <c r="L30" s="54">
        <f t="shared" si="25"/>
        <v>0</v>
      </c>
      <c r="M30" s="129"/>
      <c r="N30" s="54">
        <f t="shared" si="5"/>
        <v>0</v>
      </c>
      <c r="O30" s="54">
        <f t="shared" si="6"/>
        <v>0</v>
      </c>
      <c r="P30" s="1"/>
    </row>
    <row r="31" spans="2:16" ht="12.5">
      <c r="B31" s="7" t="str">
        <f t="shared" si="4"/>
        <v/>
      </c>
      <c r="C31" s="50">
        <f>IF(D11="","-",+C30+1)</f>
        <v>2029</v>
      </c>
      <c r="D31" s="55">
        <f>IF(F30+SUM(E$17:E30)=D$10,F30,D$10-SUM(E$17:E30))</f>
        <v>8202807.5682847053</v>
      </c>
      <c r="E31" s="378">
        <f t="shared" si="21"/>
        <v>273126.51363636367</v>
      </c>
      <c r="F31" s="55">
        <f t="shared" si="22"/>
        <v>7929681.0546483416</v>
      </c>
      <c r="G31" s="379">
        <f t="shared" si="23"/>
        <v>1237261.5594066372</v>
      </c>
      <c r="H31" s="364">
        <f t="shared" si="24"/>
        <v>1237261.5594066372</v>
      </c>
      <c r="I31" s="52">
        <f t="shared" si="3"/>
        <v>0</v>
      </c>
      <c r="J31" s="52"/>
      <c r="K31" s="129"/>
      <c r="L31" s="54">
        <f t="shared" si="25"/>
        <v>0</v>
      </c>
      <c r="M31" s="129"/>
      <c r="N31" s="54">
        <f t="shared" si="5"/>
        <v>0</v>
      </c>
      <c r="O31" s="54">
        <f t="shared" si="6"/>
        <v>0</v>
      </c>
      <c r="P31" s="1"/>
    </row>
    <row r="32" spans="2:16" ht="12.5">
      <c r="B32" s="7" t="str">
        <f t="shared" si="4"/>
        <v/>
      </c>
      <c r="C32" s="50">
        <f>IF(D11="","-",+C31+1)</f>
        <v>2030</v>
      </c>
      <c r="D32" s="55">
        <f>IF(F31+SUM(E$17:E31)=D$10,F31,D$10-SUM(E$17:E31))</f>
        <v>7929681.0546483416</v>
      </c>
      <c r="E32" s="378">
        <f t="shared" si="21"/>
        <v>273126.51363636367</v>
      </c>
      <c r="F32" s="55">
        <f t="shared" si="22"/>
        <v>7656554.5410119779</v>
      </c>
      <c r="G32" s="379">
        <f t="shared" si="23"/>
        <v>1204615.5306530159</v>
      </c>
      <c r="H32" s="364">
        <f t="shared" si="24"/>
        <v>1204615.5306530159</v>
      </c>
      <c r="I32" s="52">
        <f t="shared" si="3"/>
        <v>0</v>
      </c>
      <c r="J32" s="52"/>
      <c r="K32" s="129"/>
      <c r="L32" s="54">
        <f t="shared" si="25"/>
        <v>0</v>
      </c>
      <c r="M32" s="129"/>
      <c r="N32" s="54">
        <f t="shared" si="5"/>
        <v>0</v>
      </c>
      <c r="O32" s="54">
        <f t="shared" si="6"/>
        <v>0</v>
      </c>
      <c r="P32" s="1"/>
    </row>
    <row r="33" spans="2:16" ht="12.5">
      <c r="B33" s="7" t="str">
        <f t="shared" si="4"/>
        <v/>
      </c>
      <c r="C33" s="50">
        <f>IF(D11="","-",+C32+1)</f>
        <v>2031</v>
      </c>
      <c r="D33" s="55">
        <f>IF(F32+SUM(E$17:E32)=D$10,F32,D$10-SUM(E$17:E32))</f>
        <v>7656554.5410119779</v>
      </c>
      <c r="E33" s="378">
        <f t="shared" si="21"/>
        <v>273126.51363636367</v>
      </c>
      <c r="F33" s="55">
        <f t="shared" si="22"/>
        <v>7383428.0273756143</v>
      </c>
      <c r="G33" s="379">
        <f t="shared" si="23"/>
        <v>1171969.5018993947</v>
      </c>
      <c r="H33" s="364">
        <f t="shared" si="24"/>
        <v>1171969.5018993947</v>
      </c>
      <c r="I33" s="52">
        <f t="shared" si="3"/>
        <v>0</v>
      </c>
      <c r="J33" s="52"/>
      <c r="K33" s="129"/>
      <c r="L33" s="54">
        <f t="shared" si="25"/>
        <v>0</v>
      </c>
      <c r="M33" s="129"/>
      <c r="N33" s="54">
        <f t="shared" si="5"/>
        <v>0</v>
      </c>
      <c r="O33" s="54">
        <f t="shared" si="6"/>
        <v>0</v>
      </c>
      <c r="P33" s="1"/>
    </row>
    <row r="34" spans="2:16" ht="12.5">
      <c r="B34" s="7" t="str">
        <f t="shared" si="4"/>
        <v/>
      </c>
      <c r="C34" s="50">
        <f>IF(D11="","-",+C33+1)</f>
        <v>2032</v>
      </c>
      <c r="D34" s="55">
        <f>IF(F33+SUM(E$17:E33)=D$10,F33,D$10-SUM(E$17:E33))</f>
        <v>7383428.0273756143</v>
      </c>
      <c r="E34" s="378">
        <f t="shared" si="21"/>
        <v>273126.51363636367</v>
      </c>
      <c r="F34" s="55">
        <f t="shared" si="22"/>
        <v>7110301.5137392506</v>
      </c>
      <c r="G34" s="379">
        <f t="shared" si="23"/>
        <v>1139323.4731457732</v>
      </c>
      <c r="H34" s="364">
        <f t="shared" si="24"/>
        <v>1139323.4731457732</v>
      </c>
      <c r="I34" s="52">
        <f t="shared" si="3"/>
        <v>0</v>
      </c>
      <c r="J34" s="52"/>
      <c r="K34" s="129"/>
      <c r="L34" s="54">
        <f t="shared" si="25"/>
        <v>0</v>
      </c>
      <c r="M34" s="129"/>
      <c r="N34" s="54">
        <f t="shared" si="5"/>
        <v>0</v>
      </c>
      <c r="O34" s="54">
        <f t="shared" si="6"/>
        <v>0</v>
      </c>
      <c r="P34" s="1"/>
    </row>
    <row r="35" spans="2:16" ht="12.5">
      <c r="B35" s="7" t="str">
        <f t="shared" si="4"/>
        <v/>
      </c>
      <c r="C35" s="50">
        <f>IF(D11="","-",+C34+1)</f>
        <v>2033</v>
      </c>
      <c r="D35" s="55">
        <f>IF(F34+SUM(E$17:E34)=D$10,F34,D$10-SUM(E$17:E34))</f>
        <v>7110301.5137392506</v>
      </c>
      <c r="E35" s="378">
        <f t="shared" si="21"/>
        <v>273126.51363636367</v>
      </c>
      <c r="F35" s="55">
        <f t="shared" si="22"/>
        <v>6837175.0001028869</v>
      </c>
      <c r="G35" s="379">
        <f t="shared" si="23"/>
        <v>1106677.4443921519</v>
      </c>
      <c r="H35" s="364">
        <f t="shared" si="24"/>
        <v>1106677.4443921519</v>
      </c>
      <c r="I35" s="52">
        <f t="shared" si="3"/>
        <v>0</v>
      </c>
      <c r="J35" s="52"/>
      <c r="K35" s="129"/>
      <c r="L35" s="54">
        <f t="shared" si="25"/>
        <v>0</v>
      </c>
      <c r="M35" s="129"/>
      <c r="N35" s="54">
        <f t="shared" si="5"/>
        <v>0</v>
      </c>
      <c r="O35" s="54">
        <f t="shared" si="6"/>
        <v>0</v>
      </c>
      <c r="P35" s="1"/>
    </row>
    <row r="36" spans="2:16" ht="12.5">
      <c r="B36" s="7" t="str">
        <f t="shared" si="4"/>
        <v/>
      </c>
      <c r="C36" s="50">
        <f>IF(D11="","-",+C35+1)</f>
        <v>2034</v>
      </c>
      <c r="D36" s="55">
        <f>IF(F35+SUM(E$17:E35)=D$10,F35,D$10-SUM(E$17:E35))</f>
        <v>6837175.0001028869</v>
      </c>
      <c r="E36" s="378">
        <f t="shared" si="21"/>
        <v>273126.51363636367</v>
      </c>
      <c r="F36" s="55">
        <f t="shared" si="22"/>
        <v>6564048.4864665233</v>
      </c>
      <c r="G36" s="379">
        <f t="shared" si="23"/>
        <v>1074031.4156385306</v>
      </c>
      <c r="H36" s="364">
        <f t="shared" si="24"/>
        <v>1074031.4156385306</v>
      </c>
      <c r="I36" s="52">
        <f t="shared" si="3"/>
        <v>0</v>
      </c>
      <c r="J36" s="52"/>
      <c r="K36" s="129"/>
      <c r="L36" s="54">
        <f t="shared" si="25"/>
        <v>0</v>
      </c>
      <c r="M36" s="129"/>
      <c r="N36" s="54">
        <f t="shared" si="5"/>
        <v>0</v>
      </c>
      <c r="O36" s="54">
        <f t="shared" si="6"/>
        <v>0</v>
      </c>
      <c r="P36" s="1"/>
    </row>
    <row r="37" spans="2:16" ht="12.5">
      <c r="B37" s="7" t="str">
        <f t="shared" si="4"/>
        <v/>
      </c>
      <c r="C37" s="50">
        <f>IF(D11="","-",+C36+1)</f>
        <v>2035</v>
      </c>
      <c r="D37" s="55">
        <f>IF(F36+SUM(E$17:E36)=D$10,F36,D$10-SUM(E$17:E36))</f>
        <v>6564048.4864665233</v>
      </c>
      <c r="E37" s="378">
        <f t="shared" si="21"/>
        <v>273126.51363636367</v>
      </c>
      <c r="F37" s="55">
        <f t="shared" si="22"/>
        <v>6290921.9728301596</v>
      </c>
      <c r="G37" s="379">
        <f t="shared" si="23"/>
        <v>1041385.3868849092</v>
      </c>
      <c r="H37" s="364">
        <f t="shared" si="24"/>
        <v>1041385.3868849092</v>
      </c>
      <c r="I37" s="52">
        <f t="shared" si="3"/>
        <v>0</v>
      </c>
      <c r="J37" s="52"/>
      <c r="K37" s="129"/>
      <c r="L37" s="54">
        <f t="shared" si="25"/>
        <v>0</v>
      </c>
      <c r="M37" s="129"/>
      <c r="N37" s="54">
        <f t="shared" si="5"/>
        <v>0</v>
      </c>
      <c r="O37" s="54">
        <f t="shared" si="6"/>
        <v>0</v>
      </c>
      <c r="P37" s="1"/>
    </row>
    <row r="38" spans="2:16" ht="12.5">
      <c r="B38" s="7" t="str">
        <f t="shared" si="4"/>
        <v/>
      </c>
      <c r="C38" s="50">
        <f>IF(D11="","-",+C37+1)</f>
        <v>2036</v>
      </c>
      <c r="D38" s="55">
        <f>IF(F37+SUM(E$17:E37)=D$10,F37,D$10-SUM(E$17:E37))</f>
        <v>6290921.9728301596</v>
      </c>
      <c r="E38" s="378">
        <f t="shared" si="21"/>
        <v>273126.51363636367</v>
      </c>
      <c r="F38" s="55">
        <f t="shared" si="22"/>
        <v>6017795.4591937959</v>
      </c>
      <c r="G38" s="379">
        <f t="shared" si="23"/>
        <v>1008739.3581312879</v>
      </c>
      <c r="H38" s="364">
        <f t="shared" si="24"/>
        <v>1008739.3581312879</v>
      </c>
      <c r="I38" s="52">
        <f t="shared" si="3"/>
        <v>0</v>
      </c>
      <c r="J38" s="52"/>
      <c r="K38" s="129"/>
      <c r="L38" s="54">
        <f t="shared" si="25"/>
        <v>0</v>
      </c>
      <c r="M38" s="129"/>
      <c r="N38" s="54">
        <f t="shared" si="5"/>
        <v>0</v>
      </c>
      <c r="O38" s="54">
        <f t="shared" si="6"/>
        <v>0</v>
      </c>
      <c r="P38" s="1"/>
    </row>
    <row r="39" spans="2:16" ht="12.5">
      <c r="B39" s="7" t="str">
        <f t="shared" si="4"/>
        <v/>
      </c>
      <c r="C39" s="50">
        <f>IF(D11="","-",+C38+1)</f>
        <v>2037</v>
      </c>
      <c r="D39" s="55">
        <f>IF(F38+SUM(E$17:E38)=D$10,F38,D$10-SUM(E$17:E38))</f>
        <v>6017795.4591937959</v>
      </c>
      <c r="E39" s="378">
        <f t="shared" si="21"/>
        <v>273126.51363636367</v>
      </c>
      <c r="F39" s="55">
        <f t="shared" si="22"/>
        <v>5744668.9455574322</v>
      </c>
      <c r="G39" s="379">
        <f t="shared" si="23"/>
        <v>976093.32937766658</v>
      </c>
      <c r="H39" s="364">
        <f t="shared" si="24"/>
        <v>976093.32937766658</v>
      </c>
      <c r="I39" s="52">
        <f t="shared" si="3"/>
        <v>0</v>
      </c>
      <c r="J39" s="52"/>
      <c r="K39" s="129"/>
      <c r="L39" s="54">
        <f t="shared" si="25"/>
        <v>0</v>
      </c>
      <c r="M39" s="129"/>
      <c r="N39" s="54">
        <f t="shared" si="5"/>
        <v>0</v>
      </c>
      <c r="O39" s="54">
        <f t="shared" si="6"/>
        <v>0</v>
      </c>
      <c r="P39" s="1"/>
    </row>
    <row r="40" spans="2:16" ht="12.5">
      <c r="B40" s="7" t="str">
        <f t="shared" si="4"/>
        <v/>
      </c>
      <c r="C40" s="50">
        <f>IF(D11="","-",+C39+1)</f>
        <v>2038</v>
      </c>
      <c r="D40" s="55">
        <f>IF(F39+SUM(E$17:E39)=D$10,F39,D$10-SUM(E$17:E39))</f>
        <v>5744668.9455574322</v>
      </c>
      <c r="E40" s="378">
        <f t="shared" si="21"/>
        <v>273126.51363636367</v>
      </c>
      <c r="F40" s="55">
        <f t="shared" si="22"/>
        <v>5471542.4319210686</v>
      </c>
      <c r="G40" s="379">
        <f t="shared" si="23"/>
        <v>943447.30062404519</v>
      </c>
      <c r="H40" s="364">
        <f t="shared" si="24"/>
        <v>943447.30062404519</v>
      </c>
      <c r="I40" s="52">
        <f t="shared" si="3"/>
        <v>0</v>
      </c>
      <c r="J40" s="52"/>
      <c r="K40" s="129"/>
      <c r="L40" s="54">
        <f t="shared" si="25"/>
        <v>0</v>
      </c>
      <c r="M40" s="129"/>
      <c r="N40" s="54">
        <f t="shared" si="5"/>
        <v>0</v>
      </c>
      <c r="O40" s="54">
        <f t="shared" si="6"/>
        <v>0</v>
      </c>
      <c r="P40" s="1"/>
    </row>
    <row r="41" spans="2:16" ht="12.5">
      <c r="B41" s="7" t="str">
        <f t="shared" si="4"/>
        <v/>
      </c>
      <c r="C41" s="50">
        <f>IF(D11="","-",+C40+1)</f>
        <v>2039</v>
      </c>
      <c r="D41" s="55">
        <f>IF(F40+SUM(E$17:E40)=D$10,F40,D$10-SUM(E$17:E40))</f>
        <v>5471542.4319210686</v>
      </c>
      <c r="E41" s="378">
        <f t="shared" si="21"/>
        <v>273126.51363636367</v>
      </c>
      <c r="F41" s="55">
        <f t="shared" si="22"/>
        <v>5198415.9182847049</v>
      </c>
      <c r="G41" s="379">
        <f t="shared" si="23"/>
        <v>910801.27187042381</v>
      </c>
      <c r="H41" s="364">
        <f t="shared" si="24"/>
        <v>910801.27187042381</v>
      </c>
      <c r="I41" s="52">
        <f t="shared" si="3"/>
        <v>0</v>
      </c>
      <c r="J41" s="52"/>
      <c r="K41" s="129"/>
      <c r="L41" s="54">
        <f t="shared" si="25"/>
        <v>0</v>
      </c>
      <c r="M41" s="129"/>
      <c r="N41" s="54">
        <f t="shared" si="5"/>
        <v>0</v>
      </c>
      <c r="O41" s="54">
        <f t="shared" si="6"/>
        <v>0</v>
      </c>
      <c r="P41" s="1"/>
    </row>
    <row r="42" spans="2:16" ht="12.5">
      <c r="B42" s="7" t="str">
        <f t="shared" si="4"/>
        <v/>
      </c>
      <c r="C42" s="50">
        <f>IF(D11="","-",+C41+1)</f>
        <v>2040</v>
      </c>
      <c r="D42" s="55">
        <f>IF(F41+SUM(E$17:E41)=D$10,F41,D$10-SUM(E$17:E41))</f>
        <v>5198415.9182847049</v>
      </c>
      <c r="E42" s="378">
        <f t="shared" si="21"/>
        <v>273126.51363636367</v>
      </c>
      <c r="F42" s="55">
        <f t="shared" si="22"/>
        <v>4925289.4046483412</v>
      </c>
      <c r="G42" s="379">
        <f t="shared" si="23"/>
        <v>878155.24311680254</v>
      </c>
      <c r="H42" s="364">
        <f t="shared" si="24"/>
        <v>878155.24311680254</v>
      </c>
      <c r="I42" s="52">
        <f t="shared" si="3"/>
        <v>0</v>
      </c>
      <c r="J42" s="52"/>
      <c r="K42" s="129"/>
      <c r="L42" s="54">
        <f t="shared" si="25"/>
        <v>0</v>
      </c>
      <c r="M42" s="129"/>
      <c r="N42" s="54">
        <f t="shared" si="5"/>
        <v>0</v>
      </c>
      <c r="O42" s="54">
        <f t="shared" si="6"/>
        <v>0</v>
      </c>
      <c r="P42" s="1"/>
    </row>
    <row r="43" spans="2:16" ht="12.5">
      <c r="B43" s="7" t="str">
        <f t="shared" si="4"/>
        <v/>
      </c>
      <c r="C43" s="50">
        <f>IF(D11="","-",+C42+1)</f>
        <v>2041</v>
      </c>
      <c r="D43" s="55">
        <f>IF(F42+SUM(E$17:E42)=D$10,F42,D$10-SUM(E$17:E42))</f>
        <v>4925289.4046483412</v>
      </c>
      <c r="E43" s="378">
        <f t="shared" si="21"/>
        <v>273126.51363636367</v>
      </c>
      <c r="F43" s="55">
        <f t="shared" si="22"/>
        <v>4652162.8910119776</v>
      </c>
      <c r="G43" s="379">
        <f t="shared" si="23"/>
        <v>845509.21436318115</v>
      </c>
      <c r="H43" s="364">
        <f t="shared" si="24"/>
        <v>845509.21436318115</v>
      </c>
      <c r="I43" s="52">
        <f t="shared" si="3"/>
        <v>0</v>
      </c>
      <c r="J43" s="52"/>
      <c r="K43" s="129"/>
      <c r="L43" s="54">
        <f t="shared" si="25"/>
        <v>0</v>
      </c>
      <c r="M43" s="129"/>
      <c r="N43" s="54">
        <f t="shared" si="5"/>
        <v>0</v>
      </c>
      <c r="O43" s="54">
        <f t="shared" si="6"/>
        <v>0</v>
      </c>
      <c r="P43" s="1"/>
    </row>
    <row r="44" spans="2:16" ht="12.5">
      <c r="B44" s="7" t="str">
        <f t="shared" si="4"/>
        <v/>
      </c>
      <c r="C44" s="50">
        <f>IF(D11="","-",+C43+1)</f>
        <v>2042</v>
      </c>
      <c r="D44" s="55">
        <f>IF(F43+SUM(E$17:E43)=D$10,F43,D$10-SUM(E$17:E43))</f>
        <v>4652162.8910119776</v>
      </c>
      <c r="E44" s="378">
        <f t="shared" si="21"/>
        <v>273126.51363636367</v>
      </c>
      <c r="F44" s="55">
        <f t="shared" si="22"/>
        <v>4379036.3773756139</v>
      </c>
      <c r="G44" s="379">
        <f t="shared" si="23"/>
        <v>812863.18560955976</v>
      </c>
      <c r="H44" s="364">
        <f t="shared" si="24"/>
        <v>812863.18560955976</v>
      </c>
      <c r="I44" s="52">
        <f t="shared" si="3"/>
        <v>0</v>
      </c>
      <c r="J44" s="52"/>
      <c r="K44" s="129"/>
      <c r="L44" s="54">
        <f t="shared" si="25"/>
        <v>0</v>
      </c>
      <c r="M44" s="129"/>
      <c r="N44" s="54">
        <f t="shared" si="5"/>
        <v>0</v>
      </c>
      <c r="O44" s="54">
        <f t="shared" si="6"/>
        <v>0</v>
      </c>
      <c r="P44" s="1"/>
    </row>
    <row r="45" spans="2:16" ht="12.5">
      <c r="B45" s="7" t="str">
        <f t="shared" si="4"/>
        <v/>
      </c>
      <c r="C45" s="50">
        <f>IF(D11="","-",+C44+1)</f>
        <v>2043</v>
      </c>
      <c r="D45" s="55">
        <f>IF(F44+SUM(E$17:E44)=D$10,F44,D$10-SUM(E$17:E44))</f>
        <v>4379036.3773756139</v>
      </c>
      <c r="E45" s="378">
        <f t="shared" si="21"/>
        <v>273126.51363636367</v>
      </c>
      <c r="F45" s="55">
        <f t="shared" si="22"/>
        <v>4105909.8637392502</v>
      </c>
      <c r="G45" s="379">
        <f t="shared" si="23"/>
        <v>780217.15685593849</v>
      </c>
      <c r="H45" s="364">
        <f t="shared" si="24"/>
        <v>780217.15685593849</v>
      </c>
      <c r="I45" s="52">
        <f t="shared" si="3"/>
        <v>0</v>
      </c>
      <c r="J45" s="52"/>
      <c r="K45" s="129"/>
      <c r="L45" s="54">
        <f t="shared" si="25"/>
        <v>0</v>
      </c>
      <c r="M45" s="129"/>
      <c r="N45" s="54">
        <f t="shared" si="5"/>
        <v>0</v>
      </c>
      <c r="O45" s="54">
        <f t="shared" si="6"/>
        <v>0</v>
      </c>
      <c r="P45" s="1"/>
    </row>
    <row r="46" spans="2:16" ht="12.5">
      <c r="B46" s="7" t="str">
        <f t="shared" si="4"/>
        <v/>
      </c>
      <c r="C46" s="50">
        <f>IF(D11="","-",+C45+1)</f>
        <v>2044</v>
      </c>
      <c r="D46" s="55">
        <f>IF(F45+SUM(E$17:E45)=D$10,F45,D$10-SUM(E$17:E45))</f>
        <v>4105909.8637392502</v>
      </c>
      <c r="E46" s="378">
        <f t="shared" si="21"/>
        <v>273126.51363636367</v>
      </c>
      <c r="F46" s="55">
        <f t="shared" si="22"/>
        <v>3832783.3501028866</v>
      </c>
      <c r="G46" s="379">
        <f t="shared" si="23"/>
        <v>747571.1281023171</v>
      </c>
      <c r="H46" s="364">
        <f t="shared" si="24"/>
        <v>747571.1281023171</v>
      </c>
      <c r="I46" s="52">
        <f t="shared" si="3"/>
        <v>0</v>
      </c>
      <c r="J46" s="52"/>
      <c r="K46" s="129"/>
      <c r="L46" s="54">
        <f t="shared" si="25"/>
        <v>0</v>
      </c>
      <c r="M46" s="129"/>
      <c r="N46" s="54">
        <f t="shared" si="5"/>
        <v>0</v>
      </c>
      <c r="O46" s="54">
        <f t="shared" si="6"/>
        <v>0</v>
      </c>
      <c r="P46" s="1"/>
    </row>
    <row r="47" spans="2:16" ht="12.5">
      <c r="B47" s="7" t="str">
        <f t="shared" si="4"/>
        <v/>
      </c>
      <c r="C47" s="50">
        <f>IF(D11="","-",+C46+1)</f>
        <v>2045</v>
      </c>
      <c r="D47" s="55">
        <f>IF(F46+SUM(E$17:E46)=D$10,F46,D$10-SUM(E$17:E46))</f>
        <v>3832783.3501028866</v>
      </c>
      <c r="E47" s="378">
        <f t="shared" si="21"/>
        <v>273126.51363636367</v>
      </c>
      <c r="F47" s="55">
        <f t="shared" si="22"/>
        <v>3559656.8364665229</v>
      </c>
      <c r="G47" s="379">
        <f t="shared" si="23"/>
        <v>714925.09934869572</v>
      </c>
      <c r="H47" s="364">
        <f t="shared" si="24"/>
        <v>714925.09934869572</v>
      </c>
      <c r="I47" s="52">
        <f t="shared" si="3"/>
        <v>0</v>
      </c>
      <c r="J47" s="52"/>
      <c r="K47" s="129"/>
      <c r="L47" s="54">
        <f t="shared" si="25"/>
        <v>0</v>
      </c>
      <c r="M47" s="129"/>
      <c r="N47" s="54">
        <f t="shared" si="5"/>
        <v>0</v>
      </c>
      <c r="O47" s="54">
        <f t="shared" si="6"/>
        <v>0</v>
      </c>
      <c r="P47" s="1"/>
    </row>
    <row r="48" spans="2:16" ht="12.5">
      <c r="B48" s="7" t="str">
        <f t="shared" si="4"/>
        <v/>
      </c>
      <c r="C48" s="50">
        <f>IF(D11="","-",+C47+1)</f>
        <v>2046</v>
      </c>
      <c r="D48" s="55">
        <f>IF(F47+SUM(E$17:E47)=D$10,F47,D$10-SUM(E$17:E47))</f>
        <v>3559656.8364665229</v>
      </c>
      <c r="E48" s="378">
        <f t="shared" si="21"/>
        <v>273126.51363636367</v>
      </c>
      <c r="F48" s="55">
        <f t="shared" si="22"/>
        <v>3286530.3228301592</v>
      </c>
      <c r="G48" s="379">
        <f t="shared" si="23"/>
        <v>682279.07059507445</v>
      </c>
      <c r="H48" s="364">
        <f t="shared" si="24"/>
        <v>682279.07059507445</v>
      </c>
      <c r="I48" s="52">
        <f t="shared" si="3"/>
        <v>0</v>
      </c>
      <c r="J48" s="52"/>
      <c r="K48" s="129"/>
      <c r="L48" s="54">
        <f t="shared" si="25"/>
        <v>0</v>
      </c>
      <c r="M48" s="129"/>
      <c r="N48" s="54">
        <f t="shared" si="5"/>
        <v>0</v>
      </c>
      <c r="O48" s="54">
        <f t="shared" si="6"/>
        <v>0</v>
      </c>
      <c r="P48" s="1"/>
    </row>
    <row r="49" spans="2:16" ht="12.5">
      <c r="B49" s="7" t="str">
        <f t="shared" si="4"/>
        <v/>
      </c>
      <c r="C49" s="50">
        <f>IF(D11="","-",+C48+1)</f>
        <v>2047</v>
      </c>
      <c r="D49" s="55">
        <f>IF(F48+SUM(E$17:E48)=D$10,F48,D$10-SUM(E$17:E48))</f>
        <v>3286530.3228301592</v>
      </c>
      <c r="E49" s="378">
        <f t="shared" si="21"/>
        <v>273126.51363636367</v>
      </c>
      <c r="F49" s="55">
        <f t="shared" si="22"/>
        <v>3013403.8091937955</v>
      </c>
      <c r="G49" s="379">
        <f t="shared" si="23"/>
        <v>649633.04184145306</v>
      </c>
      <c r="H49" s="364">
        <f t="shared" si="24"/>
        <v>649633.04184145306</v>
      </c>
      <c r="I49" s="52">
        <f t="shared" si="3"/>
        <v>0</v>
      </c>
      <c r="J49" s="52"/>
      <c r="K49" s="129"/>
      <c r="L49" s="54">
        <f t="shared" si="25"/>
        <v>0</v>
      </c>
      <c r="M49" s="129"/>
      <c r="N49" s="54">
        <f t="shared" si="5"/>
        <v>0</v>
      </c>
      <c r="O49" s="54">
        <f t="shared" si="6"/>
        <v>0</v>
      </c>
      <c r="P49" s="1"/>
    </row>
    <row r="50" spans="2:16" ht="12.5">
      <c r="B50" s="7" t="str">
        <f t="shared" si="4"/>
        <v/>
      </c>
      <c r="C50" s="50">
        <f>IF(D11="","-",+C49+1)</f>
        <v>2048</v>
      </c>
      <c r="D50" s="55">
        <f>IF(F49+SUM(E$17:E49)=D$10,F49,D$10-SUM(E$17:E49))</f>
        <v>3013403.8091937955</v>
      </c>
      <c r="E50" s="378">
        <f t="shared" si="21"/>
        <v>273126.51363636367</v>
      </c>
      <c r="F50" s="55">
        <f t="shared" si="22"/>
        <v>2740277.2955574319</v>
      </c>
      <c r="G50" s="379">
        <f t="shared" si="23"/>
        <v>616987.01308783167</v>
      </c>
      <c r="H50" s="364">
        <f t="shared" si="24"/>
        <v>616987.01308783167</v>
      </c>
      <c r="I50" s="52">
        <f t="shared" si="3"/>
        <v>0</v>
      </c>
      <c r="J50" s="52"/>
      <c r="K50" s="129"/>
      <c r="L50" s="54">
        <f t="shared" si="25"/>
        <v>0</v>
      </c>
      <c r="M50" s="129"/>
      <c r="N50" s="54">
        <f t="shared" si="5"/>
        <v>0</v>
      </c>
      <c r="O50" s="54">
        <f t="shared" si="6"/>
        <v>0</v>
      </c>
      <c r="P50" s="1"/>
    </row>
    <row r="51" spans="2:16" ht="12.5">
      <c r="B51" s="7" t="str">
        <f t="shared" si="4"/>
        <v/>
      </c>
      <c r="C51" s="50">
        <f>IF(D11="","-",+C50+1)</f>
        <v>2049</v>
      </c>
      <c r="D51" s="55">
        <f>IF(F50+SUM(E$17:E50)=D$10,F50,D$10-SUM(E$17:E50))</f>
        <v>2740277.2955574319</v>
      </c>
      <c r="E51" s="378">
        <f t="shared" si="21"/>
        <v>273126.51363636367</v>
      </c>
      <c r="F51" s="55">
        <f t="shared" si="22"/>
        <v>2467150.7819210682</v>
      </c>
      <c r="G51" s="379">
        <f t="shared" ref="G51:G72" si="26">+I$12*((D51+F51)/2)+E51</f>
        <v>584340.9843342104</v>
      </c>
      <c r="H51" s="364">
        <f t="shared" ref="H51:H72" si="27">+I$13*((D51+F51)/2)+E51</f>
        <v>584340.9843342104</v>
      </c>
      <c r="I51" s="52">
        <f t="shared" si="3"/>
        <v>0</v>
      </c>
      <c r="J51" s="52"/>
      <c r="K51" s="129"/>
      <c r="L51" s="54">
        <f t="shared" si="25"/>
        <v>0</v>
      </c>
      <c r="M51" s="129"/>
      <c r="N51" s="54">
        <f t="shared" si="5"/>
        <v>0</v>
      </c>
      <c r="O51" s="54">
        <f t="shared" si="6"/>
        <v>0</v>
      </c>
      <c r="P51" s="1"/>
    </row>
    <row r="52" spans="2:16" ht="12.5">
      <c r="B52" s="7" t="str">
        <f t="shared" si="4"/>
        <v/>
      </c>
      <c r="C52" s="50">
        <f>IF(D11="","-",+C51+1)</f>
        <v>2050</v>
      </c>
      <c r="D52" s="55">
        <f>IF(F51+SUM(E$17:E51)=D$10,F51,D$10-SUM(E$17:E51))</f>
        <v>2467150.7819210682</v>
      </c>
      <c r="E52" s="378">
        <f t="shared" si="21"/>
        <v>273126.51363636367</v>
      </c>
      <c r="F52" s="55">
        <f t="shared" si="22"/>
        <v>2194024.2682847045</v>
      </c>
      <c r="G52" s="379">
        <f t="shared" si="26"/>
        <v>551694.95558058901</v>
      </c>
      <c r="H52" s="364">
        <f t="shared" si="27"/>
        <v>551694.95558058901</v>
      </c>
      <c r="I52" s="52">
        <f t="shared" si="3"/>
        <v>0</v>
      </c>
      <c r="J52" s="52"/>
      <c r="K52" s="129"/>
      <c r="L52" s="54">
        <f t="shared" si="25"/>
        <v>0</v>
      </c>
      <c r="M52" s="129"/>
      <c r="N52" s="54">
        <f t="shared" si="5"/>
        <v>0</v>
      </c>
      <c r="O52" s="54">
        <f t="shared" si="6"/>
        <v>0</v>
      </c>
      <c r="P52" s="1"/>
    </row>
    <row r="53" spans="2:16" ht="12.5">
      <c r="B53" s="7" t="str">
        <f t="shared" si="4"/>
        <v/>
      </c>
      <c r="C53" s="50">
        <f>IF(D11="","-",+C52+1)</f>
        <v>2051</v>
      </c>
      <c r="D53" s="55">
        <f>IF(F52+SUM(E$17:E52)=D$10,F52,D$10-SUM(E$17:E52))</f>
        <v>2194024.2682847045</v>
      </c>
      <c r="E53" s="378">
        <f t="shared" si="21"/>
        <v>273126.51363636367</v>
      </c>
      <c r="F53" s="55">
        <f t="shared" si="22"/>
        <v>1920897.7546483409</v>
      </c>
      <c r="G53" s="379">
        <f t="shared" si="26"/>
        <v>519048.92682696762</v>
      </c>
      <c r="H53" s="364">
        <f t="shared" si="27"/>
        <v>519048.92682696762</v>
      </c>
      <c r="I53" s="52">
        <f t="shared" si="3"/>
        <v>0</v>
      </c>
      <c r="J53" s="52"/>
      <c r="K53" s="129"/>
      <c r="L53" s="54">
        <f t="shared" si="25"/>
        <v>0</v>
      </c>
      <c r="M53" s="129"/>
      <c r="N53" s="54">
        <f t="shared" si="5"/>
        <v>0</v>
      </c>
      <c r="O53" s="54">
        <f t="shared" si="6"/>
        <v>0</v>
      </c>
      <c r="P53" s="1"/>
    </row>
    <row r="54" spans="2:16" ht="12.5">
      <c r="B54" s="7" t="str">
        <f t="shared" si="4"/>
        <v/>
      </c>
      <c r="C54" s="50">
        <f>IF(D11="","-",+C53+1)</f>
        <v>2052</v>
      </c>
      <c r="D54" s="55">
        <f>IF(F53+SUM(E$17:E53)=D$10,F53,D$10-SUM(E$17:E53))</f>
        <v>1920897.7546483409</v>
      </c>
      <c r="E54" s="378">
        <f t="shared" si="21"/>
        <v>273126.51363636367</v>
      </c>
      <c r="F54" s="55">
        <f t="shared" si="22"/>
        <v>1647771.2410119772</v>
      </c>
      <c r="G54" s="379">
        <f t="shared" si="26"/>
        <v>486402.89807334635</v>
      </c>
      <c r="H54" s="364">
        <f t="shared" si="27"/>
        <v>486402.89807334635</v>
      </c>
      <c r="I54" s="52">
        <f t="shared" si="3"/>
        <v>0</v>
      </c>
      <c r="J54" s="52"/>
      <c r="K54" s="129"/>
      <c r="L54" s="54">
        <f t="shared" si="25"/>
        <v>0</v>
      </c>
      <c r="M54" s="129"/>
      <c r="N54" s="54">
        <f t="shared" si="5"/>
        <v>0</v>
      </c>
      <c r="O54" s="54">
        <f t="shared" si="6"/>
        <v>0</v>
      </c>
      <c r="P54" s="1"/>
    </row>
    <row r="55" spans="2:16" ht="12.5">
      <c r="B55" s="7" t="str">
        <f t="shared" si="4"/>
        <v/>
      </c>
      <c r="C55" s="50">
        <f>IF(D11="","-",+C54+1)</f>
        <v>2053</v>
      </c>
      <c r="D55" s="55">
        <f>IF(F54+SUM(E$17:E54)=D$10,F54,D$10-SUM(E$17:E54))</f>
        <v>1647771.2410119772</v>
      </c>
      <c r="E55" s="378">
        <f t="shared" si="21"/>
        <v>273126.51363636367</v>
      </c>
      <c r="F55" s="55">
        <f t="shared" si="22"/>
        <v>1374644.7273756135</v>
      </c>
      <c r="G55" s="379">
        <f t="shared" si="26"/>
        <v>453756.86931972497</v>
      </c>
      <c r="H55" s="364">
        <f t="shared" si="27"/>
        <v>453756.86931972497</v>
      </c>
      <c r="I55" s="52">
        <f t="shared" si="3"/>
        <v>0</v>
      </c>
      <c r="J55" s="52"/>
      <c r="K55" s="129"/>
      <c r="L55" s="54">
        <f t="shared" si="25"/>
        <v>0</v>
      </c>
      <c r="M55" s="129"/>
      <c r="N55" s="54">
        <f t="shared" si="5"/>
        <v>0</v>
      </c>
      <c r="O55" s="54">
        <f t="shared" si="6"/>
        <v>0</v>
      </c>
      <c r="P55" s="1"/>
    </row>
    <row r="56" spans="2:16" ht="12.5">
      <c r="B56" s="7" t="str">
        <f t="shared" si="4"/>
        <v/>
      </c>
      <c r="C56" s="50">
        <f>IF(D11="","-",+C55+1)</f>
        <v>2054</v>
      </c>
      <c r="D56" s="55">
        <f>IF(F55+SUM(E$17:E55)=D$10,F55,D$10-SUM(E$17:E55))</f>
        <v>1374644.7273756135</v>
      </c>
      <c r="E56" s="378">
        <f t="shared" si="21"/>
        <v>273126.51363636367</v>
      </c>
      <c r="F56" s="55">
        <f t="shared" si="22"/>
        <v>1101518.2137392499</v>
      </c>
      <c r="G56" s="379">
        <f t="shared" si="26"/>
        <v>421110.84056610358</v>
      </c>
      <c r="H56" s="364">
        <f t="shared" si="27"/>
        <v>421110.84056610358</v>
      </c>
      <c r="I56" s="52">
        <f t="shared" si="3"/>
        <v>0</v>
      </c>
      <c r="J56" s="52"/>
      <c r="K56" s="129"/>
      <c r="L56" s="54">
        <f t="shared" si="25"/>
        <v>0</v>
      </c>
      <c r="M56" s="129"/>
      <c r="N56" s="54">
        <f t="shared" si="5"/>
        <v>0</v>
      </c>
      <c r="O56" s="54">
        <f t="shared" si="6"/>
        <v>0</v>
      </c>
      <c r="P56" s="1"/>
    </row>
    <row r="57" spans="2:16" ht="12.5">
      <c r="B57" s="7" t="str">
        <f t="shared" si="4"/>
        <v/>
      </c>
      <c r="C57" s="50">
        <f>IF(D11="","-",+C56+1)</f>
        <v>2055</v>
      </c>
      <c r="D57" s="55">
        <f>IF(F56+SUM(E$17:E56)=D$10,F56,D$10-SUM(E$17:E56))</f>
        <v>1101518.2137392499</v>
      </c>
      <c r="E57" s="378">
        <f t="shared" si="21"/>
        <v>273126.51363636367</v>
      </c>
      <c r="F57" s="55">
        <f t="shared" si="22"/>
        <v>828391.70010288619</v>
      </c>
      <c r="G57" s="379">
        <f t="shared" si="26"/>
        <v>388464.81181248225</v>
      </c>
      <c r="H57" s="364">
        <f t="shared" si="27"/>
        <v>388464.81181248225</v>
      </c>
      <c r="I57" s="52">
        <f t="shared" si="3"/>
        <v>0</v>
      </c>
      <c r="J57" s="52"/>
      <c r="K57" s="129"/>
      <c r="L57" s="54">
        <f t="shared" si="25"/>
        <v>0</v>
      </c>
      <c r="M57" s="129"/>
      <c r="N57" s="54">
        <f t="shared" si="5"/>
        <v>0</v>
      </c>
      <c r="O57" s="54">
        <f t="shared" si="6"/>
        <v>0</v>
      </c>
      <c r="P57" s="1"/>
    </row>
    <row r="58" spans="2:16" ht="12.5">
      <c r="B58" s="7" t="str">
        <f t="shared" si="4"/>
        <v/>
      </c>
      <c r="C58" s="50">
        <f>IF(D11="","-",+C57+1)</f>
        <v>2056</v>
      </c>
      <c r="D58" s="55">
        <f>IF(F57+SUM(E$17:E57)=D$10,F57,D$10-SUM(E$17:E57))</f>
        <v>828391.70010288619</v>
      </c>
      <c r="E58" s="378">
        <f t="shared" si="21"/>
        <v>273126.51363636367</v>
      </c>
      <c r="F58" s="55">
        <f t="shared" si="22"/>
        <v>555265.18646652251</v>
      </c>
      <c r="G58" s="379">
        <f t="shared" si="26"/>
        <v>355818.78305886092</v>
      </c>
      <c r="H58" s="364">
        <f t="shared" si="27"/>
        <v>355818.78305886092</v>
      </c>
      <c r="I58" s="52">
        <f t="shared" si="3"/>
        <v>0</v>
      </c>
      <c r="J58" s="52"/>
      <c r="K58" s="129"/>
      <c r="L58" s="54">
        <f t="shared" si="25"/>
        <v>0</v>
      </c>
      <c r="M58" s="129"/>
      <c r="N58" s="54">
        <f t="shared" si="5"/>
        <v>0</v>
      </c>
      <c r="O58" s="54">
        <f t="shared" si="6"/>
        <v>0</v>
      </c>
      <c r="P58" s="1"/>
    </row>
    <row r="59" spans="2:16" ht="12.5">
      <c r="B59" s="7" t="str">
        <f t="shared" si="4"/>
        <v/>
      </c>
      <c r="C59" s="50">
        <f>IF(D11="","-",+C58+1)</f>
        <v>2057</v>
      </c>
      <c r="D59" s="55">
        <f>IF(F58+SUM(E$17:E58)=D$10,F58,D$10-SUM(E$17:E58))</f>
        <v>555265.18646652251</v>
      </c>
      <c r="E59" s="378">
        <f t="shared" si="21"/>
        <v>273126.51363636367</v>
      </c>
      <c r="F59" s="55">
        <f t="shared" si="22"/>
        <v>282138.67283015884</v>
      </c>
      <c r="G59" s="379">
        <f t="shared" si="26"/>
        <v>323172.75430523959</v>
      </c>
      <c r="H59" s="364">
        <f t="shared" si="27"/>
        <v>323172.75430523959</v>
      </c>
      <c r="I59" s="52">
        <f t="shared" si="3"/>
        <v>0</v>
      </c>
      <c r="J59" s="52"/>
      <c r="K59" s="129"/>
      <c r="L59" s="54">
        <f t="shared" si="25"/>
        <v>0</v>
      </c>
      <c r="M59" s="129"/>
      <c r="N59" s="54">
        <f t="shared" si="5"/>
        <v>0</v>
      </c>
      <c r="O59" s="54">
        <f t="shared" si="6"/>
        <v>0</v>
      </c>
      <c r="P59" s="1"/>
    </row>
    <row r="60" spans="2:16" ht="12.5">
      <c r="B60" s="7" t="str">
        <f t="shared" si="4"/>
        <v/>
      </c>
      <c r="C60" s="50">
        <f>IF(D11="","-",+C59+1)</f>
        <v>2058</v>
      </c>
      <c r="D60" s="55">
        <f>IF(F59+SUM(E$17:E59)=D$10,F59,D$10-SUM(E$17:E59))</f>
        <v>282138.67283015884</v>
      </c>
      <c r="E60" s="378">
        <f t="shared" si="21"/>
        <v>273126.51363636367</v>
      </c>
      <c r="F60" s="55">
        <f t="shared" si="22"/>
        <v>9012.1591937951744</v>
      </c>
      <c r="G60" s="379">
        <f t="shared" si="26"/>
        <v>290526.7255516182</v>
      </c>
      <c r="H60" s="364">
        <f t="shared" si="27"/>
        <v>290526.7255516182</v>
      </c>
      <c r="I60" s="52">
        <f t="shared" si="3"/>
        <v>0</v>
      </c>
      <c r="J60" s="52"/>
      <c r="K60" s="129"/>
      <c r="L60" s="54">
        <f t="shared" si="25"/>
        <v>0</v>
      </c>
      <c r="M60" s="129"/>
      <c r="N60" s="54">
        <f t="shared" si="5"/>
        <v>0</v>
      </c>
      <c r="O60" s="54">
        <f t="shared" si="6"/>
        <v>0</v>
      </c>
      <c r="P60" s="1"/>
    </row>
    <row r="61" spans="2:16" ht="12.5">
      <c r="B61" s="7" t="str">
        <f t="shared" si="4"/>
        <v/>
      </c>
      <c r="C61" s="50">
        <f>IF(D11="","-",+C60+1)</f>
        <v>2059</v>
      </c>
      <c r="D61" s="55">
        <f>IF(F60+SUM(E$17:E60)=D$10,F60,D$10-SUM(E$17:E60))</f>
        <v>9012.1591937951744</v>
      </c>
      <c r="E61" s="378">
        <f t="shared" si="21"/>
        <v>9012.1591937951744</v>
      </c>
      <c r="F61" s="55">
        <f t="shared" si="22"/>
        <v>0</v>
      </c>
      <c r="G61" s="379">
        <f t="shared" si="26"/>
        <v>9550.7579630171149</v>
      </c>
      <c r="H61" s="364">
        <f t="shared" si="27"/>
        <v>9550.7579630171149</v>
      </c>
      <c r="I61" s="52">
        <f t="shared" si="3"/>
        <v>0</v>
      </c>
      <c r="J61" s="52"/>
      <c r="K61" s="129"/>
      <c r="L61" s="54">
        <f t="shared" si="25"/>
        <v>0</v>
      </c>
      <c r="M61" s="129"/>
      <c r="N61" s="54">
        <f t="shared" si="5"/>
        <v>0</v>
      </c>
      <c r="O61" s="54">
        <f t="shared" si="6"/>
        <v>0</v>
      </c>
      <c r="P61" s="1"/>
    </row>
    <row r="62" spans="2:16" ht="12.5">
      <c r="B62" s="7" t="str">
        <f t="shared" si="4"/>
        <v/>
      </c>
      <c r="C62" s="50">
        <f>IF(D11="","-",+C61+1)</f>
        <v>2060</v>
      </c>
      <c r="D62" s="55">
        <f>IF(F61+SUM(E$17:E61)=D$10,F61,D$10-SUM(E$17:E61))</f>
        <v>0</v>
      </c>
      <c r="E62" s="378">
        <f t="shared" si="21"/>
        <v>0</v>
      </c>
      <c r="F62" s="55">
        <f t="shared" si="22"/>
        <v>0</v>
      </c>
      <c r="G62" s="379">
        <f t="shared" si="26"/>
        <v>0</v>
      </c>
      <c r="H62" s="364">
        <f t="shared" si="27"/>
        <v>0</v>
      </c>
      <c r="I62" s="52">
        <f t="shared" si="3"/>
        <v>0</v>
      </c>
      <c r="J62" s="52"/>
      <c r="K62" s="129"/>
      <c r="L62" s="54">
        <f t="shared" si="25"/>
        <v>0</v>
      </c>
      <c r="M62" s="129"/>
      <c r="N62" s="54">
        <f t="shared" si="5"/>
        <v>0</v>
      </c>
      <c r="O62" s="54">
        <f t="shared" si="6"/>
        <v>0</v>
      </c>
      <c r="P62" s="1"/>
    </row>
    <row r="63" spans="2:16" ht="12.5">
      <c r="B63" s="7" t="str">
        <f t="shared" si="4"/>
        <v/>
      </c>
      <c r="C63" s="50">
        <f>IF(D11="","-",+C62+1)</f>
        <v>2061</v>
      </c>
      <c r="D63" s="55">
        <f>IF(F62+SUM(E$17:E62)=D$10,F62,D$10-SUM(E$17:E62))</f>
        <v>0</v>
      </c>
      <c r="E63" s="378">
        <f t="shared" si="21"/>
        <v>0</v>
      </c>
      <c r="F63" s="55">
        <f t="shared" si="22"/>
        <v>0</v>
      </c>
      <c r="G63" s="379">
        <f t="shared" si="26"/>
        <v>0</v>
      </c>
      <c r="H63" s="364">
        <f t="shared" si="27"/>
        <v>0</v>
      </c>
      <c r="I63" s="52">
        <f t="shared" si="3"/>
        <v>0</v>
      </c>
      <c r="J63" s="52"/>
      <c r="K63" s="129"/>
      <c r="L63" s="54">
        <f t="shared" si="25"/>
        <v>0</v>
      </c>
      <c r="M63" s="129"/>
      <c r="N63" s="54">
        <f t="shared" si="5"/>
        <v>0</v>
      </c>
      <c r="O63" s="54">
        <f t="shared" si="6"/>
        <v>0</v>
      </c>
      <c r="P63" s="1"/>
    </row>
    <row r="64" spans="2:16" ht="12.5">
      <c r="B64" s="7" t="str">
        <f t="shared" si="4"/>
        <v/>
      </c>
      <c r="C64" s="50">
        <f>IF(D11="","-",+C63+1)</f>
        <v>2062</v>
      </c>
      <c r="D64" s="55">
        <f>IF(F63+SUM(E$17:E63)=D$10,F63,D$10-SUM(E$17:E63))</f>
        <v>0</v>
      </c>
      <c r="E64" s="378">
        <f t="shared" si="21"/>
        <v>0</v>
      </c>
      <c r="F64" s="55">
        <f t="shared" si="22"/>
        <v>0</v>
      </c>
      <c r="G64" s="379">
        <f t="shared" si="26"/>
        <v>0</v>
      </c>
      <c r="H64" s="364">
        <f t="shared" si="27"/>
        <v>0</v>
      </c>
      <c r="I64" s="52">
        <f t="shared" si="3"/>
        <v>0</v>
      </c>
      <c r="J64" s="52"/>
      <c r="K64" s="129"/>
      <c r="L64" s="54">
        <f t="shared" si="25"/>
        <v>0</v>
      </c>
      <c r="M64" s="129"/>
      <c r="N64" s="54">
        <f t="shared" si="5"/>
        <v>0</v>
      </c>
      <c r="O64" s="54">
        <f t="shared" si="6"/>
        <v>0</v>
      </c>
      <c r="P64" s="1"/>
    </row>
    <row r="65" spans="2:16" ht="12.5">
      <c r="B65" s="7" t="str">
        <f t="shared" si="4"/>
        <v/>
      </c>
      <c r="C65" s="50">
        <f>IF(D11="","-",+C64+1)</f>
        <v>2063</v>
      </c>
      <c r="D65" s="55">
        <f>IF(F64+SUM(E$17:E64)=D$10,F64,D$10-SUM(E$17:E64))</f>
        <v>0</v>
      </c>
      <c r="E65" s="378">
        <f t="shared" si="21"/>
        <v>0</v>
      </c>
      <c r="F65" s="55">
        <f t="shared" si="22"/>
        <v>0</v>
      </c>
      <c r="G65" s="379">
        <f t="shared" si="26"/>
        <v>0</v>
      </c>
      <c r="H65" s="364">
        <f t="shared" si="27"/>
        <v>0</v>
      </c>
      <c r="I65" s="52">
        <f t="shared" si="3"/>
        <v>0</v>
      </c>
      <c r="J65" s="52"/>
      <c r="K65" s="129"/>
      <c r="L65" s="54">
        <f t="shared" si="25"/>
        <v>0</v>
      </c>
      <c r="M65" s="129"/>
      <c r="N65" s="54">
        <f t="shared" si="5"/>
        <v>0</v>
      </c>
      <c r="O65" s="54">
        <f t="shared" si="6"/>
        <v>0</v>
      </c>
      <c r="P65" s="1"/>
    </row>
    <row r="66" spans="2:16" ht="12.5">
      <c r="B66" s="7" t="str">
        <f t="shared" si="4"/>
        <v/>
      </c>
      <c r="C66" s="50">
        <f>IF(D11="","-",+C65+1)</f>
        <v>2064</v>
      </c>
      <c r="D66" s="55">
        <f>IF(F65+SUM(E$17:E65)=D$10,F65,D$10-SUM(E$17:E65))</f>
        <v>0</v>
      </c>
      <c r="E66" s="378">
        <f t="shared" si="21"/>
        <v>0</v>
      </c>
      <c r="F66" s="55">
        <f t="shared" si="22"/>
        <v>0</v>
      </c>
      <c r="G66" s="379">
        <f t="shared" si="26"/>
        <v>0</v>
      </c>
      <c r="H66" s="364">
        <f t="shared" si="27"/>
        <v>0</v>
      </c>
      <c r="I66" s="52">
        <f t="shared" si="3"/>
        <v>0</v>
      </c>
      <c r="J66" s="52"/>
      <c r="K66" s="129"/>
      <c r="L66" s="54">
        <f t="shared" si="25"/>
        <v>0</v>
      </c>
      <c r="M66" s="129"/>
      <c r="N66" s="54">
        <f t="shared" si="5"/>
        <v>0</v>
      </c>
      <c r="O66" s="54">
        <f t="shared" si="6"/>
        <v>0</v>
      </c>
      <c r="P66" s="1"/>
    </row>
    <row r="67" spans="2:16" ht="12.5">
      <c r="B67" s="7" t="str">
        <f t="shared" si="4"/>
        <v/>
      </c>
      <c r="C67" s="50">
        <f>IF(D11="","-",+C66+1)</f>
        <v>2065</v>
      </c>
      <c r="D67" s="55">
        <f>IF(F66+SUM(E$17:E66)=D$10,F66,D$10-SUM(E$17:E66))</f>
        <v>0</v>
      </c>
      <c r="E67" s="378">
        <f t="shared" si="21"/>
        <v>0</v>
      </c>
      <c r="F67" s="55">
        <f t="shared" si="22"/>
        <v>0</v>
      </c>
      <c r="G67" s="379">
        <f t="shared" si="26"/>
        <v>0</v>
      </c>
      <c r="H67" s="364">
        <f t="shared" si="27"/>
        <v>0</v>
      </c>
      <c r="I67" s="52">
        <f t="shared" si="3"/>
        <v>0</v>
      </c>
      <c r="J67" s="52"/>
      <c r="K67" s="129"/>
      <c r="L67" s="54">
        <f t="shared" si="25"/>
        <v>0</v>
      </c>
      <c r="M67" s="129"/>
      <c r="N67" s="54">
        <f t="shared" si="5"/>
        <v>0</v>
      </c>
      <c r="O67" s="54">
        <f t="shared" si="6"/>
        <v>0</v>
      </c>
      <c r="P67" s="1"/>
    </row>
    <row r="68" spans="2:16" ht="12.5">
      <c r="B68" s="7" t="str">
        <f t="shared" si="4"/>
        <v/>
      </c>
      <c r="C68" s="50">
        <f>IF(D11="","-",+C67+1)</f>
        <v>2066</v>
      </c>
      <c r="D68" s="55">
        <f>IF(F67+SUM(E$17:E67)=D$10,F67,D$10-SUM(E$17:E67))</f>
        <v>0</v>
      </c>
      <c r="E68" s="378">
        <f t="shared" si="21"/>
        <v>0</v>
      </c>
      <c r="F68" s="55">
        <f t="shared" si="22"/>
        <v>0</v>
      </c>
      <c r="G68" s="379">
        <f t="shared" si="26"/>
        <v>0</v>
      </c>
      <c r="H68" s="364">
        <f t="shared" si="27"/>
        <v>0</v>
      </c>
      <c r="I68" s="52">
        <f t="shared" si="3"/>
        <v>0</v>
      </c>
      <c r="J68" s="52"/>
      <c r="K68" s="129"/>
      <c r="L68" s="54">
        <f t="shared" si="25"/>
        <v>0</v>
      </c>
      <c r="M68" s="129"/>
      <c r="N68" s="54">
        <f t="shared" si="5"/>
        <v>0</v>
      </c>
      <c r="O68" s="54">
        <f t="shared" si="6"/>
        <v>0</v>
      </c>
      <c r="P68" s="1"/>
    </row>
    <row r="69" spans="2:16" ht="12.5">
      <c r="B69" s="7" t="str">
        <f t="shared" si="4"/>
        <v/>
      </c>
      <c r="C69" s="50">
        <f>IF(D11="","-",+C68+1)</f>
        <v>2067</v>
      </c>
      <c r="D69" s="55">
        <f>IF(F68+SUM(E$17:E68)=D$10,F68,D$10-SUM(E$17:E68))</f>
        <v>0</v>
      </c>
      <c r="E69" s="378">
        <f t="shared" si="21"/>
        <v>0</v>
      </c>
      <c r="F69" s="55">
        <f t="shared" si="22"/>
        <v>0</v>
      </c>
      <c r="G69" s="379">
        <f t="shared" si="26"/>
        <v>0</v>
      </c>
      <c r="H69" s="364">
        <f t="shared" si="27"/>
        <v>0</v>
      </c>
      <c r="I69" s="52">
        <f t="shared" si="3"/>
        <v>0</v>
      </c>
      <c r="J69" s="52"/>
      <c r="K69" s="129"/>
      <c r="L69" s="54">
        <f t="shared" si="25"/>
        <v>0</v>
      </c>
      <c r="M69" s="129"/>
      <c r="N69" s="54">
        <f t="shared" si="5"/>
        <v>0</v>
      </c>
      <c r="O69" s="54">
        <f t="shared" si="6"/>
        <v>0</v>
      </c>
      <c r="P69" s="1"/>
    </row>
    <row r="70" spans="2:16" ht="12.5">
      <c r="B70" s="7" t="str">
        <f t="shared" si="4"/>
        <v/>
      </c>
      <c r="C70" s="50">
        <f>IF(D11="","-",+C69+1)</f>
        <v>2068</v>
      </c>
      <c r="D70" s="55">
        <f>IF(F69+SUM(E$17:E69)=D$10,F69,D$10-SUM(E$17:E69))</f>
        <v>0</v>
      </c>
      <c r="E70" s="378">
        <f t="shared" si="21"/>
        <v>0</v>
      </c>
      <c r="F70" s="55">
        <f t="shared" si="22"/>
        <v>0</v>
      </c>
      <c r="G70" s="379">
        <f t="shared" si="26"/>
        <v>0</v>
      </c>
      <c r="H70" s="364">
        <f t="shared" si="27"/>
        <v>0</v>
      </c>
      <c r="I70" s="52">
        <f t="shared" si="3"/>
        <v>0</v>
      </c>
      <c r="J70" s="52"/>
      <c r="K70" s="129"/>
      <c r="L70" s="54">
        <f t="shared" si="25"/>
        <v>0</v>
      </c>
      <c r="M70" s="129"/>
      <c r="N70" s="54">
        <f t="shared" si="5"/>
        <v>0</v>
      </c>
      <c r="O70" s="54">
        <f t="shared" si="6"/>
        <v>0</v>
      </c>
      <c r="P70" s="1"/>
    </row>
    <row r="71" spans="2:16" ht="12.5">
      <c r="B71" s="7" t="str">
        <f t="shared" si="4"/>
        <v/>
      </c>
      <c r="C71" s="50">
        <f>IF(D11="","-",+C70+1)</f>
        <v>2069</v>
      </c>
      <c r="D71" s="55">
        <f>IF(F70+SUM(E$17:E70)=D$10,F70,D$10-SUM(E$17:E70))</f>
        <v>0</v>
      </c>
      <c r="E71" s="378">
        <f t="shared" si="21"/>
        <v>0</v>
      </c>
      <c r="F71" s="55">
        <f t="shared" si="22"/>
        <v>0</v>
      </c>
      <c r="G71" s="379">
        <f t="shared" si="26"/>
        <v>0</v>
      </c>
      <c r="H71" s="364">
        <f t="shared" si="27"/>
        <v>0</v>
      </c>
      <c r="I71" s="52">
        <f t="shared" si="3"/>
        <v>0</v>
      </c>
      <c r="J71" s="52"/>
      <c r="K71" s="129"/>
      <c r="L71" s="54">
        <f t="shared" si="25"/>
        <v>0</v>
      </c>
      <c r="M71" s="129"/>
      <c r="N71" s="54">
        <f t="shared" si="5"/>
        <v>0</v>
      </c>
      <c r="O71" s="54">
        <f t="shared" si="6"/>
        <v>0</v>
      </c>
      <c r="P71" s="1"/>
    </row>
    <row r="72" spans="2:16" ht="13" thickBot="1">
      <c r="B72" s="7" t="str">
        <f t="shared" si="4"/>
        <v/>
      </c>
      <c r="C72" s="59">
        <f>IF(D11="","-",+C71+1)</f>
        <v>2070</v>
      </c>
      <c r="D72" s="55">
        <f>IF(F71+SUM(E$17:E71)=D$10,F71,D$10-SUM(E$17:E71))</f>
        <v>0</v>
      </c>
      <c r="E72" s="378">
        <f t="shared" si="21"/>
        <v>0</v>
      </c>
      <c r="F72" s="55">
        <f t="shared" si="22"/>
        <v>0</v>
      </c>
      <c r="G72" s="379">
        <f t="shared" si="26"/>
        <v>0</v>
      </c>
      <c r="H72" s="364">
        <f t="shared" si="27"/>
        <v>0</v>
      </c>
      <c r="I72" s="52">
        <f t="shared" si="3"/>
        <v>0</v>
      </c>
      <c r="J72" s="52"/>
      <c r="K72" s="130"/>
      <c r="L72" s="64">
        <f t="shared" si="25"/>
        <v>0</v>
      </c>
      <c r="M72" s="130"/>
      <c r="N72" s="64">
        <f t="shared" si="5"/>
        <v>0</v>
      </c>
      <c r="O72" s="64">
        <f t="shared" si="6"/>
        <v>0</v>
      </c>
      <c r="P72" s="1"/>
    </row>
    <row r="73" spans="2:16" ht="12.5">
      <c r="C73" s="12" t="s">
        <v>78</v>
      </c>
      <c r="D73" s="293"/>
      <c r="E73" s="293">
        <f>SUM(E17:E72)</f>
        <v>12017566.600000003</v>
      </c>
      <c r="F73" s="293"/>
      <c r="G73" s="293">
        <f>SUM(G17:G72)</f>
        <v>43897778.844589509</v>
      </c>
      <c r="H73" s="293">
        <f>SUM(H17:H72)</f>
        <v>43897778.844589509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 ht="13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52 of 77</v>
      </c>
    </row>
    <row r="84" spans="1:16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1400491.7031747443</v>
      </c>
      <c r="N87" s="387">
        <f>IF(J92&lt;D11,0,VLOOKUP(J92,C17:O72,11))</f>
        <v>1400491.7031747443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1452208.4904527678</v>
      </c>
      <c r="N88" s="390">
        <f>IF(J92&lt;D11,0,VLOOKUP(J92,C99:P154,7))</f>
        <v>1452208.4904527678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Red Oak (State Line)-North Huntington 69 kV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51716.787278023548</v>
      </c>
      <c r="N89" s="392">
        <f>+N88-N87</f>
        <v>51716.787278023548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TP2007166</v>
      </c>
      <c r="E91" s="76" t="str">
        <f>E9</f>
        <v xml:space="preserve">SPP Project ID = </v>
      </c>
      <c r="F91" s="76" t="str">
        <f>F9</f>
        <v>30473, 30474 &amp; 30475</v>
      </c>
      <c r="G91" s="76"/>
      <c r="H91" s="76"/>
      <c r="I91" s="76"/>
      <c r="J91" s="76"/>
    </row>
    <row r="92" spans="1:16" ht="13">
      <c r="C92" s="34" t="s">
        <v>51</v>
      </c>
      <c r="D92" s="428">
        <f>D10</f>
        <v>12017566.600000001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</row>
    <row r="93" spans="1:16" ht="12.5">
      <c r="C93" s="34" t="s">
        <v>54</v>
      </c>
      <c r="D93" s="88">
        <f>IF(D11=I10,"",D11)</f>
        <v>2015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4">
        <f>IF(D11=I10,"",D12)</f>
        <v>5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273126.51363636367</v>
      </c>
      <c r="K96" s="293"/>
      <c r="L96" s="293"/>
      <c r="M96" s="293"/>
      <c r="N96" s="293"/>
      <c r="O96" s="293"/>
      <c r="P96" s="1"/>
    </row>
    <row r="97" spans="1:16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 ht="12.5">
      <c r="C99" s="50">
        <f>IF(D93= "","-",D93)</f>
        <v>2015</v>
      </c>
      <c r="D99" s="429">
        <v>0</v>
      </c>
      <c r="E99" s="430">
        <v>142743.89285714287</v>
      </c>
      <c r="F99" s="431">
        <v>11847743.107142856</v>
      </c>
      <c r="G99" s="432">
        <v>5923871.5535714282</v>
      </c>
      <c r="H99" s="433">
        <v>923325.80014683155</v>
      </c>
      <c r="I99" s="434">
        <v>923325.80014683155</v>
      </c>
      <c r="J99" s="54">
        <f>+I99-H99</f>
        <v>0</v>
      </c>
      <c r="K99" s="54"/>
      <c r="L99" s="112">
        <f t="shared" ref="L99:L104" si="28">+H99</f>
        <v>923325.80014683155</v>
      </c>
      <c r="M99" s="53">
        <f t="shared" ref="M99:M130" si="29">IF(L99&lt;&gt;0,+H99-L99,0)</f>
        <v>0</v>
      </c>
      <c r="N99" s="112">
        <f t="shared" ref="N99:N104" si="30">+I99</f>
        <v>923325.80014683155</v>
      </c>
      <c r="O99" s="53">
        <f t="shared" ref="O99:O130" si="31">IF(N99&lt;&gt;0,+I99-N99,0)</f>
        <v>0</v>
      </c>
      <c r="P99" s="53">
        <f t="shared" ref="P99:P130" si="32">+O99-M99</f>
        <v>0</v>
      </c>
    </row>
    <row r="100" spans="1:16" ht="12.5">
      <c r="B100" s="7" t="str">
        <f>IF(D100=F99,"","IU")</f>
        <v>IU</v>
      </c>
      <c r="C100" s="50">
        <f>IF(D93="","-",+C99+1)</f>
        <v>2016</v>
      </c>
      <c r="D100" s="429">
        <v>11874823.107142856</v>
      </c>
      <c r="E100" s="430">
        <v>279478.30232558138</v>
      </c>
      <c r="F100" s="431">
        <v>11595344.804817274</v>
      </c>
      <c r="G100" s="431">
        <v>11735083.955980066</v>
      </c>
      <c r="H100" s="433">
        <v>1769247.0731001948</v>
      </c>
      <c r="I100" s="434">
        <v>1769247.0731001948</v>
      </c>
      <c r="J100" s="54">
        <f>+I100-H100</f>
        <v>0</v>
      </c>
      <c r="K100" s="54"/>
      <c r="L100" s="113">
        <f t="shared" si="28"/>
        <v>1769247.0731001948</v>
      </c>
      <c r="M100" s="54">
        <f t="shared" ref="M100:M105" si="33">IF(L100&lt;&gt;0,+H100-L100,0)</f>
        <v>0</v>
      </c>
      <c r="N100" s="113">
        <f t="shared" si="30"/>
        <v>1769247.0731001948</v>
      </c>
      <c r="O100" s="54">
        <f>IF(N100&lt;&gt;0,+I100-N100,0)</f>
        <v>0</v>
      </c>
      <c r="P100" s="54">
        <f>+O100-M100</f>
        <v>0</v>
      </c>
    </row>
    <row r="101" spans="1:16" ht="12.5">
      <c r="B101" s="7" t="str">
        <f t="shared" ref="B101:B154" si="34">IF(D101=F100,"","IU")</f>
        <v/>
      </c>
      <c r="C101" s="50">
        <f>IF(D93="","-",+C100+1)</f>
        <v>2017</v>
      </c>
      <c r="D101" s="429">
        <v>11595344.804817274</v>
      </c>
      <c r="E101" s="430">
        <v>286132.54761904763</v>
      </c>
      <c r="F101" s="431">
        <v>11309212.257198226</v>
      </c>
      <c r="G101" s="431">
        <v>11452278.53100775</v>
      </c>
      <c r="H101" s="433">
        <v>1677257.5145835318</v>
      </c>
      <c r="I101" s="434">
        <v>1677257.5145835318</v>
      </c>
      <c r="J101" s="54">
        <f t="shared" ref="J101:J154" si="35">+I101-H101</f>
        <v>0</v>
      </c>
      <c r="K101" s="54"/>
      <c r="L101" s="113">
        <f t="shared" si="28"/>
        <v>1677257.5145835318</v>
      </c>
      <c r="M101" s="54">
        <f t="shared" si="33"/>
        <v>0</v>
      </c>
      <c r="N101" s="113">
        <f t="shared" si="30"/>
        <v>1677257.5145835318</v>
      </c>
      <c r="O101" s="54">
        <f>IF(N101&lt;&gt;0,+I101-N101,0)</f>
        <v>0</v>
      </c>
      <c r="P101" s="54">
        <f>+O101-M101</f>
        <v>0</v>
      </c>
    </row>
    <row r="102" spans="1:16" ht="12.5">
      <c r="B102" s="7" t="str">
        <f t="shared" si="34"/>
        <v/>
      </c>
      <c r="C102" s="50">
        <f>IF(D93="","-",+C101+1)</f>
        <v>2018</v>
      </c>
      <c r="D102" s="429">
        <v>11309212.257198226</v>
      </c>
      <c r="E102" s="430">
        <v>286132.54761904763</v>
      </c>
      <c r="F102" s="431">
        <v>11023079.709579177</v>
      </c>
      <c r="G102" s="431">
        <v>11166145.983388701</v>
      </c>
      <c r="H102" s="433">
        <v>1465328.7693981156</v>
      </c>
      <c r="I102" s="434">
        <v>1465328.7693981156</v>
      </c>
      <c r="J102" s="54">
        <f t="shared" si="35"/>
        <v>0</v>
      </c>
      <c r="K102" s="54"/>
      <c r="L102" s="113">
        <f t="shared" si="28"/>
        <v>1465328.7693981156</v>
      </c>
      <c r="M102" s="54">
        <f t="shared" si="33"/>
        <v>0</v>
      </c>
      <c r="N102" s="113">
        <f t="shared" si="30"/>
        <v>1465328.7693981156</v>
      </c>
      <c r="O102" s="54">
        <f>IF(N102&lt;&gt;0,+I102-N102,0)</f>
        <v>0</v>
      </c>
      <c r="P102" s="54">
        <f t="shared" si="32"/>
        <v>0</v>
      </c>
    </row>
    <row r="103" spans="1:16" ht="12.5">
      <c r="B103" s="7" t="str">
        <f t="shared" si="34"/>
        <v/>
      </c>
      <c r="C103" s="50">
        <f>IF(D93="","-",+C102+1)</f>
        <v>2019</v>
      </c>
      <c r="D103" s="429">
        <v>11023079.709579177</v>
      </c>
      <c r="E103" s="430">
        <v>279478.30232558138</v>
      </c>
      <c r="F103" s="431">
        <v>10743601.407253595</v>
      </c>
      <c r="G103" s="431">
        <v>10883340.558416385</v>
      </c>
      <c r="H103" s="433">
        <v>1444437.0239018579</v>
      </c>
      <c r="I103" s="434">
        <v>1444437.0239018579</v>
      </c>
      <c r="J103" s="54">
        <f t="shared" si="35"/>
        <v>0</v>
      </c>
      <c r="K103" s="54"/>
      <c r="L103" s="113">
        <f t="shared" si="28"/>
        <v>1444437.0239018579</v>
      </c>
      <c r="M103" s="54">
        <f t="shared" si="33"/>
        <v>0</v>
      </c>
      <c r="N103" s="113">
        <f t="shared" si="30"/>
        <v>1444437.0239018579</v>
      </c>
      <c r="O103" s="54">
        <f t="shared" si="31"/>
        <v>0</v>
      </c>
      <c r="P103" s="54">
        <f t="shared" si="32"/>
        <v>0</v>
      </c>
    </row>
    <row r="104" spans="1:16" ht="12.5">
      <c r="B104" s="7" t="str">
        <f t="shared" si="34"/>
        <v/>
      </c>
      <c r="C104" s="50">
        <f>IF(D93="","-",+C103+1)</f>
        <v>2020</v>
      </c>
      <c r="D104" s="429">
        <v>10743601.407253595</v>
      </c>
      <c r="E104" s="430">
        <v>286132.54761904763</v>
      </c>
      <c r="F104" s="431">
        <v>10457468.859634547</v>
      </c>
      <c r="G104" s="431">
        <v>10600535.133444071</v>
      </c>
      <c r="H104" s="433">
        <v>1426472.7384823435</v>
      </c>
      <c r="I104" s="434">
        <v>1426472.7384823435</v>
      </c>
      <c r="J104" s="54">
        <f t="shared" si="35"/>
        <v>0</v>
      </c>
      <c r="K104" s="54"/>
      <c r="L104" s="113">
        <f t="shared" si="28"/>
        <v>1426472.7384823435</v>
      </c>
      <c r="M104" s="54">
        <f t="shared" si="33"/>
        <v>0</v>
      </c>
      <c r="N104" s="113">
        <f t="shared" si="30"/>
        <v>1426472.7384823435</v>
      </c>
      <c r="O104" s="54">
        <f t="shared" si="31"/>
        <v>0</v>
      </c>
      <c r="P104" s="54">
        <f t="shared" si="32"/>
        <v>0</v>
      </c>
    </row>
    <row r="105" spans="1:16" ht="12.5">
      <c r="B105" s="7" t="str">
        <f t="shared" si="34"/>
        <v/>
      </c>
      <c r="C105" s="50">
        <f>IF(D93="","-",+C104+1)</f>
        <v>2021</v>
      </c>
      <c r="D105" s="429">
        <v>10457468.859634547</v>
      </c>
      <c r="E105" s="430">
        <v>293111.39024390245</v>
      </c>
      <c r="F105" s="431">
        <v>10164357.469390644</v>
      </c>
      <c r="G105" s="431">
        <v>10310913.164512595</v>
      </c>
      <c r="H105" s="433">
        <v>1463546.7213003482</v>
      </c>
      <c r="I105" s="434">
        <v>1463546.7213003482</v>
      </c>
      <c r="J105" s="54">
        <f t="shared" si="35"/>
        <v>0</v>
      </c>
      <c r="K105" s="54"/>
      <c r="L105" s="113">
        <f t="shared" ref="L105" si="36">+H105</f>
        <v>1463546.7213003482</v>
      </c>
      <c r="M105" s="54">
        <f t="shared" si="33"/>
        <v>0</v>
      </c>
      <c r="N105" s="113">
        <f t="shared" ref="N105" si="37">+I105</f>
        <v>1463546.7213003482</v>
      </c>
      <c r="O105" s="54">
        <f t="shared" si="31"/>
        <v>0</v>
      </c>
      <c r="P105" s="54">
        <f t="shared" si="32"/>
        <v>0</v>
      </c>
    </row>
    <row r="106" spans="1:16" ht="12.5">
      <c r="B106" s="7" t="str">
        <f t="shared" si="34"/>
        <v/>
      </c>
      <c r="C106" s="50">
        <f>IF(D93="","-",+C105+1)</f>
        <v>2022</v>
      </c>
      <c r="D106" s="429">
        <v>10164357.469390644</v>
      </c>
      <c r="E106" s="430">
        <v>286132.54761904763</v>
      </c>
      <c r="F106" s="431">
        <v>9878224.9217715953</v>
      </c>
      <c r="G106" s="431">
        <v>10021291.19558112</v>
      </c>
      <c r="H106" s="433">
        <v>1463211.7959519105</v>
      </c>
      <c r="I106" s="434">
        <v>1463211.7959519105</v>
      </c>
      <c r="J106" s="54">
        <f t="shared" si="35"/>
        <v>0</v>
      </c>
      <c r="K106" s="54"/>
      <c r="L106" s="113">
        <f t="shared" ref="L106" si="38">+H106</f>
        <v>1463211.7959519105</v>
      </c>
      <c r="M106" s="54">
        <f t="shared" ref="M106" si="39">IF(L106&lt;&gt;0,+H106-L106,0)</f>
        <v>0</v>
      </c>
      <c r="N106" s="113">
        <f t="shared" ref="N106" si="40">+I106</f>
        <v>1463211.7959519105</v>
      </c>
      <c r="O106" s="54">
        <f t="shared" ref="O106" si="41">IF(N106&lt;&gt;0,+I106-N106,0)</f>
        <v>0</v>
      </c>
      <c r="P106" s="54">
        <f t="shared" ref="P106" si="42">+O106-M106</f>
        <v>0</v>
      </c>
    </row>
    <row r="107" spans="1:16" ht="12.5">
      <c r="B107" s="7" t="str">
        <f t="shared" si="34"/>
        <v>IU</v>
      </c>
      <c r="C107" s="50">
        <f>IF(D93="","-",+C106+1)</f>
        <v>2023</v>
      </c>
      <c r="D107" s="429">
        <v>9878224.5217716023</v>
      </c>
      <c r="E107" s="430">
        <v>273126.51363636367</v>
      </c>
      <c r="F107" s="431">
        <v>9605098.0081352387</v>
      </c>
      <c r="G107" s="431">
        <v>9741661.2649534196</v>
      </c>
      <c r="H107" s="433">
        <v>1474907.1032156686</v>
      </c>
      <c r="I107" s="434">
        <v>1474907.1032156686</v>
      </c>
      <c r="J107" s="54">
        <f t="shared" si="35"/>
        <v>0</v>
      </c>
      <c r="K107" s="54"/>
      <c r="L107" s="113">
        <f t="shared" ref="L107" si="43">+H107</f>
        <v>1474907.1032156686</v>
      </c>
      <c r="M107" s="54">
        <f t="shared" ref="M107" si="44">IF(L107&lt;&gt;0,+H107-L107,0)</f>
        <v>0</v>
      </c>
      <c r="N107" s="113">
        <f t="shared" ref="N107" si="45">+I107</f>
        <v>1474907.1032156686</v>
      </c>
      <c r="O107" s="54">
        <f t="shared" ref="O107" si="46">IF(N107&lt;&gt;0,+I107-N107,0)</f>
        <v>0</v>
      </c>
      <c r="P107" s="54">
        <f t="shared" ref="P107" si="47">+O107-M107</f>
        <v>0</v>
      </c>
    </row>
    <row r="108" spans="1:16" ht="12.5">
      <c r="B108" s="7" t="str">
        <f t="shared" si="34"/>
        <v/>
      </c>
      <c r="C108" s="50">
        <f>IF(D93="","-",+C107+1)</f>
        <v>2024</v>
      </c>
      <c r="D108" s="12">
        <f>IF(F107+SUM(E$99:E107)=D$92,F107,D$92-SUM(E$99:E107))</f>
        <v>9605098.0081352387</v>
      </c>
      <c r="E108" s="378">
        <f t="shared" ref="E108:E154" si="48">IF(+$J$96&lt;F107,$J$96,D108)</f>
        <v>273126.51363636367</v>
      </c>
      <c r="F108" s="55">
        <f t="shared" ref="F108:F154" si="49">+D108-E108</f>
        <v>9331971.494498875</v>
      </c>
      <c r="G108" s="55">
        <f t="shared" ref="G108:G154" si="50">+(F108+D108)/2</f>
        <v>9468534.7513170578</v>
      </c>
      <c r="H108" s="380">
        <f t="shared" ref="H108:H154" si="51">+J$94*G108+E108</f>
        <v>1452208.4904527678</v>
      </c>
      <c r="I108" s="399">
        <f t="shared" ref="I108:I154" si="52">+J$95*G108+E108</f>
        <v>1452208.4904527678</v>
      </c>
      <c r="J108" s="54">
        <f t="shared" si="35"/>
        <v>0</v>
      </c>
      <c r="K108" s="54"/>
      <c r="L108" s="129"/>
      <c r="M108" s="54">
        <f t="shared" si="29"/>
        <v>0</v>
      </c>
      <c r="N108" s="129"/>
      <c r="O108" s="54">
        <f t="shared" si="31"/>
        <v>0</v>
      </c>
      <c r="P108" s="54">
        <f t="shared" si="32"/>
        <v>0</v>
      </c>
    </row>
    <row r="109" spans="1:16" ht="12.5">
      <c r="B109" s="7" t="str">
        <f t="shared" si="34"/>
        <v/>
      </c>
      <c r="C109" s="50">
        <f>IF(D93="","-",+C108+1)</f>
        <v>2025</v>
      </c>
      <c r="D109" s="12">
        <f>IF(F108+SUM(E$99:E108)=D$92,F108,D$92-SUM(E$99:E108))</f>
        <v>9331971.494498875</v>
      </c>
      <c r="E109" s="378">
        <f t="shared" si="48"/>
        <v>273126.51363636367</v>
      </c>
      <c r="F109" s="55">
        <f t="shared" si="49"/>
        <v>9058844.9808625113</v>
      </c>
      <c r="G109" s="55">
        <f t="shared" si="50"/>
        <v>9195408.2376806922</v>
      </c>
      <c r="H109" s="380">
        <f t="shared" si="51"/>
        <v>1418197.0453794375</v>
      </c>
      <c r="I109" s="399">
        <f t="shared" si="52"/>
        <v>1418197.0453794375</v>
      </c>
      <c r="J109" s="54">
        <f t="shared" si="35"/>
        <v>0</v>
      </c>
      <c r="K109" s="54"/>
      <c r="L109" s="129"/>
      <c r="M109" s="54">
        <f t="shared" si="29"/>
        <v>0</v>
      </c>
      <c r="N109" s="129"/>
      <c r="O109" s="54">
        <f t="shared" si="31"/>
        <v>0</v>
      </c>
      <c r="P109" s="54">
        <f t="shared" si="32"/>
        <v>0</v>
      </c>
    </row>
    <row r="110" spans="1:16" ht="12.5">
      <c r="B110" s="7" t="str">
        <f t="shared" si="34"/>
        <v/>
      </c>
      <c r="C110" s="50">
        <f>IF(D93="","-",+C109+1)</f>
        <v>2026</v>
      </c>
      <c r="D110" s="12">
        <f>IF(F109+SUM(E$99:E109)=D$92,F109,D$92-SUM(E$99:E109))</f>
        <v>9058844.9808625113</v>
      </c>
      <c r="E110" s="378">
        <f t="shared" si="48"/>
        <v>273126.51363636367</v>
      </c>
      <c r="F110" s="55">
        <f t="shared" si="49"/>
        <v>8785718.4672261477</v>
      </c>
      <c r="G110" s="55">
        <f t="shared" si="50"/>
        <v>8922281.7240443304</v>
      </c>
      <c r="H110" s="380">
        <f t="shared" si="51"/>
        <v>1384185.6003061079</v>
      </c>
      <c r="I110" s="399">
        <f t="shared" si="52"/>
        <v>1384185.6003061079</v>
      </c>
      <c r="J110" s="54">
        <f t="shared" si="35"/>
        <v>0</v>
      </c>
      <c r="K110" s="54"/>
      <c r="L110" s="129"/>
      <c r="M110" s="54">
        <f t="shared" si="29"/>
        <v>0</v>
      </c>
      <c r="N110" s="129"/>
      <c r="O110" s="54">
        <f t="shared" si="31"/>
        <v>0</v>
      </c>
      <c r="P110" s="54">
        <f t="shared" si="32"/>
        <v>0</v>
      </c>
    </row>
    <row r="111" spans="1:16" ht="12.5">
      <c r="B111" s="7" t="str">
        <f t="shared" si="34"/>
        <v/>
      </c>
      <c r="C111" s="50">
        <f>IF(D93="","-",+C110+1)</f>
        <v>2027</v>
      </c>
      <c r="D111" s="12">
        <f>IF(F110+SUM(E$99:E110)=D$92,F110,D$92-SUM(E$99:E110))</f>
        <v>8785718.4672261477</v>
      </c>
      <c r="E111" s="378">
        <f t="shared" si="48"/>
        <v>273126.51363636367</v>
      </c>
      <c r="F111" s="55">
        <f t="shared" si="49"/>
        <v>8512591.953589784</v>
      </c>
      <c r="G111" s="55">
        <f t="shared" si="50"/>
        <v>8649155.2104079649</v>
      </c>
      <c r="H111" s="380">
        <f t="shared" si="51"/>
        <v>1350174.1552327776</v>
      </c>
      <c r="I111" s="399">
        <f t="shared" si="52"/>
        <v>1350174.1552327776</v>
      </c>
      <c r="J111" s="54">
        <f t="shared" si="35"/>
        <v>0</v>
      </c>
      <c r="K111" s="54"/>
      <c r="L111" s="129"/>
      <c r="M111" s="54">
        <f t="shared" si="29"/>
        <v>0</v>
      </c>
      <c r="N111" s="129"/>
      <c r="O111" s="54">
        <f t="shared" si="31"/>
        <v>0</v>
      </c>
      <c r="P111" s="54">
        <f t="shared" si="32"/>
        <v>0</v>
      </c>
    </row>
    <row r="112" spans="1:16" ht="12.5">
      <c r="B112" s="7" t="str">
        <f t="shared" si="34"/>
        <v/>
      </c>
      <c r="C112" s="50">
        <f>IF(D93="","-",+C111+1)</f>
        <v>2028</v>
      </c>
      <c r="D112" s="12">
        <f>IF(F111+SUM(E$99:E111)=D$92,F111,D$92-SUM(E$99:E111))</f>
        <v>8512591.953589784</v>
      </c>
      <c r="E112" s="378">
        <f t="shared" si="48"/>
        <v>273126.51363636367</v>
      </c>
      <c r="F112" s="55">
        <f t="shared" si="49"/>
        <v>8239465.4399534203</v>
      </c>
      <c r="G112" s="55">
        <f t="shared" si="50"/>
        <v>8376028.6967716021</v>
      </c>
      <c r="H112" s="380">
        <f t="shared" si="51"/>
        <v>1316162.7101594477</v>
      </c>
      <c r="I112" s="399">
        <f t="shared" si="52"/>
        <v>1316162.7101594477</v>
      </c>
      <c r="J112" s="54">
        <f t="shared" si="35"/>
        <v>0</v>
      </c>
      <c r="K112" s="54"/>
      <c r="L112" s="129"/>
      <c r="M112" s="54">
        <f t="shared" si="29"/>
        <v>0</v>
      </c>
      <c r="N112" s="129"/>
      <c r="O112" s="54">
        <f t="shared" si="31"/>
        <v>0</v>
      </c>
      <c r="P112" s="54">
        <f t="shared" si="32"/>
        <v>0</v>
      </c>
    </row>
    <row r="113" spans="2:16" ht="12.5">
      <c r="B113" s="7" t="str">
        <f t="shared" si="34"/>
        <v/>
      </c>
      <c r="C113" s="50">
        <f>IF(D93="","-",+C112+1)</f>
        <v>2029</v>
      </c>
      <c r="D113" s="12">
        <f>IF(F112+SUM(E$99:E112)=D$92,F112,D$92-SUM(E$99:E112))</f>
        <v>8239465.4399534203</v>
      </c>
      <c r="E113" s="378">
        <f t="shared" si="48"/>
        <v>273126.51363636367</v>
      </c>
      <c r="F113" s="55">
        <f t="shared" si="49"/>
        <v>7966338.9263170566</v>
      </c>
      <c r="G113" s="55">
        <f t="shared" si="50"/>
        <v>8102902.1831352385</v>
      </c>
      <c r="H113" s="380">
        <f t="shared" si="51"/>
        <v>1282151.2650861177</v>
      </c>
      <c r="I113" s="399">
        <f t="shared" si="52"/>
        <v>1282151.2650861177</v>
      </c>
      <c r="J113" s="54">
        <f t="shared" si="35"/>
        <v>0</v>
      </c>
      <c r="K113" s="54"/>
      <c r="L113" s="129"/>
      <c r="M113" s="54">
        <f t="shared" si="29"/>
        <v>0</v>
      </c>
      <c r="N113" s="129"/>
      <c r="O113" s="54">
        <f t="shared" si="31"/>
        <v>0</v>
      </c>
      <c r="P113" s="54">
        <f t="shared" si="32"/>
        <v>0</v>
      </c>
    </row>
    <row r="114" spans="2:16" ht="12.5">
      <c r="B114" s="7" t="str">
        <f t="shared" si="34"/>
        <v/>
      </c>
      <c r="C114" s="50">
        <f>IF(D93="","-",+C113+1)</f>
        <v>2030</v>
      </c>
      <c r="D114" s="12">
        <f>IF(F113+SUM(E$99:E113)=D$92,F113,D$92-SUM(E$99:E113))</f>
        <v>7966338.9263170566</v>
      </c>
      <c r="E114" s="378">
        <f t="shared" si="48"/>
        <v>273126.51363636367</v>
      </c>
      <c r="F114" s="55">
        <f t="shared" si="49"/>
        <v>7693212.412680693</v>
      </c>
      <c r="G114" s="55">
        <f t="shared" si="50"/>
        <v>7829775.6694988748</v>
      </c>
      <c r="H114" s="380">
        <f t="shared" si="51"/>
        <v>1248139.8200127878</v>
      </c>
      <c r="I114" s="399">
        <f t="shared" si="52"/>
        <v>1248139.8200127878</v>
      </c>
      <c r="J114" s="54">
        <f t="shared" si="35"/>
        <v>0</v>
      </c>
      <c r="K114" s="54"/>
      <c r="L114" s="129"/>
      <c r="M114" s="54">
        <f t="shared" si="29"/>
        <v>0</v>
      </c>
      <c r="N114" s="129"/>
      <c r="O114" s="54">
        <f t="shared" si="31"/>
        <v>0</v>
      </c>
      <c r="P114" s="54">
        <f t="shared" si="32"/>
        <v>0</v>
      </c>
    </row>
    <row r="115" spans="2:16" ht="12.5">
      <c r="B115" s="7" t="str">
        <f t="shared" si="34"/>
        <v/>
      </c>
      <c r="C115" s="50">
        <f>IF(D93="","-",+C114+1)</f>
        <v>2031</v>
      </c>
      <c r="D115" s="12">
        <f>IF(F114+SUM(E$99:E114)=D$92,F114,D$92-SUM(E$99:E114))</f>
        <v>7693212.412680693</v>
      </c>
      <c r="E115" s="378">
        <f t="shared" si="48"/>
        <v>273126.51363636367</v>
      </c>
      <c r="F115" s="55">
        <f t="shared" si="49"/>
        <v>7420085.8990443293</v>
      </c>
      <c r="G115" s="55">
        <f t="shared" si="50"/>
        <v>7556649.1558625111</v>
      </c>
      <c r="H115" s="380">
        <f t="shared" si="51"/>
        <v>1214128.374939458</v>
      </c>
      <c r="I115" s="399">
        <f t="shared" si="52"/>
        <v>1214128.374939458</v>
      </c>
      <c r="J115" s="54">
        <f t="shared" si="35"/>
        <v>0</v>
      </c>
      <c r="K115" s="54"/>
      <c r="L115" s="129"/>
      <c r="M115" s="54">
        <f t="shared" si="29"/>
        <v>0</v>
      </c>
      <c r="N115" s="129"/>
      <c r="O115" s="54">
        <f t="shared" si="31"/>
        <v>0</v>
      </c>
      <c r="P115" s="54">
        <f t="shared" si="32"/>
        <v>0</v>
      </c>
    </row>
    <row r="116" spans="2:16" ht="12.5">
      <c r="B116" s="7" t="str">
        <f t="shared" si="34"/>
        <v/>
      </c>
      <c r="C116" s="50">
        <f>IF(D93="","-",+C115+1)</f>
        <v>2032</v>
      </c>
      <c r="D116" s="12">
        <f>IF(F115+SUM(E$99:E115)=D$92,F115,D$92-SUM(E$99:E115))</f>
        <v>7420085.8990443293</v>
      </c>
      <c r="E116" s="378">
        <f t="shared" si="48"/>
        <v>273126.51363636367</v>
      </c>
      <c r="F116" s="55">
        <f t="shared" si="49"/>
        <v>7146959.3854079656</v>
      </c>
      <c r="G116" s="55">
        <f t="shared" si="50"/>
        <v>7283522.6422261475</v>
      </c>
      <c r="H116" s="380">
        <f t="shared" si="51"/>
        <v>1180116.9298661277</v>
      </c>
      <c r="I116" s="399">
        <f t="shared" si="52"/>
        <v>1180116.9298661277</v>
      </c>
      <c r="J116" s="54">
        <f t="shared" si="35"/>
        <v>0</v>
      </c>
      <c r="K116" s="54"/>
      <c r="L116" s="129"/>
      <c r="M116" s="54">
        <f t="shared" si="29"/>
        <v>0</v>
      </c>
      <c r="N116" s="129"/>
      <c r="O116" s="54">
        <f t="shared" si="31"/>
        <v>0</v>
      </c>
      <c r="P116" s="54">
        <f t="shared" si="32"/>
        <v>0</v>
      </c>
    </row>
    <row r="117" spans="2:16" ht="12.5">
      <c r="B117" s="7" t="str">
        <f t="shared" si="34"/>
        <v/>
      </c>
      <c r="C117" s="50">
        <f>IF(D93="","-",+C116+1)</f>
        <v>2033</v>
      </c>
      <c r="D117" s="12">
        <f>IF(F116+SUM(E$99:E116)=D$92,F116,D$92-SUM(E$99:E116))</f>
        <v>7146959.3854079656</v>
      </c>
      <c r="E117" s="378">
        <f t="shared" si="48"/>
        <v>273126.51363636367</v>
      </c>
      <c r="F117" s="55">
        <f t="shared" si="49"/>
        <v>6873832.871771602</v>
      </c>
      <c r="G117" s="55">
        <f t="shared" si="50"/>
        <v>7010396.1285897838</v>
      </c>
      <c r="H117" s="380">
        <f t="shared" si="51"/>
        <v>1146105.4847927978</v>
      </c>
      <c r="I117" s="399">
        <f t="shared" si="52"/>
        <v>1146105.4847927978</v>
      </c>
      <c r="J117" s="54">
        <f t="shared" si="35"/>
        <v>0</v>
      </c>
      <c r="K117" s="54"/>
      <c r="L117" s="129"/>
      <c r="M117" s="54">
        <f t="shared" si="29"/>
        <v>0</v>
      </c>
      <c r="N117" s="129"/>
      <c r="O117" s="54">
        <f t="shared" si="31"/>
        <v>0</v>
      </c>
      <c r="P117" s="54">
        <f t="shared" si="32"/>
        <v>0</v>
      </c>
    </row>
    <row r="118" spans="2:16" ht="12.5">
      <c r="B118" s="7" t="str">
        <f t="shared" si="34"/>
        <v/>
      </c>
      <c r="C118" s="50">
        <f>IF(D93="","-",+C117+1)</f>
        <v>2034</v>
      </c>
      <c r="D118" s="12">
        <f>IF(F117+SUM(E$99:E117)=D$92,F117,D$92-SUM(E$99:E117))</f>
        <v>6873832.871771602</v>
      </c>
      <c r="E118" s="378">
        <f t="shared" si="48"/>
        <v>273126.51363636367</v>
      </c>
      <c r="F118" s="55">
        <f t="shared" si="49"/>
        <v>6600706.3581352383</v>
      </c>
      <c r="G118" s="55">
        <f t="shared" si="50"/>
        <v>6737269.6149534201</v>
      </c>
      <c r="H118" s="380">
        <f t="shared" si="51"/>
        <v>1112094.039719468</v>
      </c>
      <c r="I118" s="399">
        <f t="shared" si="52"/>
        <v>1112094.039719468</v>
      </c>
      <c r="J118" s="54">
        <f t="shared" si="35"/>
        <v>0</v>
      </c>
      <c r="K118" s="54"/>
      <c r="L118" s="129"/>
      <c r="M118" s="54">
        <f t="shared" si="29"/>
        <v>0</v>
      </c>
      <c r="N118" s="129"/>
      <c r="O118" s="54">
        <f t="shared" si="31"/>
        <v>0</v>
      </c>
      <c r="P118" s="54">
        <f t="shared" si="32"/>
        <v>0</v>
      </c>
    </row>
    <row r="119" spans="2:16" ht="12.5">
      <c r="B119" s="7" t="str">
        <f t="shared" si="34"/>
        <v/>
      </c>
      <c r="C119" s="50">
        <f>IF(D93="","-",+C118+1)</f>
        <v>2035</v>
      </c>
      <c r="D119" s="12">
        <f>IF(F118+SUM(E$99:E118)=D$92,F118,D$92-SUM(E$99:E118))</f>
        <v>6600706.3581352383</v>
      </c>
      <c r="E119" s="378">
        <f t="shared" si="48"/>
        <v>273126.51363636367</v>
      </c>
      <c r="F119" s="55">
        <f t="shared" si="49"/>
        <v>6327579.8444988746</v>
      </c>
      <c r="G119" s="55">
        <f t="shared" si="50"/>
        <v>6464143.1013170565</v>
      </c>
      <c r="H119" s="380">
        <f t="shared" si="51"/>
        <v>1078082.5946461379</v>
      </c>
      <c r="I119" s="399">
        <f t="shared" si="52"/>
        <v>1078082.5946461379</v>
      </c>
      <c r="J119" s="54">
        <f t="shared" si="35"/>
        <v>0</v>
      </c>
      <c r="K119" s="54"/>
      <c r="L119" s="129"/>
      <c r="M119" s="54">
        <f t="shared" si="29"/>
        <v>0</v>
      </c>
      <c r="N119" s="129"/>
      <c r="O119" s="54">
        <f t="shared" si="31"/>
        <v>0</v>
      </c>
      <c r="P119" s="54">
        <f t="shared" si="32"/>
        <v>0</v>
      </c>
    </row>
    <row r="120" spans="2:16" ht="12.5">
      <c r="B120" s="7" t="str">
        <f t="shared" si="34"/>
        <v/>
      </c>
      <c r="C120" s="50">
        <f>IF(D93="","-",+C119+1)</f>
        <v>2036</v>
      </c>
      <c r="D120" s="12">
        <f>IF(F119+SUM(E$99:E119)=D$92,F119,D$92-SUM(E$99:E119))</f>
        <v>6327579.8444988746</v>
      </c>
      <c r="E120" s="378">
        <f t="shared" si="48"/>
        <v>273126.51363636367</v>
      </c>
      <c r="F120" s="55">
        <f t="shared" si="49"/>
        <v>6054453.3308625109</v>
      </c>
      <c r="G120" s="55">
        <f t="shared" si="50"/>
        <v>6191016.5876806928</v>
      </c>
      <c r="H120" s="380">
        <f t="shared" si="51"/>
        <v>1044071.1495728079</v>
      </c>
      <c r="I120" s="399">
        <f t="shared" si="52"/>
        <v>1044071.1495728079</v>
      </c>
      <c r="J120" s="54">
        <f t="shared" si="35"/>
        <v>0</v>
      </c>
      <c r="K120" s="54"/>
      <c r="L120" s="129"/>
      <c r="M120" s="54">
        <f t="shared" si="29"/>
        <v>0</v>
      </c>
      <c r="N120" s="129"/>
      <c r="O120" s="54">
        <f t="shared" si="31"/>
        <v>0</v>
      </c>
      <c r="P120" s="54">
        <f t="shared" si="32"/>
        <v>0</v>
      </c>
    </row>
    <row r="121" spans="2:16" ht="12.5">
      <c r="B121" s="7" t="str">
        <f t="shared" si="34"/>
        <v/>
      </c>
      <c r="C121" s="50">
        <f>IF(D93="","-",+C120+1)</f>
        <v>2037</v>
      </c>
      <c r="D121" s="12">
        <f>IF(F120+SUM(E$99:E120)=D$92,F120,D$92-SUM(E$99:E120))</f>
        <v>6054453.3308625109</v>
      </c>
      <c r="E121" s="378">
        <f t="shared" si="48"/>
        <v>273126.51363636367</v>
      </c>
      <c r="F121" s="55">
        <f t="shared" si="49"/>
        <v>5781326.8172261473</v>
      </c>
      <c r="G121" s="55">
        <f t="shared" si="50"/>
        <v>5917890.0740443291</v>
      </c>
      <c r="H121" s="380">
        <f t="shared" si="51"/>
        <v>1010059.704499478</v>
      </c>
      <c r="I121" s="399">
        <f t="shared" si="52"/>
        <v>1010059.704499478</v>
      </c>
      <c r="J121" s="54">
        <f t="shared" si="35"/>
        <v>0</v>
      </c>
      <c r="K121" s="54"/>
      <c r="L121" s="129"/>
      <c r="M121" s="54">
        <f t="shared" si="29"/>
        <v>0</v>
      </c>
      <c r="N121" s="129"/>
      <c r="O121" s="54">
        <f t="shared" si="31"/>
        <v>0</v>
      </c>
      <c r="P121" s="54">
        <f t="shared" si="32"/>
        <v>0</v>
      </c>
    </row>
    <row r="122" spans="2:16" ht="12.5">
      <c r="B122" s="7" t="str">
        <f t="shared" si="34"/>
        <v/>
      </c>
      <c r="C122" s="50">
        <f>IF(D93="","-",+C121+1)</f>
        <v>2038</v>
      </c>
      <c r="D122" s="12">
        <f>IF(F121+SUM(E$99:E121)=D$92,F121,D$92-SUM(E$99:E121))</f>
        <v>5781326.8172261473</v>
      </c>
      <c r="E122" s="378">
        <f t="shared" si="48"/>
        <v>273126.51363636367</v>
      </c>
      <c r="F122" s="55">
        <f t="shared" si="49"/>
        <v>5508200.3035897836</v>
      </c>
      <c r="G122" s="55">
        <f t="shared" si="50"/>
        <v>5644763.5604079654</v>
      </c>
      <c r="H122" s="380">
        <f t="shared" si="51"/>
        <v>976048.25942614803</v>
      </c>
      <c r="I122" s="399">
        <f t="shared" si="52"/>
        <v>976048.25942614803</v>
      </c>
      <c r="J122" s="54">
        <f t="shared" si="35"/>
        <v>0</v>
      </c>
      <c r="K122" s="54"/>
      <c r="L122" s="129"/>
      <c r="M122" s="54">
        <f t="shared" si="29"/>
        <v>0</v>
      </c>
      <c r="N122" s="129"/>
      <c r="O122" s="54">
        <f t="shared" si="31"/>
        <v>0</v>
      </c>
      <c r="P122" s="54">
        <f t="shared" si="32"/>
        <v>0</v>
      </c>
    </row>
    <row r="123" spans="2:16" ht="12.5">
      <c r="B123" s="7" t="str">
        <f t="shared" si="34"/>
        <v/>
      </c>
      <c r="C123" s="50">
        <f>IF(D93="","-",+C122+1)</f>
        <v>2039</v>
      </c>
      <c r="D123" s="12">
        <f>IF(F122+SUM(E$99:E122)=D$92,F122,D$92-SUM(E$99:E122))</f>
        <v>5508200.3035897836</v>
      </c>
      <c r="E123" s="378">
        <f t="shared" si="48"/>
        <v>273126.51363636367</v>
      </c>
      <c r="F123" s="55">
        <f t="shared" si="49"/>
        <v>5235073.7899534199</v>
      </c>
      <c r="G123" s="55">
        <f t="shared" si="50"/>
        <v>5371637.0467716018</v>
      </c>
      <c r="H123" s="380">
        <f t="shared" si="51"/>
        <v>942036.81435281795</v>
      </c>
      <c r="I123" s="399">
        <f t="shared" si="52"/>
        <v>942036.81435281795</v>
      </c>
      <c r="J123" s="54">
        <f t="shared" si="35"/>
        <v>0</v>
      </c>
      <c r="K123" s="54"/>
      <c r="L123" s="129"/>
      <c r="M123" s="54">
        <f t="shared" si="29"/>
        <v>0</v>
      </c>
      <c r="N123" s="129"/>
      <c r="O123" s="54">
        <f t="shared" si="31"/>
        <v>0</v>
      </c>
      <c r="P123" s="54">
        <f t="shared" si="32"/>
        <v>0</v>
      </c>
    </row>
    <row r="124" spans="2:16" ht="12.5">
      <c r="B124" s="7" t="str">
        <f t="shared" si="34"/>
        <v/>
      </c>
      <c r="C124" s="50">
        <f>IF(D93="","-",+C123+1)</f>
        <v>2040</v>
      </c>
      <c r="D124" s="12">
        <f>IF(F123+SUM(E$99:E123)=D$92,F123,D$92-SUM(E$99:E123))</f>
        <v>5235073.7899534199</v>
      </c>
      <c r="E124" s="378">
        <f t="shared" si="48"/>
        <v>273126.51363636367</v>
      </c>
      <c r="F124" s="55">
        <f t="shared" si="49"/>
        <v>4961947.2763170563</v>
      </c>
      <c r="G124" s="55">
        <f t="shared" si="50"/>
        <v>5098510.5331352381</v>
      </c>
      <c r="H124" s="380">
        <f t="shared" si="51"/>
        <v>908025.36927948799</v>
      </c>
      <c r="I124" s="399">
        <f t="shared" si="52"/>
        <v>908025.36927948799</v>
      </c>
      <c r="J124" s="54">
        <f t="shared" si="35"/>
        <v>0</v>
      </c>
      <c r="K124" s="54"/>
      <c r="L124" s="129"/>
      <c r="M124" s="54">
        <f t="shared" si="29"/>
        <v>0</v>
      </c>
      <c r="N124" s="129"/>
      <c r="O124" s="54">
        <f t="shared" si="31"/>
        <v>0</v>
      </c>
      <c r="P124" s="54">
        <f t="shared" si="32"/>
        <v>0</v>
      </c>
    </row>
    <row r="125" spans="2:16" ht="12.5">
      <c r="B125" s="7" t="str">
        <f t="shared" si="34"/>
        <v/>
      </c>
      <c r="C125" s="50">
        <f>IF(D93="","-",+C124+1)</f>
        <v>2041</v>
      </c>
      <c r="D125" s="12">
        <f>IF(F124+SUM(E$99:E124)=D$92,F124,D$92-SUM(E$99:E124))</f>
        <v>4961947.2763170563</v>
      </c>
      <c r="E125" s="378">
        <f t="shared" si="48"/>
        <v>273126.51363636367</v>
      </c>
      <c r="F125" s="55">
        <f t="shared" si="49"/>
        <v>4688820.7626806926</v>
      </c>
      <c r="G125" s="55">
        <f t="shared" si="50"/>
        <v>4825384.0194988744</v>
      </c>
      <c r="H125" s="380">
        <f t="shared" si="51"/>
        <v>874013.92420615803</v>
      </c>
      <c r="I125" s="399">
        <f t="shared" si="52"/>
        <v>874013.92420615803</v>
      </c>
      <c r="J125" s="54">
        <f t="shared" si="35"/>
        <v>0</v>
      </c>
      <c r="K125" s="54"/>
      <c r="L125" s="129"/>
      <c r="M125" s="54">
        <f t="shared" si="29"/>
        <v>0</v>
      </c>
      <c r="N125" s="129"/>
      <c r="O125" s="54">
        <f t="shared" si="31"/>
        <v>0</v>
      </c>
      <c r="P125" s="54">
        <f t="shared" si="32"/>
        <v>0</v>
      </c>
    </row>
    <row r="126" spans="2:16" ht="12.5">
      <c r="B126" s="7" t="str">
        <f t="shared" si="34"/>
        <v/>
      </c>
      <c r="C126" s="50">
        <f>IF(D93="","-",+C125+1)</f>
        <v>2042</v>
      </c>
      <c r="D126" s="12">
        <f>IF(F125+SUM(E$99:E125)=D$92,F125,D$92-SUM(E$99:E125))</f>
        <v>4688820.7626806926</v>
      </c>
      <c r="E126" s="378">
        <f t="shared" si="48"/>
        <v>273126.51363636367</v>
      </c>
      <c r="F126" s="55">
        <f t="shared" si="49"/>
        <v>4415694.2490443289</v>
      </c>
      <c r="G126" s="55">
        <f t="shared" si="50"/>
        <v>4552257.5058625108</v>
      </c>
      <c r="H126" s="380">
        <f t="shared" si="51"/>
        <v>840002.47913282807</v>
      </c>
      <c r="I126" s="399">
        <f t="shared" si="52"/>
        <v>840002.47913282807</v>
      </c>
      <c r="J126" s="54">
        <f t="shared" si="35"/>
        <v>0</v>
      </c>
      <c r="K126" s="54"/>
      <c r="L126" s="129"/>
      <c r="M126" s="54">
        <f t="shared" si="29"/>
        <v>0</v>
      </c>
      <c r="N126" s="129"/>
      <c r="O126" s="54">
        <f t="shared" si="31"/>
        <v>0</v>
      </c>
      <c r="P126" s="54">
        <f t="shared" si="32"/>
        <v>0</v>
      </c>
    </row>
    <row r="127" spans="2:16" ht="12.5">
      <c r="B127" s="7" t="str">
        <f t="shared" si="34"/>
        <v/>
      </c>
      <c r="C127" s="50">
        <f>IF(D93="","-",+C126+1)</f>
        <v>2043</v>
      </c>
      <c r="D127" s="12">
        <f>IF(F126+SUM(E$99:E126)=D$92,F126,D$92-SUM(E$99:E126))</f>
        <v>4415694.2490443289</v>
      </c>
      <c r="E127" s="378">
        <f t="shared" si="48"/>
        <v>273126.51363636367</v>
      </c>
      <c r="F127" s="55">
        <f t="shared" si="49"/>
        <v>4142567.7354079653</v>
      </c>
      <c r="G127" s="55">
        <f t="shared" si="50"/>
        <v>4279130.9922261471</v>
      </c>
      <c r="H127" s="380">
        <f t="shared" si="51"/>
        <v>805991.03405949811</v>
      </c>
      <c r="I127" s="399">
        <f t="shared" si="52"/>
        <v>805991.03405949811</v>
      </c>
      <c r="J127" s="54">
        <f t="shared" si="35"/>
        <v>0</v>
      </c>
      <c r="K127" s="54"/>
      <c r="L127" s="129"/>
      <c r="M127" s="54">
        <f t="shared" si="29"/>
        <v>0</v>
      </c>
      <c r="N127" s="129"/>
      <c r="O127" s="54">
        <f t="shared" si="31"/>
        <v>0</v>
      </c>
      <c r="P127" s="54">
        <f t="shared" si="32"/>
        <v>0</v>
      </c>
    </row>
    <row r="128" spans="2:16" ht="12.5">
      <c r="B128" s="7" t="str">
        <f t="shared" si="34"/>
        <v/>
      </c>
      <c r="C128" s="50">
        <f>IF(D93="","-",+C127+1)</f>
        <v>2044</v>
      </c>
      <c r="D128" s="12">
        <f>IF(F127+SUM(E$99:E127)=D$92,F127,D$92-SUM(E$99:E127))</f>
        <v>4142567.7354079653</v>
      </c>
      <c r="E128" s="378">
        <f t="shared" si="48"/>
        <v>273126.51363636367</v>
      </c>
      <c r="F128" s="55">
        <f t="shared" si="49"/>
        <v>3869441.2217716016</v>
      </c>
      <c r="G128" s="55">
        <f t="shared" si="50"/>
        <v>4006004.4785897834</v>
      </c>
      <c r="H128" s="380">
        <f t="shared" si="51"/>
        <v>771979.58898616815</v>
      </c>
      <c r="I128" s="399">
        <f t="shared" si="52"/>
        <v>771979.58898616815</v>
      </c>
      <c r="J128" s="54">
        <f t="shared" si="35"/>
        <v>0</v>
      </c>
      <c r="K128" s="54"/>
      <c r="L128" s="129"/>
      <c r="M128" s="54">
        <f t="shared" si="29"/>
        <v>0</v>
      </c>
      <c r="N128" s="129"/>
      <c r="O128" s="54">
        <f t="shared" si="31"/>
        <v>0</v>
      </c>
      <c r="P128" s="54">
        <f t="shared" si="32"/>
        <v>0</v>
      </c>
    </row>
    <row r="129" spans="2:16" ht="12.5">
      <c r="B129" s="7" t="str">
        <f t="shared" si="34"/>
        <v/>
      </c>
      <c r="C129" s="50">
        <f>IF(D93="","-",+C128+1)</f>
        <v>2045</v>
      </c>
      <c r="D129" s="12">
        <f>IF(F128+SUM(E$99:E128)=D$92,F128,D$92-SUM(E$99:E128))</f>
        <v>3869441.2217716016</v>
      </c>
      <c r="E129" s="378">
        <f t="shared" si="48"/>
        <v>273126.51363636367</v>
      </c>
      <c r="F129" s="55">
        <f t="shared" si="49"/>
        <v>3596314.7081352379</v>
      </c>
      <c r="G129" s="55">
        <f t="shared" si="50"/>
        <v>3732877.9649534198</v>
      </c>
      <c r="H129" s="380">
        <f t="shared" si="51"/>
        <v>737968.14391283807</v>
      </c>
      <c r="I129" s="399">
        <f t="shared" si="52"/>
        <v>737968.14391283807</v>
      </c>
      <c r="J129" s="54">
        <f t="shared" si="35"/>
        <v>0</v>
      </c>
      <c r="K129" s="54"/>
      <c r="L129" s="129"/>
      <c r="M129" s="54">
        <f t="shared" si="29"/>
        <v>0</v>
      </c>
      <c r="N129" s="129"/>
      <c r="O129" s="54">
        <f t="shared" si="31"/>
        <v>0</v>
      </c>
      <c r="P129" s="54">
        <f t="shared" si="32"/>
        <v>0</v>
      </c>
    </row>
    <row r="130" spans="2:16" ht="12.5">
      <c r="B130" s="7" t="str">
        <f t="shared" si="34"/>
        <v/>
      </c>
      <c r="C130" s="50">
        <f>IF(D93="","-",+C129+1)</f>
        <v>2046</v>
      </c>
      <c r="D130" s="12">
        <f>IF(F129+SUM(E$99:E129)=D$92,F129,D$92-SUM(E$99:E129))</f>
        <v>3596314.7081352379</v>
      </c>
      <c r="E130" s="378">
        <f t="shared" si="48"/>
        <v>273126.51363636367</v>
      </c>
      <c r="F130" s="55">
        <f t="shared" si="49"/>
        <v>3323188.1944988742</v>
      </c>
      <c r="G130" s="55">
        <f t="shared" si="50"/>
        <v>3459751.4513170561</v>
      </c>
      <c r="H130" s="380">
        <f t="shared" si="51"/>
        <v>703956.69883950823</v>
      </c>
      <c r="I130" s="399">
        <f t="shared" si="52"/>
        <v>703956.69883950823</v>
      </c>
      <c r="J130" s="54">
        <f t="shared" si="35"/>
        <v>0</v>
      </c>
      <c r="K130" s="54"/>
      <c r="L130" s="129"/>
      <c r="M130" s="54">
        <f t="shared" si="29"/>
        <v>0</v>
      </c>
      <c r="N130" s="129"/>
      <c r="O130" s="54">
        <f t="shared" si="31"/>
        <v>0</v>
      </c>
      <c r="P130" s="54">
        <f t="shared" si="32"/>
        <v>0</v>
      </c>
    </row>
    <row r="131" spans="2:16" ht="12.5">
      <c r="B131" s="7" t="str">
        <f t="shared" si="34"/>
        <v/>
      </c>
      <c r="C131" s="50">
        <f>IF(D93="","-",+C130+1)</f>
        <v>2047</v>
      </c>
      <c r="D131" s="12">
        <f>IF(F130+SUM(E$99:E130)=D$92,F130,D$92-SUM(E$99:E130))</f>
        <v>3323188.1944988742</v>
      </c>
      <c r="E131" s="378">
        <f t="shared" si="48"/>
        <v>273126.51363636367</v>
      </c>
      <c r="F131" s="55">
        <f t="shared" si="49"/>
        <v>3050061.6808625106</v>
      </c>
      <c r="G131" s="55">
        <f t="shared" si="50"/>
        <v>3186624.9376806924</v>
      </c>
      <c r="H131" s="380">
        <f t="shared" si="51"/>
        <v>669945.25376617815</v>
      </c>
      <c r="I131" s="399">
        <f t="shared" si="52"/>
        <v>669945.25376617815</v>
      </c>
      <c r="J131" s="54">
        <f t="shared" si="35"/>
        <v>0</v>
      </c>
      <c r="K131" s="54"/>
      <c r="L131" s="129"/>
      <c r="M131" s="54">
        <f t="shared" ref="M131:M154" si="53">IF(L541&lt;&gt;0,+H541-L541,0)</f>
        <v>0</v>
      </c>
      <c r="N131" s="129"/>
      <c r="O131" s="54">
        <f t="shared" ref="O131:O154" si="54">IF(N541&lt;&gt;0,+I541-N541,0)</f>
        <v>0</v>
      </c>
      <c r="P131" s="54">
        <f t="shared" ref="P131:P154" si="55">+O541-M541</f>
        <v>0</v>
      </c>
    </row>
    <row r="132" spans="2:16" ht="12.5">
      <c r="B132" s="7" t="str">
        <f t="shared" si="34"/>
        <v/>
      </c>
      <c r="C132" s="50">
        <f>IF(D93="","-",+C131+1)</f>
        <v>2048</v>
      </c>
      <c r="D132" s="12">
        <f>IF(F131+SUM(E$99:E131)=D$92,F131,D$92-SUM(E$99:E131))</f>
        <v>3050061.6808625106</v>
      </c>
      <c r="E132" s="378">
        <f t="shared" si="48"/>
        <v>273126.51363636367</v>
      </c>
      <c r="F132" s="55">
        <f t="shared" si="49"/>
        <v>2776935.1672261469</v>
      </c>
      <c r="G132" s="55">
        <f t="shared" si="50"/>
        <v>2913498.4240443287</v>
      </c>
      <c r="H132" s="380">
        <f t="shared" si="51"/>
        <v>635933.80869284819</v>
      </c>
      <c r="I132" s="399">
        <f t="shared" si="52"/>
        <v>635933.80869284819</v>
      </c>
      <c r="J132" s="54">
        <f t="shared" si="35"/>
        <v>0</v>
      </c>
      <c r="K132" s="54"/>
      <c r="L132" s="129"/>
      <c r="M132" s="54">
        <f t="shared" si="53"/>
        <v>0</v>
      </c>
      <c r="N132" s="129"/>
      <c r="O132" s="54">
        <f t="shared" si="54"/>
        <v>0</v>
      </c>
      <c r="P132" s="54">
        <f t="shared" si="55"/>
        <v>0</v>
      </c>
    </row>
    <row r="133" spans="2:16" ht="12.5">
      <c r="B133" s="7" t="str">
        <f t="shared" si="34"/>
        <v/>
      </c>
      <c r="C133" s="50">
        <f>IF(D93="","-",+C132+1)</f>
        <v>2049</v>
      </c>
      <c r="D133" s="12">
        <f>IF(F132+SUM(E$99:E132)=D$92,F132,D$92-SUM(E$99:E132))</f>
        <v>2776935.1672261469</v>
      </c>
      <c r="E133" s="378">
        <f t="shared" si="48"/>
        <v>273126.51363636367</v>
      </c>
      <c r="F133" s="55">
        <f t="shared" si="49"/>
        <v>2503808.6535897832</v>
      </c>
      <c r="G133" s="55">
        <f t="shared" si="50"/>
        <v>2640371.9104079651</v>
      </c>
      <c r="H133" s="380">
        <f t="shared" si="51"/>
        <v>601922.36361951823</v>
      </c>
      <c r="I133" s="399">
        <f t="shared" si="52"/>
        <v>601922.36361951823</v>
      </c>
      <c r="J133" s="54">
        <f t="shared" si="35"/>
        <v>0</v>
      </c>
      <c r="K133" s="54"/>
      <c r="L133" s="129"/>
      <c r="M133" s="54">
        <f t="shared" si="53"/>
        <v>0</v>
      </c>
      <c r="N133" s="129"/>
      <c r="O133" s="54">
        <f t="shared" si="54"/>
        <v>0</v>
      </c>
      <c r="P133" s="54">
        <f t="shared" si="55"/>
        <v>0</v>
      </c>
    </row>
    <row r="134" spans="2:16" ht="12.5">
      <c r="B134" s="7" t="str">
        <f t="shared" si="34"/>
        <v/>
      </c>
      <c r="C134" s="50">
        <f>IF(D93="","-",+C133+1)</f>
        <v>2050</v>
      </c>
      <c r="D134" s="12">
        <f>IF(F133+SUM(E$99:E133)=D$92,F133,D$92-SUM(E$99:E133))</f>
        <v>2503808.6535897832</v>
      </c>
      <c r="E134" s="378">
        <f t="shared" si="48"/>
        <v>273126.51363636367</v>
      </c>
      <c r="F134" s="55">
        <f t="shared" si="49"/>
        <v>2230682.1399534196</v>
      </c>
      <c r="G134" s="55">
        <f t="shared" si="50"/>
        <v>2367245.3967716014</v>
      </c>
      <c r="H134" s="380">
        <f t="shared" si="51"/>
        <v>567910.91854618816</v>
      </c>
      <c r="I134" s="399">
        <f t="shared" si="52"/>
        <v>567910.91854618816</v>
      </c>
      <c r="J134" s="54">
        <f t="shared" si="35"/>
        <v>0</v>
      </c>
      <c r="K134" s="54"/>
      <c r="L134" s="129"/>
      <c r="M134" s="54">
        <f t="shared" si="53"/>
        <v>0</v>
      </c>
      <c r="N134" s="129"/>
      <c r="O134" s="54">
        <f t="shared" si="54"/>
        <v>0</v>
      </c>
      <c r="P134" s="54">
        <f t="shared" si="55"/>
        <v>0</v>
      </c>
    </row>
    <row r="135" spans="2:16" ht="12.5">
      <c r="B135" s="7" t="str">
        <f t="shared" si="34"/>
        <v/>
      </c>
      <c r="C135" s="50">
        <f>IF(D93="","-",+C134+1)</f>
        <v>2051</v>
      </c>
      <c r="D135" s="12">
        <f>IF(F134+SUM(E$99:E134)=D$92,F134,D$92-SUM(E$99:E134))</f>
        <v>2230682.1399534196</v>
      </c>
      <c r="E135" s="378">
        <f t="shared" si="48"/>
        <v>273126.51363636367</v>
      </c>
      <c r="F135" s="55">
        <f t="shared" si="49"/>
        <v>1957555.6263170559</v>
      </c>
      <c r="G135" s="55">
        <f t="shared" si="50"/>
        <v>2094118.8831352377</v>
      </c>
      <c r="H135" s="380">
        <f t="shared" si="51"/>
        <v>533899.47347285831</v>
      </c>
      <c r="I135" s="399">
        <f t="shared" si="52"/>
        <v>533899.47347285831</v>
      </c>
      <c r="J135" s="54">
        <f t="shared" si="35"/>
        <v>0</v>
      </c>
      <c r="K135" s="54"/>
      <c r="L135" s="129"/>
      <c r="M135" s="54">
        <f t="shared" si="53"/>
        <v>0</v>
      </c>
      <c r="N135" s="129"/>
      <c r="O135" s="54">
        <f t="shared" si="54"/>
        <v>0</v>
      </c>
      <c r="P135" s="54">
        <f t="shared" si="55"/>
        <v>0</v>
      </c>
    </row>
    <row r="136" spans="2:16" ht="12.5">
      <c r="B136" s="7" t="str">
        <f t="shared" si="34"/>
        <v/>
      </c>
      <c r="C136" s="50">
        <f>IF(D93="","-",+C135+1)</f>
        <v>2052</v>
      </c>
      <c r="D136" s="12">
        <f>IF(F135+SUM(E$99:E135)=D$92,F135,D$92-SUM(E$99:E135))</f>
        <v>1957555.6263170559</v>
      </c>
      <c r="E136" s="378">
        <f t="shared" si="48"/>
        <v>273126.51363636367</v>
      </c>
      <c r="F136" s="55">
        <f t="shared" si="49"/>
        <v>1684429.1126806922</v>
      </c>
      <c r="G136" s="55">
        <f t="shared" si="50"/>
        <v>1820992.3694988741</v>
      </c>
      <c r="H136" s="380">
        <f t="shared" si="51"/>
        <v>499888.0283995283</v>
      </c>
      <c r="I136" s="399">
        <f t="shared" si="52"/>
        <v>499888.0283995283</v>
      </c>
      <c r="J136" s="54">
        <f t="shared" si="35"/>
        <v>0</v>
      </c>
      <c r="K136" s="54"/>
      <c r="L136" s="129"/>
      <c r="M136" s="54">
        <f t="shared" si="53"/>
        <v>0</v>
      </c>
      <c r="N136" s="129"/>
      <c r="O136" s="54">
        <f t="shared" si="54"/>
        <v>0</v>
      </c>
      <c r="P136" s="54">
        <f t="shared" si="55"/>
        <v>0</v>
      </c>
    </row>
    <row r="137" spans="2:16" ht="12.5">
      <c r="B137" s="7" t="str">
        <f t="shared" si="34"/>
        <v/>
      </c>
      <c r="C137" s="50">
        <f>IF(D93="","-",+C136+1)</f>
        <v>2053</v>
      </c>
      <c r="D137" s="12">
        <f>IF(F136+SUM(E$99:E136)=D$92,F136,D$92-SUM(E$99:E136))</f>
        <v>1684429.1126806922</v>
      </c>
      <c r="E137" s="378">
        <f t="shared" si="48"/>
        <v>273126.51363636367</v>
      </c>
      <c r="F137" s="55">
        <f t="shared" si="49"/>
        <v>1411302.5990443286</v>
      </c>
      <c r="G137" s="55">
        <f t="shared" si="50"/>
        <v>1547865.8558625104</v>
      </c>
      <c r="H137" s="380">
        <f t="shared" si="51"/>
        <v>465876.58332619828</v>
      </c>
      <c r="I137" s="399">
        <f t="shared" si="52"/>
        <v>465876.58332619828</v>
      </c>
      <c r="J137" s="54">
        <f t="shared" si="35"/>
        <v>0</v>
      </c>
      <c r="K137" s="54"/>
      <c r="L137" s="129"/>
      <c r="M137" s="54">
        <f t="shared" si="53"/>
        <v>0</v>
      </c>
      <c r="N137" s="129"/>
      <c r="O137" s="54">
        <f t="shared" si="54"/>
        <v>0</v>
      </c>
      <c r="P137" s="54">
        <f t="shared" si="55"/>
        <v>0</v>
      </c>
    </row>
    <row r="138" spans="2:16" ht="12.5">
      <c r="B138" s="7" t="str">
        <f t="shared" si="34"/>
        <v/>
      </c>
      <c r="C138" s="50">
        <f>IF(D93="","-",+C137+1)</f>
        <v>2054</v>
      </c>
      <c r="D138" s="12">
        <f>IF(F137+SUM(E$99:E137)=D$92,F137,D$92-SUM(E$99:E137))</f>
        <v>1411302.5990443286</v>
      </c>
      <c r="E138" s="378">
        <f t="shared" si="48"/>
        <v>273126.51363636367</v>
      </c>
      <c r="F138" s="55">
        <f t="shared" si="49"/>
        <v>1138176.0854079649</v>
      </c>
      <c r="G138" s="55">
        <f t="shared" si="50"/>
        <v>1274739.3422261467</v>
      </c>
      <c r="H138" s="380">
        <f t="shared" si="51"/>
        <v>431865.13825286832</v>
      </c>
      <c r="I138" s="399">
        <f t="shared" si="52"/>
        <v>431865.13825286832</v>
      </c>
      <c r="J138" s="54">
        <f t="shared" si="35"/>
        <v>0</v>
      </c>
      <c r="K138" s="54"/>
      <c r="L138" s="129"/>
      <c r="M138" s="54">
        <f t="shared" si="53"/>
        <v>0</v>
      </c>
      <c r="N138" s="129"/>
      <c r="O138" s="54">
        <f t="shared" si="54"/>
        <v>0</v>
      </c>
      <c r="P138" s="54">
        <f t="shared" si="55"/>
        <v>0</v>
      </c>
    </row>
    <row r="139" spans="2:16" ht="12.5">
      <c r="B139" s="7" t="str">
        <f t="shared" si="34"/>
        <v/>
      </c>
      <c r="C139" s="50">
        <f>IF(D93="","-",+C138+1)</f>
        <v>2055</v>
      </c>
      <c r="D139" s="12">
        <f>IF(F138+SUM(E$99:E138)=D$92,F138,D$92-SUM(E$99:E138))</f>
        <v>1138176.0854079649</v>
      </c>
      <c r="E139" s="378">
        <f t="shared" si="48"/>
        <v>273126.51363636367</v>
      </c>
      <c r="F139" s="55">
        <f t="shared" si="49"/>
        <v>865049.57177160122</v>
      </c>
      <c r="G139" s="55">
        <f t="shared" si="50"/>
        <v>1001612.8285897831</v>
      </c>
      <c r="H139" s="380">
        <f t="shared" si="51"/>
        <v>397853.69317953836</v>
      </c>
      <c r="I139" s="399">
        <f t="shared" si="52"/>
        <v>397853.69317953836</v>
      </c>
      <c r="J139" s="54">
        <f t="shared" si="35"/>
        <v>0</v>
      </c>
      <c r="K139" s="54"/>
      <c r="L139" s="129"/>
      <c r="M139" s="54">
        <f t="shared" si="53"/>
        <v>0</v>
      </c>
      <c r="N139" s="129"/>
      <c r="O139" s="54">
        <f t="shared" si="54"/>
        <v>0</v>
      </c>
      <c r="P139" s="54">
        <f t="shared" si="55"/>
        <v>0</v>
      </c>
    </row>
    <row r="140" spans="2:16" ht="12.5">
      <c r="B140" s="7" t="str">
        <f t="shared" si="34"/>
        <v/>
      </c>
      <c r="C140" s="50">
        <f>IF(D93="","-",+C139+1)</f>
        <v>2056</v>
      </c>
      <c r="D140" s="12">
        <f>IF(F139+SUM(E$99:E139)=D$92,F139,D$92-SUM(E$99:E139))</f>
        <v>865049.57177160122</v>
      </c>
      <c r="E140" s="378">
        <f t="shared" si="48"/>
        <v>273126.51363636367</v>
      </c>
      <c r="F140" s="55">
        <f t="shared" si="49"/>
        <v>591923.05813523754</v>
      </c>
      <c r="G140" s="55">
        <f t="shared" si="50"/>
        <v>728486.31495341938</v>
      </c>
      <c r="H140" s="380">
        <f t="shared" si="51"/>
        <v>363842.2481062084</v>
      </c>
      <c r="I140" s="399">
        <f t="shared" si="52"/>
        <v>363842.2481062084</v>
      </c>
      <c r="J140" s="54">
        <f t="shared" si="35"/>
        <v>0</v>
      </c>
      <c r="K140" s="54"/>
      <c r="L140" s="129"/>
      <c r="M140" s="54">
        <f t="shared" si="53"/>
        <v>0</v>
      </c>
      <c r="N140" s="129"/>
      <c r="O140" s="54">
        <f t="shared" si="54"/>
        <v>0</v>
      </c>
      <c r="P140" s="54">
        <f t="shared" si="55"/>
        <v>0</v>
      </c>
    </row>
    <row r="141" spans="2:16" ht="12.5">
      <c r="B141" s="7" t="str">
        <f t="shared" si="34"/>
        <v/>
      </c>
      <c r="C141" s="50">
        <f>IF(D93="","-",+C140+1)</f>
        <v>2057</v>
      </c>
      <c r="D141" s="12">
        <f>IF(F140+SUM(E$99:E140)=D$92,F140,D$92-SUM(E$99:E140))</f>
        <v>591923.05813523754</v>
      </c>
      <c r="E141" s="378">
        <f t="shared" si="48"/>
        <v>273126.51363636367</v>
      </c>
      <c r="F141" s="55">
        <f t="shared" si="49"/>
        <v>318796.54449887387</v>
      </c>
      <c r="G141" s="55">
        <f t="shared" si="50"/>
        <v>455359.80131705571</v>
      </c>
      <c r="H141" s="380">
        <f t="shared" si="51"/>
        <v>329830.80303287838</v>
      </c>
      <c r="I141" s="399">
        <f t="shared" si="52"/>
        <v>329830.80303287838</v>
      </c>
      <c r="J141" s="54">
        <f t="shared" si="35"/>
        <v>0</v>
      </c>
      <c r="K141" s="54"/>
      <c r="L141" s="129"/>
      <c r="M141" s="54">
        <f t="shared" si="53"/>
        <v>0</v>
      </c>
      <c r="N141" s="129"/>
      <c r="O141" s="54">
        <f t="shared" si="54"/>
        <v>0</v>
      </c>
      <c r="P141" s="54">
        <f t="shared" si="55"/>
        <v>0</v>
      </c>
    </row>
    <row r="142" spans="2:16" ht="12.5">
      <c r="B142" s="7" t="str">
        <f t="shared" si="34"/>
        <v/>
      </c>
      <c r="C142" s="50">
        <f>IF(D93="","-",+C141+1)</f>
        <v>2058</v>
      </c>
      <c r="D142" s="12">
        <f>IF(F141+SUM(E$99:E141)=D$92,F141,D$92-SUM(E$99:E141))</f>
        <v>318796.54449887387</v>
      </c>
      <c r="E142" s="378">
        <f t="shared" si="48"/>
        <v>273126.51363636367</v>
      </c>
      <c r="F142" s="55">
        <f t="shared" si="49"/>
        <v>45670.030862510204</v>
      </c>
      <c r="G142" s="55">
        <f t="shared" si="50"/>
        <v>182233.28768069204</v>
      </c>
      <c r="H142" s="380">
        <f t="shared" si="51"/>
        <v>295819.35795954842</v>
      </c>
      <c r="I142" s="399">
        <f t="shared" si="52"/>
        <v>295819.35795954842</v>
      </c>
      <c r="J142" s="54">
        <f t="shared" si="35"/>
        <v>0</v>
      </c>
      <c r="K142" s="54"/>
      <c r="L142" s="129"/>
      <c r="M142" s="54">
        <f t="shared" si="53"/>
        <v>0</v>
      </c>
      <c r="N142" s="129"/>
      <c r="O142" s="54">
        <f t="shared" si="54"/>
        <v>0</v>
      </c>
      <c r="P142" s="54">
        <f t="shared" si="55"/>
        <v>0</v>
      </c>
    </row>
    <row r="143" spans="2:16" ht="12.5">
      <c r="B143" s="7" t="str">
        <f t="shared" si="34"/>
        <v/>
      </c>
      <c r="C143" s="50">
        <f>IF(D93="","-",+C142+1)</f>
        <v>2059</v>
      </c>
      <c r="D143" s="12">
        <f>IF(F142+SUM(E$99:E142)=D$92,F142,D$92-SUM(E$99:E142))</f>
        <v>45670.030862510204</v>
      </c>
      <c r="E143" s="378">
        <f t="shared" si="48"/>
        <v>45670.030862510204</v>
      </c>
      <c r="F143" s="55">
        <f t="shared" si="49"/>
        <v>0</v>
      </c>
      <c r="G143" s="55">
        <f t="shared" si="50"/>
        <v>22835.015431255102</v>
      </c>
      <c r="H143" s="380">
        <f t="shared" si="51"/>
        <v>48513.591755770089</v>
      </c>
      <c r="I143" s="399">
        <f t="shared" si="52"/>
        <v>48513.591755770089</v>
      </c>
      <c r="J143" s="54">
        <f t="shared" si="35"/>
        <v>0</v>
      </c>
      <c r="K143" s="54"/>
      <c r="L143" s="129"/>
      <c r="M143" s="54">
        <f t="shared" si="53"/>
        <v>0</v>
      </c>
      <c r="N143" s="129"/>
      <c r="O143" s="54">
        <f t="shared" si="54"/>
        <v>0</v>
      </c>
      <c r="P143" s="54">
        <f t="shared" si="55"/>
        <v>0</v>
      </c>
    </row>
    <row r="144" spans="2:16" ht="12.5">
      <c r="B144" s="7" t="str">
        <f t="shared" si="34"/>
        <v/>
      </c>
      <c r="C144" s="50">
        <f>IF(D93="","-",+C143+1)</f>
        <v>2060</v>
      </c>
      <c r="D144" s="12">
        <f>IF(F143+SUM(E$99:E143)=D$92,F143,D$92-SUM(E$99:E143))</f>
        <v>0</v>
      </c>
      <c r="E144" s="378">
        <f t="shared" si="48"/>
        <v>0</v>
      </c>
      <c r="F144" s="55">
        <f t="shared" si="49"/>
        <v>0</v>
      </c>
      <c r="G144" s="55">
        <f t="shared" si="50"/>
        <v>0</v>
      </c>
      <c r="H144" s="380">
        <f t="shared" si="51"/>
        <v>0</v>
      </c>
      <c r="I144" s="399">
        <f t="shared" si="52"/>
        <v>0</v>
      </c>
      <c r="J144" s="54">
        <f t="shared" si="35"/>
        <v>0</v>
      </c>
      <c r="K144" s="54"/>
      <c r="L144" s="129"/>
      <c r="M144" s="54">
        <f t="shared" si="53"/>
        <v>0</v>
      </c>
      <c r="N144" s="129"/>
      <c r="O144" s="54">
        <f t="shared" si="54"/>
        <v>0</v>
      </c>
      <c r="P144" s="54">
        <f t="shared" si="55"/>
        <v>0</v>
      </c>
    </row>
    <row r="145" spans="2:16" ht="12.5">
      <c r="B145" s="7" t="str">
        <f t="shared" si="34"/>
        <v/>
      </c>
      <c r="C145" s="50">
        <f>IF(D93="","-",+C144+1)</f>
        <v>2061</v>
      </c>
      <c r="D145" s="12">
        <f>IF(F144+SUM(E$99:E144)=D$92,F144,D$92-SUM(E$99:E144))</f>
        <v>0</v>
      </c>
      <c r="E145" s="378">
        <f t="shared" si="48"/>
        <v>0</v>
      </c>
      <c r="F145" s="55">
        <f t="shared" si="49"/>
        <v>0</v>
      </c>
      <c r="G145" s="55">
        <f t="shared" si="50"/>
        <v>0</v>
      </c>
      <c r="H145" s="380">
        <f t="shared" si="51"/>
        <v>0</v>
      </c>
      <c r="I145" s="399">
        <f t="shared" si="52"/>
        <v>0</v>
      </c>
      <c r="J145" s="54">
        <f t="shared" si="35"/>
        <v>0</v>
      </c>
      <c r="K145" s="54"/>
      <c r="L145" s="129"/>
      <c r="M145" s="54">
        <f t="shared" si="53"/>
        <v>0</v>
      </c>
      <c r="N145" s="129"/>
      <c r="O145" s="54">
        <f t="shared" si="54"/>
        <v>0</v>
      </c>
      <c r="P145" s="54">
        <f t="shared" si="55"/>
        <v>0</v>
      </c>
    </row>
    <row r="146" spans="2:16" ht="12.5">
      <c r="B146" s="7" t="str">
        <f t="shared" si="34"/>
        <v/>
      </c>
      <c r="C146" s="50">
        <f>IF(D93="","-",+C145+1)</f>
        <v>2062</v>
      </c>
      <c r="D146" s="12">
        <f>IF(F145+SUM(E$99:E145)=D$92,F145,D$92-SUM(E$99:E145))</f>
        <v>0</v>
      </c>
      <c r="E146" s="378">
        <f t="shared" si="48"/>
        <v>0</v>
      </c>
      <c r="F146" s="55">
        <f t="shared" si="49"/>
        <v>0</v>
      </c>
      <c r="G146" s="55">
        <f t="shared" si="50"/>
        <v>0</v>
      </c>
      <c r="H146" s="380">
        <f t="shared" si="51"/>
        <v>0</v>
      </c>
      <c r="I146" s="399">
        <f t="shared" si="52"/>
        <v>0</v>
      </c>
      <c r="J146" s="54">
        <f t="shared" si="35"/>
        <v>0</v>
      </c>
      <c r="K146" s="54"/>
      <c r="L146" s="129"/>
      <c r="M146" s="54">
        <f t="shared" si="53"/>
        <v>0</v>
      </c>
      <c r="N146" s="129"/>
      <c r="O146" s="54">
        <f t="shared" si="54"/>
        <v>0</v>
      </c>
      <c r="P146" s="54">
        <f t="shared" si="55"/>
        <v>0</v>
      </c>
    </row>
    <row r="147" spans="2:16" ht="12.5">
      <c r="B147" s="7" t="str">
        <f t="shared" si="34"/>
        <v/>
      </c>
      <c r="C147" s="50">
        <f>IF(D93="","-",+C146+1)</f>
        <v>2063</v>
      </c>
      <c r="D147" s="12">
        <f>IF(F146+SUM(E$99:E146)=D$92,F146,D$92-SUM(E$99:E146))</f>
        <v>0</v>
      </c>
      <c r="E147" s="378">
        <f t="shared" si="48"/>
        <v>0</v>
      </c>
      <c r="F147" s="55">
        <f t="shared" si="49"/>
        <v>0</v>
      </c>
      <c r="G147" s="55">
        <f t="shared" si="50"/>
        <v>0</v>
      </c>
      <c r="H147" s="380">
        <f t="shared" si="51"/>
        <v>0</v>
      </c>
      <c r="I147" s="399">
        <f t="shared" si="52"/>
        <v>0</v>
      </c>
      <c r="J147" s="54">
        <f t="shared" si="35"/>
        <v>0</v>
      </c>
      <c r="K147" s="54"/>
      <c r="L147" s="129"/>
      <c r="M147" s="54">
        <f t="shared" si="53"/>
        <v>0</v>
      </c>
      <c r="N147" s="129"/>
      <c r="O147" s="54">
        <f t="shared" si="54"/>
        <v>0</v>
      </c>
      <c r="P147" s="54">
        <f t="shared" si="55"/>
        <v>0</v>
      </c>
    </row>
    <row r="148" spans="2:16" ht="12.5">
      <c r="B148" s="7" t="str">
        <f t="shared" si="34"/>
        <v/>
      </c>
      <c r="C148" s="50">
        <f>IF(D93="","-",+C147+1)</f>
        <v>2064</v>
      </c>
      <c r="D148" s="12">
        <f>IF(F147+SUM(E$99:E147)=D$92,F147,D$92-SUM(E$99:E147))</f>
        <v>0</v>
      </c>
      <c r="E148" s="378">
        <f t="shared" si="48"/>
        <v>0</v>
      </c>
      <c r="F148" s="55">
        <f t="shared" si="49"/>
        <v>0</v>
      </c>
      <c r="G148" s="55">
        <f t="shared" si="50"/>
        <v>0</v>
      </c>
      <c r="H148" s="380">
        <f t="shared" si="51"/>
        <v>0</v>
      </c>
      <c r="I148" s="399">
        <f t="shared" si="52"/>
        <v>0</v>
      </c>
      <c r="J148" s="54">
        <f t="shared" si="35"/>
        <v>0</v>
      </c>
      <c r="K148" s="54"/>
      <c r="L148" s="129"/>
      <c r="M148" s="54">
        <f t="shared" si="53"/>
        <v>0</v>
      </c>
      <c r="N148" s="129"/>
      <c r="O148" s="54">
        <f t="shared" si="54"/>
        <v>0</v>
      </c>
      <c r="P148" s="54">
        <f t="shared" si="55"/>
        <v>0</v>
      </c>
    </row>
    <row r="149" spans="2:16" ht="12.5">
      <c r="B149" s="7" t="str">
        <f t="shared" si="34"/>
        <v/>
      </c>
      <c r="C149" s="50">
        <f>IF(D93="","-",+C148+1)</f>
        <v>2065</v>
      </c>
      <c r="D149" s="12">
        <f>IF(F148+SUM(E$99:E148)=D$92,F148,D$92-SUM(E$99:E148))</f>
        <v>0</v>
      </c>
      <c r="E149" s="378">
        <f t="shared" si="48"/>
        <v>0</v>
      </c>
      <c r="F149" s="55">
        <f t="shared" si="49"/>
        <v>0</v>
      </c>
      <c r="G149" s="55">
        <f t="shared" si="50"/>
        <v>0</v>
      </c>
      <c r="H149" s="380">
        <f t="shared" si="51"/>
        <v>0</v>
      </c>
      <c r="I149" s="399">
        <f t="shared" si="52"/>
        <v>0</v>
      </c>
      <c r="J149" s="54">
        <f t="shared" si="35"/>
        <v>0</v>
      </c>
      <c r="K149" s="54"/>
      <c r="L149" s="129"/>
      <c r="M149" s="54">
        <f t="shared" si="53"/>
        <v>0</v>
      </c>
      <c r="N149" s="129"/>
      <c r="O149" s="54">
        <f t="shared" si="54"/>
        <v>0</v>
      </c>
      <c r="P149" s="54">
        <f t="shared" si="55"/>
        <v>0</v>
      </c>
    </row>
    <row r="150" spans="2:16" ht="12.5">
      <c r="B150" s="7" t="str">
        <f t="shared" si="34"/>
        <v/>
      </c>
      <c r="C150" s="50">
        <f>IF(D93="","-",+C149+1)</f>
        <v>2066</v>
      </c>
      <c r="D150" s="12">
        <f>IF(F149+SUM(E$99:E149)=D$92,F149,D$92-SUM(E$99:E149))</f>
        <v>0</v>
      </c>
      <c r="E150" s="378">
        <f t="shared" si="48"/>
        <v>0</v>
      </c>
      <c r="F150" s="55">
        <f t="shared" si="49"/>
        <v>0</v>
      </c>
      <c r="G150" s="55">
        <f t="shared" si="50"/>
        <v>0</v>
      </c>
      <c r="H150" s="380">
        <f t="shared" si="51"/>
        <v>0</v>
      </c>
      <c r="I150" s="399">
        <f t="shared" si="52"/>
        <v>0</v>
      </c>
      <c r="J150" s="54">
        <f t="shared" si="35"/>
        <v>0</v>
      </c>
      <c r="K150" s="54"/>
      <c r="L150" s="129"/>
      <c r="M150" s="54">
        <f t="shared" si="53"/>
        <v>0</v>
      </c>
      <c r="N150" s="129"/>
      <c r="O150" s="54">
        <f t="shared" si="54"/>
        <v>0</v>
      </c>
      <c r="P150" s="54">
        <f t="shared" si="55"/>
        <v>0</v>
      </c>
    </row>
    <row r="151" spans="2:16" ht="12.5">
      <c r="B151" s="7" t="str">
        <f t="shared" si="34"/>
        <v/>
      </c>
      <c r="C151" s="50">
        <f>IF(D93="","-",+C150+1)</f>
        <v>2067</v>
      </c>
      <c r="D151" s="12">
        <f>IF(F150+SUM(E$99:E150)=D$92,F150,D$92-SUM(E$99:E150))</f>
        <v>0</v>
      </c>
      <c r="E151" s="378">
        <f t="shared" si="48"/>
        <v>0</v>
      </c>
      <c r="F151" s="55">
        <f t="shared" si="49"/>
        <v>0</v>
      </c>
      <c r="G151" s="55">
        <f t="shared" si="50"/>
        <v>0</v>
      </c>
      <c r="H151" s="380">
        <f t="shared" si="51"/>
        <v>0</v>
      </c>
      <c r="I151" s="399">
        <f t="shared" si="52"/>
        <v>0</v>
      </c>
      <c r="J151" s="54">
        <f t="shared" si="35"/>
        <v>0</v>
      </c>
      <c r="K151" s="54"/>
      <c r="L151" s="129"/>
      <c r="M151" s="54">
        <f t="shared" si="53"/>
        <v>0</v>
      </c>
      <c r="N151" s="129"/>
      <c r="O151" s="54">
        <f t="shared" si="54"/>
        <v>0</v>
      </c>
      <c r="P151" s="54">
        <f t="shared" si="55"/>
        <v>0</v>
      </c>
    </row>
    <row r="152" spans="2:16" ht="12.5">
      <c r="B152" s="7" t="str">
        <f t="shared" si="34"/>
        <v/>
      </c>
      <c r="C152" s="50">
        <f>IF(D93="","-",+C151+1)</f>
        <v>2068</v>
      </c>
      <c r="D152" s="12">
        <f>IF(F151+SUM(E$99:E151)=D$92,F151,D$92-SUM(E$99:E151))</f>
        <v>0</v>
      </c>
      <c r="E152" s="378">
        <f t="shared" si="48"/>
        <v>0</v>
      </c>
      <c r="F152" s="55">
        <f t="shared" si="49"/>
        <v>0</v>
      </c>
      <c r="G152" s="55">
        <f t="shared" si="50"/>
        <v>0</v>
      </c>
      <c r="H152" s="380">
        <f t="shared" si="51"/>
        <v>0</v>
      </c>
      <c r="I152" s="399">
        <f t="shared" si="52"/>
        <v>0</v>
      </c>
      <c r="J152" s="54">
        <f t="shared" si="35"/>
        <v>0</v>
      </c>
      <c r="K152" s="54"/>
      <c r="L152" s="129"/>
      <c r="M152" s="54">
        <f t="shared" si="53"/>
        <v>0</v>
      </c>
      <c r="N152" s="129"/>
      <c r="O152" s="54">
        <f t="shared" si="54"/>
        <v>0</v>
      </c>
      <c r="P152" s="54">
        <f t="shared" si="55"/>
        <v>0</v>
      </c>
    </row>
    <row r="153" spans="2:16" ht="12.5">
      <c r="B153" s="7" t="str">
        <f t="shared" si="34"/>
        <v/>
      </c>
      <c r="C153" s="50">
        <f>IF(D93="","-",+C152+1)</f>
        <v>2069</v>
      </c>
      <c r="D153" s="12">
        <f>IF(F152+SUM(E$99:E152)=D$92,F152,D$92-SUM(E$99:E152))</f>
        <v>0</v>
      </c>
      <c r="E153" s="378">
        <f t="shared" si="48"/>
        <v>0</v>
      </c>
      <c r="F153" s="55">
        <f t="shared" si="49"/>
        <v>0</v>
      </c>
      <c r="G153" s="55">
        <f t="shared" si="50"/>
        <v>0</v>
      </c>
      <c r="H153" s="380">
        <f t="shared" si="51"/>
        <v>0</v>
      </c>
      <c r="I153" s="399">
        <f t="shared" si="52"/>
        <v>0</v>
      </c>
      <c r="J153" s="54">
        <f t="shared" si="35"/>
        <v>0</v>
      </c>
      <c r="K153" s="54"/>
      <c r="L153" s="129"/>
      <c r="M153" s="54">
        <f t="shared" si="53"/>
        <v>0</v>
      </c>
      <c r="N153" s="129"/>
      <c r="O153" s="54">
        <f t="shared" si="54"/>
        <v>0</v>
      </c>
      <c r="P153" s="54">
        <f t="shared" si="55"/>
        <v>0</v>
      </c>
    </row>
    <row r="154" spans="2:16" ht="13" thickBot="1">
      <c r="B154" s="7" t="str">
        <f t="shared" si="34"/>
        <v/>
      </c>
      <c r="C154" s="59">
        <f>IF(D93="","-",+C153+1)</f>
        <v>2070</v>
      </c>
      <c r="D154" s="12">
        <f>IF(F153+SUM(E$99:E153)=D$92,F153,D$92-SUM(E$99:E153))</f>
        <v>0</v>
      </c>
      <c r="E154" s="378">
        <f t="shared" si="48"/>
        <v>0</v>
      </c>
      <c r="F154" s="55">
        <f t="shared" si="49"/>
        <v>0</v>
      </c>
      <c r="G154" s="55">
        <f t="shared" si="50"/>
        <v>0</v>
      </c>
      <c r="H154" s="380">
        <f t="shared" si="51"/>
        <v>0</v>
      </c>
      <c r="I154" s="399">
        <f t="shared" si="52"/>
        <v>0</v>
      </c>
      <c r="J154" s="54">
        <f t="shared" si="35"/>
        <v>0</v>
      </c>
      <c r="K154" s="54"/>
      <c r="L154" s="130"/>
      <c r="M154" s="64">
        <f t="shared" si="53"/>
        <v>0</v>
      </c>
      <c r="N154" s="130"/>
      <c r="O154" s="64">
        <f t="shared" si="54"/>
        <v>0</v>
      </c>
      <c r="P154" s="64">
        <f t="shared" si="55"/>
        <v>0</v>
      </c>
    </row>
    <row r="155" spans="2:16" ht="12.5">
      <c r="C155" s="12" t="s">
        <v>78</v>
      </c>
      <c r="D155" s="293"/>
      <c r="E155" s="293">
        <f>SUM(E99:E154)</f>
        <v>12017566.600000001</v>
      </c>
      <c r="F155" s="293"/>
      <c r="G155" s="293"/>
      <c r="H155" s="293">
        <f>SUM(H99:H154)</f>
        <v>43746735.479052097</v>
      </c>
      <c r="I155" s="293">
        <f>SUM(I99:I154)</f>
        <v>43746735.479052097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 ht="12.5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 ht="13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53" priority="1" stopIfTrue="1" operator="equal">
      <formula>$I$10</formula>
    </cfRule>
  </conditionalFormatting>
  <conditionalFormatting sqref="C99:C154">
    <cfRule type="cellIs" dxfId="5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102"/>
  <dimension ref="A1:P162"/>
  <sheetViews>
    <sheetView topLeftCell="A74" zoomScaleNormal="100" zoomScaleSheetLayoutView="82" workbookViewId="0">
      <selection activeCell="D26" sqref="D26:H26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53 of 77</v>
      </c>
    </row>
    <row r="2" spans="1:16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675650.11419007811</v>
      </c>
      <c r="P5" s="1"/>
    </row>
    <row r="6" spans="1:16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675650.11419007811</v>
      </c>
      <c r="O6" s="1"/>
      <c r="P6" s="1"/>
    </row>
    <row r="7" spans="1:16" ht="13.5" thickBot="1">
      <c r="C7" s="25" t="s">
        <v>48</v>
      </c>
      <c r="D7" s="90" t="s">
        <v>345</v>
      </c>
      <c r="E7" s="406"/>
      <c r="F7" s="406"/>
      <c r="G7" s="406"/>
      <c r="H7" s="40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338</v>
      </c>
      <c r="E9" s="436" t="s">
        <v>402</v>
      </c>
      <c r="F9" s="31"/>
      <c r="G9" s="31"/>
      <c r="H9" s="31"/>
      <c r="I9" s="32"/>
      <c r="J9" s="33"/>
      <c r="P9" s="1"/>
    </row>
    <row r="10" spans="1:16" ht="13">
      <c r="C10" s="34" t="s">
        <v>51</v>
      </c>
      <c r="D10" s="363">
        <v>5738012.9100000001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6" ht="12.5">
      <c r="C11" s="34" t="s">
        <v>54</v>
      </c>
      <c r="D11" s="37">
        <v>2015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3">
        <v>5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130409.38431818182</v>
      </c>
      <c r="J14" s="293"/>
      <c r="K14" s="293"/>
      <c r="L14" s="293"/>
      <c r="M14" s="293"/>
      <c r="N14" s="293"/>
      <c r="O14" s="1"/>
      <c r="P14" s="1"/>
    </row>
    <row r="15" spans="1:16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2015</v>
      </c>
      <c r="D17" s="429">
        <v>5900000</v>
      </c>
      <c r="E17" s="437">
        <v>11706.349206349207</v>
      </c>
      <c r="F17" s="429">
        <v>5888293.6507936511</v>
      </c>
      <c r="G17" s="437">
        <v>787222.89256713865</v>
      </c>
      <c r="H17" s="438">
        <v>787222.89256713865</v>
      </c>
      <c r="I17" s="52">
        <v>0</v>
      </c>
      <c r="J17" s="52"/>
      <c r="K17" s="113">
        <f t="shared" ref="K17:K22" si="0">G17</f>
        <v>787222.89256713865</v>
      </c>
      <c r="L17" s="54">
        <f t="shared" ref="L17:L22" si="1">IF(K17&lt;&gt;0,+G17-K17,0)</f>
        <v>0</v>
      </c>
      <c r="M17" s="113">
        <f t="shared" ref="M17:M22" si="2">H17</f>
        <v>787222.89256713865</v>
      </c>
      <c r="N17" s="54">
        <f>IF(M17&lt;&gt;0,+H17-M17,0)</f>
        <v>0</v>
      </c>
      <c r="O17" s="54">
        <f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2016</v>
      </c>
      <c r="D18" s="431">
        <v>5712842.6507936511</v>
      </c>
      <c r="E18" s="430">
        <v>136298.78571428571</v>
      </c>
      <c r="F18" s="431">
        <v>5576543.8650793657</v>
      </c>
      <c r="G18" s="430">
        <v>861695.47237571224</v>
      </c>
      <c r="H18" s="438">
        <v>861695.47237571224</v>
      </c>
      <c r="I18" s="52">
        <f>H18-G18</f>
        <v>0</v>
      </c>
      <c r="J18" s="52"/>
      <c r="K18" s="113">
        <f t="shared" si="0"/>
        <v>861695.47237571224</v>
      </c>
      <c r="L18" s="54">
        <f t="shared" si="1"/>
        <v>0</v>
      </c>
      <c r="M18" s="113">
        <f t="shared" si="2"/>
        <v>861695.47237571224</v>
      </c>
      <c r="N18" s="54">
        <f>IF(M18&lt;&gt;0,+H18-M18,0)</f>
        <v>0</v>
      </c>
      <c r="O18" s="54">
        <f>+N18-L18</f>
        <v>0</v>
      </c>
      <c r="P18" s="1"/>
    </row>
    <row r="19" spans="2:16" ht="12.5">
      <c r="B19" s="7" t="str">
        <f>IF(D19=F18,"","IU")</f>
        <v>IU</v>
      </c>
      <c r="C19" s="50">
        <f>IF(D11="","-",+C18+1)</f>
        <v>2017</v>
      </c>
      <c r="D19" s="431">
        <v>5590007.8650793647</v>
      </c>
      <c r="E19" s="430">
        <v>133442.16279069768</v>
      </c>
      <c r="F19" s="431">
        <v>5456565.7022886667</v>
      </c>
      <c r="G19" s="430">
        <v>817736.15631136962</v>
      </c>
      <c r="H19" s="438">
        <v>817736.15631136962</v>
      </c>
      <c r="I19" s="52">
        <f t="shared" ref="I19:I72" si="3">H19-G19</f>
        <v>0</v>
      </c>
      <c r="J19" s="52"/>
      <c r="K19" s="113">
        <f t="shared" si="0"/>
        <v>817736.15631136962</v>
      </c>
      <c r="L19" s="54">
        <f t="shared" si="1"/>
        <v>0</v>
      </c>
      <c r="M19" s="113">
        <f t="shared" si="2"/>
        <v>817736.15631136962</v>
      </c>
      <c r="N19" s="54">
        <f>IF(M19&lt;&gt;0,+H19-M19,0)</f>
        <v>0</v>
      </c>
      <c r="O19" s="54">
        <f>+N19-L19</f>
        <v>0</v>
      </c>
      <c r="P19" s="1"/>
    </row>
    <row r="20" spans="2:16" ht="12.5">
      <c r="B20" s="7" t="str">
        <f t="shared" ref="B20:B72" si="4">IF(D20=F19,"","IU")</f>
        <v/>
      </c>
      <c r="C20" s="50">
        <f>IF(D11="","-",+C19+1)</f>
        <v>2018</v>
      </c>
      <c r="D20" s="431">
        <v>5456565.7022886667</v>
      </c>
      <c r="E20" s="430">
        <v>139951.53658536586</v>
      </c>
      <c r="F20" s="431">
        <v>5316614.1657033013</v>
      </c>
      <c r="G20" s="430">
        <v>824555.33054261771</v>
      </c>
      <c r="H20" s="438">
        <v>824555.33054261771</v>
      </c>
      <c r="I20" s="52">
        <f t="shared" si="3"/>
        <v>0</v>
      </c>
      <c r="J20" s="52"/>
      <c r="K20" s="113">
        <f t="shared" si="0"/>
        <v>824555.33054261771</v>
      </c>
      <c r="L20" s="54">
        <f t="shared" si="1"/>
        <v>0</v>
      </c>
      <c r="M20" s="113">
        <f t="shared" si="2"/>
        <v>824555.33054261771</v>
      </c>
      <c r="N20" s="54">
        <f>IF(M20&lt;&gt;0,+H20-M20,0)</f>
        <v>0</v>
      </c>
      <c r="O20" s="54">
        <f>+N20-L20</f>
        <v>0</v>
      </c>
      <c r="P20" s="1"/>
    </row>
    <row r="21" spans="2:16" ht="12.5">
      <c r="B21" s="7" t="str">
        <f t="shared" si="4"/>
        <v/>
      </c>
      <c r="C21" s="50">
        <f>IF(D11="","-",+C20+1)</f>
        <v>2019</v>
      </c>
      <c r="D21" s="431">
        <v>5316614.1657033013</v>
      </c>
      <c r="E21" s="430">
        <v>139951.53658536586</v>
      </c>
      <c r="F21" s="431">
        <v>5176662.6291179359</v>
      </c>
      <c r="G21" s="430">
        <v>806768.31610667519</v>
      </c>
      <c r="H21" s="438">
        <v>806768.31610667519</v>
      </c>
      <c r="I21" s="52">
        <f t="shared" si="3"/>
        <v>0</v>
      </c>
      <c r="J21" s="52"/>
      <c r="K21" s="113">
        <f t="shared" si="0"/>
        <v>806768.31610667519</v>
      </c>
      <c r="L21" s="54">
        <f t="shared" si="1"/>
        <v>0</v>
      </c>
      <c r="M21" s="113">
        <f t="shared" si="2"/>
        <v>806768.31610667519</v>
      </c>
      <c r="N21" s="54">
        <f t="shared" ref="N21:N72" si="5">IF(M21&lt;&gt;0,+H21-M21,0)</f>
        <v>0</v>
      </c>
      <c r="O21" s="54">
        <f t="shared" ref="O21:O72" si="6">+N21-L21</f>
        <v>0</v>
      </c>
      <c r="P21" s="1"/>
    </row>
    <row r="22" spans="2:16" ht="12.5">
      <c r="B22" s="7" t="str">
        <f t="shared" si="4"/>
        <v/>
      </c>
      <c r="C22" s="50">
        <f>IF(D11="","-",+C21+1)</f>
        <v>2020</v>
      </c>
      <c r="D22" s="431">
        <v>5176662.6291179359</v>
      </c>
      <c r="E22" s="430">
        <v>139951.53658536586</v>
      </c>
      <c r="F22" s="431">
        <v>5036711.0925325705</v>
      </c>
      <c r="G22" s="430">
        <v>662546.66149504599</v>
      </c>
      <c r="H22" s="438">
        <v>662546.66149504599</v>
      </c>
      <c r="I22" s="52">
        <f t="shared" si="3"/>
        <v>0</v>
      </c>
      <c r="J22" s="52"/>
      <c r="K22" s="113">
        <f t="shared" si="0"/>
        <v>662546.66149504599</v>
      </c>
      <c r="L22" s="54">
        <f t="shared" si="1"/>
        <v>0</v>
      </c>
      <c r="M22" s="113">
        <f t="shared" si="2"/>
        <v>662546.66149504599</v>
      </c>
      <c r="N22" s="54">
        <f t="shared" si="5"/>
        <v>0</v>
      </c>
      <c r="O22" s="54">
        <f t="shared" si="6"/>
        <v>0</v>
      </c>
      <c r="P22" s="1"/>
    </row>
    <row r="23" spans="2:16" ht="12.5">
      <c r="B23" s="7" t="str">
        <f t="shared" si="4"/>
        <v>IU</v>
      </c>
      <c r="C23" s="50">
        <f>IF(D11="","-",+C22+1)</f>
        <v>2021</v>
      </c>
      <c r="D23" s="431">
        <v>5043220.4663272379</v>
      </c>
      <c r="E23" s="430">
        <v>136619.35714285713</v>
      </c>
      <c r="F23" s="431">
        <v>4906601.1091843806</v>
      </c>
      <c r="G23" s="430">
        <v>663982.51182654442</v>
      </c>
      <c r="H23" s="438">
        <v>663982.51182654442</v>
      </c>
      <c r="I23" s="52">
        <f t="shared" si="3"/>
        <v>0</v>
      </c>
      <c r="J23" s="52"/>
      <c r="K23" s="113">
        <f t="shared" ref="K23" si="7">G23</f>
        <v>663982.51182654442</v>
      </c>
      <c r="L23" s="54">
        <f t="shared" ref="L23" si="8">IF(K23&lt;&gt;0,+G23-K23,0)</f>
        <v>0</v>
      </c>
      <c r="M23" s="113">
        <f t="shared" ref="M23" si="9">H23</f>
        <v>663982.51182654442</v>
      </c>
      <c r="N23" s="54">
        <f t="shared" si="5"/>
        <v>0</v>
      </c>
      <c r="O23" s="54">
        <f t="shared" si="6"/>
        <v>0</v>
      </c>
      <c r="P23" s="1"/>
    </row>
    <row r="24" spans="2:16" ht="12.5">
      <c r="B24" s="7" t="str">
        <f t="shared" si="4"/>
        <v>IU</v>
      </c>
      <c r="C24" s="50">
        <f>IF(D11="","-",+C23+1)</f>
        <v>2022</v>
      </c>
      <c r="D24" s="431">
        <v>4900091.7353897123</v>
      </c>
      <c r="E24" s="430">
        <v>136619.35714285713</v>
      </c>
      <c r="F24" s="431">
        <v>4763472.378246855</v>
      </c>
      <c r="G24" s="430">
        <v>679924.72685761354</v>
      </c>
      <c r="H24" s="438">
        <v>679924.72685761354</v>
      </c>
      <c r="I24" s="52">
        <f t="shared" si="3"/>
        <v>0</v>
      </c>
      <c r="J24" s="52"/>
      <c r="K24" s="113">
        <f t="shared" ref="K24" si="10">G24</f>
        <v>679924.72685761354</v>
      </c>
      <c r="L24" s="54">
        <f t="shared" ref="L24" si="11">IF(K24&lt;&gt;0,+G24-K24,0)</f>
        <v>0</v>
      </c>
      <c r="M24" s="113">
        <f t="shared" ref="M24" si="12">H24</f>
        <v>679924.72685761354</v>
      </c>
      <c r="N24" s="54">
        <f t="shared" si="5"/>
        <v>0</v>
      </c>
      <c r="O24" s="54">
        <f t="shared" si="6"/>
        <v>0</v>
      </c>
      <c r="P24" s="1"/>
    </row>
    <row r="25" spans="2:16" ht="12.5">
      <c r="B25" s="7" t="str">
        <f t="shared" si="4"/>
        <v>IU</v>
      </c>
      <c r="C25" s="50">
        <f>IF(D11="","-",+C24+1)</f>
        <v>2023</v>
      </c>
      <c r="D25" s="431">
        <v>4763472.2882468551</v>
      </c>
      <c r="E25" s="430">
        <v>136619.35500000001</v>
      </c>
      <c r="F25" s="431">
        <v>4626852.9332468547</v>
      </c>
      <c r="G25" s="430">
        <v>729744.16665768996</v>
      </c>
      <c r="H25" s="438">
        <v>729744.16665768996</v>
      </c>
      <c r="I25" s="52">
        <f t="shared" si="3"/>
        <v>0</v>
      </c>
      <c r="J25" s="52"/>
      <c r="K25" s="113">
        <f t="shared" ref="K25" si="13">G25</f>
        <v>729744.16665768996</v>
      </c>
      <c r="L25" s="54">
        <f t="shared" ref="L25" si="14">IF(K25&lt;&gt;0,+G25-K25,0)</f>
        <v>0</v>
      </c>
      <c r="M25" s="113">
        <f t="shared" ref="M25" si="15">H25</f>
        <v>729744.16665768996</v>
      </c>
      <c r="N25" s="54">
        <f t="shared" si="5"/>
        <v>0</v>
      </c>
      <c r="O25" s="54">
        <f t="shared" si="6"/>
        <v>0</v>
      </c>
      <c r="P25" s="1"/>
    </row>
    <row r="26" spans="2:16" ht="12.5">
      <c r="B26" s="7" t="str">
        <f t="shared" si="4"/>
        <v/>
      </c>
      <c r="C26" s="50">
        <f>IF(D11="","-",+C25+1)</f>
        <v>2024</v>
      </c>
      <c r="D26" s="431">
        <v>4626852.9332468547</v>
      </c>
      <c r="E26" s="430">
        <v>130409.38431818182</v>
      </c>
      <c r="F26" s="431">
        <v>4496443.5489286724</v>
      </c>
      <c r="G26" s="430">
        <v>675650.11419007811</v>
      </c>
      <c r="H26" s="438">
        <v>675650.11419007811</v>
      </c>
      <c r="I26" s="52">
        <f t="shared" si="3"/>
        <v>0</v>
      </c>
      <c r="J26" s="52"/>
      <c r="K26" s="113">
        <f t="shared" ref="K26" si="16">G26</f>
        <v>675650.11419007811</v>
      </c>
      <c r="L26" s="54">
        <f t="shared" ref="L26" si="17">IF(K26&lt;&gt;0,+G26-K26,0)</f>
        <v>0</v>
      </c>
      <c r="M26" s="113">
        <f t="shared" ref="M26" si="18">H26</f>
        <v>675650.11419007811</v>
      </c>
      <c r="N26" s="54">
        <f t="shared" ref="N26" si="19">IF(M26&lt;&gt;0,+H26-M26,0)</f>
        <v>0</v>
      </c>
      <c r="O26" s="54">
        <f t="shared" ref="O26" si="20">+N26-L26</f>
        <v>0</v>
      </c>
      <c r="P26" s="1"/>
    </row>
    <row r="27" spans="2:16" ht="12.5">
      <c r="B27" s="7" t="str">
        <f t="shared" si="4"/>
        <v/>
      </c>
      <c r="C27" s="50">
        <f>IF(D11="","-",+C26+1)</f>
        <v>2025</v>
      </c>
      <c r="D27" s="55">
        <f>IF(F26+SUM(E$17:E26)=D$10,F26,D$10-SUM(E$17:E26))</f>
        <v>4496443.5489286724</v>
      </c>
      <c r="E27" s="378">
        <f t="shared" ref="E27:E72" si="21">IF(+$I$14&lt;F26,$I$14,D27)</f>
        <v>130409.38431818182</v>
      </c>
      <c r="F27" s="55">
        <f t="shared" ref="F27:F72" si="22">+D27-E27</f>
        <v>4366034.1646104902</v>
      </c>
      <c r="G27" s="379">
        <f t="shared" ref="G27:G50" si="23">+I$12*((D27+F27)/2)+E27</f>
        <v>660062.65454175707</v>
      </c>
      <c r="H27" s="364">
        <f t="shared" ref="H27:H50" si="24">+I$13*((D27+F27)/2)+E27</f>
        <v>660062.65454175707</v>
      </c>
      <c r="I27" s="52">
        <f t="shared" si="3"/>
        <v>0</v>
      </c>
      <c r="J27" s="52"/>
      <c r="K27" s="129"/>
      <c r="L27" s="54">
        <f t="shared" ref="L27:L72" si="25">IF(K27&lt;&gt;0,+G27-K27,0)</f>
        <v>0</v>
      </c>
      <c r="M27" s="129"/>
      <c r="N27" s="54">
        <f t="shared" si="5"/>
        <v>0</v>
      </c>
      <c r="O27" s="54">
        <f t="shared" si="6"/>
        <v>0</v>
      </c>
      <c r="P27" s="1"/>
    </row>
    <row r="28" spans="2:16" ht="12.5">
      <c r="B28" s="7" t="str">
        <f t="shared" si="4"/>
        <v/>
      </c>
      <c r="C28" s="50">
        <f>IF(D11="","-",+C27+1)</f>
        <v>2026</v>
      </c>
      <c r="D28" s="55">
        <f>IF(F27+SUM(E$17:E27)=D$10,F27,D$10-SUM(E$17:E27))</f>
        <v>4366034.1646104902</v>
      </c>
      <c r="E28" s="378">
        <f t="shared" si="21"/>
        <v>130409.38431818182</v>
      </c>
      <c r="F28" s="55">
        <f t="shared" si="22"/>
        <v>4235624.780292308</v>
      </c>
      <c r="G28" s="379">
        <f t="shared" si="23"/>
        <v>644475.19489343604</v>
      </c>
      <c r="H28" s="364">
        <f t="shared" si="24"/>
        <v>644475.19489343604</v>
      </c>
      <c r="I28" s="52">
        <f t="shared" si="3"/>
        <v>0</v>
      </c>
      <c r="J28" s="52"/>
      <c r="K28" s="129"/>
      <c r="L28" s="54">
        <f t="shared" si="25"/>
        <v>0</v>
      </c>
      <c r="M28" s="129"/>
      <c r="N28" s="54">
        <f t="shared" si="5"/>
        <v>0</v>
      </c>
      <c r="O28" s="54">
        <f t="shared" si="6"/>
        <v>0</v>
      </c>
      <c r="P28" s="1"/>
    </row>
    <row r="29" spans="2:16" ht="12.5">
      <c r="B29" s="7" t="str">
        <f t="shared" si="4"/>
        <v/>
      </c>
      <c r="C29" s="50">
        <f>IF(D11="","-",+C28+1)</f>
        <v>2027</v>
      </c>
      <c r="D29" s="55">
        <f>IF(F28+SUM(E$17:E28)=D$10,F28,D$10-SUM(E$17:E28))</f>
        <v>4235624.780292308</v>
      </c>
      <c r="E29" s="378">
        <f t="shared" si="21"/>
        <v>130409.38431818182</v>
      </c>
      <c r="F29" s="55">
        <f t="shared" si="22"/>
        <v>4105215.3959741262</v>
      </c>
      <c r="G29" s="379">
        <f t="shared" si="23"/>
        <v>628887.73524511489</v>
      </c>
      <c r="H29" s="364">
        <f t="shared" si="24"/>
        <v>628887.73524511489</v>
      </c>
      <c r="I29" s="52">
        <f t="shared" si="3"/>
        <v>0</v>
      </c>
      <c r="J29" s="52"/>
      <c r="K29" s="129"/>
      <c r="L29" s="54">
        <f t="shared" si="25"/>
        <v>0</v>
      </c>
      <c r="M29" s="129"/>
      <c r="N29" s="54">
        <f t="shared" si="5"/>
        <v>0</v>
      </c>
      <c r="O29" s="54">
        <f t="shared" si="6"/>
        <v>0</v>
      </c>
      <c r="P29" s="1"/>
    </row>
    <row r="30" spans="2:16" ht="12.5">
      <c r="B30" s="7" t="str">
        <f t="shared" si="4"/>
        <v/>
      </c>
      <c r="C30" s="50">
        <f>IF(D11="","-",+C29+1)</f>
        <v>2028</v>
      </c>
      <c r="D30" s="55">
        <f>IF(F29+SUM(E$17:E29)=D$10,F29,D$10-SUM(E$17:E29))</f>
        <v>4105215.3959741262</v>
      </c>
      <c r="E30" s="378">
        <f t="shared" si="21"/>
        <v>130409.38431818182</v>
      </c>
      <c r="F30" s="55">
        <f t="shared" si="22"/>
        <v>3974806.0116559444</v>
      </c>
      <c r="G30" s="379">
        <f t="shared" si="23"/>
        <v>613300.27559679397</v>
      </c>
      <c r="H30" s="364">
        <f t="shared" si="24"/>
        <v>613300.27559679397</v>
      </c>
      <c r="I30" s="52">
        <f t="shared" si="3"/>
        <v>0</v>
      </c>
      <c r="J30" s="52"/>
      <c r="K30" s="129"/>
      <c r="L30" s="54">
        <f t="shared" si="25"/>
        <v>0</v>
      </c>
      <c r="M30" s="129"/>
      <c r="N30" s="54">
        <f t="shared" si="5"/>
        <v>0</v>
      </c>
      <c r="O30" s="54">
        <f t="shared" si="6"/>
        <v>0</v>
      </c>
      <c r="P30" s="1"/>
    </row>
    <row r="31" spans="2:16" ht="12.5">
      <c r="B31" s="7" t="str">
        <f t="shared" si="4"/>
        <v/>
      </c>
      <c r="C31" s="50">
        <f>IF(D11="","-",+C30+1)</f>
        <v>2029</v>
      </c>
      <c r="D31" s="55">
        <f>IF(F30+SUM(E$17:E30)=D$10,F30,D$10-SUM(E$17:E30))</f>
        <v>3974806.0116559444</v>
      </c>
      <c r="E31" s="378">
        <f t="shared" si="21"/>
        <v>130409.38431818182</v>
      </c>
      <c r="F31" s="55">
        <f t="shared" si="22"/>
        <v>3844396.6273377626</v>
      </c>
      <c r="G31" s="379">
        <f t="shared" si="23"/>
        <v>597712.81594847294</v>
      </c>
      <c r="H31" s="364">
        <f t="shared" si="24"/>
        <v>597712.81594847294</v>
      </c>
      <c r="I31" s="52">
        <f t="shared" si="3"/>
        <v>0</v>
      </c>
      <c r="J31" s="52"/>
      <c r="K31" s="129"/>
      <c r="L31" s="54">
        <f t="shared" si="25"/>
        <v>0</v>
      </c>
      <c r="M31" s="129"/>
      <c r="N31" s="54">
        <f t="shared" si="5"/>
        <v>0</v>
      </c>
      <c r="O31" s="54">
        <f t="shared" si="6"/>
        <v>0</v>
      </c>
      <c r="P31" s="1"/>
    </row>
    <row r="32" spans="2:16" ht="12.5">
      <c r="B32" s="7" t="str">
        <f t="shared" si="4"/>
        <v/>
      </c>
      <c r="C32" s="50">
        <f>IF(D11="","-",+C31+1)</f>
        <v>2030</v>
      </c>
      <c r="D32" s="55">
        <f>IF(F31+SUM(E$17:E31)=D$10,F31,D$10-SUM(E$17:E31))</f>
        <v>3844396.6273377626</v>
      </c>
      <c r="E32" s="378">
        <f t="shared" si="21"/>
        <v>130409.38431818182</v>
      </c>
      <c r="F32" s="55">
        <f t="shared" si="22"/>
        <v>3713987.2430195808</v>
      </c>
      <c r="G32" s="379">
        <f t="shared" si="23"/>
        <v>582125.35630015191</v>
      </c>
      <c r="H32" s="364">
        <f t="shared" si="24"/>
        <v>582125.35630015191</v>
      </c>
      <c r="I32" s="52">
        <f t="shared" si="3"/>
        <v>0</v>
      </c>
      <c r="J32" s="52"/>
      <c r="K32" s="129"/>
      <c r="L32" s="54">
        <f t="shared" si="25"/>
        <v>0</v>
      </c>
      <c r="M32" s="129"/>
      <c r="N32" s="54">
        <f t="shared" si="5"/>
        <v>0</v>
      </c>
      <c r="O32" s="54">
        <f t="shared" si="6"/>
        <v>0</v>
      </c>
      <c r="P32" s="1"/>
    </row>
    <row r="33" spans="2:16" ht="12.5">
      <c r="B33" s="7" t="str">
        <f t="shared" si="4"/>
        <v/>
      </c>
      <c r="C33" s="50">
        <f>IF(D11="","-",+C32+1)</f>
        <v>2031</v>
      </c>
      <c r="D33" s="55">
        <f>IF(F32+SUM(E$17:E32)=D$10,F32,D$10-SUM(E$17:E32))</f>
        <v>3713987.2430195808</v>
      </c>
      <c r="E33" s="378">
        <f t="shared" si="21"/>
        <v>130409.38431818182</v>
      </c>
      <c r="F33" s="55">
        <f t="shared" si="22"/>
        <v>3583577.8587013991</v>
      </c>
      <c r="G33" s="379">
        <f t="shared" si="23"/>
        <v>566537.89665183087</v>
      </c>
      <c r="H33" s="364">
        <f t="shared" si="24"/>
        <v>566537.89665183087</v>
      </c>
      <c r="I33" s="52">
        <f t="shared" si="3"/>
        <v>0</v>
      </c>
      <c r="J33" s="52"/>
      <c r="K33" s="129"/>
      <c r="L33" s="54">
        <f t="shared" si="25"/>
        <v>0</v>
      </c>
      <c r="M33" s="129"/>
      <c r="N33" s="54">
        <f t="shared" si="5"/>
        <v>0</v>
      </c>
      <c r="O33" s="54">
        <f t="shared" si="6"/>
        <v>0</v>
      </c>
      <c r="P33" s="1"/>
    </row>
    <row r="34" spans="2:16" ht="12.5">
      <c r="B34" s="7" t="str">
        <f t="shared" si="4"/>
        <v/>
      </c>
      <c r="C34" s="50">
        <f>IF(D11="","-",+C33+1)</f>
        <v>2032</v>
      </c>
      <c r="D34" s="55">
        <f>IF(F33+SUM(E$17:E33)=D$10,F33,D$10-SUM(E$17:E33))</f>
        <v>3583577.8587013991</v>
      </c>
      <c r="E34" s="378">
        <f t="shared" si="21"/>
        <v>130409.38431818182</v>
      </c>
      <c r="F34" s="55">
        <f t="shared" si="22"/>
        <v>3453168.4743832173</v>
      </c>
      <c r="G34" s="379">
        <f t="shared" si="23"/>
        <v>550950.43700350984</v>
      </c>
      <c r="H34" s="364">
        <f t="shared" si="24"/>
        <v>550950.43700350984</v>
      </c>
      <c r="I34" s="52">
        <f t="shared" si="3"/>
        <v>0</v>
      </c>
      <c r="J34" s="52"/>
      <c r="K34" s="129"/>
      <c r="L34" s="54">
        <f t="shared" si="25"/>
        <v>0</v>
      </c>
      <c r="M34" s="129"/>
      <c r="N34" s="54">
        <f t="shared" si="5"/>
        <v>0</v>
      </c>
      <c r="O34" s="54">
        <f t="shared" si="6"/>
        <v>0</v>
      </c>
      <c r="P34" s="1"/>
    </row>
    <row r="35" spans="2:16" ht="12.5">
      <c r="B35" s="7" t="str">
        <f t="shared" si="4"/>
        <v/>
      </c>
      <c r="C35" s="50">
        <f>IF(D11="","-",+C34+1)</f>
        <v>2033</v>
      </c>
      <c r="D35" s="55">
        <f>IF(F34+SUM(E$17:E34)=D$10,F34,D$10-SUM(E$17:E34))</f>
        <v>3453168.4743832173</v>
      </c>
      <c r="E35" s="378">
        <f t="shared" si="21"/>
        <v>130409.38431818182</v>
      </c>
      <c r="F35" s="55">
        <f t="shared" si="22"/>
        <v>3322759.0900650355</v>
      </c>
      <c r="G35" s="379">
        <f t="shared" si="23"/>
        <v>535362.97735518881</v>
      </c>
      <c r="H35" s="364">
        <f t="shared" si="24"/>
        <v>535362.97735518881</v>
      </c>
      <c r="I35" s="52">
        <f t="shared" si="3"/>
        <v>0</v>
      </c>
      <c r="J35" s="52"/>
      <c r="K35" s="129"/>
      <c r="L35" s="54">
        <f t="shared" si="25"/>
        <v>0</v>
      </c>
      <c r="M35" s="129"/>
      <c r="N35" s="54">
        <f t="shared" si="5"/>
        <v>0</v>
      </c>
      <c r="O35" s="54">
        <f t="shared" si="6"/>
        <v>0</v>
      </c>
      <c r="P35" s="1"/>
    </row>
    <row r="36" spans="2:16" ht="12.5">
      <c r="B36" s="7" t="str">
        <f t="shared" si="4"/>
        <v/>
      </c>
      <c r="C36" s="50">
        <f>IF(D11="","-",+C35+1)</f>
        <v>2034</v>
      </c>
      <c r="D36" s="55">
        <f>IF(F35+SUM(E$17:E35)=D$10,F35,D$10-SUM(E$17:E35))</f>
        <v>3322759.0900650355</v>
      </c>
      <c r="E36" s="378">
        <f t="shared" si="21"/>
        <v>130409.38431818182</v>
      </c>
      <c r="F36" s="55">
        <f t="shared" si="22"/>
        <v>3192349.7057468537</v>
      </c>
      <c r="G36" s="379">
        <f t="shared" si="23"/>
        <v>519775.51770686789</v>
      </c>
      <c r="H36" s="364">
        <f t="shared" si="24"/>
        <v>519775.51770686789</v>
      </c>
      <c r="I36" s="52">
        <f t="shared" si="3"/>
        <v>0</v>
      </c>
      <c r="J36" s="52"/>
      <c r="K36" s="129"/>
      <c r="L36" s="54">
        <f t="shared" si="25"/>
        <v>0</v>
      </c>
      <c r="M36" s="129"/>
      <c r="N36" s="54">
        <f t="shared" si="5"/>
        <v>0</v>
      </c>
      <c r="O36" s="54">
        <f t="shared" si="6"/>
        <v>0</v>
      </c>
      <c r="P36" s="1"/>
    </row>
    <row r="37" spans="2:16" ht="12.5">
      <c r="B37" s="7" t="str">
        <f t="shared" si="4"/>
        <v/>
      </c>
      <c r="C37" s="50">
        <f>IF(D11="","-",+C36+1)</f>
        <v>2035</v>
      </c>
      <c r="D37" s="55">
        <f>IF(F36+SUM(E$17:E36)=D$10,F36,D$10-SUM(E$17:E36))</f>
        <v>3192349.7057468537</v>
      </c>
      <c r="E37" s="378">
        <f t="shared" si="21"/>
        <v>130409.38431818182</v>
      </c>
      <c r="F37" s="55">
        <f t="shared" si="22"/>
        <v>3061940.3214286719</v>
      </c>
      <c r="G37" s="379">
        <f t="shared" si="23"/>
        <v>504188.0580585468</v>
      </c>
      <c r="H37" s="364">
        <f t="shared" si="24"/>
        <v>504188.0580585468</v>
      </c>
      <c r="I37" s="52">
        <f t="shared" si="3"/>
        <v>0</v>
      </c>
      <c r="J37" s="52"/>
      <c r="K37" s="129"/>
      <c r="L37" s="54">
        <f t="shared" si="25"/>
        <v>0</v>
      </c>
      <c r="M37" s="129"/>
      <c r="N37" s="54">
        <f t="shared" si="5"/>
        <v>0</v>
      </c>
      <c r="O37" s="54">
        <f t="shared" si="6"/>
        <v>0</v>
      </c>
      <c r="P37" s="1"/>
    </row>
    <row r="38" spans="2:16" ht="12.5">
      <c r="B38" s="7" t="str">
        <f t="shared" si="4"/>
        <v/>
      </c>
      <c r="C38" s="50">
        <f>IF(D11="","-",+C37+1)</f>
        <v>2036</v>
      </c>
      <c r="D38" s="55">
        <f>IF(F37+SUM(E$17:E37)=D$10,F37,D$10-SUM(E$17:E37))</f>
        <v>3061940.3214286719</v>
      </c>
      <c r="E38" s="378">
        <f t="shared" si="21"/>
        <v>130409.38431818182</v>
      </c>
      <c r="F38" s="55">
        <f t="shared" si="22"/>
        <v>2931530.9371104902</v>
      </c>
      <c r="G38" s="379">
        <f t="shared" si="23"/>
        <v>488600.59841022582</v>
      </c>
      <c r="H38" s="364">
        <f t="shared" si="24"/>
        <v>488600.59841022582</v>
      </c>
      <c r="I38" s="52">
        <f t="shared" si="3"/>
        <v>0</v>
      </c>
      <c r="J38" s="52"/>
      <c r="K38" s="129"/>
      <c r="L38" s="54">
        <f t="shared" si="25"/>
        <v>0</v>
      </c>
      <c r="M38" s="129"/>
      <c r="N38" s="54">
        <f t="shared" si="5"/>
        <v>0</v>
      </c>
      <c r="O38" s="54">
        <f t="shared" si="6"/>
        <v>0</v>
      </c>
      <c r="P38" s="1"/>
    </row>
    <row r="39" spans="2:16" ht="12.5">
      <c r="B39" s="7" t="str">
        <f t="shared" si="4"/>
        <v/>
      </c>
      <c r="C39" s="50">
        <f>IF(D11="","-",+C38+1)</f>
        <v>2037</v>
      </c>
      <c r="D39" s="55">
        <f>IF(F38+SUM(E$17:E38)=D$10,F38,D$10-SUM(E$17:E38))</f>
        <v>2931530.9371104902</v>
      </c>
      <c r="E39" s="378">
        <f t="shared" si="21"/>
        <v>130409.38431818182</v>
      </c>
      <c r="F39" s="55">
        <f t="shared" si="22"/>
        <v>2801121.5527923084</v>
      </c>
      <c r="G39" s="379">
        <f t="shared" si="23"/>
        <v>473013.13876190479</v>
      </c>
      <c r="H39" s="364">
        <f t="shared" si="24"/>
        <v>473013.13876190479</v>
      </c>
      <c r="I39" s="52">
        <f t="shared" si="3"/>
        <v>0</v>
      </c>
      <c r="J39" s="52"/>
      <c r="K39" s="129"/>
      <c r="L39" s="54">
        <f t="shared" si="25"/>
        <v>0</v>
      </c>
      <c r="M39" s="129"/>
      <c r="N39" s="54">
        <f t="shared" si="5"/>
        <v>0</v>
      </c>
      <c r="O39" s="54">
        <f t="shared" si="6"/>
        <v>0</v>
      </c>
      <c r="P39" s="1"/>
    </row>
    <row r="40" spans="2:16" ht="12.5">
      <c r="B40" s="7" t="str">
        <f t="shared" si="4"/>
        <v/>
      </c>
      <c r="C40" s="50">
        <f>IF(D11="","-",+C39+1)</f>
        <v>2038</v>
      </c>
      <c r="D40" s="55">
        <f>IF(F39+SUM(E$17:E39)=D$10,F39,D$10-SUM(E$17:E39))</f>
        <v>2801121.5527923084</v>
      </c>
      <c r="E40" s="378">
        <f t="shared" si="21"/>
        <v>130409.38431818182</v>
      </c>
      <c r="F40" s="55">
        <f t="shared" si="22"/>
        <v>2670712.1684741266</v>
      </c>
      <c r="G40" s="379">
        <f t="shared" si="23"/>
        <v>457425.67911358381</v>
      </c>
      <c r="H40" s="364">
        <f t="shared" si="24"/>
        <v>457425.67911358381</v>
      </c>
      <c r="I40" s="52">
        <f t="shared" si="3"/>
        <v>0</v>
      </c>
      <c r="J40" s="52"/>
      <c r="K40" s="129"/>
      <c r="L40" s="54">
        <f t="shared" si="25"/>
        <v>0</v>
      </c>
      <c r="M40" s="129"/>
      <c r="N40" s="54">
        <f t="shared" si="5"/>
        <v>0</v>
      </c>
      <c r="O40" s="54">
        <f t="shared" si="6"/>
        <v>0</v>
      </c>
      <c r="P40" s="1"/>
    </row>
    <row r="41" spans="2:16" ht="12.5">
      <c r="B41" s="7" t="str">
        <f t="shared" si="4"/>
        <v/>
      </c>
      <c r="C41" s="50">
        <f>IF(D11="","-",+C40+1)</f>
        <v>2039</v>
      </c>
      <c r="D41" s="55">
        <f>IF(F40+SUM(E$17:E40)=D$10,F40,D$10-SUM(E$17:E40))</f>
        <v>2670712.1684741266</v>
      </c>
      <c r="E41" s="378">
        <f t="shared" si="21"/>
        <v>130409.38431818182</v>
      </c>
      <c r="F41" s="55">
        <f t="shared" si="22"/>
        <v>2540302.7841559448</v>
      </c>
      <c r="G41" s="379">
        <f t="shared" si="23"/>
        <v>441838.21946526272</v>
      </c>
      <c r="H41" s="364">
        <f t="shared" si="24"/>
        <v>441838.21946526272</v>
      </c>
      <c r="I41" s="52">
        <f t="shared" si="3"/>
        <v>0</v>
      </c>
      <c r="J41" s="52"/>
      <c r="K41" s="129"/>
      <c r="L41" s="54">
        <f t="shared" si="25"/>
        <v>0</v>
      </c>
      <c r="M41" s="129"/>
      <c r="N41" s="54">
        <f t="shared" si="5"/>
        <v>0</v>
      </c>
      <c r="O41" s="54">
        <f t="shared" si="6"/>
        <v>0</v>
      </c>
      <c r="P41" s="1"/>
    </row>
    <row r="42" spans="2:16" ht="12.5">
      <c r="B42" s="7" t="str">
        <f t="shared" si="4"/>
        <v/>
      </c>
      <c r="C42" s="50">
        <f>IF(D11="","-",+C41+1)</f>
        <v>2040</v>
      </c>
      <c r="D42" s="55">
        <f>IF(F41+SUM(E$17:E41)=D$10,F41,D$10-SUM(E$17:E41))</f>
        <v>2540302.7841559448</v>
      </c>
      <c r="E42" s="378">
        <f t="shared" si="21"/>
        <v>130409.38431818182</v>
      </c>
      <c r="F42" s="55">
        <f t="shared" si="22"/>
        <v>2409893.399837763</v>
      </c>
      <c r="G42" s="379">
        <f t="shared" si="23"/>
        <v>426250.75981694175</v>
      </c>
      <c r="H42" s="364">
        <f t="shared" si="24"/>
        <v>426250.75981694175</v>
      </c>
      <c r="I42" s="52">
        <f t="shared" si="3"/>
        <v>0</v>
      </c>
      <c r="J42" s="52"/>
      <c r="K42" s="129"/>
      <c r="L42" s="54">
        <f t="shared" si="25"/>
        <v>0</v>
      </c>
      <c r="M42" s="129"/>
      <c r="N42" s="54">
        <f t="shared" si="5"/>
        <v>0</v>
      </c>
      <c r="O42" s="54">
        <f t="shared" si="6"/>
        <v>0</v>
      </c>
      <c r="P42" s="1"/>
    </row>
    <row r="43" spans="2:16" ht="12.5">
      <c r="B43" s="7" t="str">
        <f t="shared" si="4"/>
        <v/>
      </c>
      <c r="C43" s="50">
        <f>IF(D11="","-",+C42+1)</f>
        <v>2041</v>
      </c>
      <c r="D43" s="55">
        <f>IF(F42+SUM(E$17:E42)=D$10,F42,D$10-SUM(E$17:E42))</f>
        <v>2409893.399837763</v>
      </c>
      <c r="E43" s="378">
        <f t="shared" si="21"/>
        <v>130409.38431818182</v>
      </c>
      <c r="F43" s="55">
        <f t="shared" si="22"/>
        <v>2279484.0155195813</v>
      </c>
      <c r="G43" s="379">
        <f t="shared" si="23"/>
        <v>410663.30016862071</v>
      </c>
      <c r="H43" s="364">
        <f t="shared" si="24"/>
        <v>410663.30016862071</v>
      </c>
      <c r="I43" s="52">
        <f t="shared" si="3"/>
        <v>0</v>
      </c>
      <c r="J43" s="52"/>
      <c r="K43" s="129"/>
      <c r="L43" s="54">
        <f t="shared" si="25"/>
        <v>0</v>
      </c>
      <c r="M43" s="129"/>
      <c r="N43" s="54">
        <f t="shared" si="5"/>
        <v>0</v>
      </c>
      <c r="O43" s="54">
        <f t="shared" si="6"/>
        <v>0</v>
      </c>
      <c r="P43" s="1"/>
    </row>
    <row r="44" spans="2:16" ht="12.5">
      <c r="B44" s="7" t="str">
        <f t="shared" si="4"/>
        <v/>
      </c>
      <c r="C44" s="50">
        <f>IF(D11="","-",+C43+1)</f>
        <v>2042</v>
      </c>
      <c r="D44" s="55">
        <f>IF(F43+SUM(E$17:E43)=D$10,F43,D$10-SUM(E$17:E43))</f>
        <v>2279484.0155195813</v>
      </c>
      <c r="E44" s="378">
        <f t="shared" si="21"/>
        <v>130409.38431818182</v>
      </c>
      <c r="F44" s="55">
        <f t="shared" si="22"/>
        <v>2149074.6312013995</v>
      </c>
      <c r="G44" s="379">
        <f t="shared" si="23"/>
        <v>395075.84052029974</v>
      </c>
      <c r="H44" s="364">
        <f t="shared" si="24"/>
        <v>395075.84052029974</v>
      </c>
      <c r="I44" s="52">
        <f t="shared" si="3"/>
        <v>0</v>
      </c>
      <c r="J44" s="52"/>
      <c r="K44" s="129"/>
      <c r="L44" s="54">
        <f t="shared" si="25"/>
        <v>0</v>
      </c>
      <c r="M44" s="129"/>
      <c r="N44" s="54">
        <f t="shared" si="5"/>
        <v>0</v>
      </c>
      <c r="O44" s="54">
        <f t="shared" si="6"/>
        <v>0</v>
      </c>
      <c r="P44" s="1"/>
    </row>
    <row r="45" spans="2:16" ht="12.5">
      <c r="B45" s="7" t="str">
        <f t="shared" si="4"/>
        <v/>
      </c>
      <c r="C45" s="50">
        <f>IF(D11="","-",+C44+1)</f>
        <v>2043</v>
      </c>
      <c r="D45" s="55">
        <f>IF(F44+SUM(E$17:E44)=D$10,F44,D$10-SUM(E$17:E44))</f>
        <v>2149074.6312013995</v>
      </c>
      <c r="E45" s="378">
        <f t="shared" si="21"/>
        <v>130409.38431818182</v>
      </c>
      <c r="F45" s="55">
        <f t="shared" si="22"/>
        <v>2018665.2468832177</v>
      </c>
      <c r="G45" s="379">
        <f t="shared" si="23"/>
        <v>379488.38087197865</v>
      </c>
      <c r="H45" s="364">
        <f t="shared" si="24"/>
        <v>379488.38087197865</v>
      </c>
      <c r="I45" s="52">
        <f t="shared" si="3"/>
        <v>0</v>
      </c>
      <c r="J45" s="52"/>
      <c r="K45" s="129"/>
      <c r="L45" s="54">
        <f t="shared" si="25"/>
        <v>0</v>
      </c>
      <c r="M45" s="129"/>
      <c r="N45" s="54">
        <f t="shared" si="5"/>
        <v>0</v>
      </c>
      <c r="O45" s="54">
        <f t="shared" si="6"/>
        <v>0</v>
      </c>
      <c r="P45" s="1"/>
    </row>
    <row r="46" spans="2:16" ht="12.5">
      <c r="B46" s="7" t="str">
        <f t="shared" si="4"/>
        <v/>
      </c>
      <c r="C46" s="50">
        <f>IF(D11="","-",+C45+1)</f>
        <v>2044</v>
      </c>
      <c r="D46" s="55">
        <f>IF(F45+SUM(E$17:E45)=D$10,F45,D$10-SUM(E$17:E45))</f>
        <v>2018665.2468832177</v>
      </c>
      <c r="E46" s="378">
        <f t="shared" si="21"/>
        <v>130409.38431818182</v>
      </c>
      <c r="F46" s="55">
        <f t="shared" si="22"/>
        <v>1888255.8625650359</v>
      </c>
      <c r="G46" s="379">
        <f t="shared" si="23"/>
        <v>363900.92122365767</v>
      </c>
      <c r="H46" s="364">
        <f t="shared" si="24"/>
        <v>363900.92122365767</v>
      </c>
      <c r="I46" s="52">
        <f t="shared" si="3"/>
        <v>0</v>
      </c>
      <c r="J46" s="52"/>
      <c r="K46" s="129"/>
      <c r="L46" s="54">
        <f t="shared" si="25"/>
        <v>0</v>
      </c>
      <c r="M46" s="129"/>
      <c r="N46" s="54">
        <f t="shared" si="5"/>
        <v>0</v>
      </c>
      <c r="O46" s="54">
        <f t="shared" si="6"/>
        <v>0</v>
      </c>
      <c r="P46" s="1"/>
    </row>
    <row r="47" spans="2:16" ht="12.5">
      <c r="B47" s="7" t="str">
        <f t="shared" si="4"/>
        <v/>
      </c>
      <c r="C47" s="50">
        <f>IF(D11="","-",+C46+1)</f>
        <v>2045</v>
      </c>
      <c r="D47" s="55">
        <f>IF(F46+SUM(E$17:E46)=D$10,F46,D$10-SUM(E$17:E46))</f>
        <v>1888255.8625650359</v>
      </c>
      <c r="E47" s="378">
        <f t="shared" si="21"/>
        <v>130409.38431818182</v>
      </c>
      <c r="F47" s="55">
        <f t="shared" si="22"/>
        <v>1757846.4782468542</v>
      </c>
      <c r="G47" s="379">
        <f t="shared" si="23"/>
        <v>348313.46157533664</v>
      </c>
      <c r="H47" s="364">
        <f t="shared" si="24"/>
        <v>348313.46157533664</v>
      </c>
      <c r="I47" s="52">
        <f t="shared" si="3"/>
        <v>0</v>
      </c>
      <c r="J47" s="52"/>
      <c r="K47" s="129"/>
      <c r="L47" s="54">
        <f t="shared" si="25"/>
        <v>0</v>
      </c>
      <c r="M47" s="129"/>
      <c r="N47" s="54">
        <f t="shared" si="5"/>
        <v>0</v>
      </c>
      <c r="O47" s="54">
        <f t="shared" si="6"/>
        <v>0</v>
      </c>
      <c r="P47" s="1"/>
    </row>
    <row r="48" spans="2:16" ht="12.5">
      <c r="B48" s="7" t="str">
        <f t="shared" si="4"/>
        <v/>
      </c>
      <c r="C48" s="50">
        <f>IF(D11="","-",+C47+1)</f>
        <v>2046</v>
      </c>
      <c r="D48" s="55">
        <f>IF(F47+SUM(E$17:E47)=D$10,F47,D$10-SUM(E$17:E47))</f>
        <v>1757846.4782468542</v>
      </c>
      <c r="E48" s="378">
        <f t="shared" si="21"/>
        <v>130409.38431818182</v>
      </c>
      <c r="F48" s="55">
        <f t="shared" si="22"/>
        <v>1627437.0939286724</v>
      </c>
      <c r="G48" s="379">
        <f t="shared" si="23"/>
        <v>332726.0019270156</v>
      </c>
      <c r="H48" s="364">
        <f t="shared" si="24"/>
        <v>332726.0019270156</v>
      </c>
      <c r="I48" s="52">
        <f t="shared" si="3"/>
        <v>0</v>
      </c>
      <c r="J48" s="52"/>
      <c r="K48" s="129"/>
      <c r="L48" s="54">
        <f t="shared" si="25"/>
        <v>0</v>
      </c>
      <c r="M48" s="129"/>
      <c r="N48" s="54">
        <f t="shared" si="5"/>
        <v>0</v>
      </c>
      <c r="O48" s="54">
        <f t="shared" si="6"/>
        <v>0</v>
      </c>
      <c r="P48" s="1"/>
    </row>
    <row r="49" spans="2:16" ht="12.5">
      <c r="B49" s="7" t="str">
        <f t="shared" si="4"/>
        <v/>
      </c>
      <c r="C49" s="50">
        <f>IF(D11="","-",+C48+1)</f>
        <v>2047</v>
      </c>
      <c r="D49" s="55">
        <f>IF(F48+SUM(E$17:E48)=D$10,F48,D$10-SUM(E$17:E48))</f>
        <v>1627437.0939286724</v>
      </c>
      <c r="E49" s="378">
        <f t="shared" si="21"/>
        <v>130409.38431818182</v>
      </c>
      <c r="F49" s="55">
        <f t="shared" si="22"/>
        <v>1497027.7096104906</v>
      </c>
      <c r="G49" s="379">
        <f t="shared" si="23"/>
        <v>317138.54227869457</v>
      </c>
      <c r="H49" s="364">
        <f t="shared" si="24"/>
        <v>317138.54227869457</v>
      </c>
      <c r="I49" s="52">
        <f t="shared" si="3"/>
        <v>0</v>
      </c>
      <c r="J49" s="52"/>
      <c r="K49" s="129"/>
      <c r="L49" s="54">
        <f t="shared" si="25"/>
        <v>0</v>
      </c>
      <c r="M49" s="129"/>
      <c r="N49" s="54">
        <f t="shared" si="5"/>
        <v>0</v>
      </c>
      <c r="O49" s="54">
        <f t="shared" si="6"/>
        <v>0</v>
      </c>
      <c r="P49" s="1"/>
    </row>
    <row r="50" spans="2:16" ht="12.5">
      <c r="B50" s="7" t="str">
        <f t="shared" si="4"/>
        <v/>
      </c>
      <c r="C50" s="50">
        <f>IF(D11="","-",+C49+1)</f>
        <v>2048</v>
      </c>
      <c r="D50" s="55">
        <f>IF(F49+SUM(E$17:E49)=D$10,F49,D$10-SUM(E$17:E49))</f>
        <v>1497027.7096104906</v>
      </c>
      <c r="E50" s="378">
        <f t="shared" si="21"/>
        <v>130409.38431818182</v>
      </c>
      <c r="F50" s="55">
        <f t="shared" si="22"/>
        <v>1366618.3252923088</v>
      </c>
      <c r="G50" s="379">
        <f t="shared" si="23"/>
        <v>301551.0826303736</v>
      </c>
      <c r="H50" s="364">
        <f t="shared" si="24"/>
        <v>301551.0826303736</v>
      </c>
      <c r="I50" s="52">
        <f t="shared" si="3"/>
        <v>0</v>
      </c>
      <c r="J50" s="52"/>
      <c r="K50" s="129"/>
      <c r="L50" s="54">
        <f t="shared" si="25"/>
        <v>0</v>
      </c>
      <c r="M50" s="129"/>
      <c r="N50" s="54">
        <f t="shared" si="5"/>
        <v>0</v>
      </c>
      <c r="O50" s="54">
        <f t="shared" si="6"/>
        <v>0</v>
      </c>
      <c r="P50" s="1"/>
    </row>
    <row r="51" spans="2:16" ht="12.5">
      <c r="B51" s="7" t="str">
        <f t="shared" si="4"/>
        <v/>
      </c>
      <c r="C51" s="50">
        <f>IF(D11="","-",+C50+1)</f>
        <v>2049</v>
      </c>
      <c r="D51" s="55">
        <f>IF(F50+SUM(E$17:E50)=D$10,F50,D$10-SUM(E$17:E50))</f>
        <v>1366618.3252923088</v>
      </c>
      <c r="E51" s="378">
        <f t="shared" si="21"/>
        <v>130409.38431818182</v>
      </c>
      <c r="F51" s="55">
        <f t="shared" si="22"/>
        <v>1236208.940974127</v>
      </c>
      <c r="G51" s="379">
        <f t="shared" ref="G51:G72" si="26">+I$12*((D51+F51)/2)+E51</f>
        <v>285963.62298205256</v>
      </c>
      <c r="H51" s="364">
        <f t="shared" ref="H51:H72" si="27">+I$13*((D51+F51)/2)+E51</f>
        <v>285963.62298205256</v>
      </c>
      <c r="I51" s="52">
        <f t="shared" si="3"/>
        <v>0</v>
      </c>
      <c r="J51" s="52"/>
      <c r="K51" s="129"/>
      <c r="L51" s="54">
        <f t="shared" si="25"/>
        <v>0</v>
      </c>
      <c r="M51" s="129"/>
      <c r="N51" s="54">
        <f t="shared" si="5"/>
        <v>0</v>
      </c>
      <c r="O51" s="54">
        <f t="shared" si="6"/>
        <v>0</v>
      </c>
      <c r="P51" s="1"/>
    </row>
    <row r="52" spans="2:16" ht="12.5">
      <c r="B52" s="7" t="str">
        <f t="shared" si="4"/>
        <v/>
      </c>
      <c r="C52" s="50">
        <f>IF(D11="","-",+C51+1)</f>
        <v>2050</v>
      </c>
      <c r="D52" s="55">
        <f>IF(F51+SUM(E$17:E51)=D$10,F51,D$10-SUM(E$17:E51))</f>
        <v>1236208.940974127</v>
      </c>
      <c r="E52" s="378">
        <f t="shared" si="21"/>
        <v>130409.38431818182</v>
      </c>
      <c r="F52" s="55">
        <f t="shared" si="22"/>
        <v>1105799.5566559453</v>
      </c>
      <c r="G52" s="379">
        <f t="shared" si="26"/>
        <v>270376.16333373153</v>
      </c>
      <c r="H52" s="364">
        <f t="shared" si="27"/>
        <v>270376.16333373153</v>
      </c>
      <c r="I52" s="52">
        <f t="shared" si="3"/>
        <v>0</v>
      </c>
      <c r="J52" s="52"/>
      <c r="K52" s="129"/>
      <c r="L52" s="54">
        <f t="shared" si="25"/>
        <v>0</v>
      </c>
      <c r="M52" s="129"/>
      <c r="N52" s="54">
        <f t="shared" si="5"/>
        <v>0</v>
      </c>
      <c r="O52" s="54">
        <f t="shared" si="6"/>
        <v>0</v>
      </c>
      <c r="P52" s="1"/>
    </row>
    <row r="53" spans="2:16" ht="12.5">
      <c r="B53" s="7" t="str">
        <f t="shared" si="4"/>
        <v/>
      </c>
      <c r="C53" s="50">
        <f>IF(D11="","-",+C52+1)</f>
        <v>2051</v>
      </c>
      <c r="D53" s="55">
        <f>IF(F52+SUM(E$17:E52)=D$10,F52,D$10-SUM(E$17:E52))</f>
        <v>1105799.5566559453</v>
      </c>
      <c r="E53" s="378">
        <f t="shared" si="21"/>
        <v>130409.38431818182</v>
      </c>
      <c r="F53" s="55">
        <f t="shared" si="22"/>
        <v>975390.17233776348</v>
      </c>
      <c r="G53" s="379">
        <f t="shared" si="26"/>
        <v>254788.7036854105</v>
      </c>
      <c r="H53" s="364">
        <f t="shared" si="27"/>
        <v>254788.7036854105</v>
      </c>
      <c r="I53" s="52">
        <f t="shared" si="3"/>
        <v>0</v>
      </c>
      <c r="J53" s="52"/>
      <c r="K53" s="129"/>
      <c r="L53" s="54">
        <f t="shared" si="25"/>
        <v>0</v>
      </c>
      <c r="M53" s="129"/>
      <c r="N53" s="54">
        <f t="shared" si="5"/>
        <v>0</v>
      </c>
      <c r="O53" s="54">
        <f t="shared" si="6"/>
        <v>0</v>
      </c>
      <c r="P53" s="1"/>
    </row>
    <row r="54" spans="2:16" ht="12.5">
      <c r="B54" s="7" t="str">
        <f t="shared" si="4"/>
        <v/>
      </c>
      <c r="C54" s="50">
        <f>IF(D11="","-",+C53+1)</f>
        <v>2052</v>
      </c>
      <c r="D54" s="55">
        <f>IF(F53+SUM(E$17:E53)=D$10,F53,D$10-SUM(E$17:E53))</f>
        <v>975390.17233776348</v>
      </c>
      <c r="E54" s="378">
        <f t="shared" si="21"/>
        <v>130409.38431818182</v>
      </c>
      <c r="F54" s="55">
        <f t="shared" si="22"/>
        <v>844980.7880195817</v>
      </c>
      <c r="G54" s="379">
        <f t="shared" si="26"/>
        <v>239201.24403708949</v>
      </c>
      <c r="H54" s="364">
        <f t="shared" si="27"/>
        <v>239201.24403708949</v>
      </c>
      <c r="I54" s="52">
        <f t="shared" si="3"/>
        <v>0</v>
      </c>
      <c r="J54" s="52"/>
      <c r="K54" s="129"/>
      <c r="L54" s="54">
        <f t="shared" si="25"/>
        <v>0</v>
      </c>
      <c r="M54" s="129"/>
      <c r="N54" s="54">
        <f t="shared" si="5"/>
        <v>0</v>
      </c>
      <c r="O54" s="54">
        <f t="shared" si="6"/>
        <v>0</v>
      </c>
      <c r="P54" s="1"/>
    </row>
    <row r="55" spans="2:16" ht="12.5">
      <c r="B55" s="7" t="str">
        <f t="shared" si="4"/>
        <v/>
      </c>
      <c r="C55" s="50">
        <f>IF(D11="","-",+C54+1)</f>
        <v>2053</v>
      </c>
      <c r="D55" s="55">
        <f>IF(F54+SUM(E$17:E54)=D$10,F54,D$10-SUM(E$17:E54))</f>
        <v>844980.7880195817</v>
      </c>
      <c r="E55" s="378">
        <f t="shared" si="21"/>
        <v>130409.38431818182</v>
      </c>
      <c r="F55" s="55">
        <f t="shared" si="22"/>
        <v>714571.40370139992</v>
      </c>
      <c r="G55" s="379">
        <f t="shared" si="26"/>
        <v>223613.78438876849</v>
      </c>
      <c r="H55" s="364">
        <f t="shared" si="27"/>
        <v>223613.78438876849</v>
      </c>
      <c r="I55" s="52">
        <f t="shared" si="3"/>
        <v>0</v>
      </c>
      <c r="J55" s="52"/>
      <c r="K55" s="129"/>
      <c r="L55" s="54">
        <f t="shared" si="25"/>
        <v>0</v>
      </c>
      <c r="M55" s="129"/>
      <c r="N55" s="54">
        <f t="shared" si="5"/>
        <v>0</v>
      </c>
      <c r="O55" s="54">
        <f t="shared" si="6"/>
        <v>0</v>
      </c>
      <c r="P55" s="1"/>
    </row>
    <row r="56" spans="2:16" ht="12.5">
      <c r="B56" s="7" t="str">
        <f t="shared" si="4"/>
        <v/>
      </c>
      <c r="C56" s="50">
        <f>IF(D11="","-",+C55+1)</f>
        <v>2054</v>
      </c>
      <c r="D56" s="55">
        <f>IF(F55+SUM(E$17:E55)=D$10,F55,D$10-SUM(E$17:E55))</f>
        <v>714571.40370139992</v>
      </c>
      <c r="E56" s="378">
        <f t="shared" si="21"/>
        <v>130409.38431818182</v>
      </c>
      <c r="F56" s="55">
        <f t="shared" si="22"/>
        <v>584162.01938321814</v>
      </c>
      <c r="G56" s="379">
        <f t="shared" si="26"/>
        <v>208026.32474044745</v>
      </c>
      <c r="H56" s="364">
        <f t="shared" si="27"/>
        <v>208026.32474044745</v>
      </c>
      <c r="I56" s="52">
        <f t="shared" si="3"/>
        <v>0</v>
      </c>
      <c r="J56" s="52"/>
      <c r="K56" s="129"/>
      <c r="L56" s="54">
        <f t="shared" si="25"/>
        <v>0</v>
      </c>
      <c r="M56" s="129"/>
      <c r="N56" s="54">
        <f t="shared" si="5"/>
        <v>0</v>
      </c>
      <c r="O56" s="54">
        <f t="shared" si="6"/>
        <v>0</v>
      </c>
      <c r="P56" s="1"/>
    </row>
    <row r="57" spans="2:16" ht="12.5">
      <c r="B57" s="7" t="str">
        <f t="shared" si="4"/>
        <v/>
      </c>
      <c r="C57" s="50">
        <f>IF(D11="","-",+C56+1)</f>
        <v>2055</v>
      </c>
      <c r="D57" s="55">
        <f>IF(F56+SUM(E$17:E56)=D$10,F56,D$10-SUM(E$17:E56))</f>
        <v>584162.01938321814</v>
      </c>
      <c r="E57" s="378">
        <f t="shared" si="21"/>
        <v>130409.38431818182</v>
      </c>
      <c r="F57" s="55">
        <f t="shared" si="22"/>
        <v>453752.6350650363</v>
      </c>
      <c r="G57" s="379">
        <f t="shared" si="26"/>
        <v>192438.86509212642</v>
      </c>
      <c r="H57" s="364">
        <f t="shared" si="27"/>
        <v>192438.86509212642</v>
      </c>
      <c r="I57" s="52">
        <f t="shared" si="3"/>
        <v>0</v>
      </c>
      <c r="J57" s="52"/>
      <c r="K57" s="129"/>
      <c r="L57" s="54">
        <f t="shared" si="25"/>
        <v>0</v>
      </c>
      <c r="M57" s="129"/>
      <c r="N57" s="54">
        <f t="shared" si="5"/>
        <v>0</v>
      </c>
      <c r="O57" s="54">
        <f t="shared" si="6"/>
        <v>0</v>
      </c>
      <c r="P57" s="1"/>
    </row>
    <row r="58" spans="2:16" ht="12.5">
      <c r="B58" s="7" t="str">
        <f t="shared" si="4"/>
        <v/>
      </c>
      <c r="C58" s="50">
        <f>IF(D11="","-",+C57+1)</f>
        <v>2056</v>
      </c>
      <c r="D58" s="55">
        <f>IF(F57+SUM(E$17:E57)=D$10,F57,D$10-SUM(E$17:E57))</f>
        <v>453752.6350650363</v>
      </c>
      <c r="E58" s="378">
        <f t="shared" si="21"/>
        <v>130409.38431818182</v>
      </c>
      <c r="F58" s="55">
        <f t="shared" si="22"/>
        <v>323343.25074685446</v>
      </c>
      <c r="G58" s="379">
        <f t="shared" si="26"/>
        <v>176851.40544380539</v>
      </c>
      <c r="H58" s="364">
        <f t="shared" si="27"/>
        <v>176851.40544380539</v>
      </c>
      <c r="I58" s="52">
        <f t="shared" si="3"/>
        <v>0</v>
      </c>
      <c r="J58" s="52"/>
      <c r="K58" s="129"/>
      <c r="L58" s="54">
        <f t="shared" si="25"/>
        <v>0</v>
      </c>
      <c r="M58" s="129"/>
      <c r="N58" s="54">
        <f t="shared" si="5"/>
        <v>0</v>
      </c>
      <c r="O58" s="54">
        <f t="shared" si="6"/>
        <v>0</v>
      </c>
      <c r="P58" s="1"/>
    </row>
    <row r="59" spans="2:16" ht="12.5">
      <c r="B59" s="7" t="str">
        <f t="shared" si="4"/>
        <v/>
      </c>
      <c r="C59" s="50">
        <f>IF(D11="","-",+C58+1)</f>
        <v>2057</v>
      </c>
      <c r="D59" s="55">
        <f>IF(F58+SUM(E$17:E58)=D$10,F58,D$10-SUM(E$17:E58))</f>
        <v>323343.25074685446</v>
      </c>
      <c r="E59" s="378">
        <f t="shared" si="21"/>
        <v>130409.38431818182</v>
      </c>
      <c r="F59" s="55">
        <f t="shared" si="22"/>
        <v>192933.86642867263</v>
      </c>
      <c r="G59" s="379">
        <f t="shared" si="26"/>
        <v>161263.94579548438</v>
      </c>
      <c r="H59" s="364">
        <f t="shared" si="27"/>
        <v>161263.94579548438</v>
      </c>
      <c r="I59" s="52">
        <f t="shared" si="3"/>
        <v>0</v>
      </c>
      <c r="J59" s="52"/>
      <c r="K59" s="129"/>
      <c r="L59" s="54">
        <f t="shared" si="25"/>
        <v>0</v>
      </c>
      <c r="M59" s="129"/>
      <c r="N59" s="54">
        <f t="shared" si="5"/>
        <v>0</v>
      </c>
      <c r="O59" s="54">
        <f t="shared" si="6"/>
        <v>0</v>
      </c>
      <c r="P59" s="1"/>
    </row>
    <row r="60" spans="2:16" ht="12.5">
      <c r="B60" s="7" t="str">
        <f t="shared" si="4"/>
        <v/>
      </c>
      <c r="C60" s="50">
        <f>IF(D11="","-",+C59+1)</f>
        <v>2058</v>
      </c>
      <c r="D60" s="55">
        <f>IF(F59+SUM(E$17:E59)=D$10,F59,D$10-SUM(E$17:E59))</f>
        <v>192933.86642867263</v>
      </c>
      <c r="E60" s="378">
        <f t="shared" si="21"/>
        <v>130409.38431818182</v>
      </c>
      <c r="F60" s="55">
        <f t="shared" si="22"/>
        <v>62524.482110490804</v>
      </c>
      <c r="G60" s="379">
        <f t="shared" si="26"/>
        <v>145676.48614716335</v>
      </c>
      <c r="H60" s="364">
        <f t="shared" si="27"/>
        <v>145676.48614716335</v>
      </c>
      <c r="I60" s="52">
        <f t="shared" si="3"/>
        <v>0</v>
      </c>
      <c r="J60" s="52"/>
      <c r="K60" s="129"/>
      <c r="L60" s="54">
        <f t="shared" si="25"/>
        <v>0</v>
      </c>
      <c r="M60" s="129"/>
      <c r="N60" s="54">
        <f t="shared" si="5"/>
        <v>0</v>
      </c>
      <c r="O60" s="54">
        <f t="shared" si="6"/>
        <v>0</v>
      </c>
      <c r="P60" s="1"/>
    </row>
    <row r="61" spans="2:16" ht="12.5">
      <c r="B61" s="7" t="str">
        <f t="shared" si="4"/>
        <v/>
      </c>
      <c r="C61" s="50">
        <f>IF(D11="","-",+C60+1)</f>
        <v>2059</v>
      </c>
      <c r="D61" s="55">
        <f>IF(F60+SUM(E$17:E60)=D$10,F60,D$10-SUM(E$17:E60))</f>
        <v>62524.482110490804</v>
      </c>
      <c r="E61" s="378">
        <f t="shared" si="21"/>
        <v>62524.482110490804</v>
      </c>
      <c r="F61" s="55">
        <f t="shared" si="22"/>
        <v>0</v>
      </c>
      <c r="G61" s="379">
        <f t="shared" si="26"/>
        <v>66261.168112901316</v>
      </c>
      <c r="H61" s="364">
        <f t="shared" si="27"/>
        <v>66261.168112901316</v>
      </c>
      <c r="I61" s="52">
        <f t="shared" si="3"/>
        <v>0</v>
      </c>
      <c r="J61" s="52"/>
      <c r="K61" s="129"/>
      <c r="L61" s="54">
        <f t="shared" si="25"/>
        <v>0</v>
      </c>
      <c r="M61" s="129"/>
      <c r="N61" s="54">
        <f t="shared" si="5"/>
        <v>0</v>
      </c>
      <c r="O61" s="54">
        <f t="shared" si="6"/>
        <v>0</v>
      </c>
      <c r="P61" s="1"/>
    </row>
    <row r="62" spans="2:16" ht="12.5">
      <c r="B62" s="7" t="str">
        <f t="shared" si="4"/>
        <v/>
      </c>
      <c r="C62" s="50">
        <f>IF(D11="","-",+C61+1)</f>
        <v>2060</v>
      </c>
      <c r="D62" s="55">
        <f>IF(F61+SUM(E$17:E61)=D$10,F61,D$10-SUM(E$17:E61))</f>
        <v>0</v>
      </c>
      <c r="E62" s="378">
        <f t="shared" si="21"/>
        <v>0</v>
      </c>
      <c r="F62" s="55">
        <f t="shared" si="22"/>
        <v>0</v>
      </c>
      <c r="G62" s="379">
        <f t="shared" si="26"/>
        <v>0</v>
      </c>
      <c r="H62" s="364">
        <f t="shared" si="27"/>
        <v>0</v>
      </c>
      <c r="I62" s="52">
        <f t="shared" si="3"/>
        <v>0</v>
      </c>
      <c r="J62" s="52"/>
      <c r="K62" s="129"/>
      <c r="L62" s="54">
        <f t="shared" si="25"/>
        <v>0</v>
      </c>
      <c r="M62" s="129"/>
      <c r="N62" s="54">
        <f t="shared" si="5"/>
        <v>0</v>
      </c>
      <c r="O62" s="54">
        <f t="shared" si="6"/>
        <v>0</v>
      </c>
      <c r="P62" s="1"/>
    </row>
    <row r="63" spans="2:16" ht="12.5">
      <c r="B63" s="7" t="str">
        <f t="shared" si="4"/>
        <v/>
      </c>
      <c r="C63" s="50">
        <f>IF(D11="","-",+C62+1)</f>
        <v>2061</v>
      </c>
      <c r="D63" s="55">
        <f>IF(F62+SUM(E$17:E62)=D$10,F62,D$10-SUM(E$17:E62))</f>
        <v>0</v>
      </c>
      <c r="E63" s="378">
        <f t="shared" si="21"/>
        <v>0</v>
      </c>
      <c r="F63" s="55">
        <f t="shared" si="22"/>
        <v>0</v>
      </c>
      <c r="G63" s="379">
        <f t="shared" si="26"/>
        <v>0</v>
      </c>
      <c r="H63" s="364">
        <f t="shared" si="27"/>
        <v>0</v>
      </c>
      <c r="I63" s="52">
        <f t="shared" si="3"/>
        <v>0</v>
      </c>
      <c r="J63" s="52"/>
      <c r="K63" s="129"/>
      <c r="L63" s="54">
        <f t="shared" si="25"/>
        <v>0</v>
      </c>
      <c r="M63" s="129"/>
      <c r="N63" s="54">
        <f t="shared" si="5"/>
        <v>0</v>
      </c>
      <c r="O63" s="54">
        <f t="shared" si="6"/>
        <v>0</v>
      </c>
      <c r="P63" s="1"/>
    </row>
    <row r="64" spans="2:16" ht="12.5">
      <c r="B64" s="7" t="str">
        <f t="shared" si="4"/>
        <v/>
      </c>
      <c r="C64" s="50">
        <f>IF(D11="","-",+C63+1)</f>
        <v>2062</v>
      </c>
      <c r="D64" s="55">
        <f>IF(F63+SUM(E$17:E63)=D$10,F63,D$10-SUM(E$17:E63))</f>
        <v>0</v>
      </c>
      <c r="E64" s="378">
        <f t="shared" si="21"/>
        <v>0</v>
      </c>
      <c r="F64" s="55">
        <f t="shared" si="22"/>
        <v>0</v>
      </c>
      <c r="G64" s="379">
        <f t="shared" si="26"/>
        <v>0</v>
      </c>
      <c r="H64" s="364">
        <f t="shared" si="27"/>
        <v>0</v>
      </c>
      <c r="I64" s="52">
        <f t="shared" si="3"/>
        <v>0</v>
      </c>
      <c r="J64" s="52"/>
      <c r="K64" s="129"/>
      <c r="L64" s="54">
        <f t="shared" si="25"/>
        <v>0</v>
      </c>
      <c r="M64" s="129"/>
      <c r="N64" s="54">
        <f t="shared" si="5"/>
        <v>0</v>
      </c>
      <c r="O64" s="54">
        <f t="shared" si="6"/>
        <v>0</v>
      </c>
      <c r="P64" s="1"/>
    </row>
    <row r="65" spans="2:16" ht="12.5">
      <c r="B65" s="7" t="str">
        <f t="shared" si="4"/>
        <v/>
      </c>
      <c r="C65" s="50">
        <f>IF(D11="","-",+C64+1)</f>
        <v>2063</v>
      </c>
      <c r="D65" s="55">
        <f>IF(F64+SUM(E$17:E64)=D$10,F64,D$10-SUM(E$17:E64))</f>
        <v>0</v>
      </c>
      <c r="E65" s="378">
        <f t="shared" si="21"/>
        <v>0</v>
      </c>
      <c r="F65" s="55">
        <f t="shared" si="22"/>
        <v>0</v>
      </c>
      <c r="G65" s="379">
        <f t="shared" si="26"/>
        <v>0</v>
      </c>
      <c r="H65" s="364">
        <f t="shared" si="27"/>
        <v>0</v>
      </c>
      <c r="I65" s="52">
        <f t="shared" si="3"/>
        <v>0</v>
      </c>
      <c r="J65" s="52"/>
      <c r="K65" s="129"/>
      <c r="L65" s="54">
        <f t="shared" si="25"/>
        <v>0</v>
      </c>
      <c r="M65" s="129"/>
      <c r="N65" s="54">
        <f t="shared" si="5"/>
        <v>0</v>
      </c>
      <c r="O65" s="54">
        <f t="shared" si="6"/>
        <v>0</v>
      </c>
      <c r="P65" s="1"/>
    </row>
    <row r="66" spans="2:16" ht="12.5">
      <c r="B66" s="7" t="str">
        <f t="shared" si="4"/>
        <v/>
      </c>
      <c r="C66" s="50">
        <f>IF(D11="","-",+C65+1)</f>
        <v>2064</v>
      </c>
      <c r="D66" s="55">
        <f>IF(F65+SUM(E$17:E65)=D$10,F65,D$10-SUM(E$17:E65))</f>
        <v>0</v>
      </c>
      <c r="E66" s="378">
        <f t="shared" si="21"/>
        <v>0</v>
      </c>
      <c r="F66" s="55">
        <f t="shared" si="22"/>
        <v>0</v>
      </c>
      <c r="G66" s="379">
        <f t="shared" si="26"/>
        <v>0</v>
      </c>
      <c r="H66" s="364">
        <f t="shared" si="27"/>
        <v>0</v>
      </c>
      <c r="I66" s="52">
        <f t="shared" si="3"/>
        <v>0</v>
      </c>
      <c r="J66" s="52"/>
      <c r="K66" s="129"/>
      <c r="L66" s="54">
        <f t="shared" si="25"/>
        <v>0</v>
      </c>
      <c r="M66" s="129"/>
      <c r="N66" s="54">
        <f t="shared" si="5"/>
        <v>0</v>
      </c>
      <c r="O66" s="54">
        <f t="shared" si="6"/>
        <v>0</v>
      </c>
      <c r="P66" s="1"/>
    </row>
    <row r="67" spans="2:16" ht="12.5">
      <c r="B67" s="7" t="str">
        <f t="shared" si="4"/>
        <v/>
      </c>
      <c r="C67" s="50">
        <f>IF(D11="","-",+C66+1)</f>
        <v>2065</v>
      </c>
      <c r="D67" s="55">
        <f>IF(F66+SUM(E$17:E66)=D$10,F66,D$10-SUM(E$17:E66))</f>
        <v>0</v>
      </c>
      <c r="E67" s="378">
        <f t="shared" si="21"/>
        <v>0</v>
      </c>
      <c r="F67" s="55">
        <f t="shared" si="22"/>
        <v>0</v>
      </c>
      <c r="G67" s="379">
        <f t="shared" si="26"/>
        <v>0</v>
      </c>
      <c r="H67" s="364">
        <f t="shared" si="27"/>
        <v>0</v>
      </c>
      <c r="I67" s="52">
        <f t="shared" si="3"/>
        <v>0</v>
      </c>
      <c r="J67" s="52"/>
      <c r="K67" s="129"/>
      <c r="L67" s="54">
        <f t="shared" si="25"/>
        <v>0</v>
      </c>
      <c r="M67" s="129"/>
      <c r="N67" s="54">
        <f t="shared" si="5"/>
        <v>0</v>
      </c>
      <c r="O67" s="54">
        <f t="shared" si="6"/>
        <v>0</v>
      </c>
      <c r="P67" s="1"/>
    </row>
    <row r="68" spans="2:16" ht="12.5">
      <c r="B68" s="7" t="str">
        <f t="shared" si="4"/>
        <v/>
      </c>
      <c r="C68" s="50">
        <f>IF(D11="","-",+C67+1)</f>
        <v>2066</v>
      </c>
      <c r="D68" s="55">
        <f>IF(F67+SUM(E$17:E67)=D$10,F67,D$10-SUM(E$17:E67))</f>
        <v>0</v>
      </c>
      <c r="E68" s="378">
        <f t="shared" si="21"/>
        <v>0</v>
      </c>
      <c r="F68" s="55">
        <f t="shared" si="22"/>
        <v>0</v>
      </c>
      <c r="G68" s="379">
        <f t="shared" si="26"/>
        <v>0</v>
      </c>
      <c r="H68" s="364">
        <f t="shared" si="27"/>
        <v>0</v>
      </c>
      <c r="I68" s="52">
        <f t="shared" si="3"/>
        <v>0</v>
      </c>
      <c r="J68" s="52"/>
      <c r="K68" s="129"/>
      <c r="L68" s="54">
        <f t="shared" si="25"/>
        <v>0</v>
      </c>
      <c r="M68" s="129"/>
      <c r="N68" s="54">
        <f t="shared" si="5"/>
        <v>0</v>
      </c>
      <c r="O68" s="54">
        <f t="shared" si="6"/>
        <v>0</v>
      </c>
      <c r="P68" s="1"/>
    </row>
    <row r="69" spans="2:16" ht="12.5">
      <c r="B69" s="7" t="str">
        <f t="shared" si="4"/>
        <v/>
      </c>
      <c r="C69" s="50">
        <f>IF(D11="","-",+C68+1)</f>
        <v>2067</v>
      </c>
      <c r="D69" s="55">
        <f>IF(F68+SUM(E$17:E68)=D$10,F68,D$10-SUM(E$17:E68))</f>
        <v>0</v>
      </c>
      <c r="E69" s="378">
        <f t="shared" si="21"/>
        <v>0</v>
      </c>
      <c r="F69" s="55">
        <f t="shared" si="22"/>
        <v>0</v>
      </c>
      <c r="G69" s="379">
        <f t="shared" si="26"/>
        <v>0</v>
      </c>
      <c r="H69" s="364">
        <f t="shared" si="27"/>
        <v>0</v>
      </c>
      <c r="I69" s="52">
        <f t="shared" si="3"/>
        <v>0</v>
      </c>
      <c r="J69" s="52"/>
      <c r="K69" s="129"/>
      <c r="L69" s="54">
        <f t="shared" si="25"/>
        <v>0</v>
      </c>
      <c r="M69" s="129"/>
      <c r="N69" s="54">
        <f t="shared" si="5"/>
        <v>0</v>
      </c>
      <c r="O69" s="54">
        <f t="shared" si="6"/>
        <v>0</v>
      </c>
      <c r="P69" s="1"/>
    </row>
    <row r="70" spans="2:16" ht="12.5">
      <c r="B70" s="7" t="str">
        <f t="shared" si="4"/>
        <v/>
      </c>
      <c r="C70" s="50">
        <f>IF(D11="","-",+C69+1)</f>
        <v>2068</v>
      </c>
      <c r="D70" s="55">
        <f>IF(F69+SUM(E$17:E69)=D$10,F69,D$10-SUM(E$17:E69))</f>
        <v>0</v>
      </c>
      <c r="E70" s="378">
        <f t="shared" si="21"/>
        <v>0</v>
      </c>
      <c r="F70" s="55">
        <f t="shared" si="22"/>
        <v>0</v>
      </c>
      <c r="G70" s="379">
        <f t="shared" si="26"/>
        <v>0</v>
      </c>
      <c r="H70" s="364">
        <f t="shared" si="27"/>
        <v>0</v>
      </c>
      <c r="I70" s="52">
        <f t="shared" si="3"/>
        <v>0</v>
      </c>
      <c r="J70" s="52"/>
      <c r="K70" s="129"/>
      <c r="L70" s="54">
        <f t="shared" si="25"/>
        <v>0</v>
      </c>
      <c r="M70" s="129"/>
      <c r="N70" s="54">
        <f t="shared" si="5"/>
        <v>0</v>
      </c>
      <c r="O70" s="54">
        <f t="shared" si="6"/>
        <v>0</v>
      </c>
      <c r="P70" s="1"/>
    </row>
    <row r="71" spans="2:16" ht="12.5">
      <c r="B71" s="7" t="str">
        <f t="shared" si="4"/>
        <v/>
      </c>
      <c r="C71" s="50">
        <f>IF(D11="","-",+C70+1)</f>
        <v>2069</v>
      </c>
      <c r="D71" s="55">
        <f>IF(F70+SUM(E$17:E70)=D$10,F70,D$10-SUM(E$17:E70))</f>
        <v>0</v>
      </c>
      <c r="E71" s="378">
        <f t="shared" si="21"/>
        <v>0</v>
      </c>
      <c r="F71" s="55">
        <f t="shared" si="22"/>
        <v>0</v>
      </c>
      <c r="G71" s="379">
        <f t="shared" si="26"/>
        <v>0</v>
      </c>
      <c r="H71" s="364">
        <f t="shared" si="27"/>
        <v>0</v>
      </c>
      <c r="I71" s="52">
        <f t="shared" si="3"/>
        <v>0</v>
      </c>
      <c r="J71" s="52"/>
      <c r="K71" s="129"/>
      <c r="L71" s="54">
        <f t="shared" si="25"/>
        <v>0</v>
      </c>
      <c r="M71" s="129"/>
      <c r="N71" s="54">
        <f t="shared" si="5"/>
        <v>0</v>
      </c>
      <c r="O71" s="54">
        <f t="shared" si="6"/>
        <v>0</v>
      </c>
      <c r="P71" s="1"/>
    </row>
    <row r="72" spans="2:16" ht="13" thickBot="1">
      <c r="B72" s="7" t="str">
        <f t="shared" si="4"/>
        <v/>
      </c>
      <c r="C72" s="59">
        <f>IF(D11="","-",+C71+1)</f>
        <v>2070</v>
      </c>
      <c r="D72" s="55">
        <f>IF(F71+SUM(E$17:E71)=D$10,F71,D$10-SUM(E$17:E71))</f>
        <v>0</v>
      </c>
      <c r="E72" s="378">
        <f t="shared" si="21"/>
        <v>0</v>
      </c>
      <c r="F72" s="55">
        <f t="shared" si="22"/>
        <v>0</v>
      </c>
      <c r="G72" s="379">
        <f t="shared" si="26"/>
        <v>0</v>
      </c>
      <c r="H72" s="364">
        <f t="shared" si="27"/>
        <v>0</v>
      </c>
      <c r="I72" s="52">
        <f t="shared" si="3"/>
        <v>0</v>
      </c>
      <c r="J72" s="52"/>
      <c r="K72" s="130"/>
      <c r="L72" s="64">
        <f t="shared" si="25"/>
        <v>0</v>
      </c>
      <c r="M72" s="130"/>
      <c r="N72" s="64">
        <f t="shared" si="5"/>
        <v>0</v>
      </c>
      <c r="O72" s="64">
        <f t="shared" si="6"/>
        <v>0</v>
      </c>
      <c r="P72" s="1"/>
    </row>
    <row r="73" spans="2:16" ht="12.5">
      <c r="C73" s="12" t="s">
        <v>78</v>
      </c>
      <c r="D73" s="293"/>
      <c r="E73" s="293">
        <f>SUM(E17:E72)</f>
        <v>5738012.9100000029</v>
      </c>
      <c r="F73" s="293"/>
      <c r="G73" s="293">
        <f>SUM(G17:G72)</f>
        <v>21273652.908755027</v>
      </c>
      <c r="H73" s="293">
        <f>SUM(H17:H72)</f>
        <v>21273652.908755027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 ht="13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53 of 77</v>
      </c>
    </row>
    <row r="84" spans="1:16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675650.11419007811</v>
      </c>
      <c r="N87" s="387">
        <f>IF(J92&lt;D11,0,VLOOKUP(J92,C17:O72,11))</f>
        <v>675650.11419007811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700457.01138181461</v>
      </c>
      <c r="N88" s="390">
        <f>IF(J92&lt;D11,0,VLOOKUP(J92,C99:P154,7))</f>
        <v>700457.01138181461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Mt. Pleasant - West Mt. Pleasant 69 kV Ckt 1)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24806.897191736498</v>
      </c>
      <c r="N89" s="392">
        <f>+N88-N87</f>
        <v>24806.897191736498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TP2007166</v>
      </c>
      <c r="E91" s="76" t="str">
        <f>E9</f>
        <v xml:space="preserve">  SPP Project ID = 30731</v>
      </c>
      <c r="F91" s="76"/>
      <c r="G91" s="76"/>
      <c r="H91" s="76"/>
      <c r="I91" s="76"/>
      <c r="J91" s="76"/>
    </row>
    <row r="92" spans="1:16" ht="13">
      <c r="C92" s="34" t="s">
        <v>51</v>
      </c>
      <c r="D92" s="428">
        <f>D10</f>
        <v>5738012.9100000001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</row>
    <row r="93" spans="1:16" ht="12.5">
      <c r="C93" s="34" t="s">
        <v>54</v>
      </c>
      <c r="D93" s="88">
        <f>IF(D11=I10,"",D11)</f>
        <v>2015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4">
        <f>IF(D11=I10,"",D12)</f>
        <v>5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130409.38431818182</v>
      </c>
      <c r="K96" s="293"/>
      <c r="L96" s="293"/>
      <c r="M96" s="293"/>
      <c r="N96" s="293"/>
      <c r="O96" s="293"/>
      <c r="P96" s="1"/>
    </row>
    <row r="97" spans="1:16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 ht="12.5">
      <c r="C99" s="50">
        <f>IF(D93= "","-",D93)</f>
        <v>2015</v>
      </c>
      <c r="D99" s="429">
        <v>0</v>
      </c>
      <c r="E99" s="430">
        <v>11358.232142857143</v>
      </c>
      <c r="F99" s="431">
        <v>5713190.7678571427</v>
      </c>
      <c r="G99" s="432">
        <v>2856595.3839285714</v>
      </c>
      <c r="H99" s="433">
        <v>387768.60042600508</v>
      </c>
      <c r="I99" s="434">
        <v>387768.60042600508</v>
      </c>
      <c r="J99" s="54">
        <f>+I99-H99</f>
        <v>0</v>
      </c>
      <c r="K99" s="54"/>
      <c r="L99" s="112">
        <f t="shared" ref="L99:L104" si="28">+H99</f>
        <v>387768.60042600508</v>
      </c>
      <c r="M99" s="53">
        <f t="shared" ref="M99:M130" si="29">IF(L99&lt;&gt;0,+H99-L99,0)</f>
        <v>0</v>
      </c>
      <c r="N99" s="112">
        <f t="shared" ref="N99:N104" si="30">+I99</f>
        <v>387768.60042600508</v>
      </c>
      <c r="O99" s="53">
        <f t="shared" ref="O99:O130" si="31">IF(N99&lt;&gt;0,+I99-N99,0)</f>
        <v>0</v>
      </c>
      <c r="P99" s="53">
        <f t="shared" ref="P99:P130" si="32">+O99-M99</f>
        <v>0</v>
      </c>
    </row>
    <row r="100" spans="1:16" ht="12.5">
      <c r="B100" s="7" t="str">
        <f>IF(D100=F99,"","IU")</f>
        <v>IU</v>
      </c>
      <c r="C100" s="50">
        <f>IF(D93="","-",+C99+1)</f>
        <v>2016</v>
      </c>
      <c r="D100" s="429">
        <v>5726654.7678571427</v>
      </c>
      <c r="E100" s="430">
        <v>133442.16279069768</v>
      </c>
      <c r="F100" s="431">
        <v>5593212.6050664447</v>
      </c>
      <c r="G100" s="431">
        <v>5659933.6864617933</v>
      </c>
      <c r="H100" s="433">
        <v>851970.67799992743</v>
      </c>
      <c r="I100" s="434">
        <v>851970.67799992743</v>
      </c>
      <c r="J100" s="54">
        <f>+I100-H100</f>
        <v>0</v>
      </c>
      <c r="K100" s="54"/>
      <c r="L100" s="113">
        <f t="shared" si="28"/>
        <v>851970.67799992743</v>
      </c>
      <c r="M100" s="54">
        <f t="shared" ref="M100:M105" si="33">IF(L100&lt;&gt;0,+H100-L100,0)</f>
        <v>0</v>
      </c>
      <c r="N100" s="113">
        <f t="shared" si="30"/>
        <v>851970.67799992743</v>
      </c>
      <c r="O100" s="54">
        <f>IF(N100&lt;&gt;0,+I100-N100,0)</f>
        <v>0</v>
      </c>
      <c r="P100" s="54">
        <f>+O100-M100</f>
        <v>0</v>
      </c>
    </row>
    <row r="101" spans="1:16" ht="12.5">
      <c r="B101" s="7" t="str">
        <f t="shared" ref="B101:B154" si="34">IF(D101=F100,"","IU")</f>
        <v/>
      </c>
      <c r="C101" s="50">
        <f>IF(D93="","-",+C100+1)</f>
        <v>2017</v>
      </c>
      <c r="D101" s="429">
        <v>5593212.6050664447</v>
      </c>
      <c r="E101" s="430">
        <v>136619.35714285713</v>
      </c>
      <c r="F101" s="431">
        <v>5456593.2479235874</v>
      </c>
      <c r="G101" s="431">
        <v>5524902.9264950156</v>
      </c>
      <c r="H101" s="433">
        <v>807737.36918670509</v>
      </c>
      <c r="I101" s="434">
        <v>807737.36918670509</v>
      </c>
      <c r="J101" s="54">
        <f t="shared" ref="J101:J154" si="35">+I101-H101</f>
        <v>0</v>
      </c>
      <c r="K101" s="54"/>
      <c r="L101" s="113">
        <f t="shared" si="28"/>
        <v>807737.36918670509</v>
      </c>
      <c r="M101" s="54">
        <f t="shared" si="33"/>
        <v>0</v>
      </c>
      <c r="N101" s="113">
        <f t="shared" si="30"/>
        <v>807737.36918670509</v>
      </c>
      <c r="O101" s="54">
        <f>IF(N101&lt;&gt;0,+I101-N101,0)</f>
        <v>0</v>
      </c>
      <c r="P101" s="54">
        <f>+O101-M101</f>
        <v>0</v>
      </c>
    </row>
    <row r="102" spans="1:16" ht="12.5">
      <c r="B102" s="7" t="str">
        <f t="shared" si="34"/>
        <v/>
      </c>
      <c r="C102" s="50">
        <f>IF(D93="","-",+C101+1)</f>
        <v>2018</v>
      </c>
      <c r="D102" s="429">
        <v>5456593.2479235874</v>
      </c>
      <c r="E102" s="430">
        <v>136619.35714285713</v>
      </c>
      <c r="F102" s="431">
        <v>5319973.8907807302</v>
      </c>
      <c r="G102" s="431">
        <v>5388283.5693521593</v>
      </c>
      <c r="H102" s="433">
        <v>705646.81176386797</v>
      </c>
      <c r="I102" s="434">
        <v>705646.81176386797</v>
      </c>
      <c r="J102" s="54">
        <f t="shared" si="35"/>
        <v>0</v>
      </c>
      <c r="K102" s="54"/>
      <c r="L102" s="113">
        <f t="shared" si="28"/>
        <v>705646.81176386797</v>
      </c>
      <c r="M102" s="54">
        <f t="shared" si="33"/>
        <v>0</v>
      </c>
      <c r="N102" s="113">
        <f t="shared" si="30"/>
        <v>705646.81176386797</v>
      </c>
      <c r="O102" s="54">
        <f>IF(N102&lt;&gt;0,+I102-N102,0)</f>
        <v>0</v>
      </c>
      <c r="P102" s="54">
        <f t="shared" si="32"/>
        <v>0</v>
      </c>
    </row>
    <row r="103" spans="1:16" ht="12.5">
      <c r="B103" s="7" t="str">
        <f t="shared" si="34"/>
        <v/>
      </c>
      <c r="C103" s="50">
        <f>IF(D93="","-",+C102+1)</f>
        <v>2019</v>
      </c>
      <c r="D103" s="429">
        <v>5319973.8907807302</v>
      </c>
      <c r="E103" s="430">
        <v>133442.16279069768</v>
      </c>
      <c r="F103" s="431">
        <v>5186531.7279900322</v>
      </c>
      <c r="G103" s="431">
        <v>5253252.8093853816</v>
      </c>
      <c r="H103" s="433">
        <v>695753.21463092987</v>
      </c>
      <c r="I103" s="434">
        <v>695753.21463092987</v>
      </c>
      <c r="J103" s="54">
        <f t="shared" si="35"/>
        <v>0</v>
      </c>
      <c r="K103" s="54"/>
      <c r="L103" s="113">
        <f t="shared" si="28"/>
        <v>695753.21463092987</v>
      </c>
      <c r="M103" s="54">
        <f t="shared" si="33"/>
        <v>0</v>
      </c>
      <c r="N103" s="113">
        <f t="shared" si="30"/>
        <v>695753.21463092987</v>
      </c>
      <c r="O103" s="54">
        <f t="shared" si="31"/>
        <v>0</v>
      </c>
      <c r="P103" s="54">
        <f t="shared" si="32"/>
        <v>0</v>
      </c>
    </row>
    <row r="104" spans="1:16" ht="12.5">
      <c r="B104" s="7" t="str">
        <f t="shared" si="34"/>
        <v/>
      </c>
      <c r="C104" s="50">
        <f>IF(D93="","-",+C103+1)</f>
        <v>2020</v>
      </c>
      <c r="D104" s="429">
        <v>5186531.7279900322</v>
      </c>
      <c r="E104" s="430">
        <v>136619.35714285713</v>
      </c>
      <c r="F104" s="431">
        <v>5049912.3708471749</v>
      </c>
      <c r="G104" s="431">
        <v>5118222.049418604</v>
      </c>
      <c r="H104" s="433">
        <v>687206.11858859565</v>
      </c>
      <c r="I104" s="434">
        <v>687206.11858859565</v>
      </c>
      <c r="J104" s="54">
        <f t="shared" si="35"/>
        <v>0</v>
      </c>
      <c r="K104" s="54"/>
      <c r="L104" s="113">
        <f t="shared" si="28"/>
        <v>687206.11858859565</v>
      </c>
      <c r="M104" s="54">
        <f t="shared" si="33"/>
        <v>0</v>
      </c>
      <c r="N104" s="113">
        <f t="shared" si="30"/>
        <v>687206.11858859565</v>
      </c>
      <c r="O104" s="54">
        <f t="shared" si="31"/>
        <v>0</v>
      </c>
      <c r="P104" s="54">
        <f t="shared" si="32"/>
        <v>0</v>
      </c>
    </row>
    <row r="105" spans="1:16" ht="12.5">
      <c r="B105" s="7" t="str">
        <f t="shared" si="34"/>
        <v/>
      </c>
      <c r="C105" s="50">
        <f>IF(D93="","-",+C104+1)</f>
        <v>2021</v>
      </c>
      <c r="D105" s="429">
        <v>5049912.3708471749</v>
      </c>
      <c r="E105" s="430">
        <v>139951.53658536586</v>
      </c>
      <c r="F105" s="431">
        <v>4909960.8342618095</v>
      </c>
      <c r="G105" s="431">
        <v>4979936.6025544927</v>
      </c>
      <c r="H105" s="433">
        <v>705245.18740494445</v>
      </c>
      <c r="I105" s="434">
        <v>705245.18740494445</v>
      </c>
      <c r="J105" s="54">
        <f t="shared" si="35"/>
        <v>0</v>
      </c>
      <c r="K105" s="54"/>
      <c r="L105" s="113">
        <f t="shared" ref="L105" si="36">+H105</f>
        <v>705245.18740494445</v>
      </c>
      <c r="M105" s="54">
        <f t="shared" si="33"/>
        <v>0</v>
      </c>
      <c r="N105" s="113">
        <f t="shared" ref="N105" si="37">+I105</f>
        <v>705245.18740494445</v>
      </c>
      <c r="O105" s="54">
        <f t="shared" si="31"/>
        <v>0</v>
      </c>
      <c r="P105" s="54">
        <f t="shared" si="32"/>
        <v>0</v>
      </c>
    </row>
    <row r="106" spans="1:16" ht="12.5">
      <c r="B106" s="7" t="str">
        <f t="shared" si="34"/>
        <v/>
      </c>
      <c r="C106" s="50">
        <f>IF(D93="","-",+C105+1)</f>
        <v>2022</v>
      </c>
      <c r="D106" s="429">
        <v>4909960.8342618095</v>
      </c>
      <c r="E106" s="430">
        <v>136619.35714285713</v>
      </c>
      <c r="F106" s="431">
        <v>4773341.4771189522</v>
      </c>
      <c r="G106" s="431">
        <v>4841651.1556903813</v>
      </c>
      <c r="H106" s="433">
        <v>705309.25865404611</v>
      </c>
      <c r="I106" s="434">
        <v>705309.25865404611</v>
      </c>
      <c r="J106" s="54">
        <f t="shared" si="35"/>
        <v>0</v>
      </c>
      <c r="K106" s="54"/>
      <c r="L106" s="113">
        <f t="shared" ref="L106" si="38">+H106</f>
        <v>705309.25865404611</v>
      </c>
      <c r="M106" s="54">
        <f t="shared" ref="M106" si="39">IF(L106&lt;&gt;0,+H106-L106,0)</f>
        <v>0</v>
      </c>
      <c r="N106" s="113">
        <f t="shared" ref="N106" si="40">+I106</f>
        <v>705309.25865404611</v>
      </c>
      <c r="O106" s="54">
        <f t="shared" ref="O106" si="41">IF(N106&lt;&gt;0,+I106-N106,0)</f>
        <v>0</v>
      </c>
      <c r="P106" s="54">
        <f t="shared" ref="P106" si="42">+O106-M106</f>
        <v>0</v>
      </c>
    </row>
    <row r="107" spans="1:16" ht="12.5">
      <c r="B107" s="7" t="str">
        <f t="shared" si="34"/>
        <v>IU</v>
      </c>
      <c r="C107" s="50">
        <f>IF(D93="","-",+C106+1)</f>
        <v>2023</v>
      </c>
      <c r="D107" s="429">
        <v>4773341.3871189533</v>
      </c>
      <c r="E107" s="430">
        <v>130409.38431818182</v>
      </c>
      <c r="F107" s="431">
        <v>4642932.002800771</v>
      </c>
      <c r="G107" s="431">
        <v>4708136.6949598622</v>
      </c>
      <c r="H107" s="433">
        <v>711228.93236021465</v>
      </c>
      <c r="I107" s="434">
        <v>711228.93236021465</v>
      </c>
      <c r="J107" s="54">
        <f t="shared" si="35"/>
        <v>0</v>
      </c>
      <c r="K107" s="54"/>
      <c r="L107" s="113">
        <f t="shared" ref="L107" si="43">+H107</f>
        <v>711228.93236021465</v>
      </c>
      <c r="M107" s="54">
        <f t="shared" ref="M107" si="44">IF(L107&lt;&gt;0,+H107-L107,0)</f>
        <v>0</v>
      </c>
      <c r="N107" s="113">
        <f t="shared" ref="N107" si="45">+I107</f>
        <v>711228.93236021465</v>
      </c>
      <c r="O107" s="54">
        <f t="shared" ref="O107" si="46">IF(N107&lt;&gt;0,+I107-N107,0)</f>
        <v>0</v>
      </c>
      <c r="P107" s="54">
        <f t="shared" ref="P107" si="47">+O107-M107</f>
        <v>0</v>
      </c>
    </row>
    <row r="108" spans="1:16" ht="12.5">
      <c r="B108" s="7" t="str">
        <f t="shared" si="34"/>
        <v/>
      </c>
      <c r="C108" s="50">
        <f>IF(D93="","-",+C107+1)</f>
        <v>2024</v>
      </c>
      <c r="D108" s="12">
        <f>IF(F107+SUM(E$99:E107)=D$92,F107,D$92-SUM(E$99:E107))</f>
        <v>4642932.002800771</v>
      </c>
      <c r="E108" s="378">
        <f t="shared" ref="E108:E154" si="48">IF(+$J$96&lt;F107,$J$96,D108)</f>
        <v>130409.38431818182</v>
      </c>
      <c r="F108" s="55">
        <f t="shared" ref="F108:F154" si="49">+D108-E108</f>
        <v>4512522.6184825888</v>
      </c>
      <c r="G108" s="55">
        <f t="shared" ref="G108:G154" si="50">+(F108+D108)/2</f>
        <v>4577727.3106416799</v>
      </c>
      <c r="H108" s="380">
        <f t="shared" ref="H108:H154" si="51">+J$94*G108+E108</f>
        <v>700457.01138181461</v>
      </c>
      <c r="I108" s="399">
        <f t="shared" ref="I108:I154" si="52">+J$95*G108+E108</f>
        <v>700457.01138181461</v>
      </c>
      <c r="J108" s="54">
        <f t="shared" si="35"/>
        <v>0</v>
      </c>
      <c r="K108" s="54"/>
      <c r="L108" s="129"/>
      <c r="M108" s="54">
        <f t="shared" si="29"/>
        <v>0</v>
      </c>
      <c r="N108" s="129"/>
      <c r="O108" s="54">
        <f t="shared" si="31"/>
        <v>0</v>
      </c>
      <c r="P108" s="54">
        <f t="shared" si="32"/>
        <v>0</v>
      </c>
    </row>
    <row r="109" spans="1:16" ht="12.5">
      <c r="B109" s="7" t="str">
        <f t="shared" si="34"/>
        <v/>
      </c>
      <c r="C109" s="50">
        <f>IF(D93="","-",+C108+1)</f>
        <v>2025</v>
      </c>
      <c r="D109" s="12">
        <f>IF(F108+SUM(E$99:E108)=D$92,F108,D$92-SUM(E$99:E108))</f>
        <v>4512522.6184825888</v>
      </c>
      <c r="E109" s="378">
        <f t="shared" si="48"/>
        <v>130409.38431818182</v>
      </c>
      <c r="F109" s="55">
        <f t="shared" si="49"/>
        <v>4382113.2341644065</v>
      </c>
      <c r="G109" s="55">
        <f t="shared" si="50"/>
        <v>4447317.9263234977</v>
      </c>
      <c r="H109" s="380">
        <f t="shared" si="51"/>
        <v>684217.60806379805</v>
      </c>
      <c r="I109" s="399">
        <f t="shared" si="52"/>
        <v>684217.60806379805</v>
      </c>
      <c r="J109" s="54">
        <f t="shared" si="35"/>
        <v>0</v>
      </c>
      <c r="K109" s="54"/>
      <c r="L109" s="129"/>
      <c r="M109" s="54">
        <f t="shared" si="29"/>
        <v>0</v>
      </c>
      <c r="N109" s="129"/>
      <c r="O109" s="54">
        <f t="shared" si="31"/>
        <v>0</v>
      </c>
      <c r="P109" s="54">
        <f t="shared" si="32"/>
        <v>0</v>
      </c>
    </row>
    <row r="110" spans="1:16" ht="12.5">
      <c r="B110" s="7" t="str">
        <f t="shared" si="34"/>
        <v/>
      </c>
      <c r="C110" s="50">
        <f>IF(D93="","-",+C109+1)</f>
        <v>2026</v>
      </c>
      <c r="D110" s="12">
        <f>IF(F109+SUM(E$99:E109)=D$92,F109,D$92-SUM(E$99:E109))</f>
        <v>4382113.2341644065</v>
      </c>
      <c r="E110" s="378">
        <f t="shared" si="48"/>
        <v>130409.38431818182</v>
      </c>
      <c r="F110" s="55">
        <f t="shared" si="49"/>
        <v>4251703.8498462243</v>
      </c>
      <c r="G110" s="55">
        <f t="shared" si="50"/>
        <v>4316908.5420053154</v>
      </c>
      <c r="H110" s="380">
        <f t="shared" si="51"/>
        <v>667978.20474578161</v>
      </c>
      <c r="I110" s="399">
        <f t="shared" si="52"/>
        <v>667978.20474578161</v>
      </c>
      <c r="J110" s="54">
        <f t="shared" si="35"/>
        <v>0</v>
      </c>
      <c r="K110" s="54"/>
      <c r="L110" s="129"/>
      <c r="M110" s="54">
        <f t="shared" si="29"/>
        <v>0</v>
      </c>
      <c r="N110" s="129"/>
      <c r="O110" s="54">
        <f t="shared" si="31"/>
        <v>0</v>
      </c>
      <c r="P110" s="54">
        <f t="shared" si="32"/>
        <v>0</v>
      </c>
    </row>
    <row r="111" spans="1:16" ht="12.5">
      <c r="B111" s="7" t="str">
        <f t="shared" si="34"/>
        <v/>
      </c>
      <c r="C111" s="50">
        <f>IF(D93="","-",+C110+1)</f>
        <v>2027</v>
      </c>
      <c r="D111" s="12">
        <f>IF(F110+SUM(E$99:E110)=D$92,F110,D$92-SUM(E$99:E110))</f>
        <v>4251703.8498462243</v>
      </c>
      <c r="E111" s="378">
        <f t="shared" si="48"/>
        <v>130409.38431818182</v>
      </c>
      <c r="F111" s="55">
        <f t="shared" si="49"/>
        <v>4121294.4655280425</v>
      </c>
      <c r="G111" s="55">
        <f t="shared" si="50"/>
        <v>4186499.1576871332</v>
      </c>
      <c r="H111" s="380">
        <f t="shared" si="51"/>
        <v>651738.80142776517</v>
      </c>
      <c r="I111" s="399">
        <f t="shared" si="52"/>
        <v>651738.80142776517</v>
      </c>
      <c r="J111" s="54">
        <f t="shared" si="35"/>
        <v>0</v>
      </c>
      <c r="K111" s="54"/>
      <c r="L111" s="129"/>
      <c r="M111" s="54">
        <f t="shared" si="29"/>
        <v>0</v>
      </c>
      <c r="N111" s="129"/>
      <c r="O111" s="54">
        <f t="shared" si="31"/>
        <v>0</v>
      </c>
      <c r="P111" s="54">
        <f t="shared" si="32"/>
        <v>0</v>
      </c>
    </row>
    <row r="112" spans="1:16" ht="12.5">
      <c r="B112" s="7" t="str">
        <f t="shared" si="34"/>
        <v/>
      </c>
      <c r="C112" s="50">
        <f>IF(D93="","-",+C111+1)</f>
        <v>2028</v>
      </c>
      <c r="D112" s="12">
        <f>IF(F111+SUM(E$99:E111)=D$92,F111,D$92-SUM(E$99:E111))</f>
        <v>4121294.4655280425</v>
      </c>
      <c r="E112" s="378">
        <f t="shared" si="48"/>
        <v>130409.38431818182</v>
      </c>
      <c r="F112" s="55">
        <f t="shared" si="49"/>
        <v>3990885.0812098607</v>
      </c>
      <c r="G112" s="55">
        <f t="shared" si="50"/>
        <v>4056089.7733689519</v>
      </c>
      <c r="H112" s="380">
        <f t="shared" si="51"/>
        <v>635499.39810974884</v>
      </c>
      <c r="I112" s="399">
        <f t="shared" si="52"/>
        <v>635499.39810974884</v>
      </c>
      <c r="J112" s="54">
        <f t="shared" si="35"/>
        <v>0</v>
      </c>
      <c r="K112" s="54"/>
      <c r="L112" s="129"/>
      <c r="M112" s="54">
        <f t="shared" si="29"/>
        <v>0</v>
      </c>
      <c r="N112" s="129"/>
      <c r="O112" s="54">
        <f t="shared" si="31"/>
        <v>0</v>
      </c>
      <c r="P112" s="54">
        <f t="shared" si="32"/>
        <v>0</v>
      </c>
    </row>
    <row r="113" spans="2:16" ht="12.5">
      <c r="B113" s="7" t="str">
        <f t="shared" si="34"/>
        <v/>
      </c>
      <c r="C113" s="50">
        <f>IF(D93="","-",+C112+1)</f>
        <v>2029</v>
      </c>
      <c r="D113" s="12">
        <f>IF(F112+SUM(E$99:E112)=D$92,F112,D$92-SUM(E$99:E112))</f>
        <v>3990885.0812098607</v>
      </c>
      <c r="E113" s="378">
        <f t="shared" si="48"/>
        <v>130409.38431818182</v>
      </c>
      <c r="F113" s="55">
        <f t="shared" si="49"/>
        <v>3860475.696891679</v>
      </c>
      <c r="G113" s="55">
        <f t="shared" si="50"/>
        <v>3925680.3890507696</v>
      </c>
      <c r="H113" s="380">
        <f t="shared" si="51"/>
        <v>619259.9947917324</v>
      </c>
      <c r="I113" s="399">
        <f t="shared" si="52"/>
        <v>619259.9947917324</v>
      </c>
      <c r="J113" s="54">
        <f t="shared" si="35"/>
        <v>0</v>
      </c>
      <c r="K113" s="54"/>
      <c r="L113" s="129"/>
      <c r="M113" s="54">
        <f t="shared" si="29"/>
        <v>0</v>
      </c>
      <c r="N113" s="129"/>
      <c r="O113" s="54">
        <f t="shared" si="31"/>
        <v>0</v>
      </c>
      <c r="P113" s="54">
        <f t="shared" si="32"/>
        <v>0</v>
      </c>
    </row>
    <row r="114" spans="2:16" ht="12.5">
      <c r="B114" s="7" t="str">
        <f t="shared" si="34"/>
        <v/>
      </c>
      <c r="C114" s="50">
        <f>IF(D93="","-",+C113+1)</f>
        <v>2030</v>
      </c>
      <c r="D114" s="12">
        <f>IF(F113+SUM(E$99:E113)=D$92,F113,D$92-SUM(E$99:E113))</f>
        <v>3860475.696891679</v>
      </c>
      <c r="E114" s="378">
        <f t="shared" si="48"/>
        <v>130409.38431818182</v>
      </c>
      <c r="F114" s="55">
        <f t="shared" si="49"/>
        <v>3730066.3125734972</v>
      </c>
      <c r="G114" s="55">
        <f t="shared" si="50"/>
        <v>3795271.0047325883</v>
      </c>
      <c r="H114" s="380">
        <f t="shared" si="51"/>
        <v>603020.59147371596</v>
      </c>
      <c r="I114" s="399">
        <f t="shared" si="52"/>
        <v>603020.59147371596</v>
      </c>
      <c r="J114" s="54">
        <f t="shared" si="35"/>
        <v>0</v>
      </c>
      <c r="K114" s="54"/>
      <c r="L114" s="129"/>
      <c r="M114" s="54">
        <f t="shared" si="29"/>
        <v>0</v>
      </c>
      <c r="N114" s="129"/>
      <c r="O114" s="54">
        <f t="shared" si="31"/>
        <v>0</v>
      </c>
      <c r="P114" s="54">
        <f t="shared" si="32"/>
        <v>0</v>
      </c>
    </row>
    <row r="115" spans="2:16" ht="12.5">
      <c r="B115" s="7" t="str">
        <f t="shared" si="34"/>
        <v/>
      </c>
      <c r="C115" s="50">
        <f>IF(D93="","-",+C114+1)</f>
        <v>2031</v>
      </c>
      <c r="D115" s="12">
        <f>IF(F114+SUM(E$99:E114)=D$92,F114,D$92-SUM(E$99:E114))</f>
        <v>3730066.3125734972</v>
      </c>
      <c r="E115" s="378">
        <f t="shared" si="48"/>
        <v>130409.38431818182</v>
      </c>
      <c r="F115" s="55">
        <f t="shared" si="49"/>
        <v>3599656.9282553154</v>
      </c>
      <c r="G115" s="55">
        <f t="shared" si="50"/>
        <v>3664861.6204144061</v>
      </c>
      <c r="H115" s="380">
        <f t="shared" si="51"/>
        <v>586781.18815569952</v>
      </c>
      <c r="I115" s="399">
        <f t="shared" si="52"/>
        <v>586781.18815569952</v>
      </c>
      <c r="J115" s="54">
        <f t="shared" si="35"/>
        <v>0</v>
      </c>
      <c r="K115" s="54"/>
      <c r="L115" s="129"/>
      <c r="M115" s="54">
        <f t="shared" si="29"/>
        <v>0</v>
      </c>
      <c r="N115" s="129"/>
      <c r="O115" s="54">
        <f t="shared" si="31"/>
        <v>0</v>
      </c>
      <c r="P115" s="54">
        <f t="shared" si="32"/>
        <v>0</v>
      </c>
    </row>
    <row r="116" spans="2:16" ht="12.5">
      <c r="B116" s="7" t="str">
        <f t="shared" si="34"/>
        <v/>
      </c>
      <c r="C116" s="50">
        <f>IF(D93="","-",+C115+1)</f>
        <v>2032</v>
      </c>
      <c r="D116" s="12">
        <f>IF(F115+SUM(E$99:E115)=D$92,F115,D$92-SUM(E$99:E115))</f>
        <v>3599656.9282553154</v>
      </c>
      <c r="E116" s="378">
        <f t="shared" si="48"/>
        <v>130409.38431818182</v>
      </c>
      <c r="F116" s="55">
        <f t="shared" si="49"/>
        <v>3469247.5439371336</v>
      </c>
      <c r="G116" s="55">
        <f t="shared" si="50"/>
        <v>3534452.2360962247</v>
      </c>
      <c r="H116" s="380">
        <f t="shared" si="51"/>
        <v>570541.7848376832</v>
      </c>
      <c r="I116" s="399">
        <f t="shared" si="52"/>
        <v>570541.7848376832</v>
      </c>
      <c r="J116" s="54">
        <f t="shared" si="35"/>
        <v>0</v>
      </c>
      <c r="K116" s="54"/>
      <c r="L116" s="129"/>
      <c r="M116" s="54">
        <f t="shared" si="29"/>
        <v>0</v>
      </c>
      <c r="N116" s="129"/>
      <c r="O116" s="54">
        <f t="shared" si="31"/>
        <v>0</v>
      </c>
      <c r="P116" s="54">
        <f t="shared" si="32"/>
        <v>0</v>
      </c>
    </row>
    <row r="117" spans="2:16" ht="12.5">
      <c r="B117" s="7" t="str">
        <f t="shared" si="34"/>
        <v/>
      </c>
      <c r="C117" s="50">
        <f>IF(D93="","-",+C116+1)</f>
        <v>2033</v>
      </c>
      <c r="D117" s="12">
        <f>IF(F116+SUM(E$99:E116)=D$92,F116,D$92-SUM(E$99:E116))</f>
        <v>3469247.5439371336</v>
      </c>
      <c r="E117" s="378">
        <f t="shared" si="48"/>
        <v>130409.38431818182</v>
      </c>
      <c r="F117" s="55">
        <f t="shared" si="49"/>
        <v>3338838.1596189518</v>
      </c>
      <c r="G117" s="55">
        <f t="shared" si="50"/>
        <v>3404042.8517780425</v>
      </c>
      <c r="H117" s="380">
        <f t="shared" si="51"/>
        <v>554302.38151966676</v>
      </c>
      <c r="I117" s="399">
        <f t="shared" si="52"/>
        <v>554302.38151966676</v>
      </c>
      <c r="J117" s="54">
        <f t="shared" si="35"/>
        <v>0</v>
      </c>
      <c r="K117" s="54"/>
      <c r="L117" s="129"/>
      <c r="M117" s="54">
        <f t="shared" si="29"/>
        <v>0</v>
      </c>
      <c r="N117" s="129"/>
      <c r="O117" s="54">
        <f t="shared" si="31"/>
        <v>0</v>
      </c>
      <c r="P117" s="54">
        <f t="shared" si="32"/>
        <v>0</v>
      </c>
    </row>
    <row r="118" spans="2:16" ht="12.5">
      <c r="B118" s="7" t="str">
        <f t="shared" si="34"/>
        <v/>
      </c>
      <c r="C118" s="50">
        <f>IF(D93="","-",+C117+1)</f>
        <v>2034</v>
      </c>
      <c r="D118" s="12">
        <f>IF(F117+SUM(E$99:E117)=D$92,F117,D$92-SUM(E$99:E117))</f>
        <v>3338838.1596189518</v>
      </c>
      <c r="E118" s="378">
        <f t="shared" si="48"/>
        <v>130409.38431818182</v>
      </c>
      <c r="F118" s="55">
        <f t="shared" si="49"/>
        <v>3208428.7753007701</v>
      </c>
      <c r="G118" s="55">
        <f t="shared" si="50"/>
        <v>3273633.4674598612</v>
      </c>
      <c r="H118" s="380">
        <f t="shared" si="51"/>
        <v>538062.97820165032</v>
      </c>
      <c r="I118" s="399">
        <f t="shared" si="52"/>
        <v>538062.97820165032</v>
      </c>
      <c r="J118" s="54">
        <f t="shared" si="35"/>
        <v>0</v>
      </c>
      <c r="K118" s="54"/>
      <c r="L118" s="129"/>
      <c r="M118" s="54">
        <f t="shared" si="29"/>
        <v>0</v>
      </c>
      <c r="N118" s="129"/>
      <c r="O118" s="54">
        <f t="shared" si="31"/>
        <v>0</v>
      </c>
      <c r="P118" s="54">
        <f t="shared" si="32"/>
        <v>0</v>
      </c>
    </row>
    <row r="119" spans="2:16" ht="12.5">
      <c r="B119" s="7" t="str">
        <f t="shared" si="34"/>
        <v/>
      </c>
      <c r="C119" s="50">
        <f>IF(D93="","-",+C118+1)</f>
        <v>2035</v>
      </c>
      <c r="D119" s="12">
        <f>IF(F118+SUM(E$99:E118)=D$92,F118,D$92-SUM(E$99:E118))</f>
        <v>3208428.7753007701</v>
      </c>
      <c r="E119" s="378">
        <f t="shared" si="48"/>
        <v>130409.38431818182</v>
      </c>
      <c r="F119" s="55">
        <f t="shared" si="49"/>
        <v>3078019.3909825883</v>
      </c>
      <c r="G119" s="55">
        <f t="shared" si="50"/>
        <v>3143224.0831416789</v>
      </c>
      <c r="H119" s="380">
        <f t="shared" si="51"/>
        <v>521823.57488363393</v>
      </c>
      <c r="I119" s="399">
        <f t="shared" si="52"/>
        <v>521823.57488363393</v>
      </c>
      <c r="J119" s="54">
        <f t="shared" si="35"/>
        <v>0</v>
      </c>
      <c r="K119" s="54"/>
      <c r="L119" s="129"/>
      <c r="M119" s="54">
        <f t="shared" si="29"/>
        <v>0</v>
      </c>
      <c r="N119" s="129"/>
      <c r="O119" s="54">
        <f t="shared" si="31"/>
        <v>0</v>
      </c>
      <c r="P119" s="54">
        <f t="shared" si="32"/>
        <v>0</v>
      </c>
    </row>
    <row r="120" spans="2:16" ht="12.5">
      <c r="B120" s="7" t="str">
        <f t="shared" si="34"/>
        <v/>
      </c>
      <c r="C120" s="50">
        <f>IF(D93="","-",+C119+1)</f>
        <v>2036</v>
      </c>
      <c r="D120" s="12">
        <f>IF(F119+SUM(E$99:E119)=D$92,F119,D$92-SUM(E$99:E119))</f>
        <v>3078019.3909825883</v>
      </c>
      <c r="E120" s="378">
        <f t="shared" si="48"/>
        <v>130409.38431818182</v>
      </c>
      <c r="F120" s="55">
        <f t="shared" si="49"/>
        <v>2947610.0066644065</v>
      </c>
      <c r="G120" s="55">
        <f t="shared" si="50"/>
        <v>3012814.6988234976</v>
      </c>
      <c r="H120" s="380">
        <f t="shared" si="51"/>
        <v>505584.17156561755</v>
      </c>
      <c r="I120" s="399">
        <f t="shared" si="52"/>
        <v>505584.17156561755</v>
      </c>
      <c r="J120" s="54">
        <f t="shared" si="35"/>
        <v>0</v>
      </c>
      <c r="K120" s="54"/>
      <c r="L120" s="129"/>
      <c r="M120" s="54">
        <f t="shared" si="29"/>
        <v>0</v>
      </c>
      <c r="N120" s="129"/>
      <c r="O120" s="54">
        <f t="shared" si="31"/>
        <v>0</v>
      </c>
      <c r="P120" s="54">
        <f t="shared" si="32"/>
        <v>0</v>
      </c>
    </row>
    <row r="121" spans="2:16" ht="12.5">
      <c r="B121" s="7" t="str">
        <f t="shared" si="34"/>
        <v/>
      </c>
      <c r="C121" s="50">
        <f>IF(D93="","-",+C120+1)</f>
        <v>2037</v>
      </c>
      <c r="D121" s="12">
        <f>IF(F120+SUM(E$99:E120)=D$92,F120,D$92-SUM(E$99:E120))</f>
        <v>2947610.0066644065</v>
      </c>
      <c r="E121" s="378">
        <f t="shared" si="48"/>
        <v>130409.38431818182</v>
      </c>
      <c r="F121" s="55">
        <f t="shared" si="49"/>
        <v>2817200.6223462247</v>
      </c>
      <c r="G121" s="55">
        <f t="shared" si="50"/>
        <v>2882405.3145053154</v>
      </c>
      <c r="H121" s="380">
        <f t="shared" si="51"/>
        <v>489344.76824760105</v>
      </c>
      <c r="I121" s="399">
        <f t="shared" si="52"/>
        <v>489344.76824760105</v>
      </c>
      <c r="J121" s="54">
        <f t="shared" si="35"/>
        <v>0</v>
      </c>
      <c r="K121" s="54"/>
      <c r="L121" s="129"/>
      <c r="M121" s="54">
        <f t="shared" si="29"/>
        <v>0</v>
      </c>
      <c r="N121" s="129"/>
      <c r="O121" s="54">
        <f t="shared" si="31"/>
        <v>0</v>
      </c>
      <c r="P121" s="54">
        <f t="shared" si="32"/>
        <v>0</v>
      </c>
    </row>
    <row r="122" spans="2:16" ht="12.5">
      <c r="B122" s="7" t="str">
        <f t="shared" si="34"/>
        <v/>
      </c>
      <c r="C122" s="50">
        <f>IF(D93="","-",+C121+1)</f>
        <v>2038</v>
      </c>
      <c r="D122" s="12">
        <f>IF(F121+SUM(E$99:E121)=D$92,F121,D$92-SUM(E$99:E121))</f>
        <v>2817200.6223462247</v>
      </c>
      <c r="E122" s="378">
        <f t="shared" si="48"/>
        <v>130409.38431818182</v>
      </c>
      <c r="F122" s="55">
        <f t="shared" si="49"/>
        <v>2686791.2380280429</v>
      </c>
      <c r="G122" s="55">
        <f t="shared" si="50"/>
        <v>2751995.9301871341</v>
      </c>
      <c r="H122" s="380">
        <f t="shared" si="51"/>
        <v>473105.36492958473</v>
      </c>
      <c r="I122" s="399">
        <f t="shared" si="52"/>
        <v>473105.36492958473</v>
      </c>
      <c r="J122" s="54">
        <f t="shared" si="35"/>
        <v>0</v>
      </c>
      <c r="K122" s="54"/>
      <c r="L122" s="129"/>
      <c r="M122" s="54">
        <f t="shared" si="29"/>
        <v>0</v>
      </c>
      <c r="N122" s="129"/>
      <c r="O122" s="54">
        <f t="shared" si="31"/>
        <v>0</v>
      </c>
      <c r="P122" s="54">
        <f t="shared" si="32"/>
        <v>0</v>
      </c>
    </row>
    <row r="123" spans="2:16" ht="12.5">
      <c r="B123" s="7" t="str">
        <f t="shared" si="34"/>
        <v/>
      </c>
      <c r="C123" s="50">
        <f>IF(D93="","-",+C122+1)</f>
        <v>2039</v>
      </c>
      <c r="D123" s="12">
        <f>IF(F122+SUM(E$99:E122)=D$92,F122,D$92-SUM(E$99:E122))</f>
        <v>2686791.2380280429</v>
      </c>
      <c r="E123" s="378">
        <f t="shared" si="48"/>
        <v>130409.38431818182</v>
      </c>
      <c r="F123" s="55">
        <f t="shared" si="49"/>
        <v>2556381.8537098612</v>
      </c>
      <c r="G123" s="55">
        <f t="shared" si="50"/>
        <v>2621586.5458689518</v>
      </c>
      <c r="H123" s="380">
        <f t="shared" si="51"/>
        <v>456865.96161156823</v>
      </c>
      <c r="I123" s="399">
        <f t="shared" si="52"/>
        <v>456865.96161156823</v>
      </c>
      <c r="J123" s="54">
        <f t="shared" si="35"/>
        <v>0</v>
      </c>
      <c r="K123" s="54"/>
      <c r="L123" s="129"/>
      <c r="M123" s="54">
        <f t="shared" si="29"/>
        <v>0</v>
      </c>
      <c r="N123" s="129"/>
      <c r="O123" s="54">
        <f t="shared" si="31"/>
        <v>0</v>
      </c>
      <c r="P123" s="54">
        <f t="shared" si="32"/>
        <v>0</v>
      </c>
    </row>
    <row r="124" spans="2:16" ht="12.5">
      <c r="B124" s="7" t="str">
        <f t="shared" si="34"/>
        <v/>
      </c>
      <c r="C124" s="50">
        <f>IF(D93="","-",+C123+1)</f>
        <v>2040</v>
      </c>
      <c r="D124" s="12">
        <f>IF(F123+SUM(E$99:E123)=D$92,F123,D$92-SUM(E$99:E123))</f>
        <v>2556381.8537098612</v>
      </c>
      <c r="E124" s="378">
        <f t="shared" si="48"/>
        <v>130409.38431818182</v>
      </c>
      <c r="F124" s="55">
        <f t="shared" si="49"/>
        <v>2425972.4693916794</v>
      </c>
      <c r="G124" s="55">
        <f t="shared" si="50"/>
        <v>2491177.1615507705</v>
      </c>
      <c r="H124" s="380">
        <f t="shared" si="51"/>
        <v>440626.55829355191</v>
      </c>
      <c r="I124" s="399">
        <f t="shared" si="52"/>
        <v>440626.55829355191</v>
      </c>
      <c r="J124" s="54">
        <f t="shared" si="35"/>
        <v>0</v>
      </c>
      <c r="K124" s="54"/>
      <c r="L124" s="129"/>
      <c r="M124" s="54">
        <f t="shared" si="29"/>
        <v>0</v>
      </c>
      <c r="N124" s="129"/>
      <c r="O124" s="54">
        <f t="shared" si="31"/>
        <v>0</v>
      </c>
      <c r="P124" s="54">
        <f t="shared" si="32"/>
        <v>0</v>
      </c>
    </row>
    <row r="125" spans="2:16" ht="12.5">
      <c r="B125" s="7" t="str">
        <f t="shared" si="34"/>
        <v/>
      </c>
      <c r="C125" s="50">
        <f>IF(D93="","-",+C124+1)</f>
        <v>2041</v>
      </c>
      <c r="D125" s="12">
        <f>IF(F124+SUM(E$99:E124)=D$92,F124,D$92-SUM(E$99:E124))</f>
        <v>2425972.4693916794</v>
      </c>
      <c r="E125" s="378">
        <f t="shared" si="48"/>
        <v>130409.38431818182</v>
      </c>
      <c r="F125" s="55">
        <f t="shared" si="49"/>
        <v>2295563.0850734976</v>
      </c>
      <c r="G125" s="55">
        <f t="shared" si="50"/>
        <v>2360767.7772325883</v>
      </c>
      <c r="H125" s="380">
        <f t="shared" si="51"/>
        <v>424387.15497553541</v>
      </c>
      <c r="I125" s="399">
        <f t="shared" si="52"/>
        <v>424387.15497553541</v>
      </c>
      <c r="J125" s="54">
        <f t="shared" si="35"/>
        <v>0</v>
      </c>
      <c r="K125" s="54"/>
      <c r="L125" s="129"/>
      <c r="M125" s="54">
        <f t="shared" si="29"/>
        <v>0</v>
      </c>
      <c r="N125" s="129"/>
      <c r="O125" s="54">
        <f t="shared" si="31"/>
        <v>0</v>
      </c>
      <c r="P125" s="54">
        <f t="shared" si="32"/>
        <v>0</v>
      </c>
    </row>
    <row r="126" spans="2:16" ht="12.5">
      <c r="B126" s="7" t="str">
        <f t="shared" si="34"/>
        <v/>
      </c>
      <c r="C126" s="50">
        <f>IF(D93="","-",+C125+1)</f>
        <v>2042</v>
      </c>
      <c r="D126" s="12">
        <f>IF(F125+SUM(E$99:E125)=D$92,F125,D$92-SUM(E$99:E125))</f>
        <v>2295563.0850734976</v>
      </c>
      <c r="E126" s="378">
        <f t="shared" si="48"/>
        <v>130409.38431818182</v>
      </c>
      <c r="F126" s="55">
        <f t="shared" si="49"/>
        <v>2165153.7007553158</v>
      </c>
      <c r="G126" s="55">
        <f t="shared" si="50"/>
        <v>2230358.392914407</v>
      </c>
      <c r="H126" s="380">
        <f t="shared" si="51"/>
        <v>408147.75165751908</v>
      </c>
      <c r="I126" s="399">
        <f t="shared" si="52"/>
        <v>408147.75165751908</v>
      </c>
      <c r="J126" s="54">
        <f t="shared" si="35"/>
        <v>0</v>
      </c>
      <c r="K126" s="54"/>
      <c r="L126" s="129"/>
      <c r="M126" s="54">
        <f t="shared" si="29"/>
        <v>0</v>
      </c>
      <c r="N126" s="129"/>
      <c r="O126" s="54">
        <f t="shared" si="31"/>
        <v>0</v>
      </c>
      <c r="P126" s="54">
        <f t="shared" si="32"/>
        <v>0</v>
      </c>
    </row>
    <row r="127" spans="2:16" ht="12.5">
      <c r="B127" s="7" t="str">
        <f t="shared" si="34"/>
        <v/>
      </c>
      <c r="C127" s="50">
        <f>IF(D93="","-",+C126+1)</f>
        <v>2043</v>
      </c>
      <c r="D127" s="12">
        <f>IF(F126+SUM(E$99:E126)=D$92,F126,D$92-SUM(E$99:E126))</f>
        <v>2165153.7007553158</v>
      </c>
      <c r="E127" s="378">
        <f t="shared" si="48"/>
        <v>130409.38431818182</v>
      </c>
      <c r="F127" s="55">
        <f t="shared" si="49"/>
        <v>2034744.3164371341</v>
      </c>
      <c r="G127" s="55">
        <f t="shared" si="50"/>
        <v>2099949.0085962247</v>
      </c>
      <c r="H127" s="380">
        <f t="shared" si="51"/>
        <v>391908.34833950258</v>
      </c>
      <c r="I127" s="399">
        <f t="shared" si="52"/>
        <v>391908.34833950258</v>
      </c>
      <c r="J127" s="54">
        <f t="shared" si="35"/>
        <v>0</v>
      </c>
      <c r="K127" s="54"/>
      <c r="L127" s="129"/>
      <c r="M127" s="54">
        <f t="shared" si="29"/>
        <v>0</v>
      </c>
      <c r="N127" s="129"/>
      <c r="O127" s="54">
        <f t="shared" si="31"/>
        <v>0</v>
      </c>
      <c r="P127" s="54">
        <f t="shared" si="32"/>
        <v>0</v>
      </c>
    </row>
    <row r="128" spans="2:16" ht="12.5">
      <c r="B128" s="7" t="str">
        <f t="shared" si="34"/>
        <v/>
      </c>
      <c r="C128" s="50">
        <f>IF(D93="","-",+C127+1)</f>
        <v>2044</v>
      </c>
      <c r="D128" s="12">
        <f>IF(F127+SUM(E$99:E127)=D$92,F127,D$92-SUM(E$99:E127))</f>
        <v>2034744.3164371341</v>
      </c>
      <c r="E128" s="378">
        <f t="shared" si="48"/>
        <v>130409.38431818182</v>
      </c>
      <c r="F128" s="55">
        <f t="shared" si="49"/>
        <v>1904334.9321189523</v>
      </c>
      <c r="G128" s="55">
        <f t="shared" si="50"/>
        <v>1969539.6242780432</v>
      </c>
      <c r="H128" s="380">
        <f t="shared" si="51"/>
        <v>375668.9450214862</v>
      </c>
      <c r="I128" s="399">
        <f t="shared" si="52"/>
        <v>375668.9450214862</v>
      </c>
      <c r="J128" s="54">
        <f t="shared" si="35"/>
        <v>0</v>
      </c>
      <c r="K128" s="54"/>
      <c r="L128" s="129"/>
      <c r="M128" s="54">
        <f t="shared" si="29"/>
        <v>0</v>
      </c>
      <c r="N128" s="129"/>
      <c r="O128" s="54">
        <f t="shared" si="31"/>
        <v>0</v>
      </c>
      <c r="P128" s="54">
        <f t="shared" si="32"/>
        <v>0</v>
      </c>
    </row>
    <row r="129" spans="2:16" ht="12.5">
      <c r="B129" s="7" t="str">
        <f t="shared" si="34"/>
        <v/>
      </c>
      <c r="C129" s="50">
        <f>IF(D93="","-",+C128+1)</f>
        <v>2045</v>
      </c>
      <c r="D129" s="12">
        <f>IF(F128+SUM(E$99:E128)=D$92,F128,D$92-SUM(E$99:E128))</f>
        <v>1904334.9321189523</v>
      </c>
      <c r="E129" s="378">
        <f t="shared" si="48"/>
        <v>130409.38431818182</v>
      </c>
      <c r="F129" s="55">
        <f t="shared" si="49"/>
        <v>1773925.5478007705</v>
      </c>
      <c r="G129" s="55">
        <f t="shared" si="50"/>
        <v>1839130.2399598614</v>
      </c>
      <c r="H129" s="380">
        <f t="shared" si="51"/>
        <v>359429.54170346976</v>
      </c>
      <c r="I129" s="399">
        <f t="shared" si="52"/>
        <v>359429.54170346976</v>
      </c>
      <c r="J129" s="54">
        <f t="shared" si="35"/>
        <v>0</v>
      </c>
      <c r="K129" s="54"/>
      <c r="L129" s="129"/>
      <c r="M129" s="54">
        <f t="shared" si="29"/>
        <v>0</v>
      </c>
      <c r="N129" s="129"/>
      <c r="O129" s="54">
        <f t="shared" si="31"/>
        <v>0</v>
      </c>
      <c r="P129" s="54">
        <f t="shared" si="32"/>
        <v>0</v>
      </c>
    </row>
    <row r="130" spans="2:16" ht="12.5">
      <c r="B130" s="7" t="str">
        <f t="shared" si="34"/>
        <v/>
      </c>
      <c r="C130" s="50">
        <f>IF(D93="","-",+C129+1)</f>
        <v>2046</v>
      </c>
      <c r="D130" s="12">
        <f>IF(F129+SUM(E$99:E129)=D$92,F129,D$92-SUM(E$99:E129))</f>
        <v>1773925.5478007705</v>
      </c>
      <c r="E130" s="378">
        <f t="shared" si="48"/>
        <v>130409.38431818182</v>
      </c>
      <c r="F130" s="55">
        <f t="shared" si="49"/>
        <v>1643516.1634825887</v>
      </c>
      <c r="G130" s="55">
        <f t="shared" si="50"/>
        <v>1708720.8556416796</v>
      </c>
      <c r="H130" s="380">
        <f t="shared" si="51"/>
        <v>343190.13838545338</v>
      </c>
      <c r="I130" s="399">
        <f t="shared" si="52"/>
        <v>343190.13838545338</v>
      </c>
      <c r="J130" s="54">
        <f t="shared" si="35"/>
        <v>0</v>
      </c>
      <c r="K130" s="54"/>
      <c r="L130" s="129"/>
      <c r="M130" s="54">
        <f t="shared" si="29"/>
        <v>0</v>
      </c>
      <c r="N130" s="129"/>
      <c r="O130" s="54">
        <f t="shared" si="31"/>
        <v>0</v>
      </c>
      <c r="P130" s="54">
        <f t="shared" si="32"/>
        <v>0</v>
      </c>
    </row>
    <row r="131" spans="2:16" ht="12.5">
      <c r="B131" s="7" t="str">
        <f t="shared" si="34"/>
        <v/>
      </c>
      <c r="C131" s="50">
        <f>IF(D93="","-",+C130+1)</f>
        <v>2047</v>
      </c>
      <c r="D131" s="12">
        <f>IF(F130+SUM(E$99:E130)=D$92,F130,D$92-SUM(E$99:E130))</f>
        <v>1643516.1634825887</v>
      </c>
      <c r="E131" s="378">
        <f t="shared" si="48"/>
        <v>130409.38431818182</v>
      </c>
      <c r="F131" s="55">
        <f t="shared" si="49"/>
        <v>1513106.7791644069</v>
      </c>
      <c r="G131" s="55">
        <f t="shared" si="50"/>
        <v>1578311.4713234978</v>
      </c>
      <c r="H131" s="380">
        <f t="shared" si="51"/>
        <v>326950.73506743694</v>
      </c>
      <c r="I131" s="399">
        <f t="shared" si="52"/>
        <v>326950.73506743694</v>
      </c>
      <c r="J131" s="54">
        <f t="shared" si="35"/>
        <v>0</v>
      </c>
      <c r="K131" s="54"/>
      <c r="L131" s="129"/>
      <c r="M131" s="54">
        <f t="shared" ref="M131:M154" si="53">IF(L541&lt;&gt;0,+H541-L541,0)</f>
        <v>0</v>
      </c>
      <c r="N131" s="129"/>
      <c r="O131" s="54">
        <f t="shared" ref="O131:O154" si="54">IF(N541&lt;&gt;0,+I541-N541,0)</f>
        <v>0</v>
      </c>
      <c r="P131" s="54">
        <f t="shared" ref="P131:P154" si="55">+O541-M541</f>
        <v>0</v>
      </c>
    </row>
    <row r="132" spans="2:16" ht="12.5">
      <c r="B132" s="7" t="str">
        <f t="shared" si="34"/>
        <v/>
      </c>
      <c r="C132" s="50">
        <f>IF(D93="","-",+C131+1)</f>
        <v>2048</v>
      </c>
      <c r="D132" s="12">
        <f>IF(F131+SUM(E$99:E131)=D$92,F131,D$92-SUM(E$99:E131))</f>
        <v>1513106.7791644069</v>
      </c>
      <c r="E132" s="378">
        <f t="shared" si="48"/>
        <v>130409.38431818182</v>
      </c>
      <c r="F132" s="55">
        <f t="shared" si="49"/>
        <v>1382697.3948462252</v>
      </c>
      <c r="G132" s="55">
        <f t="shared" si="50"/>
        <v>1447902.087005316</v>
      </c>
      <c r="H132" s="380">
        <f t="shared" si="51"/>
        <v>310711.33174942055</v>
      </c>
      <c r="I132" s="399">
        <f t="shared" si="52"/>
        <v>310711.33174942055</v>
      </c>
      <c r="J132" s="54">
        <f t="shared" si="35"/>
        <v>0</v>
      </c>
      <c r="K132" s="54"/>
      <c r="L132" s="129"/>
      <c r="M132" s="54">
        <f t="shared" si="53"/>
        <v>0</v>
      </c>
      <c r="N132" s="129"/>
      <c r="O132" s="54">
        <f t="shared" si="54"/>
        <v>0</v>
      </c>
      <c r="P132" s="54">
        <f t="shared" si="55"/>
        <v>0</v>
      </c>
    </row>
    <row r="133" spans="2:16" ht="12.5">
      <c r="B133" s="7" t="str">
        <f t="shared" si="34"/>
        <v/>
      </c>
      <c r="C133" s="50">
        <f>IF(D93="","-",+C132+1)</f>
        <v>2049</v>
      </c>
      <c r="D133" s="12">
        <f>IF(F132+SUM(E$99:E132)=D$92,F132,D$92-SUM(E$99:E132))</f>
        <v>1382697.3948462252</v>
      </c>
      <c r="E133" s="378">
        <f t="shared" si="48"/>
        <v>130409.38431818182</v>
      </c>
      <c r="F133" s="55">
        <f t="shared" si="49"/>
        <v>1252288.0105280434</v>
      </c>
      <c r="G133" s="55">
        <f t="shared" si="50"/>
        <v>1317492.7026871343</v>
      </c>
      <c r="H133" s="380">
        <f t="shared" si="51"/>
        <v>294471.92843140411</v>
      </c>
      <c r="I133" s="399">
        <f t="shared" si="52"/>
        <v>294471.92843140411</v>
      </c>
      <c r="J133" s="54">
        <f t="shared" si="35"/>
        <v>0</v>
      </c>
      <c r="K133" s="54"/>
      <c r="L133" s="129"/>
      <c r="M133" s="54">
        <f t="shared" si="53"/>
        <v>0</v>
      </c>
      <c r="N133" s="129"/>
      <c r="O133" s="54">
        <f t="shared" si="54"/>
        <v>0</v>
      </c>
      <c r="P133" s="54">
        <f t="shared" si="55"/>
        <v>0</v>
      </c>
    </row>
    <row r="134" spans="2:16" ht="12.5">
      <c r="B134" s="7" t="str">
        <f t="shared" si="34"/>
        <v/>
      </c>
      <c r="C134" s="50">
        <f>IF(D93="","-",+C133+1)</f>
        <v>2050</v>
      </c>
      <c r="D134" s="12">
        <f>IF(F133+SUM(E$99:E133)=D$92,F133,D$92-SUM(E$99:E133))</f>
        <v>1252288.0105280434</v>
      </c>
      <c r="E134" s="378">
        <f t="shared" si="48"/>
        <v>130409.38431818182</v>
      </c>
      <c r="F134" s="55">
        <f t="shared" si="49"/>
        <v>1121878.6262098616</v>
      </c>
      <c r="G134" s="55">
        <f t="shared" si="50"/>
        <v>1187083.3183689525</v>
      </c>
      <c r="H134" s="380">
        <f t="shared" si="51"/>
        <v>278232.52511338773</v>
      </c>
      <c r="I134" s="399">
        <f t="shared" si="52"/>
        <v>278232.52511338773</v>
      </c>
      <c r="J134" s="54">
        <f t="shared" si="35"/>
        <v>0</v>
      </c>
      <c r="K134" s="54"/>
      <c r="L134" s="129"/>
      <c r="M134" s="54">
        <f t="shared" si="53"/>
        <v>0</v>
      </c>
      <c r="N134" s="129"/>
      <c r="O134" s="54">
        <f t="shared" si="54"/>
        <v>0</v>
      </c>
      <c r="P134" s="54">
        <f t="shared" si="55"/>
        <v>0</v>
      </c>
    </row>
    <row r="135" spans="2:16" ht="12.5">
      <c r="B135" s="7" t="str">
        <f t="shared" si="34"/>
        <v/>
      </c>
      <c r="C135" s="50">
        <f>IF(D93="","-",+C134+1)</f>
        <v>2051</v>
      </c>
      <c r="D135" s="12">
        <f>IF(F134+SUM(E$99:E134)=D$92,F134,D$92-SUM(E$99:E134))</f>
        <v>1121878.6262098616</v>
      </c>
      <c r="E135" s="378">
        <f t="shared" si="48"/>
        <v>130409.38431818182</v>
      </c>
      <c r="F135" s="55">
        <f t="shared" si="49"/>
        <v>991469.24189167982</v>
      </c>
      <c r="G135" s="55">
        <f t="shared" si="50"/>
        <v>1056673.9340507707</v>
      </c>
      <c r="H135" s="380">
        <f t="shared" si="51"/>
        <v>261993.12179537129</v>
      </c>
      <c r="I135" s="399">
        <f t="shared" si="52"/>
        <v>261993.12179537129</v>
      </c>
      <c r="J135" s="54">
        <f t="shared" si="35"/>
        <v>0</v>
      </c>
      <c r="K135" s="54"/>
      <c r="L135" s="129"/>
      <c r="M135" s="54">
        <f t="shared" si="53"/>
        <v>0</v>
      </c>
      <c r="N135" s="129"/>
      <c r="O135" s="54">
        <f t="shared" si="54"/>
        <v>0</v>
      </c>
      <c r="P135" s="54">
        <f t="shared" si="55"/>
        <v>0</v>
      </c>
    </row>
    <row r="136" spans="2:16" ht="12.5">
      <c r="B136" s="7" t="str">
        <f t="shared" si="34"/>
        <v/>
      </c>
      <c r="C136" s="50">
        <f>IF(D93="","-",+C135+1)</f>
        <v>2052</v>
      </c>
      <c r="D136" s="12">
        <f>IF(F135+SUM(E$99:E135)=D$92,F135,D$92-SUM(E$99:E135))</f>
        <v>991469.24189167982</v>
      </c>
      <c r="E136" s="378">
        <f t="shared" si="48"/>
        <v>130409.38431818182</v>
      </c>
      <c r="F136" s="55">
        <f t="shared" si="49"/>
        <v>861059.85757349804</v>
      </c>
      <c r="G136" s="55">
        <f t="shared" si="50"/>
        <v>926264.54973258893</v>
      </c>
      <c r="H136" s="380">
        <f t="shared" si="51"/>
        <v>245753.71847735491</v>
      </c>
      <c r="I136" s="399">
        <f t="shared" si="52"/>
        <v>245753.71847735491</v>
      </c>
      <c r="J136" s="54">
        <f t="shared" si="35"/>
        <v>0</v>
      </c>
      <c r="K136" s="54"/>
      <c r="L136" s="129"/>
      <c r="M136" s="54">
        <f t="shared" si="53"/>
        <v>0</v>
      </c>
      <c r="N136" s="129"/>
      <c r="O136" s="54">
        <f t="shared" si="54"/>
        <v>0</v>
      </c>
      <c r="P136" s="54">
        <f t="shared" si="55"/>
        <v>0</v>
      </c>
    </row>
    <row r="137" spans="2:16" ht="12.5">
      <c r="B137" s="7" t="str">
        <f t="shared" si="34"/>
        <v/>
      </c>
      <c r="C137" s="50">
        <f>IF(D93="","-",+C136+1)</f>
        <v>2053</v>
      </c>
      <c r="D137" s="12">
        <f>IF(F136+SUM(E$99:E136)=D$92,F136,D$92-SUM(E$99:E136))</f>
        <v>861059.85757349804</v>
      </c>
      <c r="E137" s="378">
        <f t="shared" si="48"/>
        <v>130409.38431818182</v>
      </c>
      <c r="F137" s="55">
        <f t="shared" si="49"/>
        <v>730650.47325531626</v>
      </c>
      <c r="G137" s="55">
        <f t="shared" si="50"/>
        <v>795855.16541440715</v>
      </c>
      <c r="H137" s="380">
        <f t="shared" si="51"/>
        <v>229514.31515933847</v>
      </c>
      <c r="I137" s="399">
        <f t="shared" si="52"/>
        <v>229514.31515933847</v>
      </c>
      <c r="J137" s="54">
        <f t="shared" si="35"/>
        <v>0</v>
      </c>
      <c r="K137" s="54"/>
      <c r="L137" s="129"/>
      <c r="M137" s="54">
        <f t="shared" si="53"/>
        <v>0</v>
      </c>
      <c r="N137" s="129"/>
      <c r="O137" s="54">
        <f t="shared" si="54"/>
        <v>0</v>
      </c>
      <c r="P137" s="54">
        <f t="shared" si="55"/>
        <v>0</v>
      </c>
    </row>
    <row r="138" spans="2:16" ht="12.5">
      <c r="B138" s="7" t="str">
        <f t="shared" si="34"/>
        <v/>
      </c>
      <c r="C138" s="50">
        <f>IF(D93="","-",+C137+1)</f>
        <v>2054</v>
      </c>
      <c r="D138" s="12">
        <f>IF(F137+SUM(E$99:E137)=D$92,F137,D$92-SUM(E$99:E137))</f>
        <v>730650.47325531626</v>
      </c>
      <c r="E138" s="378">
        <f t="shared" si="48"/>
        <v>130409.38431818182</v>
      </c>
      <c r="F138" s="55">
        <f t="shared" si="49"/>
        <v>600241.08893713448</v>
      </c>
      <c r="G138" s="55">
        <f t="shared" si="50"/>
        <v>665445.78109622537</v>
      </c>
      <c r="H138" s="380">
        <f t="shared" si="51"/>
        <v>213274.91184132209</v>
      </c>
      <c r="I138" s="399">
        <f t="shared" si="52"/>
        <v>213274.91184132209</v>
      </c>
      <c r="J138" s="54">
        <f t="shared" si="35"/>
        <v>0</v>
      </c>
      <c r="K138" s="54"/>
      <c r="L138" s="129"/>
      <c r="M138" s="54">
        <f t="shared" si="53"/>
        <v>0</v>
      </c>
      <c r="N138" s="129"/>
      <c r="O138" s="54">
        <f t="shared" si="54"/>
        <v>0</v>
      </c>
      <c r="P138" s="54">
        <f t="shared" si="55"/>
        <v>0</v>
      </c>
    </row>
    <row r="139" spans="2:16" ht="12.5">
      <c r="B139" s="7" t="str">
        <f t="shared" si="34"/>
        <v/>
      </c>
      <c r="C139" s="50">
        <f>IF(D93="","-",+C138+1)</f>
        <v>2055</v>
      </c>
      <c r="D139" s="12">
        <f>IF(F138+SUM(E$99:E138)=D$92,F138,D$92-SUM(E$99:E138))</f>
        <v>600241.08893713448</v>
      </c>
      <c r="E139" s="378">
        <f t="shared" si="48"/>
        <v>130409.38431818182</v>
      </c>
      <c r="F139" s="55">
        <f t="shared" si="49"/>
        <v>469831.70461895264</v>
      </c>
      <c r="G139" s="55">
        <f t="shared" si="50"/>
        <v>535036.39677804359</v>
      </c>
      <c r="H139" s="380">
        <f t="shared" si="51"/>
        <v>197035.50852330565</v>
      </c>
      <c r="I139" s="399">
        <f t="shared" si="52"/>
        <v>197035.50852330565</v>
      </c>
      <c r="J139" s="54">
        <f t="shared" si="35"/>
        <v>0</v>
      </c>
      <c r="K139" s="54"/>
      <c r="L139" s="129"/>
      <c r="M139" s="54">
        <f t="shared" si="53"/>
        <v>0</v>
      </c>
      <c r="N139" s="129"/>
      <c r="O139" s="54">
        <f t="shared" si="54"/>
        <v>0</v>
      </c>
      <c r="P139" s="54">
        <f t="shared" si="55"/>
        <v>0</v>
      </c>
    </row>
    <row r="140" spans="2:16" ht="12.5">
      <c r="B140" s="7" t="str">
        <f t="shared" si="34"/>
        <v/>
      </c>
      <c r="C140" s="50">
        <f>IF(D93="","-",+C139+1)</f>
        <v>2056</v>
      </c>
      <c r="D140" s="12">
        <f>IF(F139+SUM(E$99:E139)=D$92,F139,D$92-SUM(E$99:E139))</f>
        <v>469831.70461895264</v>
      </c>
      <c r="E140" s="378">
        <f t="shared" si="48"/>
        <v>130409.38431818182</v>
      </c>
      <c r="F140" s="55">
        <f t="shared" si="49"/>
        <v>339422.32030077081</v>
      </c>
      <c r="G140" s="55">
        <f t="shared" si="50"/>
        <v>404627.0124598617</v>
      </c>
      <c r="H140" s="380">
        <f t="shared" si="51"/>
        <v>180796.10520528923</v>
      </c>
      <c r="I140" s="399">
        <f t="shared" si="52"/>
        <v>180796.10520528923</v>
      </c>
      <c r="J140" s="54">
        <f t="shared" si="35"/>
        <v>0</v>
      </c>
      <c r="K140" s="54"/>
      <c r="L140" s="129"/>
      <c r="M140" s="54">
        <f t="shared" si="53"/>
        <v>0</v>
      </c>
      <c r="N140" s="129"/>
      <c r="O140" s="54">
        <f t="shared" si="54"/>
        <v>0</v>
      </c>
      <c r="P140" s="54">
        <f t="shared" si="55"/>
        <v>0</v>
      </c>
    </row>
    <row r="141" spans="2:16" ht="12.5">
      <c r="B141" s="7" t="str">
        <f t="shared" si="34"/>
        <v/>
      </c>
      <c r="C141" s="50">
        <f>IF(D93="","-",+C140+1)</f>
        <v>2057</v>
      </c>
      <c r="D141" s="12">
        <f>IF(F140+SUM(E$99:E140)=D$92,F140,D$92-SUM(E$99:E140))</f>
        <v>339422.32030077081</v>
      </c>
      <c r="E141" s="378">
        <f t="shared" si="48"/>
        <v>130409.38431818182</v>
      </c>
      <c r="F141" s="55">
        <f t="shared" si="49"/>
        <v>209012.93598258897</v>
      </c>
      <c r="G141" s="55">
        <f t="shared" si="50"/>
        <v>274217.62814167992</v>
      </c>
      <c r="H141" s="380">
        <f t="shared" si="51"/>
        <v>164556.70188727282</v>
      </c>
      <c r="I141" s="399">
        <f t="shared" si="52"/>
        <v>164556.70188727282</v>
      </c>
      <c r="J141" s="54">
        <f t="shared" si="35"/>
        <v>0</v>
      </c>
      <c r="K141" s="54"/>
      <c r="L141" s="129"/>
      <c r="M141" s="54">
        <f t="shared" si="53"/>
        <v>0</v>
      </c>
      <c r="N141" s="129"/>
      <c r="O141" s="54">
        <f t="shared" si="54"/>
        <v>0</v>
      </c>
      <c r="P141" s="54">
        <f t="shared" si="55"/>
        <v>0</v>
      </c>
    </row>
    <row r="142" spans="2:16" ht="12.5">
      <c r="B142" s="7" t="str">
        <f t="shared" si="34"/>
        <v/>
      </c>
      <c r="C142" s="50">
        <f>IF(D93="","-",+C141+1)</f>
        <v>2058</v>
      </c>
      <c r="D142" s="12">
        <f>IF(F141+SUM(E$99:E141)=D$92,F141,D$92-SUM(E$99:E141))</f>
        <v>209012.93598258897</v>
      </c>
      <c r="E142" s="378">
        <f t="shared" si="48"/>
        <v>130409.38431818182</v>
      </c>
      <c r="F142" s="55">
        <f t="shared" si="49"/>
        <v>78603.551664407147</v>
      </c>
      <c r="G142" s="55">
        <f t="shared" si="50"/>
        <v>143808.24382349805</v>
      </c>
      <c r="H142" s="380">
        <f t="shared" si="51"/>
        <v>148317.29856925638</v>
      </c>
      <c r="I142" s="399">
        <f t="shared" si="52"/>
        <v>148317.29856925638</v>
      </c>
      <c r="J142" s="54">
        <f t="shared" si="35"/>
        <v>0</v>
      </c>
      <c r="K142" s="54"/>
      <c r="L142" s="129"/>
      <c r="M142" s="54">
        <f t="shared" si="53"/>
        <v>0</v>
      </c>
      <c r="N142" s="129"/>
      <c r="O142" s="54">
        <f t="shared" si="54"/>
        <v>0</v>
      </c>
      <c r="P142" s="54">
        <f t="shared" si="55"/>
        <v>0</v>
      </c>
    </row>
    <row r="143" spans="2:16" ht="12.5">
      <c r="B143" s="7" t="str">
        <f t="shared" si="34"/>
        <v/>
      </c>
      <c r="C143" s="50">
        <f>IF(D93="","-",+C142+1)</f>
        <v>2059</v>
      </c>
      <c r="D143" s="12">
        <f>IF(F142+SUM(E$99:E142)=D$92,F142,D$92-SUM(E$99:E142))</f>
        <v>78603.551664407147</v>
      </c>
      <c r="E143" s="378">
        <f t="shared" si="48"/>
        <v>78603.551664407147</v>
      </c>
      <c r="F143" s="55">
        <f t="shared" si="49"/>
        <v>0</v>
      </c>
      <c r="G143" s="55">
        <f t="shared" si="50"/>
        <v>39301.775832203573</v>
      </c>
      <c r="H143" s="380">
        <f t="shared" si="51"/>
        <v>83497.657960440323</v>
      </c>
      <c r="I143" s="399">
        <f t="shared" si="52"/>
        <v>83497.657960440323</v>
      </c>
      <c r="J143" s="54">
        <f t="shared" si="35"/>
        <v>0</v>
      </c>
      <c r="K143" s="54"/>
      <c r="L143" s="129"/>
      <c r="M143" s="54">
        <f t="shared" si="53"/>
        <v>0</v>
      </c>
      <c r="N143" s="129"/>
      <c r="O143" s="54">
        <f t="shared" si="54"/>
        <v>0</v>
      </c>
      <c r="P143" s="54">
        <f t="shared" si="55"/>
        <v>0</v>
      </c>
    </row>
    <row r="144" spans="2:16" ht="12.5">
      <c r="B144" s="7" t="str">
        <f t="shared" si="34"/>
        <v/>
      </c>
      <c r="C144" s="50">
        <f>IF(D93="","-",+C143+1)</f>
        <v>2060</v>
      </c>
      <c r="D144" s="12">
        <f>IF(F143+SUM(E$99:E143)=D$92,F143,D$92-SUM(E$99:E143))</f>
        <v>0</v>
      </c>
      <c r="E144" s="378">
        <f t="shared" si="48"/>
        <v>0</v>
      </c>
      <c r="F144" s="55">
        <f t="shared" si="49"/>
        <v>0</v>
      </c>
      <c r="G144" s="55">
        <f t="shared" si="50"/>
        <v>0</v>
      </c>
      <c r="H144" s="380">
        <f t="shared" si="51"/>
        <v>0</v>
      </c>
      <c r="I144" s="399">
        <f t="shared" si="52"/>
        <v>0</v>
      </c>
      <c r="J144" s="54">
        <f t="shared" si="35"/>
        <v>0</v>
      </c>
      <c r="K144" s="54"/>
      <c r="L144" s="129"/>
      <c r="M144" s="54">
        <f t="shared" si="53"/>
        <v>0</v>
      </c>
      <c r="N144" s="129"/>
      <c r="O144" s="54">
        <f t="shared" si="54"/>
        <v>0</v>
      </c>
      <c r="P144" s="54">
        <f t="shared" si="55"/>
        <v>0</v>
      </c>
    </row>
    <row r="145" spans="2:16" ht="12.5">
      <c r="B145" s="7" t="str">
        <f t="shared" si="34"/>
        <v/>
      </c>
      <c r="C145" s="50">
        <f>IF(D93="","-",+C144+1)</f>
        <v>2061</v>
      </c>
      <c r="D145" s="12">
        <f>IF(F144+SUM(E$99:E144)=D$92,F144,D$92-SUM(E$99:E144))</f>
        <v>0</v>
      </c>
      <c r="E145" s="378">
        <f t="shared" si="48"/>
        <v>0</v>
      </c>
      <c r="F145" s="55">
        <f t="shared" si="49"/>
        <v>0</v>
      </c>
      <c r="G145" s="55">
        <f t="shared" si="50"/>
        <v>0</v>
      </c>
      <c r="H145" s="380">
        <f t="shared" si="51"/>
        <v>0</v>
      </c>
      <c r="I145" s="399">
        <f t="shared" si="52"/>
        <v>0</v>
      </c>
      <c r="J145" s="54">
        <f t="shared" si="35"/>
        <v>0</v>
      </c>
      <c r="K145" s="54"/>
      <c r="L145" s="129"/>
      <c r="M145" s="54">
        <f t="shared" si="53"/>
        <v>0</v>
      </c>
      <c r="N145" s="129"/>
      <c r="O145" s="54">
        <f t="shared" si="54"/>
        <v>0</v>
      </c>
      <c r="P145" s="54">
        <f t="shared" si="55"/>
        <v>0</v>
      </c>
    </row>
    <row r="146" spans="2:16" ht="12.5">
      <c r="B146" s="7" t="str">
        <f t="shared" si="34"/>
        <v/>
      </c>
      <c r="C146" s="50">
        <f>IF(D93="","-",+C145+1)</f>
        <v>2062</v>
      </c>
      <c r="D146" s="12">
        <f>IF(F145+SUM(E$99:E145)=D$92,F145,D$92-SUM(E$99:E145))</f>
        <v>0</v>
      </c>
      <c r="E146" s="378">
        <f t="shared" si="48"/>
        <v>0</v>
      </c>
      <c r="F146" s="55">
        <f t="shared" si="49"/>
        <v>0</v>
      </c>
      <c r="G146" s="55">
        <f t="shared" si="50"/>
        <v>0</v>
      </c>
      <c r="H146" s="380">
        <f t="shared" si="51"/>
        <v>0</v>
      </c>
      <c r="I146" s="399">
        <f t="shared" si="52"/>
        <v>0</v>
      </c>
      <c r="J146" s="54">
        <f t="shared" si="35"/>
        <v>0</v>
      </c>
      <c r="K146" s="54"/>
      <c r="L146" s="129"/>
      <c r="M146" s="54">
        <f t="shared" si="53"/>
        <v>0</v>
      </c>
      <c r="N146" s="129"/>
      <c r="O146" s="54">
        <f t="shared" si="54"/>
        <v>0</v>
      </c>
      <c r="P146" s="54">
        <f t="shared" si="55"/>
        <v>0</v>
      </c>
    </row>
    <row r="147" spans="2:16" ht="12.5">
      <c r="B147" s="7" t="str">
        <f t="shared" si="34"/>
        <v/>
      </c>
      <c r="C147" s="50">
        <f>IF(D93="","-",+C146+1)</f>
        <v>2063</v>
      </c>
      <c r="D147" s="12">
        <f>IF(F146+SUM(E$99:E146)=D$92,F146,D$92-SUM(E$99:E146))</f>
        <v>0</v>
      </c>
      <c r="E147" s="378">
        <f t="shared" si="48"/>
        <v>0</v>
      </c>
      <c r="F147" s="55">
        <f t="shared" si="49"/>
        <v>0</v>
      </c>
      <c r="G147" s="55">
        <f t="shared" si="50"/>
        <v>0</v>
      </c>
      <c r="H147" s="380">
        <f t="shared" si="51"/>
        <v>0</v>
      </c>
      <c r="I147" s="399">
        <f t="shared" si="52"/>
        <v>0</v>
      </c>
      <c r="J147" s="54">
        <f t="shared" si="35"/>
        <v>0</v>
      </c>
      <c r="K147" s="54"/>
      <c r="L147" s="129"/>
      <c r="M147" s="54">
        <f t="shared" si="53"/>
        <v>0</v>
      </c>
      <c r="N147" s="129"/>
      <c r="O147" s="54">
        <f t="shared" si="54"/>
        <v>0</v>
      </c>
      <c r="P147" s="54">
        <f t="shared" si="55"/>
        <v>0</v>
      </c>
    </row>
    <row r="148" spans="2:16" ht="12.5">
      <c r="B148" s="7" t="str">
        <f t="shared" si="34"/>
        <v/>
      </c>
      <c r="C148" s="50">
        <f>IF(D93="","-",+C147+1)</f>
        <v>2064</v>
      </c>
      <c r="D148" s="12">
        <f>IF(F147+SUM(E$99:E147)=D$92,F147,D$92-SUM(E$99:E147))</f>
        <v>0</v>
      </c>
      <c r="E148" s="378">
        <f t="shared" si="48"/>
        <v>0</v>
      </c>
      <c r="F148" s="55">
        <f t="shared" si="49"/>
        <v>0</v>
      </c>
      <c r="G148" s="55">
        <f t="shared" si="50"/>
        <v>0</v>
      </c>
      <c r="H148" s="380">
        <f t="shared" si="51"/>
        <v>0</v>
      </c>
      <c r="I148" s="399">
        <f t="shared" si="52"/>
        <v>0</v>
      </c>
      <c r="J148" s="54">
        <f t="shared" si="35"/>
        <v>0</v>
      </c>
      <c r="K148" s="54"/>
      <c r="L148" s="129"/>
      <c r="M148" s="54">
        <f t="shared" si="53"/>
        <v>0</v>
      </c>
      <c r="N148" s="129"/>
      <c r="O148" s="54">
        <f t="shared" si="54"/>
        <v>0</v>
      </c>
      <c r="P148" s="54">
        <f t="shared" si="55"/>
        <v>0</v>
      </c>
    </row>
    <row r="149" spans="2:16" ht="12.5">
      <c r="B149" s="7" t="str">
        <f t="shared" si="34"/>
        <v/>
      </c>
      <c r="C149" s="50">
        <f>IF(D93="","-",+C148+1)</f>
        <v>2065</v>
      </c>
      <c r="D149" s="12">
        <f>IF(F148+SUM(E$99:E148)=D$92,F148,D$92-SUM(E$99:E148))</f>
        <v>0</v>
      </c>
      <c r="E149" s="378">
        <f t="shared" si="48"/>
        <v>0</v>
      </c>
      <c r="F149" s="55">
        <f t="shared" si="49"/>
        <v>0</v>
      </c>
      <c r="G149" s="55">
        <f t="shared" si="50"/>
        <v>0</v>
      </c>
      <c r="H149" s="380">
        <f t="shared" si="51"/>
        <v>0</v>
      </c>
      <c r="I149" s="399">
        <f t="shared" si="52"/>
        <v>0</v>
      </c>
      <c r="J149" s="54">
        <f t="shared" si="35"/>
        <v>0</v>
      </c>
      <c r="K149" s="54"/>
      <c r="L149" s="129"/>
      <c r="M149" s="54">
        <f t="shared" si="53"/>
        <v>0</v>
      </c>
      <c r="N149" s="129"/>
      <c r="O149" s="54">
        <f t="shared" si="54"/>
        <v>0</v>
      </c>
      <c r="P149" s="54">
        <f t="shared" si="55"/>
        <v>0</v>
      </c>
    </row>
    <row r="150" spans="2:16" ht="12.5">
      <c r="B150" s="7" t="str">
        <f t="shared" si="34"/>
        <v/>
      </c>
      <c r="C150" s="50">
        <f>IF(D93="","-",+C149+1)</f>
        <v>2066</v>
      </c>
      <c r="D150" s="12">
        <f>IF(F149+SUM(E$99:E149)=D$92,F149,D$92-SUM(E$99:E149))</f>
        <v>0</v>
      </c>
      <c r="E150" s="378">
        <f t="shared" si="48"/>
        <v>0</v>
      </c>
      <c r="F150" s="55">
        <f t="shared" si="49"/>
        <v>0</v>
      </c>
      <c r="G150" s="55">
        <f t="shared" si="50"/>
        <v>0</v>
      </c>
      <c r="H150" s="380">
        <f t="shared" si="51"/>
        <v>0</v>
      </c>
      <c r="I150" s="399">
        <f t="shared" si="52"/>
        <v>0</v>
      </c>
      <c r="J150" s="54">
        <f t="shared" si="35"/>
        <v>0</v>
      </c>
      <c r="K150" s="54"/>
      <c r="L150" s="129"/>
      <c r="M150" s="54">
        <f t="shared" si="53"/>
        <v>0</v>
      </c>
      <c r="N150" s="129"/>
      <c r="O150" s="54">
        <f t="shared" si="54"/>
        <v>0</v>
      </c>
      <c r="P150" s="54">
        <f t="shared" si="55"/>
        <v>0</v>
      </c>
    </row>
    <row r="151" spans="2:16" ht="12.5">
      <c r="B151" s="7" t="str">
        <f t="shared" si="34"/>
        <v/>
      </c>
      <c r="C151" s="50">
        <f>IF(D93="","-",+C150+1)</f>
        <v>2067</v>
      </c>
      <c r="D151" s="12">
        <f>IF(F150+SUM(E$99:E150)=D$92,F150,D$92-SUM(E$99:E150))</f>
        <v>0</v>
      </c>
      <c r="E151" s="378">
        <f t="shared" si="48"/>
        <v>0</v>
      </c>
      <c r="F151" s="55">
        <f t="shared" si="49"/>
        <v>0</v>
      </c>
      <c r="G151" s="55">
        <f t="shared" si="50"/>
        <v>0</v>
      </c>
      <c r="H151" s="380">
        <f t="shared" si="51"/>
        <v>0</v>
      </c>
      <c r="I151" s="399">
        <f t="shared" si="52"/>
        <v>0</v>
      </c>
      <c r="J151" s="54">
        <f t="shared" si="35"/>
        <v>0</v>
      </c>
      <c r="K151" s="54"/>
      <c r="L151" s="129"/>
      <c r="M151" s="54">
        <f t="shared" si="53"/>
        <v>0</v>
      </c>
      <c r="N151" s="129"/>
      <c r="O151" s="54">
        <f t="shared" si="54"/>
        <v>0</v>
      </c>
      <c r="P151" s="54">
        <f t="shared" si="55"/>
        <v>0</v>
      </c>
    </row>
    <row r="152" spans="2:16" ht="12.5">
      <c r="B152" s="7" t="str">
        <f t="shared" si="34"/>
        <v/>
      </c>
      <c r="C152" s="50">
        <f>IF(D93="","-",+C151+1)</f>
        <v>2068</v>
      </c>
      <c r="D152" s="12">
        <f>IF(F151+SUM(E$99:E151)=D$92,F151,D$92-SUM(E$99:E151))</f>
        <v>0</v>
      </c>
      <c r="E152" s="378">
        <f t="shared" si="48"/>
        <v>0</v>
      </c>
      <c r="F152" s="55">
        <f t="shared" si="49"/>
        <v>0</v>
      </c>
      <c r="G152" s="55">
        <f t="shared" si="50"/>
        <v>0</v>
      </c>
      <c r="H152" s="380">
        <f t="shared" si="51"/>
        <v>0</v>
      </c>
      <c r="I152" s="399">
        <f t="shared" si="52"/>
        <v>0</v>
      </c>
      <c r="J152" s="54">
        <f t="shared" si="35"/>
        <v>0</v>
      </c>
      <c r="K152" s="54"/>
      <c r="L152" s="129"/>
      <c r="M152" s="54">
        <f t="shared" si="53"/>
        <v>0</v>
      </c>
      <c r="N152" s="129"/>
      <c r="O152" s="54">
        <f t="shared" si="54"/>
        <v>0</v>
      </c>
      <c r="P152" s="54">
        <f t="shared" si="55"/>
        <v>0</v>
      </c>
    </row>
    <row r="153" spans="2:16" ht="12.5">
      <c r="B153" s="7" t="str">
        <f t="shared" si="34"/>
        <v/>
      </c>
      <c r="C153" s="50">
        <f>IF(D93="","-",+C152+1)</f>
        <v>2069</v>
      </c>
      <c r="D153" s="12">
        <f>IF(F152+SUM(E$99:E152)=D$92,F152,D$92-SUM(E$99:E152))</f>
        <v>0</v>
      </c>
      <c r="E153" s="378">
        <f t="shared" si="48"/>
        <v>0</v>
      </c>
      <c r="F153" s="55">
        <f t="shared" si="49"/>
        <v>0</v>
      </c>
      <c r="G153" s="55">
        <f t="shared" si="50"/>
        <v>0</v>
      </c>
      <c r="H153" s="380">
        <f t="shared" si="51"/>
        <v>0</v>
      </c>
      <c r="I153" s="399">
        <f t="shared" si="52"/>
        <v>0</v>
      </c>
      <c r="J153" s="54">
        <f t="shared" si="35"/>
        <v>0</v>
      </c>
      <c r="K153" s="54"/>
      <c r="L153" s="129"/>
      <c r="M153" s="54">
        <f t="shared" si="53"/>
        <v>0</v>
      </c>
      <c r="N153" s="129"/>
      <c r="O153" s="54">
        <f t="shared" si="54"/>
        <v>0</v>
      </c>
      <c r="P153" s="54">
        <f t="shared" si="55"/>
        <v>0</v>
      </c>
    </row>
    <row r="154" spans="2:16" ht="13" thickBot="1">
      <c r="B154" s="7" t="str">
        <f t="shared" si="34"/>
        <v/>
      </c>
      <c r="C154" s="59">
        <f>IF(D93="","-",+C153+1)</f>
        <v>2070</v>
      </c>
      <c r="D154" s="12">
        <f>IF(F153+SUM(E$99:E153)=D$92,F153,D$92-SUM(E$99:E153))</f>
        <v>0</v>
      </c>
      <c r="E154" s="378">
        <f t="shared" si="48"/>
        <v>0</v>
      </c>
      <c r="F154" s="55">
        <f t="shared" si="49"/>
        <v>0</v>
      </c>
      <c r="G154" s="55">
        <f t="shared" si="50"/>
        <v>0</v>
      </c>
      <c r="H154" s="380">
        <f t="shared" si="51"/>
        <v>0</v>
      </c>
      <c r="I154" s="399">
        <f t="shared" si="52"/>
        <v>0</v>
      </c>
      <c r="J154" s="54">
        <f t="shared" si="35"/>
        <v>0</v>
      </c>
      <c r="K154" s="54"/>
      <c r="L154" s="130"/>
      <c r="M154" s="64">
        <f t="shared" si="53"/>
        <v>0</v>
      </c>
      <c r="N154" s="130"/>
      <c r="O154" s="64">
        <f t="shared" si="54"/>
        <v>0</v>
      </c>
      <c r="P154" s="64">
        <f t="shared" si="55"/>
        <v>0</v>
      </c>
    </row>
    <row r="155" spans="2:16" ht="12.5">
      <c r="C155" s="12" t="s">
        <v>78</v>
      </c>
      <c r="D155" s="293"/>
      <c r="E155" s="293">
        <f>SUM(E99:E154)</f>
        <v>5738012.9100000039</v>
      </c>
      <c r="F155" s="293"/>
      <c r="G155" s="293"/>
      <c r="H155" s="293">
        <f>SUM(H99:H154)</f>
        <v>21194914.253119417</v>
      </c>
      <c r="I155" s="293">
        <f>SUM(I99:I154)</f>
        <v>21194914.253119417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 ht="12.5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 ht="13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51" priority="1" stopIfTrue="1" operator="equal">
      <formula>$I$10</formula>
    </cfRule>
  </conditionalFormatting>
  <conditionalFormatting sqref="C99:C154">
    <cfRule type="cellIs" dxfId="5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03"/>
  <dimension ref="A1:P162"/>
  <sheetViews>
    <sheetView topLeftCell="A80" zoomScaleNormal="100" zoomScaleSheetLayoutView="82" workbookViewId="0">
      <selection activeCell="D26" sqref="D26:H26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54 of 77</v>
      </c>
    </row>
    <row r="2" spans="1:16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1630989.3674118209</v>
      </c>
      <c r="P5" s="1"/>
    </row>
    <row r="6" spans="1:16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1630989.3674118209</v>
      </c>
      <c r="O6" s="1"/>
      <c r="P6" s="1"/>
    </row>
    <row r="7" spans="1:16" ht="13.5" thickBot="1">
      <c r="C7" s="25" t="s">
        <v>48</v>
      </c>
      <c r="D7" s="90" t="s">
        <v>346</v>
      </c>
      <c r="E7" s="406"/>
      <c r="F7" s="406"/>
      <c r="G7" s="406"/>
      <c r="H7" s="40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480</v>
      </c>
      <c r="E9" s="436" t="s">
        <v>403</v>
      </c>
      <c r="F9" s="31"/>
      <c r="G9" s="31"/>
      <c r="H9" s="31"/>
      <c r="I9" s="32"/>
      <c r="J9" s="33"/>
      <c r="P9" s="1"/>
    </row>
    <row r="10" spans="1:16" ht="13">
      <c r="C10" s="34" t="s">
        <v>51</v>
      </c>
      <c r="D10" s="363">
        <v>13851900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6" ht="12.5">
      <c r="C11" s="34" t="s">
        <v>54</v>
      </c>
      <c r="D11" s="37">
        <v>2015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3">
        <v>11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314815.90909090912</v>
      </c>
      <c r="J14" s="293"/>
      <c r="K14" s="293"/>
      <c r="L14" s="293"/>
      <c r="M14" s="293"/>
      <c r="N14" s="293"/>
      <c r="O14" s="1"/>
      <c r="P14" s="1"/>
    </row>
    <row r="15" spans="1:16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2015</v>
      </c>
      <c r="D17" s="429">
        <v>13860000</v>
      </c>
      <c r="E17" s="437">
        <v>27500</v>
      </c>
      <c r="F17" s="429">
        <v>13832500</v>
      </c>
      <c r="G17" s="437">
        <v>1849306.6594882272</v>
      </c>
      <c r="H17" s="438">
        <v>1849306.6594882272</v>
      </c>
      <c r="I17" s="52">
        <v>0</v>
      </c>
      <c r="J17" s="52"/>
      <c r="K17" s="113">
        <f t="shared" ref="K17:K22" si="0">G17</f>
        <v>1849306.6594882272</v>
      </c>
      <c r="L17" s="54">
        <f t="shared" ref="L17:L22" si="1">IF(K17&lt;&gt;0,+G17-K17,0)</f>
        <v>0</v>
      </c>
      <c r="M17" s="113">
        <f t="shared" ref="M17:M22" si="2">H17</f>
        <v>1849306.6594882272</v>
      </c>
      <c r="N17" s="54">
        <f>IF(M17&lt;&gt;0,+H17-M17,0)</f>
        <v>0</v>
      </c>
      <c r="O17" s="54">
        <f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2016</v>
      </c>
      <c r="D18" s="431">
        <v>13848292</v>
      </c>
      <c r="E18" s="430">
        <v>330376</v>
      </c>
      <c r="F18" s="431">
        <v>13517916</v>
      </c>
      <c r="G18" s="430">
        <v>2088786.1755878374</v>
      </c>
      <c r="H18" s="438">
        <v>2088786.1755878374</v>
      </c>
      <c r="I18" s="52">
        <f>H18-G18</f>
        <v>0</v>
      </c>
      <c r="J18" s="52"/>
      <c r="K18" s="113">
        <f t="shared" si="0"/>
        <v>2088786.1755878374</v>
      </c>
      <c r="L18" s="54">
        <f t="shared" si="1"/>
        <v>0</v>
      </c>
      <c r="M18" s="113">
        <f t="shared" si="2"/>
        <v>2088786.1755878374</v>
      </c>
      <c r="N18" s="54">
        <f>IF(M18&lt;&gt;0,+H18-M18,0)</f>
        <v>0</v>
      </c>
      <c r="O18" s="54">
        <f>+N18-L18</f>
        <v>0</v>
      </c>
      <c r="P18" s="1"/>
    </row>
    <row r="19" spans="2:16" ht="12.5">
      <c r="B19" s="7" t="str">
        <f>IF(D19=F18,"","IU")</f>
        <v>IU</v>
      </c>
      <c r="C19" s="50">
        <f>IF(D11="","-",+C18+1)</f>
        <v>2017</v>
      </c>
      <c r="D19" s="431">
        <v>13494024</v>
      </c>
      <c r="E19" s="430">
        <v>322137.20930232556</v>
      </c>
      <c r="F19" s="431">
        <v>13171886.790697675</v>
      </c>
      <c r="G19" s="430">
        <v>1973990.8338267417</v>
      </c>
      <c r="H19" s="438">
        <v>1973990.8338267417</v>
      </c>
      <c r="I19" s="52">
        <f t="shared" ref="I19:I72" si="3">H19-G19</f>
        <v>0</v>
      </c>
      <c r="J19" s="52"/>
      <c r="K19" s="113">
        <f t="shared" si="0"/>
        <v>1973990.8338267417</v>
      </c>
      <c r="L19" s="54">
        <f t="shared" si="1"/>
        <v>0</v>
      </c>
      <c r="M19" s="113">
        <f t="shared" si="2"/>
        <v>1973990.8338267417</v>
      </c>
      <c r="N19" s="54">
        <f>IF(M19&lt;&gt;0,+H19-M19,0)</f>
        <v>0</v>
      </c>
      <c r="O19" s="54">
        <f>+N19-L19</f>
        <v>0</v>
      </c>
      <c r="P19" s="1"/>
    </row>
    <row r="20" spans="2:16" ht="12.5">
      <c r="B20" s="7" t="str">
        <f t="shared" ref="B20:B72" si="4">IF(D20=F19,"","IU")</f>
        <v/>
      </c>
      <c r="C20" s="50">
        <f>IF(D11="","-",+C19+1)</f>
        <v>2018</v>
      </c>
      <c r="D20" s="431">
        <v>13171886.790697675</v>
      </c>
      <c r="E20" s="430">
        <v>337851.21951219509</v>
      </c>
      <c r="F20" s="431">
        <v>12834035.571185481</v>
      </c>
      <c r="G20" s="430">
        <v>1990450.8542031003</v>
      </c>
      <c r="H20" s="438">
        <v>1990450.8542031003</v>
      </c>
      <c r="I20" s="52">
        <f t="shared" si="3"/>
        <v>0</v>
      </c>
      <c r="J20" s="52"/>
      <c r="K20" s="113">
        <f t="shared" si="0"/>
        <v>1990450.8542031003</v>
      </c>
      <c r="L20" s="54">
        <f t="shared" si="1"/>
        <v>0</v>
      </c>
      <c r="M20" s="113">
        <f t="shared" si="2"/>
        <v>1990450.8542031003</v>
      </c>
      <c r="N20" s="54">
        <f>IF(M20&lt;&gt;0,+H20-M20,0)</f>
        <v>0</v>
      </c>
      <c r="O20" s="54">
        <f>+N20-L20</f>
        <v>0</v>
      </c>
      <c r="P20" s="1"/>
    </row>
    <row r="21" spans="2:16" ht="12.5">
      <c r="B21" s="7" t="str">
        <f t="shared" si="4"/>
        <v/>
      </c>
      <c r="C21" s="50">
        <f>IF(D11="","-",+C20+1)</f>
        <v>2019</v>
      </c>
      <c r="D21" s="431">
        <v>12834035.571185481</v>
      </c>
      <c r="E21" s="430">
        <v>337851.21951219509</v>
      </c>
      <c r="F21" s="431">
        <v>12496184.351673286</v>
      </c>
      <c r="G21" s="430">
        <v>1947511.9578873843</v>
      </c>
      <c r="H21" s="438">
        <v>1947511.9578873843</v>
      </c>
      <c r="I21" s="52">
        <f t="shared" si="3"/>
        <v>0</v>
      </c>
      <c r="J21" s="52"/>
      <c r="K21" s="113">
        <f t="shared" si="0"/>
        <v>1947511.9578873843</v>
      </c>
      <c r="L21" s="54">
        <f t="shared" si="1"/>
        <v>0</v>
      </c>
      <c r="M21" s="113">
        <f t="shared" si="2"/>
        <v>1947511.9578873843</v>
      </c>
      <c r="N21" s="54">
        <f t="shared" ref="N21:N72" si="5">IF(M21&lt;&gt;0,+H21-M21,0)</f>
        <v>0</v>
      </c>
      <c r="O21" s="54">
        <f t="shared" ref="O21:O72" si="6">+N21-L21</f>
        <v>0</v>
      </c>
      <c r="P21" s="1"/>
    </row>
    <row r="22" spans="2:16" ht="12.5">
      <c r="B22" s="7" t="str">
        <f t="shared" si="4"/>
        <v/>
      </c>
      <c r="C22" s="50">
        <f>IF(D11="","-",+C21+1)</f>
        <v>2020</v>
      </c>
      <c r="D22" s="431">
        <v>12496184.351673286</v>
      </c>
      <c r="E22" s="430">
        <v>337851.21951219509</v>
      </c>
      <c r="F22" s="431">
        <v>12158333.132161092</v>
      </c>
      <c r="G22" s="430">
        <v>1599366.8553044961</v>
      </c>
      <c r="H22" s="438">
        <v>1599366.8553044961</v>
      </c>
      <c r="I22" s="52">
        <f t="shared" si="3"/>
        <v>0</v>
      </c>
      <c r="J22" s="52"/>
      <c r="K22" s="113">
        <f t="shared" si="0"/>
        <v>1599366.8553044961</v>
      </c>
      <c r="L22" s="54">
        <f t="shared" si="1"/>
        <v>0</v>
      </c>
      <c r="M22" s="113">
        <f t="shared" si="2"/>
        <v>1599366.8553044961</v>
      </c>
      <c r="N22" s="54">
        <f t="shared" si="5"/>
        <v>0</v>
      </c>
      <c r="O22" s="54">
        <f t="shared" si="6"/>
        <v>0</v>
      </c>
      <c r="P22" s="1"/>
    </row>
    <row r="23" spans="2:16" ht="12.5">
      <c r="B23" s="7" t="str">
        <f t="shared" si="4"/>
        <v>IU</v>
      </c>
      <c r="C23" s="50">
        <f>IF(D11="","-",+C22+1)</f>
        <v>2021</v>
      </c>
      <c r="D23" s="431">
        <v>12174047.142370958</v>
      </c>
      <c r="E23" s="430">
        <v>329807.14285714284</v>
      </c>
      <c r="F23" s="431">
        <v>11844239.999513814</v>
      </c>
      <c r="G23" s="430">
        <v>1602830.9434464206</v>
      </c>
      <c r="H23" s="438">
        <v>1602830.9434464206</v>
      </c>
      <c r="I23" s="52">
        <f t="shared" si="3"/>
        <v>0</v>
      </c>
      <c r="J23" s="52"/>
      <c r="K23" s="113">
        <f t="shared" ref="K23" si="7">G23</f>
        <v>1602830.9434464206</v>
      </c>
      <c r="L23" s="54">
        <f t="shared" ref="L23" si="8">IF(K23&lt;&gt;0,+G23-K23,0)</f>
        <v>0</v>
      </c>
      <c r="M23" s="113">
        <f t="shared" ref="M23" si="9">H23</f>
        <v>1602830.9434464206</v>
      </c>
      <c r="N23" s="54">
        <f t="shared" si="5"/>
        <v>0</v>
      </c>
      <c r="O23" s="54">
        <f t="shared" si="6"/>
        <v>0</v>
      </c>
      <c r="P23" s="1"/>
    </row>
    <row r="24" spans="2:16" ht="12.5">
      <c r="B24" s="7" t="str">
        <f t="shared" si="4"/>
        <v>IU</v>
      </c>
      <c r="C24" s="50">
        <f>IF(D11="","-",+C23+1)</f>
        <v>2022</v>
      </c>
      <c r="D24" s="431">
        <v>11828525.989303946</v>
      </c>
      <c r="E24" s="430">
        <v>329807.14285714284</v>
      </c>
      <c r="F24" s="431">
        <v>11498718.846446803</v>
      </c>
      <c r="G24" s="430">
        <v>1641312.6320202737</v>
      </c>
      <c r="H24" s="438">
        <v>1641312.6320202737</v>
      </c>
      <c r="I24" s="52">
        <f t="shared" si="3"/>
        <v>0</v>
      </c>
      <c r="J24" s="52"/>
      <c r="K24" s="113">
        <f t="shared" ref="K24" si="10">G24</f>
        <v>1641312.6320202737</v>
      </c>
      <c r="L24" s="54">
        <f t="shared" ref="L24" si="11">IF(K24&lt;&gt;0,+G24-K24,0)</f>
        <v>0</v>
      </c>
      <c r="M24" s="113">
        <f t="shared" ref="M24" si="12">H24</f>
        <v>1641312.6320202737</v>
      </c>
      <c r="N24" s="54">
        <f t="shared" si="5"/>
        <v>0</v>
      </c>
      <c r="O24" s="54">
        <f t="shared" si="6"/>
        <v>0</v>
      </c>
      <c r="P24" s="1"/>
    </row>
    <row r="25" spans="2:16" ht="12.5">
      <c r="B25" s="7" t="str">
        <f t="shared" si="4"/>
        <v/>
      </c>
      <c r="C25" s="50">
        <f>IF(D11="","-",+C24+1)</f>
        <v>2023</v>
      </c>
      <c r="D25" s="431">
        <v>11498718.846446803</v>
      </c>
      <c r="E25" s="430">
        <v>329807.14285714284</v>
      </c>
      <c r="F25" s="431">
        <v>11168911.703589659</v>
      </c>
      <c r="G25" s="430">
        <v>1761571.6221046289</v>
      </c>
      <c r="H25" s="438">
        <v>1761571.6221046289</v>
      </c>
      <c r="I25" s="52">
        <f t="shared" si="3"/>
        <v>0</v>
      </c>
      <c r="J25" s="52"/>
      <c r="K25" s="113">
        <f t="shared" ref="K25" si="13">G25</f>
        <v>1761571.6221046289</v>
      </c>
      <c r="L25" s="54">
        <f t="shared" ref="L25" si="14">IF(K25&lt;&gt;0,+G25-K25,0)</f>
        <v>0</v>
      </c>
      <c r="M25" s="113">
        <f t="shared" ref="M25" si="15">H25</f>
        <v>1761571.6221046289</v>
      </c>
      <c r="N25" s="54">
        <f t="shared" si="5"/>
        <v>0</v>
      </c>
      <c r="O25" s="54">
        <f t="shared" si="6"/>
        <v>0</v>
      </c>
      <c r="P25" s="1"/>
    </row>
    <row r="26" spans="2:16" ht="12.5">
      <c r="B26" s="7" t="str">
        <f t="shared" si="4"/>
        <v/>
      </c>
      <c r="C26" s="50">
        <f>IF(D11="","-",+C25+1)</f>
        <v>2024</v>
      </c>
      <c r="D26" s="431">
        <v>11168911.703589659</v>
      </c>
      <c r="E26" s="430">
        <v>314815.90909090912</v>
      </c>
      <c r="F26" s="431">
        <v>10854095.794498751</v>
      </c>
      <c r="G26" s="430">
        <v>1630989.3674118209</v>
      </c>
      <c r="H26" s="438">
        <v>1630989.3674118209</v>
      </c>
      <c r="I26" s="52">
        <f t="shared" si="3"/>
        <v>0</v>
      </c>
      <c r="J26" s="52"/>
      <c r="K26" s="113">
        <f t="shared" ref="K26" si="16">G26</f>
        <v>1630989.3674118209</v>
      </c>
      <c r="L26" s="54">
        <f t="shared" ref="L26" si="17">IF(K26&lt;&gt;0,+G26-K26,0)</f>
        <v>0</v>
      </c>
      <c r="M26" s="113">
        <f t="shared" ref="M26" si="18">H26</f>
        <v>1630989.3674118209</v>
      </c>
      <c r="N26" s="54">
        <f t="shared" ref="N26" si="19">IF(M26&lt;&gt;0,+H26-M26,0)</f>
        <v>0</v>
      </c>
      <c r="O26" s="54">
        <f t="shared" ref="O26" si="20">+N26-L26</f>
        <v>0</v>
      </c>
      <c r="P26" s="1"/>
    </row>
    <row r="27" spans="2:16" ht="12.5">
      <c r="B27" s="7" t="str">
        <f t="shared" si="4"/>
        <v/>
      </c>
      <c r="C27" s="50">
        <f>IF(D11="","-",+C26+1)</f>
        <v>2025</v>
      </c>
      <c r="D27" s="55">
        <f>IF(F26+SUM(E$17:E26)=D$10,F26,D$10-SUM(E$17:E26))</f>
        <v>10854095.794498751</v>
      </c>
      <c r="E27" s="378">
        <f t="shared" ref="E27:E72" si="21">IF(+$I$14&lt;F26,$I$14,D27)</f>
        <v>314815.90909090912</v>
      </c>
      <c r="F27" s="55">
        <f t="shared" ref="F27:F72" si="22">+D27-E27</f>
        <v>10539279.885407843</v>
      </c>
      <c r="G27" s="379">
        <f t="shared" ref="G27:G50" si="23">+I$12*((D27+F27)/2)+E27</f>
        <v>1593360.3247991267</v>
      </c>
      <c r="H27" s="364">
        <f t="shared" ref="H27:H50" si="24">+I$13*((D27+F27)/2)+E27</f>
        <v>1593360.3247991267</v>
      </c>
      <c r="I27" s="52">
        <f t="shared" si="3"/>
        <v>0</v>
      </c>
      <c r="J27" s="52"/>
      <c r="K27" s="129"/>
      <c r="L27" s="54">
        <f t="shared" ref="L27:L72" si="25">IF(K27&lt;&gt;0,+G27-K27,0)</f>
        <v>0</v>
      </c>
      <c r="M27" s="129"/>
      <c r="N27" s="54">
        <f t="shared" si="5"/>
        <v>0</v>
      </c>
      <c r="O27" s="54">
        <f t="shared" si="6"/>
        <v>0</v>
      </c>
      <c r="P27" s="1"/>
    </row>
    <row r="28" spans="2:16" ht="12.5">
      <c r="B28" s="7" t="str">
        <f t="shared" si="4"/>
        <v/>
      </c>
      <c r="C28" s="50">
        <f>IF(D11="","-",+C27+1)</f>
        <v>2026</v>
      </c>
      <c r="D28" s="55">
        <f>IF(F27+SUM(E$17:E27)=D$10,F27,D$10-SUM(E$17:E27))</f>
        <v>10539279.885407843</v>
      </c>
      <c r="E28" s="378">
        <f t="shared" si="21"/>
        <v>314815.90909090912</v>
      </c>
      <c r="F28" s="55">
        <f t="shared" si="22"/>
        <v>10224463.976316934</v>
      </c>
      <c r="G28" s="379">
        <f t="shared" si="23"/>
        <v>1555731.2821864332</v>
      </c>
      <c r="H28" s="364">
        <f t="shared" si="24"/>
        <v>1555731.2821864332</v>
      </c>
      <c r="I28" s="52">
        <f t="shared" si="3"/>
        <v>0</v>
      </c>
      <c r="J28" s="52"/>
      <c r="K28" s="129"/>
      <c r="L28" s="54">
        <f t="shared" si="25"/>
        <v>0</v>
      </c>
      <c r="M28" s="129"/>
      <c r="N28" s="54">
        <f t="shared" si="5"/>
        <v>0</v>
      </c>
      <c r="O28" s="54">
        <f t="shared" si="6"/>
        <v>0</v>
      </c>
      <c r="P28" s="1"/>
    </row>
    <row r="29" spans="2:16" ht="12.5">
      <c r="B29" s="7" t="str">
        <f t="shared" si="4"/>
        <v/>
      </c>
      <c r="C29" s="50">
        <f>IF(D11="","-",+C28+1)</f>
        <v>2027</v>
      </c>
      <c r="D29" s="55">
        <f>IF(F28+SUM(E$17:E28)=D$10,F28,D$10-SUM(E$17:E28))</f>
        <v>10224463.976316934</v>
      </c>
      <c r="E29" s="378">
        <f t="shared" si="21"/>
        <v>314815.90909090912</v>
      </c>
      <c r="F29" s="55">
        <f t="shared" si="22"/>
        <v>9909648.0672260262</v>
      </c>
      <c r="G29" s="379">
        <f t="shared" si="23"/>
        <v>1518102.239573739</v>
      </c>
      <c r="H29" s="364">
        <f t="shared" si="24"/>
        <v>1518102.239573739</v>
      </c>
      <c r="I29" s="52">
        <f t="shared" si="3"/>
        <v>0</v>
      </c>
      <c r="J29" s="52"/>
      <c r="K29" s="129"/>
      <c r="L29" s="54">
        <f t="shared" si="25"/>
        <v>0</v>
      </c>
      <c r="M29" s="129"/>
      <c r="N29" s="54">
        <f t="shared" si="5"/>
        <v>0</v>
      </c>
      <c r="O29" s="54">
        <f t="shared" si="6"/>
        <v>0</v>
      </c>
      <c r="P29" s="1"/>
    </row>
    <row r="30" spans="2:16" ht="12.5">
      <c r="B30" s="7" t="str">
        <f t="shared" si="4"/>
        <v/>
      </c>
      <c r="C30" s="50">
        <f>IF(D11="","-",+C29+1)</f>
        <v>2028</v>
      </c>
      <c r="D30" s="55">
        <f>IF(F29+SUM(E$17:E29)=D$10,F29,D$10-SUM(E$17:E29))</f>
        <v>9909648.0672260262</v>
      </c>
      <c r="E30" s="378">
        <f t="shared" si="21"/>
        <v>314815.90909090912</v>
      </c>
      <c r="F30" s="55">
        <f t="shared" si="22"/>
        <v>9594832.158135118</v>
      </c>
      <c r="G30" s="379">
        <f t="shared" si="23"/>
        <v>1480473.1969610455</v>
      </c>
      <c r="H30" s="364">
        <f t="shared" si="24"/>
        <v>1480473.1969610455</v>
      </c>
      <c r="I30" s="52">
        <f t="shared" si="3"/>
        <v>0</v>
      </c>
      <c r="J30" s="52"/>
      <c r="K30" s="129"/>
      <c r="L30" s="54">
        <f t="shared" si="25"/>
        <v>0</v>
      </c>
      <c r="M30" s="129"/>
      <c r="N30" s="54">
        <f t="shared" si="5"/>
        <v>0</v>
      </c>
      <c r="O30" s="54">
        <f t="shared" si="6"/>
        <v>0</v>
      </c>
      <c r="P30" s="1"/>
    </row>
    <row r="31" spans="2:16" ht="12.5">
      <c r="B31" s="7" t="str">
        <f t="shared" si="4"/>
        <v/>
      </c>
      <c r="C31" s="50">
        <f>IF(D11="","-",+C30+1)</f>
        <v>2029</v>
      </c>
      <c r="D31" s="55">
        <f>IF(F30+SUM(E$17:E30)=D$10,F30,D$10-SUM(E$17:E30))</f>
        <v>9594832.158135118</v>
      </c>
      <c r="E31" s="378">
        <f t="shared" si="21"/>
        <v>314815.90909090912</v>
      </c>
      <c r="F31" s="55">
        <f t="shared" si="22"/>
        <v>9280016.2490442097</v>
      </c>
      <c r="G31" s="379">
        <f t="shared" si="23"/>
        <v>1442844.1543483515</v>
      </c>
      <c r="H31" s="364">
        <f t="shared" si="24"/>
        <v>1442844.1543483515</v>
      </c>
      <c r="I31" s="52">
        <f t="shared" si="3"/>
        <v>0</v>
      </c>
      <c r="J31" s="52"/>
      <c r="K31" s="129"/>
      <c r="L31" s="54">
        <f t="shared" si="25"/>
        <v>0</v>
      </c>
      <c r="M31" s="129"/>
      <c r="N31" s="54">
        <f t="shared" si="5"/>
        <v>0</v>
      </c>
      <c r="O31" s="54">
        <f t="shared" si="6"/>
        <v>0</v>
      </c>
      <c r="P31" s="1"/>
    </row>
    <row r="32" spans="2:16" ht="12.5">
      <c r="B32" s="7" t="str">
        <f t="shared" si="4"/>
        <v/>
      </c>
      <c r="C32" s="50">
        <f>IF(D11="","-",+C31+1)</f>
        <v>2030</v>
      </c>
      <c r="D32" s="55">
        <f>IF(F31+SUM(E$17:E31)=D$10,F31,D$10-SUM(E$17:E31))</f>
        <v>9280016.2490442097</v>
      </c>
      <c r="E32" s="378">
        <f t="shared" si="21"/>
        <v>314815.90909090912</v>
      </c>
      <c r="F32" s="55">
        <f t="shared" si="22"/>
        <v>8965200.3399533015</v>
      </c>
      <c r="G32" s="379">
        <f t="shared" si="23"/>
        <v>1405215.1117356578</v>
      </c>
      <c r="H32" s="364">
        <f t="shared" si="24"/>
        <v>1405215.1117356578</v>
      </c>
      <c r="I32" s="52">
        <f t="shared" si="3"/>
        <v>0</v>
      </c>
      <c r="J32" s="52"/>
      <c r="K32" s="129"/>
      <c r="L32" s="54">
        <f t="shared" si="25"/>
        <v>0</v>
      </c>
      <c r="M32" s="129"/>
      <c r="N32" s="54">
        <f t="shared" si="5"/>
        <v>0</v>
      </c>
      <c r="O32" s="54">
        <f t="shared" si="6"/>
        <v>0</v>
      </c>
      <c r="P32" s="1"/>
    </row>
    <row r="33" spans="2:16" ht="12.5">
      <c r="B33" s="7" t="str">
        <f t="shared" si="4"/>
        <v/>
      </c>
      <c r="C33" s="50">
        <f>IF(D11="","-",+C32+1)</f>
        <v>2031</v>
      </c>
      <c r="D33" s="55">
        <f>IF(F32+SUM(E$17:E32)=D$10,F32,D$10-SUM(E$17:E32))</f>
        <v>8965200.3399533015</v>
      </c>
      <c r="E33" s="378">
        <f t="shared" si="21"/>
        <v>314815.90909090912</v>
      </c>
      <c r="F33" s="55">
        <f t="shared" si="22"/>
        <v>8650384.4308623932</v>
      </c>
      <c r="G33" s="379">
        <f t="shared" si="23"/>
        <v>1367586.0691229638</v>
      </c>
      <c r="H33" s="364">
        <f t="shared" si="24"/>
        <v>1367586.0691229638</v>
      </c>
      <c r="I33" s="52">
        <f t="shared" si="3"/>
        <v>0</v>
      </c>
      <c r="J33" s="52"/>
      <c r="K33" s="129"/>
      <c r="L33" s="54">
        <f t="shared" si="25"/>
        <v>0</v>
      </c>
      <c r="M33" s="129"/>
      <c r="N33" s="54">
        <f t="shared" si="5"/>
        <v>0</v>
      </c>
      <c r="O33" s="54">
        <f t="shared" si="6"/>
        <v>0</v>
      </c>
      <c r="P33" s="1"/>
    </row>
    <row r="34" spans="2:16" ht="12.5">
      <c r="B34" s="7" t="str">
        <f t="shared" si="4"/>
        <v/>
      </c>
      <c r="C34" s="50">
        <f>IF(D11="","-",+C33+1)</f>
        <v>2032</v>
      </c>
      <c r="D34" s="55">
        <f>IF(F33+SUM(E$17:E33)=D$10,F33,D$10-SUM(E$17:E33))</f>
        <v>8650384.4308623932</v>
      </c>
      <c r="E34" s="378">
        <f t="shared" si="21"/>
        <v>314815.90909090912</v>
      </c>
      <c r="F34" s="55">
        <f t="shared" si="22"/>
        <v>8335568.5217714841</v>
      </c>
      <c r="G34" s="379">
        <f t="shared" si="23"/>
        <v>1329957.0265102698</v>
      </c>
      <c r="H34" s="364">
        <f t="shared" si="24"/>
        <v>1329957.0265102698</v>
      </c>
      <c r="I34" s="52">
        <f t="shared" si="3"/>
        <v>0</v>
      </c>
      <c r="J34" s="52"/>
      <c r="K34" s="129"/>
      <c r="L34" s="54">
        <f t="shared" si="25"/>
        <v>0</v>
      </c>
      <c r="M34" s="129"/>
      <c r="N34" s="54">
        <f t="shared" si="5"/>
        <v>0</v>
      </c>
      <c r="O34" s="54">
        <f t="shared" si="6"/>
        <v>0</v>
      </c>
      <c r="P34" s="1"/>
    </row>
    <row r="35" spans="2:16" ht="12.5">
      <c r="B35" s="7" t="str">
        <f t="shared" si="4"/>
        <v/>
      </c>
      <c r="C35" s="50">
        <f>IF(D11="","-",+C34+1)</f>
        <v>2033</v>
      </c>
      <c r="D35" s="55">
        <f>IF(F34+SUM(E$17:E34)=D$10,F34,D$10-SUM(E$17:E34))</f>
        <v>8335568.5217714841</v>
      </c>
      <c r="E35" s="378">
        <f t="shared" si="21"/>
        <v>314815.90909090912</v>
      </c>
      <c r="F35" s="55">
        <f t="shared" si="22"/>
        <v>8020752.6126805749</v>
      </c>
      <c r="G35" s="379">
        <f t="shared" si="23"/>
        <v>1292327.9838975761</v>
      </c>
      <c r="H35" s="364">
        <f t="shared" si="24"/>
        <v>1292327.9838975761</v>
      </c>
      <c r="I35" s="52">
        <f t="shared" si="3"/>
        <v>0</v>
      </c>
      <c r="J35" s="52"/>
      <c r="K35" s="129"/>
      <c r="L35" s="54">
        <f t="shared" si="25"/>
        <v>0</v>
      </c>
      <c r="M35" s="129"/>
      <c r="N35" s="54">
        <f t="shared" si="5"/>
        <v>0</v>
      </c>
      <c r="O35" s="54">
        <f t="shared" si="6"/>
        <v>0</v>
      </c>
      <c r="P35" s="1"/>
    </row>
    <row r="36" spans="2:16" ht="12.5">
      <c r="B36" s="7" t="str">
        <f t="shared" si="4"/>
        <v/>
      </c>
      <c r="C36" s="50">
        <f>IF(D11="","-",+C35+1)</f>
        <v>2034</v>
      </c>
      <c r="D36" s="55">
        <f>IF(F35+SUM(E$17:E35)=D$10,F35,D$10-SUM(E$17:E35))</f>
        <v>8020752.6126805749</v>
      </c>
      <c r="E36" s="378">
        <f t="shared" si="21"/>
        <v>314815.90909090912</v>
      </c>
      <c r="F36" s="55">
        <f t="shared" si="22"/>
        <v>7705936.7035896657</v>
      </c>
      <c r="G36" s="379">
        <f t="shared" si="23"/>
        <v>1254698.9412848819</v>
      </c>
      <c r="H36" s="364">
        <f t="shared" si="24"/>
        <v>1254698.9412848819</v>
      </c>
      <c r="I36" s="52">
        <f t="shared" si="3"/>
        <v>0</v>
      </c>
      <c r="J36" s="52"/>
      <c r="K36" s="129"/>
      <c r="L36" s="54">
        <f t="shared" si="25"/>
        <v>0</v>
      </c>
      <c r="M36" s="129"/>
      <c r="N36" s="54">
        <f t="shared" si="5"/>
        <v>0</v>
      </c>
      <c r="O36" s="54">
        <f t="shared" si="6"/>
        <v>0</v>
      </c>
      <c r="P36" s="1"/>
    </row>
    <row r="37" spans="2:16" ht="12.5">
      <c r="B37" s="7" t="str">
        <f t="shared" si="4"/>
        <v/>
      </c>
      <c r="C37" s="50">
        <f>IF(D11="","-",+C36+1)</f>
        <v>2035</v>
      </c>
      <c r="D37" s="55">
        <f>IF(F36+SUM(E$17:E36)=D$10,F36,D$10-SUM(E$17:E36))</f>
        <v>7705936.7035896657</v>
      </c>
      <c r="E37" s="378">
        <f t="shared" si="21"/>
        <v>314815.90909090912</v>
      </c>
      <c r="F37" s="55">
        <f t="shared" si="22"/>
        <v>7391120.7944987565</v>
      </c>
      <c r="G37" s="379">
        <f t="shared" si="23"/>
        <v>1217069.8986721882</v>
      </c>
      <c r="H37" s="364">
        <f t="shared" si="24"/>
        <v>1217069.8986721882</v>
      </c>
      <c r="I37" s="52">
        <f t="shared" si="3"/>
        <v>0</v>
      </c>
      <c r="J37" s="52"/>
      <c r="K37" s="129"/>
      <c r="L37" s="54">
        <f t="shared" si="25"/>
        <v>0</v>
      </c>
      <c r="M37" s="129"/>
      <c r="N37" s="54">
        <f t="shared" si="5"/>
        <v>0</v>
      </c>
      <c r="O37" s="54">
        <f t="shared" si="6"/>
        <v>0</v>
      </c>
      <c r="P37" s="1"/>
    </row>
    <row r="38" spans="2:16" ht="12.5">
      <c r="B38" s="7" t="str">
        <f t="shared" si="4"/>
        <v/>
      </c>
      <c r="C38" s="50">
        <f>IF(D11="","-",+C37+1)</f>
        <v>2036</v>
      </c>
      <c r="D38" s="55">
        <f>IF(F37+SUM(E$17:E37)=D$10,F37,D$10-SUM(E$17:E37))</f>
        <v>7391120.7944987565</v>
      </c>
      <c r="E38" s="378">
        <f t="shared" si="21"/>
        <v>314815.90909090912</v>
      </c>
      <c r="F38" s="55">
        <f t="shared" si="22"/>
        <v>7076304.8854078474</v>
      </c>
      <c r="G38" s="379">
        <f t="shared" si="23"/>
        <v>1179440.856059494</v>
      </c>
      <c r="H38" s="364">
        <f t="shared" si="24"/>
        <v>1179440.856059494</v>
      </c>
      <c r="I38" s="52">
        <f t="shared" si="3"/>
        <v>0</v>
      </c>
      <c r="J38" s="52"/>
      <c r="K38" s="129"/>
      <c r="L38" s="54">
        <f t="shared" si="25"/>
        <v>0</v>
      </c>
      <c r="M38" s="129"/>
      <c r="N38" s="54">
        <f t="shared" si="5"/>
        <v>0</v>
      </c>
      <c r="O38" s="54">
        <f t="shared" si="6"/>
        <v>0</v>
      </c>
      <c r="P38" s="1"/>
    </row>
    <row r="39" spans="2:16" ht="12.5">
      <c r="B39" s="7" t="str">
        <f t="shared" si="4"/>
        <v/>
      </c>
      <c r="C39" s="50">
        <f>IF(D11="","-",+C38+1)</f>
        <v>2037</v>
      </c>
      <c r="D39" s="55">
        <f>IF(F38+SUM(E$17:E38)=D$10,F38,D$10-SUM(E$17:E38))</f>
        <v>7076304.8854078474</v>
      </c>
      <c r="E39" s="378">
        <f t="shared" si="21"/>
        <v>314815.90909090912</v>
      </c>
      <c r="F39" s="55">
        <f t="shared" si="22"/>
        <v>6761488.9763169382</v>
      </c>
      <c r="G39" s="379">
        <f t="shared" si="23"/>
        <v>1141811.8134468002</v>
      </c>
      <c r="H39" s="364">
        <f t="shared" si="24"/>
        <v>1141811.8134468002</v>
      </c>
      <c r="I39" s="52">
        <f t="shared" si="3"/>
        <v>0</v>
      </c>
      <c r="J39" s="52"/>
      <c r="K39" s="129"/>
      <c r="L39" s="54">
        <f t="shared" si="25"/>
        <v>0</v>
      </c>
      <c r="M39" s="129"/>
      <c r="N39" s="54">
        <f t="shared" si="5"/>
        <v>0</v>
      </c>
      <c r="O39" s="54">
        <f t="shared" si="6"/>
        <v>0</v>
      </c>
      <c r="P39" s="1"/>
    </row>
    <row r="40" spans="2:16" ht="12.5">
      <c r="B40" s="7" t="str">
        <f t="shared" si="4"/>
        <v/>
      </c>
      <c r="C40" s="50">
        <f>IF(D11="","-",+C39+1)</f>
        <v>2038</v>
      </c>
      <c r="D40" s="55">
        <f>IF(F39+SUM(E$17:E39)=D$10,F39,D$10-SUM(E$17:E39))</f>
        <v>6761488.9763169382</v>
      </c>
      <c r="E40" s="378">
        <f t="shared" si="21"/>
        <v>314815.90909090912</v>
      </c>
      <c r="F40" s="55">
        <f t="shared" si="22"/>
        <v>6446673.067226029</v>
      </c>
      <c r="G40" s="379">
        <f t="shared" si="23"/>
        <v>1104182.770834106</v>
      </c>
      <c r="H40" s="364">
        <f t="shared" si="24"/>
        <v>1104182.770834106</v>
      </c>
      <c r="I40" s="52">
        <f t="shared" si="3"/>
        <v>0</v>
      </c>
      <c r="J40" s="52"/>
      <c r="K40" s="129"/>
      <c r="L40" s="54">
        <f t="shared" si="25"/>
        <v>0</v>
      </c>
      <c r="M40" s="129"/>
      <c r="N40" s="54">
        <f t="shared" si="5"/>
        <v>0</v>
      </c>
      <c r="O40" s="54">
        <f t="shared" si="6"/>
        <v>0</v>
      </c>
      <c r="P40" s="1"/>
    </row>
    <row r="41" spans="2:16" ht="12.5">
      <c r="B41" s="7" t="str">
        <f t="shared" si="4"/>
        <v/>
      </c>
      <c r="C41" s="50">
        <f>IF(D11="","-",+C40+1)</f>
        <v>2039</v>
      </c>
      <c r="D41" s="55">
        <f>IF(F40+SUM(E$17:E40)=D$10,F40,D$10-SUM(E$17:E40))</f>
        <v>6446673.067226029</v>
      </c>
      <c r="E41" s="378">
        <f t="shared" si="21"/>
        <v>314815.90909090912</v>
      </c>
      <c r="F41" s="55">
        <f t="shared" si="22"/>
        <v>6131857.1581351198</v>
      </c>
      <c r="G41" s="379">
        <f t="shared" si="23"/>
        <v>1066553.7282214123</v>
      </c>
      <c r="H41" s="364">
        <f t="shared" si="24"/>
        <v>1066553.7282214123</v>
      </c>
      <c r="I41" s="52">
        <f t="shared" si="3"/>
        <v>0</v>
      </c>
      <c r="J41" s="52"/>
      <c r="K41" s="129"/>
      <c r="L41" s="54">
        <f t="shared" si="25"/>
        <v>0</v>
      </c>
      <c r="M41" s="129"/>
      <c r="N41" s="54">
        <f t="shared" si="5"/>
        <v>0</v>
      </c>
      <c r="O41" s="54">
        <f t="shared" si="6"/>
        <v>0</v>
      </c>
      <c r="P41" s="1"/>
    </row>
    <row r="42" spans="2:16" ht="12.5">
      <c r="B42" s="7" t="str">
        <f t="shared" si="4"/>
        <v/>
      </c>
      <c r="C42" s="50">
        <f>IF(D11="","-",+C41+1)</f>
        <v>2040</v>
      </c>
      <c r="D42" s="55">
        <f>IF(F41+SUM(E$17:E41)=D$10,F41,D$10-SUM(E$17:E41))</f>
        <v>6131857.1581351198</v>
      </c>
      <c r="E42" s="378">
        <f t="shared" si="21"/>
        <v>314815.90909090912</v>
      </c>
      <c r="F42" s="55">
        <f t="shared" si="22"/>
        <v>5817041.2490442107</v>
      </c>
      <c r="G42" s="379">
        <f t="shared" si="23"/>
        <v>1028924.6856087183</v>
      </c>
      <c r="H42" s="364">
        <f t="shared" si="24"/>
        <v>1028924.6856087183</v>
      </c>
      <c r="I42" s="52">
        <f t="shared" si="3"/>
        <v>0</v>
      </c>
      <c r="J42" s="52"/>
      <c r="K42" s="129"/>
      <c r="L42" s="54">
        <f t="shared" si="25"/>
        <v>0</v>
      </c>
      <c r="M42" s="129"/>
      <c r="N42" s="54">
        <f t="shared" si="5"/>
        <v>0</v>
      </c>
      <c r="O42" s="54">
        <f t="shared" si="6"/>
        <v>0</v>
      </c>
      <c r="P42" s="1"/>
    </row>
    <row r="43" spans="2:16" ht="12.5">
      <c r="B43" s="7" t="str">
        <f t="shared" si="4"/>
        <v/>
      </c>
      <c r="C43" s="50">
        <f>IF(D11="","-",+C42+1)</f>
        <v>2041</v>
      </c>
      <c r="D43" s="55">
        <f>IF(F42+SUM(E$17:E42)=D$10,F42,D$10-SUM(E$17:E42))</f>
        <v>5817041.2490442107</v>
      </c>
      <c r="E43" s="378">
        <f t="shared" si="21"/>
        <v>314815.90909090912</v>
      </c>
      <c r="F43" s="55">
        <f t="shared" si="22"/>
        <v>5502225.3399533015</v>
      </c>
      <c r="G43" s="379">
        <f t="shared" si="23"/>
        <v>991295.64299602434</v>
      </c>
      <c r="H43" s="364">
        <f t="shared" si="24"/>
        <v>991295.64299602434</v>
      </c>
      <c r="I43" s="52">
        <f t="shared" si="3"/>
        <v>0</v>
      </c>
      <c r="J43" s="52"/>
      <c r="K43" s="129"/>
      <c r="L43" s="54">
        <f t="shared" si="25"/>
        <v>0</v>
      </c>
      <c r="M43" s="129"/>
      <c r="N43" s="54">
        <f t="shared" si="5"/>
        <v>0</v>
      </c>
      <c r="O43" s="54">
        <f t="shared" si="6"/>
        <v>0</v>
      </c>
      <c r="P43" s="1"/>
    </row>
    <row r="44" spans="2:16" ht="12.5">
      <c r="B44" s="7" t="str">
        <f t="shared" si="4"/>
        <v/>
      </c>
      <c r="C44" s="50">
        <f>IF(D11="","-",+C43+1)</f>
        <v>2042</v>
      </c>
      <c r="D44" s="55">
        <f>IF(F43+SUM(E$17:E43)=D$10,F43,D$10-SUM(E$17:E43))</f>
        <v>5502225.3399533015</v>
      </c>
      <c r="E44" s="378">
        <f t="shared" si="21"/>
        <v>314815.90909090912</v>
      </c>
      <c r="F44" s="55">
        <f t="shared" si="22"/>
        <v>5187409.4308623923</v>
      </c>
      <c r="G44" s="379">
        <f t="shared" si="23"/>
        <v>953666.60038333037</v>
      </c>
      <c r="H44" s="364">
        <f t="shared" si="24"/>
        <v>953666.60038333037</v>
      </c>
      <c r="I44" s="52">
        <f t="shared" si="3"/>
        <v>0</v>
      </c>
      <c r="J44" s="52"/>
      <c r="K44" s="129"/>
      <c r="L44" s="54">
        <f t="shared" si="25"/>
        <v>0</v>
      </c>
      <c r="M44" s="129"/>
      <c r="N44" s="54">
        <f t="shared" si="5"/>
        <v>0</v>
      </c>
      <c r="O44" s="54">
        <f t="shared" si="6"/>
        <v>0</v>
      </c>
      <c r="P44" s="1"/>
    </row>
    <row r="45" spans="2:16" ht="12.5">
      <c r="B45" s="7" t="str">
        <f t="shared" si="4"/>
        <v/>
      </c>
      <c r="C45" s="50">
        <f>IF(D11="","-",+C44+1)</f>
        <v>2043</v>
      </c>
      <c r="D45" s="55">
        <f>IF(F44+SUM(E$17:E44)=D$10,F44,D$10-SUM(E$17:E44))</f>
        <v>5187409.4308623923</v>
      </c>
      <c r="E45" s="378">
        <f t="shared" si="21"/>
        <v>314815.90909090912</v>
      </c>
      <c r="F45" s="55">
        <f t="shared" si="22"/>
        <v>4872593.5217714831</v>
      </c>
      <c r="G45" s="379">
        <f t="shared" si="23"/>
        <v>916037.5577706364</v>
      </c>
      <c r="H45" s="364">
        <f t="shared" si="24"/>
        <v>916037.5577706364</v>
      </c>
      <c r="I45" s="52">
        <f t="shared" si="3"/>
        <v>0</v>
      </c>
      <c r="J45" s="52"/>
      <c r="K45" s="129"/>
      <c r="L45" s="54">
        <f t="shared" si="25"/>
        <v>0</v>
      </c>
      <c r="M45" s="129"/>
      <c r="N45" s="54">
        <f t="shared" si="5"/>
        <v>0</v>
      </c>
      <c r="O45" s="54">
        <f t="shared" si="6"/>
        <v>0</v>
      </c>
      <c r="P45" s="1"/>
    </row>
    <row r="46" spans="2:16" ht="12.5">
      <c r="B46" s="7" t="str">
        <f t="shared" si="4"/>
        <v/>
      </c>
      <c r="C46" s="50">
        <f>IF(D11="","-",+C45+1)</f>
        <v>2044</v>
      </c>
      <c r="D46" s="55">
        <f>IF(F45+SUM(E$17:E45)=D$10,F45,D$10-SUM(E$17:E45))</f>
        <v>4872593.5217714831</v>
      </c>
      <c r="E46" s="378">
        <f t="shared" si="21"/>
        <v>314815.90909090912</v>
      </c>
      <c r="F46" s="55">
        <f t="shared" si="22"/>
        <v>4557777.6126805739</v>
      </c>
      <c r="G46" s="379">
        <f t="shared" si="23"/>
        <v>878408.51515794243</v>
      </c>
      <c r="H46" s="364">
        <f t="shared" si="24"/>
        <v>878408.51515794243</v>
      </c>
      <c r="I46" s="52">
        <f t="shared" si="3"/>
        <v>0</v>
      </c>
      <c r="J46" s="52"/>
      <c r="K46" s="129"/>
      <c r="L46" s="54">
        <f t="shared" si="25"/>
        <v>0</v>
      </c>
      <c r="M46" s="129"/>
      <c r="N46" s="54">
        <f t="shared" si="5"/>
        <v>0</v>
      </c>
      <c r="O46" s="54">
        <f t="shared" si="6"/>
        <v>0</v>
      </c>
      <c r="P46" s="1"/>
    </row>
    <row r="47" spans="2:16" ht="12.5">
      <c r="B47" s="7" t="str">
        <f t="shared" si="4"/>
        <v/>
      </c>
      <c r="C47" s="50">
        <f>IF(D11="","-",+C46+1)</f>
        <v>2045</v>
      </c>
      <c r="D47" s="55">
        <f>IF(F46+SUM(E$17:E46)=D$10,F46,D$10-SUM(E$17:E46))</f>
        <v>4557777.6126805739</v>
      </c>
      <c r="E47" s="378">
        <f t="shared" si="21"/>
        <v>314815.90909090912</v>
      </c>
      <c r="F47" s="55">
        <f t="shared" si="22"/>
        <v>4242961.7035896648</v>
      </c>
      <c r="G47" s="379">
        <f t="shared" si="23"/>
        <v>840779.47254524846</v>
      </c>
      <c r="H47" s="364">
        <f t="shared" si="24"/>
        <v>840779.47254524846</v>
      </c>
      <c r="I47" s="52">
        <f t="shared" si="3"/>
        <v>0</v>
      </c>
      <c r="J47" s="52"/>
      <c r="K47" s="129"/>
      <c r="L47" s="54">
        <f t="shared" si="25"/>
        <v>0</v>
      </c>
      <c r="M47" s="129"/>
      <c r="N47" s="54">
        <f t="shared" si="5"/>
        <v>0</v>
      </c>
      <c r="O47" s="54">
        <f t="shared" si="6"/>
        <v>0</v>
      </c>
      <c r="P47" s="1"/>
    </row>
    <row r="48" spans="2:16" ht="12.5">
      <c r="B48" s="7" t="str">
        <f t="shared" si="4"/>
        <v/>
      </c>
      <c r="C48" s="50">
        <f>IF(D11="","-",+C47+1)</f>
        <v>2046</v>
      </c>
      <c r="D48" s="55">
        <f>IF(F47+SUM(E$17:E47)=D$10,F47,D$10-SUM(E$17:E47))</f>
        <v>4242961.7035896648</v>
      </c>
      <c r="E48" s="378">
        <f t="shared" si="21"/>
        <v>314815.90909090912</v>
      </c>
      <c r="F48" s="55">
        <f t="shared" si="22"/>
        <v>3928145.7944987556</v>
      </c>
      <c r="G48" s="379">
        <f t="shared" si="23"/>
        <v>803150.42993255449</v>
      </c>
      <c r="H48" s="364">
        <f t="shared" si="24"/>
        <v>803150.42993255449</v>
      </c>
      <c r="I48" s="52">
        <f t="shared" si="3"/>
        <v>0</v>
      </c>
      <c r="J48" s="52"/>
      <c r="K48" s="129"/>
      <c r="L48" s="54">
        <f t="shared" si="25"/>
        <v>0</v>
      </c>
      <c r="M48" s="129"/>
      <c r="N48" s="54">
        <f t="shared" si="5"/>
        <v>0</v>
      </c>
      <c r="O48" s="54">
        <f t="shared" si="6"/>
        <v>0</v>
      </c>
      <c r="P48" s="1"/>
    </row>
    <row r="49" spans="2:16" ht="12.5">
      <c r="B49" s="7" t="str">
        <f t="shared" si="4"/>
        <v/>
      </c>
      <c r="C49" s="50">
        <f>IF(D11="","-",+C48+1)</f>
        <v>2047</v>
      </c>
      <c r="D49" s="55">
        <f>IF(F48+SUM(E$17:E48)=D$10,F48,D$10-SUM(E$17:E48))</f>
        <v>3928145.7944987556</v>
      </c>
      <c r="E49" s="378">
        <f t="shared" si="21"/>
        <v>314815.90909090912</v>
      </c>
      <c r="F49" s="55">
        <f t="shared" si="22"/>
        <v>3613329.8854078464</v>
      </c>
      <c r="G49" s="379">
        <f t="shared" si="23"/>
        <v>765521.38731986051</v>
      </c>
      <c r="H49" s="364">
        <f t="shared" si="24"/>
        <v>765521.38731986051</v>
      </c>
      <c r="I49" s="52">
        <f t="shared" si="3"/>
        <v>0</v>
      </c>
      <c r="J49" s="52"/>
      <c r="K49" s="129"/>
      <c r="L49" s="54">
        <f t="shared" si="25"/>
        <v>0</v>
      </c>
      <c r="M49" s="129"/>
      <c r="N49" s="54">
        <f t="shared" si="5"/>
        <v>0</v>
      </c>
      <c r="O49" s="54">
        <f t="shared" si="6"/>
        <v>0</v>
      </c>
      <c r="P49" s="1"/>
    </row>
    <row r="50" spans="2:16" ht="12.5">
      <c r="B50" s="7" t="str">
        <f t="shared" si="4"/>
        <v/>
      </c>
      <c r="C50" s="50">
        <f>IF(D11="","-",+C49+1)</f>
        <v>2048</v>
      </c>
      <c r="D50" s="55">
        <f>IF(F49+SUM(E$17:E49)=D$10,F49,D$10-SUM(E$17:E49))</f>
        <v>3613329.8854078464</v>
      </c>
      <c r="E50" s="378">
        <f t="shared" si="21"/>
        <v>314815.90909090912</v>
      </c>
      <c r="F50" s="55">
        <f t="shared" si="22"/>
        <v>3298513.9763169372</v>
      </c>
      <c r="G50" s="379">
        <f t="shared" si="23"/>
        <v>727892.34470716654</v>
      </c>
      <c r="H50" s="364">
        <f t="shared" si="24"/>
        <v>727892.34470716654</v>
      </c>
      <c r="I50" s="52">
        <f t="shared" si="3"/>
        <v>0</v>
      </c>
      <c r="J50" s="52"/>
      <c r="K50" s="129"/>
      <c r="L50" s="54">
        <f t="shared" si="25"/>
        <v>0</v>
      </c>
      <c r="M50" s="129"/>
      <c r="N50" s="54">
        <f t="shared" si="5"/>
        <v>0</v>
      </c>
      <c r="O50" s="54">
        <f t="shared" si="6"/>
        <v>0</v>
      </c>
      <c r="P50" s="1"/>
    </row>
    <row r="51" spans="2:16" ht="12.5">
      <c r="B51" s="7" t="str">
        <f t="shared" si="4"/>
        <v/>
      </c>
      <c r="C51" s="50">
        <f>IF(D11="","-",+C50+1)</f>
        <v>2049</v>
      </c>
      <c r="D51" s="55">
        <f>IF(F50+SUM(E$17:E50)=D$10,F50,D$10-SUM(E$17:E50))</f>
        <v>3298513.9763169372</v>
      </c>
      <c r="E51" s="378">
        <f t="shared" si="21"/>
        <v>314815.90909090912</v>
      </c>
      <c r="F51" s="55">
        <f t="shared" si="22"/>
        <v>2983698.0672260281</v>
      </c>
      <c r="G51" s="379">
        <f t="shared" ref="G51:G72" si="26">+I$12*((D51+F51)/2)+E51</f>
        <v>690263.30209447257</v>
      </c>
      <c r="H51" s="364">
        <f t="shared" ref="H51:H72" si="27">+I$13*((D51+F51)/2)+E51</f>
        <v>690263.30209447257</v>
      </c>
      <c r="I51" s="52">
        <f t="shared" si="3"/>
        <v>0</v>
      </c>
      <c r="J51" s="52"/>
      <c r="K51" s="129"/>
      <c r="L51" s="54">
        <f t="shared" si="25"/>
        <v>0</v>
      </c>
      <c r="M51" s="129"/>
      <c r="N51" s="54">
        <f t="shared" si="5"/>
        <v>0</v>
      </c>
      <c r="O51" s="54">
        <f t="shared" si="6"/>
        <v>0</v>
      </c>
      <c r="P51" s="1"/>
    </row>
    <row r="52" spans="2:16" ht="12.5">
      <c r="B52" s="7" t="str">
        <f t="shared" si="4"/>
        <v/>
      </c>
      <c r="C52" s="50">
        <f>IF(D11="","-",+C51+1)</f>
        <v>2050</v>
      </c>
      <c r="D52" s="55">
        <f>IF(F51+SUM(E$17:E51)=D$10,F51,D$10-SUM(E$17:E51))</f>
        <v>2983698.0672260281</v>
      </c>
      <c r="E52" s="378">
        <f t="shared" si="21"/>
        <v>314815.90909090912</v>
      </c>
      <c r="F52" s="55">
        <f t="shared" si="22"/>
        <v>2668882.1581351189</v>
      </c>
      <c r="G52" s="379">
        <f t="shared" si="26"/>
        <v>652634.25948177872</v>
      </c>
      <c r="H52" s="364">
        <f t="shared" si="27"/>
        <v>652634.25948177872</v>
      </c>
      <c r="I52" s="52">
        <f t="shared" si="3"/>
        <v>0</v>
      </c>
      <c r="J52" s="52"/>
      <c r="K52" s="129"/>
      <c r="L52" s="54">
        <f t="shared" si="25"/>
        <v>0</v>
      </c>
      <c r="M52" s="129"/>
      <c r="N52" s="54">
        <f t="shared" si="5"/>
        <v>0</v>
      </c>
      <c r="O52" s="54">
        <f t="shared" si="6"/>
        <v>0</v>
      </c>
      <c r="P52" s="1"/>
    </row>
    <row r="53" spans="2:16" ht="12.5">
      <c r="B53" s="7" t="str">
        <f t="shared" si="4"/>
        <v/>
      </c>
      <c r="C53" s="50">
        <f>IF(D11="","-",+C52+1)</f>
        <v>2051</v>
      </c>
      <c r="D53" s="55">
        <f>IF(F52+SUM(E$17:E52)=D$10,F52,D$10-SUM(E$17:E52))</f>
        <v>2668882.1581351189</v>
      </c>
      <c r="E53" s="378">
        <f t="shared" si="21"/>
        <v>314815.90909090912</v>
      </c>
      <c r="F53" s="55">
        <f t="shared" si="22"/>
        <v>2354066.2490442097</v>
      </c>
      <c r="G53" s="379">
        <f t="shared" si="26"/>
        <v>615005.21686908475</v>
      </c>
      <c r="H53" s="364">
        <f t="shared" si="27"/>
        <v>615005.21686908475</v>
      </c>
      <c r="I53" s="52">
        <f t="shared" si="3"/>
        <v>0</v>
      </c>
      <c r="J53" s="52"/>
      <c r="K53" s="129"/>
      <c r="L53" s="54">
        <f t="shared" si="25"/>
        <v>0</v>
      </c>
      <c r="M53" s="129"/>
      <c r="N53" s="54">
        <f t="shared" si="5"/>
        <v>0</v>
      </c>
      <c r="O53" s="54">
        <f t="shared" si="6"/>
        <v>0</v>
      </c>
      <c r="P53" s="1"/>
    </row>
    <row r="54" spans="2:16" ht="12.5">
      <c r="B54" s="7" t="str">
        <f t="shared" si="4"/>
        <v/>
      </c>
      <c r="C54" s="50">
        <f>IF(D11="","-",+C53+1)</f>
        <v>2052</v>
      </c>
      <c r="D54" s="55">
        <f>IF(F53+SUM(E$17:E53)=D$10,F53,D$10-SUM(E$17:E53))</f>
        <v>2354066.2490442097</v>
      </c>
      <c r="E54" s="378">
        <f t="shared" si="21"/>
        <v>314815.90909090912</v>
      </c>
      <c r="F54" s="55">
        <f t="shared" si="22"/>
        <v>2039250.3399533005</v>
      </c>
      <c r="G54" s="379">
        <f t="shared" si="26"/>
        <v>577376.17425639078</v>
      </c>
      <c r="H54" s="364">
        <f t="shared" si="27"/>
        <v>577376.17425639078</v>
      </c>
      <c r="I54" s="52">
        <f t="shared" si="3"/>
        <v>0</v>
      </c>
      <c r="J54" s="52"/>
      <c r="K54" s="129"/>
      <c r="L54" s="54">
        <f t="shared" si="25"/>
        <v>0</v>
      </c>
      <c r="M54" s="129"/>
      <c r="N54" s="54">
        <f t="shared" si="5"/>
        <v>0</v>
      </c>
      <c r="O54" s="54">
        <f t="shared" si="6"/>
        <v>0</v>
      </c>
      <c r="P54" s="1"/>
    </row>
    <row r="55" spans="2:16" ht="12.5">
      <c r="B55" s="7" t="str">
        <f t="shared" si="4"/>
        <v/>
      </c>
      <c r="C55" s="50">
        <f>IF(D11="","-",+C54+1)</f>
        <v>2053</v>
      </c>
      <c r="D55" s="55">
        <f>IF(F54+SUM(E$17:E54)=D$10,F54,D$10-SUM(E$17:E54))</f>
        <v>2039250.3399533005</v>
      </c>
      <c r="E55" s="378">
        <f t="shared" si="21"/>
        <v>314815.90909090912</v>
      </c>
      <c r="F55" s="55">
        <f t="shared" si="22"/>
        <v>1724434.4308623914</v>
      </c>
      <c r="G55" s="379">
        <f t="shared" si="26"/>
        <v>539747.1316436968</v>
      </c>
      <c r="H55" s="364">
        <f t="shared" si="27"/>
        <v>539747.1316436968</v>
      </c>
      <c r="I55" s="52">
        <f t="shared" si="3"/>
        <v>0</v>
      </c>
      <c r="J55" s="52"/>
      <c r="K55" s="129"/>
      <c r="L55" s="54">
        <f t="shared" si="25"/>
        <v>0</v>
      </c>
      <c r="M55" s="129"/>
      <c r="N55" s="54">
        <f t="shared" si="5"/>
        <v>0</v>
      </c>
      <c r="O55" s="54">
        <f t="shared" si="6"/>
        <v>0</v>
      </c>
      <c r="P55" s="1"/>
    </row>
    <row r="56" spans="2:16" ht="12.5">
      <c r="B56" s="7" t="str">
        <f t="shared" si="4"/>
        <v/>
      </c>
      <c r="C56" s="50">
        <f>IF(D11="","-",+C55+1)</f>
        <v>2054</v>
      </c>
      <c r="D56" s="55">
        <f>IF(F55+SUM(E$17:E55)=D$10,F55,D$10-SUM(E$17:E55))</f>
        <v>1724434.4308623914</v>
      </c>
      <c r="E56" s="378">
        <f t="shared" si="21"/>
        <v>314815.90909090912</v>
      </c>
      <c r="F56" s="55">
        <f t="shared" si="22"/>
        <v>1409618.5217714822</v>
      </c>
      <c r="G56" s="379">
        <f t="shared" si="26"/>
        <v>502118.08903100283</v>
      </c>
      <c r="H56" s="364">
        <f t="shared" si="27"/>
        <v>502118.08903100283</v>
      </c>
      <c r="I56" s="52">
        <f t="shared" si="3"/>
        <v>0</v>
      </c>
      <c r="J56" s="52"/>
      <c r="K56" s="129"/>
      <c r="L56" s="54">
        <f t="shared" si="25"/>
        <v>0</v>
      </c>
      <c r="M56" s="129"/>
      <c r="N56" s="54">
        <f t="shared" si="5"/>
        <v>0</v>
      </c>
      <c r="O56" s="54">
        <f t="shared" si="6"/>
        <v>0</v>
      </c>
      <c r="P56" s="1"/>
    </row>
    <row r="57" spans="2:16" ht="12.5">
      <c r="B57" s="7" t="str">
        <f t="shared" si="4"/>
        <v/>
      </c>
      <c r="C57" s="50">
        <f>IF(D11="","-",+C56+1)</f>
        <v>2055</v>
      </c>
      <c r="D57" s="55">
        <f>IF(F56+SUM(E$17:E56)=D$10,F56,D$10-SUM(E$17:E56))</f>
        <v>1409618.5217714822</v>
      </c>
      <c r="E57" s="378">
        <f t="shared" si="21"/>
        <v>314815.90909090912</v>
      </c>
      <c r="F57" s="55">
        <f t="shared" si="22"/>
        <v>1094802.612680573</v>
      </c>
      <c r="G57" s="379">
        <f t="shared" si="26"/>
        <v>464489.04641830892</v>
      </c>
      <c r="H57" s="364">
        <f t="shared" si="27"/>
        <v>464489.04641830892</v>
      </c>
      <c r="I57" s="52">
        <f t="shared" si="3"/>
        <v>0</v>
      </c>
      <c r="J57" s="52"/>
      <c r="K57" s="129"/>
      <c r="L57" s="54">
        <f t="shared" si="25"/>
        <v>0</v>
      </c>
      <c r="M57" s="129"/>
      <c r="N57" s="54">
        <f t="shared" si="5"/>
        <v>0</v>
      </c>
      <c r="O57" s="54">
        <f t="shared" si="6"/>
        <v>0</v>
      </c>
      <c r="P57" s="1"/>
    </row>
    <row r="58" spans="2:16" ht="12.5">
      <c r="B58" s="7" t="str">
        <f t="shared" si="4"/>
        <v/>
      </c>
      <c r="C58" s="50">
        <f>IF(D11="","-",+C57+1)</f>
        <v>2056</v>
      </c>
      <c r="D58" s="55">
        <f>IF(F57+SUM(E$17:E57)=D$10,F57,D$10-SUM(E$17:E57))</f>
        <v>1094802.612680573</v>
      </c>
      <c r="E58" s="378">
        <f t="shared" si="21"/>
        <v>314815.90909090912</v>
      </c>
      <c r="F58" s="55">
        <f t="shared" si="22"/>
        <v>779986.70358966384</v>
      </c>
      <c r="G58" s="379">
        <f t="shared" si="26"/>
        <v>426860.00380561495</v>
      </c>
      <c r="H58" s="364">
        <f t="shared" si="27"/>
        <v>426860.00380561495</v>
      </c>
      <c r="I58" s="52">
        <f t="shared" si="3"/>
        <v>0</v>
      </c>
      <c r="J58" s="52"/>
      <c r="K58" s="129"/>
      <c r="L58" s="54">
        <f t="shared" si="25"/>
        <v>0</v>
      </c>
      <c r="M58" s="129"/>
      <c r="N58" s="54">
        <f t="shared" si="5"/>
        <v>0</v>
      </c>
      <c r="O58" s="54">
        <f t="shared" si="6"/>
        <v>0</v>
      </c>
      <c r="P58" s="1"/>
    </row>
    <row r="59" spans="2:16" ht="12.5">
      <c r="B59" s="7" t="str">
        <f t="shared" si="4"/>
        <v/>
      </c>
      <c r="C59" s="50">
        <f>IF(D11="","-",+C58+1)</f>
        <v>2057</v>
      </c>
      <c r="D59" s="55">
        <f>IF(F58+SUM(E$17:E58)=D$10,F58,D$10-SUM(E$17:E58))</f>
        <v>779986.70358966384</v>
      </c>
      <c r="E59" s="378">
        <f t="shared" si="21"/>
        <v>314815.90909090912</v>
      </c>
      <c r="F59" s="55">
        <f t="shared" si="22"/>
        <v>465170.79449875472</v>
      </c>
      <c r="G59" s="379">
        <f t="shared" si="26"/>
        <v>389230.96119292104</v>
      </c>
      <c r="H59" s="364">
        <f t="shared" si="27"/>
        <v>389230.96119292104</v>
      </c>
      <c r="I59" s="52">
        <f t="shared" si="3"/>
        <v>0</v>
      </c>
      <c r="J59" s="52"/>
      <c r="K59" s="129"/>
      <c r="L59" s="54">
        <f t="shared" si="25"/>
        <v>0</v>
      </c>
      <c r="M59" s="129"/>
      <c r="N59" s="54">
        <f t="shared" si="5"/>
        <v>0</v>
      </c>
      <c r="O59" s="54">
        <f t="shared" si="6"/>
        <v>0</v>
      </c>
      <c r="P59" s="1"/>
    </row>
    <row r="60" spans="2:16" ht="12.5">
      <c r="B60" s="7" t="str">
        <f t="shared" si="4"/>
        <v/>
      </c>
      <c r="C60" s="50">
        <f>IF(D11="","-",+C59+1)</f>
        <v>2058</v>
      </c>
      <c r="D60" s="55">
        <f>IF(F59+SUM(E$17:E59)=D$10,F59,D$10-SUM(E$17:E59))</f>
        <v>465170.79449875472</v>
      </c>
      <c r="E60" s="378">
        <f t="shared" si="21"/>
        <v>314815.90909090912</v>
      </c>
      <c r="F60" s="55">
        <f t="shared" si="22"/>
        <v>150354.88540784561</v>
      </c>
      <c r="G60" s="379">
        <f t="shared" si="26"/>
        <v>351601.91858022707</v>
      </c>
      <c r="H60" s="364">
        <f t="shared" si="27"/>
        <v>351601.91858022707</v>
      </c>
      <c r="I60" s="52">
        <f t="shared" si="3"/>
        <v>0</v>
      </c>
      <c r="J60" s="52"/>
      <c r="K60" s="129"/>
      <c r="L60" s="54">
        <f t="shared" si="25"/>
        <v>0</v>
      </c>
      <c r="M60" s="129"/>
      <c r="N60" s="54">
        <f t="shared" si="5"/>
        <v>0</v>
      </c>
      <c r="O60" s="54">
        <f t="shared" si="6"/>
        <v>0</v>
      </c>
      <c r="P60" s="1"/>
    </row>
    <row r="61" spans="2:16" ht="12.5">
      <c r="B61" s="7" t="str">
        <f t="shared" si="4"/>
        <v/>
      </c>
      <c r="C61" s="50">
        <f>IF(D11="","-",+C60+1)</f>
        <v>2059</v>
      </c>
      <c r="D61" s="55">
        <f>IF(F60+SUM(E$17:E60)=D$10,F60,D$10-SUM(E$17:E60))</f>
        <v>150354.88540784561</v>
      </c>
      <c r="E61" s="378">
        <f t="shared" si="21"/>
        <v>150354.88540784561</v>
      </c>
      <c r="F61" s="55">
        <f t="shared" si="22"/>
        <v>0</v>
      </c>
      <c r="G61" s="379">
        <f t="shared" si="26"/>
        <v>159340.62949933109</v>
      </c>
      <c r="H61" s="364">
        <f t="shared" si="27"/>
        <v>159340.62949933109</v>
      </c>
      <c r="I61" s="52">
        <f t="shared" si="3"/>
        <v>0</v>
      </c>
      <c r="J61" s="52"/>
      <c r="K61" s="129"/>
      <c r="L61" s="54">
        <f t="shared" si="25"/>
        <v>0</v>
      </c>
      <c r="M61" s="129"/>
      <c r="N61" s="54">
        <f t="shared" si="5"/>
        <v>0</v>
      </c>
      <c r="O61" s="54">
        <f t="shared" si="6"/>
        <v>0</v>
      </c>
      <c r="P61" s="1"/>
    </row>
    <row r="62" spans="2:16" ht="12.5">
      <c r="B62" s="7" t="str">
        <f t="shared" si="4"/>
        <v/>
      </c>
      <c r="C62" s="50">
        <f>IF(D11="","-",+C61+1)</f>
        <v>2060</v>
      </c>
      <c r="D62" s="55">
        <f>IF(F61+SUM(E$17:E61)=D$10,F61,D$10-SUM(E$17:E61))</f>
        <v>0</v>
      </c>
      <c r="E62" s="378">
        <f t="shared" si="21"/>
        <v>0</v>
      </c>
      <c r="F62" s="55">
        <f t="shared" si="22"/>
        <v>0</v>
      </c>
      <c r="G62" s="379">
        <f t="shared" si="26"/>
        <v>0</v>
      </c>
      <c r="H62" s="364">
        <f t="shared" si="27"/>
        <v>0</v>
      </c>
      <c r="I62" s="52">
        <f t="shared" si="3"/>
        <v>0</v>
      </c>
      <c r="J62" s="52"/>
      <c r="K62" s="129"/>
      <c r="L62" s="54">
        <f t="shared" si="25"/>
        <v>0</v>
      </c>
      <c r="M62" s="129"/>
      <c r="N62" s="54">
        <f t="shared" si="5"/>
        <v>0</v>
      </c>
      <c r="O62" s="54">
        <f t="shared" si="6"/>
        <v>0</v>
      </c>
      <c r="P62" s="1"/>
    </row>
    <row r="63" spans="2:16" ht="12.5">
      <c r="B63" s="7" t="str">
        <f t="shared" si="4"/>
        <v/>
      </c>
      <c r="C63" s="50">
        <f>IF(D11="","-",+C62+1)</f>
        <v>2061</v>
      </c>
      <c r="D63" s="55">
        <f>IF(F62+SUM(E$17:E62)=D$10,F62,D$10-SUM(E$17:E62))</f>
        <v>0</v>
      </c>
      <c r="E63" s="378">
        <f t="shared" si="21"/>
        <v>0</v>
      </c>
      <c r="F63" s="55">
        <f t="shared" si="22"/>
        <v>0</v>
      </c>
      <c r="G63" s="379">
        <f t="shared" si="26"/>
        <v>0</v>
      </c>
      <c r="H63" s="364">
        <f t="shared" si="27"/>
        <v>0</v>
      </c>
      <c r="I63" s="52">
        <f t="shared" si="3"/>
        <v>0</v>
      </c>
      <c r="J63" s="52"/>
      <c r="K63" s="129"/>
      <c r="L63" s="54">
        <f t="shared" si="25"/>
        <v>0</v>
      </c>
      <c r="M63" s="129"/>
      <c r="N63" s="54">
        <f t="shared" si="5"/>
        <v>0</v>
      </c>
      <c r="O63" s="54">
        <f t="shared" si="6"/>
        <v>0</v>
      </c>
      <c r="P63" s="1"/>
    </row>
    <row r="64" spans="2:16" ht="12.5">
      <c r="B64" s="7" t="str">
        <f t="shared" si="4"/>
        <v/>
      </c>
      <c r="C64" s="50">
        <f>IF(D11="","-",+C63+1)</f>
        <v>2062</v>
      </c>
      <c r="D64" s="55">
        <f>IF(F63+SUM(E$17:E63)=D$10,F63,D$10-SUM(E$17:E63))</f>
        <v>0</v>
      </c>
      <c r="E64" s="378">
        <f t="shared" si="21"/>
        <v>0</v>
      </c>
      <c r="F64" s="55">
        <f t="shared" si="22"/>
        <v>0</v>
      </c>
      <c r="G64" s="379">
        <f t="shared" si="26"/>
        <v>0</v>
      </c>
      <c r="H64" s="364">
        <f t="shared" si="27"/>
        <v>0</v>
      </c>
      <c r="I64" s="52">
        <f t="shared" si="3"/>
        <v>0</v>
      </c>
      <c r="J64" s="52"/>
      <c r="K64" s="129"/>
      <c r="L64" s="54">
        <f t="shared" si="25"/>
        <v>0</v>
      </c>
      <c r="M64" s="129"/>
      <c r="N64" s="54">
        <f t="shared" si="5"/>
        <v>0</v>
      </c>
      <c r="O64" s="54">
        <f t="shared" si="6"/>
        <v>0</v>
      </c>
      <c r="P64" s="1"/>
    </row>
    <row r="65" spans="2:16" ht="12.5">
      <c r="B65" s="7" t="str">
        <f t="shared" si="4"/>
        <v/>
      </c>
      <c r="C65" s="50">
        <f>IF(D11="","-",+C64+1)</f>
        <v>2063</v>
      </c>
      <c r="D65" s="55">
        <f>IF(F64+SUM(E$17:E64)=D$10,F64,D$10-SUM(E$17:E64))</f>
        <v>0</v>
      </c>
      <c r="E65" s="378">
        <f t="shared" si="21"/>
        <v>0</v>
      </c>
      <c r="F65" s="55">
        <f t="shared" si="22"/>
        <v>0</v>
      </c>
      <c r="G65" s="379">
        <f t="shared" si="26"/>
        <v>0</v>
      </c>
      <c r="H65" s="364">
        <f t="shared" si="27"/>
        <v>0</v>
      </c>
      <c r="I65" s="52">
        <f t="shared" si="3"/>
        <v>0</v>
      </c>
      <c r="J65" s="52"/>
      <c r="K65" s="129"/>
      <c r="L65" s="54">
        <f t="shared" si="25"/>
        <v>0</v>
      </c>
      <c r="M65" s="129"/>
      <c r="N65" s="54">
        <f t="shared" si="5"/>
        <v>0</v>
      </c>
      <c r="O65" s="54">
        <f t="shared" si="6"/>
        <v>0</v>
      </c>
      <c r="P65" s="1"/>
    </row>
    <row r="66" spans="2:16" ht="12.5">
      <c r="B66" s="7" t="str">
        <f t="shared" si="4"/>
        <v/>
      </c>
      <c r="C66" s="50">
        <f>IF(D11="","-",+C65+1)</f>
        <v>2064</v>
      </c>
      <c r="D66" s="55">
        <f>IF(F65+SUM(E$17:E65)=D$10,F65,D$10-SUM(E$17:E65))</f>
        <v>0</v>
      </c>
      <c r="E66" s="378">
        <f t="shared" si="21"/>
        <v>0</v>
      </c>
      <c r="F66" s="55">
        <f t="shared" si="22"/>
        <v>0</v>
      </c>
      <c r="G66" s="379">
        <f t="shared" si="26"/>
        <v>0</v>
      </c>
      <c r="H66" s="364">
        <f t="shared" si="27"/>
        <v>0</v>
      </c>
      <c r="I66" s="52">
        <f t="shared" si="3"/>
        <v>0</v>
      </c>
      <c r="J66" s="52"/>
      <c r="K66" s="129"/>
      <c r="L66" s="54">
        <f t="shared" si="25"/>
        <v>0</v>
      </c>
      <c r="M66" s="129"/>
      <c r="N66" s="54">
        <f t="shared" si="5"/>
        <v>0</v>
      </c>
      <c r="O66" s="54">
        <f t="shared" si="6"/>
        <v>0</v>
      </c>
      <c r="P66" s="1"/>
    </row>
    <row r="67" spans="2:16" ht="12.5">
      <c r="B67" s="7" t="str">
        <f t="shared" si="4"/>
        <v/>
      </c>
      <c r="C67" s="50">
        <f>IF(D11="","-",+C66+1)</f>
        <v>2065</v>
      </c>
      <c r="D67" s="55">
        <f>IF(F66+SUM(E$17:E66)=D$10,F66,D$10-SUM(E$17:E66))</f>
        <v>0</v>
      </c>
      <c r="E67" s="378">
        <f t="shared" si="21"/>
        <v>0</v>
      </c>
      <c r="F67" s="55">
        <f t="shared" si="22"/>
        <v>0</v>
      </c>
      <c r="G67" s="379">
        <f t="shared" si="26"/>
        <v>0</v>
      </c>
      <c r="H67" s="364">
        <f t="shared" si="27"/>
        <v>0</v>
      </c>
      <c r="I67" s="52">
        <f t="shared" si="3"/>
        <v>0</v>
      </c>
      <c r="J67" s="52"/>
      <c r="K67" s="129"/>
      <c r="L67" s="54">
        <f t="shared" si="25"/>
        <v>0</v>
      </c>
      <c r="M67" s="129"/>
      <c r="N67" s="54">
        <f t="shared" si="5"/>
        <v>0</v>
      </c>
      <c r="O67" s="54">
        <f t="shared" si="6"/>
        <v>0</v>
      </c>
      <c r="P67" s="1"/>
    </row>
    <row r="68" spans="2:16" ht="12.5">
      <c r="B68" s="7" t="str">
        <f t="shared" si="4"/>
        <v/>
      </c>
      <c r="C68" s="50">
        <f>IF(D11="","-",+C67+1)</f>
        <v>2066</v>
      </c>
      <c r="D68" s="55">
        <f>IF(F67+SUM(E$17:E67)=D$10,F67,D$10-SUM(E$17:E67))</f>
        <v>0</v>
      </c>
      <c r="E68" s="378">
        <f t="shared" si="21"/>
        <v>0</v>
      </c>
      <c r="F68" s="55">
        <f t="shared" si="22"/>
        <v>0</v>
      </c>
      <c r="G68" s="379">
        <f t="shared" si="26"/>
        <v>0</v>
      </c>
      <c r="H68" s="364">
        <f t="shared" si="27"/>
        <v>0</v>
      </c>
      <c r="I68" s="52">
        <f t="shared" si="3"/>
        <v>0</v>
      </c>
      <c r="J68" s="52"/>
      <c r="K68" s="129"/>
      <c r="L68" s="54">
        <f t="shared" si="25"/>
        <v>0</v>
      </c>
      <c r="M68" s="129"/>
      <c r="N68" s="54">
        <f t="shared" si="5"/>
        <v>0</v>
      </c>
      <c r="O68" s="54">
        <f t="shared" si="6"/>
        <v>0</v>
      </c>
      <c r="P68" s="1"/>
    </row>
    <row r="69" spans="2:16" ht="12.5">
      <c r="B69" s="7" t="str">
        <f t="shared" si="4"/>
        <v/>
      </c>
      <c r="C69" s="50">
        <f>IF(D11="","-",+C68+1)</f>
        <v>2067</v>
      </c>
      <c r="D69" s="55">
        <f>IF(F68+SUM(E$17:E68)=D$10,F68,D$10-SUM(E$17:E68))</f>
        <v>0</v>
      </c>
      <c r="E69" s="378">
        <f t="shared" si="21"/>
        <v>0</v>
      </c>
      <c r="F69" s="55">
        <f t="shared" si="22"/>
        <v>0</v>
      </c>
      <c r="G69" s="379">
        <f t="shared" si="26"/>
        <v>0</v>
      </c>
      <c r="H69" s="364">
        <f t="shared" si="27"/>
        <v>0</v>
      </c>
      <c r="I69" s="52">
        <f t="shared" si="3"/>
        <v>0</v>
      </c>
      <c r="J69" s="52"/>
      <c r="K69" s="129"/>
      <c r="L69" s="54">
        <f t="shared" si="25"/>
        <v>0</v>
      </c>
      <c r="M69" s="129"/>
      <c r="N69" s="54">
        <f t="shared" si="5"/>
        <v>0</v>
      </c>
      <c r="O69" s="54">
        <f t="shared" si="6"/>
        <v>0</v>
      </c>
      <c r="P69" s="1"/>
    </row>
    <row r="70" spans="2:16" ht="12.5">
      <c r="B70" s="7" t="str">
        <f t="shared" si="4"/>
        <v/>
      </c>
      <c r="C70" s="50">
        <f>IF(D11="","-",+C69+1)</f>
        <v>2068</v>
      </c>
      <c r="D70" s="55">
        <f>IF(F69+SUM(E$17:E69)=D$10,F69,D$10-SUM(E$17:E69))</f>
        <v>0</v>
      </c>
      <c r="E70" s="378">
        <f t="shared" si="21"/>
        <v>0</v>
      </c>
      <c r="F70" s="55">
        <f t="shared" si="22"/>
        <v>0</v>
      </c>
      <c r="G70" s="379">
        <f t="shared" si="26"/>
        <v>0</v>
      </c>
      <c r="H70" s="364">
        <f t="shared" si="27"/>
        <v>0</v>
      </c>
      <c r="I70" s="52">
        <f t="shared" si="3"/>
        <v>0</v>
      </c>
      <c r="J70" s="52"/>
      <c r="K70" s="129"/>
      <c r="L70" s="54">
        <f t="shared" si="25"/>
        <v>0</v>
      </c>
      <c r="M70" s="129"/>
      <c r="N70" s="54">
        <f t="shared" si="5"/>
        <v>0</v>
      </c>
      <c r="O70" s="54">
        <f t="shared" si="6"/>
        <v>0</v>
      </c>
      <c r="P70" s="1"/>
    </row>
    <row r="71" spans="2:16" ht="12.5">
      <c r="B71" s="7" t="str">
        <f t="shared" si="4"/>
        <v/>
      </c>
      <c r="C71" s="50">
        <f>IF(D11="","-",+C70+1)</f>
        <v>2069</v>
      </c>
      <c r="D71" s="55">
        <f>IF(F70+SUM(E$17:E70)=D$10,F70,D$10-SUM(E$17:E70))</f>
        <v>0</v>
      </c>
      <c r="E71" s="378">
        <f t="shared" si="21"/>
        <v>0</v>
      </c>
      <c r="F71" s="55">
        <f t="shared" si="22"/>
        <v>0</v>
      </c>
      <c r="G71" s="379">
        <f t="shared" si="26"/>
        <v>0</v>
      </c>
      <c r="H71" s="364">
        <f t="shared" si="27"/>
        <v>0</v>
      </c>
      <c r="I71" s="52">
        <f t="shared" si="3"/>
        <v>0</v>
      </c>
      <c r="J71" s="52"/>
      <c r="K71" s="129"/>
      <c r="L71" s="54">
        <f t="shared" si="25"/>
        <v>0</v>
      </c>
      <c r="M71" s="129"/>
      <c r="N71" s="54">
        <f t="shared" si="5"/>
        <v>0</v>
      </c>
      <c r="O71" s="54">
        <f t="shared" si="6"/>
        <v>0</v>
      </c>
      <c r="P71" s="1"/>
    </row>
    <row r="72" spans="2:16" ht="13" thickBot="1">
      <c r="B72" s="7" t="str">
        <f t="shared" si="4"/>
        <v/>
      </c>
      <c r="C72" s="59">
        <f>IF(D11="","-",+C71+1)</f>
        <v>2070</v>
      </c>
      <c r="D72" s="55">
        <f>IF(F71+SUM(E$17:E71)=D$10,F71,D$10-SUM(E$17:E71))</f>
        <v>0</v>
      </c>
      <c r="E72" s="378">
        <f t="shared" si="21"/>
        <v>0</v>
      </c>
      <c r="F72" s="55">
        <f t="shared" si="22"/>
        <v>0</v>
      </c>
      <c r="G72" s="379">
        <f t="shared" si="26"/>
        <v>0</v>
      </c>
      <c r="H72" s="364">
        <f t="shared" si="27"/>
        <v>0</v>
      </c>
      <c r="I72" s="52">
        <f t="shared" si="3"/>
        <v>0</v>
      </c>
      <c r="J72" s="52"/>
      <c r="K72" s="130"/>
      <c r="L72" s="64">
        <f t="shared" si="25"/>
        <v>0</v>
      </c>
      <c r="M72" s="130"/>
      <c r="N72" s="64">
        <f t="shared" si="5"/>
        <v>0</v>
      </c>
      <c r="O72" s="64">
        <f t="shared" si="6"/>
        <v>0</v>
      </c>
      <c r="P72" s="1"/>
    </row>
    <row r="73" spans="2:16" ht="12.5">
      <c r="C73" s="12" t="s">
        <v>78</v>
      </c>
      <c r="D73" s="293"/>
      <c r="E73" s="293">
        <f>SUM(E17:E72)</f>
        <v>13851899.999999991</v>
      </c>
      <c r="F73" s="293"/>
      <c r="G73" s="293">
        <f>SUM(G17:G72)</f>
        <v>51309816.668229304</v>
      </c>
      <c r="H73" s="293">
        <f>SUM(H17:H72)</f>
        <v>51309816.668229304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 ht="13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54 of 77</v>
      </c>
    </row>
    <row r="84" spans="1:16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1630989.3674118209</v>
      </c>
      <c r="N87" s="387">
        <f>IF(J92&lt;D11,0,VLOOKUP(J92,C17:O72,11))</f>
        <v>1630989.3674118209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1690930.4147210291</v>
      </c>
      <c r="N88" s="390">
        <f>IF(J92&lt;D11,0,VLOOKUP(J92,C99:P154,7))</f>
        <v>1690930.4147210291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Benteler - Port Robson 138 kV Ckt 1 and 2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59941.047309208196</v>
      </c>
      <c r="N89" s="392">
        <f>+N88-N87</f>
        <v>59941.047309208196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TP2012172</v>
      </c>
      <c r="E91" s="76" t="str">
        <f>E9</f>
        <v xml:space="preserve">  SPP Project ID = 30769</v>
      </c>
      <c r="F91" s="76"/>
      <c r="G91" s="76"/>
      <c r="H91" s="76"/>
      <c r="I91" s="76"/>
      <c r="J91" s="76"/>
    </row>
    <row r="92" spans="1:16" ht="13">
      <c r="C92" s="34" t="s">
        <v>51</v>
      </c>
      <c r="D92" s="428">
        <f>D10</f>
        <v>13851900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</row>
    <row r="93" spans="1:16" ht="12.5">
      <c r="C93" s="34" t="s">
        <v>54</v>
      </c>
      <c r="D93" s="88">
        <f>IF(D11=I10,"",D11)</f>
        <v>2015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4">
        <f>IF(D11=I10,"",D12)</f>
        <v>11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314815.90909090912</v>
      </c>
      <c r="K96" s="293"/>
      <c r="L96" s="293"/>
      <c r="M96" s="293"/>
      <c r="N96" s="293"/>
      <c r="O96" s="293"/>
      <c r="P96" s="1"/>
    </row>
    <row r="97" spans="1:16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 ht="12.5">
      <c r="C99" s="50">
        <f>IF(D93= "","-",D93)</f>
        <v>2015</v>
      </c>
      <c r="D99" s="429">
        <v>0</v>
      </c>
      <c r="E99" s="430">
        <v>27531.333333333332</v>
      </c>
      <c r="F99" s="431">
        <v>13848260.666666666</v>
      </c>
      <c r="G99" s="432">
        <v>6924130.333333333</v>
      </c>
      <c r="H99" s="433">
        <v>939916.21761685633</v>
      </c>
      <c r="I99" s="434">
        <v>939916.21761685633</v>
      </c>
      <c r="J99" s="54">
        <f>+I99-H99</f>
        <v>0</v>
      </c>
      <c r="K99" s="54"/>
      <c r="L99" s="112">
        <f t="shared" ref="L99:L104" si="28">+H99</f>
        <v>939916.21761685633</v>
      </c>
      <c r="M99" s="53">
        <f t="shared" ref="M99:M130" si="29">IF(L99&lt;&gt;0,+H99-L99,0)</f>
        <v>0</v>
      </c>
      <c r="N99" s="112">
        <f t="shared" ref="N99:N104" si="30">+I99</f>
        <v>939916.21761685633</v>
      </c>
      <c r="O99" s="53">
        <f t="shared" ref="O99:O130" si="31">IF(N99&lt;&gt;0,+I99-N99,0)</f>
        <v>0</v>
      </c>
      <c r="P99" s="53">
        <f t="shared" ref="P99:P130" si="32">+O99-M99</f>
        <v>0</v>
      </c>
    </row>
    <row r="100" spans="1:16" ht="12.5">
      <c r="B100" s="7" t="str">
        <f>IF(D100=F99,"","IU")</f>
        <v>IU</v>
      </c>
      <c r="C100" s="50">
        <f>IF(D93="","-",+C99+1)</f>
        <v>2016</v>
      </c>
      <c r="D100" s="429">
        <v>13824368.666666666</v>
      </c>
      <c r="E100" s="430">
        <v>322137.20930232556</v>
      </c>
      <c r="F100" s="431">
        <v>13502231.457364341</v>
      </c>
      <c r="G100" s="431">
        <v>13663300.062015504</v>
      </c>
      <c r="H100" s="433">
        <v>2056692.9921555684</v>
      </c>
      <c r="I100" s="434">
        <v>2056692.9921555684</v>
      </c>
      <c r="J100" s="54">
        <f>+I100-H100</f>
        <v>0</v>
      </c>
      <c r="K100" s="54"/>
      <c r="L100" s="113">
        <f t="shared" si="28"/>
        <v>2056692.9921555684</v>
      </c>
      <c r="M100" s="54">
        <f t="shared" ref="M100:M105" si="33">IF(L100&lt;&gt;0,+H100-L100,0)</f>
        <v>0</v>
      </c>
      <c r="N100" s="113">
        <f t="shared" si="30"/>
        <v>2056692.9921555684</v>
      </c>
      <c r="O100" s="54">
        <f>IF(N100&lt;&gt;0,+I100-N100,0)</f>
        <v>0</v>
      </c>
      <c r="P100" s="54">
        <f>+O100-M100</f>
        <v>0</v>
      </c>
    </row>
    <row r="101" spans="1:16" ht="12.5">
      <c r="B101" s="7" t="str">
        <f t="shared" ref="B101:B154" si="34">IF(D101=F100,"","IU")</f>
        <v/>
      </c>
      <c r="C101" s="50">
        <f>IF(D93="","-",+C100+1)</f>
        <v>2017</v>
      </c>
      <c r="D101" s="429">
        <v>13502231.457364341</v>
      </c>
      <c r="E101" s="430">
        <v>329807.14285714284</v>
      </c>
      <c r="F101" s="431">
        <v>13172424.314507198</v>
      </c>
      <c r="G101" s="431">
        <v>13337327.885935768</v>
      </c>
      <c r="H101" s="433">
        <v>1949911.8027709834</v>
      </c>
      <c r="I101" s="434">
        <v>1949911.8027709834</v>
      </c>
      <c r="J101" s="54">
        <f t="shared" ref="J101:J154" si="35">+I101-H101</f>
        <v>0</v>
      </c>
      <c r="K101" s="54"/>
      <c r="L101" s="113">
        <f t="shared" si="28"/>
        <v>1949911.8027709834</v>
      </c>
      <c r="M101" s="54">
        <f t="shared" si="33"/>
        <v>0</v>
      </c>
      <c r="N101" s="113">
        <f t="shared" si="30"/>
        <v>1949911.8027709834</v>
      </c>
      <c r="O101" s="54">
        <f>IF(N101&lt;&gt;0,+I101-N101,0)</f>
        <v>0</v>
      </c>
      <c r="P101" s="54">
        <f>+O101-M101</f>
        <v>0</v>
      </c>
    </row>
    <row r="102" spans="1:16" ht="12.5">
      <c r="B102" s="7" t="str">
        <f t="shared" si="34"/>
        <v/>
      </c>
      <c r="C102" s="50">
        <f>IF(D93="","-",+C101+1)</f>
        <v>2018</v>
      </c>
      <c r="D102" s="429">
        <v>13172424.314507198</v>
      </c>
      <c r="E102" s="430">
        <v>329807.14285714284</v>
      </c>
      <c r="F102" s="431">
        <v>12842617.171650054</v>
      </c>
      <c r="G102" s="431">
        <v>13007520.743078627</v>
      </c>
      <c r="H102" s="433">
        <v>1703460.9834722793</v>
      </c>
      <c r="I102" s="434">
        <v>1703460.9834722793</v>
      </c>
      <c r="J102" s="54">
        <f t="shared" si="35"/>
        <v>0</v>
      </c>
      <c r="K102" s="54"/>
      <c r="L102" s="113">
        <f t="shared" si="28"/>
        <v>1703460.9834722793</v>
      </c>
      <c r="M102" s="54">
        <f t="shared" si="33"/>
        <v>0</v>
      </c>
      <c r="N102" s="113">
        <f t="shared" si="30"/>
        <v>1703460.9834722793</v>
      </c>
      <c r="O102" s="54">
        <f>IF(N102&lt;&gt;0,+I102-N102,0)</f>
        <v>0</v>
      </c>
      <c r="P102" s="54">
        <f t="shared" si="32"/>
        <v>0</v>
      </c>
    </row>
    <row r="103" spans="1:16" ht="12.5">
      <c r="B103" s="7" t="str">
        <f t="shared" si="34"/>
        <v/>
      </c>
      <c r="C103" s="50">
        <f>IF(D93="","-",+C102+1)</f>
        <v>2019</v>
      </c>
      <c r="D103" s="429">
        <v>12842617.171650054</v>
      </c>
      <c r="E103" s="430">
        <v>322137.20930232556</v>
      </c>
      <c r="F103" s="431">
        <v>12520479.962347729</v>
      </c>
      <c r="G103" s="431">
        <v>12681548.566998892</v>
      </c>
      <c r="H103" s="433">
        <v>1679577.0989135858</v>
      </c>
      <c r="I103" s="434">
        <v>1679577.0989135858</v>
      </c>
      <c r="J103" s="54">
        <f t="shared" si="35"/>
        <v>0</v>
      </c>
      <c r="K103" s="54"/>
      <c r="L103" s="113">
        <f t="shared" si="28"/>
        <v>1679577.0989135858</v>
      </c>
      <c r="M103" s="54">
        <f t="shared" si="33"/>
        <v>0</v>
      </c>
      <c r="N103" s="113">
        <f t="shared" si="30"/>
        <v>1679577.0989135858</v>
      </c>
      <c r="O103" s="54">
        <f t="shared" si="31"/>
        <v>0</v>
      </c>
      <c r="P103" s="54">
        <f t="shared" si="32"/>
        <v>0</v>
      </c>
    </row>
    <row r="104" spans="1:16" ht="12.5">
      <c r="B104" s="7" t="str">
        <f t="shared" si="34"/>
        <v/>
      </c>
      <c r="C104" s="50">
        <f>IF(D93="","-",+C103+1)</f>
        <v>2020</v>
      </c>
      <c r="D104" s="429">
        <v>12520479.962347729</v>
      </c>
      <c r="E104" s="430">
        <v>329807.14285714284</v>
      </c>
      <c r="F104" s="431">
        <v>12190672.819490585</v>
      </c>
      <c r="G104" s="431">
        <v>12355576.390919156</v>
      </c>
      <c r="H104" s="433">
        <v>1658943.8479839475</v>
      </c>
      <c r="I104" s="434">
        <v>1658943.8479839475</v>
      </c>
      <c r="J104" s="54">
        <f t="shared" si="35"/>
        <v>0</v>
      </c>
      <c r="K104" s="54"/>
      <c r="L104" s="113">
        <f t="shared" si="28"/>
        <v>1658943.8479839475</v>
      </c>
      <c r="M104" s="54">
        <f t="shared" si="33"/>
        <v>0</v>
      </c>
      <c r="N104" s="113">
        <f t="shared" si="30"/>
        <v>1658943.8479839475</v>
      </c>
      <c r="O104" s="54">
        <f t="shared" si="31"/>
        <v>0</v>
      </c>
      <c r="P104" s="54">
        <f t="shared" si="32"/>
        <v>0</v>
      </c>
    </row>
    <row r="105" spans="1:16" ht="12.5">
      <c r="B105" s="7" t="str">
        <f t="shared" si="34"/>
        <v/>
      </c>
      <c r="C105" s="50">
        <f>IF(D93="","-",+C104+1)</f>
        <v>2021</v>
      </c>
      <c r="D105" s="429">
        <v>12190672.819490585</v>
      </c>
      <c r="E105" s="430">
        <v>337851.21951219509</v>
      </c>
      <c r="F105" s="431">
        <v>11852821.599978391</v>
      </c>
      <c r="G105" s="431">
        <v>12021747.209734488</v>
      </c>
      <c r="H105" s="433">
        <v>1702490.5536625395</v>
      </c>
      <c r="I105" s="434">
        <v>1702490.5536625395</v>
      </c>
      <c r="J105" s="54">
        <f t="shared" si="35"/>
        <v>0</v>
      </c>
      <c r="K105" s="54"/>
      <c r="L105" s="113">
        <f t="shared" ref="L105" si="36">+H105</f>
        <v>1702490.5536625395</v>
      </c>
      <c r="M105" s="54">
        <f t="shared" si="33"/>
        <v>0</v>
      </c>
      <c r="N105" s="113">
        <f t="shared" ref="N105" si="37">+I105</f>
        <v>1702490.5536625395</v>
      </c>
      <c r="O105" s="54">
        <f t="shared" si="31"/>
        <v>0</v>
      </c>
      <c r="P105" s="54">
        <f t="shared" si="32"/>
        <v>0</v>
      </c>
    </row>
    <row r="106" spans="1:16" ht="12.5">
      <c r="B106" s="7" t="str">
        <f t="shared" si="34"/>
        <v/>
      </c>
      <c r="C106" s="50">
        <f>IF(D93="","-",+C105+1)</f>
        <v>2022</v>
      </c>
      <c r="D106" s="429">
        <v>11852821.599978391</v>
      </c>
      <c r="E106" s="430">
        <v>329807.14285714284</v>
      </c>
      <c r="F106" s="431">
        <v>11523014.457121247</v>
      </c>
      <c r="G106" s="431">
        <v>11687918.02854982</v>
      </c>
      <c r="H106" s="433">
        <v>1702644.784147114</v>
      </c>
      <c r="I106" s="434">
        <v>1702644.784147114</v>
      </c>
      <c r="J106" s="54">
        <f t="shared" si="35"/>
        <v>0</v>
      </c>
      <c r="K106" s="54"/>
      <c r="L106" s="113">
        <f t="shared" ref="L106" si="38">+H106</f>
        <v>1702644.784147114</v>
      </c>
      <c r="M106" s="54">
        <f t="shared" ref="M106" si="39">IF(L106&lt;&gt;0,+H106-L106,0)</f>
        <v>0</v>
      </c>
      <c r="N106" s="113">
        <f t="shared" ref="N106" si="40">+I106</f>
        <v>1702644.784147114</v>
      </c>
      <c r="O106" s="54">
        <f t="shared" ref="O106" si="41">IF(N106&lt;&gt;0,+I106-N106,0)</f>
        <v>0</v>
      </c>
      <c r="P106" s="54">
        <f t="shared" ref="P106" si="42">+O106-M106</f>
        <v>0</v>
      </c>
    </row>
    <row r="107" spans="1:16" ht="12.5">
      <c r="B107" s="7" t="str">
        <f t="shared" si="34"/>
        <v/>
      </c>
      <c r="C107" s="50">
        <f>IF(D93="","-",+C106+1)</f>
        <v>2023</v>
      </c>
      <c r="D107" s="429">
        <v>11523014.457121247</v>
      </c>
      <c r="E107" s="430">
        <v>314815.90909090912</v>
      </c>
      <c r="F107" s="431">
        <v>11208198.548030339</v>
      </c>
      <c r="G107" s="431">
        <v>11365606.502575792</v>
      </c>
      <c r="H107" s="433">
        <v>1716934.5941997194</v>
      </c>
      <c r="I107" s="434">
        <v>1716934.5941997194</v>
      </c>
      <c r="J107" s="54">
        <f t="shared" si="35"/>
        <v>0</v>
      </c>
      <c r="K107" s="54"/>
      <c r="L107" s="113">
        <f t="shared" ref="L107" si="43">+H107</f>
        <v>1716934.5941997194</v>
      </c>
      <c r="M107" s="54">
        <f t="shared" ref="M107" si="44">IF(L107&lt;&gt;0,+H107-L107,0)</f>
        <v>0</v>
      </c>
      <c r="N107" s="113">
        <f t="shared" ref="N107" si="45">+I107</f>
        <v>1716934.5941997194</v>
      </c>
      <c r="O107" s="54">
        <f t="shared" ref="O107" si="46">IF(N107&lt;&gt;0,+I107-N107,0)</f>
        <v>0</v>
      </c>
      <c r="P107" s="54">
        <f t="shared" ref="P107" si="47">+O107-M107</f>
        <v>0</v>
      </c>
    </row>
    <row r="108" spans="1:16" ht="12.5">
      <c r="B108" s="7" t="str">
        <f t="shared" si="34"/>
        <v/>
      </c>
      <c r="C108" s="50">
        <f>IF(D93="","-",+C107+1)</f>
        <v>2024</v>
      </c>
      <c r="D108" s="12">
        <f>IF(F107+SUM(E$99:E107)=D$92,F107,D$92-SUM(E$99:E107))</f>
        <v>11208198.548030339</v>
      </c>
      <c r="E108" s="378">
        <f t="shared" ref="E108:E154" si="48">IF(+$J$96&lt;F107,$J$96,D108)</f>
        <v>314815.90909090912</v>
      </c>
      <c r="F108" s="55">
        <f t="shared" ref="F108:F154" si="49">+D108-E108</f>
        <v>10893382.638939431</v>
      </c>
      <c r="G108" s="55">
        <f t="shared" ref="G108:G154" si="50">+(F108+D108)/2</f>
        <v>11050790.593484886</v>
      </c>
      <c r="H108" s="380">
        <f t="shared" ref="H108:H154" si="51">+J$94*G108+E108</f>
        <v>1690930.4147210291</v>
      </c>
      <c r="I108" s="399">
        <f t="shared" ref="I108:I154" si="52">+J$95*G108+E108</f>
        <v>1690930.4147210291</v>
      </c>
      <c r="J108" s="54">
        <f t="shared" si="35"/>
        <v>0</v>
      </c>
      <c r="K108" s="54"/>
      <c r="L108" s="129"/>
      <c r="M108" s="54">
        <f t="shared" si="29"/>
        <v>0</v>
      </c>
      <c r="N108" s="129"/>
      <c r="O108" s="54">
        <f t="shared" si="31"/>
        <v>0</v>
      </c>
      <c r="P108" s="54">
        <f t="shared" si="32"/>
        <v>0</v>
      </c>
    </row>
    <row r="109" spans="1:16" ht="12.5">
      <c r="B109" s="7" t="str">
        <f t="shared" si="34"/>
        <v/>
      </c>
      <c r="C109" s="50">
        <f>IF(D93="","-",+C108+1)</f>
        <v>2025</v>
      </c>
      <c r="D109" s="12">
        <f>IF(F108+SUM(E$99:E108)=D$92,F108,D$92-SUM(E$99:E108))</f>
        <v>10893382.638939431</v>
      </c>
      <c r="E109" s="378">
        <f t="shared" si="48"/>
        <v>314815.90909090912</v>
      </c>
      <c r="F109" s="55">
        <f t="shared" si="49"/>
        <v>10578566.729848523</v>
      </c>
      <c r="G109" s="55">
        <f t="shared" si="50"/>
        <v>10735974.684393976</v>
      </c>
      <c r="H109" s="380">
        <f t="shared" si="51"/>
        <v>1651727.5418190174</v>
      </c>
      <c r="I109" s="399">
        <f t="shared" si="52"/>
        <v>1651727.5418190174</v>
      </c>
      <c r="J109" s="54">
        <f t="shared" si="35"/>
        <v>0</v>
      </c>
      <c r="K109" s="54"/>
      <c r="L109" s="129"/>
      <c r="M109" s="54">
        <f t="shared" si="29"/>
        <v>0</v>
      </c>
      <c r="N109" s="129"/>
      <c r="O109" s="54">
        <f t="shared" si="31"/>
        <v>0</v>
      </c>
      <c r="P109" s="54">
        <f t="shared" si="32"/>
        <v>0</v>
      </c>
    </row>
    <row r="110" spans="1:16" ht="12.5">
      <c r="B110" s="7" t="str">
        <f t="shared" si="34"/>
        <v/>
      </c>
      <c r="C110" s="50">
        <f>IF(D93="","-",+C109+1)</f>
        <v>2026</v>
      </c>
      <c r="D110" s="12">
        <f>IF(F109+SUM(E$99:E109)=D$92,F109,D$92-SUM(E$99:E109))</f>
        <v>10578566.729848523</v>
      </c>
      <c r="E110" s="378">
        <f t="shared" si="48"/>
        <v>314815.90909090912</v>
      </c>
      <c r="F110" s="55">
        <f t="shared" si="49"/>
        <v>10263750.820757614</v>
      </c>
      <c r="G110" s="55">
        <f t="shared" si="50"/>
        <v>10421158.77530307</v>
      </c>
      <c r="H110" s="380">
        <f t="shared" si="51"/>
        <v>1612524.6689170061</v>
      </c>
      <c r="I110" s="399">
        <f t="shared" si="52"/>
        <v>1612524.6689170061</v>
      </c>
      <c r="J110" s="54">
        <f t="shared" si="35"/>
        <v>0</v>
      </c>
      <c r="K110" s="54"/>
      <c r="L110" s="129"/>
      <c r="M110" s="54">
        <f t="shared" si="29"/>
        <v>0</v>
      </c>
      <c r="N110" s="129"/>
      <c r="O110" s="54">
        <f t="shared" si="31"/>
        <v>0</v>
      </c>
      <c r="P110" s="54">
        <f t="shared" si="32"/>
        <v>0</v>
      </c>
    </row>
    <row r="111" spans="1:16" ht="12.5">
      <c r="B111" s="7" t="str">
        <f t="shared" si="34"/>
        <v/>
      </c>
      <c r="C111" s="50">
        <f>IF(D93="","-",+C110+1)</f>
        <v>2027</v>
      </c>
      <c r="D111" s="12">
        <f>IF(F110+SUM(E$99:E110)=D$92,F110,D$92-SUM(E$99:E110))</f>
        <v>10263750.820757614</v>
      </c>
      <c r="E111" s="378">
        <f t="shared" si="48"/>
        <v>314815.90909090912</v>
      </c>
      <c r="F111" s="55">
        <f t="shared" si="49"/>
        <v>9948934.9116667062</v>
      </c>
      <c r="G111" s="55">
        <f t="shared" si="50"/>
        <v>10106342.866212159</v>
      </c>
      <c r="H111" s="380">
        <f t="shared" si="51"/>
        <v>1573321.7960149944</v>
      </c>
      <c r="I111" s="399">
        <f t="shared" si="52"/>
        <v>1573321.7960149944</v>
      </c>
      <c r="J111" s="54">
        <f t="shared" si="35"/>
        <v>0</v>
      </c>
      <c r="K111" s="54"/>
      <c r="L111" s="129"/>
      <c r="M111" s="54">
        <f t="shared" si="29"/>
        <v>0</v>
      </c>
      <c r="N111" s="129"/>
      <c r="O111" s="54">
        <f t="shared" si="31"/>
        <v>0</v>
      </c>
      <c r="P111" s="54">
        <f t="shared" si="32"/>
        <v>0</v>
      </c>
    </row>
    <row r="112" spans="1:16" ht="12.5">
      <c r="B112" s="7" t="str">
        <f t="shared" si="34"/>
        <v/>
      </c>
      <c r="C112" s="50">
        <f>IF(D93="","-",+C111+1)</f>
        <v>2028</v>
      </c>
      <c r="D112" s="12">
        <f>IF(F111+SUM(E$99:E111)=D$92,F111,D$92-SUM(E$99:E111))</f>
        <v>9948934.9116667062</v>
      </c>
      <c r="E112" s="378">
        <f t="shared" si="48"/>
        <v>314815.90909090912</v>
      </c>
      <c r="F112" s="55">
        <f t="shared" si="49"/>
        <v>9634119.002575798</v>
      </c>
      <c r="G112" s="55">
        <f t="shared" si="50"/>
        <v>9791526.957121253</v>
      </c>
      <c r="H112" s="380">
        <f t="shared" si="51"/>
        <v>1534118.9231129831</v>
      </c>
      <c r="I112" s="399">
        <f t="shared" si="52"/>
        <v>1534118.9231129831</v>
      </c>
      <c r="J112" s="54">
        <f t="shared" si="35"/>
        <v>0</v>
      </c>
      <c r="K112" s="54"/>
      <c r="L112" s="129"/>
      <c r="M112" s="54">
        <f t="shared" si="29"/>
        <v>0</v>
      </c>
      <c r="N112" s="129"/>
      <c r="O112" s="54">
        <f t="shared" si="31"/>
        <v>0</v>
      </c>
      <c r="P112" s="54">
        <f t="shared" si="32"/>
        <v>0</v>
      </c>
    </row>
    <row r="113" spans="2:16" ht="12.5">
      <c r="B113" s="7" t="str">
        <f t="shared" si="34"/>
        <v/>
      </c>
      <c r="C113" s="50">
        <f>IF(D93="","-",+C112+1)</f>
        <v>2029</v>
      </c>
      <c r="D113" s="12">
        <f>IF(F112+SUM(E$99:E112)=D$92,F112,D$92-SUM(E$99:E112))</f>
        <v>9634119.002575798</v>
      </c>
      <c r="E113" s="378">
        <f t="shared" si="48"/>
        <v>314815.90909090912</v>
      </c>
      <c r="F113" s="55">
        <f t="shared" si="49"/>
        <v>9319303.0934848897</v>
      </c>
      <c r="G113" s="55">
        <f t="shared" si="50"/>
        <v>9476711.0480303429</v>
      </c>
      <c r="H113" s="380">
        <f t="shared" si="51"/>
        <v>1494916.0502109714</v>
      </c>
      <c r="I113" s="399">
        <f t="shared" si="52"/>
        <v>1494916.0502109714</v>
      </c>
      <c r="J113" s="54">
        <f t="shared" si="35"/>
        <v>0</v>
      </c>
      <c r="K113" s="54"/>
      <c r="L113" s="129"/>
      <c r="M113" s="54">
        <f t="shared" si="29"/>
        <v>0</v>
      </c>
      <c r="N113" s="129"/>
      <c r="O113" s="54">
        <f t="shared" si="31"/>
        <v>0</v>
      </c>
      <c r="P113" s="54">
        <f t="shared" si="32"/>
        <v>0</v>
      </c>
    </row>
    <row r="114" spans="2:16" ht="12.5">
      <c r="B114" s="7" t="str">
        <f t="shared" si="34"/>
        <v/>
      </c>
      <c r="C114" s="50">
        <f>IF(D93="","-",+C113+1)</f>
        <v>2030</v>
      </c>
      <c r="D114" s="12">
        <f>IF(F113+SUM(E$99:E113)=D$92,F113,D$92-SUM(E$99:E113))</f>
        <v>9319303.0934848897</v>
      </c>
      <c r="E114" s="378">
        <f t="shared" si="48"/>
        <v>314815.90909090912</v>
      </c>
      <c r="F114" s="55">
        <f t="shared" si="49"/>
        <v>9004487.1843939815</v>
      </c>
      <c r="G114" s="55">
        <f t="shared" si="50"/>
        <v>9161895.1389394365</v>
      </c>
      <c r="H114" s="380">
        <f t="shared" si="51"/>
        <v>1455713.1773089601</v>
      </c>
      <c r="I114" s="399">
        <f t="shared" si="52"/>
        <v>1455713.1773089601</v>
      </c>
      <c r="J114" s="54">
        <f t="shared" si="35"/>
        <v>0</v>
      </c>
      <c r="K114" s="54"/>
      <c r="L114" s="129"/>
      <c r="M114" s="54">
        <f t="shared" si="29"/>
        <v>0</v>
      </c>
      <c r="N114" s="129"/>
      <c r="O114" s="54">
        <f t="shared" si="31"/>
        <v>0</v>
      </c>
      <c r="P114" s="54">
        <f t="shared" si="32"/>
        <v>0</v>
      </c>
    </row>
    <row r="115" spans="2:16" ht="12.5">
      <c r="B115" s="7" t="str">
        <f t="shared" si="34"/>
        <v/>
      </c>
      <c r="C115" s="50">
        <f>IF(D93="","-",+C114+1)</f>
        <v>2031</v>
      </c>
      <c r="D115" s="12">
        <f>IF(F114+SUM(E$99:E114)=D$92,F114,D$92-SUM(E$99:E114))</f>
        <v>9004487.1843939815</v>
      </c>
      <c r="E115" s="378">
        <f t="shared" si="48"/>
        <v>314815.90909090912</v>
      </c>
      <c r="F115" s="55">
        <f t="shared" si="49"/>
        <v>8689671.2753030732</v>
      </c>
      <c r="G115" s="55">
        <f t="shared" si="50"/>
        <v>8847079.2298485264</v>
      </c>
      <c r="H115" s="380">
        <f t="shared" si="51"/>
        <v>1416510.3044069484</v>
      </c>
      <c r="I115" s="399">
        <f t="shared" si="52"/>
        <v>1416510.3044069484</v>
      </c>
      <c r="J115" s="54">
        <f t="shared" si="35"/>
        <v>0</v>
      </c>
      <c r="K115" s="54"/>
      <c r="L115" s="129"/>
      <c r="M115" s="54">
        <f t="shared" si="29"/>
        <v>0</v>
      </c>
      <c r="N115" s="129"/>
      <c r="O115" s="54">
        <f t="shared" si="31"/>
        <v>0</v>
      </c>
      <c r="P115" s="54">
        <f t="shared" si="32"/>
        <v>0</v>
      </c>
    </row>
    <row r="116" spans="2:16" ht="12.5">
      <c r="B116" s="7" t="str">
        <f t="shared" si="34"/>
        <v/>
      </c>
      <c r="C116" s="50">
        <f>IF(D93="","-",+C115+1)</f>
        <v>2032</v>
      </c>
      <c r="D116" s="12">
        <f>IF(F115+SUM(E$99:E115)=D$92,F115,D$92-SUM(E$99:E115))</f>
        <v>8689671.2753030732</v>
      </c>
      <c r="E116" s="378">
        <f t="shared" si="48"/>
        <v>314815.90909090912</v>
      </c>
      <c r="F116" s="55">
        <f t="shared" si="49"/>
        <v>8374855.3662121641</v>
      </c>
      <c r="G116" s="55">
        <f t="shared" si="50"/>
        <v>8532263.3207576182</v>
      </c>
      <c r="H116" s="380">
        <f t="shared" si="51"/>
        <v>1377307.4315049369</v>
      </c>
      <c r="I116" s="399">
        <f t="shared" si="52"/>
        <v>1377307.4315049369</v>
      </c>
      <c r="J116" s="54">
        <f t="shared" si="35"/>
        <v>0</v>
      </c>
      <c r="K116" s="54"/>
      <c r="L116" s="129"/>
      <c r="M116" s="54">
        <f t="shared" si="29"/>
        <v>0</v>
      </c>
      <c r="N116" s="129"/>
      <c r="O116" s="54">
        <f t="shared" si="31"/>
        <v>0</v>
      </c>
      <c r="P116" s="54">
        <f t="shared" si="32"/>
        <v>0</v>
      </c>
    </row>
    <row r="117" spans="2:16" ht="12.5">
      <c r="B117" s="7" t="str">
        <f t="shared" si="34"/>
        <v/>
      </c>
      <c r="C117" s="50">
        <f>IF(D93="","-",+C116+1)</f>
        <v>2033</v>
      </c>
      <c r="D117" s="12">
        <f>IF(F116+SUM(E$99:E116)=D$92,F116,D$92-SUM(E$99:E116))</f>
        <v>8374855.3662121641</v>
      </c>
      <c r="E117" s="378">
        <f t="shared" si="48"/>
        <v>314815.90909090912</v>
      </c>
      <c r="F117" s="55">
        <f t="shared" si="49"/>
        <v>8060039.4571212549</v>
      </c>
      <c r="G117" s="55">
        <f t="shared" si="50"/>
        <v>8217447.4116667099</v>
      </c>
      <c r="H117" s="380">
        <f t="shared" si="51"/>
        <v>1338104.5586029254</v>
      </c>
      <c r="I117" s="399">
        <f t="shared" si="52"/>
        <v>1338104.5586029254</v>
      </c>
      <c r="J117" s="54">
        <f t="shared" si="35"/>
        <v>0</v>
      </c>
      <c r="K117" s="54"/>
      <c r="L117" s="129"/>
      <c r="M117" s="54">
        <f t="shared" si="29"/>
        <v>0</v>
      </c>
      <c r="N117" s="129"/>
      <c r="O117" s="54">
        <f t="shared" si="31"/>
        <v>0</v>
      </c>
      <c r="P117" s="54">
        <f t="shared" si="32"/>
        <v>0</v>
      </c>
    </row>
    <row r="118" spans="2:16" ht="12.5">
      <c r="B118" s="7" t="str">
        <f t="shared" si="34"/>
        <v/>
      </c>
      <c r="C118" s="50">
        <f>IF(D93="","-",+C117+1)</f>
        <v>2034</v>
      </c>
      <c r="D118" s="12">
        <f>IF(F117+SUM(E$99:E117)=D$92,F117,D$92-SUM(E$99:E117))</f>
        <v>8060039.4571212549</v>
      </c>
      <c r="E118" s="378">
        <f t="shared" si="48"/>
        <v>314815.90909090912</v>
      </c>
      <c r="F118" s="55">
        <f t="shared" si="49"/>
        <v>7745223.5480303457</v>
      </c>
      <c r="G118" s="55">
        <f t="shared" si="50"/>
        <v>7902631.5025757998</v>
      </c>
      <c r="H118" s="380">
        <f t="shared" si="51"/>
        <v>1298901.6857009137</v>
      </c>
      <c r="I118" s="399">
        <f t="shared" si="52"/>
        <v>1298901.6857009137</v>
      </c>
      <c r="J118" s="54">
        <f t="shared" si="35"/>
        <v>0</v>
      </c>
      <c r="K118" s="54"/>
      <c r="L118" s="129"/>
      <c r="M118" s="54">
        <f t="shared" si="29"/>
        <v>0</v>
      </c>
      <c r="N118" s="129"/>
      <c r="O118" s="54">
        <f t="shared" si="31"/>
        <v>0</v>
      </c>
      <c r="P118" s="54">
        <f t="shared" si="32"/>
        <v>0</v>
      </c>
    </row>
    <row r="119" spans="2:16" ht="12.5">
      <c r="B119" s="7" t="str">
        <f t="shared" si="34"/>
        <v/>
      </c>
      <c r="C119" s="50">
        <f>IF(D93="","-",+C118+1)</f>
        <v>2035</v>
      </c>
      <c r="D119" s="12">
        <f>IF(F118+SUM(E$99:E118)=D$92,F118,D$92-SUM(E$99:E118))</f>
        <v>7745223.5480303457</v>
      </c>
      <c r="E119" s="378">
        <f t="shared" si="48"/>
        <v>314815.90909090912</v>
      </c>
      <c r="F119" s="55">
        <f t="shared" si="49"/>
        <v>7430407.6389394365</v>
      </c>
      <c r="G119" s="55">
        <f t="shared" si="50"/>
        <v>7587815.5934848916</v>
      </c>
      <c r="H119" s="380">
        <f t="shared" si="51"/>
        <v>1259698.8127989024</v>
      </c>
      <c r="I119" s="399">
        <f t="shared" si="52"/>
        <v>1259698.8127989024</v>
      </c>
      <c r="J119" s="54">
        <f t="shared" si="35"/>
        <v>0</v>
      </c>
      <c r="K119" s="54"/>
      <c r="L119" s="129"/>
      <c r="M119" s="54">
        <f t="shared" si="29"/>
        <v>0</v>
      </c>
      <c r="N119" s="129"/>
      <c r="O119" s="54">
        <f t="shared" si="31"/>
        <v>0</v>
      </c>
      <c r="P119" s="54">
        <f t="shared" si="32"/>
        <v>0</v>
      </c>
    </row>
    <row r="120" spans="2:16" ht="12.5">
      <c r="B120" s="7" t="str">
        <f t="shared" si="34"/>
        <v/>
      </c>
      <c r="C120" s="50">
        <f>IF(D93="","-",+C119+1)</f>
        <v>2036</v>
      </c>
      <c r="D120" s="12">
        <f>IF(F119+SUM(E$99:E119)=D$92,F119,D$92-SUM(E$99:E119))</f>
        <v>7430407.6389394365</v>
      </c>
      <c r="E120" s="378">
        <f t="shared" si="48"/>
        <v>314815.90909090912</v>
      </c>
      <c r="F120" s="55">
        <f t="shared" si="49"/>
        <v>7115591.7298485273</v>
      </c>
      <c r="G120" s="55">
        <f t="shared" si="50"/>
        <v>7272999.6843939815</v>
      </c>
      <c r="H120" s="380">
        <f t="shared" si="51"/>
        <v>1220495.9398968907</v>
      </c>
      <c r="I120" s="399">
        <f t="shared" si="52"/>
        <v>1220495.9398968907</v>
      </c>
      <c r="J120" s="54">
        <f t="shared" si="35"/>
        <v>0</v>
      </c>
      <c r="K120" s="54"/>
      <c r="L120" s="129"/>
      <c r="M120" s="54">
        <f t="shared" si="29"/>
        <v>0</v>
      </c>
      <c r="N120" s="129"/>
      <c r="O120" s="54">
        <f t="shared" si="31"/>
        <v>0</v>
      </c>
      <c r="P120" s="54">
        <f t="shared" si="32"/>
        <v>0</v>
      </c>
    </row>
    <row r="121" spans="2:16" ht="12.5">
      <c r="B121" s="7" t="str">
        <f t="shared" si="34"/>
        <v/>
      </c>
      <c r="C121" s="50">
        <f>IF(D93="","-",+C120+1)</f>
        <v>2037</v>
      </c>
      <c r="D121" s="12">
        <f>IF(F120+SUM(E$99:E120)=D$92,F120,D$92-SUM(E$99:E120))</f>
        <v>7115591.7298485273</v>
      </c>
      <c r="E121" s="378">
        <f t="shared" si="48"/>
        <v>314815.90909090912</v>
      </c>
      <c r="F121" s="55">
        <f t="shared" si="49"/>
        <v>6800775.8207576182</v>
      </c>
      <c r="G121" s="55">
        <f t="shared" si="50"/>
        <v>6958183.7753030732</v>
      </c>
      <c r="H121" s="380">
        <f t="shared" si="51"/>
        <v>1181293.0669948792</v>
      </c>
      <c r="I121" s="399">
        <f t="shared" si="52"/>
        <v>1181293.0669948792</v>
      </c>
      <c r="J121" s="54">
        <f t="shared" si="35"/>
        <v>0</v>
      </c>
      <c r="K121" s="54"/>
      <c r="L121" s="129"/>
      <c r="M121" s="54">
        <f t="shared" si="29"/>
        <v>0</v>
      </c>
      <c r="N121" s="129"/>
      <c r="O121" s="54">
        <f t="shared" si="31"/>
        <v>0</v>
      </c>
      <c r="P121" s="54">
        <f t="shared" si="32"/>
        <v>0</v>
      </c>
    </row>
    <row r="122" spans="2:16" ht="12.5">
      <c r="B122" s="7" t="str">
        <f t="shared" si="34"/>
        <v/>
      </c>
      <c r="C122" s="50">
        <f>IF(D93="","-",+C121+1)</f>
        <v>2038</v>
      </c>
      <c r="D122" s="12">
        <f>IF(F121+SUM(E$99:E121)=D$92,F121,D$92-SUM(E$99:E121))</f>
        <v>6800775.8207576182</v>
      </c>
      <c r="E122" s="378">
        <f t="shared" si="48"/>
        <v>314815.90909090912</v>
      </c>
      <c r="F122" s="55">
        <f t="shared" si="49"/>
        <v>6485959.911666709</v>
      </c>
      <c r="G122" s="55">
        <f t="shared" si="50"/>
        <v>6643367.8662121631</v>
      </c>
      <c r="H122" s="380">
        <f t="shared" si="51"/>
        <v>1142090.1940928674</v>
      </c>
      <c r="I122" s="399">
        <f t="shared" si="52"/>
        <v>1142090.1940928674</v>
      </c>
      <c r="J122" s="54">
        <f t="shared" si="35"/>
        <v>0</v>
      </c>
      <c r="K122" s="54"/>
      <c r="L122" s="129"/>
      <c r="M122" s="54">
        <f t="shared" si="29"/>
        <v>0</v>
      </c>
      <c r="N122" s="129"/>
      <c r="O122" s="54">
        <f t="shared" si="31"/>
        <v>0</v>
      </c>
      <c r="P122" s="54">
        <f t="shared" si="32"/>
        <v>0</v>
      </c>
    </row>
    <row r="123" spans="2:16" ht="12.5">
      <c r="B123" s="7" t="str">
        <f t="shared" si="34"/>
        <v/>
      </c>
      <c r="C123" s="50">
        <f>IF(D93="","-",+C122+1)</f>
        <v>2039</v>
      </c>
      <c r="D123" s="12">
        <f>IF(F122+SUM(E$99:E122)=D$92,F122,D$92-SUM(E$99:E122))</f>
        <v>6485959.911666709</v>
      </c>
      <c r="E123" s="378">
        <f t="shared" si="48"/>
        <v>314815.90909090912</v>
      </c>
      <c r="F123" s="55">
        <f t="shared" si="49"/>
        <v>6171144.0025757998</v>
      </c>
      <c r="G123" s="55">
        <f t="shared" si="50"/>
        <v>6328551.9571212549</v>
      </c>
      <c r="H123" s="380">
        <f t="shared" si="51"/>
        <v>1102887.3211908559</v>
      </c>
      <c r="I123" s="399">
        <f t="shared" si="52"/>
        <v>1102887.3211908559</v>
      </c>
      <c r="J123" s="54">
        <f t="shared" si="35"/>
        <v>0</v>
      </c>
      <c r="K123" s="54"/>
      <c r="L123" s="129"/>
      <c r="M123" s="54">
        <f t="shared" si="29"/>
        <v>0</v>
      </c>
      <c r="N123" s="129"/>
      <c r="O123" s="54">
        <f t="shared" si="31"/>
        <v>0</v>
      </c>
      <c r="P123" s="54">
        <f t="shared" si="32"/>
        <v>0</v>
      </c>
    </row>
    <row r="124" spans="2:16" ht="12.5">
      <c r="B124" s="7" t="str">
        <f t="shared" si="34"/>
        <v/>
      </c>
      <c r="C124" s="50">
        <f>IF(D93="","-",+C123+1)</f>
        <v>2040</v>
      </c>
      <c r="D124" s="12">
        <f>IF(F123+SUM(E$99:E123)=D$92,F123,D$92-SUM(E$99:E123))</f>
        <v>6171144.0025757998</v>
      </c>
      <c r="E124" s="378">
        <f t="shared" si="48"/>
        <v>314815.90909090912</v>
      </c>
      <c r="F124" s="55">
        <f t="shared" si="49"/>
        <v>5856328.0934848906</v>
      </c>
      <c r="G124" s="55">
        <f t="shared" si="50"/>
        <v>6013736.0480303448</v>
      </c>
      <c r="H124" s="380">
        <f t="shared" si="51"/>
        <v>1063684.4482888442</v>
      </c>
      <c r="I124" s="399">
        <f t="shared" si="52"/>
        <v>1063684.4482888442</v>
      </c>
      <c r="J124" s="54">
        <f t="shared" si="35"/>
        <v>0</v>
      </c>
      <c r="K124" s="54"/>
      <c r="L124" s="129"/>
      <c r="M124" s="54">
        <f t="shared" si="29"/>
        <v>0</v>
      </c>
      <c r="N124" s="129"/>
      <c r="O124" s="54">
        <f t="shared" si="31"/>
        <v>0</v>
      </c>
      <c r="P124" s="54">
        <f t="shared" si="32"/>
        <v>0</v>
      </c>
    </row>
    <row r="125" spans="2:16" ht="12.5">
      <c r="B125" s="7" t="str">
        <f t="shared" si="34"/>
        <v/>
      </c>
      <c r="C125" s="50">
        <f>IF(D93="","-",+C124+1)</f>
        <v>2041</v>
      </c>
      <c r="D125" s="12">
        <f>IF(F124+SUM(E$99:E124)=D$92,F124,D$92-SUM(E$99:E124))</f>
        <v>5856328.0934848906</v>
      </c>
      <c r="E125" s="378">
        <f t="shared" si="48"/>
        <v>314815.90909090912</v>
      </c>
      <c r="F125" s="55">
        <f t="shared" si="49"/>
        <v>5541512.1843939815</v>
      </c>
      <c r="G125" s="55">
        <f t="shared" si="50"/>
        <v>5698920.1389394365</v>
      </c>
      <c r="H125" s="380">
        <f t="shared" si="51"/>
        <v>1024481.5753868327</v>
      </c>
      <c r="I125" s="399">
        <f t="shared" si="52"/>
        <v>1024481.5753868327</v>
      </c>
      <c r="J125" s="54">
        <f t="shared" si="35"/>
        <v>0</v>
      </c>
      <c r="K125" s="54"/>
      <c r="L125" s="129"/>
      <c r="M125" s="54">
        <f t="shared" si="29"/>
        <v>0</v>
      </c>
      <c r="N125" s="129"/>
      <c r="O125" s="54">
        <f t="shared" si="31"/>
        <v>0</v>
      </c>
      <c r="P125" s="54">
        <f t="shared" si="32"/>
        <v>0</v>
      </c>
    </row>
    <row r="126" spans="2:16" ht="12.5">
      <c r="B126" s="7" t="str">
        <f t="shared" si="34"/>
        <v/>
      </c>
      <c r="C126" s="50">
        <f>IF(D93="","-",+C125+1)</f>
        <v>2042</v>
      </c>
      <c r="D126" s="12">
        <f>IF(F125+SUM(E$99:E125)=D$92,F125,D$92-SUM(E$99:E125))</f>
        <v>5541512.1843939815</v>
      </c>
      <c r="E126" s="378">
        <f t="shared" si="48"/>
        <v>314815.90909090912</v>
      </c>
      <c r="F126" s="55">
        <f t="shared" si="49"/>
        <v>5226696.2753030723</v>
      </c>
      <c r="G126" s="55">
        <f t="shared" si="50"/>
        <v>5384104.2298485264</v>
      </c>
      <c r="H126" s="380">
        <f t="shared" si="51"/>
        <v>985278.70248482097</v>
      </c>
      <c r="I126" s="399">
        <f t="shared" si="52"/>
        <v>985278.70248482097</v>
      </c>
      <c r="J126" s="54">
        <f t="shared" si="35"/>
        <v>0</v>
      </c>
      <c r="K126" s="54"/>
      <c r="L126" s="129"/>
      <c r="M126" s="54">
        <f t="shared" si="29"/>
        <v>0</v>
      </c>
      <c r="N126" s="129"/>
      <c r="O126" s="54">
        <f t="shared" si="31"/>
        <v>0</v>
      </c>
      <c r="P126" s="54">
        <f t="shared" si="32"/>
        <v>0</v>
      </c>
    </row>
    <row r="127" spans="2:16" ht="12.5">
      <c r="B127" s="7" t="str">
        <f t="shared" si="34"/>
        <v/>
      </c>
      <c r="C127" s="50">
        <f>IF(D93="","-",+C126+1)</f>
        <v>2043</v>
      </c>
      <c r="D127" s="12">
        <f>IF(F126+SUM(E$99:E126)=D$92,F126,D$92-SUM(E$99:E126))</f>
        <v>5226696.2753030723</v>
      </c>
      <c r="E127" s="378">
        <f t="shared" si="48"/>
        <v>314815.90909090912</v>
      </c>
      <c r="F127" s="55">
        <f t="shared" si="49"/>
        <v>4911880.3662121631</v>
      </c>
      <c r="G127" s="55">
        <f t="shared" si="50"/>
        <v>5069288.3207576182</v>
      </c>
      <c r="H127" s="380">
        <f t="shared" si="51"/>
        <v>946075.82958280947</v>
      </c>
      <c r="I127" s="399">
        <f t="shared" si="52"/>
        <v>946075.82958280947</v>
      </c>
      <c r="J127" s="54">
        <f t="shared" si="35"/>
        <v>0</v>
      </c>
      <c r="K127" s="54"/>
      <c r="L127" s="129"/>
      <c r="M127" s="54">
        <f t="shared" si="29"/>
        <v>0</v>
      </c>
      <c r="N127" s="129"/>
      <c r="O127" s="54">
        <f t="shared" si="31"/>
        <v>0</v>
      </c>
      <c r="P127" s="54">
        <f t="shared" si="32"/>
        <v>0</v>
      </c>
    </row>
    <row r="128" spans="2:16" ht="12.5">
      <c r="B128" s="7" t="str">
        <f t="shared" si="34"/>
        <v/>
      </c>
      <c r="C128" s="50">
        <f>IF(D93="","-",+C127+1)</f>
        <v>2044</v>
      </c>
      <c r="D128" s="12">
        <f>IF(F127+SUM(E$99:E127)=D$92,F127,D$92-SUM(E$99:E127))</f>
        <v>4911880.3662121631</v>
      </c>
      <c r="E128" s="378">
        <f t="shared" si="48"/>
        <v>314815.90909090912</v>
      </c>
      <c r="F128" s="55">
        <f t="shared" si="49"/>
        <v>4597064.4571212539</v>
      </c>
      <c r="G128" s="55">
        <f t="shared" si="50"/>
        <v>4754472.4116667081</v>
      </c>
      <c r="H128" s="380">
        <f t="shared" si="51"/>
        <v>906872.95668079774</v>
      </c>
      <c r="I128" s="399">
        <f t="shared" si="52"/>
        <v>906872.95668079774</v>
      </c>
      <c r="J128" s="54">
        <f t="shared" si="35"/>
        <v>0</v>
      </c>
      <c r="K128" s="54"/>
      <c r="L128" s="129"/>
      <c r="M128" s="54">
        <f t="shared" si="29"/>
        <v>0</v>
      </c>
      <c r="N128" s="129"/>
      <c r="O128" s="54">
        <f t="shared" si="31"/>
        <v>0</v>
      </c>
      <c r="P128" s="54">
        <f t="shared" si="32"/>
        <v>0</v>
      </c>
    </row>
    <row r="129" spans="2:16" ht="12.5">
      <c r="B129" s="7" t="str">
        <f t="shared" si="34"/>
        <v/>
      </c>
      <c r="C129" s="50">
        <f>IF(D93="","-",+C128+1)</f>
        <v>2045</v>
      </c>
      <c r="D129" s="12">
        <f>IF(F128+SUM(E$99:E128)=D$92,F128,D$92-SUM(E$99:E128))</f>
        <v>4597064.4571212539</v>
      </c>
      <c r="E129" s="378">
        <f t="shared" si="48"/>
        <v>314815.90909090912</v>
      </c>
      <c r="F129" s="55">
        <f t="shared" si="49"/>
        <v>4282248.5480303448</v>
      </c>
      <c r="G129" s="55">
        <f t="shared" si="50"/>
        <v>4439656.5025757998</v>
      </c>
      <c r="H129" s="380">
        <f t="shared" si="51"/>
        <v>867670.08377878647</v>
      </c>
      <c r="I129" s="399">
        <f t="shared" si="52"/>
        <v>867670.08377878647</v>
      </c>
      <c r="J129" s="54">
        <f t="shared" si="35"/>
        <v>0</v>
      </c>
      <c r="K129" s="54"/>
      <c r="L129" s="129"/>
      <c r="M129" s="54">
        <f t="shared" si="29"/>
        <v>0</v>
      </c>
      <c r="N129" s="129"/>
      <c r="O129" s="54">
        <f t="shared" si="31"/>
        <v>0</v>
      </c>
      <c r="P129" s="54">
        <f t="shared" si="32"/>
        <v>0</v>
      </c>
    </row>
    <row r="130" spans="2:16" ht="12.5">
      <c r="B130" s="7" t="str">
        <f t="shared" si="34"/>
        <v/>
      </c>
      <c r="C130" s="50">
        <f>IF(D93="","-",+C129+1)</f>
        <v>2046</v>
      </c>
      <c r="D130" s="12">
        <f>IF(F129+SUM(E$99:E129)=D$92,F129,D$92-SUM(E$99:E129))</f>
        <v>4282248.5480303448</v>
      </c>
      <c r="E130" s="378">
        <f t="shared" si="48"/>
        <v>314815.90909090912</v>
      </c>
      <c r="F130" s="55">
        <f t="shared" si="49"/>
        <v>3967432.6389394356</v>
      </c>
      <c r="G130" s="55">
        <f t="shared" si="50"/>
        <v>4124840.5934848902</v>
      </c>
      <c r="H130" s="380">
        <f t="shared" si="51"/>
        <v>828467.21087677474</v>
      </c>
      <c r="I130" s="399">
        <f t="shared" si="52"/>
        <v>828467.21087677474</v>
      </c>
      <c r="J130" s="54">
        <f t="shared" si="35"/>
        <v>0</v>
      </c>
      <c r="K130" s="54"/>
      <c r="L130" s="129"/>
      <c r="M130" s="54">
        <f t="shared" si="29"/>
        <v>0</v>
      </c>
      <c r="N130" s="129"/>
      <c r="O130" s="54">
        <f t="shared" si="31"/>
        <v>0</v>
      </c>
      <c r="P130" s="54">
        <f t="shared" si="32"/>
        <v>0</v>
      </c>
    </row>
    <row r="131" spans="2:16" ht="12.5">
      <c r="B131" s="7" t="str">
        <f t="shared" si="34"/>
        <v/>
      </c>
      <c r="C131" s="50">
        <f>IF(D93="","-",+C130+1)</f>
        <v>2047</v>
      </c>
      <c r="D131" s="12">
        <f>IF(F130+SUM(E$99:E130)=D$92,F130,D$92-SUM(E$99:E130))</f>
        <v>3967432.6389394356</v>
      </c>
      <c r="E131" s="378">
        <f t="shared" si="48"/>
        <v>314815.90909090912</v>
      </c>
      <c r="F131" s="55">
        <f t="shared" si="49"/>
        <v>3652616.7298485264</v>
      </c>
      <c r="G131" s="55">
        <f t="shared" si="50"/>
        <v>3810024.684393981</v>
      </c>
      <c r="H131" s="380">
        <f t="shared" si="51"/>
        <v>789264.33797476313</v>
      </c>
      <c r="I131" s="399">
        <f t="shared" si="52"/>
        <v>789264.33797476313</v>
      </c>
      <c r="J131" s="54">
        <f t="shared" si="35"/>
        <v>0</v>
      </c>
      <c r="K131" s="54"/>
      <c r="L131" s="129"/>
      <c r="M131" s="54">
        <f t="shared" ref="M131:M154" si="53">IF(L541&lt;&gt;0,+H541-L541,0)</f>
        <v>0</v>
      </c>
      <c r="N131" s="129"/>
      <c r="O131" s="54">
        <f t="shared" ref="O131:O154" si="54">IF(N541&lt;&gt;0,+I541-N541,0)</f>
        <v>0</v>
      </c>
      <c r="P131" s="54">
        <f t="shared" ref="P131:P154" si="55">+O541-M541</f>
        <v>0</v>
      </c>
    </row>
    <row r="132" spans="2:16" ht="12.5">
      <c r="B132" s="7" t="str">
        <f t="shared" si="34"/>
        <v/>
      </c>
      <c r="C132" s="50">
        <f>IF(D93="","-",+C131+1)</f>
        <v>2048</v>
      </c>
      <c r="D132" s="12">
        <f>IF(F131+SUM(E$99:E131)=D$92,F131,D$92-SUM(E$99:E131))</f>
        <v>3652616.7298485264</v>
      </c>
      <c r="E132" s="378">
        <f t="shared" si="48"/>
        <v>314815.90909090912</v>
      </c>
      <c r="F132" s="55">
        <f t="shared" si="49"/>
        <v>3337800.8207576172</v>
      </c>
      <c r="G132" s="55">
        <f t="shared" si="50"/>
        <v>3495208.7753030718</v>
      </c>
      <c r="H132" s="380">
        <f t="shared" si="51"/>
        <v>750061.46507275151</v>
      </c>
      <c r="I132" s="399">
        <f t="shared" si="52"/>
        <v>750061.46507275151</v>
      </c>
      <c r="J132" s="54">
        <f t="shared" si="35"/>
        <v>0</v>
      </c>
      <c r="K132" s="54"/>
      <c r="L132" s="129"/>
      <c r="M132" s="54">
        <f t="shared" si="53"/>
        <v>0</v>
      </c>
      <c r="N132" s="129"/>
      <c r="O132" s="54">
        <f t="shared" si="54"/>
        <v>0</v>
      </c>
      <c r="P132" s="54">
        <f t="shared" si="55"/>
        <v>0</v>
      </c>
    </row>
    <row r="133" spans="2:16" ht="12.5">
      <c r="B133" s="7" t="str">
        <f t="shared" si="34"/>
        <v/>
      </c>
      <c r="C133" s="50">
        <f>IF(D93="","-",+C132+1)</f>
        <v>2049</v>
      </c>
      <c r="D133" s="12">
        <f>IF(F132+SUM(E$99:E132)=D$92,F132,D$92-SUM(E$99:E132))</f>
        <v>3337800.8207576172</v>
      </c>
      <c r="E133" s="378">
        <f t="shared" si="48"/>
        <v>314815.90909090912</v>
      </c>
      <c r="F133" s="55">
        <f t="shared" si="49"/>
        <v>3022984.9116667081</v>
      </c>
      <c r="G133" s="55">
        <f t="shared" si="50"/>
        <v>3180392.8662121627</v>
      </c>
      <c r="H133" s="380">
        <f t="shared" si="51"/>
        <v>710858.59217074001</v>
      </c>
      <c r="I133" s="399">
        <f t="shared" si="52"/>
        <v>710858.59217074001</v>
      </c>
      <c r="J133" s="54">
        <f t="shared" si="35"/>
        <v>0</v>
      </c>
      <c r="K133" s="54"/>
      <c r="L133" s="129"/>
      <c r="M133" s="54">
        <f t="shared" si="53"/>
        <v>0</v>
      </c>
      <c r="N133" s="129"/>
      <c r="O133" s="54">
        <f t="shared" si="54"/>
        <v>0</v>
      </c>
      <c r="P133" s="54">
        <f t="shared" si="55"/>
        <v>0</v>
      </c>
    </row>
    <row r="134" spans="2:16" ht="12.5">
      <c r="B134" s="7" t="str">
        <f t="shared" si="34"/>
        <v/>
      </c>
      <c r="C134" s="50">
        <f>IF(D93="","-",+C133+1)</f>
        <v>2050</v>
      </c>
      <c r="D134" s="12">
        <f>IF(F133+SUM(E$99:E133)=D$92,F133,D$92-SUM(E$99:E133))</f>
        <v>3022984.9116667081</v>
      </c>
      <c r="E134" s="378">
        <f t="shared" si="48"/>
        <v>314815.90909090912</v>
      </c>
      <c r="F134" s="55">
        <f t="shared" si="49"/>
        <v>2708169.0025757989</v>
      </c>
      <c r="G134" s="55">
        <f t="shared" si="50"/>
        <v>2865576.9571212535</v>
      </c>
      <c r="H134" s="380">
        <f t="shared" si="51"/>
        <v>671655.71926872828</v>
      </c>
      <c r="I134" s="399">
        <f t="shared" si="52"/>
        <v>671655.71926872828</v>
      </c>
      <c r="J134" s="54">
        <f t="shared" si="35"/>
        <v>0</v>
      </c>
      <c r="K134" s="54"/>
      <c r="L134" s="129"/>
      <c r="M134" s="54">
        <f t="shared" si="53"/>
        <v>0</v>
      </c>
      <c r="N134" s="129"/>
      <c r="O134" s="54">
        <f t="shared" si="54"/>
        <v>0</v>
      </c>
      <c r="P134" s="54">
        <f t="shared" si="55"/>
        <v>0</v>
      </c>
    </row>
    <row r="135" spans="2:16" ht="12.5">
      <c r="B135" s="7" t="str">
        <f t="shared" si="34"/>
        <v/>
      </c>
      <c r="C135" s="50">
        <f>IF(D93="","-",+C134+1)</f>
        <v>2051</v>
      </c>
      <c r="D135" s="12">
        <f>IF(F134+SUM(E$99:E134)=D$92,F134,D$92-SUM(E$99:E134))</f>
        <v>2708169.0025757989</v>
      </c>
      <c r="E135" s="378">
        <f t="shared" si="48"/>
        <v>314815.90909090912</v>
      </c>
      <c r="F135" s="55">
        <f t="shared" si="49"/>
        <v>2393353.0934848897</v>
      </c>
      <c r="G135" s="55">
        <f t="shared" si="50"/>
        <v>2550761.0480303443</v>
      </c>
      <c r="H135" s="380">
        <f t="shared" si="51"/>
        <v>632452.84636671678</v>
      </c>
      <c r="I135" s="399">
        <f t="shared" si="52"/>
        <v>632452.84636671678</v>
      </c>
      <c r="J135" s="54">
        <f t="shared" si="35"/>
        <v>0</v>
      </c>
      <c r="K135" s="54"/>
      <c r="L135" s="129"/>
      <c r="M135" s="54">
        <f t="shared" si="53"/>
        <v>0</v>
      </c>
      <c r="N135" s="129"/>
      <c r="O135" s="54">
        <f t="shared" si="54"/>
        <v>0</v>
      </c>
      <c r="P135" s="54">
        <f t="shared" si="55"/>
        <v>0</v>
      </c>
    </row>
    <row r="136" spans="2:16" ht="12.5">
      <c r="B136" s="7" t="str">
        <f t="shared" si="34"/>
        <v/>
      </c>
      <c r="C136" s="50">
        <f>IF(D93="","-",+C135+1)</f>
        <v>2052</v>
      </c>
      <c r="D136" s="12">
        <f>IF(F135+SUM(E$99:E135)=D$92,F135,D$92-SUM(E$99:E135))</f>
        <v>2393353.0934848897</v>
      </c>
      <c r="E136" s="378">
        <f t="shared" si="48"/>
        <v>314815.90909090912</v>
      </c>
      <c r="F136" s="55">
        <f t="shared" si="49"/>
        <v>2078537.1843939805</v>
      </c>
      <c r="G136" s="55">
        <f t="shared" si="50"/>
        <v>2235945.1389394351</v>
      </c>
      <c r="H136" s="380">
        <f t="shared" si="51"/>
        <v>593249.97346470517</v>
      </c>
      <c r="I136" s="399">
        <f t="shared" si="52"/>
        <v>593249.97346470517</v>
      </c>
      <c r="J136" s="54">
        <f t="shared" si="35"/>
        <v>0</v>
      </c>
      <c r="K136" s="54"/>
      <c r="L136" s="129"/>
      <c r="M136" s="54">
        <f t="shared" si="53"/>
        <v>0</v>
      </c>
      <c r="N136" s="129"/>
      <c r="O136" s="54">
        <f t="shared" si="54"/>
        <v>0</v>
      </c>
      <c r="P136" s="54">
        <f t="shared" si="55"/>
        <v>0</v>
      </c>
    </row>
    <row r="137" spans="2:16" ht="12.5">
      <c r="B137" s="7" t="str">
        <f t="shared" si="34"/>
        <v/>
      </c>
      <c r="C137" s="50">
        <f>IF(D93="","-",+C136+1)</f>
        <v>2053</v>
      </c>
      <c r="D137" s="12">
        <f>IF(F136+SUM(E$99:E136)=D$92,F136,D$92-SUM(E$99:E136))</f>
        <v>2078537.1843939805</v>
      </c>
      <c r="E137" s="378">
        <f t="shared" si="48"/>
        <v>314815.90909090912</v>
      </c>
      <c r="F137" s="55">
        <f t="shared" si="49"/>
        <v>1763721.2753030714</v>
      </c>
      <c r="G137" s="55">
        <f t="shared" si="50"/>
        <v>1921129.229848526</v>
      </c>
      <c r="H137" s="380">
        <f t="shared" si="51"/>
        <v>554047.10056269355</v>
      </c>
      <c r="I137" s="399">
        <f t="shared" si="52"/>
        <v>554047.10056269355</v>
      </c>
      <c r="J137" s="54">
        <f t="shared" si="35"/>
        <v>0</v>
      </c>
      <c r="K137" s="54"/>
      <c r="L137" s="129"/>
      <c r="M137" s="54">
        <f t="shared" si="53"/>
        <v>0</v>
      </c>
      <c r="N137" s="129"/>
      <c r="O137" s="54">
        <f t="shared" si="54"/>
        <v>0</v>
      </c>
      <c r="P137" s="54">
        <f t="shared" si="55"/>
        <v>0</v>
      </c>
    </row>
    <row r="138" spans="2:16" ht="12.5">
      <c r="B138" s="7" t="str">
        <f t="shared" si="34"/>
        <v/>
      </c>
      <c r="C138" s="50">
        <f>IF(D93="","-",+C137+1)</f>
        <v>2054</v>
      </c>
      <c r="D138" s="12">
        <f>IF(F137+SUM(E$99:E137)=D$92,F137,D$92-SUM(E$99:E137))</f>
        <v>1763721.2753030714</v>
      </c>
      <c r="E138" s="378">
        <f t="shared" si="48"/>
        <v>314815.90909090912</v>
      </c>
      <c r="F138" s="55">
        <f t="shared" si="49"/>
        <v>1448905.3662121622</v>
      </c>
      <c r="G138" s="55">
        <f t="shared" si="50"/>
        <v>1606313.3207576168</v>
      </c>
      <c r="H138" s="380">
        <f t="shared" si="51"/>
        <v>514844.22766068194</v>
      </c>
      <c r="I138" s="399">
        <f t="shared" si="52"/>
        <v>514844.22766068194</v>
      </c>
      <c r="J138" s="54">
        <f t="shared" si="35"/>
        <v>0</v>
      </c>
      <c r="K138" s="54"/>
      <c r="L138" s="129"/>
      <c r="M138" s="54">
        <f t="shared" si="53"/>
        <v>0</v>
      </c>
      <c r="N138" s="129"/>
      <c r="O138" s="54">
        <f t="shared" si="54"/>
        <v>0</v>
      </c>
      <c r="P138" s="54">
        <f t="shared" si="55"/>
        <v>0</v>
      </c>
    </row>
    <row r="139" spans="2:16" ht="12.5">
      <c r="B139" s="7" t="str">
        <f t="shared" si="34"/>
        <v/>
      </c>
      <c r="C139" s="50">
        <f>IF(D93="","-",+C138+1)</f>
        <v>2055</v>
      </c>
      <c r="D139" s="12">
        <f>IF(F138+SUM(E$99:E138)=D$92,F138,D$92-SUM(E$99:E138))</f>
        <v>1448905.3662121622</v>
      </c>
      <c r="E139" s="378">
        <f t="shared" si="48"/>
        <v>314815.90909090912</v>
      </c>
      <c r="F139" s="55">
        <f t="shared" si="49"/>
        <v>1134089.457121253</v>
      </c>
      <c r="G139" s="55">
        <f t="shared" si="50"/>
        <v>1291497.4116667076</v>
      </c>
      <c r="H139" s="380">
        <f t="shared" si="51"/>
        <v>475641.35475867038</v>
      </c>
      <c r="I139" s="399">
        <f t="shared" si="52"/>
        <v>475641.35475867038</v>
      </c>
      <c r="J139" s="54">
        <f t="shared" si="35"/>
        <v>0</v>
      </c>
      <c r="K139" s="54"/>
      <c r="L139" s="129"/>
      <c r="M139" s="54">
        <f t="shared" si="53"/>
        <v>0</v>
      </c>
      <c r="N139" s="129"/>
      <c r="O139" s="54">
        <f t="shared" si="54"/>
        <v>0</v>
      </c>
      <c r="P139" s="54">
        <f t="shared" si="55"/>
        <v>0</v>
      </c>
    </row>
    <row r="140" spans="2:16" ht="12.5">
      <c r="B140" s="7" t="str">
        <f t="shared" si="34"/>
        <v/>
      </c>
      <c r="C140" s="50">
        <f>IF(D93="","-",+C139+1)</f>
        <v>2056</v>
      </c>
      <c r="D140" s="12">
        <f>IF(F139+SUM(E$99:E139)=D$92,F139,D$92-SUM(E$99:E139))</f>
        <v>1134089.457121253</v>
      </c>
      <c r="E140" s="378">
        <f t="shared" si="48"/>
        <v>314815.90909090912</v>
      </c>
      <c r="F140" s="55">
        <f t="shared" si="49"/>
        <v>819273.54803034384</v>
      </c>
      <c r="G140" s="55">
        <f t="shared" si="50"/>
        <v>976681.50257579843</v>
      </c>
      <c r="H140" s="380">
        <f t="shared" si="51"/>
        <v>436438.48185665876</v>
      </c>
      <c r="I140" s="399">
        <f t="shared" si="52"/>
        <v>436438.48185665876</v>
      </c>
      <c r="J140" s="54">
        <f t="shared" si="35"/>
        <v>0</v>
      </c>
      <c r="K140" s="54"/>
      <c r="L140" s="129"/>
      <c r="M140" s="54">
        <f t="shared" si="53"/>
        <v>0</v>
      </c>
      <c r="N140" s="129"/>
      <c r="O140" s="54">
        <f t="shared" si="54"/>
        <v>0</v>
      </c>
      <c r="P140" s="54">
        <f t="shared" si="55"/>
        <v>0</v>
      </c>
    </row>
    <row r="141" spans="2:16" ht="12.5">
      <c r="B141" s="7" t="str">
        <f t="shared" si="34"/>
        <v/>
      </c>
      <c r="C141" s="50">
        <f>IF(D93="","-",+C140+1)</f>
        <v>2057</v>
      </c>
      <c r="D141" s="12">
        <f>IF(F140+SUM(E$99:E140)=D$92,F140,D$92-SUM(E$99:E140))</f>
        <v>819273.54803034384</v>
      </c>
      <c r="E141" s="378">
        <f t="shared" si="48"/>
        <v>314815.90909090912</v>
      </c>
      <c r="F141" s="55">
        <f t="shared" si="49"/>
        <v>504457.63893943472</v>
      </c>
      <c r="G141" s="55">
        <f t="shared" si="50"/>
        <v>661865.59348488925</v>
      </c>
      <c r="H141" s="380">
        <f t="shared" si="51"/>
        <v>397235.60895464721</v>
      </c>
      <c r="I141" s="399">
        <f t="shared" si="52"/>
        <v>397235.60895464721</v>
      </c>
      <c r="J141" s="54">
        <f t="shared" si="35"/>
        <v>0</v>
      </c>
      <c r="K141" s="54"/>
      <c r="L141" s="129"/>
      <c r="M141" s="54">
        <f t="shared" si="53"/>
        <v>0</v>
      </c>
      <c r="N141" s="129"/>
      <c r="O141" s="54">
        <f t="shared" si="54"/>
        <v>0</v>
      </c>
      <c r="P141" s="54">
        <f t="shared" si="55"/>
        <v>0</v>
      </c>
    </row>
    <row r="142" spans="2:16" ht="12.5">
      <c r="B142" s="7" t="str">
        <f t="shared" si="34"/>
        <v/>
      </c>
      <c r="C142" s="50">
        <f>IF(D93="","-",+C141+1)</f>
        <v>2058</v>
      </c>
      <c r="D142" s="12">
        <f>IF(F141+SUM(E$99:E141)=D$92,F141,D$92-SUM(E$99:E141))</f>
        <v>504457.63893943472</v>
      </c>
      <c r="E142" s="378">
        <f t="shared" si="48"/>
        <v>314815.90909090912</v>
      </c>
      <c r="F142" s="55">
        <f t="shared" si="49"/>
        <v>189641.7298485256</v>
      </c>
      <c r="G142" s="55">
        <f t="shared" si="50"/>
        <v>347049.68439398019</v>
      </c>
      <c r="H142" s="380">
        <f t="shared" si="51"/>
        <v>358032.73605263559</v>
      </c>
      <c r="I142" s="399">
        <f t="shared" si="52"/>
        <v>358032.73605263559</v>
      </c>
      <c r="J142" s="54">
        <f t="shared" si="35"/>
        <v>0</v>
      </c>
      <c r="K142" s="54"/>
      <c r="L142" s="129"/>
      <c r="M142" s="54">
        <f t="shared" si="53"/>
        <v>0</v>
      </c>
      <c r="N142" s="129"/>
      <c r="O142" s="54">
        <f t="shared" si="54"/>
        <v>0</v>
      </c>
      <c r="P142" s="54">
        <f t="shared" si="55"/>
        <v>0</v>
      </c>
    </row>
    <row r="143" spans="2:16" ht="12.5">
      <c r="B143" s="7" t="str">
        <f t="shared" si="34"/>
        <v/>
      </c>
      <c r="C143" s="50">
        <f>IF(D93="","-",+C142+1)</f>
        <v>2059</v>
      </c>
      <c r="D143" s="12">
        <f>IF(F142+SUM(E$99:E142)=D$92,F142,D$92-SUM(E$99:E142))</f>
        <v>189641.7298485256</v>
      </c>
      <c r="E143" s="378">
        <f t="shared" si="48"/>
        <v>189641.7298485256</v>
      </c>
      <c r="F143" s="55">
        <f t="shared" si="49"/>
        <v>0</v>
      </c>
      <c r="G143" s="55">
        <f t="shared" si="50"/>
        <v>94820.864924262802</v>
      </c>
      <c r="H143" s="380">
        <f t="shared" si="51"/>
        <v>201449.42510388597</v>
      </c>
      <c r="I143" s="399">
        <f t="shared" si="52"/>
        <v>201449.42510388597</v>
      </c>
      <c r="J143" s="54">
        <f t="shared" si="35"/>
        <v>0</v>
      </c>
      <c r="K143" s="54"/>
      <c r="L143" s="129"/>
      <c r="M143" s="54">
        <f t="shared" si="53"/>
        <v>0</v>
      </c>
      <c r="N143" s="129"/>
      <c r="O143" s="54">
        <f t="shared" si="54"/>
        <v>0</v>
      </c>
      <c r="P143" s="54">
        <f t="shared" si="55"/>
        <v>0</v>
      </c>
    </row>
    <row r="144" spans="2:16" ht="12.5">
      <c r="B144" s="7" t="str">
        <f t="shared" si="34"/>
        <v/>
      </c>
      <c r="C144" s="50">
        <f>IF(D93="","-",+C143+1)</f>
        <v>2060</v>
      </c>
      <c r="D144" s="12">
        <f>IF(F143+SUM(E$99:E143)=D$92,F143,D$92-SUM(E$99:E143))</f>
        <v>0</v>
      </c>
      <c r="E144" s="378">
        <f t="shared" si="48"/>
        <v>0</v>
      </c>
      <c r="F144" s="55">
        <f t="shared" si="49"/>
        <v>0</v>
      </c>
      <c r="G144" s="55">
        <f t="shared" si="50"/>
        <v>0</v>
      </c>
      <c r="H144" s="380">
        <f t="shared" si="51"/>
        <v>0</v>
      </c>
      <c r="I144" s="399">
        <f t="shared" si="52"/>
        <v>0</v>
      </c>
      <c r="J144" s="54">
        <f t="shared" si="35"/>
        <v>0</v>
      </c>
      <c r="K144" s="54"/>
      <c r="L144" s="129"/>
      <c r="M144" s="54">
        <f t="shared" si="53"/>
        <v>0</v>
      </c>
      <c r="N144" s="129"/>
      <c r="O144" s="54">
        <f t="shared" si="54"/>
        <v>0</v>
      </c>
      <c r="P144" s="54">
        <f t="shared" si="55"/>
        <v>0</v>
      </c>
    </row>
    <row r="145" spans="2:16" ht="12.5">
      <c r="B145" s="7" t="str">
        <f t="shared" si="34"/>
        <v/>
      </c>
      <c r="C145" s="50">
        <f>IF(D93="","-",+C144+1)</f>
        <v>2061</v>
      </c>
      <c r="D145" s="12">
        <f>IF(F144+SUM(E$99:E144)=D$92,F144,D$92-SUM(E$99:E144))</f>
        <v>0</v>
      </c>
      <c r="E145" s="378">
        <f t="shared" si="48"/>
        <v>0</v>
      </c>
      <c r="F145" s="55">
        <f t="shared" si="49"/>
        <v>0</v>
      </c>
      <c r="G145" s="55">
        <f t="shared" si="50"/>
        <v>0</v>
      </c>
      <c r="H145" s="380">
        <f t="shared" si="51"/>
        <v>0</v>
      </c>
      <c r="I145" s="399">
        <f t="shared" si="52"/>
        <v>0</v>
      </c>
      <c r="J145" s="54">
        <f t="shared" si="35"/>
        <v>0</v>
      </c>
      <c r="K145" s="54"/>
      <c r="L145" s="129"/>
      <c r="M145" s="54">
        <f t="shared" si="53"/>
        <v>0</v>
      </c>
      <c r="N145" s="129"/>
      <c r="O145" s="54">
        <f t="shared" si="54"/>
        <v>0</v>
      </c>
      <c r="P145" s="54">
        <f t="shared" si="55"/>
        <v>0</v>
      </c>
    </row>
    <row r="146" spans="2:16" ht="12.5">
      <c r="B146" s="7" t="str">
        <f t="shared" si="34"/>
        <v/>
      </c>
      <c r="C146" s="50">
        <f>IF(D93="","-",+C145+1)</f>
        <v>2062</v>
      </c>
      <c r="D146" s="12">
        <f>IF(F145+SUM(E$99:E145)=D$92,F145,D$92-SUM(E$99:E145))</f>
        <v>0</v>
      </c>
      <c r="E146" s="378">
        <f t="shared" si="48"/>
        <v>0</v>
      </c>
      <c r="F146" s="55">
        <f t="shared" si="49"/>
        <v>0</v>
      </c>
      <c r="G146" s="55">
        <f t="shared" si="50"/>
        <v>0</v>
      </c>
      <c r="H146" s="380">
        <f t="shared" si="51"/>
        <v>0</v>
      </c>
      <c r="I146" s="399">
        <f t="shared" si="52"/>
        <v>0</v>
      </c>
      <c r="J146" s="54">
        <f t="shared" si="35"/>
        <v>0</v>
      </c>
      <c r="K146" s="54"/>
      <c r="L146" s="129"/>
      <c r="M146" s="54">
        <f t="shared" si="53"/>
        <v>0</v>
      </c>
      <c r="N146" s="129"/>
      <c r="O146" s="54">
        <f t="shared" si="54"/>
        <v>0</v>
      </c>
      <c r="P146" s="54">
        <f t="shared" si="55"/>
        <v>0</v>
      </c>
    </row>
    <row r="147" spans="2:16" ht="12.5">
      <c r="B147" s="7" t="str">
        <f t="shared" si="34"/>
        <v/>
      </c>
      <c r="C147" s="50">
        <f>IF(D93="","-",+C146+1)</f>
        <v>2063</v>
      </c>
      <c r="D147" s="12">
        <f>IF(F146+SUM(E$99:E146)=D$92,F146,D$92-SUM(E$99:E146))</f>
        <v>0</v>
      </c>
      <c r="E147" s="378">
        <f t="shared" si="48"/>
        <v>0</v>
      </c>
      <c r="F147" s="55">
        <f t="shared" si="49"/>
        <v>0</v>
      </c>
      <c r="G147" s="55">
        <f t="shared" si="50"/>
        <v>0</v>
      </c>
      <c r="H147" s="380">
        <f t="shared" si="51"/>
        <v>0</v>
      </c>
      <c r="I147" s="399">
        <f t="shared" si="52"/>
        <v>0</v>
      </c>
      <c r="J147" s="54">
        <f t="shared" si="35"/>
        <v>0</v>
      </c>
      <c r="K147" s="54"/>
      <c r="L147" s="129"/>
      <c r="M147" s="54">
        <f t="shared" si="53"/>
        <v>0</v>
      </c>
      <c r="N147" s="129"/>
      <c r="O147" s="54">
        <f t="shared" si="54"/>
        <v>0</v>
      </c>
      <c r="P147" s="54">
        <f t="shared" si="55"/>
        <v>0</v>
      </c>
    </row>
    <row r="148" spans="2:16" ht="12.5">
      <c r="B148" s="7" t="str">
        <f t="shared" si="34"/>
        <v/>
      </c>
      <c r="C148" s="50">
        <f>IF(D93="","-",+C147+1)</f>
        <v>2064</v>
      </c>
      <c r="D148" s="12">
        <f>IF(F147+SUM(E$99:E147)=D$92,F147,D$92-SUM(E$99:E147))</f>
        <v>0</v>
      </c>
      <c r="E148" s="378">
        <f t="shared" si="48"/>
        <v>0</v>
      </c>
      <c r="F148" s="55">
        <f t="shared" si="49"/>
        <v>0</v>
      </c>
      <c r="G148" s="55">
        <f t="shared" si="50"/>
        <v>0</v>
      </c>
      <c r="H148" s="380">
        <f t="shared" si="51"/>
        <v>0</v>
      </c>
      <c r="I148" s="399">
        <f t="shared" si="52"/>
        <v>0</v>
      </c>
      <c r="J148" s="54">
        <f t="shared" si="35"/>
        <v>0</v>
      </c>
      <c r="K148" s="54"/>
      <c r="L148" s="129"/>
      <c r="M148" s="54">
        <f t="shared" si="53"/>
        <v>0</v>
      </c>
      <c r="N148" s="129"/>
      <c r="O148" s="54">
        <f t="shared" si="54"/>
        <v>0</v>
      </c>
      <c r="P148" s="54">
        <f t="shared" si="55"/>
        <v>0</v>
      </c>
    </row>
    <row r="149" spans="2:16" ht="12.5">
      <c r="B149" s="7" t="str">
        <f t="shared" si="34"/>
        <v/>
      </c>
      <c r="C149" s="50">
        <f>IF(D93="","-",+C148+1)</f>
        <v>2065</v>
      </c>
      <c r="D149" s="12">
        <f>IF(F148+SUM(E$99:E148)=D$92,F148,D$92-SUM(E$99:E148))</f>
        <v>0</v>
      </c>
      <c r="E149" s="378">
        <f t="shared" si="48"/>
        <v>0</v>
      </c>
      <c r="F149" s="55">
        <f t="shared" si="49"/>
        <v>0</v>
      </c>
      <c r="G149" s="55">
        <f t="shared" si="50"/>
        <v>0</v>
      </c>
      <c r="H149" s="380">
        <f t="shared" si="51"/>
        <v>0</v>
      </c>
      <c r="I149" s="399">
        <f t="shared" si="52"/>
        <v>0</v>
      </c>
      <c r="J149" s="54">
        <f t="shared" si="35"/>
        <v>0</v>
      </c>
      <c r="K149" s="54"/>
      <c r="L149" s="129"/>
      <c r="M149" s="54">
        <f t="shared" si="53"/>
        <v>0</v>
      </c>
      <c r="N149" s="129"/>
      <c r="O149" s="54">
        <f t="shared" si="54"/>
        <v>0</v>
      </c>
      <c r="P149" s="54">
        <f t="shared" si="55"/>
        <v>0</v>
      </c>
    </row>
    <row r="150" spans="2:16" ht="12.5">
      <c r="B150" s="7" t="str">
        <f t="shared" si="34"/>
        <v/>
      </c>
      <c r="C150" s="50">
        <f>IF(D93="","-",+C149+1)</f>
        <v>2066</v>
      </c>
      <c r="D150" s="12">
        <f>IF(F149+SUM(E$99:E149)=D$92,F149,D$92-SUM(E$99:E149))</f>
        <v>0</v>
      </c>
      <c r="E150" s="378">
        <f t="shared" si="48"/>
        <v>0</v>
      </c>
      <c r="F150" s="55">
        <f t="shared" si="49"/>
        <v>0</v>
      </c>
      <c r="G150" s="55">
        <f t="shared" si="50"/>
        <v>0</v>
      </c>
      <c r="H150" s="380">
        <f t="shared" si="51"/>
        <v>0</v>
      </c>
      <c r="I150" s="399">
        <f t="shared" si="52"/>
        <v>0</v>
      </c>
      <c r="J150" s="54">
        <f t="shared" si="35"/>
        <v>0</v>
      </c>
      <c r="K150" s="54"/>
      <c r="L150" s="129"/>
      <c r="M150" s="54">
        <f t="shared" si="53"/>
        <v>0</v>
      </c>
      <c r="N150" s="129"/>
      <c r="O150" s="54">
        <f t="shared" si="54"/>
        <v>0</v>
      </c>
      <c r="P150" s="54">
        <f t="shared" si="55"/>
        <v>0</v>
      </c>
    </row>
    <row r="151" spans="2:16" ht="12.5">
      <c r="B151" s="7" t="str">
        <f t="shared" si="34"/>
        <v/>
      </c>
      <c r="C151" s="50">
        <f>IF(D93="","-",+C150+1)</f>
        <v>2067</v>
      </c>
      <c r="D151" s="12">
        <f>IF(F150+SUM(E$99:E150)=D$92,F150,D$92-SUM(E$99:E150))</f>
        <v>0</v>
      </c>
      <c r="E151" s="378">
        <f t="shared" si="48"/>
        <v>0</v>
      </c>
      <c r="F151" s="55">
        <f t="shared" si="49"/>
        <v>0</v>
      </c>
      <c r="G151" s="55">
        <f t="shared" si="50"/>
        <v>0</v>
      </c>
      <c r="H151" s="380">
        <f t="shared" si="51"/>
        <v>0</v>
      </c>
      <c r="I151" s="399">
        <f t="shared" si="52"/>
        <v>0</v>
      </c>
      <c r="J151" s="54">
        <f t="shared" si="35"/>
        <v>0</v>
      </c>
      <c r="K151" s="54"/>
      <c r="L151" s="129"/>
      <c r="M151" s="54">
        <f t="shared" si="53"/>
        <v>0</v>
      </c>
      <c r="N151" s="129"/>
      <c r="O151" s="54">
        <f t="shared" si="54"/>
        <v>0</v>
      </c>
      <c r="P151" s="54">
        <f t="shared" si="55"/>
        <v>0</v>
      </c>
    </row>
    <row r="152" spans="2:16" ht="12.5">
      <c r="B152" s="7" t="str">
        <f t="shared" si="34"/>
        <v/>
      </c>
      <c r="C152" s="50">
        <f>IF(D93="","-",+C151+1)</f>
        <v>2068</v>
      </c>
      <c r="D152" s="12">
        <f>IF(F151+SUM(E$99:E151)=D$92,F151,D$92-SUM(E$99:E151))</f>
        <v>0</v>
      </c>
      <c r="E152" s="378">
        <f t="shared" si="48"/>
        <v>0</v>
      </c>
      <c r="F152" s="55">
        <f t="shared" si="49"/>
        <v>0</v>
      </c>
      <c r="G152" s="55">
        <f t="shared" si="50"/>
        <v>0</v>
      </c>
      <c r="H152" s="380">
        <f t="shared" si="51"/>
        <v>0</v>
      </c>
      <c r="I152" s="399">
        <f t="shared" si="52"/>
        <v>0</v>
      </c>
      <c r="J152" s="54">
        <f t="shared" si="35"/>
        <v>0</v>
      </c>
      <c r="K152" s="54"/>
      <c r="L152" s="129"/>
      <c r="M152" s="54">
        <f t="shared" si="53"/>
        <v>0</v>
      </c>
      <c r="N152" s="129"/>
      <c r="O152" s="54">
        <f t="shared" si="54"/>
        <v>0</v>
      </c>
      <c r="P152" s="54">
        <f t="shared" si="55"/>
        <v>0</v>
      </c>
    </row>
    <row r="153" spans="2:16" ht="12.5">
      <c r="B153" s="7" t="str">
        <f t="shared" si="34"/>
        <v/>
      </c>
      <c r="C153" s="50">
        <f>IF(D93="","-",+C152+1)</f>
        <v>2069</v>
      </c>
      <c r="D153" s="12">
        <f>IF(F152+SUM(E$99:E152)=D$92,F152,D$92-SUM(E$99:E152))</f>
        <v>0</v>
      </c>
      <c r="E153" s="378">
        <f t="shared" si="48"/>
        <v>0</v>
      </c>
      <c r="F153" s="55">
        <f t="shared" si="49"/>
        <v>0</v>
      </c>
      <c r="G153" s="55">
        <f t="shared" si="50"/>
        <v>0</v>
      </c>
      <c r="H153" s="380">
        <f t="shared" si="51"/>
        <v>0</v>
      </c>
      <c r="I153" s="399">
        <f t="shared" si="52"/>
        <v>0</v>
      </c>
      <c r="J153" s="54">
        <f t="shared" si="35"/>
        <v>0</v>
      </c>
      <c r="K153" s="54"/>
      <c r="L153" s="129"/>
      <c r="M153" s="54">
        <f t="shared" si="53"/>
        <v>0</v>
      </c>
      <c r="N153" s="129"/>
      <c r="O153" s="54">
        <f t="shared" si="54"/>
        <v>0</v>
      </c>
      <c r="P153" s="54">
        <f t="shared" si="55"/>
        <v>0</v>
      </c>
    </row>
    <row r="154" spans="2:16" ht="13" thickBot="1">
      <c r="B154" s="7" t="str">
        <f t="shared" si="34"/>
        <v/>
      </c>
      <c r="C154" s="59">
        <f>IF(D93="","-",+C153+1)</f>
        <v>2070</v>
      </c>
      <c r="D154" s="84">
        <f>IF(F153+SUM(E$99:E153)=D$92,F153,D$92-SUM(E$99:E153))</f>
        <v>0</v>
      </c>
      <c r="E154" s="381">
        <f t="shared" si="48"/>
        <v>0</v>
      </c>
      <c r="F154" s="60">
        <f t="shared" si="49"/>
        <v>0</v>
      </c>
      <c r="G154" s="60">
        <f t="shared" si="50"/>
        <v>0</v>
      </c>
      <c r="H154" s="382">
        <f t="shared" si="51"/>
        <v>0</v>
      </c>
      <c r="I154" s="400">
        <f t="shared" si="52"/>
        <v>0</v>
      </c>
      <c r="J154" s="64">
        <f t="shared" si="35"/>
        <v>0</v>
      </c>
      <c r="K154" s="54"/>
      <c r="L154" s="130"/>
      <c r="M154" s="64">
        <f t="shared" si="53"/>
        <v>0</v>
      </c>
      <c r="N154" s="130"/>
      <c r="O154" s="64">
        <f t="shared" si="54"/>
        <v>0</v>
      </c>
      <c r="P154" s="64">
        <f t="shared" si="55"/>
        <v>0</v>
      </c>
    </row>
    <row r="155" spans="2:16" ht="12.5">
      <c r="C155" s="12" t="s">
        <v>78</v>
      </c>
      <c r="D155" s="293"/>
      <c r="E155" s="293">
        <f>SUM(E99:E154)</f>
        <v>13851899.999999993</v>
      </c>
      <c r="F155" s="293"/>
      <c r="G155" s="293"/>
      <c r="H155" s="293">
        <f>SUM(H99:H154)</f>
        <v>51168877.438565619</v>
      </c>
      <c r="I155" s="293">
        <f>SUM(I99:I154)</f>
        <v>51168877.438565619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 ht="12.5">
      <c r="C157" s="85"/>
      <c r="L157" s="229"/>
      <c r="M157" s="229"/>
      <c r="N157" s="229"/>
      <c r="O157" s="229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 ht="13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49" priority="3" stopIfTrue="1" operator="equal">
      <formula>$I$10</formula>
    </cfRule>
  </conditionalFormatting>
  <conditionalFormatting sqref="C99:C154">
    <cfRule type="cellIs" dxfId="48" priority="1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104"/>
  <dimension ref="A1:P162"/>
  <sheetViews>
    <sheetView topLeftCell="A77" zoomScaleNormal="100" zoomScaleSheetLayoutView="80" workbookViewId="0">
      <selection activeCell="D25" sqref="D25:H25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32.54296875" customWidth="1"/>
    <col min="17" max="17" width="9.1796875" customWidth="1"/>
    <col min="19" max="21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55 of 77</v>
      </c>
    </row>
    <row r="2" spans="1:16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1121091.4278100706</v>
      </c>
      <c r="P5" s="1"/>
    </row>
    <row r="6" spans="1:16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1121091.4278100706</v>
      </c>
      <c r="O6" s="1"/>
      <c r="P6" s="1"/>
    </row>
    <row r="7" spans="1:16" ht="13.5" thickBot="1">
      <c r="C7" s="25" t="s">
        <v>48</v>
      </c>
      <c r="D7" s="90" t="s">
        <v>359</v>
      </c>
      <c r="E7" s="406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360</v>
      </c>
      <c r="E9" s="31" t="s">
        <v>494</v>
      </c>
      <c r="F9" s="462" t="s">
        <v>512</v>
      </c>
      <c r="G9" s="31"/>
      <c r="H9" s="31"/>
      <c r="I9" s="32"/>
      <c r="J9" s="33"/>
      <c r="P9" s="1"/>
    </row>
    <row r="10" spans="1:16" ht="13">
      <c r="C10" s="34" t="s">
        <v>51</v>
      </c>
      <c r="D10" s="363">
        <v>9381462.7200000007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6" ht="12.5">
      <c r="C11" s="34" t="s">
        <v>54</v>
      </c>
      <c r="D11" s="37">
        <v>2016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3">
        <v>4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213215.06181818183</v>
      </c>
      <c r="J14" s="293"/>
      <c r="K14" s="293"/>
      <c r="L14" s="293"/>
      <c r="M14" s="293"/>
      <c r="N14" s="293"/>
      <c r="O14" s="1"/>
      <c r="P14" s="1"/>
    </row>
    <row r="15" spans="1:16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3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2016</v>
      </c>
      <c r="D17" s="431">
        <v>8831593</v>
      </c>
      <c r="E17" s="430">
        <v>105138.01190476192</v>
      </c>
      <c r="F17" s="431">
        <v>8726454.9880952388</v>
      </c>
      <c r="G17" s="430">
        <v>1240275.0587599066</v>
      </c>
      <c r="H17" s="438">
        <v>1240275.0587599066</v>
      </c>
      <c r="I17" s="52">
        <f t="shared" ref="I17:I72" si="0">H17-G17</f>
        <v>0</v>
      </c>
      <c r="J17" s="52"/>
      <c r="K17" s="112">
        <f t="shared" ref="K17:K22" si="1">+G17</f>
        <v>1240275.0587599066</v>
      </c>
      <c r="L17" s="53">
        <f t="shared" ref="L17:L72" si="2">IF(K17&lt;&gt;0,+G17-K17,0)</f>
        <v>0</v>
      </c>
      <c r="M17" s="112">
        <f t="shared" ref="M17:M22" si="3">+H17</f>
        <v>1240275.0587599066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2017</v>
      </c>
      <c r="D18" s="431">
        <v>9270344.9880952388</v>
      </c>
      <c r="E18" s="430">
        <v>218034.48837209304</v>
      </c>
      <c r="F18" s="431">
        <v>9052310.4997231457</v>
      </c>
      <c r="G18" s="430">
        <v>1353054.593855357</v>
      </c>
      <c r="H18" s="438">
        <v>1353054.593855357</v>
      </c>
      <c r="I18" s="52">
        <f t="shared" si="0"/>
        <v>0</v>
      </c>
      <c r="J18" s="52"/>
      <c r="K18" s="113">
        <f t="shared" si="1"/>
        <v>1353054.593855357</v>
      </c>
      <c r="L18" s="54">
        <f t="shared" ref="L18:L23" si="6">IF(K18&lt;&gt;0,+G18-K18,0)</f>
        <v>0</v>
      </c>
      <c r="M18" s="113">
        <f t="shared" si="3"/>
        <v>1353054.593855357</v>
      </c>
      <c r="N18" s="54">
        <f>IF(M18&lt;&gt;0,+H18-M18,0)</f>
        <v>0</v>
      </c>
      <c r="O18" s="54">
        <f>+N18-L18</f>
        <v>0</v>
      </c>
      <c r="P18" s="1"/>
    </row>
    <row r="19" spans="2:16" ht="12.5">
      <c r="B19" s="7" t="str">
        <f>IF(D19=F18,"","IU")</f>
        <v/>
      </c>
      <c r="C19" s="50">
        <f>IF(D11="","-",+C18+1)</f>
        <v>2018</v>
      </c>
      <c r="D19" s="431">
        <v>9052310.4997231457</v>
      </c>
      <c r="E19" s="430">
        <v>228670.31707317074</v>
      </c>
      <c r="F19" s="431">
        <v>8823640.1826499756</v>
      </c>
      <c r="G19" s="430">
        <v>1364634.2393042783</v>
      </c>
      <c r="H19" s="438">
        <v>1364634.2393042783</v>
      </c>
      <c r="I19" s="52">
        <f t="shared" si="0"/>
        <v>0</v>
      </c>
      <c r="J19" s="52"/>
      <c r="K19" s="113">
        <f t="shared" si="1"/>
        <v>1364634.2393042783</v>
      </c>
      <c r="L19" s="54">
        <f t="shared" si="6"/>
        <v>0</v>
      </c>
      <c r="M19" s="113">
        <f t="shared" si="3"/>
        <v>1364634.2393042783</v>
      </c>
      <c r="N19" s="54">
        <f>IF(M19&lt;&gt;0,+H19-M19,0)</f>
        <v>0</v>
      </c>
      <c r="O19" s="54">
        <f>+N19-L19</f>
        <v>0</v>
      </c>
      <c r="P19" s="1"/>
    </row>
    <row r="20" spans="2:16" ht="12.5">
      <c r="B20" s="7" t="str">
        <f t="shared" ref="B20:B72" si="7">IF(D20=F19,"","IU")</f>
        <v/>
      </c>
      <c r="C20" s="50">
        <f>IF(D11="","-",+C19+1)</f>
        <v>2019</v>
      </c>
      <c r="D20" s="431">
        <v>8823640.1826499756</v>
      </c>
      <c r="E20" s="430">
        <v>228670.31707317074</v>
      </c>
      <c r="F20" s="431">
        <v>8594969.8655768055</v>
      </c>
      <c r="G20" s="430">
        <v>1335571.5914042245</v>
      </c>
      <c r="H20" s="438">
        <v>1335571.5914042245</v>
      </c>
      <c r="I20" s="52">
        <f t="shared" si="0"/>
        <v>0</v>
      </c>
      <c r="J20" s="52"/>
      <c r="K20" s="113">
        <f t="shared" si="1"/>
        <v>1335571.5914042245</v>
      </c>
      <c r="L20" s="54">
        <f t="shared" si="6"/>
        <v>0</v>
      </c>
      <c r="M20" s="113">
        <f t="shared" si="3"/>
        <v>1335571.5914042245</v>
      </c>
      <c r="N20" s="54">
        <f t="shared" si="4"/>
        <v>0</v>
      </c>
      <c r="O20" s="54">
        <f t="shared" si="5"/>
        <v>0</v>
      </c>
      <c r="P20" s="1"/>
    </row>
    <row r="21" spans="2:16" ht="12.5">
      <c r="B21" s="7" t="str">
        <f t="shared" si="7"/>
        <v/>
      </c>
      <c r="C21" s="50">
        <f>IF(D11="","-",+C20+1)</f>
        <v>2020</v>
      </c>
      <c r="D21" s="431">
        <v>8594969.8655768055</v>
      </c>
      <c r="E21" s="430">
        <v>228670.31707317074</v>
      </c>
      <c r="F21" s="431">
        <v>8366299.5485036345</v>
      </c>
      <c r="G21" s="430">
        <v>1096539.9309391833</v>
      </c>
      <c r="H21" s="438">
        <v>1096539.9309391833</v>
      </c>
      <c r="I21" s="52">
        <f t="shared" si="0"/>
        <v>0</v>
      </c>
      <c r="J21" s="52"/>
      <c r="K21" s="113">
        <f t="shared" si="1"/>
        <v>1096539.9309391833</v>
      </c>
      <c r="L21" s="54">
        <f t="shared" si="6"/>
        <v>0</v>
      </c>
      <c r="M21" s="113">
        <f t="shared" si="3"/>
        <v>1096539.9309391833</v>
      </c>
      <c r="N21" s="54">
        <f t="shared" si="4"/>
        <v>0</v>
      </c>
      <c r="O21" s="54">
        <f t="shared" si="5"/>
        <v>0</v>
      </c>
      <c r="P21" s="1"/>
    </row>
    <row r="22" spans="2:16" ht="12.5">
      <c r="B22" s="7" t="str">
        <f t="shared" si="7"/>
        <v>IU</v>
      </c>
      <c r="C22" s="50">
        <f>IF(D11="","-",+C21+1)</f>
        <v>2021</v>
      </c>
      <c r="D22" s="431">
        <v>8382915.3772047106</v>
      </c>
      <c r="E22" s="430">
        <v>223368.16666666666</v>
      </c>
      <c r="F22" s="431">
        <v>8159547.2105380436</v>
      </c>
      <c r="G22" s="430">
        <v>1100156.2769158005</v>
      </c>
      <c r="H22" s="438">
        <v>1100156.2769158005</v>
      </c>
      <c r="I22" s="52">
        <f t="shared" si="0"/>
        <v>0</v>
      </c>
      <c r="J22" s="52"/>
      <c r="K22" s="113">
        <f t="shared" si="1"/>
        <v>1100156.2769158005</v>
      </c>
      <c r="L22" s="54">
        <f t="shared" si="6"/>
        <v>0</v>
      </c>
      <c r="M22" s="113">
        <f t="shared" si="3"/>
        <v>1100156.2769158005</v>
      </c>
      <c r="N22" s="54">
        <f t="shared" si="4"/>
        <v>0</v>
      </c>
      <c r="O22" s="54">
        <f t="shared" si="5"/>
        <v>0</v>
      </c>
      <c r="P22" s="1"/>
    </row>
    <row r="23" spans="2:16" ht="12.5">
      <c r="B23" s="7" t="str">
        <f t="shared" si="7"/>
        <v>IU</v>
      </c>
      <c r="C23" s="50">
        <f>IF(D11="","-",+C22+1)</f>
        <v>2022</v>
      </c>
      <c r="D23" s="431">
        <v>8148911.3818369657</v>
      </c>
      <c r="E23" s="430">
        <v>223368.16666666666</v>
      </c>
      <c r="F23" s="431">
        <v>7925543.2151702987</v>
      </c>
      <c r="G23" s="430">
        <v>1127106.9316908673</v>
      </c>
      <c r="H23" s="438">
        <v>1127106.9316908673</v>
      </c>
      <c r="I23" s="52">
        <f t="shared" si="0"/>
        <v>0</v>
      </c>
      <c r="J23" s="52"/>
      <c r="K23" s="113">
        <f t="shared" ref="K23" si="8">+G23</f>
        <v>1127106.9316908673</v>
      </c>
      <c r="L23" s="54">
        <f t="shared" si="6"/>
        <v>0</v>
      </c>
      <c r="M23" s="113">
        <f t="shared" ref="M23" si="9">+H23</f>
        <v>1127106.9316908673</v>
      </c>
      <c r="N23" s="54">
        <f t="shared" si="4"/>
        <v>0</v>
      </c>
      <c r="O23" s="54">
        <f t="shared" si="5"/>
        <v>0</v>
      </c>
      <c r="P23" s="1"/>
    </row>
    <row r="24" spans="2:16" ht="12.5">
      <c r="B24" s="7" t="str">
        <f t="shared" si="7"/>
        <v>IU</v>
      </c>
      <c r="C24" s="50">
        <f>IF(D11="","-",+C23+1)</f>
        <v>2023</v>
      </c>
      <c r="D24" s="431">
        <v>7925542.9351703003</v>
      </c>
      <c r="E24" s="430">
        <v>223368.16</v>
      </c>
      <c r="F24" s="431">
        <v>7702174.7751703002</v>
      </c>
      <c r="G24" s="430">
        <v>1210467.8508998295</v>
      </c>
      <c r="H24" s="438">
        <v>1210467.8508998295</v>
      </c>
      <c r="I24" s="52">
        <f t="shared" si="0"/>
        <v>0</v>
      </c>
      <c r="J24" s="52"/>
      <c r="K24" s="113">
        <f t="shared" ref="K24" si="10">+G24</f>
        <v>1210467.8508998295</v>
      </c>
      <c r="L24" s="54">
        <f t="shared" ref="L24" si="11">IF(K24&lt;&gt;0,+G24-K24,0)</f>
        <v>0</v>
      </c>
      <c r="M24" s="113">
        <f t="shared" ref="M24" si="12">+H24</f>
        <v>1210467.8508998295</v>
      </c>
      <c r="N24" s="54">
        <f t="shared" si="4"/>
        <v>0</v>
      </c>
      <c r="O24" s="54">
        <f t="shared" si="5"/>
        <v>0</v>
      </c>
      <c r="P24" s="1"/>
    </row>
    <row r="25" spans="2:16" ht="12.5">
      <c r="B25" s="7" t="str">
        <f t="shared" si="7"/>
        <v/>
      </c>
      <c r="C25" s="50">
        <f>IF(D11="","-",+C24+1)</f>
        <v>2024</v>
      </c>
      <c r="D25" s="431">
        <v>7702174.7751703002</v>
      </c>
      <c r="E25" s="430">
        <v>213215.06181818183</v>
      </c>
      <c r="F25" s="431">
        <v>7488959.7133521186</v>
      </c>
      <c r="G25" s="430">
        <v>1121091.4278100706</v>
      </c>
      <c r="H25" s="438">
        <v>1121091.4278100706</v>
      </c>
      <c r="I25" s="52">
        <f t="shared" si="0"/>
        <v>0</v>
      </c>
      <c r="J25" s="52"/>
      <c r="K25" s="113">
        <f t="shared" ref="K25" si="13">+G25</f>
        <v>1121091.4278100706</v>
      </c>
      <c r="L25" s="54">
        <f t="shared" ref="L25" si="14">IF(K25&lt;&gt;0,+G25-K25,0)</f>
        <v>0</v>
      </c>
      <c r="M25" s="113">
        <f t="shared" ref="M25" si="15">+H25</f>
        <v>1121091.4278100706</v>
      </c>
      <c r="N25" s="54">
        <f t="shared" ref="N25" si="16">IF(M25&lt;&gt;0,+H25-M25,0)</f>
        <v>0</v>
      </c>
      <c r="O25" s="54">
        <f t="shared" ref="O25" si="17">+N25-L25</f>
        <v>0</v>
      </c>
      <c r="P25" s="1"/>
    </row>
    <row r="26" spans="2:16" ht="12.5">
      <c r="B26" s="7" t="str">
        <f t="shared" si="7"/>
        <v/>
      </c>
      <c r="C26" s="50">
        <f>IF(D11="","-",+C25+1)</f>
        <v>2025</v>
      </c>
      <c r="D26" s="55">
        <f>IF(F25+SUM(E$17:E25)=D$10,F25,D$10-SUM(E$17:E25))</f>
        <v>7488959.7133521186</v>
      </c>
      <c r="E26" s="378">
        <f>IF(+I14&lt;F25,I14,D26)</f>
        <v>213215.06181818183</v>
      </c>
      <c r="F26" s="55">
        <f t="shared" ref="F26:F72" si="18">+D26-E26</f>
        <v>7275744.6515339371</v>
      </c>
      <c r="G26" s="379">
        <f t="shared" ref="G26:G49" si="19">+I$12*((D26+F26)/2)+E26</f>
        <v>1095606.4430455056</v>
      </c>
      <c r="H26" s="364">
        <f t="shared" ref="H26:H49" si="20">+I$13*((D26+F26)/2)+E26</f>
        <v>1095606.4430455056</v>
      </c>
      <c r="I26" s="52">
        <f t="shared" si="0"/>
        <v>0</v>
      </c>
      <c r="J26" s="52"/>
      <c r="K26" s="129"/>
      <c r="L26" s="54">
        <f t="shared" si="2"/>
        <v>0</v>
      </c>
      <c r="M26" s="129"/>
      <c r="N26" s="54">
        <f t="shared" si="4"/>
        <v>0</v>
      </c>
      <c r="O26" s="54">
        <f t="shared" si="5"/>
        <v>0</v>
      </c>
      <c r="P26" s="1"/>
    </row>
    <row r="27" spans="2:16" ht="12.5">
      <c r="B27" s="7" t="str">
        <f t="shared" si="7"/>
        <v/>
      </c>
      <c r="C27" s="50">
        <f>IF(D11="","-",+C26+1)</f>
        <v>2026</v>
      </c>
      <c r="D27" s="55">
        <f>IF(F26+SUM(E$17:E26)=D$10,F26,D$10-SUM(E$17:E26))</f>
        <v>7275744.6515339371</v>
      </c>
      <c r="E27" s="378">
        <f>IF(+I14&lt;F26,I14,D27)</f>
        <v>213215.06181818183</v>
      </c>
      <c r="F27" s="55">
        <f t="shared" si="18"/>
        <v>7062529.5897157555</v>
      </c>
      <c r="G27" s="379">
        <f t="shared" si="19"/>
        <v>1070121.4582809403</v>
      </c>
      <c r="H27" s="364">
        <f t="shared" si="20"/>
        <v>1070121.4582809403</v>
      </c>
      <c r="I27" s="52">
        <f t="shared" si="0"/>
        <v>0</v>
      </c>
      <c r="J27" s="52"/>
      <c r="K27" s="129"/>
      <c r="L27" s="54">
        <f t="shared" si="2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7"/>
        <v/>
      </c>
      <c r="C28" s="50">
        <f>IF(D11="","-",+C27+1)</f>
        <v>2027</v>
      </c>
      <c r="D28" s="55">
        <f>IF(F27+SUM(E$17:E27)=D$10,F27,D$10-SUM(E$17:E27))</f>
        <v>7062529.5897157555</v>
      </c>
      <c r="E28" s="378">
        <f>IF(+I14&lt;F27,I14,D28)</f>
        <v>213215.06181818183</v>
      </c>
      <c r="F28" s="55">
        <f t="shared" si="18"/>
        <v>6849314.527897574</v>
      </c>
      <c r="G28" s="379">
        <f t="shared" si="19"/>
        <v>1044636.4735163753</v>
      </c>
      <c r="H28" s="364">
        <f t="shared" si="20"/>
        <v>1044636.4735163753</v>
      </c>
      <c r="I28" s="52">
        <f t="shared" si="0"/>
        <v>0</v>
      </c>
      <c r="J28" s="52"/>
      <c r="K28" s="129"/>
      <c r="L28" s="54">
        <f t="shared" si="2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7"/>
        <v/>
      </c>
      <c r="C29" s="50">
        <f>IF(D11="","-",+C28+1)</f>
        <v>2028</v>
      </c>
      <c r="D29" s="55">
        <f>IF(F28+SUM(E$17:E28)=D$10,F28,D$10-SUM(E$17:E28))</f>
        <v>6849314.527897574</v>
      </c>
      <c r="E29" s="378">
        <f>IF(+I14&lt;F28,I14,D29)</f>
        <v>213215.06181818183</v>
      </c>
      <c r="F29" s="55">
        <f t="shared" si="18"/>
        <v>6636099.4660793925</v>
      </c>
      <c r="G29" s="379">
        <f t="shared" si="19"/>
        <v>1019151.4887518103</v>
      </c>
      <c r="H29" s="364">
        <f t="shared" si="20"/>
        <v>1019151.4887518103</v>
      </c>
      <c r="I29" s="52">
        <f t="shared" si="0"/>
        <v>0</v>
      </c>
      <c r="J29" s="52"/>
      <c r="K29" s="129"/>
      <c r="L29" s="54">
        <f t="shared" si="2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7"/>
        <v/>
      </c>
      <c r="C30" s="50">
        <f>IF(D11="","-",+C29+1)</f>
        <v>2029</v>
      </c>
      <c r="D30" s="55">
        <f>IF(F29+SUM(E$17:E29)=D$10,F29,D$10-SUM(E$17:E29))</f>
        <v>6636099.4660793925</v>
      </c>
      <c r="E30" s="378">
        <f>IF(+I14&lt;F29,I14,D30)</f>
        <v>213215.06181818183</v>
      </c>
      <c r="F30" s="55">
        <f t="shared" si="18"/>
        <v>6422884.4042612109</v>
      </c>
      <c r="G30" s="379">
        <f t="shared" si="19"/>
        <v>993666.50398724526</v>
      </c>
      <c r="H30" s="364">
        <f t="shared" si="20"/>
        <v>993666.50398724526</v>
      </c>
      <c r="I30" s="52">
        <f t="shared" si="0"/>
        <v>0</v>
      </c>
      <c r="J30" s="52"/>
      <c r="K30" s="129"/>
      <c r="L30" s="54">
        <f t="shared" si="2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7"/>
        <v/>
      </c>
      <c r="C31" s="50">
        <f>IF(D11="","-",+C30+1)</f>
        <v>2030</v>
      </c>
      <c r="D31" s="55">
        <f>IF(F30+SUM(E$17:E30)=D$10,F30,D$10-SUM(E$17:E30))</f>
        <v>6422884.4042612109</v>
      </c>
      <c r="E31" s="378">
        <f>IF(+I14&lt;F30,I14,D31)</f>
        <v>213215.06181818183</v>
      </c>
      <c r="F31" s="55">
        <f t="shared" si="18"/>
        <v>6209669.3424430294</v>
      </c>
      <c r="G31" s="379">
        <f t="shared" si="19"/>
        <v>968181.51922268001</v>
      </c>
      <c r="H31" s="364">
        <f t="shared" si="20"/>
        <v>968181.51922268001</v>
      </c>
      <c r="I31" s="52">
        <f t="shared" si="0"/>
        <v>0</v>
      </c>
      <c r="J31" s="52"/>
      <c r="K31" s="129"/>
      <c r="L31" s="54">
        <f t="shared" si="2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7"/>
        <v/>
      </c>
      <c r="C32" s="50">
        <f>IF(D11="","-",+C31+1)</f>
        <v>2031</v>
      </c>
      <c r="D32" s="55">
        <f>IF(F31+SUM(E$17:E31)=D$10,F31,D$10-SUM(E$17:E31))</f>
        <v>6209669.3424430294</v>
      </c>
      <c r="E32" s="378">
        <f>IF(+I14&lt;F31,I14,D32)</f>
        <v>213215.06181818183</v>
      </c>
      <c r="F32" s="55">
        <f t="shared" si="18"/>
        <v>5996454.2806248479</v>
      </c>
      <c r="G32" s="379">
        <f t="shared" si="19"/>
        <v>942696.534458115</v>
      </c>
      <c r="H32" s="364">
        <f t="shared" si="20"/>
        <v>942696.534458115</v>
      </c>
      <c r="I32" s="52">
        <f t="shared" si="0"/>
        <v>0</v>
      </c>
      <c r="J32" s="52"/>
      <c r="K32" s="129"/>
      <c r="L32" s="54">
        <f t="shared" si="2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7"/>
        <v/>
      </c>
      <c r="C33" s="50">
        <f>IF(D11="","-",+C32+1)</f>
        <v>2032</v>
      </c>
      <c r="D33" s="55">
        <f>IF(F32+SUM(E$17:E32)=D$10,F32,D$10-SUM(E$17:E32))</f>
        <v>5996454.2806248479</v>
      </c>
      <c r="E33" s="378">
        <f>IF(+I14&lt;F32,I14,D33)</f>
        <v>213215.06181818183</v>
      </c>
      <c r="F33" s="55">
        <f t="shared" si="18"/>
        <v>5783239.2188066663</v>
      </c>
      <c r="G33" s="379">
        <f t="shared" si="19"/>
        <v>917211.54969354975</v>
      </c>
      <c r="H33" s="364">
        <f t="shared" si="20"/>
        <v>917211.54969354975</v>
      </c>
      <c r="I33" s="52">
        <f t="shared" si="0"/>
        <v>0</v>
      </c>
      <c r="J33" s="52"/>
      <c r="K33" s="129"/>
      <c r="L33" s="54">
        <f t="shared" si="2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7"/>
        <v/>
      </c>
      <c r="C34" s="50">
        <f>IF(D11="","-",+C33+1)</f>
        <v>2033</v>
      </c>
      <c r="D34" s="55">
        <f>IF(F33+SUM(E$17:E33)=D$10,F33,D$10-SUM(E$17:E33))</f>
        <v>5783239.2188066663</v>
      </c>
      <c r="E34" s="378">
        <f>IF(+I14&lt;F33,I14,D34)</f>
        <v>213215.06181818183</v>
      </c>
      <c r="F34" s="55">
        <f t="shared" si="18"/>
        <v>5570024.1569884848</v>
      </c>
      <c r="G34" s="379">
        <f t="shared" si="19"/>
        <v>891726.56492898474</v>
      </c>
      <c r="H34" s="364">
        <f t="shared" si="20"/>
        <v>891726.56492898474</v>
      </c>
      <c r="I34" s="52">
        <f t="shared" si="0"/>
        <v>0</v>
      </c>
      <c r="J34" s="52"/>
      <c r="K34" s="129"/>
      <c r="L34" s="54">
        <f t="shared" si="2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7"/>
        <v/>
      </c>
      <c r="C35" s="50">
        <f>IF(D11="","-",+C34+1)</f>
        <v>2034</v>
      </c>
      <c r="D35" s="55">
        <f>IF(F34+SUM(E$17:E34)=D$10,F34,D$10-SUM(E$17:E34))</f>
        <v>5570024.1569884801</v>
      </c>
      <c r="E35" s="378">
        <f>IF(+I14&lt;F34,I14,D35)</f>
        <v>213215.06181818183</v>
      </c>
      <c r="F35" s="55">
        <f t="shared" si="18"/>
        <v>5356809.0951702986</v>
      </c>
      <c r="G35" s="379">
        <f t="shared" si="19"/>
        <v>866241.58016441925</v>
      </c>
      <c r="H35" s="364">
        <f t="shared" si="20"/>
        <v>866241.58016441925</v>
      </c>
      <c r="I35" s="52">
        <f t="shared" si="0"/>
        <v>0</v>
      </c>
      <c r="J35" s="52"/>
      <c r="K35" s="129"/>
      <c r="L35" s="54">
        <f t="shared" si="2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7"/>
        <v/>
      </c>
      <c r="C36" s="50">
        <f>IF(D11="","-",+C35+1)</f>
        <v>2035</v>
      </c>
      <c r="D36" s="55">
        <f>IF(F35+SUM(E$17:E35)=D$10,F35,D$10-SUM(E$17:E35))</f>
        <v>5356809.0951702986</v>
      </c>
      <c r="E36" s="378">
        <f>IF(+I14&lt;F35,I14,D36)</f>
        <v>213215.06181818183</v>
      </c>
      <c r="F36" s="55">
        <f t="shared" si="18"/>
        <v>5143594.0333521171</v>
      </c>
      <c r="G36" s="379">
        <f t="shared" si="19"/>
        <v>840756.59539985401</v>
      </c>
      <c r="H36" s="364">
        <f t="shared" si="20"/>
        <v>840756.59539985401</v>
      </c>
      <c r="I36" s="52">
        <f t="shared" si="0"/>
        <v>0</v>
      </c>
      <c r="J36" s="52"/>
      <c r="K36" s="129"/>
      <c r="L36" s="54">
        <f t="shared" si="2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7"/>
        <v/>
      </c>
      <c r="C37" s="50">
        <f>IF(D11="","-",+C36+1)</f>
        <v>2036</v>
      </c>
      <c r="D37" s="55">
        <f>IF(F36+SUM(E$17:E36)=D$10,F36,D$10-SUM(E$17:E36))</f>
        <v>5143594.0333521171</v>
      </c>
      <c r="E37" s="378">
        <f>IF(+I14&lt;F36,I14,D37)</f>
        <v>213215.06181818183</v>
      </c>
      <c r="F37" s="55">
        <f t="shared" si="18"/>
        <v>4930378.9715339355</v>
      </c>
      <c r="G37" s="379">
        <f t="shared" si="19"/>
        <v>815271.61063528899</v>
      </c>
      <c r="H37" s="364">
        <f t="shared" si="20"/>
        <v>815271.61063528899</v>
      </c>
      <c r="I37" s="52">
        <f t="shared" si="0"/>
        <v>0</v>
      </c>
      <c r="J37" s="52"/>
      <c r="K37" s="129"/>
      <c r="L37" s="54">
        <f t="shared" si="2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7"/>
        <v/>
      </c>
      <c r="C38" s="50">
        <f>IF(D11="","-",+C37+1)</f>
        <v>2037</v>
      </c>
      <c r="D38" s="55">
        <f>IF(F37+SUM(E$17:E37)=D$10,F37,D$10-SUM(E$17:E37))</f>
        <v>4930378.9715339355</v>
      </c>
      <c r="E38" s="378">
        <f>IF(+I14&lt;F37,I14,D38)</f>
        <v>213215.06181818183</v>
      </c>
      <c r="F38" s="55">
        <f t="shared" si="18"/>
        <v>4717163.909715754</v>
      </c>
      <c r="G38" s="379">
        <f t="shared" si="19"/>
        <v>789786.62587072374</v>
      </c>
      <c r="H38" s="364">
        <f t="shared" si="20"/>
        <v>789786.62587072374</v>
      </c>
      <c r="I38" s="52">
        <f t="shared" si="0"/>
        <v>0</v>
      </c>
      <c r="J38" s="52"/>
      <c r="K38" s="129"/>
      <c r="L38" s="54">
        <f t="shared" si="2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7"/>
        <v/>
      </c>
      <c r="C39" s="50">
        <f>IF(D11="","-",+C38+1)</f>
        <v>2038</v>
      </c>
      <c r="D39" s="55">
        <f>IF(F38+SUM(E$17:E38)=D$10,F38,D$10-SUM(E$17:E38))</f>
        <v>4717163.909715754</v>
      </c>
      <c r="E39" s="378">
        <f>IF(+I14&lt;F38,I14,D39)</f>
        <v>213215.06181818183</v>
      </c>
      <c r="F39" s="55">
        <f t="shared" si="18"/>
        <v>4503948.8478975724</v>
      </c>
      <c r="G39" s="379">
        <f t="shared" si="19"/>
        <v>764301.64110615873</v>
      </c>
      <c r="H39" s="364">
        <f t="shared" si="20"/>
        <v>764301.64110615873</v>
      </c>
      <c r="I39" s="52">
        <f t="shared" si="0"/>
        <v>0</v>
      </c>
      <c r="J39" s="52"/>
      <c r="K39" s="129"/>
      <c r="L39" s="54">
        <f t="shared" si="2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7"/>
        <v/>
      </c>
      <c r="C40" s="50">
        <f>IF(D11="","-",+C39+1)</f>
        <v>2039</v>
      </c>
      <c r="D40" s="55">
        <f>IF(F39+SUM(E$17:E39)=D$10,F39,D$10-SUM(E$17:E39))</f>
        <v>4503948.8478975724</v>
      </c>
      <c r="E40" s="378">
        <f>IF(+I14&lt;F39,I14,D40)</f>
        <v>213215.06181818183</v>
      </c>
      <c r="F40" s="55">
        <f t="shared" si="18"/>
        <v>4290733.7860793909</v>
      </c>
      <c r="G40" s="379">
        <f t="shared" si="19"/>
        <v>738816.65634159371</v>
      </c>
      <c r="H40" s="364">
        <f t="shared" si="20"/>
        <v>738816.65634159371</v>
      </c>
      <c r="I40" s="52">
        <f t="shared" si="0"/>
        <v>0</v>
      </c>
      <c r="J40" s="52"/>
      <c r="K40" s="129"/>
      <c r="L40" s="54">
        <f t="shared" si="2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7"/>
        <v/>
      </c>
      <c r="C41" s="50">
        <f>IF(D11="","-",+C40+1)</f>
        <v>2040</v>
      </c>
      <c r="D41" s="55">
        <f>IF(F40+SUM(E$17:E40)=D$10,F40,D$10-SUM(E$17:E40))</f>
        <v>4290733.7860793909</v>
      </c>
      <c r="E41" s="378">
        <f>IF(+I14&lt;F40,I14,D41)</f>
        <v>213215.06181818183</v>
      </c>
      <c r="F41" s="55">
        <f t="shared" si="18"/>
        <v>4077518.7242612089</v>
      </c>
      <c r="G41" s="379">
        <f t="shared" si="19"/>
        <v>713331.67157702846</v>
      </c>
      <c r="H41" s="364">
        <f t="shared" si="20"/>
        <v>713331.67157702846</v>
      </c>
      <c r="I41" s="52">
        <f t="shared" si="0"/>
        <v>0</v>
      </c>
      <c r="J41" s="52"/>
      <c r="K41" s="129"/>
      <c r="L41" s="54">
        <f t="shared" si="2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7"/>
        <v/>
      </c>
      <c r="C42" s="50">
        <f>IF(D11="","-",+C41+1)</f>
        <v>2041</v>
      </c>
      <c r="D42" s="55">
        <f>IF(F41+SUM(E$17:E41)=D$10,F41,D$10-SUM(E$17:E41))</f>
        <v>4077518.7242612089</v>
      </c>
      <c r="E42" s="378">
        <f>IF(+I14&lt;F41,I14,D42)</f>
        <v>213215.06181818183</v>
      </c>
      <c r="F42" s="55">
        <f t="shared" si="18"/>
        <v>3864303.6624430269</v>
      </c>
      <c r="G42" s="379">
        <f t="shared" si="19"/>
        <v>687846.68681246345</v>
      </c>
      <c r="H42" s="364">
        <f t="shared" si="20"/>
        <v>687846.68681246345</v>
      </c>
      <c r="I42" s="52">
        <f t="shared" si="0"/>
        <v>0</v>
      </c>
      <c r="J42" s="52"/>
      <c r="K42" s="129"/>
      <c r="L42" s="54">
        <f t="shared" si="2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7"/>
        <v/>
      </c>
      <c r="C43" s="50">
        <f>IF(D11="","-",+C42+1)</f>
        <v>2042</v>
      </c>
      <c r="D43" s="55">
        <f>IF(F42+SUM(E$17:E42)=D$10,F42,D$10-SUM(E$17:E42))</f>
        <v>3864303.6624430269</v>
      </c>
      <c r="E43" s="378">
        <f>IF(+I14&lt;F42,I14,D43)</f>
        <v>213215.06181818183</v>
      </c>
      <c r="F43" s="55">
        <f t="shared" si="18"/>
        <v>3651088.6006248449</v>
      </c>
      <c r="G43" s="379">
        <f t="shared" si="19"/>
        <v>662361.7020478982</v>
      </c>
      <c r="H43" s="364">
        <f t="shared" si="20"/>
        <v>662361.7020478982</v>
      </c>
      <c r="I43" s="52">
        <f t="shared" si="0"/>
        <v>0</v>
      </c>
      <c r="J43" s="52"/>
      <c r="K43" s="129"/>
      <c r="L43" s="54">
        <f t="shared" si="2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7"/>
        <v/>
      </c>
      <c r="C44" s="50">
        <f>IF(D11="","-",+C43+1)</f>
        <v>2043</v>
      </c>
      <c r="D44" s="55">
        <f>IF(F43+SUM(E$17:E43)=D$10,F43,D$10-SUM(E$17:E43))</f>
        <v>3651088.6006248449</v>
      </c>
      <c r="E44" s="378">
        <f>IF(+I14&lt;F43,I14,D44)</f>
        <v>213215.06181818183</v>
      </c>
      <c r="F44" s="55">
        <f t="shared" si="18"/>
        <v>3437873.5388066629</v>
      </c>
      <c r="G44" s="379">
        <f t="shared" si="19"/>
        <v>636876.71728333319</v>
      </c>
      <c r="H44" s="364">
        <f t="shared" si="20"/>
        <v>636876.71728333319</v>
      </c>
      <c r="I44" s="52">
        <f t="shared" si="0"/>
        <v>0</v>
      </c>
      <c r="J44" s="52"/>
      <c r="K44" s="129"/>
      <c r="L44" s="54">
        <f t="shared" si="2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7"/>
        <v/>
      </c>
      <c r="C45" s="50">
        <f>IF(D11="","-",+C44+1)</f>
        <v>2044</v>
      </c>
      <c r="D45" s="55">
        <f>IF(F44+SUM(E$17:E44)=D$10,F44,D$10-SUM(E$17:E44))</f>
        <v>3437873.5388066629</v>
      </c>
      <c r="E45" s="378">
        <f>IF(+I14&lt;F44,I14,D45)</f>
        <v>213215.06181818183</v>
      </c>
      <c r="F45" s="55">
        <f t="shared" si="18"/>
        <v>3224658.4769884809</v>
      </c>
      <c r="G45" s="379">
        <f t="shared" si="19"/>
        <v>611391.73251876794</v>
      </c>
      <c r="H45" s="364">
        <f t="shared" si="20"/>
        <v>611391.73251876794</v>
      </c>
      <c r="I45" s="52">
        <f t="shared" si="0"/>
        <v>0</v>
      </c>
      <c r="J45" s="52"/>
      <c r="K45" s="129"/>
      <c r="L45" s="54">
        <f t="shared" si="2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7"/>
        <v/>
      </c>
      <c r="C46" s="50">
        <f>IF(D11="","-",+C45+1)</f>
        <v>2045</v>
      </c>
      <c r="D46" s="55">
        <f>IF(F45+SUM(E$17:E45)=D$10,F45,D$10-SUM(E$17:E45))</f>
        <v>3224658.4769884809</v>
      </c>
      <c r="E46" s="378">
        <f>IF(+I14&lt;F45,I14,D46)</f>
        <v>213215.06181818183</v>
      </c>
      <c r="F46" s="55">
        <f t="shared" si="18"/>
        <v>3011443.4151702989</v>
      </c>
      <c r="G46" s="379">
        <f t="shared" si="19"/>
        <v>585906.74775420292</v>
      </c>
      <c r="H46" s="364">
        <f t="shared" si="20"/>
        <v>585906.74775420292</v>
      </c>
      <c r="I46" s="52">
        <f t="shared" si="0"/>
        <v>0</v>
      </c>
      <c r="J46" s="52"/>
      <c r="K46" s="129"/>
      <c r="L46" s="54">
        <f t="shared" si="2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7"/>
        <v/>
      </c>
      <c r="C47" s="50">
        <f>IF(D11="","-",+C46+1)</f>
        <v>2046</v>
      </c>
      <c r="D47" s="55">
        <f>IF(F46+SUM(E$17:E46)=D$10,F46,D$10-SUM(E$17:E46))</f>
        <v>3011443.4151702989</v>
      </c>
      <c r="E47" s="378">
        <f>IF(+I14&lt;F46,I14,D47)</f>
        <v>213215.06181818183</v>
      </c>
      <c r="F47" s="55">
        <f t="shared" si="18"/>
        <v>2798228.3533521169</v>
      </c>
      <c r="G47" s="379">
        <f t="shared" si="19"/>
        <v>560421.76298963767</v>
      </c>
      <c r="H47" s="364">
        <f t="shared" si="20"/>
        <v>560421.76298963767</v>
      </c>
      <c r="I47" s="52">
        <f t="shared" si="0"/>
        <v>0</v>
      </c>
      <c r="J47" s="52"/>
      <c r="K47" s="129"/>
      <c r="L47" s="54">
        <f t="shared" si="2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7"/>
        <v/>
      </c>
      <c r="C48" s="50">
        <f>IF(D11="","-",+C47+1)</f>
        <v>2047</v>
      </c>
      <c r="D48" s="55">
        <f>IF(F47+SUM(E$17:E47)=D$10,F47,D$10-SUM(E$17:E47))</f>
        <v>2798228.3533521169</v>
      </c>
      <c r="E48" s="378">
        <f>IF(+I14&lt;F47,I14,D48)</f>
        <v>213215.06181818183</v>
      </c>
      <c r="F48" s="55">
        <f t="shared" si="18"/>
        <v>2585013.2915339349</v>
      </c>
      <c r="G48" s="379">
        <f t="shared" si="19"/>
        <v>534936.77822507266</v>
      </c>
      <c r="H48" s="364">
        <f t="shared" si="20"/>
        <v>534936.77822507266</v>
      </c>
      <c r="I48" s="52">
        <f t="shared" si="0"/>
        <v>0</v>
      </c>
      <c r="J48" s="52"/>
      <c r="K48" s="129"/>
      <c r="L48" s="54">
        <f t="shared" si="2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 ht="12.5">
      <c r="B49" s="7" t="str">
        <f t="shared" si="7"/>
        <v/>
      </c>
      <c r="C49" s="50">
        <f>IF(D11="","-",+C48+1)</f>
        <v>2048</v>
      </c>
      <c r="D49" s="55">
        <f>IF(F48+SUM(E$17:E48)=D$10,F48,D$10-SUM(E$17:E48))</f>
        <v>2585013.2915339349</v>
      </c>
      <c r="E49" s="378">
        <f>IF(+I14&lt;F48,I14,D49)</f>
        <v>213215.06181818183</v>
      </c>
      <c r="F49" s="55">
        <f t="shared" si="18"/>
        <v>2371798.2297157529</v>
      </c>
      <c r="G49" s="379">
        <f t="shared" si="19"/>
        <v>509451.79346050735</v>
      </c>
      <c r="H49" s="364">
        <f t="shared" si="20"/>
        <v>509451.79346050735</v>
      </c>
      <c r="I49" s="52">
        <f t="shared" si="0"/>
        <v>0</v>
      </c>
      <c r="J49" s="52"/>
      <c r="K49" s="129"/>
      <c r="L49" s="54">
        <f t="shared" si="2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 ht="12.5">
      <c r="B50" s="7" t="str">
        <f t="shared" si="7"/>
        <v/>
      </c>
      <c r="C50" s="50">
        <f>IF(D11="","-",+C49+1)</f>
        <v>2049</v>
      </c>
      <c r="D50" s="55">
        <f>IF(F49+SUM(E$17:E49)=D$10,F49,D$10-SUM(E$17:E49))</f>
        <v>2371798.2297157529</v>
      </c>
      <c r="E50" s="378">
        <f>IF(+I14&lt;F49,I14,D50)</f>
        <v>213215.06181818183</v>
      </c>
      <c r="F50" s="55">
        <f t="shared" si="18"/>
        <v>2158583.1678975709</v>
      </c>
      <c r="G50" s="379">
        <f t="shared" ref="G50:G72" si="21">+I$12*((D50+F50)/2)+E50</f>
        <v>483966.80869594228</v>
      </c>
      <c r="H50" s="364">
        <f t="shared" ref="H50:H72" si="22">+I$13*((D50+F50)/2)+E50</f>
        <v>483966.80869594228</v>
      </c>
      <c r="I50" s="52">
        <f t="shared" si="0"/>
        <v>0</v>
      </c>
      <c r="J50" s="52"/>
      <c r="K50" s="129"/>
      <c r="L50" s="54">
        <f t="shared" si="2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 ht="12.5">
      <c r="B51" s="7" t="str">
        <f t="shared" si="7"/>
        <v/>
      </c>
      <c r="C51" s="50">
        <f>IF(D11="","-",+C50+1)</f>
        <v>2050</v>
      </c>
      <c r="D51" s="55">
        <f>IF(F50+SUM(E$17:E50)=D$10,F50,D$10-SUM(E$17:E50))</f>
        <v>2158583.1678975709</v>
      </c>
      <c r="E51" s="378">
        <f>IF(+I14&lt;F50,I14,D51)</f>
        <v>213215.06181818183</v>
      </c>
      <c r="F51" s="55">
        <f t="shared" si="18"/>
        <v>1945368.1060793891</v>
      </c>
      <c r="G51" s="379">
        <f t="shared" si="21"/>
        <v>458481.82393137715</v>
      </c>
      <c r="H51" s="364">
        <f t="shared" si="22"/>
        <v>458481.82393137715</v>
      </c>
      <c r="I51" s="52">
        <f t="shared" si="0"/>
        <v>0</v>
      </c>
      <c r="J51" s="52"/>
      <c r="K51" s="129"/>
      <c r="L51" s="54">
        <f t="shared" si="2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 ht="12.5">
      <c r="B52" s="7" t="str">
        <f t="shared" si="7"/>
        <v/>
      </c>
      <c r="C52" s="50">
        <f>IF(D11="","-",+C51+1)</f>
        <v>2051</v>
      </c>
      <c r="D52" s="55">
        <f>IF(F51+SUM(E$17:E51)=D$10,F51,D$10-SUM(E$17:E51))</f>
        <v>1945368.1060793891</v>
      </c>
      <c r="E52" s="378">
        <f>IF(+I14&lt;F51,I14,D52)</f>
        <v>213215.06181818183</v>
      </c>
      <c r="F52" s="55">
        <f t="shared" si="18"/>
        <v>1732153.0442612073</v>
      </c>
      <c r="G52" s="379">
        <f t="shared" si="21"/>
        <v>432996.83916681202</v>
      </c>
      <c r="H52" s="364">
        <f t="shared" si="22"/>
        <v>432996.83916681202</v>
      </c>
      <c r="I52" s="52">
        <f t="shared" si="0"/>
        <v>0</v>
      </c>
      <c r="J52" s="52"/>
      <c r="K52" s="129"/>
      <c r="L52" s="54">
        <f t="shared" si="2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 ht="12.5">
      <c r="B53" s="7" t="str">
        <f t="shared" si="7"/>
        <v/>
      </c>
      <c r="C53" s="50">
        <f>IF(D11="","-",+C52+1)</f>
        <v>2052</v>
      </c>
      <c r="D53" s="55">
        <f>IF(F52+SUM(E$17:E52)=D$10,F52,D$10-SUM(E$17:E52))</f>
        <v>1732153.0442612073</v>
      </c>
      <c r="E53" s="378">
        <f>IF(+I14&lt;F52,I14,D53)</f>
        <v>213215.06181818183</v>
      </c>
      <c r="F53" s="55">
        <f t="shared" si="18"/>
        <v>1518937.9824430256</v>
      </c>
      <c r="G53" s="379">
        <f t="shared" si="21"/>
        <v>407511.85440224689</v>
      </c>
      <c r="H53" s="364">
        <f t="shared" si="22"/>
        <v>407511.85440224689</v>
      </c>
      <c r="I53" s="52">
        <f t="shared" si="0"/>
        <v>0</v>
      </c>
      <c r="J53" s="52"/>
      <c r="K53" s="129"/>
      <c r="L53" s="54">
        <f t="shared" si="2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 ht="12.5">
      <c r="B54" s="7" t="str">
        <f t="shared" si="7"/>
        <v/>
      </c>
      <c r="C54" s="50">
        <f>IF(D11="","-",+C53+1)</f>
        <v>2053</v>
      </c>
      <c r="D54" s="55">
        <f>IF(F53+SUM(E$17:E53)=D$10,F53,D$10-SUM(E$17:E53))</f>
        <v>1518937.9824430256</v>
      </c>
      <c r="E54" s="378">
        <f>IF(+I14&lt;F53,I14,D54)</f>
        <v>213215.06181818183</v>
      </c>
      <c r="F54" s="55">
        <f t="shared" si="18"/>
        <v>1305722.9206248438</v>
      </c>
      <c r="G54" s="379">
        <f t="shared" si="21"/>
        <v>382026.86963768175</v>
      </c>
      <c r="H54" s="364">
        <f t="shared" si="22"/>
        <v>382026.86963768175</v>
      </c>
      <c r="I54" s="52">
        <f t="shared" si="0"/>
        <v>0</v>
      </c>
      <c r="J54" s="52"/>
      <c r="K54" s="129"/>
      <c r="L54" s="54">
        <f t="shared" si="2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 ht="12.5">
      <c r="B55" s="7" t="str">
        <f t="shared" si="7"/>
        <v/>
      </c>
      <c r="C55" s="50">
        <f>IF(D11="","-",+C54+1)</f>
        <v>2054</v>
      </c>
      <c r="D55" s="55">
        <f>IF(F54+SUM(E$17:E54)=D$10,F54,D$10-SUM(E$17:E54))</f>
        <v>1305722.9206248438</v>
      </c>
      <c r="E55" s="378">
        <f>IF(+I14&lt;F54,I14,D55)</f>
        <v>213215.06181818183</v>
      </c>
      <c r="F55" s="55">
        <f t="shared" si="18"/>
        <v>1092507.858806662</v>
      </c>
      <c r="G55" s="379">
        <f t="shared" si="21"/>
        <v>356541.88487311662</v>
      </c>
      <c r="H55" s="364">
        <f t="shared" si="22"/>
        <v>356541.88487311662</v>
      </c>
      <c r="I55" s="52">
        <f t="shared" si="0"/>
        <v>0</v>
      </c>
      <c r="J55" s="52"/>
      <c r="K55" s="129"/>
      <c r="L55" s="54">
        <f t="shared" si="2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 ht="12.5">
      <c r="B56" s="7" t="str">
        <f t="shared" si="7"/>
        <v/>
      </c>
      <c r="C56" s="50">
        <f>IF(D11="","-",+C55+1)</f>
        <v>2055</v>
      </c>
      <c r="D56" s="55">
        <f>IF(F55+SUM(E$17:E55)=D$10,F55,D$10-SUM(E$17:E55))</f>
        <v>1092507.858806662</v>
      </c>
      <c r="E56" s="378">
        <f>IF(+I14&lt;F55,I14,D56)</f>
        <v>213215.06181818183</v>
      </c>
      <c r="F56" s="55">
        <f t="shared" si="18"/>
        <v>879292.79698848026</v>
      </c>
      <c r="G56" s="379">
        <f t="shared" si="21"/>
        <v>331056.90010855155</v>
      </c>
      <c r="H56" s="364">
        <f t="shared" si="22"/>
        <v>331056.90010855155</v>
      </c>
      <c r="I56" s="52">
        <f t="shared" si="0"/>
        <v>0</v>
      </c>
      <c r="J56" s="52"/>
      <c r="K56" s="129"/>
      <c r="L56" s="54">
        <f t="shared" si="2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 ht="12.5">
      <c r="B57" s="7" t="str">
        <f t="shared" si="7"/>
        <v/>
      </c>
      <c r="C57" s="50">
        <f>IF(D11="","-",+C56+1)</f>
        <v>2056</v>
      </c>
      <c r="D57" s="55">
        <f>IF(F56+SUM(E$17:E56)=D$10,F56,D$10-SUM(E$17:E56))</f>
        <v>879292.79698848026</v>
      </c>
      <c r="E57" s="378">
        <f>IF(+I14&lt;F56,I14,D57)</f>
        <v>213215.06181818183</v>
      </c>
      <c r="F57" s="55">
        <f t="shared" si="18"/>
        <v>666077.73517029849</v>
      </c>
      <c r="G57" s="379">
        <f t="shared" si="21"/>
        <v>305571.91534398642</v>
      </c>
      <c r="H57" s="364">
        <f t="shared" si="22"/>
        <v>305571.91534398642</v>
      </c>
      <c r="I57" s="52">
        <f t="shared" si="0"/>
        <v>0</v>
      </c>
      <c r="J57" s="52"/>
      <c r="K57" s="129"/>
      <c r="L57" s="54">
        <f t="shared" si="2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 ht="12.5">
      <c r="B58" s="7" t="str">
        <f t="shared" si="7"/>
        <v/>
      </c>
      <c r="C58" s="50">
        <f>IF(D11="","-",+C57+1)</f>
        <v>2057</v>
      </c>
      <c r="D58" s="55">
        <f>IF(F57+SUM(E$17:E57)=D$10,F57,D$10-SUM(E$17:E57))</f>
        <v>666077.73517029849</v>
      </c>
      <c r="E58" s="378">
        <f>IF(+I14&lt;F57,I14,D58)</f>
        <v>213215.06181818183</v>
      </c>
      <c r="F58" s="55">
        <f t="shared" si="18"/>
        <v>452862.67335211666</v>
      </c>
      <c r="G58" s="379">
        <f t="shared" si="21"/>
        <v>280086.93057942129</v>
      </c>
      <c r="H58" s="364">
        <f t="shared" si="22"/>
        <v>280086.93057942129</v>
      </c>
      <c r="I58" s="52">
        <f t="shared" si="0"/>
        <v>0</v>
      </c>
      <c r="J58" s="52"/>
      <c r="K58" s="129"/>
      <c r="L58" s="54">
        <f t="shared" si="2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 ht="12.5">
      <c r="B59" s="7" t="str">
        <f t="shared" si="7"/>
        <v/>
      </c>
      <c r="C59" s="50">
        <f>IF(D11="","-",+C58+1)</f>
        <v>2058</v>
      </c>
      <c r="D59" s="55">
        <f>IF(F58+SUM(E$17:E58)=D$10,F58,D$10-SUM(E$17:E58))</f>
        <v>452862.67335211666</v>
      </c>
      <c r="E59" s="378">
        <f>IF(+I14&lt;F58,I14,D59)</f>
        <v>213215.06181818183</v>
      </c>
      <c r="F59" s="55">
        <f t="shared" si="18"/>
        <v>239647.61153393483</v>
      </c>
      <c r="G59" s="379">
        <f t="shared" si="21"/>
        <v>254601.94581485615</v>
      </c>
      <c r="H59" s="364">
        <f t="shared" si="22"/>
        <v>254601.94581485615</v>
      </c>
      <c r="I59" s="52">
        <f t="shared" si="0"/>
        <v>0</v>
      </c>
      <c r="J59" s="52"/>
      <c r="K59" s="129"/>
      <c r="L59" s="54">
        <f t="shared" si="2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 ht="12.5">
      <c r="B60" s="7" t="str">
        <f t="shared" si="7"/>
        <v/>
      </c>
      <c r="C60" s="50">
        <f>IF(D11="","-",+C59+1)</f>
        <v>2059</v>
      </c>
      <c r="D60" s="55">
        <f>IF(F59+SUM(E$17:E59)=D$10,F59,D$10-SUM(E$17:E59))</f>
        <v>239647.61153393483</v>
      </c>
      <c r="E60" s="378">
        <f>IF(+I14&lt;F59,I14,D60)</f>
        <v>213215.06181818183</v>
      </c>
      <c r="F60" s="55">
        <f t="shared" si="18"/>
        <v>26432.549715753004</v>
      </c>
      <c r="G60" s="379">
        <f t="shared" si="21"/>
        <v>229116.96105029105</v>
      </c>
      <c r="H60" s="364">
        <f t="shared" si="22"/>
        <v>229116.96105029105</v>
      </c>
      <c r="I60" s="52">
        <f t="shared" si="0"/>
        <v>0</v>
      </c>
      <c r="J60" s="52"/>
      <c r="K60" s="129"/>
      <c r="L60" s="54">
        <f t="shared" si="2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 ht="12.5">
      <c r="B61" s="7" t="str">
        <f t="shared" si="7"/>
        <v/>
      </c>
      <c r="C61" s="50">
        <f>IF(D11="","-",+C60+1)</f>
        <v>2060</v>
      </c>
      <c r="D61" s="55">
        <f>IF(F60+SUM(E$17:E60)=D$10,F60,D$10-SUM(E$17:E60))</f>
        <v>26432.549715753004</v>
      </c>
      <c r="E61" s="378">
        <f>IF(+I14&lt;F60,I14,D61)</f>
        <v>26432.549715753004</v>
      </c>
      <c r="F61" s="55">
        <f t="shared" si="18"/>
        <v>0</v>
      </c>
      <c r="G61" s="380">
        <f t="shared" si="21"/>
        <v>28012.253140666329</v>
      </c>
      <c r="H61" s="364">
        <f t="shared" si="22"/>
        <v>28012.253140666329</v>
      </c>
      <c r="I61" s="52">
        <f t="shared" si="0"/>
        <v>0</v>
      </c>
      <c r="J61" s="52"/>
      <c r="K61" s="129"/>
      <c r="L61" s="54">
        <f t="shared" si="2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 ht="12.5">
      <c r="B62" s="7" t="str">
        <f t="shared" si="7"/>
        <v/>
      </c>
      <c r="C62" s="50">
        <f>IF(D11="","-",+C61+1)</f>
        <v>2061</v>
      </c>
      <c r="D62" s="55">
        <f>IF(F61+SUM(E$17:E61)=D$10,F61,D$10-SUM(E$17:E61))</f>
        <v>0</v>
      </c>
      <c r="E62" s="378">
        <f>IF(+I14&lt;F61,I14,D62)</f>
        <v>0</v>
      </c>
      <c r="F62" s="55">
        <f t="shared" si="18"/>
        <v>0</v>
      </c>
      <c r="G62" s="380">
        <f t="shared" si="21"/>
        <v>0</v>
      </c>
      <c r="H62" s="364">
        <f t="shared" si="22"/>
        <v>0</v>
      </c>
      <c r="I62" s="52">
        <f t="shared" si="0"/>
        <v>0</v>
      </c>
      <c r="J62" s="52"/>
      <c r="K62" s="129"/>
      <c r="L62" s="54">
        <f t="shared" si="2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 ht="12.5">
      <c r="B63" s="7" t="str">
        <f t="shared" si="7"/>
        <v/>
      </c>
      <c r="C63" s="50">
        <f>IF(D11="","-",+C62+1)</f>
        <v>2062</v>
      </c>
      <c r="D63" s="55">
        <f>IF(F62+SUM(E$17:E62)=D$10,F62,D$10-SUM(E$17:E62))</f>
        <v>0</v>
      </c>
      <c r="E63" s="378">
        <f>IF(+I14&lt;F62,I14,D63)</f>
        <v>0</v>
      </c>
      <c r="F63" s="55">
        <f t="shared" si="18"/>
        <v>0</v>
      </c>
      <c r="G63" s="380">
        <f t="shared" si="21"/>
        <v>0</v>
      </c>
      <c r="H63" s="364">
        <f t="shared" si="22"/>
        <v>0</v>
      </c>
      <c r="I63" s="52">
        <f t="shared" si="0"/>
        <v>0</v>
      </c>
      <c r="J63" s="52"/>
      <c r="K63" s="129"/>
      <c r="L63" s="54">
        <f t="shared" si="2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 ht="12.5">
      <c r="B64" s="7" t="str">
        <f t="shared" si="7"/>
        <v/>
      </c>
      <c r="C64" s="50">
        <f>IF(D11="","-",+C63+1)</f>
        <v>2063</v>
      </c>
      <c r="D64" s="55">
        <f>IF(F63+SUM(E$17:E63)=D$10,F63,D$10-SUM(E$17:E63))</f>
        <v>0</v>
      </c>
      <c r="E64" s="378">
        <f>IF(+I14&lt;F63,I14,D64)</f>
        <v>0</v>
      </c>
      <c r="F64" s="55">
        <f t="shared" si="18"/>
        <v>0</v>
      </c>
      <c r="G64" s="380">
        <f t="shared" si="21"/>
        <v>0</v>
      </c>
      <c r="H64" s="364">
        <f t="shared" si="22"/>
        <v>0</v>
      </c>
      <c r="I64" s="52">
        <f t="shared" si="0"/>
        <v>0</v>
      </c>
      <c r="J64" s="52"/>
      <c r="K64" s="129"/>
      <c r="L64" s="54">
        <f t="shared" si="2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 ht="12.5">
      <c r="B65" s="7" t="str">
        <f t="shared" si="7"/>
        <v/>
      </c>
      <c r="C65" s="50">
        <f>IF(D11="","-",+C64+1)</f>
        <v>2064</v>
      </c>
      <c r="D65" s="55">
        <f>IF(F64+SUM(E$17:E64)=D$10,F64,D$10-SUM(E$17:E64))</f>
        <v>0</v>
      </c>
      <c r="E65" s="378">
        <f>IF(+I14&lt;F64,I14,D65)</f>
        <v>0</v>
      </c>
      <c r="F65" s="55">
        <f t="shared" si="18"/>
        <v>0</v>
      </c>
      <c r="G65" s="380">
        <f t="shared" si="21"/>
        <v>0</v>
      </c>
      <c r="H65" s="364">
        <f t="shared" si="22"/>
        <v>0</v>
      </c>
      <c r="I65" s="52">
        <f t="shared" si="0"/>
        <v>0</v>
      </c>
      <c r="J65" s="52"/>
      <c r="K65" s="129"/>
      <c r="L65" s="54">
        <f t="shared" si="2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 ht="12.5">
      <c r="B66" s="7" t="str">
        <f t="shared" si="7"/>
        <v/>
      </c>
      <c r="C66" s="50">
        <f>IF(D11="","-",+C65+1)</f>
        <v>2065</v>
      </c>
      <c r="D66" s="55">
        <f>IF(F65+SUM(E$17:E65)=D$10,F65,D$10-SUM(E$17:E65))</f>
        <v>0</v>
      </c>
      <c r="E66" s="378">
        <f>IF(+I14&lt;F65,I14,D66)</f>
        <v>0</v>
      </c>
      <c r="F66" s="55">
        <f t="shared" si="18"/>
        <v>0</v>
      </c>
      <c r="G66" s="380">
        <f t="shared" si="21"/>
        <v>0</v>
      </c>
      <c r="H66" s="364">
        <f t="shared" si="22"/>
        <v>0</v>
      </c>
      <c r="I66" s="52">
        <f t="shared" si="0"/>
        <v>0</v>
      </c>
      <c r="J66" s="52"/>
      <c r="K66" s="129"/>
      <c r="L66" s="54">
        <f t="shared" si="2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 ht="12.5">
      <c r="B67" s="7" t="str">
        <f t="shared" si="7"/>
        <v/>
      </c>
      <c r="C67" s="50">
        <f>IF(D11="","-",+C66+1)</f>
        <v>2066</v>
      </c>
      <c r="D67" s="55">
        <f>IF(F66+SUM(E$17:E66)=D$10,F66,D$10-SUM(E$17:E66))</f>
        <v>0</v>
      </c>
      <c r="E67" s="378">
        <f>IF(+I14&lt;F66,I14,D67)</f>
        <v>0</v>
      </c>
      <c r="F67" s="55">
        <f t="shared" si="18"/>
        <v>0</v>
      </c>
      <c r="G67" s="380">
        <f t="shared" si="21"/>
        <v>0</v>
      </c>
      <c r="H67" s="364">
        <f t="shared" si="22"/>
        <v>0</v>
      </c>
      <c r="I67" s="52">
        <f t="shared" si="0"/>
        <v>0</v>
      </c>
      <c r="J67" s="52"/>
      <c r="K67" s="129"/>
      <c r="L67" s="54">
        <f t="shared" si="2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 ht="12.5">
      <c r="B68" s="7" t="str">
        <f t="shared" si="7"/>
        <v/>
      </c>
      <c r="C68" s="50">
        <f>IF(D11="","-",+C67+1)</f>
        <v>2067</v>
      </c>
      <c r="D68" s="55">
        <f>IF(F67+SUM(E$17:E67)=D$10,F67,D$10-SUM(E$17:E67))</f>
        <v>0</v>
      </c>
      <c r="E68" s="378">
        <f>IF(+I14&lt;F67,I14,D68)</f>
        <v>0</v>
      </c>
      <c r="F68" s="55">
        <f t="shared" si="18"/>
        <v>0</v>
      </c>
      <c r="G68" s="380">
        <f t="shared" si="21"/>
        <v>0</v>
      </c>
      <c r="H68" s="364">
        <f t="shared" si="22"/>
        <v>0</v>
      </c>
      <c r="I68" s="52">
        <f t="shared" si="0"/>
        <v>0</v>
      </c>
      <c r="J68" s="52"/>
      <c r="K68" s="129"/>
      <c r="L68" s="54">
        <f t="shared" si="2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 ht="12.5">
      <c r="B69" s="7" t="str">
        <f t="shared" si="7"/>
        <v/>
      </c>
      <c r="C69" s="50">
        <f>IF(D11="","-",+C68+1)</f>
        <v>2068</v>
      </c>
      <c r="D69" s="55">
        <f>IF(F68+SUM(E$17:E68)=D$10,F68,D$10-SUM(E$17:E68))</f>
        <v>0</v>
      </c>
      <c r="E69" s="378">
        <f>IF(+I14&lt;F68,I14,D69)</f>
        <v>0</v>
      </c>
      <c r="F69" s="55">
        <f t="shared" si="18"/>
        <v>0</v>
      </c>
      <c r="G69" s="380">
        <f t="shared" si="21"/>
        <v>0</v>
      </c>
      <c r="H69" s="364">
        <f t="shared" si="22"/>
        <v>0</v>
      </c>
      <c r="I69" s="52">
        <f t="shared" si="0"/>
        <v>0</v>
      </c>
      <c r="J69" s="52"/>
      <c r="K69" s="129"/>
      <c r="L69" s="54">
        <f t="shared" si="2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 ht="12.5">
      <c r="B70" s="7" t="str">
        <f t="shared" si="7"/>
        <v/>
      </c>
      <c r="C70" s="50">
        <f>IF(D11="","-",+C69+1)</f>
        <v>2069</v>
      </c>
      <c r="D70" s="55">
        <f>IF(F69+SUM(E$17:E69)=D$10,F69,D$10-SUM(E$17:E69))</f>
        <v>0</v>
      </c>
      <c r="E70" s="378">
        <f>IF(+I14&lt;F69,I14,D70)</f>
        <v>0</v>
      </c>
      <c r="F70" s="55">
        <f t="shared" si="18"/>
        <v>0</v>
      </c>
      <c r="G70" s="380">
        <f t="shared" si="21"/>
        <v>0</v>
      </c>
      <c r="H70" s="364">
        <f t="shared" si="22"/>
        <v>0</v>
      </c>
      <c r="I70" s="52">
        <f t="shared" si="0"/>
        <v>0</v>
      </c>
      <c r="J70" s="52"/>
      <c r="K70" s="129"/>
      <c r="L70" s="54">
        <f t="shared" si="2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 ht="12.5">
      <c r="B71" s="7" t="str">
        <f t="shared" si="7"/>
        <v/>
      </c>
      <c r="C71" s="50">
        <f>IF(D11="","-",+C70+1)</f>
        <v>2070</v>
      </c>
      <c r="D71" s="55">
        <f>IF(F70+SUM(E$17:E70)=D$10,F70,D$10-SUM(E$17:E70))</f>
        <v>0</v>
      </c>
      <c r="E71" s="378">
        <f>IF(+I14&lt;F70,I14,D71)</f>
        <v>0</v>
      </c>
      <c r="F71" s="55">
        <f t="shared" si="18"/>
        <v>0</v>
      </c>
      <c r="G71" s="380">
        <f t="shared" si="21"/>
        <v>0</v>
      </c>
      <c r="H71" s="364">
        <f t="shared" si="22"/>
        <v>0</v>
      </c>
      <c r="I71" s="52">
        <f t="shared" si="0"/>
        <v>0</v>
      </c>
      <c r="J71" s="52"/>
      <c r="K71" s="129"/>
      <c r="L71" s="54">
        <f t="shared" si="2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" thickBot="1">
      <c r="B72" s="7" t="str">
        <f t="shared" si="7"/>
        <v/>
      </c>
      <c r="C72" s="59">
        <f>IF(D11="","-",+C71+1)</f>
        <v>2071</v>
      </c>
      <c r="D72" s="60">
        <f>IF(F71+SUM(E$17:E71)=D$10,F71,D$10-SUM(E$17:E71))</f>
        <v>0</v>
      </c>
      <c r="E72" s="381">
        <f>IF(+I14&lt;F71,I14,D72)</f>
        <v>0</v>
      </c>
      <c r="F72" s="60">
        <f t="shared" si="18"/>
        <v>0</v>
      </c>
      <c r="G72" s="382">
        <f t="shared" si="21"/>
        <v>0</v>
      </c>
      <c r="H72" s="362">
        <f t="shared" si="22"/>
        <v>0</v>
      </c>
      <c r="I72" s="63">
        <f t="shared" si="0"/>
        <v>0</v>
      </c>
      <c r="J72" s="52"/>
      <c r="K72" s="130"/>
      <c r="L72" s="64">
        <f t="shared" si="2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 ht="12.5">
      <c r="C73" s="12" t="s">
        <v>78</v>
      </c>
      <c r="D73" s="293"/>
      <c r="E73" s="293">
        <f>SUM(E17:E72)</f>
        <v>9381462.7199999988</v>
      </c>
      <c r="F73" s="293"/>
      <c r="G73" s="293">
        <f>SUM(G17:G72)</f>
        <v>34159569.726396628</v>
      </c>
      <c r="H73" s="293">
        <f>SUM(H17:H72)</f>
        <v>34159569.726396628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 ht="13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55 of 77</v>
      </c>
    </row>
    <row r="84" spans="1:16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1121091.4278100706</v>
      </c>
      <c r="N87" s="387">
        <f>IF(J92&lt;D11,0,VLOOKUP(J92,C17:O72,11))</f>
        <v>1121091.4278100706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1156604.3732776884</v>
      </c>
      <c r="N88" s="390">
        <f>IF(J92&lt;D11,0,VLOOKUP(J92,C99:P154,7))</f>
        <v>1156604.3732776884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Ellerbe Rd-S Shreveport 69 kv Build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35512.945467617828</v>
      </c>
      <c r="N89" s="392">
        <f>+N88-N87</f>
        <v>35512.945467617828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TP201154</v>
      </c>
      <c r="E91" s="76" t="str">
        <f>E9</f>
        <v xml:space="preserve">SPP Project ID = </v>
      </c>
      <c r="F91" s="76" t="str">
        <f>F9</f>
        <v>478 &amp; 512</v>
      </c>
      <c r="G91" s="76"/>
      <c r="H91" s="76"/>
      <c r="I91" s="76"/>
      <c r="J91" s="76"/>
    </row>
    <row r="92" spans="1:16" ht="13">
      <c r="C92" s="34" t="s">
        <v>51</v>
      </c>
      <c r="D92" s="363">
        <f>D10</f>
        <v>9381462.7200000007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</row>
    <row r="93" spans="1:16" ht="12.5">
      <c r="C93" s="34" t="s">
        <v>54</v>
      </c>
      <c r="D93" s="88">
        <f>IF(D11=I10,"",D11)</f>
        <v>2016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4">
        <f>IF(D11=I10,"",D12)</f>
        <v>4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213215.06181818183</v>
      </c>
      <c r="K96" s="293"/>
      <c r="L96" s="293"/>
      <c r="M96" s="293"/>
      <c r="N96" s="293"/>
      <c r="O96" s="293"/>
      <c r="P96" s="1"/>
    </row>
    <row r="97" spans="1:16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5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 ht="12.5">
      <c r="C99" s="50">
        <f>IF(D93= "","-",D93)</f>
        <v>2016</v>
      </c>
      <c r="D99" s="145">
        <v>0</v>
      </c>
      <c r="E99" s="446">
        <v>145356.32558139536</v>
      </c>
      <c r="F99" s="147">
        <v>9230126.674418604</v>
      </c>
      <c r="G99" s="447">
        <v>4615063.337209302</v>
      </c>
      <c r="H99" s="448">
        <v>731238.56219016481</v>
      </c>
      <c r="I99" s="449">
        <v>731238.56219016481</v>
      </c>
      <c r="J99" s="54">
        <f t="shared" ref="J99:J130" si="23">+I99-H99</f>
        <v>0</v>
      </c>
      <c r="K99" s="54"/>
      <c r="L99" s="112">
        <f t="shared" ref="L99:L104" si="24">+H99</f>
        <v>731238.56219016481</v>
      </c>
      <c r="M99" s="53">
        <f t="shared" ref="M99:M130" si="25">IF(L99&lt;&gt;0,+H99-L99,0)</f>
        <v>0</v>
      </c>
      <c r="N99" s="112">
        <f t="shared" ref="N99:N104" si="26">+I99</f>
        <v>731238.56219016481</v>
      </c>
      <c r="O99" s="53">
        <f t="shared" ref="O99:O130" si="27">IF(N99&lt;&gt;0,+I99-N99,0)</f>
        <v>0</v>
      </c>
      <c r="P99" s="53">
        <f t="shared" ref="P99:P130" si="28">+O99-M99</f>
        <v>0</v>
      </c>
    </row>
    <row r="100" spans="1:16" ht="12.5">
      <c r="B100" s="7" t="str">
        <f>IF(D100=F99,"","IU")</f>
        <v>IU</v>
      </c>
      <c r="C100" s="50">
        <f>IF(D93="","-",+C99+1)</f>
        <v>2017</v>
      </c>
      <c r="D100" s="429">
        <v>9236106.674418604</v>
      </c>
      <c r="E100" s="430">
        <v>223368.16666666666</v>
      </c>
      <c r="F100" s="431">
        <v>9012738.507751938</v>
      </c>
      <c r="G100" s="431">
        <v>9124422.59108527</v>
      </c>
      <c r="H100" s="433">
        <v>1331725.0793304511</v>
      </c>
      <c r="I100" s="434">
        <v>1331725.0793304511</v>
      </c>
      <c r="J100" s="54">
        <f t="shared" si="23"/>
        <v>0</v>
      </c>
      <c r="K100" s="54"/>
      <c r="L100" s="450">
        <f t="shared" si="24"/>
        <v>1331725.0793304511</v>
      </c>
      <c r="M100" s="54">
        <f t="shared" si="25"/>
        <v>0</v>
      </c>
      <c r="N100" s="450">
        <f t="shared" si="26"/>
        <v>1331725.0793304511</v>
      </c>
      <c r="O100" s="54">
        <f t="shared" si="27"/>
        <v>0</v>
      </c>
      <c r="P100" s="54">
        <f t="shared" si="28"/>
        <v>0</v>
      </c>
    </row>
    <row r="101" spans="1:16" ht="12.5">
      <c r="B101" s="7" t="str">
        <f t="shared" ref="B101:B154" si="29">IF(D101=F100,"","IU")</f>
        <v/>
      </c>
      <c r="C101" s="50">
        <f>IF(D93="","-",+C100+1)</f>
        <v>2018</v>
      </c>
      <c r="D101" s="429">
        <v>9012738.507751938</v>
      </c>
      <c r="E101" s="430">
        <v>223368.16666666666</v>
      </c>
      <c r="F101" s="431">
        <v>8789370.3410852719</v>
      </c>
      <c r="G101" s="431">
        <v>8901054.4244186059</v>
      </c>
      <c r="H101" s="433">
        <v>1163360.3325167969</v>
      </c>
      <c r="I101" s="434">
        <v>1163360.3325167969</v>
      </c>
      <c r="J101" s="54">
        <f t="shared" si="23"/>
        <v>0</v>
      </c>
      <c r="K101" s="54"/>
      <c r="L101" s="450">
        <f t="shared" si="24"/>
        <v>1163360.3325167969</v>
      </c>
      <c r="M101" s="54">
        <f t="shared" ref="M101" si="30">IF(L101&lt;&gt;0,+H101-L101,0)</f>
        <v>0</v>
      </c>
      <c r="N101" s="450">
        <f t="shared" si="26"/>
        <v>1163360.3325167969</v>
      </c>
      <c r="O101" s="54">
        <f t="shared" ref="O101" si="31">IF(N101&lt;&gt;0,+I101-N101,0)</f>
        <v>0</v>
      </c>
      <c r="P101" s="54">
        <f t="shared" si="28"/>
        <v>0</v>
      </c>
    </row>
    <row r="102" spans="1:16" ht="12.5">
      <c r="B102" s="7" t="str">
        <f t="shared" si="29"/>
        <v/>
      </c>
      <c r="C102" s="50">
        <f>IF(D93="","-",+C101+1)</f>
        <v>2019</v>
      </c>
      <c r="D102" s="429">
        <v>8789370.3410852719</v>
      </c>
      <c r="E102" s="430">
        <v>218173.55813953487</v>
      </c>
      <c r="F102" s="431">
        <v>8571196.7829457372</v>
      </c>
      <c r="G102" s="431">
        <v>8680283.5620155036</v>
      </c>
      <c r="H102" s="433">
        <v>1147315.8547577483</v>
      </c>
      <c r="I102" s="434">
        <v>1147315.8547577483</v>
      </c>
      <c r="J102" s="54">
        <f t="shared" si="23"/>
        <v>0</v>
      </c>
      <c r="K102" s="54"/>
      <c r="L102" s="450">
        <f t="shared" si="24"/>
        <v>1147315.8547577483</v>
      </c>
      <c r="M102" s="54">
        <f t="shared" ref="M102" si="32">IF(L102&lt;&gt;0,+H102-L102,0)</f>
        <v>0</v>
      </c>
      <c r="N102" s="450">
        <f t="shared" si="26"/>
        <v>1147315.8547577483</v>
      </c>
      <c r="O102" s="54">
        <f t="shared" si="27"/>
        <v>0</v>
      </c>
      <c r="P102" s="54">
        <f t="shared" si="28"/>
        <v>0</v>
      </c>
    </row>
    <row r="103" spans="1:16" ht="12.5">
      <c r="B103" s="7" t="str">
        <f t="shared" si="29"/>
        <v/>
      </c>
      <c r="C103" s="50">
        <f>IF(D93="","-",+C102+1)</f>
        <v>2020</v>
      </c>
      <c r="D103" s="429">
        <v>8571196.7829457372</v>
      </c>
      <c r="E103" s="430">
        <v>223368.16666666666</v>
      </c>
      <c r="F103" s="431">
        <v>8347828.6162790703</v>
      </c>
      <c r="G103" s="431">
        <v>8459512.6996124033</v>
      </c>
      <c r="H103" s="433">
        <v>1133390.3688526335</v>
      </c>
      <c r="I103" s="434">
        <v>1133390.3688526335</v>
      </c>
      <c r="J103" s="54">
        <f t="shared" si="23"/>
        <v>0</v>
      </c>
      <c r="K103" s="54"/>
      <c r="L103" s="450">
        <f t="shared" si="24"/>
        <v>1133390.3688526335</v>
      </c>
      <c r="M103" s="54">
        <f t="shared" ref="M103" si="33">IF(L103&lt;&gt;0,+H103-L103,0)</f>
        <v>0</v>
      </c>
      <c r="N103" s="450">
        <f t="shared" si="26"/>
        <v>1133390.3688526335</v>
      </c>
      <c r="O103" s="54">
        <f t="shared" si="27"/>
        <v>0</v>
      </c>
      <c r="P103" s="54">
        <f t="shared" si="28"/>
        <v>0</v>
      </c>
    </row>
    <row r="104" spans="1:16" ht="12.5">
      <c r="B104" s="7" t="str">
        <f t="shared" si="29"/>
        <v/>
      </c>
      <c r="C104" s="50">
        <f>IF(D93="","-",+C103+1)</f>
        <v>2021</v>
      </c>
      <c r="D104" s="429">
        <v>8347828.6162790703</v>
      </c>
      <c r="E104" s="430">
        <v>228816.17073170733</v>
      </c>
      <c r="F104" s="431">
        <v>8119012.4455473628</v>
      </c>
      <c r="G104" s="431">
        <v>8233420.530913217</v>
      </c>
      <c r="H104" s="433">
        <v>1163426.5326920082</v>
      </c>
      <c r="I104" s="434">
        <v>1163426.5326920082</v>
      </c>
      <c r="J104" s="54">
        <f t="shared" si="23"/>
        <v>0</v>
      </c>
      <c r="K104" s="54"/>
      <c r="L104" s="450">
        <f t="shared" si="24"/>
        <v>1163426.5326920082</v>
      </c>
      <c r="M104" s="54">
        <f t="shared" ref="M104" si="34">IF(L104&lt;&gt;0,+H104-L104,0)</f>
        <v>0</v>
      </c>
      <c r="N104" s="450">
        <f t="shared" si="26"/>
        <v>1163426.5326920082</v>
      </c>
      <c r="O104" s="54">
        <f t="shared" si="27"/>
        <v>0</v>
      </c>
      <c r="P104" s="54">
        <f t="shared" si="28"/>
        <v>0</v>
      </c>
    </row>
    <row r="105" spans="1:16" ht="12.5">
      <c r="B105" s="7" t="str">
        <f t="shared" si="29"/>
        <v/>
      </c>
      <c r="C105" s="50">
        <f>IF(D93="","-",+C104+1)</f>
        <v>2022</v>
      </c>
      <c r="D105" s="429">
        <v>8119012.4455473628</v>
      </c>
      <c r="E105" s="430">
        <v>223368.16666666666</v>
      </c>
      <c r="F105" s="431">
        <v>7895644.2788806958</v>
      </c>
      <c r="G105" s="431">
        <v>8007328.3622140288</v>
      </c>
      <c r="H105" s="433">
        <v>1163891.6846246484</v>
      </c>
      <c r="I105" s="434">
        <v>1163891.6846246484</v>
      </c>
      <c r="J105" s="54">
        <f t="shared" si="23"/>
        <v>0</v>
      </c>
      <c r="K105" s="54"/>
      <c r="L105" s="450">
        <f t="shared" ref="L105" si="35">+H105</f>
        <v>1163891.6846246484</v>
      </c>
      <c r="M105" s="54">
        <f t="shared" ref="M105" si="36">IF(L105&lt;&gt;0,+H105-L105,0)</f>
        <v>0</v>
      </c>
      <c r="N105" s="450">
        <f t="shared" ref="N105" si="37">+I105</f>
        <v>1163891.6846246484</v>
      </c>
      <c r="O105" s="54">
        <f t="shared" ref="O105" si="38">IF(N105&lt;&gt;0,+I105-N105,0)</f>
        <v>0</v>
      </c>
      <c r="P105" s="54">
        <f t="shared" ref="P105" si="39">+O105-M105</f>
        <v>0</v>
      </c>
    </row>
    <row r="106" spans="1:16" ht="12.5">
      <c r="B106" s="7" t="str">
        <f t="shared" si="29"/>
        <v>IU</v>
      </c>
      <c r="C106" s="50">
        <f>IF(D93="","-",+C105+1)</f>
        <v>2023</v>
      </c>
      <c r="D106" s="429">
        <v>7895643.9988806965</v>
      </c>
      <c r="E106" s="430">
        <v>213215.06181818183</v>
      </c>
      <c r="F106" s="431">
        <v>7682428.9370625149</v>
      </c>
      <c r="G106" s="431">
        <v>7789036.4679716062</v>
      </c>
      <c r="H106" s="433">
        <v>1174109.9835508543</v>
      </c>
      <c r="I106" s="434">
        <v>1174109.9835508543</v>
      </c>
      <c r="J106" s="54">
        <f t="shared" si="23"/>
        <v>0</v>
      </c>
      <c r="K106" s="54"/>
      <c r="L106" s="450">
        <f t="shared" ref="L106" si="40">+H106</f>
        <v>1174109.9835508543</v>
      </c>
      <c r="M106" s="54">
        <f t="shared" ref="M106" si="41">IF(L106&lt;&gt;0,+H106-L106,0)</f>
        <v>0</v>
      </c>
      <c r="N106" s="450">
        <f t="shared" ref="N106" si="42">+I106</f>
        <v>1174109.9835508543</v>
      </c>
      <c r="O106" s="54">
        <f t="shared" ref="O106" si="43">IF(N106&lt;&gt;0,+I106-N106,0)</f>
        <v>0</v>
      </c>
      <c r="P106" s="54">
        <f t="shared" ref="P106" si="44">+O106-M106</f>
        <v>0</v>
      </c>
    </row>
    <row r="107" spans="1:16" ht="12.5">
      <c r="B107" s="7" t="str">
        <f t="shared" si="29"/>
        <v/>
      </c>
      <c r="C107" s="50">
        <f>IF(D93="","-",+C106+1)</f>
        <v>2024</v>
      </c>
      <c r="D107" s="12">
        <f>IF(F106+SUM(E$99:E106)=D$92,F106,D$92-SUM(E$99:E106))</f>
        <v>7682428.9370625149</v>
      </c>
      <c r="E107" s="378">
        <f>IF(+J96&lt;F106,J96,D107)</f>
        <v>213215.06181818183</v>
      </c>
      <c r="F107" s="55">
        <f t="shared" ref="F107:F130" si="45">+D107-E107</f>
        <v>7469213.8752443334</v>
      </c>
      <c r="G107" s="55">
        <f t="shared" ref="G107:G130" si="46">+(F107+D107)/2</f>
        <v>7575821.4061534237</v>
      </c>
      <c r="H107" s="380">
        <f t="shared" ref="H107:H154" si="47">+J$94*G107+E107</f>
        <v>1156604.3732776884</v>
      </c>
      <c r="I107" s="399">
        <f t="shared" ref="I107:I154" si="48">+J$95*G107+E107</f>
        <v>1156604.3732776884</v>
      </c>
      <c r="J107" s="54">
        <f t="shared" si="23"/>
        <v>0</v>
      </c>
      <c r="K107" s="54"/>
      <c r="L107" s="129"/>
      <c r="M107" s="54">
        <f t="shared" si="25"/>
        <v>0</v>
      </c>
      <c r="N107" s="129"/>
      <c r="O107" s="54">
        <f t="shared" si="27"/>
        <v>0</v>
      </c>
      <c r="P107" s="54">
        <f t="shared" si="28"/>
        <v>0</v>
      </c>
    </row>
    <row r="108" spans="1:16" ht="12.5">
      <c r="B108" s="7" t="str">
        <f t="shared" si="29"/>
        <v/>
      </c>
      <c r="C108" s="50">
        <f>IF(D93="","-",+C107+1)</f>
        <v>2025</v>
      </c>
      <c r="D108" s="12">
        <f>IF(F107+SUM(E$99:E107)=D$92,F107,D$92-SUM(E$99:E107))</f>
        <v>7469213.8752443334</v>
      </c>
      <c r="E108" s="378">
        <f>IF(+J96&lt;F107,J96,D108)</f>
        <v>213215.06181818183</v>
      </c>
      <c r="F108" s="55">
        <f t="shared" si="45"/>
        <v>7255998.8134261519</v>
      </c>
      <c r="G108" s="55">
        <f t="shared" si="46"/>
        <v>7362606.3443352431</v>
      </c>
      <c r="H108" s="380">
        <f t="shared" si="47"/>
        <v>1130053.4820174917</v>
      </c>
      <c r="I108" s="399">
        <f t="shared" si="48"/>
        <v>1130053.4820174917</v>
      </c>
      <c r="J108" s="54">
        <f t="shared" si="23"/>
        <v>0</v>
      </c>
      <c r="K108" s="54"/>
      <c r="L108" s="129"/>
      <c r="M108" s="54">
        <f t="shared" si="25"/>
        <v>0</v>
      </c>
      <c r="N108" s="129"/>
      <c r="O108" s="54">
        <f t="shared" si="27"/>
        <v>0</v>
      </c>
      <c r="P108" s="54">
        <f t="shared" si="28"/>
        <v>0</v>
      </c>
    </row>
    <row r="109" spans="1:16" ht="12.5">
      <c r="B109" s="7" t="str">
        <f t="shared" si="29"/>
        <v/>
      </c>
      <c r="C109" s="50">
        <f>IF(D93="","-",+C108+1)</f>
        <v>2026</v>
      </c>
      <c r="D109" s="12">
        <f>IF(F108+SUM(E$99:E108)=D$92,F108,D$92-SUM(E$99:E108))</f>
        <v>7255998.8134261519</v>
      </c>
      <c r="E109" s="378">
        <f>IF(+J96&lt;F108,J96,D109)</f>
        <v>213215.06181818183</v>
      </c>
      <c r="F109" s="55">
        <f t="shared" si="45"/>
        <v>7042783.7516079703</v>
      </c>
      <c r="G109" s="55">
        <f t="shared" si="46"/>
        <v>7149391.2825170606</v>
      </c>
      <c r="H109" s="380">
        <f t="shared" si="47"/>
        <v>1103502.5907572948</v>
      </c>
      <c r="I109" s="399">
        <f t="shared" si="48"/>
        <v>1103502.5907572948</v>
      </c>
      <c r="J109" s="54">
        <f t="shared" si="23"/>
        <v>0</v>
      </c>
      <c r="K109" s="54"/>
      <c r="L109" s="129"/>
      <c r="M109" s="54">
        <f t="shared" si="25"/>
        <v>0</v>
      </c>
      <c r="N109" s="129"/>
      <c r="O109" s="54">
        <f t="shared" si="27"/>
        <v>0</v>
      </c>
      <c r="P109" s="54">
        <f t="shared" si="28"/>
        <v>0</v>
      </c>
    </row>
    <row r="110" spans="1:16" ht="12.5">
      <c r="B110" s="7" t="str">
        <f t="shared" si="29"/>
        <v/>
      </c>
      <c r="C110" s="50">
        <f>IF(D93="","-",+C109+1)</f>
        <v>2027</v>
      </c>
      <c r="D110" s="12">
        <f>IF(F109+SUM(E$99:E109)=D$92,F109,D$92-SUM(E$99:E109))</f>
        <v>7042783.7516079703</v>
      </c>
      <c r="E110" s="378">
        <f>IF(+J96&lt;F109,J96,D110)</f>
        <v>213215.06181818183</v>
      </c>
      <c r="F110" s="55">
        <f t="shared" si="45"/>
        <v>6829568.6897897888</v>
      </c>
      <c r="G110" s="55">
        <f t="shared" si="46"/>
        <v>6936176.22069888</v>
      </c>
      <c r="H110" s="380">
        <f t="shared" si="47"/>
        <v>1076951.6994970983</v>
      </c>
      <c r="I110" s="399">
        <f t="shared" si="48"/>
        <v>1076951.6994970983</v>
      </c>
      <c r="J110" s="54">
        <f t="shared" si="23"/>
        <v>0</v>
      </c>
      <c r="K110" s="54"/>
      <c r="L110" s="129"/>
      <c r="M110" s="54">
        <f t="shared" si="25"/>
        <v>0</v>
      </c>
      <c r="N110" s="129"/>
      <c r="O110" s="54">
        <f t="shared" si="27"/>
        <v>0</v>
      </c>
      <c r="P110" s="54">
        <f t="shared" si="28"/>
        <v>0</v>
      </c>
    </row>
    <row r="111" spans="1:16" ht="12.5">
      <c r="B111" s="7" t="str">
        <f t="shared" si="29"/>
        <v/>
      </c>
      <c r="C111" s="50">
        <f>IF(D93="","-",+C110+1)</f>
        <v>2028</v>
      </c>
      <c r="D111" s="12">
        <f>IF(F110+SUM(E$99:E110)=D$92,F110,D$92-SUM(E$99:E110))</f>
        <v>6829568.6897897888</v>
      </c>
      <c r="E111" s="378">
        <f>IF(+J96&lt;F110,J96,D111)</f>
        <v>213215.06181818183</v>
      </c>
      <c r="F111" s="55">
        <f t="shared" si="45"/>
        <v>6616353.6279716073</v>
      </c>
      <c r="G111" s="55">
        <f t="shared" si="46"/>
        <v>6722961.1588806976</v>
      </c>
      <c r="H111" s="380">
        <f t="shared" si="47"/>
        <v>1050400.8082369014</v>
      </c>
      <c r="I111" s="399">
        <f t="shared" si="48"/>
        <v>1050400.8082369014</v>
      </c>
      <c r="J111" s="54">
        <f t="shared" si="23"/>
        <v>0</v>
      </c>
      <c r="K111" s="54"/>
      <c r="L111" s="129"/>
      <c r="M111" s="54">
        <f t="shared" si="25"/>
        <v>0</v>
      </c>
      <c r="N111" s="129"/>
      <c r="O111" s="54">
        <f t="shared" si="27"/>
        <v>0</v>
      </c>
      <c r="P111" s="54">
        <f t="shared" si="28"/>
        <v>0</v>
      </c>
    </row>
    <row r="112" spans="1:16" ht="12.5">
      <c r="B112" s="7" t="str">
        <f t="shared" si="29"/>
        <v/>
      </c>
      <c r="C112" s="50">
        <f>IF(D93="","-",+C111+1)</f>
        <v>2029</v>
      </c>
      <c r="D112" s="12">
        <f>IF(F111+SUM(E$99:E111)=D$92,F111,D$92-SUM(E$99:E111))</f>
        <v>6616353.6279716073</v>
      </c>
      <c r="E112" s="378">
        <f>IF(+J96&lt;F111,J96,D112)</f>
        <v>213215.06181818183</v>
      </c>
      <c r="F112" s="55">
        <f t="shared" si="45"/>
        <v>6403138.5661534257</v>
      </c>
      <c r="G112" s="55">
        <f t="shared" si="46"/>
        <v>6509746.097062517</v>
      </c>
      <c r="H112" s="380">
        <f t="shared" si="47"/>
        <v>1023849.9169767047</v>
      </c>
      <c r="I112" s="399">
        <f t="shared" si="48"/>
        <v>1023849.9169767047</v>
      </c>
      <c r="J112" s="54">
        <f t="shared" si="23"/>
        <v>0</v>
      </c>
      <c r="K112" s="54"/>
      <c r="L112" s="129"/>
      <c r="M112" s="54">
        <f t="shared" si="25"/>
        <v>0</v>
      </c>
      <c r="N112" s="129"/>
      <c r="O112" s="54">
        <f t="shared" si="27"/>
        <v>0</v>
      </c>
      <c r="P112" s="54">
        <f t="shared" si="28"/>
        <v>0</v>
      </c>
    </row>
    <row r="113" spans="2:16" ht="12.5">
      <c r="B113" s="7" t="str">
        <f t="shared" si="29"/>
        <v/>
      </c>
      <c r="C113" s="50">
        <f>IF(D93="","-",+C112+1)</f>
        <v>2030</v>
      </c>
      <c r="D113" s="12">
        <f>IF(F112+SUM(E$99:E112)=D$92,F112,D$92-SUM(E$99:E112))</f>
        <v>6403138.5661534257</v>
      </c>
      <c r="E113" s="378">
        <f>IF(+J96&lt;F112,J96,D113)</f>
        <v>213215.06181818183</v>
      </c>
      <c r="F113" s="55">
        <f t="shared" si="45"/>
        <v>6189923.5043352442</v>
      </c>
      <c r="G113" s="55">
        <f t="shared" si="46"/>
        <v>6296531.0352443345</v>
      </c>
      <c r="H113" s="380">
        <f t="shared" si="47"/>
        <v>997299.02571650781</v>
      </c>
      <c r="I113" s="399">
        <f t="shared" si="48"/>
        <v>997299.02571650781</v>
      </c>
      <c r="J113" s="54">
        <f t="shared" si="23"/>
        <v>0</v>
      </c>
      <c r="K113" s="54"/>
      <c r="L113" s="129"/>
      <c r="M113" s="54">
        <f t="shared" si="25"/>
        <v>0</v>
      </c>
      <c r="N113" s="129"/>
      <c r="O113" s="54">
        <f t="shared" si="27"/>
        <v>0</v>
      </c>
      <c r="P113" s="54">
        <f t="shared" si="28"/>
        <v>0</v>
      </c>
    </row>
    <row r="114" spans="2:16" ht="12.5">
      <c r="B114" s="7" t="str">
        <f t="shared" si="29"/>
        <v/>
      </c>
      <c r="C114" s="50">
        <f>IF(D93="","-",+C113+1)</f>
        <v>2031</v>
      </c>
      <c r="D114" s="12">
        <f>IF(F113+SUM(E$99:E113)=D$92,F113,D$92-SUM(E$99:E113))</f>
        <v>6189923.5043352442</v>
      </c>
      <c r="E114" s="378">
        <f>IF(+J96&lt;F113,J96,D114)</f>
        <v>213215.06181818183</v>
      </c>
      <c r="F114" s="55">
        <f t="shared" si="45"/>
        <v>5976708.4425170626</v>
      </c>
      <c r="G114" s="55">
        <f t="shared" si="46"/>
        <v>6083315.9734261539</v>
      </c>
      <c r="H114" s="380">
        <f t="shared" si="47"/>
        <v>970748.13445631112</v>
      </c>
      <c r="I114" s="399">
        <f t="shared" si="48"/>
        <v>970748.13445631112</v>
      </c>
      <c r="J114" s="54">
        <f t="shared" si="23"/>
        <v>0</v>
      </c>
      <c r="K114" s="54"/>
      <c r="L114" s="129"/>
      <c r="M114" s="54">
        <f t="shared" si="25"/>
        <v>0</v>
      </c>
      <c r="N114" s="129"/>
      <c r="O114" s="54">
        <f t="shared" si="27"/>
        <v>0</v>
      </c>
      <c r="P114" s="54">
        <f t="shared" si="28"/>
        <v>0</v>
      </c>
    </row>
    <row r="115" spans="2:16" ht="12.5">
      <c r="B115" s="7" t="str">
        <f t="shared" si="29"/>
        <v/>
      </c>
      <c r="C115" s="50">
        <f>IF(D93="","-",+C114+1)</f>
        <v>2032</v>
      </c>
      <c r="D115" s="12">
        <f>IF(F114+SUM(E$99:E114)=D$92,F114,D$92-SUM(E$99:E114))</f>
        <v>5976708.4425170626</v>
      </c>
      <c r="E115" s="378">
        <f>IF(+J96&lt;F114,J96,D115)</f>
        <v>213215.06181818183</v>
      </c>
      <c r="F115" s="55">
        <f t="shared" si="45"/>
        <v>5763493.3806988811</v>
      </c>
      <c r="G115" s="55">
        <f t="shared" si="46"/>
        <v>5870100.9116079714</v>
      </c>
      <c r="H115" s="380">
        <f t="shared" si="47"/>
        <v>944197.24319611443</v>
      </c>
      <c r="I115" s="399">
        <f t="shared" si="48"/>
        <v>944197.24319611443</v>
      </c>
      <c r="J115" s="54">
        <f t="shared" si="23"/>
        <v>0</v>
      </c>
      <c r="K115" s="54"/>
      <c r="L115" s="129"/>
      <c r="M115" s="54">
        <f t="shared" si="25"/>
        <v>0</v>
      </c>
      <c r="N115" s="129"/>
      <c r="O115" s="54">
        <f t="shared" si="27"/>
        <v>0</v>
      </c>
      <c r="P115" s="54">
        <f t="shared" si="28"/>
        <v>0</v>
      </c>
    </row>
    <row r="116" spans="2:16" ht="12.5">
      <c r="B116" s="7" t="str">
        <f t="shared" si="29"/>
        <v/>
      </c>
      <c r="C116" s="50">
        <f>IF(D93="","-",+C115+1)</f>
        <v>2033</v>
      </c>
      <c r="D116" s="12">
        <f>IF(F115+SUM(E$99:E115)=D$92,F115,D$92-SUM(E$99:E115))</f>
        <v>5763493.3806988811</v>
      </c>
      <c r="E116" s="378">
        <f>IF(+J96&lt;F115,J96,D116)</f>
        <v>213215.06181818183</v>
      </c>
      <c r="F116" s="55">
        <f t="shared" si="45"/>
        <v>5550278.3188806996</v>
      </c>
      <c r="G116" s="55">
        <f t="shared" si="46"/>
        <v>5656885.8497897908</v>
      </c>
      <c r="H116" s="380">
        <f t="shared" si="47"/>
        <v>917646.35193591774</v>
      </c>
      <c r="I116" s="399">
        <f t="shared" si="48"/>
        <v>917646.35193591774</v>
      </c>
      <c r="J116" s="54">
        <f t="shared" si="23"/>
        <v>0</v>
      </c>
      <c r="K116" s="54"/>
      <c r="L116" s="129"/>
      <c r="M116" s="54">
        <f t="shared" si="25"/>
        <v>0</v>
      </c>
      <c r="N116" s="129"/>
      <c r="O116" s="54">
        <f t="shared" si="27"/>
        <v>0</v>
      </c>
      <c r="P116" s="54">
        <f t="shared" si="28"/>
        <v>0</v>
      </c>
    </row>
    <row r="117" spans="2:16" ht="12.5">
      <c r="B117" s="7" t="str">
        <f t="shared" si="29"/>
        <v>IU</v>
      </c>
      <c r="C117" s="50">
        <f>IF(D93="","-",+C116+1)</f>
        <v>2034</v>
      </c>
      <c r="D117" s="12">
        <f>IF(F116+SUM(E$99:E116)=D$92,F116,D$92-SUM(E$99:E116))</f>
        <v>5550278.3188806949</v>
      </c>
      <c r="E117" s="378">
        <f>IF(+J96&lt;F116,J96,D117)</f>
        <v>213215.06181818183</v>
      </c>
      <c r="F117" s="55">
        <f t="shared" si="45"/>
        <v>5337063.2570625134</v>
      </c>
      <c r="G117" s="55">
        <f t="shared" si="46"/>
        <v>5443670.7879716046</v>
      </c>
      <c r="H117" s="380">
        <f t="shared" si="47"/>
        <v>891095.46067572036</v>
      </c>
      <c r="I117" s="399">
        <f t="shared" si="48"/>
        <v>891095.46067572036</v>
      </c>
      <c r="J117" s="54">
        <f t="shared" si="23"/>
        <v>0</v>
      </c>
      <c r="K117" s="54"/>
      <c r="L117" s="129"/>
      <c r="M117" s="54">
        <f t="shared" si="25"/>
        <v>0</v>
      </c>
      <c r="N117" s="129"/>
      <c r="O117" s="54">
        <f t="shared" si="27"/>
        <v>0</v>
      </c>
      <c r="P117" s="54">
        <f t="shared" si="28"/>
        <v>0</v>
      </c>
    </row>
    <row r="118" spans="2:16" ht="12.5">
      <c r="B118" s="7" t="str">
        <f t="shared" si="29"/>
        <v/>
      </c>
      <c r="C118" s="50">
        <f>IF(D93="","-",+C117+1)</f>
        <v>2035</v>
      </c>
      <c r="D118" s="12">
        <f>IF(F117+SUM(E$99:E117)=D$92,F117,D$92-SUM(E$99:E117))</f>
        <v>5337063.2570625134</v>
      </c>
      <c r="E118" s="378">
        <f>IF(+J96&lt;F117,J96,D118)</f>
        <v>213215.06181818183</v>
      </c>
      <c r="F118" s="55">
        <f t="shared" si="45"/>
        <v>5123848.1952443318</v>
      </c>
      <c r="G118" s="55">
        <f t="shared" si="46"/>
        <v>5230455.7261534221</v>
      </c>
      <c r="H118" s="380">
        <f t="shared" si="47"/>
        <v>864544.56941552344</v>
      </c>
      <c r="I118" s="399">
        <f t="shared" si="48"/>
        <v>864544.56941552344</v>
      </c>
      <c r="J118" s="54">
        <f t="shared" si="23"/>
        <v>0</v>
      </c>
      <c r="K118" s="54"/>
      <c r="L118" s="129"/>
      <c r="M118" s="54">
        <f t="shared" si="25"/>
        <v>0</v>
      </c>
      <c r="N118" s="129"/>
      <c r="O118" s="54">
        <f t="shared" si="27"/>
        <v>0</v>
      </c>
      <c r="P118" s="54">
        <f t="shared" si="28"/>
        <v>0</v>
      </c>
    </row>
    <row r="119" spans="2:16" ht="12.5">
      <c r="B119" s="7" t="str">
        <f t="shared" si="29"/>
        <v/>
      </c>
      <c r="C119" s="50">
        <f>IF(D93="","-",+C118+1)</f>
        <v>2036</v>
      </c>
      <c r="D119" s="12">
        <f>IF(F118+SUM(E$99:E118)=D$92,F118,D$92-SUM(E$99:E118))</f>
        <v>5123848.1952443318</v>
      </c>
      <c r="E119" s="378">
        <f>IF(+J96&lt;F118,J96,D119)</f>
        <v>213215.06181818183</v>
      </c>
      <c r="F119" s="55">
        <f t="shared" si="45"/>
        <v>4910633.1334261503</v>
      </c>
      <c r="G119" s="55">
        <f t="shared" si="46"/>
        <v>5017240.6643352415</v>
      </c>
      <c r="H119" s="380">
        <f t="shared" si="47"/>
        <v>837993.67815532698</v>
      </c>
      <c r="I119" s="399">
        <f t="shared" si="48"/>
        <v>837993.67815532698</v>
      </c>
      <c r="J119" s="54">
        <f t="shared" si="23"/>
        <v>0</v>
      </c>
      <c r="K119" s="54"/>
      <c r="L119" s="129"/>
      <c r="M119" s="54">
        <f t="shared" si="25"/>
        <v>0</v>
      </c>
      <c r="N119" s="129"/>
      <c r="O119" s="54">
        <f t="shared" si="27"/>
        <v>0</v>
      </c>
      <c r="P119" s="54">
        <f t="shared" si="28"/>
        <v>0</v>
      </c>
    </row>
    <row r="120" spans="2:16" ht="12.5">
      <c r="B120" s="7" t="str">
        <f t="shared" si="29"/>
        <v/>
      </c>
      <c r="C120" s="50">
        <f>IF(D93="","-",+C119+1)</f>
        <v>2037</v>
      </c>
      <c r="D120" s="12">
        <f>IF(F119+SUM(E$99:E119)=D$92,F119,D$92-SUM(E$99:E119))</f>
        <v>4910633.1334261503</v>
      </c>
      <c r="E120" s="378">
        <f>IF(+J96&lt;F119,J96,D120)</f>
        <v>213215.06181818183</v>
      </c>
      <c r="F120" s="55">
        <f t="shared" si="45"/>
        <v>4697418.0716079688</v>
      </c>
      <c r="G120" s="55">
        <f t="shared" si="46"/>
        <v>4804025.6025170591</v>
      </c>
      <c r="H120" s="380">
        <f t="shared" si="47"/>
        <v>811442.78689513006</v>
      </c>
      <c r="I120" s="399">
        <f t="shared" si="48"/>
        <v>811442.78689513006</v>
      </c>
      <c r="J120" s="54">
        <f t="shared" si="23"/>
        <v>0</v>
      </c>
      <c r="K120" s="54"/>
      <c r="L120" s="129"/>
      <c r="M120" s="54">
        <f t="shared" si="25"/>
        <v>0</v>
      </c>
      <c r="N120" s="129"/>
      <c r="O120" s="54">
        <f t="shared" si="27"/>
        <v>0</v>
      </c>
      <c r="P120" s="54">
        <f t="shared" si="28"/>
        <v>0</v>
      </c>
    </row>
    <row r="121" spans="2:16" ht="12.5">
      <c r="B121" s="7" t="str">
        <f t="shared" si="29"/>
        <v/>
      </c>
      <c r="C121" s="50">
        <f>IF(D93="","-",+C120+1)</f>
        <v>2038</v>
      </c>
      <c r="D121" s="12">
        <f>IF(F120+SUM(E$99:E120)=D$92,F120,D$92-SUM(E$99:E120))</f>
        <v>4697418.0716079688</v>
      </c>
      <c r="E121" s="378">
        <f>IF(+J96&lt;F120,J96,D121)</f>
        <v>213215.06181818183</v>
      </c>
      <c r="F121" s="55">
        <f t="shared" si="45"/>
        <v>4484203.0097897872</v>
      </c>
      <c r="G121" s="55">
        <f t="shared" si="46"/>
        <v>4590810.5406988785</v>
      </c>
      <c r="H121" s="380">
        <f t="shared" si="47"/>
        <v>784891.89563493337</v>
      </c>
      <c r="I121" s="399">
        <f t="shared" si="48"/>
        <v>784891.89563493337</v>
      </c>
      <c r="J121" s="54">
        <f t="shared" si="23"/>
        <v>0</v>
      </c>
      <c r="K121" s="54"/>
      <c r="L121" s="129"/>
      <c r="M121" s="54">
        <f t="shared" si="25"/>
        <v>0</v>
      </c>
      <c r="N121" s="129"/>
      <c r="O121" s="54">
        <f t="shared" si="27"/>
        <v>0</v>
      </c>
      <c r="P121" s="54">
        <f t="shared" si="28"/>
        <v>0</v>
      </c>
    </row>
    <row r="122" spans="2:16" ht="12.5">
      <c r="B122" s="7" t="str">
        <f t="shared" si="29"/>
        <v/>
      </c>
      <c r="C122" s="50">
        <f>IF(D93="","-",+C121+1)</f>
        <v>2039</v>
      </c>
      <c r="D122" s="12">
        <f>IF(F121+SUM(E$99:E121)=D$92,F121,D$92-SUM(E$99:E121))</f>
        <v>4484203.0097897872</v>
      </c>
      <c r="E122" s="378">
        <f>IF(+J96&lt;F121,J96,D122)</f>
        <v>213215.06181818183</v>
      </c>
      <c r="F122" s="55">
        <f t="shared" si="45"/>
        <v>4270987.9479716057</v>
      </c>
      <c r="G122" s="55">
        <f t="shared" si="46"/>
        <v>4377595.478880696</v>
      </c>
      <c r="H122" s="380">
        <f t="shared" si="47"/>
        <v>758341.00437473645</v>
      </c>
      <c r="I122" s="399">
        <f t="shared" si="48"/>
        <v>758341.00437473645</v>
      </c>
      <c r="J122" s="54">
        <f t="shared" si="23"/>
        <v>0</v>
      </c>
      <c r="K122" s="54"/>
      <c r="L122" s="129"/>
      <c r="M122" s="54">
        <f t="shared" si="25"/>
        <v>0</v>
      </c>
      <c r="N122" s="129"/>
      <c r="O122" s="54">
        <f t="shared" si="27"/>
        <v>0</v>
      </c>
      <c r="P122" s="54">
        <f t="shared" si="28"/>
        <v>0</v>
      </c>
    </row>
    <row r="123" spans="2:16" ht="12.5">
      <c r="B123" s="7" t="str">
        <f t="shared" si="29"/>
        <v/>
      </c>
      <c r="C123" s="50">
        <f>IF(D93="","-",+C122+1)</f>
        <v>2040</v>
      </c>
      <c r="D123" s="12">
        <f>IF(F122+SUM(E$99:E122)=D$92,F122,D$92-SUM(E$99:E122))</f>
        <v>4270987.9479716057</v>
      </c>
      <c r="E123" s="378">
        <f>IF(+J96&lt;F122,J96,D123)</f>
        <v>213215.06181818183</v>
      </c>
      <c r="F123" s="55">
        <f t="shared" si="45"/>
        <v>4057772.8861534237</v>
      </c>
      <c r="G123" s="55">
        <f t="shared" si="46"/>
        <v>4164380.4170625145</v>
      </c>
      <c r="H123" s="380">
        <f t="shared" si="47"/>
        <v>731790.11311453977</v>
      </c>
      <c r="I123" s="399">
        <f t="shared" si="48"/>
        <v>731790.11311453977</v>
      </c>
      <c r="J123" s="54">
        <f t="shared" si="23"/>
        <v>0</v>
      </c>
      <c r="K123" s="54"/>
      <c r="L123" s="129"/>
      <c r="M123" s="54">
        <f t="shared" si="25"/>
        <v>0</v>
      </c>
      <c r="N123" s="129"/>
      <c r="O123" s="54">
        <f t="shared" si="27"/>
        <v>0</v>
      </c>
      <c r="P123" s="54">
        <f t="shared" si="28"/>
        <v>0</v>
      </c>
    </row>
    <row r="124" spans="2:16" ht="12.5">
      <c r="B124" s="7" t="str">
        <f t="shared" si="29"/>
        <v/>
      </c>
      <c r="C124" s="50">
        <f>IF(D93="","-",+C123+1)</f>
        <v>2041</v>
      </c>
      <c r="D124" s="12">
        <f>IF(F123+SUM(E$99:E123)=D$92,F123,D$92-SUM(E$99:E123))</f>
        <v>4057772.8861534237</v>
      </c>
      <c r="E124" s="378">
        <f>IF(+J96&lt;F123,J96,D124)</f>
        <v>213215.06181818183</v>
      </c>
      <c r="F124" s="55">
        <f t="shared" si="45"/>
        <v>3844557.8243352417</v>
      </c>
      <c r="G124" s="55">
        <f t="shared" si="46"/>
        <v>3951165.3552443329</v>
      </c>
      <c r="H124" s="380">
        <f t="shared" si="47"/>
        <v>705239.22185434308</v>
      </c>
      <c r="I124" s="399">
        <f t="shared" si="48"/>
        <v>705239.22185434308</v>
      </c>
      <c r="J124" s="54">
        <f t="shared" si="23"/>
        <v>0</v>
      </c>
      <c r="K124" s="54"/>
      <c r="L124" s="129"/>
      <c r="M124" s="54">
        <f t="shared" si="25"/>
        <v>0</v>
      </c>
      <c r="N124" s="129"/>
      <c r="O124" s="54">
        <f t="shared" si="27"/>
        <v>0</v>
      </c>
      <c r="P124" s="54">
        <f t="shared" si="28"/>
        <v>0</v>
      </c>
    </row>
    <row r="125" spans="2:16" ht="12.5">
      <c r="B125" s="7" t="str">
        <f t="shared" si="29"/>
        <v/>
      </c>
      <c r="C125" s="50">
        <f>IF(D93="","-",+C124+1)</f>
        <v>2042</v>
      </c>
      <c r="D125" s="12">
        <f>IF(F124+SUM(E$99:E124)=D$92,F124,D$92-SUM(E$99:E124))</f>
        <v>3844557.8243352417</v>
      </c>
      <c r="E125" s="378">
        <f>IF(+J96&lt;F124,J96,D125)</f>
        <v>213215.06181818183</v>
      </c>
      <c r="F125" s="55">
        <f t="shared" si="45"/>
        <v>3631342.7625170597</v>
      </c>
      <c r="G125" s="55">
        <f t="shared" si="46"/>
        <v>3737950.2934261505</v>
      </c>
      <c r="H125" s="380">
        <f t="shared" si="47"/>
        <v>678688.33059414616</v>
      </c>
      <c r="I125" s="399">
        <f t="shared" si="48"/>
        <v>678688.33059414616</v>
      </c>
      <c r="J125" s="54">
        <f t="shared" si="23"/>
        <v>0</v>
      </c>
      <c r="K125" s="54"/>
      <c r="L125" s="129"/>
      <c r="M125" s="54">
        <f t="shared" si="25"/>
        <v>0</v>
      </c>
      <c r="N125" s="129"/>
      <c r="O125" s="54">
        <f t="shared" si="27"/>
        <v>0</v>
      </c>
      <c r="P125" s="54">
        <f t="shared" si="28"/>
        <v>0</v>
      </c>
    </row>
    <row r="126" spans="2:16" ht="12.5">
      <c r="B126" s="7" t="str">
        <f t="shared" si="29"/>
        <v/>
      </c>
      <c r="C126" s="50">
        <f>IF(D93="","-",+C125+1)</f>
        <v>2043</v>
      </c>
      <c r="D126" s="12">
        <f>IF(F125+SUM(E$99:E125)=D$92,F125,D$92-SUM(E$99:E125))</f>
        <v>3631342.7625170597</v>
      </c>
      <c r="E126" s="378">
        <f>IF(+J96&lt;F125,J96,D126)</f>
        <v>213215.06181818183</v>
      </c>
      <c r="F126" s="55">
        <f t="shared" si="45"/>
        <v>3418127.7006988777</v>
      </c>
      <c r="G126" s="55">
        <f t="shared" si="46"/>
        <v>3524735.2316079689</v>
      </c>
      <c r="H126" s="380">
        <f t="shared" si="47"/>
        <v>652137.43933394947</v>
      </c>
      <c r="I126" s="399">
        <f t="shared" si="48"/>
        <v>652137.43933394947</v>
      </c>
      <c r="J126" s="54">
        <f t="shared" si="23"/>
        <v>0</v>
      </c>
      <c r="K126" s="54"/>
      <c r="L126" s="129"/>
      <c r="M126" s="54">
        <f t="shared" si="25"/>
        <v>0</v>
      </c>
      <c r="N126" s="129"/>
      <c r="O126" s="54">
        <f t="shared" si="27"/>
        <v>0</v>
      </c>
      <c r="P126" s="54">
        <f t="shared" si="28"/>
        <v>0</v>
      </c>
    </row>
    <row r="127" spans="2:16" ht="12.5">
      <c r="B127" s="7" t="str">
        <f t="shared" si="29"/>
        <v/>
      </c>
      <c r="C127" s="50">
        <f>IF(D93="","-",+C126+1)</f>
        <v>2044</v>
      </c>
      <c r="D127" s="12">
        <f>IF(F126+SUM(E$99:E126)=D$92,F126,D$92-SUM(E$99:E126))</f>
        <v>3418127.7006988777</v>
      </c>
      <c r="E127" s="378">
        <f>IF(+J96&lt;F126,J96,D127)</f>
        <v>213215.06181818183</v>
      </c>
      <c r="F127" s="55">
        <f t="shared" si="45"/>
        <v>3204912.6388806957</v>
      </c>
      <c r="G127" s="55">
        <f t="shared" si="46"/>
        <v>3311520.1697897865</v>
      </c>
      <c r="H127" s="380">
        <f t="shared" si="47"/>
        <v>625586.54807375255</v>
      </c>
      <c r="I127" s="399">
        <f t="shared" si="48"/>
        <v>625586.54807375255</v>
      </c>
      <c r="J127" s="54">
        <f t="shared" si="23"/>
        <v>0</v>
      </c>
      <c r="K127" s="54"/>
      <c r="L127" s="129"/>
      <c r="M127" s="54">
        <f t="shared" si="25"/>
        <v>0</v>
      </c>
      <c r="N127" s="129"/>
      <c r="O127" s="54">
        <f t="shared" si="27"/>
        <v>0</v>
      </c>
      <c r="P127" s="54">
        <f t="shared" si="28"/>
        <v>0</v>
      </c>
    </row>
    <row r="128" spans="2:16" ht="12.5">
      <c r="B128" s="7" t="str">
        <f t="shared" si="29"/>
        <v/>
      </c>
      <c r="C128" s="50">
        <f>IF(D93="","-",+C127+1)</f>
        <v>2045</v>
      </c>
      <c r="D128" s="12">
        <f>IF(F127+SUM(E$99:E127)=D$92,F127,D$92-SUM(E$99:E127))</f>
        <v>3204912.6388806957</v>
      </c>
      <c r="E128" s="378">
        <f>IF(+J96&lt;F127,J96,D128)</f>
        <v>213215.06181818183</v>
      </c>
      <c r="F128" s="55">
        <f t="shared" si="45"/>
        <v>2991697.5770625137</v>
      </c>
      <c r="G128" s="55">
        <f t="shared" si="46"/>
        <v>3098305.1079716049</v>
      </c>
      <c r="H128" s="380">
        <f t="shared" si="47"/>
        <v>599035.65681355575</v>
      </c>
      <c r="I128" s="399">
        <f t="shared" si="48"/>
        <v>599035.65681355575</v>
      </c>
      <c r="J128" s="54">
        <f t="shared" si="23"/>
        <v>0</v>
      </c>
      <c r="K128" s="54"/>
      <c r="L128" s="129"/>
      <c r="M128" s="54">
        <f t="shared" si="25"/>
        <v>0</v>
      </c>
      <c r="N128" s="129"/>
      <c r="O128" s="54">
        <f t="shared" si="27"/>
        <v>0</v>
      </c>
      <c r="P128" s="54">
        <f t="shared" si="28"/>
        <v>0</v>
      </c>
    </row>
    <row r="129" spans="2:16" ht="12.5">
      <c r="B129" s="7" t="str">
        <f t="shared" si="29"/>
        <v/>
      </c>
      <c r="C129" s="50">
        <f>IF(D93="","-",+C128+1)</f>
        <v>2046</v>
      </c>
      <c r="D129" s="12">
        <f>IF(F128+SUM(E$99:E128)=D$92,F128,D$92-SUM(E$99:E128))</f>
        <v>2991697.5770625137</v>
      </c>
      <c r="E129" s="378">
        <f>IF(+J96&lt;F128,J96,D129)</f>
        <v>213215.06181818183</v>
      </c>
      <c r="F129" s="55">
        <f t="shared" si="45"/>
        <v>2778482.5152443317</v>
      </c>
      <c r="G129" s="55">
        <f t="shared" si="46"/>
        <v>2885090.0461534224</v>
      </c>
      <c r="H129" s="380">
        <f t="shared" si="47"/>
        <v>572484.76555335894</v>
      </c>
      <c r="I129" s="399">
        <f t="shared" si="48"/>
        <v>572484.76555335894</v>
      </c>
      <c r="J129" s="54">
        <f t="shared" si="23"/>
        <v>0</v>
      </c>
      <c r="K129" s="54"/>
      <c r="L129" s="129"/>
      <c r="M129" s="54">
        <f t="shared" si="25"/>
        <v>0</v>
      </c>
      <c r="N129" s="129"/>
      <c r="O129" s="54">
        <f t="shared" si="27"/>
        <v>0</v>
      </c>
      <c r="P129" s="54">
        <f t="shared" si="28"/>
        <v>0</v>
      </c>
    </row>
    <row r="130" spans="2:16" ht="12.5">
      <c r="B130" s="7" t="str">
        <f t="shared" si="29"/>
        <v/>
      </c>
      <c r="C130" s="50">
        <f>IF(D93="","-",+C129+1)</f>
        <v>2047</v>
      </c>
      <c r="D130" s="12">
        <f>IF(F129+SUM(E$99:E129)=D$92,F129,D$92-SUM(E$99:E129))</f>
        <v>2778482.5152443317</v>
      </c>
      <c r="E130" s="378">
        <f>IF(+J96&lt;F129,J96,D130)</f>
        <v>213215.06181818183</v>
      </c>
      <c r="F130" s="55">
        <f t="shared" si="45"/>
        <v>2565267.4534261497</v>
      </c>
      <c r="G130" s="55">
        <f t="shared" si="46"/>
        <v>2671874.9843352409</v>
      </c>
      <c r="H130" s="380">
        <f t="shared" si="47"/>
        <v>545933.87429316214</v>
      </c>
      <c r="I130" s="399">
        <f t="shared" si="48"/>
        <v>545933.87429316214</v>
      </c>
      <c r="J130" s="54">
        <f t="shared" si="23"/>
        <v>0</v>
      </c>
      <c r="K130" s="54"/>
      <c r="L130" s="129"/>
      <c r="M130" s="54">
        <f t="shared" si="25"/>
        <v>0</v>
      </c>
      <c r="N130" s="129"/>
      <c r="O130" s="54">
        <f t="shared" si="27"/>
        <v>0</v>
      </c>
      <c r="P130" s="54">
        <f t="shared" si="28"/>
        <v>0</v>
      </c>
    </row>
    <row r="131" spans="2:16" ht="12.5">
      <c r="B131" s="7" t="str">
        <f t="shared" si="29"/>
        <v/>
      </c>
      <c r="C131" s="50">
        <f>IF(D93="","-",+C130+1)</f>
        <v>2048</v>
      </c>
      <c r="D131" s="12">
        <f>IF(F130+SUM(E$99:E130)=D$92,F130,D$92-SUM(E$99:E130))</f>
        <v>2565267.4534261497</v>
      </c>
      <c r="E131" s="378">
        <f>IF(+J96&lt;F130,J96,D131)</f>
        <v>213215.06181818183</v>
      </c>
      <c r="F131" s="55">
        <f t="shared" ref="F131:F154" si="49">+D131-E131</f>
        <v>2352052.3916079677</v>
      </c>
      <c r="G131" s="55">
        <f t="shared" ref="G131:G154" si="50">+(F131+D131)/2</f>
        <v>2458659.9225170584</v>
      </c>
      <c r="H131" s="380">
        <f t="shared" si="47"/>
        <v>519382.98303296528</v>
      </c>
      <c r="I131" s="399">
        <f t="shared" si="48"/>
        <v>519382.98303296528</v>
      </c>
      <c r="J131" s="54">
        <f t="shared" ref="J131:J154" si="51">+I541-H541</f>
        <v>0</v>
      </c>
      <c r="K131" s="54"/>
      <c r="L131" s="129"/>
      <c r="M131" s="54">
        <f t="shared" ref="M131:M154" si="52">IF(L541&lt;&gt;0,+H541-L541,0)</f>
        <v>0</v>
      </c>
      <c r="N131" s="129"/>
      <c r="O131" s="54">
        <f t="shared" ref="O131:O154" si="53">IF(N541&lt;&gt;0,+I541-N541,0)</f>
        <v>0</v>
      </c>
      <c r="P131" s="54">
        <f t="shared" ref="P131:P154" si="54">+O541-M541</f>
        <v>0</v>
      </c>
    </row>
    <row r="132" spans="2:16" ht="12.5">
      <c r="B132" s="7" t="str">
        <f t="shared" si="29"/>
        <v/>
      </c>
      <c r="C132" s="50">
        <f>IF(D93="","-",+C131+1)</f>
        <v>2049</v>
      </c>
      <c r="D132" s="12">
        <f>IF(F131+SUM(E$99:E131)=D$92,F131,D$92-SUM(E$99:E131))</f>
        <v>2352052.3916079677</v>
      </c>
      <c r="E132" s="378">
        <f>IF(+J96&lt;F131,J96,D132)</f>
        <v>213215.06181818183</v>
      </c>
      <c r="F132" s="55">
        <f t="shared" si="49"/>
        <v>2138837.3297897857</v>
      </c>
      <c r="G132" s="55">
        <f t="shared" si="50"/>
        <v>2245444.8606988769</v>
      </c>
      <c r="H132" s="380">
        <f t="shared" si="47"/>
        <v>492832.09177276853</v>
      </c>
      <c r="I132" s="399">
        <f t="shared" si="48"/>
        <v>492832.09177276853</v>
      </c>
      <c r="J132" s="54">
        <f t="shared" si="51"/>
        <v>0</v>
      </c>
      <c r="K132" s="54"/>
      <c r="L132" s="129"/>
      <c r="M132" s="54">
        <f t="shared" si="52"/>
        <v>0</v>
      </c>
      <c r="N132" s="129"/>
      <c r="O132" s="54">
        <f t="shared" si="53"/>
        <v>0</v>
      </c>
      <c r="P132" s="54">
        <f t="shared" si="54"/>
        <v>0</v>
      </c>
    </row>
    <row r="133" spans="2:16" ht="12.5">
      <c r="B133" s="7" t="str">
        <f t="shared" si="29"/>
        <v/>
      </c>
      <c r="C133" s="50">
        <f>IF(D93="","-",+C132+1)</f>
        <v>2050</v>
      </c>
      <c r="D133" s="12">
        <f>IF(F132+SUM(E$99:E132)=D$92,F132,D$92-SUM(E$99:E132))</f>
        <v>2138837.3297897857</v>
      </c>
      <c r="E133" s="378">
        <f>IF(+J96&lt;F132,J96,D133)</f>
        <v>213215.06181818183</v>
      </c>
      <c r="F133" s="55">
        <f t="shared" si="49"/>
        <v>1925622.2679716039</v>
      </c>
      <c r="G133" s="55">
        <f t="shared" si="50"/>
        <v>2032229.7988806949</v>
      </c>
      <c r="H133" s="380">
        <f t="shared" si="47"/>
        <v>466281.20051257173</v>
      </c>
      <c r="I133" s="399">
        <f t="shared" si="48"/>
        <v>466281.20051257173</v>
      </c>
      <c r="J133" s="54">
        <f t="shared" si="51"/>
        <v>0</v>
      </c>
      <c r="K133" s="54"/>
      <c r="L133" s="129"/>
      <c r="M133" s="54">
        <f t="shared" si="52"/>
        <v>0</v>
      </c>
      <c r="N133" s="129"/>
      <c r="O133" s="54">
        <f t="shared" si="53"/>
        <v>0</v>
      </c>
      <c r="P133" s="54">
        <f t="shared" si="54"/>
        <v>0</v>
      </c>
    </row>
    <row r="134" spans="2:16" ht="12.5">
      <c r="B134" s="7" t="str">
        <f t="shared" si="29"/>
        <v/>
      </c>
      <c r="C134" s="50">
        <f>IF(D93="","-",+C133+1)</f>
        <v>2051</v>
      </c>
      <c r="D134" s="12">
        <f>IF(F133+SUM(E$99:E133)=D$92,F133,D$92-SUM(E$99:E133))</f>
        <v>1925622.2679716039</v>
      </c>
      <c r="E134" s="378">
        <f>IF(+J96&lt;F133,J96,D134)</f>
        <v>213215.06181818183</v>
      </c>
      <c r="F134" s="55">
        <f t="shared" si="49"/>
        <v>1712407.2061534221</v>
      </c>
      <c r="G134" s="55">
        <f t="shared" si="50"/>
        <v>1819014.7370625129</v>
      </c>
      <c r="H134" s="380">
        <f t="shared" si="47"/>
        <v>439730.30925237492</v>
      </c>
      <c r="I134" s="399">
        <f t="shared" si="48"/>
        <v>439730.30925237492</v>
      </c>
      <c r="J134" s="54">
        <f t="shared" si="51"/>
        <v>0</v>
      </c>
      <c r="K134" s="54"/>
      <c r="L134" s="129"/>
      <c r="M134" s="54">
        <f t="shared" si="52"/>
        <v>0</v>
      </c>
      <c r="N134" s="129"/>
      <c r="O134" s="54">
        <f t="shared" si="53"/>
        <v>0</v>
      </c>
      <c r="P134" s="54">
        <f t="shared" si="54"/>
        <v>0</v>
      </c>
    </row>
    <row r="135" spans="2:16" ht="12.5">
      <c r="B135" s="7" t="str">
        <f t="shared" si="29"/>
        <v/>
      </c>
      <c r="C135" s="50">
        <f>IF(D93="","-",+C134+1)</f>
        <v>2052</v>
      </c>
      <c r="D135" s="12">
        <f>IF(F134+SUM(E$99:E134)=D$92,F134,D$92-SUM(E$99:E134))</f>
        <v>1712407.2061534221</v>
      </c>
      <c r="E135" s="378">
        <f>IF(+J96&lt;F134,J96,D135)</f>
        <v>213215.06181818183</v>
      </c>
      <c r="F135" s="55">
        <f t="shared" si="49"/>
        <v>1499192.1443352404</v>
      </c>
      <c r="G135" s="55">
        <f t="shared" si="50"/>
        <v>1605799.6752443314</v>
      </c>
      <c r="H135" s="380">
        <f t="shared" si="47"/>
        <v>413179.41799217818</v>
      </c>
      <c r="I135" s="399">
        <f t="shared" si="48"/>
        <v>413179.41799217818</v>
      </c>
      <c r="J135" s="54">
        <f t="shared" si="51"/>
        <v>0</v>
      </c>
      <c r="K135" s="54"/>
      <c r="L135" s="129"/>
      <c r="M135" s="54">
        <f t="shared" si="52"/>
        <v>0</v>
      </c>
      <c r="N135" s="129"/>
      <c r="O135" s="54">
        <f t="shared" si="53"/>
        <v>0</v>
      </c>
      <c r="P135" s="54">
        <f t="shared" si="54"/>
        <v>0</v>
      </c>
    </row>
    <row r="136" spans="2:16" ht="12.5">
      <c r="B136" s="7" t="str">
        <f t="shared" si="29"/>
        <v/>
      </c>
      <c r="C136" s="50">
        <f>IF(D93="","-",+C135+1)</f>
        <v>2053</v>
      </c>
      <c r="D136" s="12">
        <f>IF(F135+SUM(E$99:E135)=D$92,F135,D$92-SUM(E$99:E135))</f>
        <v>1499192.1443352404</v>
      </c>
      <c r="E136" s="378">
        <f>IF(+J96&lt;F135,J96,D136)</f>
        <v>213215.06181818183</v>
      </c>
      <c r="F136" s="55">
        <f t="shared" si="49"/>
        <v>1285977.0825170586</v>
      </c>
      <c r="G136" s="55">
        <f t="shared" si="50"/>
        <v>1392584.6134261494</v>
      </c>
      <c r="H136" s="380">
        <f t="shared" si="47"/>
        <v>386628.52673198131</v>
      </c>
      <c r="I136" s="399">
        <f t="shared" si="48"/>
        <v>386628.52673198131</v>
      </c>
      <c r="J136" s="54">
        <f t="shared" si="51"/>
        <v>0</v>
      </c>
      <c r="K136" s="54"/>
      <c r="L136" s="129"/>
      <c r="M136" s="54">
        <f t="shared" si="52"/>
        <v>0</v>
      </c>
      <c r="N136" s="129"/>
      <c r="O136" s="54">
        <f t="shared" si="53"/>
        <v>0</v>
      </c>
      <c r="P136" s="54">
        <f t="shared" si="54"/>
        <v>0</v>
      </c>
    </row>
    <row r="137" spans="2:16" ht="12.5">
      <c r="B137" s="7" t="str">
        <f t="shared" si="29"/>
        <v/>
      </c>
      <c r="C137" s="50">
        <f>IF(D93="","-",+C136+1)</f>
        <v>2054</v>
      </c>
      <c r="D137" s="12">
        <f>IF(F136+SUM(E$99:E136)=D$92,F136,D$92-SUM(E$99:E136))</f>
        <v>1285977.0825170586</v>
      </c>
      <c r="E137" s="378">
        <f>IF(+J96&lt;F136,J96,D137)</f>
        <v>213215.06181818183</v>
      </c>
      <c r="F137" s="55">
        <f t="shared" si="49"/>
        <v>1072762.0206988768</v>
      </c>
      <c r="G137" s="55">
        <f t="shared" si="50"/>
        <v>1179369.5516079678</v>
      </c>
      <c r="H137" s="380">
        <f t="shared" si="47"/>
        <v>360077.63547178463</v>
      </c>
      <c r="I137" s="399">
        <f t="shared" si="48"/>
        <v>360077.63547178463</v>
      </c>
      <c r="J137" s="54">
        <f t="shared" si="51"/>
        <v>0</v>
      </c>
      <c r="K137" s="54"/>
      <c r="L137" s="129"/>
      <c r="M137" s="54">
        <f t="shared" si="52"/>
        <v>0</v>
      </c>
      <c r="N137" s="129"/>
      <c r="O137" s="54">
        <f t="shared" si="53"/>
        <v>0</v>
      </c>
      <c r="P137" s="54">
        <f t="shared" si="54"/>
        <v>0</v>
      </c>
    </row>
    <row r="138" spans="2:16" ht="12.5">
      <c r="B138" s="7" t="str">
        <f t="shared" si="29"/>
        <v/>
      </c>
      <c r="C138" s="50">
        <f>IF(D93="","-",+C137+1)</f>
        <v>2055</v>
      </c>
      <c r="D138" s="12">
        <f>IF(F137+SUM(E$99:E137)=D$92,F137,D$92-SUM(E$99:E137))</f>
        <v>1072762.0206988768</v>
      </c>
      <c r="E138" s="378">
        <f>IF(+J96&lt;F137,J96,D138)</f>
        <v>213215.06181818183</v>
      </c>
      <c r="F138" s="55">
        <f t="shared" si="49"/>
        <v>859546.95888069505</v>
      </c>
      <c r="G138" s="55">
        <f t="shared" si="50"/>
        <v>966154.48978978593</v>
      </c>
      <c r="H138" s="380">
        <f t="shared" si="47"/>
        <v>333526.74421158782</v>
      </c>
      <c r="I138" s="399">
        <f t="shared" si="48"/>
        <v>333526.74421158782</v>
      </c>
      <c r="J138" s="54">
        <f t="shared" si="51"/>
        <v>0</v>
      </c>
      <c r="K138" s="54"/>
      <c r="L138" s="129"/>
      <c r="M138" s="54">
        <f t="shared" si="52"/>
        <v>0</v>
      </c>
      <c r="N138" s="129"/>
      <c r="O138" s="54">
        <f t="shared" si="53"/>
        <v>0</v>
      </c>
      <c r="P138" s="54">
        <f t="shared" si="54"/>
        <v>0</v>
      </c>
    </row>
    <row r="139" spans="2:16" ht="12.5">
      <c r="B139" s="7" t="str">
        <f t="shared" si="29"/>
        <v/>
      </c>
      <c r="C139" s="50">
        <f>IF(D93="","-",+C138+1)</f>
        <v>2056</v>
      </c>
      <c r="D139" s="12">
        <f>IF(F138+SUM(E$99:E138)=D$92,F138,D$92-SUM(E$99:E138))</f>
        <v>859546.95888069505</v>
      </c>
      <c r="E139" s="378">
        <f>IF(+J96&lt;F138,J96,D139)</f>
        <v>213215.06181818183</v>
      </c>
      <c r="F139" s="55">
        <f t="shared" si="49"/>
        <v>646331.89706251328</v>
      </c>
      <c r="G139" s="55">
        <f t="shared" si="50"/>
        <v>752939.42797160416</v>
      </c>
      <c r="H139" s="380">
        <f t="shared" si="47"/>
        <v>306975.85295139102</v>
      </c>
      <c r="I139" s="399">
        <f t="shared" si="48"/>
        <v>306975.85295139102</v>
      </c>
      <c r="J139" s="54">
        <f t="shared" si="51"/>
        <v>0</v>
      </c>
      <c r="K139" s="54"/>
      <c r="L139" s="129"/>
      <c r="M139" s="54">
        <f t="shared" si="52"/>
        <v>0</v>
      </c>
      <c r="N139" s="129"/>
      <c r="O139" s="54">
        <f t="shared" si="53"/>
        <v>0</v>
      </c>
      <c r="P139" s="54">
        <f t="shared" si="54"/>
        <v>0</v>
      </c>
    </row>
    <row r="140" spans="2:16" ht="12.5">
      <c r="B140" s="7" t="str">
        <f t="shared" si="29"/>
        <v/>
      </c>
      <c r="C140" s="50">
        <f>IF(D93="","-",+C139+1)</f>
        <v>2057</v>
      </c>
      <c r="D140" s="12">
        <f>IF(F139+SUM(E$99:E139)=D$92,F139,D$92-SUM(E$99:E139))</f>
        <v>646331.89706251328</v>
      </c>
      <c r="E140" s="378">
        <f>IF(+J96&lt;F139,J96,D140)</f>
        <v>213215.06181818183</v>
      </c>
      <c r="F140" s="55">
        <f t="shared" si="49"/>
        <v>433116.83524433145</v>
      </c>
      <c r="G140" s="55">
        <f t="shared" si="50"/>
        <v>539724.36615342239</v>
      </c>
      <c r="H140" s="380">
        <f t="shared" si="47"/>
        <v>280424.96169119421</v>
      </c>
      <c r="I140" s="399">
        <f t="shared" si="48"/>
        <v>280424.96169119421</v>
      </c>
      <c r="J140" s="54">
        <f t="shared" si="51"/>
        <v>0</v>
      </c>
      <c r="K140" s="54"/>
      <c r="L140" s="129"/>
      <c r="M140" s="54">
        <f t="shared" si="52"/>
        <v>0</v>
      </c>
      <c r="N140" s="129"/>
      <c r="O140" s="54">
        <f t="shared" si="53"/>
        <v>0</v>
      </c>
      <c r="P140" s="54">
        <f t="shared" si="54"/>
        <v>0</v>
      </c>
    </row>
    <row r="141" spans="2:16" ht="12.5">
      <c r="B141" s="7" t="str">
        <f t="shared" si="29"/>
        <v/>
      </c>
      <c r="C141" s="50">
        <f>IF(D93="","-",+C140+1)</f>
        <v>2058</v>
      </c>
      <c r="D141" s="12">
        <f>IF(F140+SUM(E$99:E140)=D$92,F140,D$92-SUM(E$99:E140))</f>
        <v>433116.83524433145</v>
      </c>
      <c r="E141" s="378">
        <f>IF(+J96&lt;F140,J96,D141)</f>
        <v>213215.06181818183</v>
      </c>
      <c r="F141" s="55">
        <f t="shared" si="49"/>
        <v>219901.77342614962</v>
      </c>
      <c r="G141" s="55">
        <f t="shared" si="50"/>
        <v>326509.30433524051</v>
      </c>
      <c r="H141" s="380">
        <f t="shared" si="47"/>
        <v>253874.07043099747</v>
      </c>
      <c r="I141" s="399">
        <f t="shared" si="48"/>
        <v>253874.07043099747</v>
      </c>
      <c r="J141" s="54">
        <f t="shared" si="51"/>
        <v>0</v>
      </c>
      <c r="K141" s="54"/>
      <c r="L141" s="129"/>
      <c r="M141" s="54">
        <f t="shared" si="52"/>
        <v>0</v>
      </c>
      <c r="N141" s="129"/>
      <c r="O141" s="54">
        <f t="shared" si="53"/>
        <v>0</v>
      </c>
      <c r="P141" s="54">
        <f t="shared" si="54"/>
        <v>0</v>
      </c>
    </row>
    <row r="142" spans="2:16" ht="12.5">
      <c r="B142" s="7" t="str">
        <f t="shared" si="29"/>
        <v/>
      </c>
      <c r="C142" s="50">
        <f>IF(D93="","-",+C141+1)</f>
        <v>2059</v>
      </c>
      <c r="D142" s="12">
        <f>IF(F141+SUM(E$99:E141)=D$92,F141,D$92-SUM(E$99:E141))</f>
        <v>219901.77342614962</v>
      </c>
      <c r="E142" s="378">
        <f>IF(+J96&lt;F141,J96,D142)</f>
        <v>213215.06181818183</v>
      </c>
      <c r="F142" s="55">
        <f t="shared" si="49"/>
        <v>6686.7116079677944</v>
      </c>
      <c r="G142" s="55">
        <f t="shared" si="50"/>
        <v>113294.24251705871</v>
      </c>
      <c r="H142" s="380">
        <f t="shared" si="47"/>
        <v>227323.17917080066</v>
      </c>
      <c r="I142" s="399">
        <f t="shared" si="48"/>
        <v>227323.17917080066</v>
      </c>
      <c r="J142" s="54">
        <f t="shared" si="51"/>
        <v>0</v>
      </c>
      <c r="K142" s="54"/>
      <c r="L142" s="129"/>
      <c r="M142" s="54">
        <f t="shared" si="52"/>
        <v>0</v>
      </c>
      <c r="N142" s="129"/>
      <c r="O142" s="54">
        <f t="shared" si="53"/>
        <v>0</v>
      </c>
      <c r="P142" s="54">
        <f t="shared" si="54"/>
        <v>0</v>
      </c>
    </row>
    <row r="143" spans="2:16" ht="12.5">
      <c r="B143" s="7" t="str">
        <f t="shared" si="29"/>
        <v/>
      </c>
      <c r="C143" s="50">
        <f>IF(D93="","-",+C142+1)</f>
        <v>2060</v>
      </c>
      <c r="D143" s="12">
        <f>IF(F142+SUM(E$99:E142)=D$92,F142,D$92-SUM(E$99:E142))</f>
        <v>6686.7116079677944</v>
      </c>
      <c r="E143" s="378">
        <f>IF(+J96&lt;F142,J96,D143)</f>
        <v>6686.7116079677944</v>
      </c>
      <c r="F143" s="55">
        <f t="shared" si="49"/>
        <v>0</v>
      </c>
      <c r="G143" s="55">
        <f t="shared" si="50"/>
        <v>3343.3558039838972</v>
      </c>
      <c r="H143" s="380">
        <f t="shared" si="47"/>
        <v>7103.0474692280168</v>
      </c>
      <c r="I143" s="399">
        <f t="shared" si="48"/>
        <v>7103.0474692280168</v>
      </c>
      <c r="J143" s="54">
        <f t="shared" si="51"/>
        <v>0</v>
      </c>
      <c r="K143" s="54"/>
      <c r="L143" s="129"/>
      <c r="M143" s="54">
        <f t="shared" si="52"/>
        <v>0</v>
      </c>
      <c r="N143" s="129"/>
      <c r="O143" s="54">
        <f t="shared" si="53"/>
        <v>0</v>
      </c>
      <c r="P143" s="54">
        <f t="shared" si="54"/>
        <v>0</v>
      </c>
    </row>
    <row r="144" spans="2:16" ht="12.5">
      <c r="B144" s="7" t="str">
        <f t="shared" si="29"/>
        <v/>
      </c>
      <c r="C144" s="50">
        <f>IF(D93="","-",+C143+1)</f>
        <v>2061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49"/>
        <v>0</v>
      </c>
      <c r="G144" s="55">
        <f t="shared" si="50"/>
        <v>0</v>
      </c>
      <c r="H144" s="380">
        <f t="shared" si="47"/>
        <v>0</v>
      </c>
      <c r="I144" s="399">
        <f t="shared" si="48"/>
        <v>0</v>
      </c>
      <c r="J144" s="54">
        <f t="shared" si="51"/>
        <v>0</v>
      </c>
      <c r="K144" s="54"/>
      <c r="L144" s="129"/>
      <c r="M144" s="54">
        <f t="shared" si="52"/>
        <v>0</v>
      </c>
      <c r="N144" s="129"/>
      <c r="O144" s="54">
        <f t="shared" si="53"/>
        <v>0</v>
      </c>
      <c r="P144" s="54">
        <f t="shared" si="54"/>
        <v>0</v>
      </c>
    </row>
    <row r="145" spans="2:16" ht="12.5">
      <c r="B145" s="7" t="str">
        <f t="shared" si="29"/>
        <v/>
      </c>
      <c r="C145" s="50">
        <f>IF(D93="","-",+C144+1)</f>
        <v>2062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49"/>
        <v>0</v>
      </c>
      <c r="G145" s="55">
        <f t="shared" si="50"/>
        <v>0</v>
      </c>
      <c r="H145" s="380">
        <f t="shared" si="47"/>
        <v>0</v>
      </c>
      <c r="I145" s="399">
        <f t="shared" si="48"/>
        <v>0</v>
      </c>
      <c r="J145" s="54">
        <f t="shared" si="51"/>
        <v>0</v>
      </c>
      <c r="K145" s="54"/>
      <c r="L145" s="129"/>
      <c r="M145" s="54">
        <f t="shared" si="52"/>
        <v>0</v>
      </c>
      <c r="N145" s="129"/>
      <c r="O145" s="54">
        <f t="shared" si="53"/>
        <v>0</v>
      </c>
      <c r="P145" s="54">
        <f t="shared" si="54"/>
        <v>0</v>
      </c>
    </row>
    <row r="146" spans="2:16" ht="12.5">
      <c r="B146" s="7" t="str">
        <f t="shared" si="29"/>
        <v/>
      </c>
      <c r="C146" s="50">
        <f>IF(D93="","-",+C145+1)</f>
        <v>2063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49"/>
        <v>0</v>
      </c>
      <c r="G146" s="55">
        <f t="shared" si="50"/>
        <v>0</v>
      </c>
      <c r="H146" s="380">
        <f t="shared" si="47"/>
        <v>0</v>
      </c>
      <c r="I146" s="399">
        <f t="shared" si="48"/>
        <v>0</v>
      </c>
      <c r="J146" s="54">
        <f t="shared" si="51"/>
        <v>0</v>
      </c>
      <c r="K146" s="54"/>
      <c r="L146" s="129"/>
      <c r="M146" s="54">
        <f t="shared" si="52"/>
        <v>0</v>
      </c>
      <c r="N146" s="129"/>
      <c r="O146" s="54">
        <f t="shared" si="53"/>
        <v>0</v>
      </c>
      <c r="P146" s="54">
        <f t="shared" si="54"/>
        <v>0</v>
      </c>
    </row>
    <row r="147" spans="2:16" ht="12.5">
      <c r="B147" s="7" t="str">
        <f t="shared" si="29"/>
        <v/>
      </c>
      <c r="C147" s="50">
        <f>IF(D93="","-",+C146+1)</f>
        <v>2064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49"/>
        <v>0</v>
      </c>
      <c r="G147" s="55">
        <f t="shared" si="50"/>
        <v>0</v>
      </c>
      <c r="H147" s="380">
        <f t="shared" si="47"/>
        <v>0</v>
      </c>
      <c r="I147" s="399">
        <f t="shared" si="48"/>
        <v>0</v>
      </c>
      <c r="J147" s="54">
        <f t="shared" si="51"/>
        <v>0</v>
      </c>
      <c r="K147" s="54"/>
      <c r="L147" s="129"/>
      <c r="M147" s="54">
        <f t="shared" si="52"/>
        <v>0</v>
      </c>
      <c r="N147" s="129"/>
      <c r="O147" s="54">
        <f t="shared" si="53"/>
        <v>0</v>
      </c>
      <c r="P147" s="54">
        <f t="shared" si="54"/>
        <v>0</v>
      </c>
    </row>
    <row r="148" spans="2:16" ht="12.5">
      <c r="B148" s="7" t="str">
        <f t="shared" si="29"/>
        <v/>
      </c>
      <c r="C148" s="50">
        <f>IF(D93="","-",+C147+1)</f>
        <v>2065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49"/>
        <v>0</v>
      </c>
      <c r="G148" s="55">
        <f t="shared" si="50"/>
        <v>0</v>
      </c>
      <c r="H148" s="380">
        <f t="shared" si="47"/>
        <v>0</v>
      </c>
      <c r="I148" s="399">
        <f t="shared" si="48"/>
        <v>0</v>
      </c>
      <c r="J148" s="54">
        <f t="shared" si="51"/>
        <v>0</v>
      </c>
      <c r="K148" s="54"/>
      <c r="L148" s="129"/>
      <c r="M148" s="54">
        <f t="shared" si="52"/>
        <v>0</v>
      </c>
      <c r="N148" s="129"/>
      <c r="O148" s="54">
        <f t="shared" si="53"/>
        <v>0</v>
      </c>
      <c r="P148" s="54">
        <f t="shared" si="54"/>
        <v>0</v>
      </c>
    </row>
    <row r="149" spans="2:16" ht="12.5">
      <c r="B149" s="7" t="str">
        <f t="shared" si="29"/>
        <v/>
      </c>
      <c r="C149" s="50">
        <f>IF(D93="","-",+C148+1)</f>
        <v>2066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49"/>
        <v>0</v>
      </c>
      <c r="G149" s="55">
        <f t="shared" si="50"/>
        <v>0</v>
      </c>
      <c r="H149" s="380">
        <f t="shared" si="47"/>
        <v>0</v>
      </c>
      <c r="I149" s="399">
        <f t="shared" si="48"/>
        <v>0</v>
      </c>
      <c r="J149" s="54">
        <f t="shared" si="51"/>
        <v>0</v>
      </c>
      <c r="K149" s="54"/>
      <c r="L149" s="129"/>
      <c r="M149" s="54">
        <f t="shared" si="52"/>
        <v>0</v>
      </c>
      <c r="N149" s="129"/>
      <c r="O149" s="54">
        <f t="shared" si="53"/>
        <v>0</v>
      </c>
      <c r="P149" s="54">
        <f t="shared" si="54"/>
        <v>0</v>
      </c>
    </row>
    <row r="150" spans="2:16" ht="12.5">
      <c r="B150" s="7" t="str">
        <f t="shared" si="29"/>
        <v/>
      </c>
      <c r="C150" s="50">
        <f>IF(D93="","-",+C149+1)</f>
        <v>2067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49"/>
        <v>0</v>
      </c>
      <c r="G150" s="55">
        <f t="shared" si="50"/>
        <v>0</v>
      </c>
      <c r="H150" s="380">
        <f t="shared" si="47"/>
        <v>0</v>
      </c>
      <c r="I150" s="399">
        <f t="shared" si="48"/>
        <v>0</v>
      </c>
      <c r="J150" s="54">
        <f t="shared" si="51"/>
        <v>0</v>
      </c>
      <c r="K150" s="54"/>
      <c r="L150" s="129"/>
      <c r="M150" s="54">
        <f t="shared" si="52"/>
        <v>0</v>
      </c>
      <c r="N150" s="129"/>
      <c r="O150" s="54">
        <f t="shared" si="53"/>
        <v>0</v>
      </c>
      <c r="P150" s="54">
        <f t="shared" si="54"/>
        <v>0</v>
      </c>
    </row>
    <row r="151" spans="2:16" ht="12.5">
      <c r="B151" s="7" t="str">
        <f t="shared" si="29"/>
        <v/>
      </c>
      <c r="C151" s="50">
        <f>IF(D93="","-",+C150+1)</f>
        <v>2068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49"/>
        <v>0</v>
      </c>
      <c r="G151" s="55">
        <f t="shared" si="50"/>
        <v>0</v>
      </c>
      <c r="H151" s="380">
        <f t="shared" si="47"/>
        <v>0</v>
      </c>
      <c r="I151" s="399">
        <f t="shared" si="48"/>
        <v>0</v>
      </c>
      <c r="J151" s="54">
        <f t="shared" si="51"/>
        <v>0</v>
      </c>
      <c r="K151" s="54"/>
      <c r="L151" s="129"/>
      <c r="M151" s="54">
        <f t="shared" si="52"/>
        <v>0</v>
      </c>
      <c r="N151" s="129"/>
      <c r="O151" s="54">
        <f t="shared" si="53"/>
        <v>0</v>
      </c>
      <c r="P151" s="54">
        <f t="shared" si="54"/>
        <v>0</v>
      </c>
    </row>
    <row r="152" spans="2:16" ht="12.5">
      <c r="B152" s="7" t="str">
        <f t="shared" si="29"/>
        <v/>
      </c>
      <c r="C152" s="50">
        <f>IF(D93="","-",+C151+1)</f>
        <v>2069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49"/>
        <v>0</v>
      </c>
      <c r="G152" s="55">
        <f t="shared" si="50"/>
        <v>0</v>
      </c>
      <c r="H152" s="380">
        <f t="shared" si="47"/>
        <v>0</v>
      </c>
      <c r="I152" s="399">
        <f t="shared" si="48"/>
        <v>0</v>
      </c>
      <c r="J152" s="54">
        <f t="shared" si="51"/>
        <v>0</v>
      </c>
      <c r="K152" s="54"/>
      <c r="L152" s="129"/>
      <c r="M152" s="54">
        <f t="shared" si="52"/>
        <v>0</v>
      </c>
      <c r="N152" s="129"/>
      <c r="O152" s="54">
        <f t="shared" si="53"/>
        <v>0</v>
      </c>
      <c r="P152" s="54">
        <f t="shared" si="54"/>
        <v>0</v>
      </c>
    </row>
    <row r="153" spans="2:16" ht="12.5">
      <c r="B153" s="7" t="str">
        <f t="shared" si="29"/>
        <v/>
      </c>
      <c r="C153" s="50">
        <f>IF(D93="","-",+C152+1)</f>
        <v>2070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49"/>
        <v>0</v>
      </c>
      <c r="G153" s="55">
        <f t="shared" si="50"/>
        <v>0</v>
      </c>
      <c r="H153" s="380">
        <f t="shared" si="47"/>
        <v>0</v>
      </c>
      <c r="I153" s="399">
        <f t="shared" si="48"/>
        <v>0</v>
      </c>
      <c r="J153" s="54">
        <f t="shared" si="51"/>
        <v>0</v>
      </c>
      <c r="K153" s="54"/>
      <c r="L153" s="129"/>
      <c r="M153" s="54">
        <f t="shared" si="52"/>
        <v>0</v>
      </c>
      <c r="N153" s="129"/>
      <c r="O153" s="54">
        <f t="shared" si="53"/>
        <v>0</v>
      </c>
      <c r="P153" s="54">
        <f t="shared" si="54"/>
        <v>0</v>
      </c>
    </row>
    <row r="154" spans="2:16" ht="13" thickBot="1">
      <c r="B154" s="7" t="str">
        <f t="shared" si="29"/>
        <v/>
      </c>
      <c r="C154" s="59">
        <f>IF(D93="","-",+C153+1)</f>
        <v>2071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49"/>
        <v>0</v>
      </c>
      <c r="G154" s="60">
        <f t="shared" si="50"/>
        <v>0</v>
      </c>
      <c r="H154" s="382">
        <f t="shared" si="47"/>
        <v>0</v>
      </c>
      <c r="I154" s="400">
        <f t="shared" si="48"/>
        <v>0</v>
      </c>
      <c r="J154" s="64">
        <f t="shared" si="51"/>
        <v>0</v>
      </c>
      <c r="K154" s="54"/>
      <c r="L154" s="130"/>
      <c r="M154" s="64">
        <f t="shared" si="52"/>
        <v>0</v>
      </c>
      <c r="N154" s="130"/>
      <c r="O154" s="64">
        <f t="shared" si="53"/>
        <v>0</v>
      </c>
      <c r="P154" s="64">
        <f t="shared" si="54"/>
        <v>0</v>
      </c>
    </row>
    <row r="155" spans="2:16" ht="12.5">
      <c r="C155" s="12" t="s">
        <v>78</v>
      </c>
      <c r="D155" s="293"/>
      <c r="E155" s="293">
        <f>SUM(E99:E154)</f>
        <v>9381462.7199999988</v>
      </c>
      <c r="F155" s="293"/>
      <c r="G155" s="293"/>
      <c r="H155" s="293">
        <f>SUM(H99:H154)</f>
        <v>33926257.39005734</v>
      </c>
      <c r="I155" s="293">
        <f>SUM(I99:I154)</f>
        <v>33926257.39005734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 ht="12.5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 ht="13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47" priority="1" stopIfTrue="1" operator="equal">
      <formula>$I$10</formula>
    </cfRule>
  </conditionalFormatting>
  <conditionalFormatting sqref="C99:C154">
    <cfRule type="cellIs" dxfId="4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105"/>
  <dimension ref="A1:P162"/>
  <sheetViews>
    <sheetView topLeftCell="A71" zoomScaleNormal="100" zoomScaleSheetLayoutView="80" workbookViewId="0">
      <selection activeCell="D25" sqref="D25:H25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56 of 77</v>
      </c>
    </row>
    <row r="2" spans="1:16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186716.13800710742</v>
      </c>
      <c r="P5" s="1"/>
    </row>
    <row r="6" spans="1:16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186716.13800710742</v>
      </c>
      <c r="O6" s="1"/>
      <c r="P6" s="1"/>
    </row>
    <row r="7" spans="1:16" ht="13.5" thickBot="1">
      <c r="C7" s="25" t="s">
        <v>48</v>
      </c>
      <c r="D7" s="90" t="s">
        <v>361</v>
      </c>
      <c r="E7" s="406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362</v>
      </c>
      <c r="E9" s="436" t="s">
        <v>404</v>
      </c>
      <c r="F9" s="31"/>
      <c r="G9" s="31"/>
      <c r="H9" s="31"/>
      <c r="I9" s="32"/>
      <c r="J9" s="33"/>
      <c r="P9" s="1"/>
    </row>
    <row r="10" spans="1:16" ht="13">
      <c r="C10" s="34" t="s">
        <v>51</v>
      </c>
      <c r="D10" s="363">
        <v>1558180.6099999999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6" ht="12.5">
      <c r="C11" s="34" t="s">
        <v>54</v>
      </c>
      <c r="D11" s="37">
        <v>2016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3">
        <v>9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35413.195681818179</v>
      </c>
      <c r="J14" s="293"/>
      <c r="K14" s="293"/>
      <c r="L14" s="293"/>
      <c r="M14" s="293"/>
      <c r="N14" s="293"/>
      <c r="O14" s="1"/>
      <c r="P14" s="1"/>
    </row>
    <row r="15" spans="1:16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3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2016</v>
      </c>
      <c r="D17" s="431">
        <v>1111302</v>
      </c>
      <c r="E17" s="430">
        <v>13229.785714285714</v>
      </c>
      <c r="F17" s="431">
        <v>1098072.2142857143</v>
      </c>
      <c r="G17" s="430">
        <v>156066.99191753985</v>
      </c>
      <c r="H17" s="438">
        <v>156066.99191753985</v>
      </c>
      <c r="I17" s="52">
        <f t="shared" ref="I17:I72" si="0">H17-G17</f>
        <v>0</v>
      </c>
      <c r="J17" s="52"/>
      <c r="K17" s="112">
        <f t="shared" ref="K17:K22" si="1">+G17</f>
        <v>156066.99191753985</v>
      </c>
      <c r="L17" s="53">
        <f t="shared" ref="L17:L72" si="2">IF(K17&lt;&gt;0,+G17-K17,0)</f>
        <v>0</v>
      </c>
      <c r="M17" s="112">
        <f t="shared" ref="M17:M22" si="3">+H17</f>
        <v>156066.99191753985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2017</v>
      </c>
      <c r="D18" s="431">
        <v>1543391.2142857143</v>
      </c>
      <c r="E18" s="430">
        <v>36200.488372093023</v>
      </c>
      <c r="F18" s="431">
        <v>1507190.7259136213</v>
      </c>
      <c r="G18" s="430">
        <v>225172.65115998022</v>
      </c>
      <c r="H18" s="438">
        <v>225172.65115998022</v>
      </c>
      <c r="I18" s="52">
        <f t="shared" si="0"/>
        <v>0</v>
      </c>
      <c r="J18" s="52"/>
      <c r="K18" s="113">
        <f t="shared" si="1"/>
        <v>225172.65115998022</v>
      </c>
      <c r="L18" s="54">
        <f t="shared" ref="L18:L23" si="6">IF(K18&lt;&gt;0,+G18-K18,0)</f>
        <v>0</v>
      </c>
      <c r="M18" s="113">
        <f t="shared" si="3"/>
        <v>225172.65115998022</v>
      </c>
      <c r="N18" s="54">
        <f>IF(M18&lt;&gt;0,+H18-M18,0)</f>
        <v>0</v>
      </c>
      <c r="O18" s="54">
        <f>+N18-L18</f>
        <v>0</v>
      </c>
      <c r="P18" s="1"/>
    </row>
    <row r="19" spans="2:16" ht="12.5">
      <c r="B19" s="7" t="str">
        <f>IF(D19=F18,"","IU")</f>
        <v/>
      </c>
      <c r="C19" s="50">
        <f>IF(D11="","-",+C18+1)</f>
        <v>2018</v>
      </c>
      <c r="D19" s="431">
        <v>1507190.7259136213</v>
      </c>
      <c r="E19" s="430">
        <v>37966.365853658535</v>
      </c>
      <c r="F19" s="431">
        <v>1469224.3600599626</v>
      </c>
      <c r="G19" s="430">
        <v>227108.76254780369</v>
      </c>
      <c r="H19" s="438">
        <v>227108.76254780369</v>
      </c>
      <c r="I19" s="52">
        <f t="shared" si="0"/>
        <v>0</v>
      </c>
      <c r="J19" s="52"/>
      <c r="K19" s="113">
        <f t="shared" si="1"/>
        <v>227108.76254780369</v>
      </c>
      <c r="L19" s="54">
        <f t="shared" si="6"/>
        <v>0</v>
      </c>
      <c r="M19" s="113">
        <f t="shared" si="3"/>
        <v>227108.76254780369</v>
      </c>
      <c r="N19" s="54">
        <f>IF(M19&lt;&gt;0,+H19-M19,0)</f>
        <v>0</v>
      </c>
      <c r="O19" s="54">
        <f>+N19-L19</f>
        <v>0</v>
      </c>
      <c r="P19" s="1"/>
    </row>
    <row r="20" spans="2:16" ht="12.5">
      <c r="B20" s="7" t="str">
        <f t="shared" ref="B20:B72" si="7">IF(D20=F19,"","IU")</f>
        <v/>
      </c>
      <c r="C20" s="50">
        <f>IF(D11="","-",+C19+1)</f>
        <v>2019</v>
      </c>
      <c r="D20" s="431">
        <v>1469224.3600599626</v>
      </c>
      <c r="E20" s="430">
        <v>37966.365853658535</v>
      </c>
      <c r="F20" s="431">
        <v>1431257.994206304</v>
      </c>
      <c r="G20" s="430">
        <v>222283.46149005229</v>
      </c>
      <c r="H20" s="438">
        <v>222283.46149005229</v>
      </c>
      <c r="I20" s="52">
        <f t="shared" si="0"/>
        <v>0</v>
      </c>
      <c r="J20" s="52"/>
      <c r="K20" s="113">
        <f t="shared" si="1"/>
        <v>222283.46149005229</v>
      </c>
      <c r="L20" s="54">
        <f t="shared" si="6"/>
        <v>0</v>
      </c>
      <c r="M20" s="113">
        <f t="shared" si="3"/>
        <v>222283.46149005229</v>
      </c>
      <c r="N20" s="54">
        <f t="shared" si="4"/>
        <v>0</v>
      </c>
      <c r="O20" s="54">
        <f t="shared" si="5"/>
        <v>0</v>
      </c>
      <c r="P20" s="1"/>
    </row>
    <row r="21" spans="2:16" ht="12.5">
      <c r="B21" s="7" t="str">
        <f t="shared" si="7"/>
        <v/>
      </c>
      <c r="C21" s="50">
        <f>IF(D11="","-",+C20+1)</f>
        <v>2020</v>
      </c>
      <c r="D21" s="431">
        <v>1431257.994206304</v>
      </c>
      <c r="E21" s="430">
        <v>37966.365853658535</v>
      </c>
      <c r="F21" s="431">
        <v>1393291.6283526453</v>
      </c>
      <c r="G21" s="430">
        <v>182492.15165602544</v>
      </c>
      <c r="H21" s="438">
        <v>182492.15165602544</v>
      </c>
      <c r="I21" s="52">
        <f t="shared" si="0"/>
        <v>0</v>
      </c>
      <c r="J21" s="52"/>
      <c r="K21" s="113">
        <f t="shared" si="1"/>
        <v>182492.15165602544</v>
      </c>
      <c r="L21" s="54">
        <f t="shared" si="6"/>
        <v>0</v>
      </c>
      <c r="M21" s="113">
        <f t="shared" si="3"/>
        <v>182492.15165602544</v>
      </c>
      <c r="N21" s="54">
        <f t="shared" si="4"/>
        <v>0</v>
      </c>
      <c r="O21" s="54">
        <f t="shared" si="5"/>
        <v>0</v>
      </c>
      <c r="P21" s="1"/>
    </row>
    <row r="22" spans="2:16" ht="12.5">
      <c r="B22" s="7" t="str">
        <f t="shared" si="7"/>
        <v>IU</v>
      </c>
      <c r="C22" s="50">
        <f>IF(D11="","-",+C21+1)</f>
        <v>2021</v>
      </c>
      <c r="D22" s="431">
        <v>1396617.5058342111</v>
      </c>
      <c r="E22" s="430">
        <v>37099.547619047618</v>
      </c>
      <c r="F22" s="431">
        <v>1359517.9582151636</v>
      </c>
      <c r="G22" s="430">
        <v>183180.99059024267</v>
      </c>
      <c r="H22" s="438">
        <v>183180.99059024267</v>
      </c>
      <c r="I22" s="52">
        <f t="shared" si="0"/>
        <v>0</v>
      </c>
      <c r="J22" s="52"/>
      <c r="K22" s="113">
        <f t="shared" si="1"/>
        <v>183180.99059024267</v>
      </c>
      <c r="L22" s="54">
        <f t="shared" si="6"/>
        <v>0</v>
      </c>
      <c r="M22" s="113">
        <f t="shared" si="3"/>
        <v>183180.99059024267</v>
      </c>
      <c r="N22" s="54">
        <f t="shared" si="4"/>
        <v>0</v>
      </c>
      <c r="O22" s="54">
        <f t="shared" si="5"/>
        <v>0</v>
      </c>
      <c r="P22" s="1"/>
    </row>
    <row r="23" spans="2:16" ht="12.5">
      <c r="B23" s="7" t="str">
        <f t="shared" si="7"/>
        <v>IU</v>
      </c>
      <c r="C23" s="50">
        <f>IF(D11="","-",+C22+1)</f>
        <v>2022</v>
      </c>
      <c r="D23" s="431">
        <v>1357752.080733598</v>
      </c>
      <c r="E23" s="430">
        <v>37099.547619047618</v>
      </c>
      <c r="F23" s="431">
        <v>1320652.5331145504</v>
      </c>
      <c r="G23" s="430">
        <v>187684.94156484964</v>
      </c>
      <c r="H23" s="438">
        <v>187684.94156484964</v>
      </c>
      <c r="I23" s="52">
        <f t="shared" si="0"/>
        <v>0</v>
      </c>
      <c r="J23" s="52"/>
      <c r="K23" s="113">
        <f t="shared" ref="K23" si="8">+G23</f>
        <v>187684.94156484964</v>
      </c>
      <c r="L23" s="54">
        <f t="shared" si="6"/>
        <v>0</v>
      </c>
      <c r="M23" s="113">
        <f t="shared" ref="M23" si="9">+H23</f>
        <v>187684.94156484964</v>
      </c>
      <c r="N23" s="54">
        <f t="shared" si="4"/>
        <v>0</v>
      </c>
      <c r="O23" s="54">
        <f t="shared" si="5"/>
        <v>0</v>
      </c>
      <c r="P23" s="1"/>
    </row>
    <row r="24" spans="2:16" ht="12.5">
      <c r="B24" s="7" t="str">
        <f t="shared" si="7"/>
        <v>IU</v>
      </c>
      <c r="C24" s="50">
        <f>IF(D11="","-",+C23+1)</f>
        <v>2023</v>
      </c>
      <c r="D24" s="431">
        <v>1320652.1431145503</v>
      </c>
      <c r="E24" s="430">
        <v>37099.53833333333</v>
      </c>
      <c r="F24" s="431">
        <v>1283552.6047812169</v>
      </c>
      <c r="G24" s="430">
        <v>201589.94885481661</v>
      </c>
      <c r="H24" s="438">
        <v>201589.94885481661</v>
      </c>
      <c r="I24" s="52">
        <f t="shared" si="0"/>
        <v>0</v>
      </c>
      <c r="J24" s="52"/>
      <c r="K24" s="113">
        <f t="shared" ref="K24" si="10">+G24</f>
        <v>201589.94885481661</v>
      </c>
      <c r="L24" s="54">
        <f t="shared" ref="L24" si="11">IF(K24&lt;&gt;0,+G24-K24,0)</f>
        <v>0</v>
      </c>
      <c r="M24" s="113">
        <f t="shared" ref="M24" si="12">+H24</f>
        <v>201589.94885481661</v>
      </c>
      <c r="N24" s="54">
        <f t="shared" si="4"/>
        <v>0</v>
      </c>
      <c r="O24" s="54">
        <f t="shared" si="5"/>
        <v>0</v>
      </c>
      <c r="P24" s="1"/>
    </row>
    <row r="25" spans="2:16" ht="12.5">
      <c r="B25" s="7" t="str">
        <f t="shared" si="7"/>
        <v/>
      </c>
      <c r="C25" s="50">
        <f>IF(D11="","-",+C24+1)</f>
        <v>2024</v>
      </c>
      <c r="D25" s="431">
        <v>1283552.6047812169</v>
      </c>
      <c r="E25" s="430">
        <v>35413.195681818179</v>
      </c>
      <c r="F25" s="431">
        <v>1248139.4090993986</v>
      </c>
      <c r="G25" s="430">
        <v>186716.13800710742</v>
      </c>
      <c r="H25" s="438">
        <v>186716.13800710742</v>
      </c>
      <c r="I25" s="52">
        <f t="shared" si="0"/>
        <v>0</v>
      </c>
      <c r="J25" s="52"/>
      <c r="K25" s="113">
        <f t="shared" ref="K25" si="13">+G25</f>
        <v>186716.13800710742</v>
      </c>
      <c r="L25" s="54">
        <f t="shared" ref="L25" si="14">IF(K25&lt;&gt;0,+G25-K25,0)</f>
        <v>0</v>
      </c>
      <c r="M25" s="113">
        <f t="shared" ref="M25" si="15">+H25</f>
        <v>186716.13800710742</v>
      </c>
      <c r="N25" s="54">
        <f t="shared" ref="N25" si="16">IF(M25&lt;&gt;0,+H25-M25,0)</f>
        <v>0</v>
      </c>
      <c r="O25" s="54">
        <f t="shared" ref="O25" si="17">+N25-L25</f>
        <v>0</v>
      </c>
      <c r="P25" s="1"/>
    </row>
    <row r="26" spans="2:16" ht="12.5">
      <c r="B26" s="7" t="str">
        <f t="shared" si="7"/>
        <v/>
      </c>
      <c r="C26" s="50">
        <f>IF(D11="","-",+C25+1)</f>
        <v>2025</v>
      </c>
      <c r="D26" s="55">
        <f>IF(F25+SUM(E$17:E25)=D$10,F25,D$10-SUM(E$17:E25))</f>
        <v>1248139.4090993986</v>
      </c>
      <c r="E26" s="378">
        <f>IF(+I14&lt;F25,I14,D26)</f>
        <v>35413.195681818179</v>
      </c>
      <c r="F26" s="55">
        <f t="shared" ref="F26:F72" si="18">+D26-E26</f>
        <v>1212726.2134175804</v>
      </c>
      <c r="G26" s="379">
        <f t="shared" ref="G26:G49" si="19">+I$12*((D26+F26)/2)+E26</f>
        <v>182483.30030455659</v>
      </c>
      <c r="H26" s="364">
        <f t="shared" ref="H26:H49" si="20">+I$13*((D26+F26)/2)+E26</f>
        <v>182483.30030455659</v>
      </c>
      <c r="I26" s="52">
        <f t="shared" si="0"/>
        <v>0</v>
      </c>
      <c r="J26" s="52"/>
      <c r="K26" s="129"/>
      <c r="L26" s="54">
        <f t="shared" si="2"/>
        <v>0</v>
      </c>
      <c r="M26" s="129"/>
      <c r="N26" s="54">
        <f t="shared" si="4"/>
        <v>0</v>
      </c>
      <c r="O26" s="54">
        <f t="shared" si="5"/>
        <v>0</v>
      </c>
      <c r="P26" s="1"/>
    </row>
    <row r="27" spans="2:16" ht="12.5">
      <c r="B27" s="7" t="str">
        <f t="shared" si="7"/>
        <v/>
      </c>
      <c r="C27" s="50">
        <f>IF(D11="","-",+C26+1)</f>
        <v>2026</v>
      </c>
      <c r="D27" s="55">
        <f>IF(F26+SUM(E$17:E26)=D$10,F26,D$10-SUM(E$17:E26))</f>
        <v>1212726.2134175804</v>
      </c>
      <c r="E27" s="378">
        <f>IF(+I14&lt;F26,I14,D27)</f>
        <v>35413.195681818179</v>
      </c>
      <c r="F27" s="55">
        <f t="shared" si="18"/>
        <v>1177313.0177357621</v>
      </c>
      <c r="G27" s="379">
        <f t="shared" si="19"/>
        <v>178250.46260200578</v>
      </c>
      <c r="H27" s="364">
        <f t="shared" si="20"/>
        <v>178250.46260200578</v>
      </c>
      <c r="I27" s="52">
        <f t="shared" si="0"/>
        <v>0</v>
      </c>
      <c r="J27" s="52"/>
      <c r="K27" s="129"/>
      <c r="L27" s="54">
        <f t="shared" si="2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7"/>
        <v/>
      </c>
      <c r="C28" s="50">
        <f>IF(D11="","-",+C27+1)</f>
        <v>2027</v>
      </c>
      <c r="D28" s="55">
        <f>IF(F27+SUM(E$17:E27)=D$10,F27,D$10-SUM(E$17:E27))</f>
        <v>1177313.0177357621</v>
      </c>
      <c r="E28" s="378">
        <f>IF(+I14&lt;F27,I14,D28)</f>
        <v>35413.195681818179</v>
      </c>
      <c r="F28" s="55">
        <f t="shared" si="18"/>
        <v>1141899.8220539438</v>
      </c>
      <c r="G28" s="379">
        <f t="shared" si="19"/>
        <v>174017.62489945497</v>
      </c>
      <c r="H28" s="364">
        <f t="shared" si="20"/>
        <v>174017.62489945497</v>
      </c>
      <c r="I28" s="52">
        <f t="shared" si="0"/>
        <v>0</v>
      </c>
      <c r="J28" s="52"/>
      <c r="K28" s="129"/>
      <c r="L28" s="54">
        <f t="shared" si="2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7"/>
        <v/>
      </c>
      <c r="C29" s="50">
        <f>IF(D11="","-",+C28+1)</f>
        <v>2028</v>
      </c>
      <c r="D29" s="55">
        <f>IF(F28+SUM(E$17:E28)=D$10,F28,D$10-SUM(E$17:E28))</f>
        <v>1141899.8220539438</v>
      </c>
      <c r="E29" s="378">
        <f>IF(+I14&lt;F28,I14,D29)</f>
        <v>35413.195681818179</v>
      </c>
      <c r="F29" s="55">
        <f t="shared" si="18"/>
        <v>1106486.6263721255</v>
      </c>
      <c r="G29" s="379">
        <f t="shared" si="19"/>
        <v>169784.78719690416</v>
      </c>
      <c r="H29" s="364">
        <f t="shared" si="20"/>
        <v>169784.78719690416</v>
      </c>
      <c r="I29" s="52">
        <f t="shared" si="0"/>
        <v>0</v>
      </c>
      <c r="J29" s="52"/>
      <c r="K29" s="129"/>
      <c r="L29" s="54">
        <f t="shared" si="2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7"/>
        <v/>
      </c>
      <c r="C30" s="50">
        <f>IF(D11="","-",+C29+1)</f>
        <v>2029</v>
      </c>
      <c r="D30" s="55">
        <f>IF(F29+SUM(E$17:E29)=D$10,F29,D$10-SUM(E$17:E29))</f>
        <v>1106486.6263721255</v>
      </c>
      <c r="E30" s="378">
        <f>IF(+I14&lt;F29,I14,D30)</f>
        <v>35413.195681818179</v>
      </c>
      <c r="F30" s="55">
        <f t="shared" si="18"/>
        <v>1071073.4306903072</v>
      </c>
      <c r="G30" s="379">
        <f t="shared" si="19"/>
        <v>165551.94949435332</v>
      </c>
      <c r="H30" s="364">
        <f t="shared" si="20"/>
        <v>165551.94949435332</v>
      </c>
      <c r="I30" s="52">
        <f t="shared" si="0"/>
        <v>0</v>
      </c>
      <c r="J30" s="52"/>
      <c r="K30" s="129"/>
      <c r="L30" s="54">
        <f t="shared" si="2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7"/>
        <v/>
      </c>
      <c r="C31" s="50">
        <f>IF(D11="","-",+C30+1)</f>
        <v>2030</v>
      </c>
      <c r="D31" s="55">
        <f>IF(F30+SUM(E$17:E30)=D$10,F30,D$10-SUM(E$17:E30))</f>
        <v>1071073.4306903072</v>
      </c>
      <c r="E31" s="378">
        <f>IF(+I14&lt;F30,I14,D31)</f>
        <v>35413.195681818179</v>
      </c>
      <c r="F31" s="55">
        <f t="shared" si="18"/>
        <v>1035660.235008489</v>
      </c>
      <c r="G31" s="379">
        <f t="shared" si="19"/>
        <v>161319.11179180251</v>
      </c>
      <c r="H31" s="364">
        <f t="shared" si="20"/>
        <v>161319.11179180251</v>
      </c>
      <c r="I31" s="52">
        <f t="shared" si="0"/>
        <v>0</v>
      </c>
      <c r="J31" s="52"/>
      <c r="K31" s="129"/>
      <c r="L31" s="54">
        <f t="shared" si="2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7"/>
        <v/>
      </c>
      <c r="C32" s="50">
        <f>IF(D11="","-",+C31+1)</f>
        <v>2031</v>
      </c>
      <c r="D32" s="55">
        <f>IF(F31+SUM(E$17:E31)=D$10,F31,D$10-SUM(E$17:E31))</f>
        <v>1035660.235008489</v>
      </c>
      <c r="E32" s="378">
        <f>IF(+I14&lt;F31,I14,D32)</f>
        <v>35413.195681818179</v>
      </c>
      <c r="F32" s="55">
        <f t="shared" si="18"/>
        <v>1000247.0393266708</v>
      </c>
      <c r="G32" s="379">
        <f t="shared" si="19"/>
        <v>157086.27408925173</v>
      </c>
      <c r="H32" s="364">
        <f t="shared" si="20"/>
        <v>157086.27408925173</v>
      </c>
      <c r="I32" s="52">
        <f t="shared" si="0"/>
        <v>0</v>
      </c>
      <c r="J32" s="52"/>
      <c r="K32" s="129"/>
      <c r="L32" s="54">
        <f t="shared" si="2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7"/>
        <v/>
      </c>
      <c r="C33" s="50">
        <f>IF(D11="","-",+C32+1)</f>
        <v>2032</v>
      </c>
      <c r="D33" s="55">
        <f>IF(F32+SUM(E$17:E32)=D$10,F32,D$10-SUM(E$17:E32))</f>
        <v>1000247.0393266708</v>
      </c>
      <c r="E33" s="378">
        <f>IF(+I14&lt;F32,I14,D33)</f>
        <v>35413.195681818179</v>
      </c>
      <c r="F33" s="55">
        <f t="shared" si="18"/>
        <v>964833.84364485263</v>
      </c>
      <c r="G33" s="379">
        <f t="shared" si="19"/>
        <v>152853.43638670092</v>
      </c>
      <c r="H33" s="364">
        <f t="shared" si="20"/>
        <v>152853.43638670092</v>
      </c>
      <c r="I33" s="52">
        <f t="shared" si="0"/>
        <v>0</v>
      </c>
      <c r="J33" s="52"/>
      <c r="K33" s="129"/>
      <c r="L33" s="54">
        <f t="shared" si="2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7"/>
        <v/>
      </c>
      <c r="C34" s="50">
        <f>IF(D11="","-",+C33+1)</f>
        <v>2033</v>
      </c>
      <c r="D34" s="55">
        <f>IF(F33+SUM(E$17:E33)=D$10,F33,D$10-SUM(E$17:E33))</f>
        <v>964833.84364485263</v>
      </c>
      <c r="E34" s="378">
        <f>IF(+I14&lt;F33,I14,D34)</f>
        <v>35413.195681818179</v>
      </c>
      <c r="F34" s="55">
        <f t="shared" si="18"/>
        <v>929420.64796303445</v>
      </c>
      <c r="G34" s="379">
        <f t="shared" si="19"/>
        <v>148620.59868415014</v>
      </c>
      <c r="H34" s="364">
        <f t="shared" si="20"/>
        <v>148620.59868415014</v>
      </c>
      <c r="I34" s="52">
        <f t="shared" si="0"/>
        <v>0</v>
      </c>
      <c r="J34" s="52"/>
      <c r="K34" s="129"/>
      <c r="L34" s="54">
        <f t="shared" si="2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7"/>
        <v/>
      </c>
      <c r="C35" s="50">
        <f>IF(D11="","-",+C34+1)</f>
        <v>2034</v>
      </c>
      <c r="D35" s="55">
        <f>IF(F34+SUM(E$17:E34)=D$10,F34,D$10-SUM(E$17:E34))</f>
        <v>929420.64796303445</v>
      </c>
      <c r="E35" s="378">
        <f>IF(+I14&lt;F34,I14,D35)</f>
        <v>35413.195681818179</v>
      </c>
      <c r="F35" s="55">
        <f t="shared" si="18"/>
        <v>894007.45228121628</v>
      </c>
      <c r="G35" s="379">
        <f t="shared" si="19"/>
        <v>144387.76098159933</v>
      </c>
      <c r="H35" s="364">
        <f t="shared" si="20"/>
        <v>144387.76098159933</v>
      </c>
      <c r="I35" s="52">
        <f t="shared" si="0"/>
        <v>0</v>
      </c>
      <c r="J35" s="52"/>
      <c r="K35" s="129"/>
      <c r="L35" s="54">
        <f t="shared" si="2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7"/>
        <v/>
      </c>
      <c r="C36" s="50">
        <f>IF(D11="","-",+C35+1)</f>
        <v>2035</v>
      </c>
      <c r="D36" s="55">
        <f>IF(F35+SUM(E$17:E35)=D$10,F35,D$10-SUM(E$17:E35))</f>
        <v>894007.45228121628</v>
      </c>
      <c r="E36" s="378">
        <f>IF(+I14&lt;F35,I14,D36)</f>
        <v>35413.195681818179</v>
      </c>
      <c r="F36" s="55">
        <f t="shared" si="18"/>
        <v>858594.2565993981</v>
      </c>
      <c r="G36" s="379">
        <f t="shared" si="19"/>
        <v>140154.92327904853</v>
      </c>
      <c r="H36" s="364">
        <f t="shared" si="20"/>
        <v>140154.92327904853</v>
      </c>
      <c r="I36" s="52">
        <f t="shared" si="0"/>
        <v>0</v>
      </c>
      <c r="J36" s="52"/>
      <c r="K36" s="129"/>
      <c r="L36" s="54">
        <f t="shared" si="2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7"/>
        <v/>
      </c>
      <c r="C37" s="50">
        <f>IF(D11="","-",+C36+1)</f>
        <v>2036</v>
      </c>
      <c r="D37" s="55">
        <f>IF(F36+SUM(E$17:E36)=D$10,F36,D$10-SUM(E$17:E36))</f>
        <v>858594.2565993981</v>
      </c>
      <c r="E37" s="378">
        <f>IF(+I14&lt;F36,I14,D37)</f>
        <v>35413.195681818179</v>
      </c>
      <c r="F37" s="55">
        <f t="shared" si="18"/>
        <v>823181.06091757992</v>
      </c>
      <c r="G37" s="379">
        <f t="shared" si="19"/>
        <v>135922.08557649772</v>
      </c>
      <c r="H37" s="364">
        <f t="shared" si="20"/>
        <v>135922.08557649772</v>
      </c>
      <c r="I37" s="52">
        <f t="shared" si="0"/>
        <v>0</v>
      </c>
      <c r="J37" s="52"/>
      <c r="K37" s="129"/>
      <c r="L37" s="54">
        <f t="shared" si="2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7"/>
        <v/>
      </c>
      <c r="C38" s="50">
        <f>IF(D11="","-",+C37+1)</f>
        <v>2037</v>
      </c>
      <c r="D38" s="55">
        <f>IF(F37+SUM(E$17:E37)=D$10,F37,D$10-SUM(E$17:E37))</f>
        <v>823181.06091757992</v>
      </c>
      <c r="E38" s="378">
        <f>IF(+I14&lt;F37,I14,D38)</f>
        <v>35413.195681818179</v>
      </c>
      <c r="F38" s="55">
        <f t="shared" si="18"/>
        <v>787767.86523576174</v>
      </c>
      <c r="G38" s="379">
        <f t="shared" si="19"/>
        <v>131689.24787394694</v>
      </c>
      <c r="H38" s="364">
        <f t="shared" si="20"/>
        <v>131689.24787394694</v>
      </c>
      <c r="I38" s="52">
        <f t="shared" si="0"/>
        <v>0</v>
      </c>
      <c r="J38" s="52"/>
      <c r="K38" s="129"/>
      <c r="L38" s="54">
        <f t="shared" si="2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7"/>
        <v/>
      </c>
      <c r="C39" s="50">
        <f>IF(D11="","-",+C38+1)</f>
        <v>2038</v>
      </c>
      <c r="D39" s="55">
        <f>IF(F38+SUM(E$17:E38)=D$10,F38,D$10-SUM(E$17:E38))</f>
        <v>787767.86523576174</v>
      </c>
      <c r="E39" s="378">
        <f>IF(+I14&lt;F38,I14,D39)</f>
        <v>35413.195681818179</v>
      </c>
      <c r="F39" s="55">
        <f t="shared" si="18"/>
        <v>752354.66955394356</v>
      </c>
      <c r="G39" s="379">
        <f t="shared" si="19"/>
        <v>127456.41017139611</v>
      </c>
      <c r="H39" s="364">
        <f t="shared" si="20"/>
        <v>127456.41017139611</v>
      </c>
      <c r="I39" s="52">
        <f t="shared" si="0"/>
        <v>0</v>
      </c>
      <c r="J39" s="52"/>
      <c r="K39" s="129"/>
      <c r="L39" s="54">
        <f t="shared" si="2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7"/>
        <v/>
      </c>
      <c r="C40" s="50">
        <f>IF(D11="","-",+C39+1)</f>
        <v>2039</v>
      </c>
      <c r="D40" s="55">
        <f>IF(F39+SUM(E$17:E39)=D$10,F39,D$10-SUM(E$17:E39))</f>
        <v>752354.66955394356</v>
      </c>
      <c r="E40" s="378">
        <f>IF(+I14&lt;F39,I14,D40)</f>
        <v>35413.195681818179</v>
      </c>
      <c r="F40" s="55">
        <f t="shared" si="18"/>
        <v>716941.47387212538</v>
      </c>
      <c r="G40" s="379">
        <f t="shared" si="19"/>
        <v>123223.57246884533</v>
      </c>
      <c r="H40" s="364">
        <f t="shared" si="20"/>
        <v>123223.57246884533</v>
      </c>
      <c r="I40" s="52">
        <f t="shared" si="0"/>
        <v>0</v>
      </c>
      <c r="J40" s="52"/>
      <c r="K40" s="129"/>
      <c r="L40" s="54">
        <f t="shared" si="2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7"/>
        <v/>
      </c>
      <c r="C41" s="50">
        <f>IF(D11="","-",+C40+1)</f>
        <v>2040</v>
      </c>
      <c r="D41" s="55">
        <f>IF(F40+SUM(E$17:E40)=D$10,F40,D$10-SUM(E$17:E40))</f>
        <v>716941.47387212538</v>
      </c>
      <c r="E41" s="378">
        <f>IF(+I14&lt;F40,I14,D41)</f>
        <v>35413.195681818179</v>
      </c>
      <c r="F41" s="55">
        <f t="shared" si="18"/>
        <v>681528.2781903072</v>
      </c>
      <c r="G41" s="379">
        <f t="shared" si="19"/>
        <v>118990.73476629451</v>
      </c>
      <c r="H41" s="364">
        <f t="shared" si="20"/>
        <v>118990.73476629451</v>
      </c>
      <c r="I41" s="52">
        <f t="shared" si="0"/>
        <v>0</v>
      </c>
      <c r="J41" s="52"/>
      <c r="K41" s="129"/>
      <c r="L41" s="54">
        <f t="shared" si="2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7"/>
        <v/>
      </c>
      <c r="C42" s="50">
        <f>IF(D11="","-",+C41+1)</f>
        <v>2041</v>
      </c>
      <c r="D42" s="55">
        <f>IF(F41+SUM(E$17:E41)=D$10,F41,D$10-SUM(E$17:E41))</f>
        <v>681528.2781903072</v>
      </c>
      <c r="E42" s="378">
        <f>IF(+I14&lt;F41,I14,D42)</f>
        <v>35413.195681818179</v>
      </c>
      <c r="F42" s="55">
        <f t="shared" si="18"/>
        <v>646115.08250848902</v>
      </c>
      <c r="G42" s="379">
        <f t="shared" si="19"/>
        <v>114757.89706374373</v>
      </c>
      <c r="H42" s="364">
        <f t="shared" si="20"/>
        <v>114757.89706374373</v>
      </c>
      <c r="I42" s="52">
        <f t="shared" si="0"/>
        <v>0</v>
      </c>
      <c r="J42" s="52"/>
      <c r="K42" s="129"/>
      <c r="L42" s="54">
        <f t="shared" si="2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7"/>
        <v/>
      </c>
      <c r="C43" s="50">
        <f>IF(D11="","-",+C42+1)</f>
        <v>2042</v>
      </c>
      <c r="D43" s="55">
        <f>IF(F42+SUM(E$17:E42)=D$10,F42,D$10-SUM(E$17:E42))</f>
        <v>646115.08250848902</v>
      </c>
      <c r="E43" s="378">
        <f>IF(+I14&lt;F42,I14,D43)</f>
        <v>35413.195681818179</v>
      </c>
      <c r="F43" s="55">
        <f t="shared" si="18"/>
        <v>610701.88682667085</v>
      </c>
      <c r="G43" s="379">
        <f t="shared" si="19"/>
        <v>110525.05936119291</v>
      </c>
      <c r="H43" s="364">
        <f t="shared" si="20"/>
        <v>110525.05936119291</v>
      </c>
      <c r="I43" s="52">
        <f t="shared" si="0"/>
        <v>0</v>
      </c>
      <c r="J43" s="52"/>
      <c r="K43" s="129"/>
      <c r="L43" s="54">
        <f t="shared" si="2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7"/>
        <v/>
      </c>
      <c r="C44" s="50">
        <f>IF(D11="","-",+C43+1)</f>
        <v>2043</v>
      </c>
      <c r="D44" s="55">
        <f>IF(F43+SUM(E$17:E43)=D$10,F43,D$10-SUM(E$17:E43))</f>
        <v>610701.88682667085</v>
      </c>
      <c r="E44" s="378">
        <f>IF(+I14&lt;F43,I14,D44)</f>
        <v>35413.195681818179</v>
      </c>
      <c r="F44" s="55">
        <f t="shared" si="18"/>
        <v>575288.69114485267</v>
      </c>
      <c r="G44" s="379">
        <f t="shared" si="19"/>
        <v>106292.22165864213</v>
      </c>
      <c r="H44" s="364">
        <f t="shared" si="20"/>
        <v>106292.22165864213</v>
      </c>
      <c r="I44" s="52">
        <f t="shared" si="0"/>
        <v>0</v>
      </c>
      <c r="J44" s="52"/>
      <c r="K44" s="129"/>
      <c r="L44" s="54">
        <f t="shared" si="2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7"/>
        <v/>
      </c>
      <c r="C45" s="50">
        <f>IF(D11="","-",+C44+1)</f>
        <v>2044</v>
      </c>
      <c r="D45" s="55">
        <f>IF(F44+SUM(E$17:E44)=D$10,F44,D$10-SUM(E$17:E44))</f>
        <v>575288.69114485267</v>
      </c>
      <c r="E45" s="378">
        <f>IF(+I14&lt;F44,I14,D45)</f>
        <v>35413.195681818179</v>
      </c>
      <c r="F45" s="55">
        <f t="shared" si="18"/>
        <v>539875.49546303449</v>
      </c>
      <c r="G45" s="379">
        <f t="shared" si="19"/>
        <v>102059.38395609132</v>
      </c>
      <c r="H45" s="364">
        <f t="shared" si="20"/>
        <v>102059.38395609132</v>
      </c>
      <c r="I45" s="52">
        <f t="shared" si="0"/>
        <v>0</v>
      </c>
      <c r="J45" s="52"/>
      <c r="K45" s="129"/>
      <c r="L45" s="54">
        <f t="shared" si="2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7"/>
        <v/>
      </c>
      <c r="C46" s="50">
        <f>IF(D11="","-",+C45+1)</f>
        <v>2045</v>
      </c>
      <c r="D46" s="55">
        <f>IF(F45+SUM(E$17:E45)=D$10,F45,D$10-SUM(E$17:E45))</f>
        <v>539875.49546303449</v>
      </c>
      <c r="E46" s="378">
        <f>IF(+I14&lt;F45,I14,D46)</f>
        <v>35413.195681818179</v>
      </c>
      <c r="F46" s="55">
        <f t="shared" si="18"/>
        <v>504462.29978121631</v>
      </c>
      <c r="G46" s="379">
        <f t="shared" si="19"/>
        <v>97826.546253540524</v>
      </c>
      <c r="H46" s="364">
        <f t="shared" si="20"/>
        <v>97826.546253540524</v>
      </c>
      <c r="I46" s="52">
        <f t="shared" si="0"/>
        <v>0</v>
      </c>
      <c r="J46" s="52"/>
      <c r="K46" s="129"/>
      <c r="L46" s="54">
        <f t="shared" si="2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7"/>
        <v/>
      </c>
      <c r="C47" s="50">
        <f>IF(D11="","-",+C46+1)</f>
        <v>2046</v>
      </c>
      <c r="D47" s="55">
        <f>IF(F46+SUM(E$17:E46)=D$10,F46,D$10-SUM(E$17:E46))</f>
        <v>504462.29978121631</v>
      </c>
      <c r="E47" s="378">
        <f>IF(+I14&lt;F46,I14,D47)</f>
        <v>35413.195681818179</v>
      </c>
      <c r="F47" s="55">
        <f t="shared" si="18"/>
        <v>469049.10409939813</v>
      </c>
      <c r="G47" s="379">
        <f t="shared" si="19"/>
        <v>93593.708550989715</v>
      </c>
      <c r="H47" s="364">
        <f t="shared" si="20"/>
        <v>93593.708550989715</v>
      </c>
      <c r="I47" s="52">
        <f t="shared" si="0"/>
        <v>0</v>
      </c>
      <c r="J47" s="52"/>
      <c r="K47" s="129"/>
      <c r="L47" s="54">
        <f t="shared" si="2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7"/>
        <v/>
      </c>
      <c r="C48" s="50">
        <f>IF(D11="","-",+C47+1)</f>
        <v>2047</v>
      </c>
      <c r="D48" s="55">
        <f>IF(F47+SUM(E$17:E47)=D$10,F47,D$10-SUM(E$17:E47))</f>
        <v>469049.10409939813</v>
      </c>
      <c r="E48" s="378">
        <f>IF(+I14&lt;F47,I14,D48)</f>
        <v>35413.195681818179</v>
      </c>
      <c r="F48" s="55">
        <f t="shared" si="18"/>
        <v>433635.90841757995</v>
      </c>
      <c r="G48" s="379">
        <f t="shared" si="19"/>
        <v>89360.870848438906</v>
      </c>
      <c r="H48" s="364">
        <f t="shared" si="20"/>
        <v>89360.870848438906</v>
      </c>
      <c r="I48" s="52">
        <f t="shared" si="0"/>
        <v>0</v>
      </c>
      <c r="J48" s="52"/>
      <c r="K48" s="129"/>
      <c r="L48" s="54">
        <f t="shared" si="2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 ht="12.5">
      <c r="B49" s="7" t="str">
        <f t="shared" si="7"/>
        <v/>
      </c>
      <c r="C49" s="50">
        <f>IF(D11="","-",+C48+1)</f>
        <v>2048</v>
      </c>
      <c r="D49" s="55">
        <f>IF(F48+SUM(E$17:E48)=D$10,F48,D$10-SUM(E$17:E48))</f>
        <v>433635.90841757995</v>
      </c>
      <c r="E49" s="378">
        <f>IF(+I14&lt;F48,I14,D49)</f>
        <v>35413.195681818179</v>
      </c>
      <c r="F49" s="55">
        <f t="shared" si="18"/>
        <v>398222.71273576177</v>
      </c>
      <c r="G49" s="379">
        <f t="shared" si="19"/>
        <v>85128.033145888112</v>
      </c>
      <c r="H49" s="364">
        <f t="shared" si="20"/>
        <v>85128.033145888112</v>
      </c>
      <c r="I49" s="52">
        <f t="shared" si="0"/>
        <v>0</v>
      </c>
      <c r="J49" s="52"/>
      <c r="K49" s="129"/>
      <c r="L49" s="54">
        <f t="shared" si="2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 ht="12.5">
      <c r="B50" s="7" t="str">
        <f t="shared" si="7"/>
        <v/>
      </c>
      <c r="C50" s="50">
        <f>IF(D11="","-",+C49+1)</f>
        <v>2049</v>
      </c>
      <c r="D50" s="55">
        <f>IF(F49+SUM(E$17:E49)=D$10,F49,D$10-SUM(E$17:E49))</f>
        <v>398222.71273576177</v>
      </c>
      <c r="E50" s="378">
        <f>IF(+I14&lt;F49,I14,D50)</f>
        <v>35413.195681818179</v>
      </c>
      <c r="F50" s="55">
        <f t="shared" si="18"/>
        <v>362809.51705394359</v>
      </c>
      <c r="G50" s="379">
        <f t="shared" ref="G50:G72" si="21">+I$12*((D50+F50)/2)+E50</f>
        <v>80895.195443337318</v>
      </c>
      <c r="H50" s="364">
        <f t="shared" ref="H50:H72" si="22">+I$13*((D50+F50)/2)+E50</f>
        <v>80895.195443337318</v>
      </c>
      <c r="I50" s="52">
        <f t="shared" si="0"/>
        <v>0</v>
      </c>
      <c r="J50" s="52"/>
      <c r="K50" s="129"/>
      <c r="L50" s="54">
        <f t="shared" si="2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 ht="12.5">
      <c r="B51" s="7" t="str">
        <f t="shared" si="7"/>
        <v/>
      </c>
      <c r="C51" s="50">
        <f>IF(D11="","-",+C50+1)</f>
        <v>2050</v>
      </c>
      <c r="D51" s="55">
        <f>IF(F50+SUM(E$17:E50)=D$10,F50,D$10-SUM(E$17:E50))</f>
        <v>362809.51705394359</v>
      </c>
      <c r="E51" s="378">
        <f>IF(+I14&lt;F50,I14,D51)</f>
        <v>35413.195681818179</v>
      </c>
      <c r="F51" s="55">
        <f t="shared" si="18"/>
        <v>327396.32137212541</v>
      </c>
      <c r="G51" s="379">
        <f t="shared" si="21"/>
        <v>76662.357740786509</v>
      </c>
      <c r="H51" s="364">
        <f t="shared" si="22"/>
        <v>76662.357740786509</v>
      </c>
      <c r="I51" s="52">
        <f t="shared" si="0"/>
        <v>0</v>
      </c>
      <c r="J51" s="52"/>
      <c r="K51" s="129"/>
      <c r="L51" s="54">
        <f t="shared" si="2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 ht="12.5">
      <c r="B52" s="7" t="str">
        <f t="shared" si="7"/>
        <v/>
      </c>
      <c r="C52" s="50">
        <f>IF(D11="","-",+C51+1)</f>
        <v>2051</v>
      </c>
      <c r="D52" s="55">
        <f>IF(F51+SUM(E$17:E51)=D$10,F51,D$10-SUM(E$17:E51))</f>
        <v>327396.32137212541</v>
      </c>
      <c r="E52" s="378">
        <f>IF(+I14&lt;F51,I14,D52)</f>
        <v>35413.195681818179</v>
      </c>
      <c r="F52" s="55">
        <f t="shared" si="18"/>
        <v>291983.12569030724</v>
      </c>
      <c r="G52" s="379">
        <f t="shared" si="21"/>
        <v>72429.520038235714</v>
      </c>
      <c r="H52" s="364">
        <f t="shared" si="22"/>
        <v>72429.520038235714</v>
      </c>
      <c r="I52" s="52">
        <f t="shared" si="0"/>
        <v>0</v>
      </c>
      <c r="J52" s="52"/>
      <c r="K52" s="129"/>
      <c r="L52" s="54">
        <f t="shared" si="2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 ht="12.5">
      <c r="B53" s="7" t="str">
        <f t="shared" si="7"/>
        <v/>
      </c>
      <c r="C53" s="50">
        <f>IF(D11="","-",+C52+1)</f>
        <v>2052</v>
      </c>
      <c r="D53" s="55">
        <f>IF(F52+SUM(E$17:E52)=D$10,F52,D$10-SUM(E$17:E52))</f>
        <v>291983.12569030724</v>
      </c>
      <c r="E53" s="378">
        <f>IF(+I14&lt;F52,I14,D53)</f>
        <v>35413.195681818179</v>
      </c>
      <c r="F53" s="55">
        <f t="shared" si="18"/>
        <v>256569.93000848906</v>
      </c>
      <c r="G53" s="379">
        <f t="shared" si="21"/>
        <v>68196.68233568492</v>
      </c>
      <c r="H53" s="364">
        <f t="shared" si="22"/>
        <v>68196.68233568492</v>
      </c>
      <c r="I53" s="52">
        <f t="shared" si="0"/>
        <v>0</v>
      </c>
      <c r="J53" s="52"/>
      <c r="K53" s="129"/>
      <c r="L53" s="54">
        <f t="shared" si="2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 ht="12.5">
      <c r="B54" s="7" t="str">
        <f t="shared" si="7"/>
        <v/>
      </c>
      <c r="C54" s="50">
        <f>IF(D11="","-",+C53+1)</f>
        <v>2053</v>
      </c>
      <c r="D54" s="55">
        <f>IF(F53+SUM(E$17:E53)=D$10,F53,D$10-SUM(E$17:E53))</f>
        <v>256569.93000848906</v>
      </c>
      <c r="E54" s="378">
        <f>IF(+I14&lt;F53,I14,D54)</f>
        <v>35413.195681818179</v>
      </c>
      <c r="F54" s="55">
        <f t="shared" si="18"/>
        <v>221156.73432667088</v>
      </c>
      <c r="G54" s="379">
        <f t="shared" si="21"/>
        <v>63963.844633134111</v>
      </c>
      <c r="H54" s="364">
        <f t="shared" si="22"/>
        <v>63963.844633134111</v>
      </c>
      <c r="I54" s="52">
        <f t="shared" si="0"/>
        <v>0</v>
      </c>
      <c r="J54" s="52"/>
      <c r="K54" s="129"/>
      <c r="L54" s="54">
        <f t="shared" si="2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 ht="12.5">
      <c r="B55" s="7" t="str">
        <f t="shared" si="7"/>
        <v/>
      </c>
      <c r="C55" s="50">
        <f>IF(D11="","-",+C54+1)</f>
        <v>2054</v>
      </c>
      <c r="D55" s="55">
        <f>IF(F54+SUM(E$17:E54)=D$10,F54,D$10-SUM(E$17:E54))</f>
        <v>221156.73432667088</v>
      </c>
      <c r="E55" s="378">
        <f>IF(+I14&lt;F54,I14,D55)</f>
        <v>35413.195681818179</v>
      </c>
      <c r="F55" s="55">
        <f t="shared" si="18"/>
        <v>185743.5386448527</v>
      </c>
      <c r="G55" s="379">
        <f t="shared" si="21"/>
        <v>59731.006930583309</v>
      </c>
      <c r="H55" s="364">
        <f t="shared" si="22"/>
        <v>59731.006930583309</v>
      </c>
      <c r="I55" s="52">
        <f t="shared" si="0"/>
        <v>0</v>
      </c>
      <c r="J55" s="52"/>
      <c r="K55" s="129"/>
      <c r="L55" s="54">
        <f t="shared" si="2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 ht="12.5">
      <c r="B56" s="7" t="str">
        <f t="shared" si="7"/>
        <v/>
      </c>
      <c r="C56" s="50">
        <f>IF(D11="","-",+C55+1)</f>
        <v>2055</v>
      </c>
      <c r="D56" s="55">
        <f>IF(F55+SUM(E$17:E55)=D$10,F55,D$10-SUM(E$17:E55))</f>
        <v>185743.5386448527</v>
      </c>
      <c r="E56" s="378">
        <f>IF(+I14&lt;F55,I14,D56)</f>
        <v>35413.195681818179</v>
      </c>
      <c r="F56" s="55">
        <f t="shared" si="18"/>
        <v>150330.34296303452</v>
      </c>
      <c r="G56" s="379">
        <f t="shared" si="21"/>
        <v>55498.169228032508</v>
      </c>
      <c r="H56" s="364">
        <f t="shared" si="22"/>
        <v>55498.169228032508</v>
      </c>
      <c r="I56" s="52">
        <f t="shared" si="0"/>
        <v>0</v>
      </c>
      <c r="J56" s="52"/>
      <c r="K56" s="129"/>
      <c r="L56" s="54">
        <f t="shared" si="2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 ht="12.5">
      <c r="B57" s="7" t="str">
        <f t="shared" si="7"/>
        <v/>
      </c>
      <c r="C57" s="50">
        <f>IF(D11="","-",+C56+1)</f>
        <v>2056</v>
      </c>
      <c r="D57" s="55">
        <f>IF(F56+SUM(E$17:E56)=D$10,F56,D$10-SUM(E$17:E56))</f>
        <v>150330.34296303452</v>
      </c>
      <c r="E57" s="378">
        <f>IF(+I14&lt;F56,I14,D57)</f>
        <v>35413.195681818179</v>
      </c>
      <c r="F57" s="55">
        <f t="shared" si="18"/>
        <v>114917.14728121634</v>
      </c>
      <c r="G57" s="379">
        <f t="shared" si="21"/>
        <v>51265.331525481706</v>
      </c>
      <c r="H57" s="364">
        <f t="shared" si="22"/>
        <v>51265.331525481706</v>
      </c>
      <c r="I57" s="52">
        <f t="shared" si="0"/>
        <v>0</v>
      </c>
      <c r="J57" s="52"/>
      <c r="K57" s="129"/>
      <c r="L57" s="54">
        <f t="shared" si="2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 ht="12.5">
      <c r="B58" s="7" t="str">
        <f t="shared" si="7"/>
        <v/>
      </c>
      <c r="C58" s="50">
        <f>IF(D11="","-",+C57+1)</f>
        <v>2057</v>
      </c>
      <c r="D58" s="55">
        <f>IF(F57+SUM(E$17:E57)=D$10,F57,D$10-SUM(E$17:E57))</f>
        <v>114917.14728121634</v>
      </c>
      <c r="E58" s="378">
        <f>IF(+I14&lt;F57,I14,D58)</f>
        <v>35413.195681818179</v>
      </c>
      <c r="F58" s="55">
        <f t="shared" si="18"/>
        <v>79503.951599398162</v>
      </c>
      <c r="G58" s="379">
        <f t="shared" si="21"/>
        <v>47032.493822930905</v>
      </c>
      <c r="H58" s="364">
        <f t="shared" si="22"/>
        <v>47032.493822930905</v>
      </c>
      <c r="I58" s="52">
        <f t="shared" si="0"/>
        <v>0</v>
      </c>
      <c r="J58" s="52"/>
      <c r="K58" s="129"/>
      <c r="L58" s="54">
        <f t="shared" si="2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 ht="12.5">
      <c r="B59" s="7" t="str">
        <f t="shared" si="7"/>
        <v/>
      </c>
      <c r="C59" s="50">
        <f>IF(D11="","-",+C58+1)</f>
        <v>2058</v>
      </c>
      <c r="D59" s="55">
        <f>IF(F58+SUM(E$17:E58)=D$10,F58,D$10-SUM(E$17:E58))</f>
        <v>79503.951599398162</v>
      </c>
      <c r="E59" s="378">
        <f>IF(+I14&lt;F58,I14,D59)</f>
        <v>35413.195681818179</v>
      </c>
      <c r="F59" s="55">
        <f t="shared" si="18"/>
        <v>44090.755917579983</v>
      </c>
      <c r="G59" s="379">
        <f t="shared" si="21"/>
        <v>42799.656120380103</v>
      </c>
      <c r="H59" s="364">
        <f t="shared" si="22"/>
        <v>42799.656120380103</v>
      </c>
      <c r="I59" s="52">
        <f t="shared" si="0"/>
        <v>0</v>
      </c>
      <c r="J59" s="52"/>
      <c r="K59" s="129"/>
      <c r="L59" s="54">
        <f t="shared" si="2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 ht="12.5">
      <c r="B60" s="7" t="str">
        <f t="shared" si="7"/>
        <v/>
      </c>
      <c r="C60" s="50">
        <f>IF(D11="","-",+C59+1)</f>
        <v>2059</v>
      </c>
      <c r="D60" s="55">
        <f>IF(F59+SUM(E$17:E59)=D$10,F59,D$10-SUM(E$17:E59))</f>
        <v>44090.755917579983</v>
      </c>
      <c r="E60" s="378">
        <f>IF(+I14&lt;F59,I14,D60)</f>
        <v>35413.195681818179</v>
      </c>
      <c r="F60" s="55">
        <f t="shared" si="18"/>
        <v>8677.5602357618045</v>
      </c>
      <c r="G60" s="379">
        <f t="shared" si="21"/>
        <v>38566.818417829301</v>
      </c>
      <c r="H60" s="364">
        <f t="shared" si="22"/>
        <v>38566.818417829301</v>
      </c>
      <c r="I60" s="52">
        <f t="shared" si="0"/>
        <v>0</v>
      </c>
      <c r="J60" s="52"/>
      <c r="K60" s="129"/>
      <c r="L60" s="54">
        <f t="shared" si="2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 ht="12.5">
      <c r="B61" s="7" t="str">
        <f t="shared" si="7"/>
        <v/>
      </c>
      <c r="C61" s="50">
        <f>IF(D11="","-",+C60+1)</f>
        <v>2060</v>
      </c>
      <c r="D61" s="55">
        <f>IF(F60+SUM(E$17:E60)=D$10,F60,D$10-SUM(E$17:E60))</f>
        <v>8677.5602357618045</v>
      </c>
      <c r="E61" s="378">
        <f>IF(+I14&lt;F60,I14,D61)</f>
        <v>8677.5602357618045</v>
      </c>
      <c r="F61" s="55">
        <f t="shared" si="18"/>
        <v>0</v>
      </c>
      <c r="G61" s="380">
        <f t="shared" si="21"/>
        <v>9196.1621781296672</v>
      </c>
      <c r="H61" s="364">
        <f t="shared" si="22"/>
        <v>9196.1621781296672</v>
      </c>
      <c r="I61" s="52">
        <f t="shared" si="0"/>
        <v>0</v>
      </c>
      <c r="J61" s="52"/>
      <c r="K61" s="129"/>
      <c r="L61" s="54">
        <f t="shared" si="2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 ht="12.5">
      <c r="B62" s="7" t="str">
        <f t="shared" si="7"/>
        <v/>
      </c>
      <c r="C62" s="50">
        <f>IF(D11="","-",+C61+1)</f>
        <v>2061</v>
      </c>
      <c r="D62" s="55">
        <f>IF(F61+SUM(E$17:E61)=D$10,F61,D$10-SUM(E$17:E61))</f>
        <v>0</v>
      </c>
      <c r="E62" s="378">
        <f>IF(+I14&lt;F61,I14,D62)</f>
        <v>0</v>
      </c>
      <c r="F62" s="55">
        <f t="shared" si="18"/>
        <v>0</v>
      </c>
      <c r="G62" s="380">
        <f t="shared" si="21"/>
        <v>0</v>
      </c>
      <c r="H62" s="364">
        <f t="shared" si="22"/>
        <v>0</v>
      </c>
      <c r="I62" s="52">
        <f t="shared" si="0"/>
        <v>0</v>
      </c>
      <c r="J62" s="52"/>
      <c r="K62" s="129"/>
      <c r="L62" s="54">
        <f t="shared" si="2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 ht="12.5">
      <c r="B63" s="7" t="str">
        <f t="shared" si="7"/>
        <v/>
      </c>
      <c r="C63" s="50">
        <f>IF(D11="","-",+C62+1)</f>
        <v>2062</v>
      </c>
      <c r="D63" s="55">
        <f>IF(F62+SUM(E$17:E62)=D$10,F62,D$10-SUM(E$17:E62))</f>
        <v>0</v>
      </c>
      <c r="E63" s="378">
        <f>IF(+I14&lt;F62,I14,D63)</f>
        <v>0</v>
      </c>
      <c r="F63" s="55">
        <f t="shared" si="18"/>
        <v>0</v>
      </c>
      <c r="G63" s="380">
        <f t="shared" si="21"/>
        <v>0</v>
      </c>
      <c r="H63" s="364">
        <f t="shared" si="22"/>
        <v>0</v>
      </c>
      <c r="I63" s="52">
        <f t="shared" si="0"/>
        <v>0</v>
      </c>
      <c r="J63" s="52"/>
      <c r="K63" s="129"/>
      <c r="L63" s="54">
        <f t="shared" si="2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 ht="12.5">
      <c r="B64" s="7" t="str">
        <f t="shared" si="7"/>
        <v/>
      </c>
      <c r="C64" s="50">
        <f>IF(D11="","-",+C63+1)</f>
        <v>2063</v>
      </c>
      <c r="D64" s="55">
        <f>IF(F63+SUM(E$17:E63)=D$10,F63,D$10-SUM(E$17:E63))</f>
        <v>0</v>
      </c>
      <c r="E64" s="378">
        <f>IF(+I14&lt;F63,I14,D64)</f>
        <v>0</v>
      </c>
      <c r="F64" s="55">
        <f t="shared" si="18"/>
        <v>0</v>
      </c>
      <c r="G64" s="380">
        <f t="shared" si="21"/>
        <v>0</v>
      </c>
      <c r="H64" s="364">
        <f t="shared" si="22"/>
        <v>0</v>
      </c>
      <c r="I64" s="52">
        <f t="shared" si="0"/>
        <v>0</v>
      </c>
      <c r="J64" s="52"/>
      <c r="K64" s="129"/>
      <c r="L64" s="54">
        <f t="shared" si="2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 ht="12.5">
      <c r="B65" s="7" t="str">
        <f t="shared" si="7"/>
        <v/>
      </c>
      <c r="C65" s="50">
        <f>IF(D11="","-",+C64+1)</f>
        <v>2064</v>
      </c>
      <c r="D65" s="55">
        <f>IF(F64+SUM(E$17:E64)=D$10,F64,D$10-SUM(E$17:E64))</f>
        <v>0</v>
      </c>
      <c r="E65" s="378">
        <f>IF(+I14&lt;F64,I14,D65)</f>
        <v>0</v>
      </c>
      <c r="F65" s="55">
        <f t="shared" si="18"/>
        <v>0</v>
      </c>
      <c r="G65" s="380">
        <f t="shared" si="21"/>
        <v>0</v>
      </c>
      <c r="H65" s="364">
        <f t="shared" si="22"/>
        <v>0</v>
      </c>
      <c r="I65" s="52">
        <f t="shared" si="0"/>
        <v>0</v>
      </c>
      <c r="J65" s="52"/>
      <c r="K65" s="129"/>
      <c r="L65" s="54">
        <f t="shared" si="2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 ht="12.5">
      <c r="B66" s="7" t="str">
        <f t="shared" si="7"/>
        <v/>
      </c>
      <c r="C66" s="50">
        <f>IF(D11="","-",+C65+1)</f>
        <v>2065</v>
      </c>
      <c r="D66" s="55">
        <f>IF(F65+SUM(E$17:E65)=D$10,F65,D$10-SUM(E$17:E65))</f>
        <v>0</v>
      </c>
      <c r="E66" s="378">
        <f>IF(+I14&lt;F65,I14,D66)</f>
        <v>0</v>
      </c>
      <c r="F66" s="55">
        <f t="shared" si="18"/>
        <v>0</v>
      </c>
      <c r="G66" s="380">
        <f t="shared" si="21"/>
        <v>0</v>
      </c>
      <c r="H66" s="364">
        <f t="shared" si="22"/>
        <v>0</v>
      </c>
      <c r="I66" s="52">
        <f t="shared" si="0"/>
        <v>0</v>
      </c>
      <c r="J66" s="52"/>
      <c r="K66" s="129"/>
      <c r="L66" s="54">
        <f t="shared" si="2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 ht="12.5">
      <c r="B67" s="7" t="str">
        <f t="shared" si="7"/>
        <v/>
      </c>
      <c r="C67" s="50">
        <f>IF(D11="","-",+C66+1)</f>
        <v>2066</v>
      </c>
      <c r="D67" s="55">
        <f>IF(F66+SUM(E$17:E66)=D$10,F66,D$10-SUM(E$17:E66))</f>
        <v>0</v>
      </c>
      <c r="E67" s="378">
        <f>IF(+I14&lt;F66,I14,D67)</f>
        <v>0</v>
      </c>
      <c r="F67" s="55">
        <f t="shared" si="18"/>
        <v>0</v>
      </c>
      <c r="G67" s="380">
        <f t="shared" si="21"/>
        <v>0</v>
      </c>
      <c r="H67" s="364">
        <f t="shared" si="22"/>
        <v>0</v>
      </c>
      <c r="I67" s="52">
        <f t="shared" si="0"/>
        <v>0</v>
      </c>
      <c r="J67" s="52"/>
      <c r="K67" s="129"/>
      <c r="L67" s="54">
        <f t="shared" si="2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 ht="12.5">
      <c r="B68" s="7" t="str">
        <f t="shared" si="7"/>
        <v/>
      </c>
      <c r="C68" s="50">
        <f>IF(D11="","-",+C67+1)</f>
        <v>2067</v>
      </c>
      <c r="D68" s="55">
        <f>IF(F67+SUM(E$17:E67)=D$10,F67,D$10-SUM(E$17:E67))</f>
        <v>0</v>
      </c>
      <c r="E68" s="378">
        <f>IF(+I14&lt;F67,I14,D68)</f>
        <v>0</v>
      </c>
      <c r="F68" s="55">
        <f t="shared" si="18"/>
        <v>0</v>
      </c>
      <c r="G68" s="380">
        <f t="shared" si="21"/>
        <v>0</v>
      </c>
      <c r="H68" s="364">
        <f t="shared" si="22"/>
        <v>0</v>
      </c>
      <c r="I68" s="52">
        <f t="shared" si="0"/>
        <v>0</v>
      </c>
      <c r="J68" s="52"/>
      <c r="K68" s="129"/>
      <c r="L68" s="54">
        <f t="shared" si="2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 ht="12.5">
      <c r="B69" s="7" t="str">
        <f t="shared" si="7"/>
        <v/>
      </c>
      <c r="C69" s="50">
        <f>IF(D11="","-",+C68+1)</f>
        <v>2068</v>
      </c>
      <c r="D69" s="55">
        <f>IF(F68+SUM(E$17:E68)=D$10,F68,D$10-SUM(E$17:E68))</f>
        <v>0</v>
      </c>
      <c r="E69" s="378">
        <f>IF(+I14&lt;F68,I14,D69)</f>
        <v>0</v>
      </c>
      <c r="F69" s="55">
        <f t="shared" si="18"/>
        <v>0</v>
      </c>
      <c r="G69" s="380">
        <f t="shared" si="21"/>
        <v>0</v>
      </c>
      <c r="H69" s="364">
        <f t="shared" si="22"/>
        <v>0</v>
      </c>
      <c r="I69" s="52">
        <f t="shared" si="0"/>
        <v>0</v>
      </c>
      <c r="J69" s="52"/>
      <c r="K69" s="129"/>
      <c r="L69" s="54">
        <f t="shared" si="2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 ht="12.5">
      <c r="B70" s="7" t="str">
        <f t="shared" si="7"/>
        <v/>
      </c>
      <c r="C70" s="50">
        <f>IF(D11="","-",+C69+1)</f>
        <v>2069</v>
      </c>
      <c r="D70" s="55">
        <f>IF(F69+SUM(E$17:E69)=D$10,F69,D$10-SUM(E$17:E69))</f>
        <v>0</v>
      </c>
      <c r="E70" s="378">
        <f>IF(+I14&lt;F69,I14,D70)</f>
        <v>0</v>
      </c>
      <c r="F70" s="55">
        <f t="shared" si="18"/>
        <v>0</v>
      </c>
      <c r="G70" s="380">
        <f t="shared" si="21"/>
        <v>0</v>
      </c>
      <c r="H70" s="364">
        <f t="shared" si="22"/>
        <v>0</v>
      </c>
      <c r="I70" s="52">
        <f t="shared" si="0"/>
        <v>0</v>
      </c>
      <c r="J70" s="52"/>
      <c r="K70" s="129"/>
      <c r="L70" s="54">
        <f t="shared" si="2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 ht="12.5">
      <c r="B71" s="7" t="str">
        <f t="shared" si="7"/>
        <v/>
      </c>
      <c r="C71" s="50">
        <f>IF(D11="","-",+C70+1)</f>
        <v>2070</v>
      </c>
      <c r="D71" s="55">
        <f>IF(F70+SUM(E$17:E70)=D$10,F70,D$10-SUM(E$17:E70))</f>
        <v>0</v>
      </c>
      <c r="E71" s="378">
        <f>IF(+I14&lt;F70,I14,D71)</f>
        <v>0</v>
      </c>
      <c r="F71" s="55">
        <f t="shared" si="18"/>
        <v>0</v>
      </c>
      <c r="G71" s="380">
        <f t="shared" si="21"/>
        <v>0</v>
      </c>
      <c r="H71" s="364">
        <f t="shared" si="22"/>
        <v>0</v>
      </c>
      <c r="I71" s="52">
        <f t="shared" si="0"/>
        <v>0</v>
      </c>
      <c r="J71" s="52"/>
      <c r="K71" s="129"/>
      <c r="L71" s="54">
        <f t="shared" si="2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" thickBot="1">
      <c r="B72" s="7" t="str">
        <f t="shared" si="7"/>
        <v/>
      </c>
      <c r="C72" s="59">
        <f>IF(D11="","-",+C71+1)</f>
        <v>2071</v>
      </c>
      <c r="D72" s="60">
        <f>IF(F71+SUM(E$17:E71)=D$10,F71,D$10-SUM(E$17:E71))</f>
        <v>0</v>
      </c>
      <c r="E72" s="381">
        <f>IF(+I14&lt;F71,I14,D72)</f>
        <v>0</v>
      </c>
      <c r="F72" s="60">
        <f t="shared" si="18"/>
        <v>0</v>
      </c>
      <c r="G72" s="382">
        <f t="shared" si="21"/>
        <v>0</v>
      </c>
      <c r="H72" s="362">
        <f t="shared" si="22"/>
        <v>0</v>
      </c>
      <c r="I72" s="63">
        <f t="shared" si="0"/>
        <v>0</v>
      </c>
      <c r="J72" s="52"/>
      <c r="K72" s="130"/>
      <c r="L72" s="64">
        <f t="shared" si="2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 ht="12.5">
      <c r="C73" s="12" t="s">
        <v>78</v>
      </c>
      <c r="D73" s="293"/>
      <c r="E73" s="293">
        <f>SUM(E17:E72)</f>
        <v>1558180.6100000006</v>
      </c>
      <c r="F73" s="293"/>
      <c r="G73" s="293">
        <f>SUM(G17:G72)</f>
        <v>5649869.2776083006</v>
      </c>
      <c r="H73" s="293">
        <f>SUM(H17:H72)</f>
        <v>5649869.2776083006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 ht="13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56 of 77</v>
      </c>
    </row>
    <row r="84" spans="1:16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186716.13800710742</v>
      </c>
      <c r="N87" s="387">
        <f>IF(J92&lt;D11,0,VLOOKUP(J92,C17:O72,11))</f>
        <v>186716.13800710742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193981.46572573495</v>
      </c>
      <c r="N88" s="390">
        <f>IF(J92&lt;D11,0,VLOOKUP(J92,C99:P154,7))</f>
        <v>193981.46572573495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Logansport 138 kv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7265.3277186275227</v>
      </c>
      <c r="N89" s="392">
        <f>+N88-N87</f>
        <v>7265.3277186275227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TP2011022</v>
      </c>
      <c r="E91" s="76" t="str">
        <f>E9</f>
        <v xml:space="preserve">  SPP Project ID = 30298</v>
      </c>
      <c r="F91" s="76"/>
      <c r="G91" s="76"/>
      <c r="H91" s="76"/>
      <c r="I91" s="76"/>
      <c r="J91" s="76"/>
    </row>
    <row r="92" spans="1:16" ht="13">
      <c r="C92" s="34" t="s">
        <v>51</v>
      </c>
      <c r="D92" s="363">
        <f>D10</f>
        <v>1558180.6099999999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</row>
    <row r="93" spans="1:16" ht="12.5">
      <c r="C93" s="34" t="s">
        <v>54</v>
      </c>
      <c r="D93" s="88">
        <f>IF(D11=I10,"",D11)</f>
        <v>2016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4">
        <f>IF(D11=I10,"",D12)</f>
        <v>9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35413.195681818179</v>
      </c>
      <c r="K96" s="293"/>
      <c r="L96" s="293"/>
      <c r="M96" s="293"/>
      <c r="N96" s="293"/>
      <c r="O96" s="293"/>
      <c r="P96" s="1"/>
    </row>
    <row r="97" spans="1:16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5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 ht="12.5">
      <c r="C99" s="50">
        <f>IF(D93= "","-",D93)</f>
        <v>2016</v>
      </c>
      <c r="D99" s="145">
        <v>0</v>
      </c>
      <c r="E99" s="446">
        <v>9050.1220930232557</v>
      </c>
      <c r="F99" s="147">
        <v>1547570.8779069767</v>
      </c>
      <c r="G99" s="447">
        <v>773785.43895348837</v>
      </c>
      <c r="H99" s="448">
        <v>107282.1745058736</v>
      </c>
      <c r="I99" s="449">
        <v>107282.1745058736</v>
      </c>
      <c r="J99" s="54">
        <f t="shared" ref="J99:J130" si="23">+I99-H99</f>
        <v>0</v>
      </c>
      <c r="K99" s="54"/>
      <c r="L99" s="112">
        <f t="shared" ref="L99:L104" si="24">+H99</f>
        <v>107282.1745058736</v>
      </c>
      <c r="M99" s="53">
        <f t="shared" ref="M99:M130" si="25">IF(L99&lt;&gt;0,+H99-L99,0)</f>
        <v>0</v>
      </c>
      <c r="N99" s="112">
        <f t="shared" ref="N99:N104" si="26">+I99</f>
        <v>107282.1745058736</v>
      </c>
      <c r="O99" s="53">
        <f t="shared" ref="O99:O130" si="27">IF(N99&lt;&gt;0,+I99-N99,0)</f>
        <v>0</v>
      </c>
      <c r="P99" s="53">
        <f t="shared" ref="P99:P130" si="28">+O99-M99</f>
        <v>0</v>
      </c>
    </row>
    <row r="100" spans="1:16" ht="12.5">
      <c r="B100" s="7" t="str">
        <f>IF(D100=F99,"","IU")</f>
        <v>IU</v>
      </c>
      <c r="C100" s="50">
        <f>IF(D93="","-",+C99+1)</f>
        <v>2017</v>
      </c>
      <c r="D100" s="429">
        <v>1549130.8779069767</v>
      </c>
      <c r="E100" s="430">
        <v>37099.547619047618</v>
      </c>
      <c r="F100" s="431">
        <v>1512031.3302879292</v>
      </c>
      <c r="G100" s="431">
        <v>1530581.1040974529</v>
      </c>
      <c r="H100" s="433">
        <v>223021.4654373239</v>
      </c>
      <c r="I100" s="434">
        <v>223021.4654373239</v>
      </c>
      <c r="J100" s="54">
        <f t="shared" si="23"/>
        <v>0</v>
      </c>
      <c r="K100" s="54"/>
      <c r="L100" s="450">
        <f t="shared" si="24"/>
        <v>223021.4654373239</v>
      </c>
      <c r="M100" s="54">
        <f t="shared" si="25"/>
        <v>0</v>
      </c>
      <c r="N100" s="450">
        <f t="shared" si="26"/>
        <v>223021.4654373239</v>
      </c>
      <c r="O100" s="54">
        <f t="shared" si="27"/>
        <v>0</v>
      </c>
      <c r="P100" s="54">
        <f t="shared" si="28"/>
        <v>0</v>
      </c>
    </row>
    <row r="101" spans="1:16" ht="12.5">
      <c r="B101" s="7" t="str">
        <f t="shared" ref="B101:B154" si="29">IF(D101=F100,"","IU")</f>
        <v/>
      </c>
      <c r="C101" s="50">
        <f>IF(D93="","-",+C100+1)</f>
        <v>2018</v>
      </c>
      <c r="D101" s="429">
        <v>1512031.3302879292</v>
      </c>
      <c r="E101" s="430">
        <v>37099.547619047618</v>
      </c>
      <c r="F101" s="431">
        <v>1474931.7826688816</v>
      </c>
      <c r="G101" s="431">
        <v>1493481.5564784054</v>
      </c>
      <c r="H101" s="433">
        <v>194818.04882044392</v>
      </c>
      <c r="I101" s="434">
        <v>194818.04882044392</v>
      </c>
      <c r="J101" s="54">
        <f t="shared" si="23"/>
        <v>0</v>
      </c>
      <c r="K101" s="54"/>
      <c r="L101" s="450">
        <f t="shared" si="24"/>
        <v>194818.04882044392</v>
      </c>
      <c r="M101" s="54">
        <f t="shared" ref="M101" si="30">IF(L101&lt;&gt;0,+H101-L101,0)</f>
        <v>0</v>
      </c>
      <c r="N101" s="450">
        <f t="shared" si="26"/>
        <v>194818.04882044392</v>
      </c>
      <c r="O101" s="54">
        <f t="shared" ref="O101" si="31">IF(N101&lt;&gt;0,+I101-N101,0)</f>
        <v>0</v>
      </c>
      <c r="P101" s="54">
        <f t="shared" si="28"/>
        <v>0</v>
      </c>
    </row>
    <row r="102" spans="1:16" ht="12.5">
      <c r="B102" s="7" t="str">
        <f t="shared" si="29"/>
        <v/>
      </c>
      <c r="C102" s="50">
        <f>IF(D93="","-",+C101+1)</f>
        <v>2019</v>
      </c>
      <c r="D102" s="429">
        <v>1474931.7826688816</v>
      </c>
      <c r="E102" s="430">
        <v>36236.767441860466</v>
      </c>
      <c r="F102" s="431">
        <v>1438695.0152270212</v>
      </c>
      <c r="G102" s="431">
        <v>1456813.3989479514</v>
      </c>
      <c r="H102" s="433">
        <v>192174.86987504771</v>
      </c>
      <c r="I102" s="434">
        <v>192174.86987504771</v>
      </c>
      <c r="J102" s="54">
        <f t="shared" si="23"/>
        <v>0</v>
      </c>
      <c r="K102" s="54"/>
      <c r="L102" s="450">
        <f t="shared" si="24"/>
        <v>192174.86987504771</v>
      </c>
      <c r="M102" s="54">
        <f t="shared" ref="M102" si="32">IF(L102&lt;&gt;0,+H102-L102,0)</f>
        <v>0</v>
      </c>
      <c r="N102" s="450">
        <f t="shared" si="26"/>
        <v>192174.86987504771</v>
      </c>
      <c r="O102" s="54">
        <f t="shared" si="27"/>
        <v>0</v>
      </c>
      <c r="P102" s="54">
        <f t="shared" si="28"/>
        <v>0</v>
      </c>
    </row>
    <row r="103" spans="1:16" ht="12.5">
      <c r="B103" s="7" t="str">
        <f t="shared" si="29"/>
        <v/>
      </c>
      <c r="C103" s="50">
        <f>IF(D93="","-",+C102+1)</f>
        <v>2020</v>
      </c>
      <c r="D103" s="429">
        <v>1438695.0152270212</v>
      </c>
      <c r="E103" s="430">
        <v>37099.547619047618</v>
      </c>
      <c r="F103" s="431">
        <v>1401595.4676079736</v>
      </c>
      <c r="G103" s="431">
        <v>1420145.2414174974</v>
      </c>
      <c r="H103" s="433">
        <v>189870.01394601294</v>
      </c>
      <c r="I103" s="434">
        <v>189870.01394601294</v>
      </c>
      <c r="J103" s="54">
        <f t="shared" si="23"/>
        <v>0</v>
      </c>
      <c r="K103" s="54"/>
      <c r="L103" s="450">
        <f t="shared" si="24"/>
        <v>189870.01394601294</v>
      </c>
      <c r="M103" s="54">
        <f t="shared" ref="M103" si="33">IF(L103&lt;&gt;0,+H103-L103,0)</f>
        <v>0</v>
      </c>
      <c r="N103" s="450">
        <f t="shared" si="26"/>
        <v>189870.01394601294</v>
      </c>
      <c r="O103" s="54">
        <f t="shared" si="27"/>
        <v>0</v>
      </c>
      <c r="P103" s="54">
        <f t="shared" si="28"/>
        <v>0</v>
      </c>
    </row>
    <row r="104" spans="1:16" ht="12.5">
      <c r="B104" s="7" t="str">
        <f t="shared" si="29"/>
        <v/>
      </c>
      <c r="C104" s="50">
        <f>IF(D93="","-",+C103+1)</f>
        <v>2021</v>
      </c>
      <c r="D104" s="429">
        <v>1401595.4676079736</v>
      </c>
      <c r="E104" s="430">
        <v>38004.414634146342</v>
      </c>
      <c r="F104" s="431">
        <v>1363591.0529738273</v>
      </c>
      <c r="G104" s="431">
        <v>1382593.2602909005</v>
      </c>
      <c r="H104" s="433">
        <v>194948.41896293132</v>
      </c>
      <c r="I104" s="434">
        <v>194948.41896293132</v>
      </c>
      <c r="J104" s="54">
        <f t="shared" si="23"/>
        <v>0</v>
      </c>
      <c r="K104" s="54"/>
      <c r="L104" s="450">
        <f t="shared" si="24"/>
        <v>194948.41896293132</v>
      </c>
      <c r="M104" s="54">
        <f t="shared" ref="M104" si="34">IF(L104&lt;&gt;0,+H104-L104,0)</f>
        <v>0</v>
      </c>
      <c r="N104" s="450">
        <f t="shared" si="26"/>
        <v>194948.41896293132</v>
      </c>
      <c r="O104" s="54">
        <f t="shared" si="27"/>
        <v>0</v>
      </c>
      <c r="P104" s="54">
        <f t="shared" si="28"/>
        <v>0</v>
      </c>
    </row>
    <row r="105" spans="1:16" ht="12.5">
      <c r="B105" s="7" t="str">
        <f t="shared" si="29"/>
        <v/>
      </c>
      <c r="C105" s="50">
        <f>IF(D93="","-",+C104+1)</f>
        <v>2022</v>
      </c>
      <c r="D105" s="429">
        <v>1363591.0529738273</v>
      </c>
      <c r="E105" s="430">
        <v>37099.547619047618</v>
      </c>
      <c r="F105" s="431">
        <v>1326491.5053547798</v>
      </c>
      <c r="G105" s="431">
        <v>1345041.2791643036</v>
      </c>
      <c r="H105" s="433">
        <v>195085.19507269218</v>
      </c>
      <c r="I105" s="434">
        <v>195085.19507269218</v>
      </c>
      <c r="J105" s="54">
        <f t="shared" si="23"/>
        <v>0</v>
      </c>
      <c r="K105" s="54"/>
      <c r="L105" s="450">
        <f t="shared" ref="L105" si="35">+H105</f>
        <v>195085.19507269218</v>
      </c>
      <c r="M105" s="54">
        <f t="shared" ref="M105" si="36">IF(L105&lt;&gt;0,+H105-L105,0)</f>
        <v>0</v>
      </c>
      <c r="N105" s="450">
        <f t="shared" ref="N105" si="37">+I105</f>
        <v>195085.19507269218</v>
      </c>
      <c r="O105" s="54">
        <f t="shared" ref="O105" si="38">IF(N105&lt;&gt;0,+I105-N105,0)</f>
        <v>0</v>
      </c>
      <c r="P105" s="54">
        <f t="shared" ref="P105" si="39">+O105-M105</f>
        <v>0</v>
      </c>
    </row>
    <row r="106" spans="1:16" ht="12.5">
      <c r="B106" s="7" t="str">
        <f t="shared" si="29"/>
        <v>IU</v>
      </c>
      <c r="C106" s="50">
        <f>IF(D93="","-",+C105+1)</f>
        <v>2023</v>
      </c>
      <c r="D106" s="429">
        <v>1326491.1153547794</v>
      </c>
      <c r="E106" s="430">
        <v>35413.195681818179</v>
      </c>
      <c r="F106" s="431">
        <v>1291077.9196729613</v>
      </c>
      <c r="G106" s="431">
        <v>1308784.5175138703</v>
      </c>
      <c r="H106" s="433">
        <v>196871.47125835106</v>
      </c>
      <c r="I106" s="434">
        <v>196871.47125835106</v>
      </c>
      <c r="J106" s="54">
        <f t="shared" si="23"/>
        <v>0</v>
      </c>
      <c r="K106" s="54"/>
      <c r="L106" s="450">
        <f t="shared" ref="L106" si="40">+H106</f>
        <v>196871.47125835106</v>
      </c>
      <c r="M106" s="54">
        <f t="shared" ref="M106" si="41">IF(L106&lt;&gt;0,+H106-L106,0)</f>
        <v>0</v>
      </c>
      <c r="N106" s="450">
        <f t="shared" ref="N106" si="42">+I106</f>
        <v>196871.47125835106</v>
      </c>
      <c r="O106" s="54">
        <f t="shared" ref="O106" si="43">IF(N106&lt;&gt;0,+I106-N106,0)</f>
        <v>0</v>
      </c>
      <c r="P106" s="54">
        <f t="shared" ref="P106" si="44">+O106-M106</f>
        <v>0</v>
      </c>
    </row>
    <row r="107" spans="1:16" ht="12.5">
      <c r="B107" s="7" t="str">
        <f t="shared" si="29"/>
        <v/>
      </c>
      <c r="C107" s="50">
        <f>IF(D93="","-",+C106+1)</f>
        <v>2024</v>
      </c>
      <c r="D107" s="12">
        <f>IF(F106+SUM(E$99:E106)=D$92,F106,D$92-SUM(E$99:E106))</f>
        <v>1291077.9196729613</v>
      </c>
      <c r="E107" s="378">
        <f>IF(+J96&lt;F106,J96,D107)</f>
        <v>35413.195681818179</v>
      </c>
      <c r="F107" s="55">
        <f t="shared" ref="F107:F130" si="45">+D107-E107</f>
        <v>1255664.7239911431</v>
      </c>
      <c r="G107" s="55">
        <f t="shared" ref="G107:G130" si="46">+(F107+D107)/2</f>
        <v>1273371.3218320522</v>
      </c>
      <c r="H107" s="380">
        <f t="shared" ref="H107:H154" si="47">+J$94*G107+E107</f>
        <v>193981.46572573495</v>
      </c>
      <c r="I107" s="399">
        <f t="shared" ref="I107:I154" si="48">+J$95*G107+E107</f>
        <v>193981.46572573495</v>
      </c>
      <c r="J107" s="54">
        <f t="shared" si="23"/>
        <v>0</v>
      </c>
      <c r="K107" s="54"/>
      <c r="L107" s="129"/>
      <c r="M107" s="54">
        <f t="shared" si="25"/>
        <v>0</v>
      </c>
      <c r="N107" s="129"/>
      <c r="O107" s="54">
        <f t="shared" si="27"/>
        <v>0</v>
      </c>
      <c r="P107" s="54">
        <f t="shared" si="28"/>
        <v>0</v>
      </c>
    </row>
    <row r="108" spans="1:16" ht="12.5">
      <c r="B108" s="7" t="str">
        <f t="shared" si="29"/>
        <v/>
      </c>
      <c r="C108" s="50">
        <f>IF(D93="","-",+C107+1)</f>
        <v>2025</v>
      </c>
      <c r="D108" s="12">
        <f>IF(F107+SUM(E$99:E107)=D$92,F107,D$92-SUM(E$99:E107))</f>
        <v>1255664.7239911431</v>
      </c>
      <c r="E108" s="378">
        <f>IF(+J96&lt;F107,J96,D108)</f>
        <v>35413.195681818179</v>
      </c>
      <c r="F108" s="55">
        <f t="shared" si="45"/>
        <v>1220251.5283093248</v>
      </c>
      <c r="G108" s="55">
        <f t="shared" si="46"/>
        <v>1237958.1261502339</v>
      </c>
      <c r="H108" s="380">
        <f t="shared" si="47"/>
        <v>189571.59008324484</v>
      </c>
      <c r="I108" s="399">
        <f t="shared" si="48"/>
        <v>189571.59008324484</v>
      </c>
      <c r="J108" s="54">
        <f t="shared" si="23"/>
        <v>0</v>
      </c>
      <c r="K108" s="54"/>
      <c r="L108" s="129"/>
      <c r="M108" s="54">
        <f t="shared" si="25"/>
        <v>0</v>
      </c>
      <c r="N108" s="129"/>
      <c r="O108" s="54">
        <f t="shared" si="27"/>
        <v>0</v>
      </c>
      <c r="P108" s="54">
        <f t="shared" si="28"/>
        <v>0</v>
      </c>
    </row>
    <row r="109" spans="1:16" ht="12.5">
      <c r="B109" s="7" t="str">
        <f t="shared" si="29"/>
        <v/>
      </c>
      <c r="C109" s="50">
        <f>IF(D93="","-",+C108+1)</f>
        <v>2026</v>
      </c>
      <c r="D109" s="12">
        <f>IF(F108+SUM(E$99:E108)=D$92,F108,D$92-SUM(E$99:E108))</f>
        <v>1220251.5283093248</v>
      </c>
      <c r="E109" s="378">
        <f>IF(+J96&lt;F108,J96,D109)</f>
        <v>35413.195681818179</v>
      </c>
      <c r="F109" s="55">
        <f t="shared" si="45"/>
        <v>1184838.3326275065</v>
      </c>
      <c r="G109" s="55">
        <f t="shared" si="46"/>
        <v>1202544.9304684156</v>
      </c>
      <c r="H109" s="380">
        <f t="shared" si="47"/>
        <v>185161.7144407547</v>
      </c>
      <c r="I109" s="399">
        <f t="shared" si="48"/>
        <v>185161.7144407547</v>
      </c>
      <c r="J109" s="54">
        <f t="shared" si="23"/>
        <v>0</v>
      </c>
      <c r="K109" s="54"/>
      <c r="L109" s="129"/>
      <c r="M109" s="54">
        <f t="shared" si="25"/>
        <v>0</v>
      </c>
      <c r="N109" s="129"/>
      <c r="O109" s="54">
        <f t="shared" si="27"/>
        <v>0</v>
      </c>
      <c r="P109" s="54">
        <f t="shared" si="28"/>
        <v>0</v>
      </c>
    </row>
    <row r="110" spans="1:16" ht="12.5">
      <c r="B110" s="7" t="str">
        <f t="shared" si="29"/>
        <v/>
      </c>
      <c r="C110" s="50">
        <f>IF(D93="","-",+C109+1)</f>
        <v>2027</v>
      </c>
      <c r="D110" s="12">
        <f>IF(F109+SUM(E$99:E109)=D$92,F109,D$92-SUM(E$99:E109))</f>
        <v>1184838.3326275065</v>
      </c>
      <c r="E110" s="378">
        <f>IF(+J96&lt;F109,J96,D110)</f>
        <v>35413.195681818179</v>
      </c>
      <c r="F110" s="55">
        <f t="shared" si="45"/>
        <v>1149425.1369456882</v>
      </c>
      <c r="G110" s="55">
        <f t="shared" si="46"/>
        <v>1167131.7347865973</v>
      </c>
      <c r="H110" s="380">
        <f t="shared" si="47"/>
        <v>180751.83879826457</v>
      </c>
      <c r="I110" s="399">
        <f t="shared" si="48"/>
        <v>180751.83879826457</v>
      </c>
      <c r="J110" s="54">
        <f t="shared" si="23"/>
        <v>0</v>
      </c>
      <c r="K110" s="54"/>
      <c r="L110" s="129"/>
      <c r="M110" s="54">
        <f t="shared" si="25"/>
        <v>0</v>
      </c>
      <c r="N110" s="129"/>
      <c r="O110" s="54">
        <f t="shared" si="27"/>
        <v>0</v>
      </c>
      <c r="P110" s="54">
        <f t="shared" si="28"/>
        <v>0</v>
      </c>
    </row>
    <row r="111" spans="1:16" ht="12.5">
      <c r="B111" s="7" t="str">
        <f t="shared" si="29"/>
        <v/>
      </c>
      <c r="C111" s="50">
        <f>IF(D93="","-",+C110+1)</f>
        <v>2028</v>
      </c>
      <c r="D111" s="12">
        <f>IF(F110+SUM(E$99:E110)=D$92,F110,D$92-SUM(E$99:E110))</f>
        <v>1149425.1369456882</v>
      </c>
      <c r="E111" s="378">
        <f>IF(+J96&lt;F110,J96,D111)</f>
        <v>35413.195681818179</v>
      </c>
      <c r="F111" s="55">
        <f t="shared" si="45"/>
        <v>1114011.9412638699</v>
      </c>
      <c r="G111" s="55">
        <f t="shared" si="46"/>
        <v>1131718.539104779</v>
      </c>
      <c r="H111" s="380">
        <f t="shared" si="47"/>
        <v>176341.96315577443</v>
      </c>
      <c r="I111" s="399">
        <f t="shared" si="48"/>
        <v>176341.96315577443</v>
      </c>
      <c r="J111" s="54">
        <f t="shared" si="23"/>
        <v>0</v>
      </c>
      <c r="K111" s="54"/>
      <c r="L111" s="129"/>
      <c r="M111" s="54">
        <f t="shared" si="25"/>
        <v>0</v>
      </c>
      <c r="N111" s="129"/>
      <c r="O111" s="54">
        <f t="shared" si="27"/>
        <v>0</v>
      </c>
      <c r="P111" s="54">
        <f t="shared" si="28"/>
        <v>0</v>
      </c>
    </row>
    <row r="112" spans="1:16" ht="12.5">
      <c r="B112" s="7" t="str">
        <f t="shared" si="29"/>
        <v/>
      </c>
      <c r="C112" s="50">
        <f>IF(D93="","-",+C111+1)</f>
        <v>2029</v>
      </c>
      <c r="D112" s="12">
        <f>IF(F111+SUM(E$99:E111)=D$92,F111,D$92-SUM(E$99:E111))</f>
        <v>1114011.9412638699</v>
      </c>
      <c r="E112" s="378">
        <f>IF(+J96&lt;F111,J96,D112)</f>
        <v>35413.195681818179</v>
      </c>
      <c r="F112" s="55">
        <f t="shared" si="45"/>
        <v>1078598.7455820516</v>
      </c>
      <c r="G112" s="55">
        <f t="shared" si="46"/>
        <v>1096305.3434229607</v>
      </c>
      <c r="H112" s="380">
        <f t="shared" si="47"/>
        <v>171932.08751328429</v>
      </c>
      <c r="I112" s="399">
        <f t="shared" si="48"/>
        <v>171932.08751328429</v>
      </c>
      <c r="J112" s="54">
        <f t="shared" si="23"/>
        <v>0</v>
      </c>
      <c r="K112" s="54"/>
      <c r="L112" s="129"/>
      <c r="M112" s="54">
        <f t="shared" si="25"/>
        <v>0</v>
      </c>
      <c r="N112" s="129"/>
      <c r="O112" s="54">
        <f t="shared" si="27"/>
        <v>0</v>
      </c>
      <c r="P112" s="54">
        <f t="shared" si="28"/>
        <v>0</v>
      </c>
    </row>
    <row r="113" spans="2:16" ht="12.5">
      <c r="B113" s="7" t="str">
        <f t="shared" si="29"/>
        <v/>
      </c>
      <c r="C113" s="50">
        <f>IF(D93="","-",+C112+1)</f>
        <v>2030</v>
      </c>
      <c r="D113" s="12">
        <f>IF(F112+SUM(E$99:E112)=D$92,F112,D$92-SUM(E$99:E112))</f>
        <v>1078598.7455820516</v>
      </c>
      <c r="E113" s="378">
        <f>IF(+J96&lt;F112,J96,D113)</f>
        <v>35413.195681818179</v>
      </c>
      <c r="F113" s="55">
        <f t="shared" si="45"/>
        <v>1043185.5499002334</v>
      </c>
      <c r="G113" s="55">
        <f t="shared" si="46"/>
        <v>1060892.1477411424</v>
      </c>
      <c r="H113" s="380">
        <f t="shared" si="47"/>
        <v>167522.21187079416</v>
      </c>
      <c r="I113" s="399">
        <f t="shared" si="48"/>
        <v>167522.21187079416</v>
      </c>
      <c r="J113" s="54">
        <f t="shared" si="23"/>
        <v>0</v>
      </c>
      <c r="K113" s="54"/>
      <c r="L113" s="129"/>
      <c r="M113" s="54">
        <f t="shared" si="25"/>
        <v>0</v>
      </c>
      <c r="N113" s="129"/>
      <c r="O113" s="54">
        <f t="shared" si="27"/>
        <v>0</v>
      </c>
      <c r="P113" s="54">
        <f t="shared" si="28"/>
        <v>0</v>
      </c>
    </row>
    <row r="114" spans="2:16" ht="12.5">
      <c r="B114" s="7" t="str">
        <f t="shared" si="29"/>
        <v/>
      </c>
      <c r="C114" s="50">
        <f>IF(D93="","-",+C113+1)</f>
        <v>2031</v>
      </c>
      <c r="D114" s="12">
        <f>IF(F113+SUM(E$99:E113)=D$92,F113,D$92-SUM(E$99:E113))</f>
        <v>1043185.5499002334</v>
      </c>
      <c r="E114" s="378">
        <f>IF(+J96&lt;F113,J96,D114)</f>
        <v>35413.195681818179</v>
      </c>
      <c r="F114" s="55">
        <f t="shared" si="45"/>
        <v>1007772.3542184152</v>
      </c>
      <c r="G114" s="55">
        <f t="shared" si="46"/>
        <v>1025478.9520593244</v>
      </c>
      <c r="H114" s="380">
        <f t="shared" si="47"/>
        <v>163112.33622830408</v>
      </c>
      <c r="I114" s="399">
        <f t="shared" si="48"/>
        <v>163112.33622830408</v>
      </c>
      <c r="J114" s="54">
        <f t="shared" si="23"/>
        <v>0</v>
      </c>
      <c r="K114" s="54"/>
      <c r="L114" s="129"/>
      <c r="M114" s="54">
        <f t="shared" si="25"/>
        <v>0</v>
      </c>
      <c r="N114" s="129"/>
      <c r="O114" s="54">
        <f t="shared" si="27"/>
        <v>0</v>
      </c>
      <c r="P114" s="54">
        <f t="shared" si="28"/>
        <v>0</v>
      </c>
    </row>
    <row r="115" spans="2:16" ht="12.5">
      <c r="B115" s="7" t="str">
        <f t="shared" si="29"/>
        <v/>
      </c>
      <c r="C115" s="50">
        <f>IF(D93="","-",+C114+1)</f>
        <v>2032</v>
      </c>
      <c r="D115" s="12">
        <f>IF(F114+SUM(E$99:E114)=D$92,F114,D$92-SUM(E$99:E114))</f>
        <v>1007772.3542184152</v>
      </c>
      <c r="E115" s="378">
        <f>IF(+J96&lt;F114,J96,D115)</f>
        <v>35413.195681818179</v>
      </c>
      <c r="F115" s="55">
        <f t="shared" si="45"/>
        <v>972359.15853659704</v>
      </c>
      <c r="G115" s="55">
        <f t="shared" si="46"/>
        <v>990065.75637750607</v>
      </c>
      <c r="H115" s="380">
        <f t="shared" si="47"/>
        <v>158702.46058581391</v>
      </c>
      <c r="I115" s="399">
        <f t="shared" si="48"/>
        <v>158702.46058581391</v>
      </c>
      <c r="J115" s="54">
        <f t="shared" si="23"/>
        <v>0</v>
      </c>
      <c r="K115" s="54"/>
      <c r="L115" s="129"/>
      <c r="M115" s="54">
        <f t="shared" si="25"/>
        <v>0</v>
      </c>
      <c r="N115" s="129"/>
      <c r="O115" s="54">
        <f t="shared" si="27"/>
        <v>0</v>
      </c>
      <c r="P115" s="54">
        <f t="shared" si="28"/>
        <v>0</v>
      </c>
    </row>
    <row r="116" spans="2:16" ht="12.5">
      <c r="B116" s="7" t="str">
        <f t="shared" si="29"/>
        <v/>
      </c>
      <c r="C116" s="50">
        <f>IF(D93="","-",+C115+1)</f>
        <v>2033</v>
      </c>
      <c r="D116" s="12">
        <f>IF(F115+SUM(E$99:E115)=D$92,F115,D$92-SUM(E$99:E115))</f>
        <v>972359.15853659704</v>
      </c>
      <c r="E116" s="378">
        <f>IF(+J96&lt;F115,J96,D116)</f>
        <v>35413.195681818179</v>
      </c>
      <c r="F116" s="55">
        <f t="shared" si="45"/>
        <v>936945.96285477886</v>
      </c>
      <c r="G116" s="55">
        <f t="shared" si="46"/>
        <v>954652.56069568801</v>
      </c>
      <c r="H116" s="380">
        <f t="shared" si="47"/>
        <v>154292.5849433238</v>
      </c>
      <c r="I116" s="399">
        <f t="shared" si="48"/>
        <v>154292.5849433238</v>
      </c>
      <c r="J116" s="54">
        <f t="shared" si="23"/>
        <v>0</v>
      </c>
      <c r="K116" s="54"/>
      <c r="L116" s="129"/>
      <c r="M116" s="54">
        <f t="shared" si="25"/>
        <v>0</v>
      </c>
      <c r="N116" s="129"/>
      <c r="O116" s="54">
        <f t="shared" si="27"/>
        <v>0</v>
      </c>
      <c r="P116" s="54">
        <f t="shared" si="28"/>
        <v>0</v>
      </c>
    </row>
    <row r="117" spans="2:16" ht="12.5">
      <c r="B117" s="7" t="str">
        <f t="shared" si="29"/>
        <v/>
      </c>
      <c r="C117" s="50">
        <f>IF(D93="","-",+C116+1)</f>
        <v>2034</v>
      </c>
      <c r="D117" s="12">
        <f>IF(F116+SUM(E$99:E116)=D$92,F116,D$92-SUM(E$99:E116))</f>
        <v>936945.96285477886</v>
      </c>
      <c r="E117" s="378">
        <f>IF(+J96&lt;F116,J96,D117)</f>
        <v>35413.195681818179</v>
      </c>
      <c r="F117" s="55">
        <f t="shared" si="45"/>
        <v>901532.76717296068</v>
      </c>
      <c r="G117" s="55">
        <f t="shared" si="46"/>
        <v>919239.36501386971</v>
      </c>
      <c r="H117" s="380">
        <f t="shared" si="47"/>
        <v>149882.7093008337</v>
      </c>
      <c r="I117" s="399">
        <f t="shared" si="48"/>
        <v>149882.7093008337</v>
      </c>
      <c r="J117" s="54">
        <f t="shared" si="23"/>
        <v>0</v>
      </c>
      <c r="K117" s="54"/>
      <c r="L117" s="129"/>
      <c r="M117" s="54">
        <f t="shared" si="25"/>
        <v>0</v>
      </c>
      <c r="N117" s="129"/>
      <c r="O117" s="54">
        <f t="shared" si="27"/>
        <v>0</v>
      </c>
      <c r="P117" s="54">
        <f t="shared" si="28"/>
        <v>0</v>
      </c>
    </row>
    <row r="118" spans="2:16" ht="12.5">
      <c r="B118" s="7" t="str">
        <f t="shared" si="29"/>
        <v/>
      </c>
      <c r="C118" s="50">
        <f>IF(D93="","-",+C117+1)</f>
        <v>2035</v>
      </c>
      <c r="D118" s="12">
        <f>IF(F117+SUM(E$99:E117)=D$92,F117,D$92-SUM(E$99:E117))</f>
        <v>901532.76717296068</v>
      </c>
      <c r="E118" s="378">
        <f>IF(+J96&lt;F117,J96,D118)</f>
        <v>35413.195681818179</v>
      </c>
      <c r="F118" s="55">
        <f t="shared" si="45"/>
        <v>866119.5714911425</v>
      </c>
      <c r="G118" s="55">
        <f t="shared" si="46"/>
        <v>883826.16933205165</v>
      </c>
      <c r="H118" s="380">
        <f t="shared" si="47"/>
        <v>145472.83365834359</v>
      </c>
      <c r="I118" s="399">
        <f t="shared" si="48"/>
        <v>145472.83365834359</v>
      </c>
      <c r="J118" s="54">
        <f t="shared" si="23"/>
        <v>0</v>
      </c>
      <c r="K118" s="54"/>
      <c r="L118" s="129"/>
      <c r="M118" s="54">
        <f t="shared" si="25"/>
        <v>0</v>
      </c>
      <c r="N118" s="129"/>
      <c r="O118" s="54">
        <f t="shared" si="27"/>
        <v>0</v>
      </c>
      <c r="P118" s="54">
        <f t="shared" si="28"/>
        <v>0</v>
      </c>
    </row>
    <row r="119" spans="2:16" ht="12.5">
      <c r="B119" s="7" t="str">
        <f t="shared" si="29"/>
        <v/>
      </c>
      <c r="C119" s="50">
        <f>IF(D93="","-",+C118+1)</f>
        <v>2036</v>
      </c>
      <c r="D119" s="12">
        <f>IF(F118+SUM(E$99:E118)=D$92,F118,D$92-SUM(E$99:E118))</f>
        <v>866119.5714911425</v>
      </c>
      <c r="E119" s="378">
        <f>IF(+J96&lt;F118,J96,D119)</f>
        <v>35413.195681818179</v>
      </c>
      <c r="F119" s="55">
        <f t="shared" si="45"/>
        <v>830706.37580932432</v>
      </c>
      <c r="G119" s="55">
        <f t="shared" si="46"/>
        <v>848412.97365023335</v>
      </c>
      <c r="H119" s="380">
        <f t="shared" si="47"/>
        <v>141062.95801585345</v>
      </c>
      <c r="I119" s="399">
        <f t="shared" si="48"/>
        <v>141062.95801585345</v>
      </c>
      <c r="J119" s="54">
        <f t="shared" si="23"/>
        <v>0</v>
      </c>
      <c r="K119" s="54"/>
      <c r="L119" s="129"/>
      <c r="M119" s="54">
        <f t="shared" si="25"/>
        <v>0</v>
      </c>
      <c r="N119" s="129"/>
      <c r="O119" s="54">
        <f t="shared" si="27"/>
        <v>0</v>
      </c>
      <c r="P119" s="54">
        <f t="shared" si="28"/>
        <v>0</v>
      </c>
    </row>
    <row r="120" spans="2:16" ht="12.5">
      <c r="B120" s="7" t="str">
        <f t="shared" si="29"/>
        <v/>
      </c>
      <c r="C120" s="50">
        <f>IF(D93="","-",+C119+1)</f>
        <v>2037</v>
      </c>
      <c r="D120" s="12">
        <f>IF(F119+SUM(E$99:E119)=D$92,F119,D$92-SUM(E$99:E119))</f>
        <v>830706.37580932432</v>
      </c>
      <c r="E120" s="378">
        <f>IF(+J96&lt;F119,J96,D120)</f>
        <v>35413.195681818179</v>
      </c>
      <c r="F120" s="55">
        <f t="shared" si="45"/>
        <v>795293.18012750614</v>
      </c>
      <c r="G120" s="55">
        <f t="shared" si="46"/>
        <v>812999.77796841529</v>
      </c>
      <c r="H120" s="380">
        <f t="shared" si="47"/>
        <v>136653.08237336334</v>
      </c>
      <c r="I120" s="399">
        <f t="shared" si="48"/>
        <v>136653.08237336334</v>
      </c>
      <c r="J120" s="54">
        <f t="shared" si="23"/>
        <v>0</v>
      </c>
      <c r="K120" s="54"/>
      <c r="L120" s="129"/>
      <c r="M120" s="54">
        <f t="shared" si="25"/>
        <v>0</v>
      </c>
      <c r="N120" s="129"/>
      <c r="O120" s="54">
        <f t="shared" si="27"/>
        <v>0</v>
      </c>
      <c r="P120" s="54">
        <f t="shared" si="28"/>
        <v>0</v>
      </c>
    </row>
    <row r="121" spans="2:16" ht="12.5">
      <c r="B121" s="7" t="str">
        <f t="shared" si="29"/>
        <v/>
      </c>
      <c r="C121" s="50">
        <f>IF(D93="","-",+C120+1)</f>
        <v>2038</v>
      </c>
      <c r="D121" s="12">
        <f>IF(F120+SUM(E$99:E120)=D$92,F120,D$92-SUM(E$99:E120))</f>
        <v>795293.18012750614</v>
      </c>
      <c r="E121" s="378">
        <f>IF(+J96&lt;F120,J96,D121)</f>
        <v>35413.195681818179</v>
      </c>
      <c r="F121" s="55">
        <f t="shared" si="45"/>
        <v>759879.98444568797</v>
      </c>
      <c r="G121" s="55">
        <f t="shared" si="46"/>
        <v>777586.582286597</v>
      </c>
      <c r="H121" s="380">
        <f t="shared" si="47"/>
        <v>132243.20673087321</v>
      </c>
      <c r="I121" s="399">
        <f t="shared" si="48"/>
        <v>132243.20673087321</v>
      </c>
      <c r="J121" s="54">
        <f t="shared" si="23"/>
        <v>0</v>
      </c>
      <c r="K121" s="54"/>
      <c r="L121" s="129"/>
      <c r="M121" s="54">
        <f t="shared" si="25"/>
        <v>0</v>
      </c>
      <c r="N121" s="129"/>
      <c r="O121" s="54">
        <f t="shared" si="27"/>
        <v>0</v>
      </c>
      <c r="P121" s="54">
        <f t="shared" si="28"/>
        <v>0</v>
      </c>
    </row>
    <row r="122" spans="2:16" ht="12.5">
      <c r="B122" s="7" t="str">
        <f t="shared" si="29"/>
        <v/>
      </c>
      <c r="C122" s="50">
        <f>IF(D93="","-",+C121+1)</f>
        <v>2039</v>
      </c>
      <c r="D122" s="12">
        <f>IF(F121+SUM(E$99:E121)=D$92,F121,D$92-SUM(E$99:E121))</f>
        <v>759879.98444568797</v>
      </c>
      <c r="E122" s="378">
        <f>IF(+J96&lt;F121,J96,D122)</f>
        <v>35413.195681818179</v>
      </c>
      <c r="F122" s="55">
        <f t="shared" si="45"/>
        <v>724466.78876386979</v>
      </c>
      <c r="G122" s="55">
        <f t="shared" si="46"/>
        <v>742173.38660477893</v>
      </c>
      <c r="H122" s="380">
        <f t="shared" si="47"/>
        <v>127833.33108838311</v>
      </c>
      <c r="I122" s="399">
        <f t="shared" si="48"/>
        <v>127833.33108838311</v>
      </c>
      <c r="J122" s="54">
        <f t="shared" si="23"/>
        <v>0</v>
      </c>
      <c r="K122" s="54"/>
      <c r="L122" s="129"/>
      <c r="M122" s="54">
        <f t="shared" si="25"/>
        <v>0</v>
      </c>
      <c r="N122" s="129"/>
      <c r="O122" s="54">
        <f t="shared" si="27"/>
        <v>0</v>
      </c>
      <c r="P122" s="54">
        <f t="shared" si="28"/>
        <v>0</v>
      </c>
    </row>
    <row r="123" spans="2:16" ht="12.5">
      <c r="B123" s="7" t="str">
        <f t="shared" si="29"/>
        <v/>
      </c>
      <c r="C123" s="50">
        <f>IF(D93="","-",+C122+1)</f>
        <v>2040</v>
      </c>
      <c r="D123" s="12">
        <f>IF(F122+SUM(E$99:E122)=D$92,F122,D$92-SUM(E$99:E122))</f>
        <v>724466.78876386979</v>
      </c>
      <c r="E123" s="378">
        <f>IF(+J96&lt;F122,J96,D123)</f>
        <v>35413.195681818179</v>
      </c>
      <c r="F123" s="55">
        <f t="shared" si="45"/>
        <v>689053.59308205161</v>
      </c>
      <c r="G123" s="55">
        <f t="shared" si="46"/>
        <v>706760.19092296064</v>
      </c>
      <c r="H123" s="380">
        <f t="shared" si="47"/>
        <v>123423.45544589298</v>
      </c>
      <c r="I123" s="399">
        <f t="shared" si="48"/>
        <v>123423.45544589298</v>
      </c>
      <c r="J123" s="54">
        <f t="shared" si="23"/>
        <v>0</v>
      </c>
      <c r="K123" s="54"/>
      <c r="L123" s="129"/>
      <c r="M123" s="54">
        <f t="shared" si="25"/>
        <v>0</v>
      </c>
      <c r="N123" s="129"/>
      <c r="O123" s="54">
        <f t="shared" si="27"/>
        <v>0</v>
      </c>
      <c r="P123" s="54">
        <f t="shared" si="28"/>
        <v>0</v>
      </c>
    </row>
    <row r="124" spans="2:16" ht="12.5">
      <c r="B124" s="7" t="str">
        <f t="shared" si="29"/>
        <v/>
      </c>
      <c r="C124" s="50">
        <f>IF(D93="","-",+C123+1)</f>
        <v>2041</v>
      </c>
      <c r="D124" s="12">
        <f>IF(F123+SUM(E$99:E123)=D$92,F123,D$92-SUM(E$99:E123))</f>
        <v>689053.59308205161</v>
      </c>
      <c r="E124" s="378">
        <f>IF(+J96&lt;F123,J96,D124)</f>
        <v>35413.195681818179</v>
      </c>
      <c r="F124" s="55">
        <f t="shared" si="45"/>
        <v>653640.39740023343</v>
      </c>
      <c r="G124" s="55">
        <f t="shared" si="46"/>
        <v>671346.99524114258</v>
      </c>
      <c r="H124" s="380">
        <f t="shared" si="47"/>
        <v>119013.57980340287</v>
      </c>
      <c r="I124" s="399">
        <f t="shared" si="48"/>
        <v>119013.57980340287</v>
      </c>
      <c r="J124" s="54">
        <f t="shared" si="23"/>
        <v>0</v>
      </c>
      <c r="K124" s="54"/>
      <c r="L124" s="129"/>
      <c r="M124" s="54">
        <f t="shared" si="25"/>
        <v>0</v>
      </c>
      <c r="N124" s="129"/>
      <c r="O124" s="54">
        <f t="shared" si="27"/>
        <v>0</v>
      </c>
      <c r="P124" s="54">
        <f t="shared" si="28"/>
        <v>0</v>
      </c>
    </row>
    <row r="125" spans="2:16" ht="12.5">
      <c r="B125" s="7" t="str">
        <f t="shared" si="29"/>
        <v/>
      </c>
      <c r="C125" s="50">
        <f>IF(D93="","-",+C124+1)</f>
        <v>2042</v>
      </c>
      <c r="D125" s="12">
        <f>IF(F124+SUM(E$99:E124)=D$92,F124,D$92-SUM(E$99:E124))</f>
        <v>653640.39740023343</v>
      </c>
      <c r="E125" s="378">
        <f>IF(+J96&lt;F124,J96,D125)</f>
        <v>35413.195681818179</v>
      </c>
      <c r="F125" s="55">
        <f t="shared" si="45"/>
        <v>618227.20171841525</v>
      </c>
      <c r="G125" s="55">
        <f t="shared" si="46"/>
        <v>635933.79955932428</v>
      </c>
      <c r="H125" s="380">
        <f t="shared" si="47"/>
        <v>114603.70416091273</v>
      </c>
      <c r="I125" s="399">
        <f t="shared" si="48"/>
        <v>114603.70416091273</v>
      </c>
      <c r="J125" s="54">
        <f t="shared" si="23"/>
        <v>0</v>
      </c>
      <c r="K125" s="54"/>
      <c r="L125" s="129"/>
      <c r="M125" s="54">
        <f t="shared" si="25"/>
        <v>0</v>
      </c>
      <c r="N125" s="129"/>
      <c r="O125" s="54">
        <f t="shared" si="27"/>
        <v>0</v>
      </c>
      <c r="P125" s="54">
        <f t="shared" si="28"/>
        <v>0</v>
      </c>
    </row>
    <row r="126" spans="2:16" ht="12.5">
      <c r="B126" s="7" t="str">
        <f t="shared" si="29"/>
        <v/>
      </c>
      <c r="C126" s="50">
        <f>IF(D93="","-",+C125+1)</f>
        <v>2043</v>
      </c>
      <c r="D126" s="12">
        <f>IF(F125+SUM(E$99:E125)=D$92,F125,D$92-SUM(E$99:E125))</f>
        <v>618227.20171841525</v>
      </c>
      <c r="E126" s="378">
        <f>IF(+J96&lt;F125,J96,D126)</f>
        <v>35413.195681818179</v>
      </c>
      <c r="F126" s="55">
        <f t="shared" si="45"/>
        <v>582814.00603659707</v>
      </c>
      <c r="G126" s="55">
        <f t="shared" si="46"/>
        <v>600520.60387750622</v>
      </c>
      <c r="H126" s="380">
        <f t="shared" si="47"/>
        <v>110193.82851842264</v>
      </c>
      <c r="I126" s="399">
        <f t="shared" si="48"/>
        <v>110193.82851842264</v>
      </c>
      <c r="J126" s="54">
        <f t="shared" si="23"/>
        <v>0</v>
      </c>
      <c r="K126" s="54"/>
      <c r="L126" s="129"/>
      <c r="M126" s="54">
        <f t="shared" si="25"/>
        <v>0</v>
      </c>
      <c r="N126" s="129"/>
      <c r="O126" s="54">
        <f t="shared" si="27"/>
        <v>0</v>
      </c>
      <c r="P126" s="54">
        <f t="shared" si="28"/>
        <v>0</v>
      </c>
    </row>
    <row r="127" spans="2:16" ht="12.5">
      <c r="B127" s="7" t="str">
        <f t="shared" si="29"/>
        <v/>
      </c>
      <c r="C127" s="50">
        <f>IF(D93="","-",+C126+1)</f>
        <v>2044</v>
      </c>
      <c r="D127" s="12">
        <f>IF(F126+SUM(E$99:E126)=D$92,F126,D$92-SUM(E$99:E126))</f>
        <v>582814.00603659707</v>
      </c>
      <c r="E127" s="378">
        <f>IF(+J96&lt;F126,J96,D127)</f>
        <v>35413.195681818179</v>
      </c>
      <c r="F127" s="55">
        <f t="shared" si="45"/>
        <v>547400.81035477889</v>
      </c>
      <c r="G127" s="55">
        <f t="shared" si="46"/>
        <v>565107.40819568792</v>
      </c>
      <c r="H127" s="380">
        <f t="shared" si="47"/>
        <v>105783.9528759325</v>
      </c>
      <c r="I127" s="399">
        <f t="shared" si="48"/>
        <v>105783.9528759325</v>
      </c>
      <c r="J127" s="54">
        <f t="shared" si="23"/>
        <v>0</v>
      </c>
      <c r="K127" s="54"/>
      <c r="L127" s="129"/>
      <c r="M127" s="54">
        <f t="shared" si="25"/>
        <v>0</v>
      </c>
      <c r="N127" s="129"/>
      <c r="O127" s="54">
        <f t="shared" si="27"/>
        <v>0</v>
      </c>
      <c r="P127" s="54">
        <f t="shared" si="28"/>
        <v>0</v>
      </c>
    </row>
    <row r="128" spans="2:16" ht="12.5">
      <c r="B128" s="7" t="str">
        <f t="shared" si="29"/>
        <v/>
      </c>
      <c r="C128" s="50">
        <f>IF(D93="","-",+C127+1)</f>
        <v>2045</v>
      </c>
      <c r="D128" s="12">
        <f>IF(F127+SUM(E$99:E127)=D$92,F127,D$92-SUM(E$99:E127))</f>
        <v>547400.81035477889</v>
      </c>
      <c r="E128" s="378">
        <f>IF(+J96&lt;F127,J96,D128)</f>
        <v>35413.195681818179</v>
      </c>
      <c r="F128" s="55">
        <f t="shared" si="45"/>
        <v>511987.61467296071</v>
      </c>
      <c r="G128" s="55">
        <f t="shared" si="46"/>
        <v>529694.21251386986</v>
      </c>
      <c r="H128" s="380">
        <f t="shared" si="47"/>
        <v>101374.0772334424</v>
      </c>
      <c r="I128" s="399">
        <f t="shared" si="48"/>
        <v>101374.0772334424</v>
      </c>
      <c r="J128" s="54">
        <f t="shared" si="23"/>
        <v>0</v>
      </c>
      <c r="K128" s="54"/>
      <c r="L128" s="129"/>
      <c r="M128" s="54">
        <f t="shared" si="25"/>
        <v>0</v>
      </c>
      <c r="N128" s="129"/>
      <c r="O128" s="54">
        <f t="shared" si="27"/>
        <v>0</v>
      </c>
      <c r="P128" s="54">
        <f t="shared" si="28"/>
        <v>0</v>
      </c>
    </row>
    <row r="129" spans="2:16" ht="12.5">
      <c r="B129" s="7" t="str">
        <f t="shared" si="29"/>
        <v/>
      </c>
      <c r="C129" s="50">
        <f>IF(D93="","-",+C128+1)</f>
        <v>2046</v>
      </c>
      <c r="D129" s="12">
        <f>IF(F128+SUM(E$99:E128)=D$92,F128,D$92-SUM(E$99:E128))</f>
        <v>511987.61467296071</v>
      </c>
      <c r="E129" s="378">
        <f>IF(+J96&lt;F128,J96,D129)</f>
        <v>35413.195681818179</v>
      </c>
      <c r="F129" s="55">
        <f t="shared" si="45"/>
        <v>476574.41899114253</v>
      </c>
      <c r="G129" s="55">
        <f t="shared" si="46"/>
        <v>494281.01683205162</v>
      </c>
      <c r="H129" s="380">
        <f t="shared" si="47"/>
        <v>96964.201590952274</v>
      </c>
      <c r="I129" s="399">
        <f t="shared" si="48"/>
        <v>96964.201590952274</v>
      </c>
      <c r="J129" s="54">
        <f t="shared" si="23"/>
        <v>0</v>
      </c>
      <c r="K129" s="54"/>
      <c r="L129" s="129"/>
      <c r="M129" s="54">
        <f t="shared" si="25"/>
        <v>0</v>
      </c>
      <c r="N129" s="129"/>
      <c r="O129" s="54">
        <f t="shared" si="27"/>
        <v>0</v>
      </c>
      <c r="P129" s="54">
        <f t="shared" si="28"/>
        <v>0</v>
      </c>
    </row>
    <row r="130" spans="2:16" ht="12.5">
      <c r="B130" s="7" t="str">
        <f t="shared" si="29"/>
        <v/>
      </c>
      <c r="C130" s="50">
        <f>IF(D93="","-",+C129+1)</f>
        <v>2047</v>
      </c>
      <c r="D130" s="12">
        <f>IF(F129+SUM(E$99:E129)=D$92,F129,D$92-SUM(E$99:E129))</f>
        <v>476574.41899114253</v>
      </c>
      <c r="E130" s="378">
        <f>IF(+J96&lt;F129,J96,D130)</f>
        <v>35413.195681818179</v>
      </c>
      <c r="F130" s="55">
        <f t="shared" si="45"/>
        <v>441161.22330932436</v>
      </c>
      <c r="G130" s="55">
        <f t="shared" si="46"/>
        <v>458867.82115023345</v>
      </c>
      <c r="H130" s="380">
        <f t="shared" si="47"/>
        <v>92554.325948462152</v>
      </c>
      <c r="I130" s="399">
        <f t="shared" si="48"/>
        <v>92554.325948462152</v>
      </c>
      <c r="J130" s="54">
        <f t="shared" si="23"/>
        <v>0</v>
      </c>
      <c r="K130" s="54"/>
      <c r="L130" s="129"/>
      <c r="M130" s="54">
        <f t="shared" si="25"/>
        <v>0</v>
      </c>
      <c r="N130" s="129"/>
      <c r="O130" s="54">
        <f t="shared" si="27"/>
        <v>0</v>
      </c>
      <c r="P130" s="54">
        <f t="shared" si="28"/>
        <v>0</v>
      </c>
    </row>
    <row r="131" spans="2:16" ht="12.5">
      <c r="B131" s="7" t="str">
        <f t="shared" si="29"/>
        <v/>
      </c>
      <c r="C131" s="50">
        <f>IF(D93="","-",+C130+1)</f>
        <v>2048</v>
      </c>
      <c r="D131" s="12">
        <f>IF(F130+SUM(E$99:E130)=D$92,F130,D$92-SUM(E$99:E130))</f>
        <v>441161.22330932436</v>
      </c>
      <c r="E131" s="378">
        <f>IF(+J96&lt;F130,J96,D131)</f>
        <v>35413.195681818179</v>
      </c>
      <c r="F131" s="55">
        <f t="shared" ref="F131:F154" si="49">+D131-E131</f>
        <v>405748.02762750618</v>
      </c>
      <c r="G131" s="55">
        <f t="shared" ref="G131:G154" si="50">+(F131+D131)/2</f>
        <v>423454.62546841527</v>
      </c>
      <c r="H131" s="380">
        <f t="shared" si="47"/>
        <v>88144.450305972045</v>
      </c>
      <c r="I131" s="399">
        <f t="shared" si="48"/>
        <v>88144.450305972045</v>
      </c>
      <c r="J131" s="54">
        <f t="shared" ref="J131:J154" si="51">+I541-H541</f>
        <v>0</v>
      </c>
      <c r="K131" s="54"/>
      <c r="L131" s="129"/>
      <c r="M131" s="54">
        <f t="shared" ref="M131:M154" si="52">IF(L541&lt;&gt;0,+H541-L541,0)</f>
        <v>0</v>
      </c>
      <c r="N131" s="129"/>
      <c r="O131" s="54">
        <f t="shared" ref="O131:O154" si="53">IF(N541&lt;&gt;0,+I541-N541,0)</f>
        <v>0</v>
      </c>
      <c r="P131" s="54">
        <f t="shared" ref="P131:P154" si="54">+O541-M541</f>
        <v>0</v>
      </c>
    </row>
    <row r="132" spans="2:16" ht="12.5">
      <c r="B132" s="7" t="str">
        <f t="shared" si="29"/>
        <v/>
      </c>
      <c r="C132" s="50">
        <f>IF(D93="","-",+C131+1)</f>
        <v>2049</v>
      </c>
      <c r="D132" s="12">
        <f>IF(F131+SUM(E$99:E131)=D$92,F131,D$92-SUM(E$99:E131))</f>
        <v>405748.02762750618</v>
      </c>
      <c r="E132" s="378">
        <f>IF(+J96&lt;F131,J96,D132)</f>
        <v>35413.195681818179</v>
      </c>
      <c r="F132" s="55">
        <f t="shared" si="49"/>
        <v>370334.831945688</v>
      </c>
      <c r="G132" s="55">
        <f t="shared" si="50"/>
        <v>388041.42978659709</v>
      </c>
      <c r="H132" s="380">
        <f t="shared" si="47"/>
        <v>83734.574663481908</v>
      </c>
      <c r="I132" s="399">
        <f t="shared" si="48"/>
        <v>83734.574663481908</v>
      </c>
      <c r="J132" s="54">
        <f t="shared" si="51"/>
        <v>0</v>
      </c>
      <c r="K132" s="54"/>
      <c r="L132" s="129"/>
      <c r="M132" s="54">
        <f t="shared" si="52"/>
        <v>0</v>
      </c>
      <c r="N132" s="129"/>
      <c r="O132" s="54">
        <f t="shared" si="53"/>
        <v>0</v>
      </c>
      <c r="P132" s="54">
        <f t="shared" si="54"/>
        <v>0</v>
      </c>
    </row>
    <row r="133" spans="2:16" ht="12.5">
      <c r="B133" s="7" t="str">
        <f t="shared" si="29"/>
        <v/>
      </c>
      <c r="C133" s="50">
        <f>IF(D93="","-",+C132+1)</f>
        <v>2050</v>
      </c>
      <c r="D133" s="12">
        <f>IF(F132+SUM(E$99:E132)=D$92,F132,D$92-SUM(E$99:E132))</f>
        <v>370334.831945688</v>
      </c>
      <c r="E133" s="378">
        <f>IF(+J96&lt;F132,J96,D133)</f>
        <v>35413.195681818179</v>
      </c>
      <c r="F133" s="55">
        <f t="shared" si="49"/>
        <v>334921.63626386982</v>
      </c>
      <c r="G133" s="55">
        <f t="shared" si="50"/>
        <v>352628.23410477891</v>
      </c>
      <c r="H133" s="380">
        <f t="shared" si="47"/>
        <v>79324.6990209918</v>
      </c>
      <c r="I133" s="399">
        <f t="shared" si="48"/>
        <v>79324.6990209918</v>
      </c>
      <c r="J133" s="54">
        <f t="shared" si="51"/>
        <v>0</v>
      </c>
      <c r="K133" s="54"/>
      <c r="L133" s="129"/>
      <c r="M133" s="54">
        <f t="shared" si="52"/>
        <v>0</v>
      </c>
      <c r="N133" s="129"/>
      <c r="O133" s="54">
        <f t="shared" si="53"/>
        <v>0</v>
      </c>
      <c r="P133" s="54">
        <f t="shared" si="54"/>
        <v>0</v>
      </c>
    </row>
    <row r="134" spans="2:16" ht="12.5">
      <c r="B134" s="7" t="str">
        <f t="shared" si="29"/>
        <v/>
      </c>
      <c r="C134" s="50">
        <f>IF(D93="","-",+C133+1)</f>
        <v>2051</v>
      </c>
      <c r="D134" s="12">
        <f>IF(F133+SUM(E$99:E133)=D$92,F133,D$92-SUM(E$99:E133))</f>
        <v>334921.63626386982</v>
      </c>
      <c r="E134" s="378">
        <f>IF(+J96&lt;F133,J96,D134)</f>
        <v>35413.195681818179</v>
      </c>
      <c r="F134" s="55">
        <f t="shared" si="49"/>
        <v>299508.44058205164</v>
      </c>
      <c r="G134" s="55">
        <f t="shared" si="50"/>
        <v>317215.03842296073</v>
      </c>
      <c r="H134" s="380">
        <f t="shared" si="47"/>
        <v>74914.823378501678</v>
      </c>
      <c r="I134" s="399">
        <f t="shared" si="48"/>
        <v>74914.823378501678</v>
      </c>
      <c r="J134" s="54">
        <f t="shared" si="51"/>
        <v>0</v>
      </c>
      <c r="K134" s="54"/>
      <c r="L134" s="129"/>
      <c r="M134" s="54">
        <f t="shared" si="52"/>
        <v>0</v>
      </c>
      <c r="N134" s="129"/>
      <c r="O134" s="54">
        <f t="shared" si="53"/>
        <v>0</v>
      </c>
      <c r="P134" s="54">
        <f t="shared" si="54"/>
        <v>0</v>
      </c>
    </row>
    <row r="135" spans="2:16" ht="12.5">
      <c r="B135" s="7" t="str">
        <f t="shared" si="29"/>
        <v/>
      </c>
      <c r="C135" s="50">
        <f>IF(D93="","-",+C134+1)</f>
        <v>2052</v>
      </c>
      <c r="D135" s="12">
        <f>IF(F134+SUM(E$99:E134)=D$92,F134,D$92-SUM(E$99:E134))</f>
        <v>299508.44058205164</v>
      </c>
      <c r="E135" s="378">
        <f>IF(+J96&lt;F134,J96,D135)</f>
        <v>35413.195681818179</v>
      </c>
      <c r="F135" s="55">
        <f t="shared" si="49"/>
        <v>264095.24490023346</v>
      </c>
      <c r="G135" s="55">
        <f t="shared" si="50"/>
        <v>281801.84274114255</v>
      </c>
      <c r="H135" s="380">
        <f t="shared" si="47"/>
        <v>70504.947736011556</v>
      </c>
      <c r="I135" s="399">
        <f t="shared" si="48"/>
        <v>70504.947736011556</v>
      </c>
      <c r="J135" s="54">
        <f t="shared" si="51"/>
        <v>0</v>
      </c>
      <c r="K135" s="54"/>
      <c r="L135" s="129"/>
      <c r="M135" s="54">
        <f t="shared" si="52"/>
        <v>0</v>
      </c>
      <c r="N135" s="129"/>
      <c r="O135" s="54">
        <f t="shared" si="53"/>
        <v>0</v>
      </c>
      <c r="P135" s="54">
        <f t="shared" si="54"/>
        <v>0</v>
      </c>
    </row>
    <row r="136" spans="2:16" ht="12.5">
      <c r="B136" s="7" t="str">
        <f t="shared" si="29"/>
        <v/>
      </c>
      <c r="C136" s="50">
        <f>IF(D93="","-",+C135+1)</f>
        <v>2053</v>
      </c>
      <c r="D136" s="12">
        <f>IF(F135+SUM(E$99:E135)=D$92,F135,D$92-SUM(E$99:E135))</f>
        <v>264095.24490023346</v>
      </c>
      <c r="E136" s="378">
        <f>IF(+J96&lt;F135,J96,D136)</f>
        <v>35413.195681818179</v>
      </c>
      <c r="F136" s="55">
        <f t="shared" si="49"/>
        <v>228682.04921841528</v>
      </c>
      <c r="G136" s="55">
        <f t="shared" si="50"/>
        <v>246388.64705932437</v>
      </c>
      <c r="H136" s="380">
        <f t="shared" si="47"/>
        <v>66095.072093521449</v>
      </c>
      <c r="I136" s="399">
        <f t="shared" si="48"/>
        <v>66095.072093521449</v>
      </c>
      <c r="J136" s="54">
        <f t="shared" si="51"/>
        <v>0</v>
      </c>
      <c r="K136" s="54"/>
      <c r="L136" s="129"/>
      <c r="M136" s="54">
        <f t="shared" si="52"/>
        <v>0</v>
      </c>
      <c r="N136" s="129"/>
      <c r="O136" s="54">
        <f t="shared" si="53"/>
        <v>0</v>
      </c>
      <c r="P136" s="54">
        <f t="shared" si="54"/>
        <v>0</v>
      </c>
    </row>
    <row r="137" spans="2:16" ht="12.5">
      <c r="B137" s="7" t="str">
        <f t="shared" si="29"/>
        <v/>
      </c>
      <c r="C137" s="50">
        <f>IF(D93="","-",+C136+1)</f>
        <v>2054</v>
      </c>
      <c r="D137" s="12">
        <f>IF(F136+SUM(E$99:E136)=D$92,F136,D$92-SUM(E$99:E136))</f>
        <v>228682.04921841528</v>
      </c>
      <c r="E137" s="378">
        <f>IF(+J96&lt;F136,J96,D137)</f>
        <v>35413.195681818179</v>
      </c>
      <c r="F137" s="55">
        <f t="shared" si="49"/>
        <v>193268.8535365971</v>
      </c>
      <c r="G137" s="55">
        <f t="shared" si="50"/>
        <v>210975.45137750619</v>
      </c>
      <c r="H137" s="380">
        <f t="shared" si="47"/>
        <v>61685.196451031326</v>
      </c>
      <c r="I137" s="399">
        <f t="shared" si="48"/>
        <v>61685.196451031326</v>
      </c>
      <c r="J137" s="54">
        <f t="shared" si="51"/>
        <v>0</v>
      </c>
      <c r="K137" s="54"/>
      <c r="L137" s="129"/>
      <c r="M137" s="54">
        <f t="shared" si="52"/>
        <v>0</v>
      </c>
      <c r="N137" s="129"/>
      <c r="O137" s="54">
        <f t="shared" si="53"/>
        <v>0</v>
      </c>
      <c r="P137" s="54">
        <f t="shared" si="54"/>
        <v>0</v>
      </c>
    </row>
    <row r="138" spans="2:16" ht="12.5">
      <c r="B138" s="7" t="str">
        <f t="shared" si="29"/>
        <v/>
      </c>
      <c r="C138" s="50">
        <f>IF(D93="","-",+C137+1)</f>
        <v>2055</v>
      </c>
      <c r="D138" s="12">
        <f>IF(F137+SUM(E$99:E137)=D$92,F137,D$92-SUM(E$99:E137))</f>
        <v>193268.8535365971</v>
      </c>
      <c r="E138" s="378">
        <f>IF(+J96&lt;F137,J96,D138)</f>
        <v>35413.195681818179</v>
      </c>
      <c r="F138" s="55">
        <f t="shared" si="49"/>
        <v>157855.65785477892</v>
      </c>
      <c r="G138" s="55">
        <f t="shared" si="50"/>
        <v>175562.25569568801</v>
      </c>
      <c r="H138" s="380">
        <f t="shared" si="47"/>
        <v>57275.320808541204</v>
      </c>
      <c r="I138" s="399">
        <f t="shared" si="48"/>
        <v>57275.320808541204</v>
      </c>
      <c r="J138" s="54">
        <f t="shared" si="51"/>
        <v>0</v>
      </c>
      <c r="K138" s="54"/>
      <c r="L138" s="129"/>
      <c r="M138" s="54">
        <f t="shared" si="52"/>
        <v>0</v>
      </c>
      <c r="N138" s="129"/>
      <c r="O138" s="54">
        <f t="shared" si="53"/>
        <v>0</v>
      </c>
      <c r="P138" s="54">
        <f t="shared" si="54"/>
        <v>0</v>
      </c>
    </row>
    <row r="139" spans="2:16" ht="12.5">
      <c r="B139" s="7" t="str">
        <f t="shared" si="29"/>
        <v/>
      </c>
      <c r="C139" s="50">
        <f>IF(D93="","-",+C138+1)</f>
        <v>2056</v>
      </c>
      <c r="D139" s="12">
        <f>IF(F138+SUM(E$99:E138)=D$92,F138,D$92-SUM(E$99:E138))</f>
        <v>157855.65785477892</v>
      </c>
      <c r="E139" s="378">
        <f>IF(+J96&lt;F138,J96,D139)</f>
        <v>35413.195681818179</v>
      </c>
      <c r="F139" s="55">
        <f t="shared" si="49"/>
        <v>122442.46217296075</v>
      </c>
      <c r="G139" s="55">
        <f t="shared" si="50"/>
        <v>140149.06001386984</v>
      </c>
      <c r="H139" s="380">
        <f t="shared" si="47"/>
        <v>52865.445166051089</v>
      </c>
      <c r="I139" s="399">
        <f t="shared" si="48"/>
        <v>52865.445166051089</v>
      </c>
      <c r="J139" s="54">
        <f t="shared" si="51"/>
        <v>0</v>
      </c>
      <c r="K139" s="54"/>
      <c r="L139" s="129"/>
      <c r="M139" s="54">
        <f t="shared" si="52"/>
        <v>0</v>
      </c>
      <c r="N139" s="129"/>
      <c r="O139" s="54">
        <f t="shared" si="53"/>
        <v>0</v>
      </c>
      <c r="P139" s="54">
        <f t="shared" si="54"/>
        <v>0</v>
      </c>
    </row>
    <row r="140" spans="2:16" ht="12.5">
      <c r="B140" s="7" t="str">
        <f t="shared" si="29"/>
        <v/>
      </c>
      <c r="C140" s="50">
        <f>IF(D93="","-",+C139+1)</f>
        <v>2057</v>
      </c>
      <c r="D140" s="12">
        <f>IF(F139+SUM(E$99:E139)=D$92,F139,D$92-SUM(E$99:E139))</f>
        <v>122442.46217296075</v>
      </c>
      <c r="E140" s="378">
        <f>IF(+J96&lt;F139,J96,D140)</f>
        <v>35413.195681818179</v>
      </c>
      <c r="F140" s="55">
        <f t="shared" si="49"/>
        <v>87029.266491142567</v>
      </c>
      <c r="G140" s="55">
        <f t="shared" si="50"/>
        <v>104735.86433205166</v>
      </c>
      <c r="H140" s="380">
        <f t="shared" si="47"/>
        <v>48455.569523560967</v>
      </c>
      <c r="I140" s="399">
        <f t="shared" si="48"/>
        <v>48455.569523560967</v>
      </c>
      <c r="J140" s="54">
        <f t="shared" si="51"/>
        <v>0</v>
      </c>
      <c r="K140" s="54"/>
      <c r="L140" s="129"/>
      <c r="M140" s="54">
        <f t="shared" si="52"/>
        <v>0</v>
      </c>
      <c r="N140" s="129"/>
      <c r="O140" s="54">
        <f t="shared" si="53"/>
        <v>0</v>
      </c>
      <c r="P140" s="54">
        <f t="shared" si="54"/>
        <v>0</v>
      </c>
    </row>
    <row r="141" spans="2:16" ht="12.5">
      <c r="B141" s="7" t="str">
        <f t="shared" si="29"/>
        <v/>
      </c>
      <c r="C141" s="50">
        <f>IF(D93="","-",+C140+1)</f>
        <v>2058</v>
      </c>
      <c r="D141" s="12">
        <f>IF(F140+SUM(E$99:E140)=D$92,F140,D$92-SUM(E$99:E140))</f>
        <v>87029.266491142567</v>
      </c>
      <c r="E141" s="378">
        <f>IF(+J96&lt;F140,J96,D141)</f>
        <v>35413.195681818179</v>
      </c>
      <c r="F141" s="55">
        <f t="shared" si="49"/>
        <v>51616.070809324388</v>
      </c>
      <c r="G141" s="55">
        <f t="shared" si="50"/>
        <v>69322.668650233478</v>
      </c>
      <c r="H141" s="380">
        <f t="shared" si="47"/>
        <v>44045.693881070853</v>
      </c>
      <c r="I141" s="399">
        <f t="shared" si="48"/>
        <v>44045.693881070853</v>
      </c>
      <c r="J141" s="54">
        <f t="shared" si="51"/>
        <v>0</v>
      </c>
      <c r="K141" s="54"/>
      <c r="L141" s="129"/>
      <c r="M141" s="54">
        <f t="shared" si="52"/>
        <v>0</v>
      </c>
      <c r="N141" s="129"/>
      <c r="O141" s="54">
        <f t="shared" si="53"/>
        <v>0</v>
      </c>
      <c r="P141" s="54">
        <f t="shared" si="54"/>
        <v>0</v>
      </c>
    </row>
    <row r="142" spans="2:16" ht="12.5">
      <c r="B142" s="7" t="str">
        <f t="shared" si="29"/>
        <v/>
      </c>
      <c r="C142" s="50">
        <f>IF(D93="","-",+C141+1)</f>
        <v>2059</v>
      </c>
      <c r="D142" s="12">
        <f>IF(F141+SUM(E$99:E141)=D$92,F141,D$92-SUM(E$99:E141))</f>
        <v>51616.070809324388</v>
      </c>
      <c r="E142" s="378">
        <f>IF(+J96&lt;F141,J96,D142)</f>
        <v>35413.195681818179</v>
      </c>
      <c r="F142" s="55">
        <f t="shared" si="49"/>
        <v>16202.87512750621</v>
      </c>
      <c r="G142" s="55">
        <f t="shared" si="50"/>
        <v>33909.472968415299</v>
      </c>
      <c r="H142" s="380">
        <f t="shared" si="47"/>
        <v>39635.81823858073</v>
      </c>
      <c r="I142" s="399">
        <f t="shared" si="48"/>
        <v>39635.81823858073</v>
      </c>
      <c r="J142" s="54">
        <f t="shared" si="51"/>
        <v>0</v>
      </c>
      <c r="K142" s="54"/>
      <c r="L142" s="129"/>
      <c r="M142" s="54">
        <f t="shared" si="52"/>
        <v>0</v>
      </c>
      <c r="N142" s="129"/>
      <c r="O142" s="54">
        <f t="shared" si="53"/>
        <v>0</v>
      </c>
      <c r="P142" s="54">
        <f t="shared" si="54"/>
        <v>0</v>
      </c>
    </row>
    <row r="143" spans="2:16" ht="12.5">
      <c r="B143" s="7" t="str">
        <f t="shared" si="29"/>
        <v/>
      </c>
      <c r="C143" s="50">
        <f>IF(D93="","-",+C142+1)</f>
        <v>2060</v>
      </c>
      <c r="D143" s="12">
        <f>IF(F142+SUM(E$99:E142)=D$92,F142,D$92-SUM(E$99:E142))</f>
        <v>16202.87512750621</v>
      </c>
      <c r="E143" s="378">
        <f>IF(+J96&lt;F142,J96,D143)</f>
        <v>16202.87512750621</v>
      </c>
      <c r="F143" s="55">
        <f t="shared" si="49"/>
        <v>0</v>
      </c>
      <c r="G143" s="55">
        <f t="shared" si="50"/>
        <v>8101.4375637531048</v>
      </c>
      <c r="H143" s="380">
        <f t="shared" si="47"/>
        <v>17211.717495264958</v>
      </c>
      <c r="I143" s="399">
        <f t="shared" si="48"/>
        <v>17211.717495264958</v>
      </c>
      <c r="J143" s="54">
        <f t="shared" si="51"/>
        <v>0</v>
      </c>
      <c r="K143" s="54"/>
      <c r="L143" s="129"/>
      <c r="M143" s="54">
        <f t="shared" si="52"/>
        <v>0</v>
      </c>
      <c r="N143" s="129"/>
      <c r="O143" s="54">
        <f t="shared" si="53"/>
        <v>0</v>
      </c>
      <c r="P143" s="54">
        <f t="shared" si="54"/>
        <v>0</v>
      </c>
    </row>
    <row r="144" spans="2:16" ht="12.5">
      <c r="B144" s="7" t="str">
        <f t="shared" si="29"/>
        <v/>
      </c>
      <c r="C144" s="50">
        <f>IF(D93="","-",+C143+1)</f>
        <v>2061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49"/>
        <v>0</v>
      </c>
      <c r="G144" s="55">
        <f t="shared" si="50"/>
        <v>0</v>
      </c>
      <c r="H144" s="380">
        <f t="shared" si="47"/>
        <v>0</v>
      </c>
      <c r="I144" s="399">
        <f t="shared" si="48"/>
        <v>0</v>
      </c>
      <c r="J144" s="54">
        <f t="shared" si="51"/>
        <v>0</v>
      </c>
      <c r="K144" s="54"/>
      <c r="L144" s="129"/>
      <c r="M144" s="54">
        <f t="shared" si="52"/>
        <v>0</v>
      </c>
      <c r="N144" s="129"/>
      <c r="O144" s="54">
        <f t="shared" si="53"/>
        <v>0</v>
      </c>
      <c r="P144" s="54">
        <f t="shared" si="54"/>
        <v>0</v>
      </c>
    </row>
    <row r="145" spans="2:16" ht="12.5">
      <c r="B145" s="7" t="str">
        <f t="shared" si="29"/>
        <v/>
      </c>
      <c r="C145" s="50">
        <f>IF(D93="","-",+C144+1)</f>
        <v>2062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49"/>
        <v>0</v>
      </c>
      <c r="G145" s="55">
        <f t="shared" si="50"/>
        <v>0</v>
      </c>
      <c r="H145" s="380">
        <f t="shared" si="47"/>
        <v>0</v>
      </c>
      <c r="I145" s="399">
        <f t="shared" si="48"/>
        <v>0</v>
      </c>
      <c r="J145" s="54">
        <f t="shared" si="51"/>
        <v>0</v>
      </c>
      <c r="K145" s="54"/>
      <c r="L145" s="129"/>
      <c r="M145" s="54">
        <f t="shared" si="52"/>
        <v>0</v>
      </c>
      <c r="N145" s="129"/>
      <c r="O145" s="54">
        <f t="shared" si="53"/>
        <v>0</v>
      </c>
      <c r="P145" s="54">
        <f t="shared" si="54"/>
        <v>0</v>
      </c>
    </row>
    <row r="146" spans="2:16" ht="12.5">
      <c r="B146" s="7" t="str">
        <f t="shared" si="29"/>
        <v/>
      </c>
      <c r="C146" s="50">
        <f>IF(D93="","-",+C145+1)</f>
        <v>2063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49"/>
        <v>0</v>
      </c>
      <c r="G146" s="55">
        <f t="shared" si="50"/>
        <v>0</v>
      </c>
      <c r="H146" s="380">
        <f t="shared" si="47"/>
        <v>0</v>
      </c>
      <c r="I146" s="399">
        <f t="shared" si="48"/>
        <v>0</v>
      </c>
      <c r="J146" s="54">
        <f t="shared" si="51"/>
        <v>0</v>
      </c>
      <c r="K146" s="54"/>
      <c r="L146" s="129"/>
      <c r="M146" s="54">
        <f t="shared" si="52"/>
        <v>0</v>
      </c>
      <c r="N146" s="129"/>
      <c r="O146" s="54">
        <f t="shared" si="53"/>
        <v>0</v>
      </c>
      <c r="P146" s="54">
        <f t="shared" si="54"/>
        <v>0</v>
      </c>
    </row>
    <row r="147" spans="2:16" ht="12.5">
      <c r="B147" s="7" t="str">
        <f t="shared" si="29"/>
        <v/>
      </c>
      <c r="C147" s="50">
        <f>IF(D93="","-",+C146+1)</f>
        <v>2064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49"/>
        <v>0</v>
      </c>
      <c r="G147" s="55">
        <f t="shared" si="50"/>
        <v>0</v>
      </c>
      <c r="H147" s="380">
        <f t="shared" si="47"/>
        <v>0</v>
      </c>
      <c r="I147" s="399">
        <f t="shared" si="48"/>
        <v>0</v>
      </c>
      <c r="J147" s="54">
        <f t="shared" si="51"/>
        <v>0</v>
      </c>
      <c r="K147" s="54"/>
      <c r="L147" s="129"/>
      <c r="M147" s="54">
        <f t="shared" si="52"/>
        <v>0</v>
      </c>
      <c r="N147" s="129"/>
      <c r="O147" s="54">
        <f t="shared" si="53"/>
        <v>0</v>
      </c>
      <c r="P147" s="54">
        <f t="shared" si="54"/>
        <v>0</v>
      </c>
    </row>
    <row r="148" spans="2:16" ht="12.5">
      <c r="B148" s="7" t="str">
        <f t="shared" si="29"/>
        <v/>
      </c>
      <c r="C148" s="50">
        <f>IF(D93="","-",+C147+1)</f>
        <v>2065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49"/>
        <v>0</v>
      </c>
      <c r="G148" s="55">
        <f t="shared" si="50"/>
        <v>0</v>
      </c>
      <c r="H148" s="380">
        <f t="shared" si="47"/>
        <v>0</v>
      </c>
      <c r="I148" s="399">
        <f t="shared" si="48"/>
        <v>0</v>
      </c>
      <c r="J148" s="54">
        <f t="shared" si="51"/>
        <v>0</v>
      </c>
      <c r="K148" s="54"/>
      <c r="L148" s="129"/>
      <c r="M148" s="54">
        <f t="shared" si="52"/>
        <v>0</v>
      </c>
      <c r="N148" s="129"/>
      <c r="O148" s="54">
        <f t="shared" si="53"/>
        <v>0</v>
      </c>
      <c r="P148" s="54">
        <f t="shared" si="54"/>
        <v>0</v>
      </c>
    </row>
    <row r="149" spans="2:16" ht="12.5">
      <c r="B149" s="7" t="str">
        <f t="shared" si="29"/>
        <v/>
      </c>
      <c r="C149" s="50">
        <f>IF(D93="","-",+C148+1)</f>
        <v>2066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49"/>
        <v>0</v>
      </c>
      <c r="G149" s="55">
        <f t="shared" si="50"/>
        <v>0</v>
      </c>
      <c r="H149" s="380">
        <f t="shared" si="47"/>
        <v>0</v>
      </c>
      <c r="I149" s="399">
        <f t="shared" si="48"/>
        <v>0</v>
      </c>
      <c r="J149" s="54">
        <f t="shared" si="51"/>
        <v>0</v>
      </c>
      <c r="K149" s="54"/>
      <c r="L149" s="129"/>
      <c r="M149" s="54">
        <f t="shared" si="52"/>
        <v>0</v>
      </c>
      <c r="N149" s="129"/>
      <c r="O149" s="54">
        <f t="shared" si="53"/>
        <v>0</v>
      </c>
      <c r="P149" s="54">
        <f t="shared" si="54"/>
        <v>0</v>
      </c>
    </row>
    <row r="150" spans="2:16" ht="12.5">
      <c r="B150" s="7" t="str">
        <f t="shared" si="29"/>
        <v/>
      </c>
      <c r="C150" s="50">
        <f>IF(D93="","-",+C149+1)</f>
        <v>2067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49"/>
        <v>0</v>
      </c>
      <c r="G150" s="55">
        <f t="shared" si="50"/>
        <v>0</v>
      </c>
      <c r="H150" s="380">
        <f t="shared" si="47"/>
        <v>0</v>
      </c>
      <c r="I150" s="399">
        <f t="shared" si="48"/>
        <v>0</v>
      </c>
      <c r="J150" s="54">
        <f t="shared" si="51"/>
        <v>0</v>
      </c>
      <c r="K150" s="54"/>
      <c r="L150" s="129"/>
      <c r="M150" s="54">
        <f t="shared" si="52"/>
        <v>0</v>
      </c>
      <c r="N150" s="129"/>
      <c r="O150" s="54">
        <f t="shared" si="53"/>
        <v>0</v>
      </c>
      <c r="P150" s="54">
        <f t="shared" si="54"/>
        <v>0</v>
      </c>
    </row>
    <row r="151" spans="2:16" ht="12.5">
      <c r="B151" s="7" t="str">
        <f t="shared" si="29"/>
        <v/>
      </c>
      <c r="C151" s="50">
        <f>IF(D93="","-",+C150+1)</f>
        <v>2068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49"/>
        <v>0</v>
      </c>
      <c r="G151" s="55">
        <f t="shared" si="50"/>
        <v>0</v>
      </c>
      <c r="H151" s="380">
        <f t="shared" si="47"/>
        <v>0</v>
      </c>
      <c r="I151" s="399">
        <f t="shared" si="48"/>
        <v>0</v>
      </c>
      <c r="J151" s="54">
        <f t="shared" si="51"/>
        <v>0</v>
      </c>
      <c r="K151" s="54"/>
      <c r="L151" s="129"/>
      <c r="M151" s="54">
        <f t="shared" si="52"/>
        <v>0</v>
      </c>
      <c r="N151" s="129"/>
      <c r="O151" s="54">
        <f t="shared" si="53"/>
        <v>0</v>
      </c>
      <c r="P151" s="54">
        <f t="shared" si="54"/>
        <v>0</v>
      </c>
    </row>
    <row r="152" spans="2:16" ht="12.5">
      <c r="B152" s="7" t="str">
        <f t="shared" si="29"/>
        <v/>
      </c>
      <c r="C152" s="50">
        <f>IF(D93="","-",+C151+1)</f>
        <v>2069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49"/>
        <v>0</v>
      </c>
      <c r="G152" s="55">
        <f t="shared" si="50"/>
        <v>0</v>
      </c>
      <c r="H152" s="380">
        <f t="shared" si="47"/>
        <v>0</v>
      </c>
      <c r="I152" s="399">
        <f t="shared" si="48"/>
        <v>0</v>
      </c>
      <c r="J152" s="54">
        <f t="shared" si="51"/>
        <v>0</v>
      </c>
      <c r="K152" s="54"/>
      <c r="L152" s="129"/>
      <c r="M152" s="54">
        <f t="shared" si="52"/>
        <v>0</v>
      </c>
      <c r="N152" s="129"/>
      <c r="O152" s="54">
        <f t="shared" si="53"/>
        <v>0</v>
      </c>
      <c r="P152" s="54">
        <f t="shared" si="54"/>
        <v>0</v>
      </c>
    </row>
    <row r="153" spans="2:16" ht="12.5">
      <c r="B153" s="7" t="str">
        <f t="shared" si="29"/>
        <v/>
      </c>
      <c r="C153" s="50">
        <f>IF(D93="","-",+C152+1)</f>
        <v>2070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49"/>
        <v>0</v>
      </c>
      <c r="G153" s="55">
        <f t="shared" si="50"/>
        <v>0</v>
      </c>
      <c r="H153" s="380">
        <f t="shared" si="47"/>
        <v>0</v>
      </c>
      <c r="I153" s="399">
        <f t="shared" si="48"/>
        <v>0</v>
      </c>
      <c r="J153" s="54">
        <f t="shared" si="51"/>
        <v>0</v>
      </c>
      <c r="K153" s="54"/>
      <c r="L153" s="129"/>
      <c r="M153" s="54">
        <f t="shared" si="52"/>
        <v>0</v>
      </c>
      <c r="N153" s="129"/>
      <c r="O153" s="54">
        <f t="shared" si="53"/>
        <v>0</v>
      </c>
      <c r="P153" s="54">
        <f t="shared" si="54"/>
        <v>0</v>
      </c>
    </row>
    <row r="154" spans="2:16" ht="13" thickBot="1">
      <c r="B154" s="7" t="str">
        <f t="shared" si="29"/>
        <v/>
      </c>
      <c r="C154" s="59">
        <f>IF(D93="","-",+C153+1)</f>
        <v>2071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49"/>
        <v>0</v>
      </c>
      <c r="G154" s="60">
        <f t="shared" si="50"/>
        <v>0</v>
      </c>
      <c r="H154" s="382">
        <f t="shared" si="47"/>
        <v>0</v>
      </c>
      <c r="I154" s="400">
        <f t="shared" si="48"/>
        <v>0</v>
      </c>
      <c r="J154" s="64">
        <f t="shared" si="51"/>
        <v>0</v>
      </c>
      <c r="K154" s="54"/>
      <c r="L154" s="130"/>
      <c r="M154" s="64">
        <f t="shared" si="52"/>
        <v>0</v>
      </c>
      <c r="N154" s="130"/>
      <c r="O154" s="64">
        <f t="shared" si="53"/>
        <v>0</v>
      </c>
      <c r="P154" s="64">
        <f t="shared" si="54"/>
        <v>0</v>
      </c>
    </row>
    <row r="155" spans="2:16" ht="12.5">
      <c r="C155" s="12" t="s">
        <v>78</v>
      </c>
      <c r="D155" s="293"/>
      <c r="E155" s="293">
        <f>SUM(E99:E154)</f>
        <v>1558180.610000001</v>
      </c>
      <c r="F155" s="293"/>
      <c r="G155" s="293"/>
      <c r="H155" s="293">
        <f>SUM(H99:H154)</f>
        <v>5716394.4867316242</v>
      </c>
      <c r="I155" s="293">
        <f>SUM(I99:I154)</f>
        <v>5716394.4867316242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 ht="12.5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 ht="13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45" priority="1" stopIfTrue="1" operator="equal">
      <formula>$I$10</formula>
    </cfRule>
  </conditionalFormatting>
  <conditionalFormatting sqref="C99:C154">
    <cfRule type="cellIs" dxfId="4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1"/>
  <dimension ref="A1:Q162"/>
  <sheetViews>
    <sheetView topLeftCell="A13" zoomScaleNormal="100" zoomScaleSheetLayoutView="84" workbookViewId="0">
      <selection activeCell="D33" sqref="D33:H33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"&amp;RIGHT(MID(CELL("filename",$A$1),FIND("]",CELL("filename",$A$1))+1,256),1)&amp;" of "&amp;COUNT(S.001:S.077!$P$3)</f>
        <v>SWEPCO Project 3 of 77</v>
      </c>
      <c r="Q1" s="13"/>
    </row>
    <row r="2" spans="1:17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1378307.6805434467</v>
      </c>
      <c r="O5" s="212"/>
      <c r="P5" s="1"/>
    </row>
    <row r="6" spans="1:17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1378307.6805434467</v>
      </c>
      <c r="O6" s="1"/>
      <c r="P6" s="1"/>
    </row>
    <row r="7" spans="1:17" ht="13.5" thickBot="1">
      <c r="C7" s="25" t="s">
        <v>48</v>
      </c>
      <c r="D7" s="127" t="s">
        <v>242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402"/>
      <c r="P7" s="1"/>
    </row>
    <row r="8" spans="1:17" ht="13.5" thickBot="1">
      <c r="C8" s="29"/>
      <c r="D8" s="85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403"/>
      <c r="O8" s="404"/>
      <c r="P8" s="12"/>
    </row>
    <row r="9" spans="1:17" ht="13.5" thickBot="1">
      <c r="C9" s="30" t="s">
        <v>50</v>
      </c>
      <c r="D9" s="92" t="s">
        <v>142</v>
      </c>
      <c r="E9" s="31" t="s">
        <v>494</v>
      </c>
      <c r="F9" s="462" t="s">
        <v>498</v>
      </c>
      <c r="G9" s="31"/>
      <c r="H9" s="31"/>
      <c r="I9" s="32"/>
      <c r="J9" s="33"/>
      <c r="P9" s="1"/>
    </row>
    <row r="10" spans="1:17" ht="13">
      <c r="C10" s="34" t="s">
        <v>51</v>
      </c>
      <c r="D10" s="363">
        <v>13742804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7" ht="12.5">
      <c r="C11" s="34" t="s">
        <v>54</v>
      </c>
      <c r="D11" s="37">
        <v>2009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3">
        <v>6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312336.45454545453</v>
      </c>
      <c r="J14" s="293"/>
      <c r="K14" s="293"/>
      <c r="L14" s="293"/>
      <c r="M14" s="293"/>
      <c r="N14" s="293"/>
      <c r="O14" s="1"/>
      <c r="P14" s="1"/>
    </row>
    <row r="15" spans="1:17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2009</v>
      </c>
      <c r="D17" s="133">
        <v>13558697</v>
      </c>
      <c r="E17" s="374">
        <v>0</v>
      </c>
      <c r="F17" s="133">
        <v>13558697</v>
      </c>
      <c r="G17" s="374">
        <v>173170</v>
      </c>
      <c r="H17" s="375">
        <v>173170</v>
      </c>
      <c r="I17" s="52">
        <f t="shared" ref="I17:I48" si="0">H17-G17</f>
        <v>0</v>
      </c>
      <c r="J17" s="52"/>
      <c r="K17" s="112">
        <v>173170</v>
      </c>
      <c r="L17" s="53">
        <f t="shared" ref="L17:L48" si="1">IF(K17&lt;&gt;0,+G17-K17,0)</f>
        <v>0</v>
      </c>
      <c r="M17" s="112">
        <v>173170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2010</v>
      </c>
      <c r="D18" s="137">
        <v>14833730</v>
      </c>
      <c r="E18" s="376">
        <v>390361</v>
      </c>
      <c r="F18" s="137">
        <v>14443368</v>
      </c>
      <c r="G18" s="376">
        <v>2466812</v>
      </c>
      <c r="H18" s="375">
        <v>2466812</v>
      </c>
      <c r="I18" s="141">
        <v>0</v>
      </c>
      <c r="J18" s="52"/>
      <c r="K18" s="113">
        <f t="shared" ref="K18:K23" si="4">G18</f>
        <v>2466812</v>
      </c>
      <c r="L18" s="54">
        <f t="shared" si="1"/>
        <v>0</v>
      </c>
      <c r="M18" s="113">
        <f t="shared" ref="M18:M23" si="5">H18</f>
        <v>2466812</v>
      </c>
      <c r="N18" s="54">
        <f t="shared" si="2"/>
        <v>0</v>
      </c>
      <c r="O18" s="54">
        <f t="shared" si="3"/>
        <v>0</v>
      </c>
      <c r="P18" s="1"/>
    </row>
    <row r="19" spans="2:16" ht="12.5">
      <c r="B19" s="7" t="str">
        <f>IF(D19=F18,"","IU")</f>
        <v>IU</v>
      </c>
      <c r="C19" s="50">
        <f>IF(D11="","-",+C18+1)</f>
        <v>2011</v>
      </c>
      <c r="D19" s="137">
        <v>13352442</v>
      </c>
      <c r="E19" s="376">
        <v>335190.31707317074</v>
      </c>
      <c r="F19" s="137">
        <v>13017251.68292683</v>
      </c>
      <c r="G19" s="376">
        <v>2368383.292220511</v>
      </c>
      <c r="H19" s="375">
        <v>2368383.292220511</v>
      </c>
      <c r="I19" s="141">
        <v>0</v>
      </c>
      <c r="J19" s="52"/>
      <c r="K19" s="113">
        <f t="shared" si="4"/>
        <v>2368383.292220511</v>
      </c>
      <c r="L19" s="54">
        <f t="shared" si="1"/>
        <v>0</v>
      </c>
      <c r="M19" s="113">
        <f t="shared" si="5"/>
        <v>2368383.292220511</v>
      </c>
      <c r="N19" s="54">
        <f t="shared" si="2"/>
        <v>0</v>
      </c>
      <c r="O19" s="54">
        <f t="shared" si="3"/>
        <v>0</v>
      </c>
      <c r="P19" s="1"/>
    </row>
    <row r="20" spans="2:16" ht="12.5">
      <c r="B20" s="7" t="str">
        <f t="shared" ref="B20:B72" si="6">IF(D20=F19,"","IU")</f>
        <v/>
      </c>
      <c r="C20" s="50">
        <f>IF(D11="","-",+C19+1)</f>
        <v>2012</v>
      </c>
      <c r="D20" s="137">
        <v>13017251.68292683</v>
      </c>
      <c r="E20" s="377">
        <v>327209.59523809527</v>
      </c>
      <c r="F20" s="137">
        <v>12690042.087688735</v>
      </c>
      <c r="G20" s="376">
        <v>2214474.4319801349</v>
      </c>
      <c r="H20" s="375">
        <v>2214474.4319801349</v>
      </c>
      <c r="I20" s="141">
        <v>0</v>
      </c>
      <c r="J20" s="52"/>
      <c r="K20" s="113">
        <f t="shared" si="4"/>
        <v>2214474.4319801349</v>
      </c>
      <c r="L20" s="54">
        <f t="shared" si="1"/>
        <v>0</v>
      </c>
      <c r="M20" s="113">
        <f t="shared" si="5"/>
        <v>2214474.4319801349</v>
      </c>
      <c r="N20" s="54">
        <f t="shared" si="2"/>
        <v>0</v>
      </c>
      <c r="O20" s="54">
        <f t="shared" si="3"/>
        <v>0</v>
      </c>
      <c r="P20" s="1"/>
    </row>
    <row r="21" spans="2:16" ht="12.5">
      <c r="B21" s="7" t="str">
        <f t="shared" si="6"/>
        <v/>
      </c>
      <c r="C21" s="50">
        <f>IF(D12="","-",+C20+1)</f>
        <v>2013</v>
      </c>
      <c r="D21" s="137">
        <v>12690042.087688735</v>
      </c>
      <c r="E21" s="377">
        <v>327209.59523809527</v>
      </c>
      <c r="F21" s="137">
        <v>12362832.49245064</v>
      </c>
      <c r="G21" s="376">
        <v>2057846.4420481771</v>
      </c>
      <c r="H21" s="375">
        <v>2057846.4420481771</v>
      </c>
      <c r="I21" s="52">
        <v>0</v>
      </c>
      <c r="J21" s="52"/>
      <c r="K21" s="113">
        <f t="shared" si="4"/>
        <v>2057846.4420481771</v>
      </c>
      <c r="L21" s="54">
        <f t="shared" ref="L21:L26" si="7">IF(K21&lt;&gt;0,+G21-K21,0)</f>
        <v>0</v>
      </c>
      <c r="M21" s="113">
        <f t="shared" si="5"/>
        <v>2057846.4420481771</v>
      </c>
      <c r="N21" s="54">
        <f t="shared" ref="N21:N26" si="8">IF(M21&lt;&gt;0,+H21-M21,0)</f>
        <v>0</v>
      </c>
      <c r="O21" s="54">
        <f t="shared" ref="O21:O26" si="9">+N21-L21</f>
        <v>0</v>
      </c>
      <c r="P21" s="1"/>
    </row>
    <row r="22" spans="2:16" ht="12.5">
      <c r="B22" s="7" t="str">
        <f t="shared" si="6"/>
        <v/>
      </c>
      <c r="C22" s="50">
        <f>IF(D11="","-",+C21+1)</f>
        <v>2014</v>
      </c>
      <c r="D22" s="137">
        <v>12362832.49245064</v>
      </c>
      <c r="E22" s="377">
        <v>327209.59523809527</v>
      </c>
      <c r="F22" s="137">
        <v>12035622.897212544</v>
      </c>
      <c r="G22" s="376">
        <v>1950941.5974063124</v>
      </c>
      <c r="H22" s="375">
        <v>1950941.5974063124</v>
      </c>
      <c r="I22" s="52">
        <v>0</v>
      </c>
      <c r="J22" s="52"/>
      <c r="K22" s="113">
        <f t="shared" si="4"/>
        <v>1950941.5974063124</v>
      </c>
      <c r="L22" s="54">
        <f t="shared" si="7"/>
        <v>0</v>
      </c>
      <c r="M22" s="113">
        <f t="shared" si="5"/>
        <v>1950941.5974063124</v>
      </c>
      <c r="N22" s="54">
        <f t="shared" si="8"/>
        <v>0</v>
      </c>
      <c r="O22" s="54">
        <f t="shared" si="9"/>
        <v>0</v>
      </c>
      <c r="P22" s="1"/>
    </row>
    <row r="23" spans="2:16" ht="12.5">
      <c r="B23" s="7" t="str">
        <f t="shared" si="6"/>
        <v/>
      </c>
      <c r="C23" s="50">
        <f>IF(D11="","-",+C22+1)</f>
        <v>2015</v>
      </c>
      <c r="D23" s="137">
        <v>12035622.897212544</v>
      </c>
      <c r="E23" s="377">
        <v>327209.59523809527</v>
      </c>
      <c r="F23" s="137">
        <v>11708413.301974449</v>
      </c>
      <c r="G23" s="376">
        <v>1869263.8389089857</v>
      </c>
      <c r="H23" s="375">
        <v>1869263.8389089857</v>
      </c>
      <c r="I23" s="52">
        <v>0</v>
      </c>
      <c r="J23" s="52"/>
      <c r="K23" s="113">
        <f t="shared" si="4"/>
        <v>1869263.8389089857</v>
      </c>
      <c r="L23" s="54">
        <f t="shared" si="7"/>
        <v>0</v>
      </c>
      <c r="M23" s="113">
        <f t="shared" si="5"/>
        <v>1869263.8389089857</v>
      </c>
      <c r="N23" s="54">
        <f t="shared" si="8"/>
        <v>0</v>
      </c>
      <c r="O23" s="54">
        <f t="shared" si="9"/>
        <v>0</v>
      </c>
      <c r="P23" s="1"/>
    </row>
    <row r="24" spans="2:16" ht="12.5">
      <c r="B24" s="7" t="str">
        <f t="shared" si="6"/>
        <v>IU</v>
      </c>
      <c r="C24" s="50">
        <f>IF(D11="","-",+C23+1)</f>
        <v>2016</v>
      </c>
      <c r="D24" s="137">
        <v>11708414.301974449</v>
      </c>
      <c r="E24" s="377">
        <v>327209.61904761905</v>
      </c>
      <c r="F24" s="137">
        <v>11381204.68292683</v>
      </c>
      <c r="G24" s="376">
        <v>1807676.4398879381</v>
      </c>
      <c r="H24" s="375">
        <v>1807676.4398879381</v>
      </c>
      <c r="I24" s="52">
        <f t="shared" si="0"/>
        <v>0</v>
      </c>
      <c r="J24" s="52"/>
      <c r="K24" s="113">
        <f t="shared" ref="K24:K29" si="10">G24</f>
        <v>1807676.4398879381</v>
      </c>
      <c r="L24" s="54">
        <f t="shared" si="7"/>
        <v>0</v>
      </c>
      <c r="M24" s="113">
        <f t="shared" ref="M24:M29" si="11">H24</f>
        <v>1807676.4398879381</v>
      </c>
      <c r="N24" s="54">
        <f t="shared" si="8"/>
        <v>0</v>
      </c>
      <c r="O24" s="54">
        <f t="shared" si="9"/>
        <v>0</v>
      </c>
      <c r="P24" s="1"/>
    </row>
    <row r="25" spans="2:16" ht="12.5">
      <c r="B25" s="7" t="str">
        <f t="shared" si="6"/>
        <v/>
      </c>
      <c r="C25" s="50">
        <f>IF(D11="","-",+C24+1)</f>
        <v>2017</v>
      </c>
      <c r="D25" s="137">
        <v>11381204.68292683</v>
      </c>
      <c r="E25" s="377">
        <v>319600.09302325582</v>
      </c>
      <c r="F25" s="137">
        <v>11061604.589903574</v>
      </c>
      <c r="G25" s="376">
        <v>1709848.34416372</v>
      </c>
      <c r="H25" s="375">
        <v>1709848.34416372</v>
      </c>
      <c r="I25" s="52">
        <f t="shared" si="0"/>
        <v>0</v>
      </c>
      <c r="J25" s="52"/>
      <c r="K25" s="113">
        <f t="shared" si="10"/>
        <v>1709848.34416372</v>
      </c>
      <c r="L25" s="54">
        <f t="shared" si="7"/>
        <v>0</v>
      </c>
      <c r="M25" s="113">
        <f t="shared" si="11"/>
        <v>1709848.34416372</v>
      </c>
      <c r="N25" s="54">
        <f t="shared" si="8"/>
        <v>0</v>
      </c>
      <c r="O25" s="54">
        <f t="shared" si="9"/>
        <v>0</v>
      </c>
      <c r="P25" s="1"/>
    </row>
    <row r="26" spans="2:16" ht="12.5">
      <c r="B26" s="7" t="str">
        <f t="shared" si="6"/>
        <v/>
      </c>
      <c r="C26" s="50">
        <f>IF(D11="","-",+C25+1)</f>
        <v>2018</v>
      </c>
      <c r="D26" s="137">
        <v>11061604.589903574</v>
      </c>
      <c r="E26" s="376">
        <v>335190.34146341466</v>
      </c>
      <c r="F26" s="137">
        <v>10726414.248440159</v>
      </c>
      <c r="G26" s="376">
        <v>1719754.6523090333</v>
      </c>
      <c r="H26" s="375">
        <v>1719754.6523090333</v>
      </c>
      <c r="I26" s="52">
        <f t="shared" si="0"/>
        <v>0</v>
      </c>
      <c r="J26" s="52"/>
      <c r="K26" s="113">
        <f t="shared" si="10"/>
        <v>1719754.6523090333</v>
      </c>
      <c r="L26" s="54">
        <f t="shared" si="7"/>
        <v>0</v>
      </c>
      <c r="M26" s="113">
        <f t="shared" si="11"/>
        <v>1719754.6523090333</v>
      </c>
      <c r="N26" s="54">
        <f t="shared" si="8"/>
        <v>0</v>
      </c>
      <c r="O26" s="54">
        <f t="shared" si="9"/>
        <v>0</v>
      </c>
      <c r="P26" s="1"/>
    </row>
    <row r="27" spans="2:16" ht="12.5">
      <c r="B27" s="7" t="str">
        <f t="shared" si="6"/>
        <v/>
      </c>
      <c r="C27" s="50">
        <f>IF(D11="","-",+C26+1)</f>
        <v>2019</v>
      </c>
      <c r="D27" s="137">
        <v>10726414.248440159</v>
      </c>
      <c r="E27" s="376">
        <v>335190.34146341466</v>
      </c>
      <c r="F27" s="137">
        <v>10391223.906976745</v>
      </c>
      <c r="G27" s="376">
        <v>1677153.9378912852</v>
      </c>
      <c r="H27" s="375">
        <v>1677153.9378912852</v>
      </c>
      <c r="I27" s="52">
        <f t="shared" si="0"/>
        <v>0</v>
      </c>
      <c r="J27" s="52"/>
      <c r="K27" s="113">
        <f t="shared" si="10"/>
        <v>1677153.9378912852</v>
      </c>
      <c r="L27" s="54">
        <f t="shared" ref="L27" si="12">IF(K27&lt;&gt;0,+G27-K27,0)</f>
        <v>0</v>
      </c>
      <c r="M27" s="113">
        <f t="shared" si="11"/>
        <v>1677153.9378912852</v>
      </c>
      <c r="N27" s="54">
        <f t="shared" si="2"/>
        <v>0</v>
      </c>
      <c r="O27" s="54">
        <f t="shared" si="3"/>
        <v>0</v>
      </c>
      <c r="P27" s="1"/>
    </row>
    <row r="28" spans="2:16" ht="12.5">
      <c r="B28" s="7" t="str">
        <f t="shared" si="6"/>
        <v/>
      </c>
      <c r="C28" s="50">
        <f>IF(D11="","-",+C27+1)</f>
        <v>2020</v>
      </c>
      <c r="D28" s="137">
        <v>10391223.906976745</v>
      </c>
      <c r="E28" s="376">
        <v>335190.34146341466</v>
      </c>
      <c r="F28" s="137">
        <v>10056033.56551333</v>
      </c>
      <c r="G28" s="376">
        <v>1381430.0428702787</v>
      </c>
      <c r="H28" s="375">
        <v>1381430.0428702787</v>
      </c>
      <c r="I28" s="52">
        <f t="shared" si="0"/>
        <v>0</v>
      </c>
      <c r="J28" s="52"/>
      <c r="K28" s="113">
        <f t="shared" si="10"/>
        <v>1381430.0428702787</v>
      </c>
      <c r="L28" s="54">
        <f t="shared" ref="L28" si="13">IF(K28&lt;&gt;0,+G28-K28,0)</f>
        <v>0</v>
      </c>
      <c r="M28" s="113">
        <f t="shared" si="11"/>
        <v>1381430.0428702787</v>
      </c>
      <c r="N28" s="54">
        <f t="shared" si="2"/>
        <v>0</v>
      </c>
      <c r="O28" s="54">
        <f t="shared" si="3"/>
        <v>0</v>
      </c>
      <c r="P28" s="1"/>
    </row>
    <row r="29" spans="2:16" ht="12.5">
      <c r="B29" s="7" t="str">
        <f t="shared" si="6"/>
        <v>IU</v>
      </c>
      <c r="C29" s="50">
        <f>IF(D11="","-",+C28+1)</f>
        <v>2021</v>
      </c>
      <c r="D29" s="137">
        <v>10071623.813953489</v>
      </c>
      <c r="E29" s="376">
        <v>327209.61904761905</v>
      </c>
      <c r="F29" s="137">
        <v>9744414.1949058697</v>
      </c>
      <c r="G29" s="376">
        <v>1377504.6658858405</v>
      </c>
      <c r="H29" s="375">
        <v>1377504.6658858405</v>
      </c>
      <c r="I29" s="52">
        <f t="shared" si="0"/>
        <v>0</v>
      </c>
      <c r="J29" s="52"/>
      <c r="K29" s="113">
        <f t="shared" si="10"/>
        <v>1377504.6658858405</v>
      </c>
      <c r="L29" s="54">
        <f t="shared" ref="L29" si="14">IF(K29&lt;&gt;0,+G29-K29,0)</f>
        <v>0</v>
      </c>
      <c r="M29" s="113">
        <f t="shared" si="11"/>
        <v>1377504.6658858405</v>
      </c>
      <c r="N29" s="54">
        <f t="shared" si="2"/>
        <v>0</v>
      </c>
      <c r="O29" s="54">
        <f t="shared" si="3"/>
        <v>0</v>
      </c>
      <c r="P29" s="1"/>
    </row>
    <row r="30" spans="2:16" ht="12.5">
      <c r="B30" s="7" t="str">
        <f t="shared" si="6"/>
        <v>IU</v>
      </c>
      <c r="C30" s="50">
        <f>IF(D11="","-",+C29+1)</f>
        <v>2022</v>
      </c>
      <c r="D30" s="137">
        <v>9728823.946465712</v>
      </c>
      <c r="E30" s="376">
        <v>327209.61904761905</v>
      </c>
      <c r="F30" s="137">
        <v>9401614.3274180926</v>
      </c>
      <c r="G30" s="376">
        <v>1402762.0463897134</v>
      </c>
      <c r="H30" s="375">
        <v>1402762.0463897134</v>
      </c>
      <c r="I30" s="52">
        <f t="shared" si="0"/>
        <v>0</v>
      </c>
      <c r="J30" s="52"/>
      <c r="K30" s="113">
        <f t="shared" ref="K30" si="15">G30</f>
        <v>1402762.0463897134</v>
      </c>
      <c r="L30" s="54">
        <f t="shared" ref="L30" si="16">IF(K30&lt;&gt;0,+G30-K30,0)</f>
        <v>0</v>
      </c>
      <c r="M30" s="113">
        <f t="shared" ref="M30" si="17">H30</f>
        <v>1402762.0463897134</v>
      </c>
      <c r="N30" s="54">
        <f t="shared" si="2"/>
        <v>0</v>
      </c>
      <c r="O30" s="54">
        <f t="shared" si="3"/>
        <v>0</v>
      </c>
      <c r="P30" s="1"/>
    </row>
    <row r="31" spans="2:16" ht="12.5">
      <c r="B31" s="7" t="str">
        <f t="shared" si="6"/>
        <v/>
      </c>
      <c r="C31" s="50">
        <f>IF(D11="","-",+C30+1)</f>
        <v>2023</v>
      </c>
      <c r="D31" s="137">
        <v>9401614.3274180926</v>
      </c>
      <c r="E31" s="376">
        <v>327209.61904761905</v>
      </c>
      <c r="F31" s="137">
        <v>9074404.7083704732</v>
      </c>
      <c r="G31" s="376">
        <v>1494217.6887684264</v>
      </c>
      <c r="H31" s="375">
        <v>1494217.6887684264</v>
      </c>
      <c r="I31" s="52">
        <f t="shared" si="0"/>
        <v>0</v>
      </c>
      <c r="J31" s="52"/>
      <c r="K31" s="113">
        <f t="shared" ref="K31" si="18">G31</f>
        <v>1494217.6887684264</v>
      </c>
      <c r="L31" s="54">
        <f t="shared" ref="L31" si="19">IF(K31&lt;&gt;0,+G31-K31,0)</f>
        <v>0</v>
      </c>
      <c r="M31" s="113">
        <f t="shared" ref="M31" si="20">H31</f>
        <v>1494217.6887684264</v>
      </c>
      <c r="N31" s="54">
        <f t="shared" si="2"/>
        <v>0</v>
      </c>
      <c r="O31" s="54">
        <f t="shared" si="3"/>
        <v>0</v>
      </c>
      <c r="P31" s="1"/>
    </row>
    <row r="32" spans="2:16" ht="12.5">
      <c r="B32" s="7" t="str">
        <f t="shared" si="6"/>
        <v/>
      </c>
      <c r="C32" s="50">
        <f>IF(D11="","-",+C31+1)</f>
        <v>2024</v>
      </c>
      <c r="D32" s="137">
        <v>9074404.7083704732</v>
      </c>
      <c r="E32" s="376">
        <v>312336.45454545453</v>
      </c>
      <c r="F32" s="137">
        <v>8762068.2538250182</v>
      </c>
      <c r="G32" s="376">
        <v>1378307.6805434467</v>
      </c>
      <c r="H32" s="375">
        <v>1378307.6805434467</v>
      </c>
      <c r="I32" s="52">
        <f t="shared" si="0"/>
        <v>0</v>
      </c>
      <c r="J32" s="52"/>
      <c r="K32" s="113">
        <f t="shared" ref="K32" si="21">G32</f>
        <v>1378307.6805434467</v>
      </c>
      <c r="L32" s="54">
        <f t="shared" ref="L32" si="22">IF(K32&lt;&gt;0,+G32-K32,0)</f>
        <v>0</v>
      </c>
      <c r="M32" s="113">
        <f t="shared" ref="M32" si="23">H32</f>
        <v>1378307.6805434467</v>
      </c>
      <c r="N32" s="54">
        <f t="shared" ref="N32" si="24">IF(M32&lt;&gt;0,+H32-M32,0)</f>
        <v>0</v>
      </c>
      <c r="O32" s="54">
        <f t="shared" ref="O32" si="25">+N32-L32</f>
        <v>0</v>
      </c>
      <c r="P32" s="1"/>
    </row>
    <row r="33" spans="2:16" ht="12.5">
      <c r="B33" s="7" t="str">
        <f t="shared" si="6"/>
        <v/>
      </c>
      <c r="C33" s="50">
        <f>IF(D11="","-",+C32+1)</f>
        <v>2025</v>
      </c>
      <c r="D33" s="55">
        <f>IF(F32+SUM(E$17:E32)=D$10,F32,D$10-SUM(E$17:E32))</f>
        <v>8762068.2538250182</v>
      </c>
      <c r="E33" s="378">
        <f>IF(+I14&lt;F32,I14,D33)</f>
        <v>312336.45454545453</v>
      </c>
      <c r="F33" s="55">
        <f t="shared" ref="F33:F48" si="26">+D33-E33</f>
        <v>8449731.7992795631</v>
      </c>
      <c r="G33" s="379">
        <f t="shared" ref="G33:G72" si="27">+I$12*((D33+F33)/2)+E33</f>
        <v>1340975.0000206372</v>
      </c>
      <c r="H33" s="364">
        <f t="shared" ref="H33:H72" si="28">+I$13*((D33+F33)/2)+E33</f>
        <v>1340975.0000206372</v>
      </c>
      <c r="I33" s="52">
        <f t="shared" si="0"/>
        <v>0</v>
      </c>
      <c r="J33" s="52"/>
      <c r="K33" s="129"/>
      <c r="L33" s="54">
        <f t="shared" si="1"/>
        <v>0</v>
      </c>
      <c r="M33" s="129"/>
      <c r="N33" s="54">
        <f t="shared" si="2"/>
        <v>0</v>
      </c>
      <c r="O33" s="54">
        <f t="shared" si="3"/>
        <v>0</v>
      </c>
      <c r="P33" s="1"/>
    </row>
    <row r="34" spans="2:16" ht="12.5">
      <c r="B34" s="7" t="str">
        <f t="shared" si="6"/>
        <v/>
      </c>
      <c r="C34" s="50">
        <f>IF(D11="","-",+C33+1)</f>
        <v>2026</v>
      </c>
      <c r="D34" s="55">
        <f>IF(F33+SUM(E$17:E33)=D$10,F33,D$10-SUM(E$17:E33))</f>
        <v>8449731.7992795631</v>
      </c>
      <c r="E34" s="378">
        <f>IF(+I14&lt;F33,I14,D34)</f>
        <v>312336.45454545453</v>
      </c>
      <c r="F34" s="55">
        <f t="shared" si="26"/>
        <v>8137395.344734109</v>
      </c>
      <c r="G34" s="379">
        <f t="shared" si="27"/>
        <v>1303642.3194978281</v>
      </c>
      <c r="H34" s="364">
        <f t="shared" si="28"/>
        <v>1303642.3194978281</v>
      </c>
      <c r="I34" s="52">
        <f t="shared" si="0"/>
        <v>0</v>
      </c>
      <c r="J34" s="52"/>
      <c r="K34" s="129"/>
      <c r="L34" s="54">
        <f t="shared" si="1"/>
        <v>0</v>
      </c>
      <c r="M34" s="129"/>
      <c r="N34" s="54">
        <f t="shared" si="2"/>
        <v>0</v>
      </c>
      <c r="O34" s="54">
        <f t="shared" si="3"/>
        <v>0</v>
      </c>
      <c r="P34" s="1"/>
    </row>
    <row r="35" spans="2:16" ht="12.5">
      <c r="B35" s="7" t="str">
        <f t="shared" si="6"/>
        <v/>
      </c>
      <c r="C35" s="50">
        <f>IF(D11="","-",+C34+1)</f>
        <v>2027</v>
      </c>
      <c r="D35" s="55">
        <f>IF(F34+SUM(E$17:E34)=D$10,F34,D$10-SUM(E$17:E34))</f>
        <v>8137395.344734109</v>
      </c>
      <c r="E35" s="378">
        <f>IF(+I14&lt;F34,I14,D35)</f>
        <v>312336.45454545453</v>
      </c>
      <c r="F35" s="55">
        <f t="shared" si="26"/>
        <v>7825058.8901886549</v>
      </c>
      <c r="G35" s="379">
        <f t="shared" si="27"/>
        <v>1266309.6389750189</v>
      </c>
      <c r="H35" s="364">
        <f t="shared" si="28"/>
        <v>1266309.6389750189</v>
      </c>
      <c r="I35" s="52">
        <f t="shared" si="0"/>
        <v>0</v>
      </c>
      <c r="J35" s="52"/>
      <c r="K35" s="129"/>
      <c r="L35" s="54">
        <f t="shared" si="1"/>
        <v>0</v>
      </c>
      <c r="M35" s="129"/>
      <c r="N35" s="54">
        <f t="shared" si="2"/>
        <v>0</v>
      </c>
      <c r="O35" s="54">
        <f t="shared" si="3"/>
        <v>0</v>
      </c>
      <c r="P35" s="1"/>
    </row>
    <row r="36" spans="2:16" ht="12.5">
      <c r="B36" s="7" t="str">
        <f t="shared" si="6"/>
        <v/>
      </c>
      <c r="C36" s="50">
        <f>IF(D11="","-",+C35+1)</f>
        <v>2028</v>
      </c>
      <c r="D36" s="55">
        <f>IF(F35+SUM(E$17:E35)=D$10,F35,D$10-SUM(E$17:E35))</f>
        <v>7825058.8901886549</v>
      </c>
      <c r="E36" s="378">
        <f>IF(+I14&lt;F35,I14,D36)</f>
        <v>312336.45454545453</v>
      </c>
      <c r="F36" s="55">
        <f t="shared" si="26"/>
        <v>7512722.4356432008</v>
      </c>
      <c r="G36" s="379">
        <f t="shared" si="27"/>
        <v>1228976.9584522098</v>
      </c>
      <c r="H36" s="364">
        <f t="shared" si="28"/>
        <v>1228976.9584522098</v>
      </c>
      <c r="I36" s="52">
        <f t="shared" si="0"/>
        <v>0</v>
      </c>
      <c r="J36" s="52"/>
      <c r="K36" s="129"/>
      <c r="L36" s="54">
        <f t="shared" si="1"/>
        <v>0</v>
      </c>
      <c r="M36" s="129"/>
      <c r="N36" s="54">
        <f t="shared" si="2"/>
        <v>0</v>
      </c>
      <c r="O36" s="54">
        <f t="shared" si="3"/>
        <v>0</v>
      </c>
      <c r="P36" s="1"/>
    </row>
    <row r="37" spans="2:16" ht="12.5">
      <c r="B37" s="7" t="str">
        <f t="shared" si="6"/>
        <v/>
      </c>
      <c r="C37" s="50">
        <f>IF(D11="","-",+C36+1)</f>
        <v>2029</v>
      </c>
      <c r="D37" s="55">
        <f>IF(F36+SUM(E$17:E36)=D$10,F36,D$10-SUM(E$17:E36))</f>
        <v>7512722.4356432008</v>
      </c>
      <c r="E37" s="378">
        <f>IF(+I14&lt;F36,I14,D37)</f>
        <v>312336.45454545453</v>
      </c>
      <c r="F37" s="55">
        <f t="shared" si="26"/>
        <v>7200385.9810977466</v>
      </c>
      <c r="G37" s="379">
        <f t="shared" si="27"/>
        <v>1191644.2779294006</v>
      </c>
      <c r="H37" s="364">
        <f t="shared" si="28"/>
        <v>1191644.2779294006</v>
      </c>
      <c r="I37" s="52">
        <f t="shared" si="0"/>
        <v>0</v>
      </c>
      <c r="J37" s="52"/>
      <c r="K37" s="129"/>
      <c r="L37" s="54">
        <f t="shared" si="1"/>
        <v>0</v>
      </c>
      <c r="M37" s="129"/>
      <c r="N37" s="54">
        <f t="shared" si="2"/>
        <v>0</v>
      </c>
      <c r="O37" s="54">
        <f t="shared" si="3"/>
        <v>0</v>
      </c>
      <c r="P37" s="1"/>
    </row>
    <row r="38" spans="2:16" ht="12.5">
      <c r="B38" s="7" t="str">
        <f t="shared" si="6"/>
        <v/>
      </c>
      <c r="C38" s="50">
        <f>IF(D11="","-",+C37+1)</f>
        <v>2030</v>
      </c>
      <c r="D38" s="55">
        <f>IF(F37+SUM(E$17:E37)=D$10,F37,D$10-SUM(E$17:E37))</f>
        <v>7200385.9810977466</v>
      </c>
      <c r="E38" s="378">
        <f>IF(+I14&lt;F37,I14,D38)</f>
        <v>312336.45454545453</v>
      </c>
      <c r="F38" s="55">
        <f t="shared" si="26"/>
        <v>6888049.5265522925</v>
      </c>
      <c r="G38" s="379">
        <f t="shared" si="27"/>
        <v>1154311.5974065915</v>
      </c>
      <c r="H38" s="364">
        <f t="shared" si="28"/>
        <v>1154311.5974065915</v>
      </c>
      <c r="I38" s="52">
        <f t="shared" si="0"/>
        <v>0</v>
      </c>
      <c r="J38" s="52"/>
      <c r="K38" s="129"/>
      <c r="L38" s="54">
        <f t="shared" si="1"/>
        <v>0</v>
      </c>
      <c r="M38" s="129"/>
      <c r="N38" s="54">
        <f t="shared" si="2"/>
        <v>0</v>
      </c>
      <c r="O38" s="54">
        <f t="shared" si="3"/>
        <v>0</v>
      </c>
      <c r="P38" s="1"/>
    </row>
    <row r="39" spans="2:16" ht="12.5">
      <c r="B39" s="7" t="str">
        <f t="shared" si="6"/>
        <v/>
      </c>
      <c r="C39" s="50">
        <f>IF(D11="","-",+C38+1)</f>
        <v>2031</v>
      </c>
      <c r="D39" s="55">
        <f>IF(F38+SUM(E$17:E38)=D$10,F38,D$10-SUM(E$17:E38))</f>
        <v>6888049.5265522925</v>
      </c>
      <c r="E39" s="378">
        <f>IF(+I14&lt;F38,I14,D39)</f>
        <v>312336.45454545453</v>
      </c>
      <c r="F39" s="55">
        <f t="shared" si="26"/>
        <v>6575713.0720068384</v>
      </c>
      <c r="G39" s="379">
        <f t="shared" si="27"/>
        <v>1116978.9168837823</v>
      </c>
      <c r="H39" s="364">
        <f t="shared" si="28"/>
        <v>1116978.9168837823</v>
      </c>
      <c r="I39" s="52">
        <f t="shared" si="0"/>
        <v>0</v>
      </c>
      <c r="J39" s="52"/>
      <c r="K39" s="129"/>
      <c r="L39" s="54">
        <f t="shared" si="1"/>
        <v>0</v>
      </c>
      <c r="M39" s="129"/>
      <c r="N39" s="54">
        <f t="shared" si="2"/>
        <v>0</v>
      </c>
      <c r="O39" s="54">
        <f t="shared" si="3"/>
        <v>0</v>
      </c>
      <c r="P39" s="1"/>
    </row>
    <row r="40" spans="2:16" ht="12.5">
      <c r="B40" s="7" t="str">
        <f t="shared" si="6"/>
        <v/>
      </c>
      <c r="C40" s="50">
        <f>IF(D11="","-",+C39+1)</f>
        <v>2032</v>
      </c>
      <c r="D40" s="55">
        <f>IF(F39+SUM(E$17:E39)=D$10,F39,D$10-SUM(E$17:E39))</f>
        <v>6575713.0720068384</v>
      </c>
      <c r="E40" s="378">
        <f>IF(+I14&lt;F39,I14,D40)</f>
        <v>312336.45454545453</v>
      </c>
      <c r="F40" s="55">
        <f t="shared" si="26"/>
        <v>6263376.6174613843</v>
      </c>
      <c r="G40" s="379">
        <f t="shared" si="27"/>
        <v>1079646.2363609732</v>
      </c>
      <c r="H40" s="364">
        <f t="shared" si="28"/>
        <v>1079646.2363609732</v>
      </c>
      <c r="I40" s="52">
        <f t="shared" si="0"/>
        <v>0</v>
      </c>
      <c r="J40" s="52"/>
      <c r="K40" s="129"/>
      <c r="L40" s="54">
        <f t="shared" si="1"/>
        <v>0</v>
      </c>
      <c r="M40" s="129"/>
      <c r="N40" s="54">
        <f t="shared" si="2"/>
        <v>0</v>
      </c>
      <c r="O40" s="54">
        <f t="shared" si="3"/>
        <v>0</v>
      </c>
      <c r="P40" s="1"/>
    </row>
    <row r="41" spans="2:16" ht="12.5">
      <c r="B41" s="7" t="str">
        <f t="shared" si="6"/>
        <v/>
      </c>
      <c r="C41" s="50">
        <f>IF(D11="","-",+C40+1)</f>
        <v>2033</v>
      </c>
      <c r="D41" s="55">
        <f>IF(F40+SUM(E$17:E40)=D$10,F40,D$10-SUM(E$17:E40))</f>
        <v>6263376.6174613843</v>
      </c>
      <c r="E41" s="378">
        <f>IF(+I14&lt;F40,I14,D41)</f>
        <v>312336.45454545453</v>
      </c>
      <c r="F41" s="55">
        <f t="shared" si="26"/>
        <v>5951040.1629159302</v>
      </c>
      <c r="G41" s="379">
        <f t="shared" si="27"/>
        <v>1042313.5558381639</v>
      </c>
      <c r="H41" s="364">
        <f t="shared" si="28"/>
        <v>1042313.5558381639</v>
      </c>
      <c r="I41" s="52">
        <f t="shared" si="0"/>
        <v>0</v>
      </c>
      <c r="J41" s="52"/>
      <c r="K41" s="129"/>
      <c r="L41" s="54">
        <f t="shared" si="1"/>
        <v>0</v>
      </c>
      <c r="M41" s="129"/>
      <c r="N41" s="54">
        <f t="shared" si="2"/>
        <v>0</v>
      </c>
      <c r="O41" s="54">
        <f t="shared" si="3"/>
        <v>0</v>
      </c>
      <c r="P41" s="1"/>
    </row>
    <row r="42" spans="2:16" ht="12.5">
      <c r="B42" s="7" t="str">
        <f t="shared" si="6"/>
        <v/>
      </c>
      <c r="C42" s="50">
        <f>IF(D11="","-",+C41+1)</f>
        <v>2034</v>
      </c>
      <c r="D42" s="55">
        <f>IF(F41+SUM(E$17:E41)=D$10,F41,D$10-SUM(E$17:E41))</f>
        <v>5951040.1629159302</v>
      </c>
      <c r="E42" s="378">
        <f>IF(+I14&lt;F41,I14,D42)</f>
        <v>312336.45454545453</v>
      </c>
      <c r="F42" s="55">
        <f t="shared" si="26"/>
        <v>5638703.708370476</v>
      </c>
      <c r="G42" s="379">
        <f t="shared" si="27"/>
        <v>1004980.8753153549</v>
      </c>
      <c r="H42" s="364">
        <f t="shared" si="28"/>
        <v>1004980.8753153549</v>
      </c>
      <c r="I42" s="52">
        <f t="shared" si="0"/>
        <v>0</v>
      </c>
      <c r="J42" s="52"/>
      <c r="K42" s="129"/>
      <c r="L42" s="54">
        <f t="shared" si="1"/>
        <v>0</v>
      </c>
      <c r="M42" s="129"/>
      <c r="N42" s="54">
        <f t="shared" si="2"/>
        <v>0</v>
      </c>
      <c r="O42" s="54">
        <f t="shared" si="3"/>
        <v>0</v>
      </c>
      <c r="P42" s="1"/>
    </row>
    <row r="43" spans="2:16" ht="12.5">
      <c r="B43" s="7" t="str">
        <f t="shared" si="6"/>
        <v/>
      </c>
      <c r="C43" s="50">
        <f>IF(D11="","-",+C42+1)</f>
        <v>2035</v>
      </c>
      <c r="D43" s="55">
        <f>IF(F42+SUM(E$17:E42)=D$10,F42,D$10-SUM(E$17:E42))</f>
        <v>5638703.708370476</v>
      </c>
      <c r="E43" s="378">
        <f>IF(+I14&lt;F42,I14,D43)</f>
        <v>312336.45454545453</v>
      </c>
      <c r="F43" s="55">
        <f t="shared" si="26"/>
        <v>5326367.2538250219</v>
      </c>
      <c r="G43" s="379">
        <f t="shared" si="27"/>
        <v>967648.19479254563</v>
      </c>
      <c r="H43" s="364">
        <f t="shared" si="28"/>
        <v>967648.19479254563</v>
      </c>
      <c r="I43" s="52">
        <f t="shared" si="0"/>
        <v>0</v>
      </c>
      <c r="J43" s="52"/>
      <c r="K43" s="129"/>
      <c r="L43" s="54">
        <f t="shared" si="1"/>
        <v>0</v>
      </c>
      <c r="M43" s="129"/>
      <c r="N43" s="54">
        <f t="shared" si="2"/>
        <v>0</v>
      </c>
      <c r="O43" s="54">
        <f t="shared" si="3"/>
        <v>0</v>
      </c>
      <c r="P43" s="1"/>
    </row>
    <row r="44" spans="2:16" ht="12.5">
      <c r="B44" s="7" t="str">
        <f t="shared" si="6"/>
        <v/>
      </c>
      <c r="C44" s="50">
        <f>IF(D11="","-",+C43+1)</f>
        <v>2036</v>
      </c>
      <c r="D44" s="55">
        <f>IF(F43+SUM(E$17:E43)=D$10,F43,D$10-SUM(E$17:E43))</f>
        <v>5326367.2538250219</v>
      </c>
      <c r="E44" s="378">
        <f>IF(+I14&lt;F43,I14,D44)</f>
        <v>312336.45454545453</v>
      </c>
      <c r="F44" s="55">
        <f t="shared" si="26"/>
        <v>5014030.7992795678</v>
      </c>
      <c r="G44" s="379">
        <f t="shared" si="27"/>
        <v>930315.5142697366</v>
      </c>
      <c r="H44" s="364">
        <f t="shared" si="28"/>
        <v>930315.5142697366</v>
      </c>
      <c r="I44" s="52">
        <f t="shared" si="0"/>
        <v>0</v>
      </c>
      <c r="J44" s="52"/>
      <c r="K44" s="129"/>
      <c r="L44" s="54">
        <f t="shared" si="1"/>
        <v>0</v>
      </c>
      <c r="M44" s="129"/>
      <c r="N44" s="54">
        <f t="shared" si="2"/>
        <v>0</v>
      </c>
      <c r="O44" s="54">
        <f t="shared" si="3"/>
        <v>0</v>
      </c>
      <c r="P44" s="1"/>
    </row>
    <row r="45" spans="2:16" ht="12.5">
      <c r="B45" s="7" t="str">
        <f t="shared" si="6"/>
        <v/>
      </c>
      <c r="C45" s="50">
        <f>IF(D11="","-",+C44+1)</f>
        <v>2037</v>
      </c>
      <c r="D45" s="55">
        <f>IF(F44+SUM(E$17:E44)=D$10,F44,D$10-SUM(E$17:E44))</f>
        <v>5014030.7992795678</v>
      </c>
      <c r="E45" s="378">
        <f>IF(+I14&lt;F44,I14,D45)</f>
        <v>312336.45454545453</v>
      </c>
      <c r="F45" s="55">
        <f t="shared" si="26"/>
        <v>4701694.3447341137</v>
      </c>
      <c r="G45" s="379">
        <f t="shared" si="27"/>
        <v>892982.83374692732</v>
      </c>
      <c r="H45" s="364">
        <f t="shared" si="28"/>
        <v>892982.83374692732</v>
      </c>
      <c r="I45" s="52">
        <f t="shared" si="0"/>
        <v>0</v>
      </c>
      <c r="J45" s="52"/>
      <c r="K45" s="129"/>
      <c r="L45" s="54">
        <f t="shared" si="1"/>
        <v>0</v>
      </c>
      <c r="M45" s="129"/>
      <c r="N45" s="54">
        <f t="shared" si="2"/>
        <v>0</v>
      </c>
      <c r="O45" s="54">
        <f t="shared" si="3"/>
        <v>0</v>
      </c>
      <c r="P45" s="1"/>
    </row>
    <row r="46" spans="2:16" ht="12.5">
      <c r="B46" s="7" t="str">
        <f t="shared" si="6"/>
        <v/>
      </c>
      <c r="C46" s="50">
        <f>IF(D11="","-",+C45+1)</f>
        <v>2038</v>
      </c>
      <c r="D46" s="55">
        <f>IF(F45+SUM(E$17:E45)=D$10,F45,D$10-SUM(E$17:E45))</f>
        <v>4701694.3447341137</v>
      </c>
      <c r="E46" s="378">
        <f>IF(+I14&lt;F45,I14,D46)</f>
        <v>312336.45454545453</v>
      </c>
      <c r="F46" s="55">
        <f t="shared" si="26"/>
        <v>4389357.8901886595</v>
      </c>
      <c r="G46" s="379">
        <f t="shared" si="27"/>
        <v>855650.15322411829</v>
      </c>
      <c r="H46" s="364">
        <f t="shared" si="28"/>
        <v>855650.15322411829</v>
      </c>
      <c r="I46" s="52">
        <f t="shared" si="0"/>
        <v>0</v>
      </c>
      <c r="J46" s="52"/>
      <c r="K46" s="129"/>
      <c r="L46" s="54">
        <f t="shared" si="1"/>
        <v>0</v>
      </c>
      <c r="M46" s="129"/>
      <c r="N46" s="54">
        <f t="shared" si="2"/>
        <v>0</v>
      </c>
      <c r="O46" s="54">
        <f t="shared" si="3"/>
        <v>0</v>
      </c>
      <c r="P46" s="1"/>
    </row>
    <row r="47" spans="2:16" ht="12.5">
      <c r="B47" s="7" t="str">
        <f t="shared" si="6"/>
        <v/>
      </c>
      <c r="C47" s="50">
        <f>IF(D11="","-",+C46+1)</f>
        <v>2039</v>
      </c>
      <c r="D47" s="55">
        <f>IF(F46+SUM(E$17:E46)=D$10,F46,D$10-SUM(E$17:E46))</f>
        <v>4389357.8901886595</v>
      </c>
      <c r="E47" s="378">
        <f>IF(+I14&lt;F46,I14,D47)</f>
        <v>312336.45454545453</v>
      </c>
      <c r="F47" s="55">
        <f t="shared" si="26"/>
        <v>4077021.435643205</v>
      </c>
      <c r="G47" s="379">
        <f t="shared" si="27"/>
        <v>818317.47270130902</v>
      </c>
      <c r="H47" s="364">
        <f t="shared" si="28"/>
        <v>818317.47270130902</v>
      </c>
      <c r="I47" s="52">
        <f t="shared" si="0"/>
        <v>0</v>
      </c>
      <c r="J47" s="52"/>
      <c r="K47" s="129"/>
      <c r="L47" s="54">
        <f t="shared" si="1"/>
        <v>0</v>
      </c>
      <c r="M47" s="129"/>
      <c r="N47" s="54">
        <f t="shared" si="2"/>
        <v>0</v>
      </c>
      <c r="O47" s="54">
        <f t="shared" si="3"/>
        <v>0</v>
      </c>
      <c r="P47" s="1"/>
    </row>
    <row r="48" spans="2:16" ht="12.5">
      <c r="B48" s="7" t="str">
        <f t="shared" si="6"/>
        <v/>
      </c>
      <c r="C48" s="50">
        <f>IF(D11="","-",+C47+1)</f>
        <v>2040</v>
      </c>
      <c r="D48" s="55">
        <f>IF(F47+SUM(E$17:E47)=D$10,F47,D$10-SUM(E$17:E47))</f>
        <v>4077021.435643205</v>
      </c>
      <c r="E48" s="378">
        <f>IF(+I14&lt;F47,I14,D48)</f>
        <v>312336.45454545453</v>
      </c>
      <c r="F48" s="55">
        <f t="shared" si="26"/>
        <v>3764684.9810977504</v>
      </c>
      <c r="G48" s="379">
        <f t="shared" si="27"/>
        <v>780984.79217849998</v>
      </c>
      <c r="H48" s="364">
        <f t="shared" si="28"/>
        <v>780984.79217849998</v>
      </c>
      <c r="I48" s="52">
        <f t="shared" si="0"/>
        <v>0</v>
      </c>
      <c r="J48" s="52"/>
      <c r="K48" s="129"/>
      <c r="L48" s="54">
        <f t="shared" si="1"/>
        <v>0</v>
      </c>
      <c r="M48" s="129"/>
      <c r="N48" s="54">
        <f t="shared" si="2"/>
        <v>0</v>
      </c>
      <c r="O48" s="54">
        <f t="shared" si="3"/>
        <v>0</v>
      </c>
      <c r="P48" s="1"/>
    </row>
    <row r="49" spans="2:17" ht="12.5">
      <c r="B49" s="7" t="str">
        <f t="shared" si="6"/>
        <v/>
      </c>
      <c r="C49" s="50">
        <f>IF(D11="","-",+C48+1)</f>
        <v>2041</v>
      </c>
      <c r="D49" s="55">
        <f>IF(F48+SUM(E$17:E48)=D$10,F48,D$10-SUM(E$17:E48))</f>
        <v>3764684.9810977504</v>
      </c>
      <c r="E49" s="378">
        <f>IF(+I14&lt;F48,I14,D49)</f>
        <v>312336.45454545453</v>
      </c>
      <c r="F49" s="55">
        <f t="shared" ref="F49:F72" si="29">+D49-E49</f>
        <v>3452348.5265522958</v>
      </c>
      <c r="G49" s="379">
        <f t="shared" si="27"/>
        <v>743652.11165569071</v>
      </c>
      <c r="H49" s="364">
        <f t="shared" si="28"/>
        <v>743652.11165569071</v>
      </c>
      <c r="I49" s="52">
        <f t="shared" ref="I49:I72" si="30">H49-G49</f>
        <v>0</v>
      </c>
      <c r="J49" s="52"/>
      <c r="K49" s="129"/>
      <c r="L49" s="54">
        <f t="shared" ref="L49:L72" si="31">IF(K49&lt;&gt;0,+G49-K49,0)</f>
        <v>0</v>
      </c>
      <c r="M49" s="129"/>
      <c r="N49" s="54">
        <f t="shared" ref="N49:N72" si="32">IF(M49&lt;&gt;0,+H49-M49,0)</f>
        <v>0</v>
      </c>
      <c r="O49" s="54">
        <f t="shared" ref="O49:O72" si="33">+N49-L49</f>
        <v>0</v>
      </c>
      <c r="P49" s="1"/>
    </row>
    <row r="50" spans="2:17" ht="12.5">
      <c r="B50" s="7" t="str">
        <f t="shared" si="6"/>
        <v/>
      </c>
      <c r="C50" s="50">
        <f>IF(D11="","-",+C49+1)</f>
        <v>2042</v>
      </c>
      <c r="D50" s="55">
        <f>IF(F49+SUM(E$17:E49)=D$10,F49,D$10-SUM(E$17:E49))</f>
        <v>3452348.5265522958</v>
      </c>
      <c r="E50" s="378">
        <f>IF(+I14&lt;F49,I14,D50)</f>
        <v>312336.45454545453</v>
      </c>
      <c r="F50" s="55">
        <f t="shared" si="29"/>
        <v>3140012.0720068412</v>
      </c>
      <c r="G50" s="379">
        <f t="shared" si="27"/>
        <v>706319.43113288144</v>
      </c>
      <c r="H50" s="364">
        <f t="shared" si="28"/>
        <v>706319.43113288144</v>
      </c>
      <c r="I50" s="52">
        <f t="shared" si="30"/>
        <v>0</v>
      </c>
      <c r="J50" s="52"/>
      <c r="K50" s="129"/>
      <c r="L50" s="54">
        <f t="shared" si="31"/>
        <v>0</v>
      </c>
      <c r="M50" s="129"/>
      <c r="N50" s="54">
        <f t="shared" si="32"/>
        <v>0</v>
      </c>
      <c r="O50" s="54">
        <f t="shared" si="33"/>
        <v>0</v>
      </c>
      <c r="P50" s="1"/>
    </row>
    <row r="51" spans="2:17" ht="12.5">
      <c r="B51" s="7" t="str">
        <f t="shared" si="6"/>
        <v/>
      </c>
      <c r="C51" s="50">
        <f>IF(D11="","-",+C50+1)</f>
        <v>2043</v>
      </c>
      <c r="D51" s="55">
        <f>IF(F50+SUM(E$17:E50)=D$10,F50,D$10-SUM(E$17:E50))</f>
        <v>3140012.0720068412</v>
      </c>
      <c r="E51" s="378">
        <f>IF(+I14&lt;F50,I14,D51)</f>
        <v>312336.45454545453</v>
      </c>
      <c r="F51" s="55">
        <f t="shared" si="29"/>
        <v>2827675.6174613866</v>
      </c>
      <c r="G51" s="379">
        <f t="shared" si="27"/>
        <v>668986.75061007217</v>
      </c>
      <c r="H51" s="364">
        <f t="shared" si="28"/>
        <v>668986.75061007217</v>
      </c>
      <c r="I51" s="52">
        <f t="shared" si="30"/>
        <v>0</v>
      </c>
      <c r="J51" s="52"/>
      <c r="K51" s="129"/>
      <c r="L51" s="54">
        <f t="shared" si="31"/>
        <v>0</v>
      </c>
      <c r="M51" s="129"/>
      <c r="N51" s="54">
        <f t="shared" si="32"/>
        <v>0</v>
      </c>
      <c r="O51" s="54">
        <f t="shared" si="33"/>
        <v>0</v>
      </c>
      <c r="P51" s="1"/>
    </row>
    <row r="52" spans="2:17" ht="12.5">
      <c r="B52" s="7" t="str">
        <f t="shared" si="6"/>
        <v/>
      </c>
      <c r="C52" s="50">
        <f>IF(D11="","-",+C51+1)</f>
        <v>2044</v>
      </c>
      <c r="D52" s="55">
        <f>IF(F51+SUM(E$17:E51)=D$10,F51,D$10-SUM(E$17:E51))</f>
        <v>2827675.6174613866</v>
      </c>
      <c r="E52" s="378">
        <f>IF(+I14&lt;F51,I14,D52)</f>
        <v>312336.45454545453</v>
      </c>
      <c r="F52" s="55">
        <f t="shared" si="29"/>
        <v>2515339.162915932</v>
      </c>
      <c r="G52" s="379">
        <f t="shared" si="27"/>
        <v>631654.07008726313</v>
      </c>
      <c r="H52" s="364">
        <f t="shared" si="28"/>
        <v>631654.07008726313</v>
      </c>
      <c r="I52" s="52">
        <f t="shared" si="30"/>
        <v>0</v>
      </c>
      <c r="J52" s="52"/>
      <c r="K52" s="129"/>
      <c r="L52" s="54">
        <f t="shared" si="31"/>
        <v>0</v>
      </c>
      <c r="M52" s="129"/>
      <c r="N52" s="54">
        <f t="shared" si="32"/>
        <v>0</v>
      </c>
      <c r="O52" s="54">
        <f t="shared" si="33"/>
        <v>0</v>
      </c>
      <c r="P52" s="1"/>
    </row>
    <row r="53" spans="2:17" ht="12.5">
      <c r="B53" s="7" t="str">
        <f t="shared" si="6"/>
        <v/>
      </c>
      <c r="C53" s="50">
        <f>IF(D11="","-",+C52+1)</f>
        <v>2045</v>
      </c>
      <c r="D53" s="55">
        <f>IF(F52+SUM(E$17:E52)=D$10,F52,D$10-SUM(E$17:E52))</f>
        <v>2515339.162915932</v>
      </c>
      <c r="E53" s="378">
        <f>IF(+I14&lt;F52,I14,D53)</f>
        <v>312336.45454545453</v>
      </c>
      <c r="F53" s="55">
        <f t="shared" si="29"/>
        <v>2203002.7083704774</v>
      </c>
      <c r="G53" s="379">
        <f t="shared" si="27"/>
        <v>594321.38956445386</v>
      </c>
      <c r="H53" s="364">
        <f t="shared" si="28"/>
        <v>594321.38956445386</v>
      </c>
      <c r="I53" s="52">
        <f t="shared" si="30"/>
        <v>0</v>
      </c>
      <c r="J53" s="52"/>
      <c r="K53" s="129"/>
      <c r="L53" s="54">
        <f t="shared" si="31"/>
        <v>0</v>
      </c>
      <c r="M53" s="129"/>
      <c r="N53" s="54">
        <f t="shared" si="32"/>
        <v>0</v>
      </c>
      <c r="O53" s="54">
        <f t="shared" si="33"/>
        <v>0</v>
      </c>
      <c r="P53" s="1"/>
    </row>
    <row r="54" spans="2:17" ht="12.5">
      <c r="B54" s="7" t="str">
        <f t="shared" si="6"/>
        <v/>
      </c>
      <c r="C54" s="50">
        <f>IF(D11="","-",+C53+1)</f>
        <v>2046</v>
      </c>
      <c r="D54" s="55">
        <f>IF(F53+SUM(E$17:E53)=D$10,F53,D$10-SUM(E$17:E53))</f>
        <v>2203002.7083704774</v>
      </c>
      <c r="E54" s="378">
        <f>IF(+I14&lt;F53,I14,D54)</f>
        <v>312336.45454545453</v>
      </c>
      <c r="F54" s="55">
        <f t="shared" si="29"/>
        <v>1890666.2538250228</v>
      </c>
      <c r="G54" s="379">
        <f t="shared" si="27"/>
        <v>556988.70904164459</v>
      </c>
      <c r="H54" s="364">
        <f t="shared" si="28"/>
        <v>556988.70904164459</v>
      </c>
      <c r="I54" s="52">
        <f t="shared" si="30"/>
        <v>0</v>
      </c>
      <c r="J54" s="52"/>
      <c r="K54" s="129"/>
      <c r="L54" s="54">
        <f t="shared" si="31"/>
        <v>0</v>
      </c>
      <c r="M54" s="129"/>
      <c r="N54" s="54">
        <f t="shared" si="32"/>
        <v>0</v>
      </c>
      <c r="O54" s="54">
        <f t="shared" si="33"/>
        <v>0</v>
      </c>
      <c r="P54" s="1"/>
    </row>
    <row r="55" spans="2:17" ht="12.5">
      <c r="B55" s="7" t="str">
        <f t="shared" si="6"/>
        <v/>
      </c>
      <c r="C55" s="50">
        <f>IF(D11="","-",+C54+1)</f>
        <v>2047</v>
      </c>
      <c r="D55" s="55">
        <f>IF(F54+SUM(E$17:E54)=D$10,F54,D$10-SUM(E$17:E54))</f>
        <v>1890666.2538250228</v>
      </c>
      <c r="E55" s="378">
        <f>IF(+I14&lt;F54,I14,D55)</f>
        <v>312336.45454545453</v>
      </c>
      <c r="F55" s="55">
        <f t="shared" si="29"/>
        <v>1578329.7992795683</v>
      </c>
      <c r="G55" s="379">
        <f t="shared" si="27"/>
        <v>519656.02851883543</v>
      </c>
      <c r="H55" s="364">
        <f t="shared" si="28"/>
        <v>519656.02851883543</v>
      </c>
      <c r="I55" s="52">
        <f t="shared" si="30"/>
        <v>0</v>
      </c>
      <c r="J55" s="52"/>
      <c r="K55" s="129"/>
      <c r="L55" s="54">
        <f t="shared" si="31"/>
        <v>0</v>
      </c>
      <c r="M55" s="129"/>
      <c r="N55" s="54">
        <f t="shared" si="32"/>
        <v>0</v>
      </c>
      <c r="O55" s="54">
        <f t="shared" si="33"/>
        <v>0</v>
      </c>
      <c r="P55" s="1"/>
    </row>
    <row r="56" spans="2:17" ht="12.5">
      <c r="B56" s="7" t="str">
        <f t="shared" si="6"/>
        <v/>
      </c>
      <c r="C56" s="50">
        <f>IF(D11="","-",+C55+1)</f>
        <v>2048</v>
      </c>
      <c r="D56" s="55">
        <f>IF(F55+SUM(E$17:E55)=D$10,F55,D$10-SUM(E$17:E55))</f>
        <v>1578329.7992795683</v>
      </c>
      <c r="E56" s="378">
        <f>IF(+I14&lt;F55,I14,D56)</f>
        <v>312336.45454545453</v>
      </c>
      <c r="F56" s="55">
        <f t="shared" si="29"/>
        <v>1265993.3447341137</v>
      </c>
      <c r="G56" s="379">
        <f t="shared" si="27"/>
        <v>482323.34799602622</v>
      </c>
      <c r="H56" s="364">
        <f t="shared" si="28"/>
        <v>482323.34799602622</v>
      </c>
      <c r="I56" s="52">
        <f t="shared" si="30"/>
        <v>0</v>
      </c>
      <c r="J56" s="52"/>
      <c r="K56" s="129"/>
      <c r="L56" s="54">
        <f t="shared" si="31"/>
        <v>0</v>
      </c>
      <c r="M56" s="129"/>
      <c r="N56" s="54">
        <f t="shared" si="32"/>
        <v>0</v>
      </c>
      <c r="O56" s="54">
        <f t="shared" si="33"/>
        <v>0</v>
      </c>
      <c r="P56" s="1"/>
    </row>
    <row r="57" spans="2:17" ht="12.5">
      <c r="B57" s="7" t="str">
        <f t="shared" si="6"/>
        <v/>
      </c>
      <c r="C57" s="50">
        <f>IF(D11="","-",+C56+1)</f>
        <v>2049</v>
      </c>
      <c r="D57" s="55">
        <f>IF(F56+SUM(E$17:E56)=D$10,F56,D$10-SUM(E$17:E56))</f>
        <v>1265993.3447341137</v>
      </c>
      <c r="E57" s="378">
        <f>IF(+I14&lt;F56,I14,D57)</f>
        <v>312336.45454545453</v>
      </c>
      <c r="F57" s="55">
        <f t="shared" si="29"/>
        <v>953656.89018865908</v>
      </c>
      <c r="G57" s="379">
        <f t="shared" si="27"/>
        <v>444990.66747321701</v>
      </c>
      <c r="H57" s="364">
        <f t="shared" si="28"/>
        <v>444990.66747321701</v>
      </c>
      <c r="I57" s="52">
        <f t="shared" si="30"/>
        <v>0</v>
      </c>
      <c r="J57" s="52"/>
      <c r="K57" s="129"/>
      <c r="L57" s="54">
        <f t="shared" si="31"/>
        <v>0</v>
      </c>
      <c r="M57" s="129"/>
      <c r="N57" s="54">
        <f t="shared" si="32"/>
        <v>0</v>
      </c>
      <c r="O57" s="54">
        <f t="shared" si="33"/>
        <v>0</v>
      </c>
      <c r="P57" s="1"/>
    </row>
    <row r="58" spans="2:17" ht="12.5">
      <c r="B58" s="7" t="str">
        <f t="shared" si="6"/>
        <v/>
      </c>
      <c r="C58" s="50">
        <f>IF(D11="","-",+C57+1)</f>
        <v>2050</v>
      </c>
      <c r="D58" s="55">
        <f>IF(F57+SUM(E$17:E57)=D$10,F57,D$10-SUM(E$17:E57))</f>
        <v>953656.89018865908</v>
      </c>
      <c r="E58" s="378">
        <f>IF(+I14&lt;F57,I14,D58)</f>
        <v>312336.45454545453</v>
      </c>
      <c r="F58" s="55">
        <f t="shared" si="29"/>
        <v>641320.43564320449</v>
      </c>
      <c r="G58" s="379">
        <f t="shared" si="27"/>
        <v>407657.98695040779</v>
      </c>
      <c r="H58" s="364">
        <f t="shared" si="28"/>
        <v>407657.98695040779</v>
      </c>
      <c r="I58" s="52">
        <f t="shared" si="30"/>
        <v>0</v>
      </c>
      <c r="J58" s="52"/>
      <c r="K58" s="129"/>
      <c r="L58" s="54">
        <f t="shared" si="31"/>
        <v>0</v>
      </c>
      <c r="M58" s="129"/>
      <c r="N58" s="54">
        <f t="shared" si="32"/>
        <v>0</v>
      </c>
      <c r="O58" s="54">
        <f t="shared" si="33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6"/>
        <v/>
      </c>
      <c r="C59" s="50">
        <f>IF(D11="","-",+C58+1)</f>
        <v>2051</v>
      </c>
      <c r="D59" s="55">
        <f>IF(F58+SUM(E$17:E58)=D$10,F58,D$10-SUM(E$17:E58))</f>
        <v>641320.43564320449</v>
      </c>
      <c r="E59" s="378">
        <f>IF(+I14&lt;F58,I14,D59)</f>
        <v>312336.45454545453</v>
      </c>
      <c r="F59" s="55">
        <f t="shared" si="29"/>
        <v>328983.98109774996</v>
      </c>
      <c r="G59" s="379">
        <f t="shared" si="27"/>
        <v>370325.30642759858</v>
      </c>
      <c r="H59" s="364">
        <f t="shared" si="28"/>
        <v>370325.30642759858</v>
      </c>
      <c r="I59" s="52">
        <f t="shared" si="30"/>
        <v>0</v>
      </c>
      <c r="J59" s="52"/>
      <c r="K59" s="129"/>
      <c r="L59" s="54">
        <f t="shared" si="31"/>
        <v>0</v>
      </c>
      <c r="M59" s="129"/>
      <c r="N59" s="54">
        <f t="shared" si="32"/>
        <v>0</v>
      </c>
      <c r="O59" s="54">
        <f t="shared" si="33"/>
        <v>0</v>
      </c>
      <c r="P59" s="1"/>
    </row>
    <row r="60" spans="2:17" ht="12.5">
      <c r="B60" s="7" t="str">
        <f t="shared" si="6"/>
        <v/>
      </c>
      <c r="C60" s="50">
        <f>IF(D11="","-",+C59+1)</f>
        <v>2052</v>
      </c>
      <c r="D60" s="55">
        <f>IF(F59+SUM(E$17:E59)=D$10,F59,D$10-SUM(E$17:E59))</f>
        <v>328983.98109774996</v>
      </c>
      <c r="E60" s="378">
        <f>IF(+I14&lt;F59,I14,D60)</f>
        <v>312336.45454545453</v>
      </c>
      <c r="F60" s="55">
        <f t="shared" si="29"/>
        <v>16647.526552295429</v>
      </c>
      <c r="G60" s="379">
        <f t="shared" si="27"/>
        <v>332992.62590478943</v>
      </c>
      <c r="H60" s="364">
        <f t="shared" si="28"/>
        <v>332992.62590478943</v>
      </c>
      <c r="I60" s="52">
        <f t="shared" si="30"/>
        <v>0</v>
      </c>
      <c r="J60" s="52"/>
      <c r="K60" s="129"/>
      <c r="L60" s="54">
        <f t="shared" si="31"/>
        <v>0</v>
      </c>
      <c r="M60" s="129"/>
      <c r="N60" s="54">
        <f t="shared" si="32"/>
        <v>0</v>
      </c>
      <c r="O60" s="54">
        <f t="shared" si="33"/>
        <v>0</v>
      </c>
      <c r="P60" s="1"/>
    </row>
    <row r="61" spans="2:17" ht="12.5">
      <c r="B61" s="7" t="str">
        <f t="shared" si="6"/>
        <v/>
      </c>
      <c r="C61" s="50">
        <f>IF(D11="","-",+C60+1)</f>
        <v>2053</v>
      </c>
      <c r="D61" s="55">
        <f>IF(F60+SUM(E$17:E60)=D$10,F60,D$10-SUM(E$17:E60))</f>
        <v>16647.526552295429</v>
      </c>
      <c r="E61" s="378">
        <f>IF(+I14&lt;F60,I14,D61)</f>
        <v>16647.526552295429</v>
      </c>
      <c r="F61" s="55">
        <f t="shared" si="29"/>
        <v>0</v>
      </c>
      <c r="G61" s="380">
        <f t="shared" si="27"/>
        <v>17642.442101260564</v>
      </c>
      <c r="H61" s="364">
        <f t="shared" si="28"/>
        <v>17642.442101260564</v>
      </c>
      <c r="I61" s="52">
        <f t="shared" si="30"/>
        <v>0</v>
      </c>
      <c r="J61" s="52"/>
      <c r="K61" s="129"/>
      <c r="L61" s="54">
        <f t="shared" si="31"/>
        <v>0</v>
      </c>
      <c r="M61" s="129"/>
      <c r="N61" s="54">
        <f t="shared" si="32"/>
        <v>0</v>
      </c>
      <c r="O61" s="54">
        <f t="shared" si="33"/>
        <v>0</v>
      </c>
      <c r="P61" s="1"/>
    </row>
    <row r="62" spans="2:17" ht="12.5">
      <c r="B62" s="7" t="str">
        <f t="shared" si="6"/>
        <v/>
      </c>
      <c r="C62" s="50">
        <f>IF(D11="","-",+C61+1)</f>
        <v>2054</v>
      </c>
      <c r="D62" s="55">
        <f>IF(F61+SUM(E$17:E61)=D$10,F61,D$10-SUM(E$17:E61))</f>
        <v>0</v>
      </c>
      <c r="E62" s="378">
        <f>IF(+I14&lt;F61,I14,D62)</f>
        <v>0</v>
      </c>
      <c r="F62" s="55">
        <f t="shared" si="29"/>
        <v>0</v>
      </c>
      <c r="G62" s="380">
        <f t="shared" si="27"/>
        <v>0</v>
      </c>
      <c r="H62" s="364">
        <f t="shared" si="28"/>
        <v>0</v>
      </c>
      <c r="I62" s="52">
        <f t="shared" si="30"/>
        <v>0</v>
      </c>
      <c r="J62" s="52"/>
      <c r="K62" s="129"/>
      <c r="L62" s="54">
        <f t="shared" si="31"/>
        <v>0</v>
      </c>
      <c r="M62" s="129"/>
      <c r="N62" s="54">
        <f t="shared" si="32"/>
        <v>0</v>
      </c>
      <c r="O62" s="54">
        <f t="shared" si="33"/>
        <v>0</v>
      </c>
      <c r="P62" s="1"/>
    </row>
    <row r="63" spans="2:17" ht="12.5">
      <c r="B63" s="7" t="str">
        <f t="shared" si="6"/>
        <v/>
      </c>
      <c r="C63" s="50">
        <f>IF(D11="","-",+C62+1)</f>
        <v>2055</v>
      </c>
      <c r="D63" s="55">
        <f>IF(F62+SUM(E$17:E62)=D$10,F62,D$10-SUM(E$17:E62))</f>
        <v>0</v>
      </c>
      <c r="E63" s="378">
        <f>IF(+I14&lt;F62,I14,D63)</f>
        <v>0</v>
      </c>
      <c r="F63" s="55">
        <f t="shared" si="29"/>
        <v>0</v>
      </c>
      <c r="G63" s="380">
        <f t="shared" si="27"/>
        <v>0</v>
      </c>
      <c r="H63" s="364">
        <f t="shared" si="28"/>
        <v>0</v>
      </c>
      <c r="I63" s="52">
        <f t="shared" si="30"/>
        <v>0</v>
      </c>
      <c r="J63" s="52"/>
      <c r="K63" s="129"/>
      <c r="L63" s="54">
        <f t="shared" si="31"/>
        <v>0</v>
      </c>
      <c r="M63" s="129"/>
      <c r="N63" s="54">
        <f t="shared" si="32"/>
        <v>0</v>
      </c>
      <c r="O63" s="54">
        <f t="shared" si="33"/>
        <v>0</v>
      </c>
      <c r="P63" s="1"/>
    </row>
    <row r="64" spans="2:17" ht="12.5">
      <c r="B64" s="7" t="str">
        <f t="shared" si="6"/>
        <v/>
      </c>
      <c r="C64" s="50">
        <f>IF(D11="","-",+C63+1)</f>
        <v>2056</v>
      </c>
      <c r="D64" s="55">
        <f>IF(F63+SUM(E$17:E63)=D$10,F63,D$10-SUM(E$17:E63))</f>
        <v>0</v>
      </c>
      <c r="E64" s="378">
        <f>IF(+I14&lt;F63,I14,D64)</f>
        <v>0</v>
      </c>
      <c r="F64" s="55">
        <f t="shared" si="29"/>
        <v>0</v>
      </c>
      <c r="G64" s="380">
        <f t="shared" si="27"/>
        <v>0</v>
      </c>
      <c r="H64" s="364">
        <f t="shared" si="28"/>
        <v>0</v>
      </c>
      <c r="I64" s="52">
        <f t="shared" si="30"/>
        <v>0</v>
      </c>
      <c r="J64" s="52"/>
      <c r="K64" s="129"/>
      <c r="L64" s="54">
        <f t="shared" si="31"/>
        <v>0</v>
      </c>
      <c r="M64" s="129"/>
      <c r="N64" s="54">
        <f t="shared" si="32"/>
        <v>0</v>
      </c>
      <c r="O64" s="54">
        <f t="shared" si="33"/>
        <v>0</v>
      </c>
      <c r="P64" s="1"/>
    </row>
    <row r="65" spans="1:16" ht="12.5">
      <c r="B65" s="7" t="str">
        <f t="shared" si="6"/>
        <v/>
      </c>
      <c r="C65" s="50">
        <f>IF(D11="","-",+C64+1)</f>
        <v>2057</v>
      </c>
      <c r="D65" s="55">
        <f>IF(F64+SUM(E$17:E64)=D$10,F64,D$10-SUM(E$17:E64))</f>
        <v>0</v>
      </c>
      <c r="E65" s="378">
        <f>IF(+I14&lt;F64,I14,D65)</f>
        <v>0</v>
      </c>
      <c r="F65" s="55">
        <f t="shared" si="29"/>
        <v>0</v>
      </c>
      <c r="G65" s="380">
        <f t="shared" si="27"/>
        <v>0</v>
      </c>
      <c r="H65" s="364">
        <f t="shared" si="28"/>
        <v>0</v>
      </c>
      <c r="I65" s="52">
        <f t="shared" si="30"/>
        <v>0</v>
      </c>
      <c r="J65" s="52"/>
      <c r="K65" s="129"/>
      <c r="L65" s="54">
        <f t="shared" si="31"/>
        <v>0</v>
      </c>
      <c r="M65" s="129"/>
      <c r="N65" s="54">
        <f t="shared" si="32"/>
        <v>0</v>
      </c>
      <c r="O65" s="54">
        <f t="shared" si="33"/>
        <v>0</v>
      </c>
      <c r="P65" s="1"/>
    </row>
    <row r="66" spans="1:16" ht="12.5">
      <c r="B66" s="7" t="str">
        <f t="shared" si="6"/>
        <v/>
      </c>
      <c r="C66" s="50">
        <f>IF(D11="","-",+C65+1)</f>
        <v>2058</v>
      </c>
      <c r="D66" s="55">
        <f>IF(F65+SUM(E$17:E65)=D$10,F65,D$10-SUM(E$17:E65))</f>
        <v>0</v>
      </c>
      <c r="E66" s="378">
        <f>IF(+I14&lt;F65,I14,D66)</f>
        <v>0</v>
      </c>
      <c r="F66" s="55">
        <f t="shared" si="29"/>
        <v>0</v>
      </c>
      <c r="G66" s="380">
        <f t="shared" si="27"/>
        <v>0</v>
      </c>
      <c r="H66" s="364">
        <f t="shared" si="28"/>
        <v>0</v>
      </c>
      <c r="I66" s="52">
        <f t="shared" si="30"/>
        <v>0</v>
      </c>
      <c r="J66" s="52"/>
      <c r="K66" s="129"/>
      <c r="L66" s="54">
        <f t="shared" si="31"/>
        <v>0</v>
      </c>
      <c r="M66" s="129"/>
      <c r="N66" s="54">
        <f t="shared" si="32"/>
        <v>0</v>
      </c>
      <c r="O66" s="54">
        <f t="shared" si="33"/>
        <v>0</v>
      </c>
      <c r="P66" s="1"/>
    </row>
    <row r="67" spans="1:16" ht="12.5">
      <c r="B67" s="7" t="str">
        <f t="shared" si="6"/>
        <v/>
      </c>
      <c r="C67" s="50">
        <f>IF(D11="","-",+C66+1)</f>
        <v>2059</v>
      </c>
      <c r="D67" s="55">
        <f>IF(F66+SUM(E$17:E66)=D$10,F66,D$10-SUM(E$17:E66))</f>
        <v>0</v>
      </c>
      <c r="E67" s="378">
        <f>IF(+I14&lt;F66,I14,D67)</f>
        <v>0</v>
      </c>
      <c r="F67" s="55">
        <f t="shared" si="29"/>
        <v>0</v>
      </c>
      <c r="G67" s="380">
        <f t="shared" si="27"/>
        <v>0</v>
      </c>
      <c r="H67" s="364">
        <f t="shared" si="28"/>
        <v>0</v>
      </c>
      <c r="I67" s="52">
        <f t="shared" si="30"/>
        <v>0</v>
      </c>
      <c r="J67" s="52"/>
      <c r="K67" s="129"/>
      <c r="L67" s="54">
        <f t="shared" si="31"/>
        <v>0</v>
      </c>
      <c r="M67" s="129"/>
      <c r="N67" s="54">
        <f t="shared" si="32"/>
        <v>0</v>
      </c>
      <c r="O67" s="54">
        <f t="shared" si="33"/>
        <v>0</v>
      </c>
      <c r="P67" s="1"/>
    </row>
    <row r="68" spans="1:16" ht="12.5">
      <c r="B68" s="7" t="str">
        <f t="shared" si="6"/>
        <v/>
      </c>
      <c r="C68" s="50">
        <f>IF(D11="","-",+C67+1)</f>
        <v>2060</v>
      </c>
      <c r="D68" s="55">
        <f>IF(F67+SUM(E$17:E67)=D$10,F67,D$10-SUM(E$17:E67))</f>
        <v>0</v>
      </c>
      <c r="E68" s="378">
        <f>IF(+I14&lt;F67,I14,D68)</f>
        <v>0</v>
      </c>
      <c r="F68" s="55">
        <f t="shared" si="29"/>
        <v>0</v>
      </c>
      <c r="G68" s="380">
        <f t="shared" si="27"/>
        <v>0</v>
      </c>
      <c r="H68" s="364">
        <f t="shared" si="28"/>
        <v>0</v>
      </c>
      <c r="I68" s="52">
        <f t="shared" si="30"/>
        <v>0</v>
      </c>
      <c r="J68" s="52"/>
      <c r="K68" s="129"/>
      <c r="L68" s="54">
        <f t="shared" si="31"/>
        <v>0</v>
      </c>
      <c r="M68" s="129"/>
      <c r="N68" s="54">
        <f t="shared" si="32"/>
        <v>0</v>
      </c>
      <c r="O68" s="54">
        <f t="shared" si="33"/>
        <v>0</v>
      </c>
      <c r="P68" s="1"/>
    </row>
    <row r="69" spans="1:16" ht="12.5">
      <c r="B69" s="7" t="str">
        <f t="shared" si="6"/>
        <v/>
      </c>
      <c r="C69" s="50">
        <f>IF(D11="","-",+C68+1)</f>
        <v>2061</v>
      </c>
      <c r="D69" s="55">
        <f>IF(F68+SUM(E$17:E68)=D$10,F68,D$10-SUM(E$17:E68))</f>
        <v>0</v>
      </c>
      <c r="E69" s="378">
        <f>IF(+I14&lt;F68,I14,D69)</f>
        <v>0</v>
      </c>
      <c r="F69" s="55">
        <f t="shared" si="29"/>
        <v>0</v>
      </c>
      <c r="G69" s="380">
        <f t="shared" si="27"/>
        <v>0</v>
      </c>
      <c r="H69" s="364">
        <f t="shared" si="28"/>
        <v>0</v>
      </c>
      <c r="I69" s="52">
        <f t="shared" si="30"/>
        <v>0</v>
      </c>
      <c r="J69" s="52"/>
      <c r="K69" s="129"/>
      <c r="L69" s="54">
        <f t="shared" si="31"/>
        <v>0</v>
      </c>
      <c r="M69" s="129"/>
      <c r="N69" s="54">
        <f t="shared" si="32"/>
        <v>0</v>
      </c>
      <c r="O69" s="54">
        <f t="shared" si="33"/>
        <v>0</v>
      </c>
      <c r="P69" s="1"/>
    </row>
    <row r="70" spans="1:16" ht="12.5">
      <c r="B70" s="7" t="str">
        <f t="shared" si="6"/>
        <v/>
      </c>
      <c r="C70" s="50">
        <f>IF(D11="","-",+C69+1)</f>
        <v>2062</v>
      </c>
      <c r="D70" s="55">
        <f>IF(F69+SUM(E$17:E69)=D$10,F69,D$10-SUM(E$17:E69))</f>
        <v>0</v>
      </c>
      <c r="E70" s="378">
        <f>IF(+I14&lt;F69,I14,D70)</f>
        <v>0</v>
      </c>
      <c r="F70" s="55">
        <f t="shared" si="29"/>
        <v>0</v>
      </c>
      <c r="G70" s="380">
        <f t="shared" si="27"/>
        <v>0</v>
      </c>
      <c r="H70" s="364">
        <f t="shared" si="28"/>
        <v>0</v>
      </c>
      <c r="I70" s="52">
        <f t="shared" si="30"/>
        <v>0</v>
      </c>
      <c r="J70" s="52"/>
      <c r="K70" s="129"/>
      <c r="L70" s="54">
        <f t="shared" si="31"/>
        <v>0</v>
      </c>
      <c r="M70" s="129"/>
      <c r="N70" s="54">
        <f t="shared" si="32"/>
        <v>0</v>
      </c>
      <c r="O70" s="54">
        <f t="shared" si="33"/>
        <v>0</v>
      </c>
      <c r="P70" s="1"/>
    </row>
    <row r="71" spans="1:16" ht="12.5">
      <c r="B71" s="7" t="str">
        <f t="shared" si="6"/>
        <v/>
      </c>
      <c r="C71" s="50">
        <f>IF(D11="","-",+C70+1)</f>
        <v>2063</v>
      </c>
      <c r="D71" s="55">
        <f>IF(F70+SUM(E$17:E70)=D$10,F70,D$10-SUM(E$17:E70))</f>
        <v>0</v>
      </c>
      <c r="E71" s="378">
        <f>IF(+I14&lt;F70,I14,D71)</f>
        <v>0</v>
      </c>
      <c r="F71" s="55">
        <f t="shared" si="29"/>
        <v>0</v>
      </c>
      <c r="G71" s="380">
        <f t="shared" si="27"/>
        <v>0</v>
      </c>
      <c r="H71" s="364">
        <f t="shared" si="28"/>
        <v>0</v>
      </c>
      <c r="I71" s="52">
        <f t="shared" si="30"/>
        <v>0</v>
      </c>
      <c r="J71" s="52"/>
      <c r="K71" s="129"/>
      <c r="L71" s="54">
        <f t="shared" si="31"/>
        <v>0</v>
      </c>
      <c r="M71" s="129"/>
      <c r="N71" s="54">
        <f t="shared" si="32"/>
        <v>0</v>
      </c>
      <c r="O71" s="54">
        <f t="shared" si="33"/>
        <v>0</v>
      </c>
      <c r="P71" s="1"/>
    </row>
    <row r="72" spans="1:16" ht="13" thickBot="1">
      <c r="B72" s="7" t="str">
        <f t="shared" si="6"/>
        <v/>
      </c>
      <c r="C72" s="59">
        <f>IF(D11="","-",+C71+1)</f>
        <v>2064</v>
      </c>
      <c r="D72" s="60">
        <f>IF(F71+SUM(E$17:E71)=D$10,F71,D$10-SUM(E$17:E71))</f>
        <v>0</v>
      </c>
      <c r="E72" s="381">
        <f>IF(+I14&lt;F71,I14,D72)</f>
        <v>0</v>
      </c>
      <c r="F72" s="60">
        <f t="shared" si="29"/>
        <v>0</v>
      </c>
      <c r="G72" s="382">
        <f t="shared" si="27"/>
        <v>0</v>
      </c>
      <c r="H72" s="362">
        <f t="shared" si="28"/>
        <v>0</v>
      </c>
      <c r="I72" s="63">
        <f t="shared" si="30"/>
        <v>0</v>
      </c>
      <c r="J72" s="52"/>
      <c r="K72" s="130"/>
      <c r="L72" s="64">
        <f t="shared" si="31"/>
        <v>0</v>
      </c>
      <c r="M72" s="130"/>
      <c r="N72" s="64">
        <f t="shared" si="32"/>
        <v>0</v>
      </c>
      <c r="O72" s="64">
        <f t="shared" si="33"/>
        <v>0</v>
      </c>
      <c r="P72" s="1"/>
    </row>
    <row r="73" spans="1:16" ht="12.5">
      <c r="C73" s="12" t="s">
        <v>78</v>
      </c>
      <c r="D73" s="293"/>
      <c r="E73" s="293">
        <f>SUM(E17:E72)</f>
        <v>13742804.000000009</v>
      </c>
      <c r="F73" s="293"/>
      <c r="G73" s="293">
        <f>SUM(G17:G72)</f>
        <v>50502736.306331046</v>
      </c>
      <c r="H73" s="293">
        <f>SUM(H17:H72)</f>
        <v>50502736.306331046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7.5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3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1378307.6805434467</v>
      </c>
      <c r="N87" s="387">
        <f>IF(J92&lt;D11,0,VLOOKUP(J92,C17:O72,11))</f>
        <v>1378307.6805434467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1415251.0545212561</v>
      </c>
      <c r="N88" s="390">
        <f>IF(J92&lt;D11,0,VLOOKUP(J92,C99:P154,7))</f>
        <v>1415251.0545212561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[NW Ark Area Improve - 2009]  E. Centerton-Flint Crk, E Rogers-N Rogers, Centerton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36943.373977809446</v>
      </c>
      <c r="N89" s="392">
        <f>+N88-N87</f>
        <v>36943.373977809446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TP2007103</v>
      </c>
      <c r="E91" s="76" t="str">
        <f>E9</f>
        <v xml:space="preserve">SPP Project ID = </v>
      </c>
      <c r="F91" s="76" t="str">
        <f>F9</f>
        <v>107 &amp; 229</v>
      </c>
      <c r="G91" s="76"/>
      <c r="H91" s="76"/>
      <c r="I91" s="76"/>
      <c r="J91" s="95"/>
      <c r="Q91" s="1"/>
    </row>
    <row r="92" spans="1:17" ht="13">
      <c r="C92" s="34" t="s">
        <v>51</v>
      </c>
      <c r="D92" s="363">
        <f>D10</f>
        <v>13742804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  <c r="Q92" s="1"/>
    </row>
    <row r="93" spans="1:17" ht="12.5">
      <c r="C93" s="34" t="s">
        <v>54</v>
      </c>
      <c r="D93" s="88">
        <f>IF(D11=I10,"",D11)</f>
        <v>2009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4">
        <f>IF(D11=I10,"",D12)</f>
        <v>6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312336.45454545453</v>
      </c>
      <c r="K96" s="293"/>
      <c r="L96" s="293"/>
      <c r="M96" s="293"/>
      <c r="N96" s="293"/>
      <c r="O96" s="293"/>
      <c r="P96" s="1"/>
      <c r="Q96" s="1"/>
    </row>
    <row r="97" spans="1:17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 ht="12.5">
      <c r="C99" s="50">
        <f>IF(D93= "","-",D93)</f>
        <v>2009</v>
      </c>
      <c r="D99" s="133">
        <v>0</v>
      </c>
      <c r="E99" s="376">
        <v>162954</v>
      </c>
      <c r="F99" s="137">
        <v>12221607</v>
      </c>
      <c r="G99" s="140">
        <v>6110803</v>
      </c>
      <c r="H99" s="397">
        <v>1047418</v>
      </c>
      <c r="I99" s="398">
        <v>1047418</v>
      </c>
      <c r="J99" s="54">
        <f t="shared" ref="J99:J130" si="34">+I99-H99</f>
        <v>0</v>
      </c>
      <c r="K99" s="54"/>
      <c r="L99" s="112">
        <f t="shared" ref="L99:L104" si="35">H99</f>
        <v>1047418</v>
      </c>
      <c r="M99" s="53">
        <f t="shared" ref="M99:M130" si="36">IF(L99&lt;&gt;0,+H99-L99,0)</f>
        <v>0</v>
      </c>
      <c r="N99" s="112">
        <f t="shared" ref="N99:N104" si="37">I99</f>
        <v>1047418</v>
      </c>
      <c r="O99" s="53">
        <f t="shared" ref="O99:O130" si="38">IF(N99&lt;&gt;0,+I99-N99,0)</f>
        <v>0</v>
      </c>
      <c r="P99" s="53">
        <f t="shared" ref="P99:P130" si="39">+O99-M99</f>
        <v>0</v>
      </c>
      <c r="Q99" s="1"/>
    </row>
    <row r="100" spans="1:17" ht="12.5">
      <c r="B100" s="7" t="str">
        <f>IF(D100=F99,"","IU")</f>
        <v>IU</v>
      </c>
      <c r="C100" s="50">
        <f>IF(D93="","-",+C99+1)</f>
        <v>2010</v>
      </c>
      <c r="D100" s="133">
        <v>13579849</v>
      </c>
      <c r="E100" s="376">
        <v>335190.31707317074</v>
      </c>
      <c r="F100" s="137">
        <v>13244658.68292683</v>
      </c>
      <c r="G100" s="137">
        <v>13412253.841463415</v>
      </c>
      <c r="H100" s="376">
        <v>2549366.7560608997</v>
      </c>
      <c r="I100" s="375">
        <v>2549366.7560608997</v>
      </c>
      <c r="J100" s="54">
        <f t="shared" si="34"/>
        <v>0</v>
      </c>
      <c r="K100" s="54"/>
      <c r="L100" s="113">
        <f t="shared" si="35"/>
        <v>2549366.7560608997</v>
      </c>
      <c r="M100" s="54">
        <f t="shared" si="36"/>
        <v>0</v>
      </c>
      <c r="N100" s="113">
        <f t="shared" si="37"/>
        <v>2549366.7560608997</v>
      </c>
      <c r="O100" s="54">
        <f t="shared" si="38"/>
        <v>0</v>
      </c>
      <c r="P100" s="54">
        <f t="shared" si="39"/>
        <v>0</v>
      </c>
      <c r="Q100" s="1"/>
    </row>
    <row r="101" spans="1:17" ht="12.5">
      <c r="B101" s="7" t="str">
        <f t="shared" ref="B101:B154" si="40">IF(D101=F100,"","IU")</f>
        <v/>
      </c>
      <c r="C101" s="50">
        <f>IF(D93="","-",+C100+1)</f>
        <v>2011</v>
      </c>
      <c r="D101" s="133">
        <v>13244658.68292683</v>
      </c>
      <c r="E101" s="377">
        <v>327209.59523809527</v>
      </c>
      <c r="F101" s="137">
        <v>12917449.087688735</v>
      </c>
      <c r="G101" s="137">
        <v>13081053.885307781</v>
      </c>
      <c r="H101" s="376">
        <v>2294337.1869887193</v>
      </c>
      <c r="I101" s="375">
        <v>2294337.1869887193</v>
      </c>
      <c r="J101" s="54">
        <f t="shared" si="34"/>
        <v>0</v>
      </c>
      <c r="K101" s="54"/>
      <c r="L101" s="113">
        <f t="shared" si="35"/>
        <v>2294337.1869887193</v>
      </c>
      <c r="M101" s="54">
        <f t="shared" si="36"/>
        <v>0</v>
      </c>
      <c r="N101" s="113">
        <f t="shared" si="37"/>
        <v>2294337.1869887193</v>
      </c>
      <c r="O101" s="54">
        <f t="shared" si="38"/>
        <v>0</v>
      </c>
      <c r="P101" s="54">
        <f t="shared" si="39"/>
        <v>0</v>
      </c>
      <c r="Q101" s="1"/>
    </row>
    <row r="102" spans="1:17" ht="12.5">
      <c r="B102" s="7" t="str">
        <f t="shared" si="40"/>
        <v/>
      </c>
      <c r="C102" s="50">
        <f>IF(D93="","-",+C101+1)</f>
        <v>2012</v>
      </c>
      <c r="D102" s="133">
        <v>12917449.087688735</v>
      </c>
      <c r="E102" s="376">
        <v>327209.59523809527</v>
      </c>
      <c r="F102" s="137">
        <v>12590239.49245064</v>
      </c>
      <c r="G102" s="137">
        <v>12753844.290069688</v>
      </c>
      <c r="H102" s="376">
        <v>2203987.9280377463</v>
      </c>
      <c r="I102" s="375">
        <v>2203987.9280377463</v>
      </c>
      <c r="J102" s="54">
        <f t="shared" si="34"/>
        <v>0</v>
      </c>
      <c r="K102" s="54"/>
      <c r="L102" s="113">
        <f t="shared" si="35"/>
        <v>2203987.9280377463</v>
      </c>
      <c r="M102" s="54">
        <f t="shared" si="36"/>
        <v>0</v>
      </c>
      <c r="N102" s="113">
        <f t="shared" si="37"/>
        <v>2203987.9280377463</v>
      </c>
      <c r="O102" s="54">
        <f t="shared" si="38"/>
        <v>0</v>
      </c>
      <c r="P102" s="54">
        <f t="shared" si="39"/>
        <v>0</v>
      </c>
      <c r="Q102" s="1"/>
    </row>
    <row r="103" spans="1:17" ht="12.5">
      <c r="B103" s="7" t="str">
        <f t="shared" si="40"/>
        <v/>
      </c>
      <c r="C103" s="50">
        <f>IF(D93="","-",+C102+1)</f>
        <v>2013</v>
      </c>
      <c r="D103" s="133">
        <v>12590239.49245064</v>
      </c>
      <c r="E103" s="376">
        <v>327209.59523809527</v>
      </c>
      <c r="F103" s="137">
        <v>12263029.897212544</v>
      </c>
      <c r="G103" s="137">
        <v>12426634.694831591</v>
      </c>
      <c r="H103" s="376">
        <v>2008430.1570795039</v>
      </c>
      <c r="I103" s="375">
        <v>2008430.1570795039</v>
      </c>
      <c r="J103" s="54">
        <v>0</v>
      </c>
      <c r="K103" s="54"/>
      <c r="L103" s="113">
        <f t="shared" si="35"/>
        <v>2008430.1570795039</v>
      </c>
      <c r="M103" s="54">
        <f t="shared" ref="M103:M108" si="41">IF(L103&lt;&gt;0,+H103-L103,0)</f>
        <v>0</v>
      </c>
      <c r="N103" s="113">
        <f t="shared" si="37"/>
        <v>2008430.1570795039</v>
      </c>
      <c r="O103" s="54">
        <f t="shared" ref="O103:O108" si="42">IF(N103&lt;&gt;0,+I103-N103,0)</f>
        <v>0</v>
      </c>
      <c r="P103" s="54">
        <f t="shared" ref="P103:P108" si="43">+O103-M103</f>
        <v>0</v>
      </c>
      <c r="Q103" s="1"/>
    </row>
    <row r="104" spans="1:17" ht="12.5">
      <c r="B104" s="7" t="str">
        <f t="shared" si="40"/>
        <v/>
      </c>
      <c r="C104" s="50">
        <f>IF(D93="","-",+C103+1)</f>
        <v>2014</v>
      </c>
      <c r="D104" s="133">
        <v>12263029.897212544</v>
      </c>
      <c r="E104" s="376">
        <v>327209.59523809527</v>
      </c>
      <c r="F104" s="137">
        <v>11935820.301974449</v>
      </c>
      <c r="G104" s="137">
        <v>12099425.099593498</v>
      </c>
      <c r="H104" s="376">
        <v>1971805.3159359931</v>
      </c>
      <c r="I104" s="375">
        <v>1971805.3159359931</v>
      </c>
      <c r="J104" s="54">
        <v>0</v>
      </c>
      <c r="K104" s="54"/>
      <c r="L104" s="113">
        <f t="shared" si="35"/>
        <v>1971805.3159359931</v>
      </c>
      <c r="M104" s="54">
        <f t="shared" si="41"/>
        <v>0</v>
      </c>
      <c r="N104" s="113">
        <f t="shared" si="37"/>
        <v>1971805.3159359931</v>
      </c>
      <c r="O104" s="54">
        <f t="shared" si="42"/>
        <v>0</v>
      </c>
      <c r="P104" s="54">
        <f t="shared" si="43"/>
        <v>0</v>
      </c>
      <c r="Q104" s="1"/>
    </row>
    <row r="105" spans="1:17" ht="12.5">
      <c r="B105" s="7" t="str">
        <f t="shared" si="40"/>
        <v>IU</v>
      </c>
      <c r="C105" s="50">
        <f>IF(D93="","-",+C104+1)</f>
        <v>2015</v>
      </c>
      <c r="D105" s="133">
        <v>11935821.301974449</v>
      </c>
      <c r="E105" s="376">
        <v>327209.61904761905</v>
      </c>
      <c r="F105" s="137">
        <v>11608611.68292683</v>
      </c>
      <c r="G105" s="137">
        <v>11772216.49245064</v>
      </c>
      <c r="H105" s="376">
        <v>1878421.3763593063</v>
      </c>
      <c r="I105" s="375">
        <v>1878421.3763593063</v>
      </c>
      <c r="J105" s="54">
        <f t="shared" si="34"/>
        <v>0</v>
      </c>
      <c r="K105" s="54"/>
      <c r="L105" s="113">
        <f t="shared" ref="L105:L110" si="44">H105</f>
        <v>1878421.3763593063</v>
      </c>
      <c r="M105" s="54">
        <f t="shared" si="41"/>
        <v>0</v>
      </c>
      <c r="N105" s="113">
        <f t="shared" ref="N105:N110" si="45">I105</f>
        <v>1878421.3763593063</v>
      </c>
      <c r="O105" s="54">
        <f t="shared" si="42"/>
        <v>0</v>
      </c>
      <c r="P105" s="54">
        <f t="shared" si="43"/>
        <v>0</v>
      </c>
      <c r="Q105" s="1"/>
    </row>
    <row r="106" spans="1:17" ht="12.5">
      <c r="B106" s="7" t="str">
        <f t="shared" si="40"/>
        <v/>
      </c>
      <c r="C106" s="50">
        <f>IF(D93="","-",+C105+1)</f>
        <v>2016</v>
      </c>
      <c r="D106" s="133">
        <v>11608611.68292683</v>
      </c>
      <c r="E106" s="376">
        <v>319600.09302325582</v>
      </c>
      <c r="F106" s="137">
        <v>11289011.589903574</v>
      </c>
      <c r="G106" s="137">
        <v>11448811.636415202</v>
      </c>
      <c r="H106" s="376">
        <v>1773026.5961818276</v>
      </c>
      <c r="I106" s="375">
        <v>1773026.5961818276</v>
      </c>
      <c r="J106" s="54">
        <f t="shared" si="34"/>
        <v>0</v>
      </c>
      <c r="K106" s="54"/>
      <c r="L106" s="113">
        <f t="shared" si="44"/>
        <v>1773026.5961818276</v>
      </c>
      <c r="M106" s="54">
        <f t="shared" si="41"/>
        <v>0</v>
      </c>
      <c r="N106" s="113">
        <f t="shared" si="45"/>
        <v>1773026.5961818276</v>
      </c>
      <c r="O106" s="54">
        <f t="shared" si="42"/>
        <v>0</v>
      </c>
      <c r="P106" s="54">
        <f t="shared" si="43"/>
        <v>0</v>
      </c>
      <c r="Q106" s="1"/>
    </row>
    <row r="107" spans="1:17" ht="12.5">
      <c r="B107" s="7" t="str">
        <f t="shared" si="40"/>
        <v/>
      </c>
      <c r="C107" s="50">
        <f>IF(D93="","-",+C106+1)</f>
        <v>2017</v>
      </c>
      <c r="D107" s="133">
        <v>11289011.589903574</v>
      </c>
      <c r="E107" s="376">
        <v>327209.61904761905</v>
      </c>
      <c r="F107" s="137">
        <v>10961801.970855955</v>
      </c>
      <c r="G107" s="137">
        <v>11125406.780379765</v>
      </c>
      <c r="H107" s="376">
        <v>1678628.9979876066</v>
      </c>
      <c r="I107" s="375">
        <v>1678628.9979876066</v>
      </c>
      <c r="J107" s="54">
        <f t="shared" si="34"/>
        <v>0</v>
      </c>
      <c r="K107" s="54"/>
      <c r="L107" s="113">
        <f t="shared" si="44"/>
        <v>1678628.9979876066</v>
      </c>
      <c r="M107" s="54">
        <f t="shared" si="41"/>
        <v>0</v>
      </c>
      <c r="N107" s="113">
        <f t="shared" si="45"/>
        <v>1678628.9979876066</v>
      </c>
      <c r="O107" s="54">
        <f t="shared" si="42"/>
        <v>0</v>
      </c>
      <c r="P107" s="54">
        <f t="shared" si="43"/>
        <v>0</v>
      </c>
      <c r="Q107" s="1"/>
    </row>
    <row r="108" spans="1:17" ht="12.5">
      <c r="B108" s="7" t="str">
        <f t="shared" si="40"/>
        <v/>
      </c>
      <c r="C108" s="50">
        <f>IF(D93="","-",+C107+1)</f>
        <v>2018</v>
      </c>
      <c r="D108" s="133">
        <v>10961801.970855955</v>
      </c>
      <c r="E108" s="376">
        <v>327209.61904761905</v>
      </c>
      <c r="F108" s="137">
        <v>10634592.351808336</v>
      </c>
      <c r="G108" s="137">
        <v>10798197.161332145</v>
      </c>
      <c r="H108" s="376">
        <v>1467548.7578705251</v>
      </c>
      <c r="I108" s="375">
        <v>1467548.7578705251</v>
      </c>
      <c r="J108" s="54">
        <f t="shared" si="34"/>
        <v>0</v>
      </c>
      <c r="K108" s="54"/>
      <c r="L108" s="113">
        <f t="shared" si="44"/>
        <v>1467548.7578705251</v>
      </c>
      <c r="M108" s="54">
        <f t="shared" si="41"/>
        <v>0</v>
      </c>
      <c r="N108" s="113">
        <f t="shared" si="45"/>
        <v>1467548.7578705251</v>
      </c>
      <c r="O108" s="54">
        <f t="shared" si="42"/>
        <v>0</v>
      </c>
      <c r="P108" s="54">
        <f t="shared" si="43"/>
        <v>0</v>
      </c>
      <c r="Q108" s="1"/>
    </row>
    <row r="109" spans="1:17" ht="12.5">
      <c r="B109" s="7" t="str">
        <f t="shared" si="40"/>
        <v/>
      </c>
      <c r="C109" s="50">
        <f>IF(D93="","-",+C108+1)</f>
        <v>2019</v>
      </c>
      <c r="D109" s="133">
        <v>10634592.351808336</v>
      </c>
      <c r="E109" s="376">
        <v>319600.09302325582</v>
      </c>
      <c r="F109" s="137">
        <v>10314992.25878508</v>
      </c>
      <c r="G109" s="137">
        <v>10474792.305296708</v>
      </c>
      <c r="H109" s="376">
        <v>1440827.5862967977</v>
      </c>
      <c r="I109" s="375">
        <v>1440827.5862967977</v>
      </c>
      <c r="J109" s="54">
        <f t="shared" si="34"/>
        <v>0</v>
      </c>
      <c r="K109" s="54"/>
      <c r="L109" s="113">
        <f t="shared" si="44"/>
        <v>1440827.5862967977</v>
      </c>
      <c r="M109" s="54">
        <f t="shared" ref="M109" si="46">IF(L109&lt;&gt;0,+H109-L109,0)</f>
        <v>0</v>
      </c>
      <c r="N109" s="113">
        <f t="shared" si="45"/>
        <v>1440827.5862967977</v>
      </c>
      <c r="O109" s="54">
        <f t="shared" si="38"/>
        <v>0</v>
      </c>
      <c r="P109" s="54">
        <f t="shared" si="39"/>
        <v>0</v>
      </c>
      <c r="Q109" s="1"/>
    </row>
    <row r="110" spans="1:17" ht="12.5">
      <c r="B110" s="7" t="str">
        <f t="shared" si="40"/>
        <v/>
      </c>
      <c r="C110" s="50">
        <f>IF(D93="","-",+C109+1)</f>
        <v>2020</v>
      </c>
      <c r="D110" s="133">
        <v>10314992.25878508</v>
      </c>
      <c r="E110" s="376">
        <v>327209.61904761905</v>
      </c>
      <c r="F110" s="137">
        <v>9987782.6397374608</v>
      </c>
      <c r="G110" s="137">
        <v>10151387.44926127</v>
      </c>
      <c r="H110" s="376">
        <v>1419233.2721645404</v>
      </c>
      <c r="I110" s="375">
        <v>1419233.2721645404</v>
      </c>
      <c r="J110" s="54">
        <f t="shared" si="34"/>
        <v>0</v>
      </c>
      <c r="K110" s="54"/>
      <c r="L110" s="113">
        <f t="shared" si="44"/>
        <v>1419233.2721645404</v>
      </c>
      <c r="M110" s="54">
        <f t="shared" ref="M110" si="47">IF(L110&lt;&gt;0,+H110-L110,0)</f>
        <v>0</v>
      </c>
      <c r="N110" s="113">
        <f t="shared" si="45"/>
        <v>1419233.2721645404</v>
      </c>
      <c r="O110" s="54">
        <f t="shared" si="38"/>
        <v>0</v>
      </c>
      <c r="P110" s="54">
        <f t="shared" si="39"/>
        <v>0</v>
      </c>
      <c r="Q110" s="1"/>
    </row>
    <row r="111" spans="1:17" ht="12.5">
      <c r="B111" s="7" t="str">
        <f t="shared" si="40"/>
        <v/>
      </c>
      <c r="C111" s="50">
        <f>IF(D93="","-",+C110+1)</f>
        <v>2021</v>
      </c>
      <c r="D111" s="133">
        <v>9987782.6397374608</v>
      </c>
      <c r="E111" s="376">
        <v>335190.34146341466</v>
      </c>
      <c r="F111" s="137">
        <v>9652592.2982740458</v>
      </c>
      <c r="G111" s="137">
        <v>9820187.4690057524</v>
      </c>
      <c r="H111" s="376">
        <v>1449921.3248336383</v>
      </c>
      <c r="I111" s="375">
        <v>1449921.3248336383</v>
      </c>
      <c r="J111" s="54">
        <f t="shared" si="34"/>
        <v>0</v>
      </c>
      <c r="K111" s="54"/>
      <c r="L111" s="113">
        <f t="shared" ref="L111" si="48">H111</f>
        <v>1449921.3248336383</v>
      </c>
      <c r="M111" s="54">
        <f t="shared" ref="M111" si="49">IF(L111&lt;&gt;0,+H111-L111,0)</f>
        <v>0</v>
      </c>
      <c r="N111" s="113">
        <f t="shared" ref="N111" si="50">I111</f>
        <v>1449921.3248336383</v>
      </c>
      <c r="O111" s="54">
        <f t="shared" si="38"/>
        <v>0</v>
      </c>
      <c r="P111" s="54">
        <f t="shared" si="39"/>
        <v>0</v>
      </c>
      <c r="Q111" s="1"/>
    </row>
    <row r="112" spans="1:17" ht="12.5">
      <c r="B112" s="7" t="str">
        <f t="shared" si="40"/>
        <v/>
      </c>
      <c r="C112" s="50">
        <f>IF(D93="","-",+C111+1)</f>
        <v>2022</v>
      </c>
      <c r="D112" s="133">
        <v>9652592.2982740458</v>
      </c>
      <c r="E112" s="376">
        <v>327209.61904761905</v>
      </c>
      <c r="F112" s="137">
        <v>9325382.6792264264</v>
      </c>
      <c r="G112" s="137">
        <v>9488987.4887502361</v>
      </c>
      <c r="H112" s="376">
        <v>1441765.6221326464</v>
      </c>
      <c r="I112" s="375">
        <v>1441765.6221326464</v>
      </c>
      <c r="J112" s="54">
        <f t="shared" si="34"/>
        <v>0</v>
      </c>
      <c r="K112" s="54"/>
      <c r="L112" s="113">
        <f t="shared" ref="L112" si="51">H112</f>
        <v>1441765.6221326464</v>
      </c>
      <c r="M112" s="54">
        <f t="shared" ref="M112" si="52">IF(L112&lt;&gt;0,+H112-L112,0)</f>
        <v>0</v>
      </c>
      <c r="N112" s="113">
        <f t="shared" ref="N112" si="53">I112</f>
        <v>1441765.6221326464</v>
      </c>
      <c r="O112" s="54">
        <f t="shared" ref="O112" si="54">IF(N112&lt;&gt;0,+I112-N112,0)</f>
        <v>0</v>
      </c>
      <c r="P112" s="54">
        <f t="shared" ref="P112" si="55">+O112-M112</f>
        <v>0</v>
      </c>
      <c r="Q112" s="1"/>
    </row>
    <row r="113" spans="2:17" ht="12.5">
      <c r="B113" s="7" t="str">
        <f t="shared" si="40"/>
        <v/>
      </c>
      <c r="C113" s="50">
        <f>IF(D93="","-",+C112+1)</f>
        <v>2023</v>
      </c>
      <c r="D113" s="133">
        <v>9325382.6792264264</v>
      </c>
      <c r="E113" s="376">
        <v>312336.45454545453</v>
      </c>
      <c r="F113" s="137">
        <v>9013046.2246809714</v>
      </c>
      <c r="G113" s="137">
        <v>9169214.4519536979</v>
      </c>
      <c r="H113" s="376">
        <v>1443497.1108589019</v>
      </c>
      <c r="I113" s="375">
        <v>1443497.1108589019</v>
      </c>
      <c r="J113" s="54">
        <f t="shared" si="34"/>
        <v>0</v>
      </c>
      <c r="K113" s="54"/>
      <c r="L113" s="113">
        <f t="shared" ref="L113" si="56">H113</f>
        <v>1443497.1108589019</v>
      </c>
      <c r="M113" s="54">
        <f t="shared" ref="M113" si="57">IF(L113&lt;&gt;0,+H113-L113,0)</f>
        <v>0</v>
      </c>
      <c r="N113" s="113">
        <f t="shared" ref="N113" si="58">I113</f>
        <v>1443497.1108589019</v>
      </c>
      <c r="O113" s="54">
        <f t="shared" ref="O113" si="59">IF(N113&lt;&gt;0,+I113-N113,0)</f>
        <v>0</v>
      </c>
      <c r="P113" s="54">
        <f t="shared" ref="P113" si="60">+O113-M113</f>
        <v>0</v>
      </c>
      <c r="Q113" s="1"/>
    </row>
    <row r="114" spans="2:17" ht="12.5">
      <c r="B114" s="7" t="str">
        <f t="shared" si="40"/>
        <v/>
      </c>
      <c r="C114" s="50">
        <f>IF(D93="","-",+C113+1)</f>
        <v>2024</v>
      </c>
      <c r="D114" s="12">
        <f>IF(F113+SUM(E$99:E113)=D$92,F113,D$92-SUM(E$99:E113))</f>
        <v>9013046.2246809714</v>
      </c>
      <c r="E114" s="378">
        <f>IF(+J96&lt;F113,J96,D114)</f>
        <v>312336.45454545453</v>
      </c>
      <c r="F114" s="55">
        <f t="shared" ref="F114:F130" si="61">+D114-E114</f>
        <v>8700709.7701355163</v>
      </c>
      <c r="G114" s="55">
        <f t="shared" ref="G114:G130" si="62">+(F114+D114)/2</f>
        <v>8856877.9974082448</v>
      </c>
      <c r="H114" s="380">
        <f t="shared" ref="H114:H154" si="63">+J$94*G114+E114</f>
        <v>1415251.0545212561</v>
      </c>
      <c r="I114" s="399">
        <f t="shared" ref="I114:I154" si="64">+J$95*G114+E114</f>
        <v>1415251.0545212561</v>
      </c>
      <c r="J114" s="54">
        <f t="shared" si="34"/>
        <v>0</v>
      </c>
      <c r="K114" s="54"/>
      <c r="L114" s="129"/>
      <c r="M114" s="54">
        <f t="shared" si="36"/>
        <v>0</v>
      </c>
      <c r="N114" s="129"/>
      <c r="O114" s="54">
        <f t="shared" si="38"/>
        <v>0</v>
      </c>
      <c r="P114" s="54">
        <f t="shared" si="39"/>
        <v>0</v>
      </c>
      <c r="Q114" s="1"/>
    </row>
    <row r="115" spans="2:17" ht="12.5">
      <c r="B115" s="7" t="str">
        <f t="shared" si="40"/>
        <v/>
      </c>
      <c r="C115" s="50">
        <f>IF(D93="","-",+C114+1)</f>
        <v>2025</v>
      </c>
      <c r="D115" s="12">
        <f>IF(F114+SUM(E$99:E114)=D$92,F114,D$92-SUM(E$99:E114))</f>
        <v>8700709.7701355163</v>
      </c>
      <c r="E115" s="378">
        <f>IF(+J96&lt;F114,J96,D115)</f>
        <v>312336.45454545453</v>
      </c>
      <c r="F115" s="55">
        <f t="shared" si="61"/>
        <v>8388373.3155900622</v>
      </c>
      <c r="G115" s="55">
        <f t="shared" si="62"/>
        <v>8544541.5428627897</v>
      </c>
      <c r="H115" s="380">
        <f t="shared" si="63"/>
        <v>1376356.9390187433</v>
      </c>
      <c r="I115" s="399">
        <f t="shared" si="64"/>
        <v>1376356.9390187433</v>
      </c>
      <c r="J115" s="54">
        <f t="shared" si="34"/>
        <v>0</v>
      </c>
      <c r="K115" s="54"/>
      <c r="L115" s="129"/>
      <c r="M115" s="54">
        <f t="shared" si="36"/>
        <v>0</v>
      </c>
      <c r="N115" s="129"/>
      <c r="O115" s="54">
        <f t="shared" si="38"/>
        <v>0</v>
      </c>
      <c r="P115" s="54">
        <f t="shared" si="39"/>
        <v>0</v>
      </c>
      <c r="Q115" s="1"/>
    </row>
    <row r="116" spans="2:17" ht="12.5">
      <c r="B116" s="7" t="str">
        <f t="shared" si="40"/>
        <v/>
      </c>
      <c r="C116" s="50">
        <f>IF(D93="","-",+C115+1)</f>
        <v>2026</v>
      </c>
      <c r="D116" s="12">
        <f>IF(F115+SUM(E$99:E115)=D$92,F115,D$92-SUM(E$99:E115))</f>
        <v>8388373.3155900622</v>
      </c>
      <c r="E116" s="378">
        <f>IF(+J96&lt;F115,J96,D116)</f>
        <v>312336.45454545453</v>
      </c>
      <c r="F116" s="55">
        <f t="shared" si="61"/>
        <v>8076036.8610446081</v>
      </c>
      <c r="G116" s="55">
        <f t="shared" si="62"/>
        <v>8232205.0883173347</v>
      </c>
      <c r="H116" s="380">
        <f t="shared" si="63"/>
        <v>1337462.8235162303</v>
      </c>
      <c r="I116" s="399">
        <f t="shared" si="64"/>
        <v>1337462.8235162303</v>
      </c>
      <c r="J116" s="54">
        <f t="shared" si="34"/>
        <v>0</v>
      </c>
      <c r="K116" s="54"/>
      <c r="L116" s="129"/>
      <c r="M116" s="54">
        <f t="shared" si="36"/>
        <v>0</v>
      </c>
      <c r="N116" s="129"/>
      <c r="O116" s="54">
        <f t="shared" si="38"/>
        <v>0</v>
      </c>
      <c r="P116" s="54">
        <f t="shared" si="39"/>
        <v>0</v>
      </c>
      <c r="Q116" s="1"/>
    </row>
    <row r="117" spans="2:17" ht="12.5">
      <c r="B117" s="7" t="str">
        <f t="shared" si="40"/>
        <v/>
      </c>
      <c r="C117" s="50">
        <f>IF(D93="","-",+C116+1)</f>
        <v>2027</v>
      </c>
      <c r="D117" s="12">
        <f>IF(F116+SUM(E$99:E116)=D$92,F116,D$92-SUM(E$99:E116))</f>
        <v>8076036.8610446081</v>
      </c>
      <c r="E117" s="378">
        <f>IF(+J96&lt;F116,J96,D117)</f>
        <v>312336.45454545453</v>
      </c>
      <c r="F117" s="55">
        <f t="shared" si="61"/>
        <v>7763700.4064991539</v>
      </c>
      <c r="G117" s="55">
        <f t="shared" si="62"/>
        <v>7919868.6337718815</v>
      </c>
      <c r="H117" s="380">
        <f t="shared" si="63"/>
        <v>1298568.7080137178</v>
      </c>
      <c r="I117" s="399">
        <f t="shared" si="64"/>
        <v>1298568.7080137178</v>
      </c>
      <c r="J117" s="54">
        <f t="shared" si="34"/>
        <v>0</v>
      </c>
      <c r="K117" s="54"/>
      <c r="L117" s="129"/>
      <c r="M117" s="54">
        <f t="shared" si="36"/>
        <v>0</v>
      </c>
      <c r="N117" s="129"/>
      <c r="O117" s="54">
        <f t="shared" si="38"/>
        <v>0</v>
      </c>
      <c r="P117" s="54">
        <f t="shared" si="39"/>
        <v>0</v>
      </c>
      <c r="Q117" s="1"/>
    </row>
    <row r="118" spans="2:17" ht="12.5">
      <c r="B118" s="7" t="str">
        <f t="shared" si="40"/>
        <v/>
      </c>
      <c r="C118" s="50">
        <f>IF(D93="","-",+C117+1)</f>
        <v>2028</v>
      </c>
      <c r="D118" s="12">
        <f>IF(F117+SUM(E$99:E117)=D$92,F117,D$92-SUM(E$99:E117))</f>
        <v>7763700.4064991539</v>
      </c>
      <c r="E118" s="378">
        <f>IF(+J96&lt;F117,J96,D118)</f>
        <v>312336.45454545453</v>
      </c>
      <c r="F118" s="55">
        <f t="shared" si="61"/>
        <v>7451363.9519536998</v>
      </c>
      <c r="G118" s="55">
        <f t="shared" si="62"/>
        <v>7607532.1792264264</v>
      </c>
      <c r="H118" s="380">
        <f t="shared" si="63"/>
        <v>1259674.592511205</v>
      </c>
      <c r="I118" s="399">
        <f t="shared" si="64"/>
        <v>1259674.592511205</v>
      </c>
      <c r="J118" s="54">
        <f t="shared" si="34"/>
        <v>0</v>
      </c>
      <c r="K118" s="54"/>
      <c r="L118" s="129"/>
      <c r="M118" s="54">
        <f t="shared" si="36"/>
        <v>0</v>
      </c>
      <c r="N118" s="129"/>
      <c r="O118" s="54">
        <f t="shared" si="38"/>
        <v>0</v>
      </c>
      <c r="P118" s="54">
        <f t="shared" si="39"/>
        <v>0</v>
      </c>
      <c r="Q118" s="1"/>
    </row>
    <row r="119" spans="2:17" ht="12.5">
      <c r="B119" s="7" t="str">
        <f t="shared" si="40"/>
        <v/>
      </c>
      <c r="C119" s="50">
        <f>IF(D93="","-",+C118+1)</f>
        <v>2029</v>
      </c>
      <c r="D119" s="12">
        <f>IF(F118+SUM(E$99:E118)=D$92,F118,D$92-SUM(E$99:E118))</f>
        <v>7451363.9519536998</v>
      </c>
      <c r="E119" s="378">
        <f>IF(+J96&lt;F118,J96,D119)</f>
        <v>312336.45454545453</v>
      </c>
      <c r="F119" s="55">
        <f t="shared" si="61"/>
        <v>7139027.4974082457</v>
      </c>
      <c r="G119" s="55">
        <f t="shared" si="62"/>
        <v>7295195.7246809732</v>
      </c>
      <c r="H119" s="380">
        <f t="shared" si="63"/>
        <v>1220780.4770086925</v>
      </c>
      <c r="I119" s="399">
        <f t="shared" si="64"/>
        <v>1220780.4770086925</v>
      </c>
      <c r="J119" s="54">
        <f t="shared" si="34"/>
        <v>0</v>
      </c>
      <c r="K119" s="54"/>
      <c r="L119" s="129"/>
      <c r="M119" s="54">
        <f t="shared" si="36"/>
        <v>0</v>
      </c>
      <c r="N119" s="129"/>
      <c r="O119" s="54">
        <f t="shared" si="38"/>
        <v>0</v>
      </c>
      <c r="P119" s="54">
        <f t="shared" si="39"/>
        <v>0</v>
      </c>
      <c r="Q119" s="1"/>
    </row>
    <row r="120" spans="2:17" ht="12.5">
      <c r="B120" s="7" t="str">
        <f t="shared" si="40"/>
        <v/>
      </c>
      <c r="C120" s="50">
        <f>IF(D93="","-",+C119+1)</f>
        <v>2030</v>
      </c>
      <c r="D120" s="12">
        <f>IF(F119+SUM(E$99:E119)=D$92,F119,D$92-SUM(E$99:E119))</f>
        <v>7139027.4974082457</v>
      </c>
      <c r="E120" s="378">
        <f>IF(+J96&lt;F119,J96,D120)</f>
        <v>312336.45454545453</v>
      </c>
      <c r="F120" s="55">
        <f t="shared" si="61"/>
        <v>6826691.0428627916</v>
      </c>
      <c r="G120" s="55">
        <f t="shared" si="62"/>
        <v>6982859.2701355182</v>
      </c>
      <c r="H120" s="380">
        <f t="shared" si="63"/>
        <v>1181886.3615061797</v>
      </c>
      <c r="I120" s="399">
        <f t="shared" si="64"/>
        <v>1181886.3615061797</v>
      </c>
      <c r="J120" s="54">
        <f t="shared" si="34"/>
        <v>0</v>
      </c>
      <c r="K120" s="54"/>
      <c r="L120" s="129"/>
      <c r="M120" s="54">
        <f t="shared" si="36"/>
        <v>0</v>
      </c>
      <c r="N120" s="129"/>
      <c r="O120" s="54">
        <f t="shared" si="38"/>
        <v>0</v>
      </c>
      <c r="P120" s="54">
        <f t="shared" si="39"/>
        <v>0</v>
      </c>
      <c r="Q120" s="1"/>
    </row>
    <row r="121" spans="2:17" ht="12.5">
      <c r="B121" s="7" t="str">
        <f t="shared" si="40"/>
        <v/>
      </c>
      <c r="C121" s="50">
        <f>IF(D93="","-",+C120+1)</f>
        <v>2031</v>
      </c>
      <c r="D121" s="12">
        <f>IF(F120+SUM(E$99:E120)=D$92,F120,D$92-SUM(E$99:E120))</f>
        <v>6826691.0428627916</v>
      </c>
      <c r="E121" s="378">
        <f>IF(+J96&lt;F120,J96,D121)</f>
        <v>312336.45454545453</v>
      </c>
      <c r="F121" s="55">
        <f t="shared" si="61"/>
        <v>6514354.5883173374</v>
      </c>
      <c r="G121" s="55">
        <f t="shared" si="62"/>
        <v>6670522.815590065</v>
      </c>
      <c r="H121" s="380">
        <f t="shared" si="63"/>
        <v>1142992.2460036669</v>
      </c>
      <c r="I121" s="399">
        <f t="shared" si="64"/>
        <v>1142992.2460036669</v>
      </c>
      <c r="J121" s="54">
        <f t="shared" si="34"/>
        <v>0</v>
      </c>
      <c r="K121" s="54"/>
      <c r="L121" s="129"/>
      <c r="M121" s="54">
        <f t="shared" si="36"/>
        <v>0</v>
      </c>
      <c r="N121" s="129"/>
      <c r="O121" s="54">
        <f t="shared" si="38"/>
        <v>0</v>
      </c>
      <c r="P121" s="54">
        <f t="shared" si="39"/>
        <v>0</v>
      </c>
      <c r="Q121" s="1"/>
    </row>
    <row r="122" spans="2:17" ht="12.5">
      <c r="B122" s="7" t="str">
        <f t="shared" si="40"/>
        <v/>
      </c>
      <c r="C122" s="50">
        <f>IF(D93="","-",+C121+1)</f>
        <v>2032</v>
      </c>
      <c r="D122" s="12">
        <f>IF(F121+SUM(E$99:E121)=D$92,F121,D$92-SUM(E$99:E121))</f>
        <v>6514354.5883173374</v>
      </c>
      <c r="E122" s="378">
        <f>IF(+J96&lt;F121,J96,D122)</f>
        <v>312336.45454545453</v>
      </c>
      <c r="F122" s="55">
        <f t="shared" si="61"/>
        <v>6202018.1337718833</v>
      </c>
      <c r="G122" s="55">
        <f t="shared" si="62"/>
        <v>6358186.3610446099</v>
      </c>
      <c r="H122" s="380">
        <f t="shared" si="63"/>
        <v>1104098.1305011541</v>
      </c>
      <c r="I122" s="399">
        <f t="shared" si="64"/>
        <v>1104098.1305011541</v>
      </c>
      <c r="J122" s="54">
        <f t="shared" si="34"/>
        <v>0</v>
      </c>
      <c r="K122" s="54"/>
      <c r="L122" s="129"/>
      <c r="M122" s="54">
        <f t="shared" si="36"/>
        <v>0</v>
      </c>
      <c r="N122" s="129"/>
      <c r="O122" s="54">
        <f t="shared" si="38"/>
        <v>0</v>
      </c>
      <c r="P122" s="54">
        <f t="shared" si="39"/>
        <v>0</v>
      </c>
      <c r="Q122" s="1"/>
    </row>
    <row r="123" spans="2:17" ht="12.5">
      <c r="B123" s="7" t="str">
        <f t="shared" si="40"/>
        <v/>
      </c>
      <c r="C123" s="50">
        <f>IF(D93="","-",+C122+1)</f>
        <v>2033</v>
      </c>
      <c r="D123" s="12">
        <f>IF(F122+SUM(E$99:E122)=D$92,F122,D$92-SUM(E$99:E122))</f>
        <v>6202018.1337718833</v>
      </c>
      <c r="E123" s="378">
        <f>IF(+J96&lt;F122,J96,D123)</f>
        <v>312336.45454545453</v>
      </c>
      <c r="F123" s="55">
        <f t="shared" si="61"/>
        <v>5889681.6792264292</v>
      </c>
      <c r="G123" s="55">
        <f t="shared" si="62"/>
        <v>6045849.9064991567</v>
      </c>
      <c r="H123" s="380">
        <f t="shared" si="63"/>
        <v>1065204.0149986416</v>
      </c>
      <c r="I123" s="399">
        <f t="shared" si="64"/>
        <v>1065204.0149986416</v>
      </c>
      <c r="J123" s="54">
        <f t="shared" si="34"/>
        <v>0</v>
      </c>
      <c r="K123" s="54"/>
      <c r="L123" s="129"/>
      <c r="M123" s="54">
        <f t="shared" si="36"/>
        <v>0</v>
      </c>
      <c r="N123" s="129"/>
      <c r="O123" s="54">
        <f t="shared" si="38"/>
        <v>0</v>
      </c>
      <c r="P123" s="54">
        <f t="shared" si="39"/>
        <v>0</v>
      </c>
      <c r="Q123" s="1"/>
    </row>
    <row r="124" spans="2:17" ht="12.5">
      <c r="B124" s="7" t="str">
        <f t="shared" si="40"/>
        <v/>
      </c>
      <c r="C124" s="50">
        <f>IF(D93="","-",+C123+1)</f>
        <v>2034</v>
      </c>
      <c r="D124" s="12">
        <f>IF(F123+SUM(E$99:E123)=D$92,F123,D$92-SUM(E$99:E123))</f>
        <v>5889681.6792264292</v>
      </c>
      <c r="E124" s="378">
        <f>IF(+J96&lt;F123,J96,D124)</f>
        <v>312336.45454545453</v>
      </c>
      <c r="F124" s="55">
        <f t="shared" si="61"/>
        <v>5577345.2246809751</v>
      </c>
      <c r="G124" s="55">
        <f t="shared" si="62"/>
        <v>5733513.4519537017</v>
      </c>
      <c r="H124" s="380">
        <f t="shared" si="63"/>
        <v>1026309.8994961288</v>
      </c>
      <c r="I124" s="399">
        <f t="shared" si="64"/>
        <v>1026309.8994961288</v>
      </c>
      <c r="J124" s="54">
        <f t="shared" si="34"/>
        <v>0</v>
      </c>
      <c r="K124" s="54"/>
      <c r="L124" s="129"/>
      <c r="M124" s="54">
        <f t="shared" si="36"/>
        <v>0</v>
      </c>
      <c r="N124" s="129"/>
      <c r="O124" s="54">
        <f t="shared" si="38"/>
        <v>0</v>
      </c>
      <c r="P124" s="54">
        <f t="shared" si="39"/>
        <v>0</v>
      </c>
      <c r="Q124" s="1"/>
    </row>
    <row r="125" spans="2:17" ht="12.5">
      <c r="B125" s="7" t="str">
        <f t="shared" si="40"/>
        <v/>
      </c>
      <c r="C125" s="50">
        <f>IF(D93="","-",+C124+1)</f>
        <v>2035</v>
      </c>
      <c r="D125" s="12">
        <f>IF(F124+SUM(E$99:E124)=D$92,F124,D$92-SUM(E$99:E124))</f>
        <v>5577345.2246809751</v>
      </c>
      <c r="E125" s="378">
        <f>IF(+J96&lt;F124,J96,D125)</f>
        <v>312336.45454545453</v>
      </c>
      <c r="F125" s="55">
        <f t="shared" si="61"/>
        <v>5265008.770135521</v>
      </c>
      <c r="G125" s="55">
        <f t="shared" si="62"/>
        <v>5421176.9974082485</v>
      </c>
      <c r="H125" s="380">
        <f t="shared" si="63"/>
        <v>987415.78399361623</v>
      </c>
      <c r="I125" s="399">
        <f t="shared" si="64"/>
        <v>987415.78399361623</v>
      </c>
      <c r="J125" s="54">
        <f t="shared" si="34"/>
        <v>0</v>
      </c>
      <c r="K125" s="54"/>
      <c r="L125" s="129"/>
      <c r="M125" s="54">
        <f t="shared" si="36"/>
        <v>0</v>
      </c>
      <c r="N125" s="129"/>
      <c r="O125" s="54">
        <f t="shared" si="38"/>
        <v>0</v>
      </c>
      <c r="P125" s="54">
        <f t="shared" si="39"/>
        <v>0</v>
      </c>
      <c r="Q125" s="1"/>
    </row>
    <row r="126" spans="2:17" ht="12.5">
      <c r="B126" s="7" t="str">
        <f t="shared" si="40"/>
        <v/>
      </c>
      <c r="C126" s="50">
        <f>IF(D93="","-",+C125+1)</f>
        <v>2036</v>
      </c>
      <c r="D126" s="12">
        <f>IF(F125+SUM(E$99:E125)=D$92,F125,D$92-SUM(E$99:E125))</f>
        <v>5265008.770135521</v>
      </c>
      <c r="E126" s="378">
        <f>IF(+J96&lt;F125,J96,D126)</f>
        <v>312336.45454545453</v>
      </c>
      <c r="F126" s="55">
        <f t="shared" si="61"/>
        <v>4952672.3155900668</v>
      </c>
      <c r="G126" s="55">
        <f t="shared" si="62"/>
        <v>5108840.5428627934</v>
      </c>
      <c r="H126" s="380">
        <f t="shared" si="63"/>
        <v>948521.66849110345</v>
      </c>
      <c r="I126" s="399">
        <f t="shared" si="64"/>
        <v>948521.66849110345</v>
      </c>
      <c r="J126" s="54">
        <f t="shared" si="34"/>
        <v>0</v>
      </c>
      <c r="K126" s="54"/>
      <c r="L126" s="129"/>
      <c r="M126" s="54">
        <f t="shared" si="36"/>
        <v>0</v>
      </c>
      <c r="N126" s="129"/>
      <c r="O126" s="54">
        <f t="shared" si="38"/>
        <v>0</v>
      </c>
      <c r="P126" s="54">
        <f t="shared" si="39"/>
        <v>0</v>
      </c>
      <c r="Q126" s="1"/>
    </row>
    <row r="127" spans="2:17" ht="12.5">
      <c r="B127" s="7" t="str">
        <f t="shared" si="40"/>
        <v/>
      </c>
      <c r="C127" s="50">
        <f>IF(D93="","-",+C126+1)</f>
        <v>2037</v>
      </c>
      <c r="D127" s="12">
        <f>IF(F126+SUM(E$99:E126)=D$92,F126,D$92-SUM(E$99:E126))</f>
        <v>4952672.3155900668</v>
      </c>
      <c r="E127" s="378">
        <f>IF(+J96&lt;F126,J96,D127)</f>
        <v>312336.45454545453</v>
      </c>
      <c r="F127" s="55">
        <f t="shared" si="61"/>
        <v>4640335.8610446127</v>
      </c>
      <c r="G127" s="55">
        <f t="shared" si="62"/>
        <v>4796504.0883173402</v>
      </c>
      <c r="H127" s="380">
        <f t="shared" si="63"/>
        <v>909627.55298859091</v>
      </c>
      <c r="I127" s="399">
        <f t="shared" si="64"/>
        <v>909627.55298859091</v>
      </c>
      <c r="J127" s="54">
        <f t="shared" si="34"/>
        <v>0</v>
      </c>
      <c r="K127" s="54"/>
      <c r="L127" s="129"/>
      <c r="M127" s="54">
        <f t="shared" si="36"/>
        <v>0</v>
      </c>
      <c r="N127" s="129"/>
      <c r="O127" s="54">
        <f t="shared" si="38"/>
        <v>0</v>
      </c>
      <c r="P127" s="54">
        <f t="shared" si="39"/>
        <v>0</v>
      </c>
      <c r="Q127" s="1"/>
    </row>
    <row r="128" spans="2:17" ht="12.5">
      <c r="B128" s="7" t="str">
        <f t="shared" si="40"/>
        <v/>
      </c>
      <c r="C128" s="50">
        <f>IF(D93="","-",+C127+1)</f>
        <v>2038</v>
      </c>
      <c r="D128" s="12">
        <f>IF(F127+SUM(E$99:E127)=D$92,F127,D$92-SUM(E$99:E127))</f>
        <v>4640335.8610446127</v>
      </c>
      <c r="E128" s="378">
        <f>IF(+J96&lt;F127,J96,D128)</f>
        <v>312336.45454545453</v>
      </c>
      <c r="F128" s="55">
        <f t="shared" si="61"/>
        <v>4327999.4064991586</v>
      </c>
      <c r="G128" s="55">
        <f t="shared" si="62"/>
        <v>4484167.6337718852</v>
      </c>
      <c r="H128" s="380">
        <f t="shared" si="63"/>
        <v>870733.43748607789</v>
      </c>
      <c r="I128" s="399">
        <f t="shared" si="64"/>
        <v>870733.43748607789</v>
      </c>
      <c r="J128" s="54">
        <f t="shared" si="34"/>
        <v>0</v>
      </c>
      <c r="K128" s="54"/>
      <c r="L128" s="129"/>
      <c r="M128" s="54">
        <f t="shared" si="36"/>
        <v>0</v>
      </c>
      <c r="N128" s="129"/>
      <c r="O128" s="54">
        <f t="shared" si="38"/>
        <v>0</v>
      </c>
      <c r="P128" s="54">
        <f t="shared" si="39"/>
        <v>0</v>
      </c>
      <c r="Q128" s="1"/>
    </row>
    <row r="129" spans="2:17" ht="12.5">
      <c r="B129" s="7" t="str">
        <f t="shared" si="40"/>
        <v/>
      </c>
      <c r="C129" s="50">
        <f>IF(D93="","-",+C128+1)</f>
        <v>2039</v>
      </c>
      <c r="D129" s="12">
        <f>IF(F128+SUM(E$99:E128)=D$92,F128,D$92-SUM(E$99:E128))</f>
        <v>4327999.4064991586</v>
      </c>
      <c r="E129" s="378">
        <f>IF(+J96&lt;F128,J96,D129)</f>
        <v>312336.45454545453</v>
      </c>
      <c r="F129" s="55">
        <f t="shared" si="61"/>
        <v>4015662.951953704</v>
      </c>
      <c r="G129" s="55">
        <f t="shared" si="62"/>
        <v>4171831.1792264311</v>
      </c>
      <c r="H129" s="380">
        <f t="shared" si="63"/>
        <v>831839.32198356534</v>
      </c>
      <c r="I129" s="399">
        <f t="shared" si="64"/>
        <v>831839.32198356534</v>
      </c>
      <c r="J129" s="54">
        <f t="shared" si="34"/>
        <v>0</v>
      </c>
      <c r="K129" s="54"/>
      <c r="L129" s="129"/>
      <c r="M129" s="54">
        <f t="shared" si="36"/>
        <v>0</v>
      </c>
      <c r="N129" s="129"/>
      <c r="O129" s="54">
        <f t="shared" si="38"/>
        <v>0</v>
      </c>
      <c r="P129" s="54">
        <f t="shared" si="39"/>
        <v>0</v>
      </c>
      <c r="Q129" s="1"/>
    </row>
    <row r="130" spans="2:17" ht="12.5">
      <c r="B130" s="7" t="str">
        <f t="shared" si="40"/>
        <v/>
      </c>
      <c r="C130" s="50">
        <f>IF(D93="","-",+C129+1)</f>
        <v>2040</v>
      </c>
      <c r="D130" s="12">
        <f>IF(F129+SUM(E$99:E129)=D$92,F129,D$92-SUM(E$99:E129))</f>
        <v>4015662.951953704</v>
      </c>
      <c r="E130" s="378">
        <f>IF(+J96&lt;F129,J96,D130)</f>
        <v>312336.45454545453</v>
      </c>
      <c r="F130" s="55">
        <f t="shared" si="61"/>
        <v>3703326.4974082494</v>
      </c>
      <c r="G130" s="55">
        <f t="shared" si="62"/>
        <v>3859494.7246809769</v>
      </c>
      <c r="H130" s="380">
        <f t="shared" si="63"/>
        <v>792945.20648105256</v>
      </c>
      <c r="I130" s="399">
        <f t="shared" si="64"/>
        <v>792945.20648105256</v>
      </c>
      <c r="J130" s="54">
        <f t="shared" si="34"/>
        <v>0</v>
      </c>
      <c r="K130" s="54"/>
      <c r="L130" s="129"/>
      <c r="M130" s="54">
        <f t="shared" si="36"/>
        <v>0</v>
      </c>
      <c r="N130" s="129"/>
      <c r="O130" s="54">
        <f t="shared" si="38"/>
        <v>0</v>
      </c>
      <c r="P130" s="54">
        <f t="shared" si="39"/>
        <v>0</v>
      </c>
      <c r="Q130" s="1"/>
    </row>
    <row r="131" spans="2:17" ht="12.5">
      <c r="B131" s="7" t="str">
        <f t="shared" si="40"/>
        <v/>
      </c>
      <c r="C131" s="50">
        <f>IF(D93="","-",+C130+1)</f>
        <v>2041</v>
      </c>
      <c r="D131" s="12">
        <f>IF(F130+SUM(E$99:E130)=D$92,F130,D$92-SUM(E$99:E130))</f>
        <v>3703326.4974082494</v>
      </c>
      <c r="E131" s="378">
        <f>IF(+J96&lt;F130,J96,D131)</f>
        <v>312336.45454545453</v>
      </c>
      <c r="F131" s="55">
        <f t="shared" ref="F131:F154" si="65">+D131-E131</f>
        <v>3390990.0428627948</v>
      </c>
      <c r="G131" s="55">
        <f t="shared" ref="G131:G154" si="66">+(F131+D131)/2</f>
        <v>3547158.2701355219</v>
      </c>
      <c r="H131" s="380">
        <f t="shared" si="63"/>
        <v>754051.09097853978</v>
      </c>
      <c r="I131" s="399">
        <f t="shared" si="64"/>
        <v>754051.09097853978</v>
      </c>
      <c r="J131" s="54">
        <f t="shared" ref="J131:J154" si="67">+I131-H131</f>
        <v>0</v>
      </c>
      <c r="K131" s="54"/>
      <c r="L131" s="129"/>
      <c r="M131" s="54">
        <f t="shared" ref="M131:M154" si="68">IF(L131&lt;&gt;0,+H131-L131,0)</f>
        <v>0</v>
      </c>
      <c r="N131" s="129"/>
      <c r="O131" s="54">
        <f t="shared" ref="O131:O154" si="69">IF(N131&lt;&gt;0,+I131-N131,0)</f>
        <v>0</v>
      </c>
      <c r="P131" s="54">
        <f t="shared" ref="P131:P154" si="70">+O131-M131</f>
        <v>0</v>
      </c>
      <c r="Q131" s="1"/>
    </row>
    <row r="132" spans="2:17" ht="12.5">
      <c r="B132" s="7" t="str">
        <f t="shared" si="40"/>
        <v/>
      </c>
      <c r="C132" s="50">
        <f>IF(D93="","-",+C131+1)</f>
        <v>2042</v>
      </c>
      <c r="D132" s="12">
        <f>IF(F131+SUM(E$99:E131)=D$92,F131,D$92-SUM(E$99:E131))</f>
        <v>3390990.0428627948</v>
      </c>
      <c r="E132" s="378">
        <f>IF(+J96&lt;F131,J96,D132)</f>
        <v>312336.45454545453</v>
      </c>
      <c r="F132" s="55">
        <f t="shared" si="65"/>
        <v>3078653.5883173402</v>
      </c>
      <c r="G132" s="55">
        <f t="shared" si="66"/>
        <v>3234821.8155900678</v>
      </c>
      <c r="H132" s="380">
        <f t="shared" si="63"/>
        <v>715156.97547602712</v>
      </c>
      <c r="I132" s="399">
        <f t="shared" si="64"/>
        <v>715156.97547602712</v>
      </c>
      <c r="J132" s="54">
        <f t="shared" si="67"/>
        <v>0</v>
      </c>
      <c r="K132" s="54"/>
      <c r="L132" s="129"/>
      <c r="M132" s="54">
        <f t="shared" si="68"/>
        <v>0</v>
      </c>
      <c r="N132" s="129"/>
      <c r="O132" s="54">
        <f t="shared" si="69"/>
        <v>0</v>
      </c>
      <c r="P132" s="54">
        <f t="shared" si="70"/>
        <v>0</v>
      </c>
      <c r="Q132" s="1"/>
    </row>
    <row r="133" spans="2:17" ht="12.5">
      <c r="B133" s="7" t="str">
        <f t="shared" si="40"/>
        <v/>
      </c>
      <c r="C133" s="50">
        <f>IF(D93="","-",+C132+1)</f>
        <v>2043</v>
      </c>
      <c r="D133" s="12">
        <f>IF(F132+SUM(E$99:E132)=D$92,F132,D$92-SUM(E$99:E132))</f>
        <v>3078653.5883173402</v>
      </c>
      <c r="E133" s="378">
        <f>IF(+J96&lt;F132,J96,D133)</f>
        <v>312336.45454545453</v>
      </c>
      <c r="F133" s="55">
        <f t="shared" si="65"/>
        <v>2766317.1337718857</v>
      </c>
      <c r="G133" s="55">
        <f t="shared" si="66"/>
        <v>2922485.3610446127</v>
      </c>
      <c r="H133" s="380">
        <f t="shared" si="63"/>
        <v>676262.85997351422</v>
      </c>
      <c r="I133" s="399">
        <f t="shared" si="64"/>
        <v>676262.85997351422</v>
      </c>
      <c r="J133" s="54">
        <f t="shared" si="67"/>
        <v>0</v>
      </c>
      <c r="K133" s="54"/>
      <c r="L133" s="129"/>
      <c r="M133" s="54">
        <f t="shared" si="68"/>
        <v>0</v>
      </c>
      <c r="N133" s="129"/>
      <c r="O133" s="54">
        <f t="shared" si="69"/>
        <v>0</v>
      </c>
      <c r="P133" s="54">
        <f t="shared" si="70"/>
        <v>0</v>
      </c>
      <c r="Q133" s="1"/>
    </row>
    <row r="134" spans="2:17" ht="12.5">
      <c r="B134" s="7" t="str">
        <f t="shared" si="40"/>
        <v/>
      </c>
      <c r="C134" s="50">
        <f>IF(D93="","-",+C133+1)</f>
        <v>2044</v>
      </c>
      <c r="D134" s="12">
        <f>IF(F133+SUM(E$99:E133)=D$92,F133,D$92-SUM(E$99:E133))</f>
        <v>2766317.1337718857</v>
      </c>
      <c r="E134" s="378">
        <f>IF(+J96&lt;F133,J96,D134)</f>
        <v>312336.45454545453</v>
      </c>
      <c r="F134" s="55">
        <f t="shared" si="65"/>
        <v>2453980.6792264311</v>
      </c>
      <c r="G134" s="55">
        <f t="shared" si="66"/>
        <v>2610148.9064991586</v>
      </c>
      <c r="H134" s="380">
        <f t="shared" si="63"/>
        <v>637368.74447100156</v>
      </c>
      <c r="I134" s="399">
        <f t="shared" si="64"/>
        <v>637368.74447100156</v>
      </c>
      <c r="J134" s="54">
        <f t="shared" si="67"/>
        <v>0</v>
      </c>
      <c r="K134" s="54"/>
      <c r="L134" s="129"/>
      <c r="M134" s="54">
        <f t="shared" si="68"/>
        <v>0</v>
      </c>
      <c r="N134" s="129"/>
      <c r="O134" s="54">
        <f t="shared" si="69"/>
        <v>0</v>
      </c>
      <c r="P134" s="54">
        <f t="shared" si="70"/>
        <v>0</v>
      </c>
      <c r="Q134" s="1"/>
    </row>
    <row r="135" spans="2:17" ht="12.5">
      <c r="B135" s="7" t="str">
        <f t="shared" si="40"/>
        <v/>
      </c>
      <c r="C135" s="50">
        <f>IF(D93="","-",+C134+1)</f>
        <v>2045</v>
      </c>
      <c r="D135" s="12">
        <f>IF(F134+SUM(E$99:E134)=D$92,F134,D$92-SUM(E$99:E134))</f>
        <v>2453980.6792264311</v>
      </c>
      <c r="E135" s="378">
        <f>IF(+J96&lt;F134,J96,D135)</f>
        <v>312336.45454545453</v>
      </c>
      <c r="F135" s="55">
        <f t="shared" si="65"/>
        <v>2141644.2246809765</v>
      </c>
      <c r="G135" s="55">
        <f t="shared" si="66"/>
        <v>2297812.4519537035</v>
      </c>
      <c r="H135" s="380">
        <f t="shared" si="63"/>
        <v>598474.62896848877</v>
      </c>
      <c r="I135" s="399">
        <f t="shared" si="64"/>
        <v>598474.62896848877</v>
      </c>
      <c r="J135" s="54">
        <f t="shared" si="67"/>
        <v>0</v>
      </c>
      <c r="K135" s="54"/>
      <c r="L135" s="129"/>
      <c r="M135" s="54">
        <f t="shared" si="68"/>
        <v>0</v>
      </c>
      <c r="N135" s="129"/>
      <c r="O135" s="54">
        <f t="shared" si="69"/>
        <v>0</v>
      </c>
      <c r="P135" s="54">
        <f t="shared" si="70"/>
        <v>0</v>
      </c>
      <c r="Q135" s="1"/>
    </row>
    <row r="136" spans="2:17" ht="12.5">
      <c r="B136" s="7" t="str">
        <f t="shared" si="40"/>
        <v/>
      </c>
      <c r="C136" s="50">
        <f>IF(D93="","-",+C135+1)</f>
        <v>2046</v>
      </c>
      <c r="D136" s="12">
        <f>IF(F135+SUM(E$99:E135)=D$92,F135,D$92-SUM(E$99:E135))</f>
        <v>2141644.2246809765</v>
      </c>
      <c r="E136" s="378">
        <f>IF(+J96&lt;F135,J96,D136)</f>
        <v>312336.45454545453</v>
      </c>
      <c r="F136" s="55">
        <f t="shared" si="65"/>
        <v>1829307.7701355219</v>
      </c>
      <c r="G136" s="55">
        <f t="shared" si="66"/>
        <v>1985475.9974082492</v>
      </c>
      <c r="H136" s="380">
        <f t="shared" si="63"/>
        <v>559580.51346597599</v>
      </c>
      <c r="I136" s="399">
        <f t="shared" si="64"/>
        <v>559580.51346597599</v>
      </c>
      <c r="J136" s="54">
        <f t="shared" si="67"/>
        <v>0</v>
      </c>
      <c r="K136" s="54"/>
      <c r="L136" s="129"/>
      <c r="M136" s="54">
        <f t="shared" si="68"/>
        <v>0</v>
      </c>
      <c r="N136" s="129"/>
      <c r="O136" s="54">
        <f t="shared" si="69"/>
        <v>0</v>
      </c>
      <c r="P136" s="54">
        <f t="shared" si="70"/>
        <v>0</v>
      </c>
      <c r="Q136" s="1"/>
    </row>
    <row r="137" spans="2:17" ht="12.5">
      <c r="B137" s="7" t="str">
        <f t="shared" si="40"/>
        <v/>
      </c>
      <c r="C137" s="50">
        <f>IF(D93="","-",+C136+1)</f>
        <v>2047</v>
      </c>
      <c r="D137" s="12">
        <f>IF(F136+SUM(E$99:E136)=D$92,F136,D$92-SUM(E$99:E136))</f>
        <v>1829307.7701355219</v>
      </c>
      <c r="E137" s="378">
        <f>IF(+J96&lt;F136,J96,D137)</f>
        <v>312336.45454545453</v>
      </c>
      <c r="F137" s="55">
        <f t="shared" si="65"/>
        <v>1516971.3155900673</v>
      </c>
      <c r="G137" s="55">
        <f t="shared" si="66"/>
        <v>1673139.5428627946</v>
      </c>
      <c r="H137" s="380">
        <f t="shared" si="63"/>
        <v>520686.39796346327</v>
      </c>
      <c r="I137" s="399">
        <f t="shared" si="64"/>
        <v>520686.39796346327</v>
      </c>
      <c r="J137" s="54">
        <f t="shared" si="67"/>
        <v>0</v>
      </c>
      <c r="K137" s="54"/>
      <c r="L137" s="129"/>
      <c r="M137" s="54">
        <f t="shared" si="68"/>
        <v>0</v>
      </c>
      <c r="N137" s="129"/>
      <c r="O137" s="54">
        <f t="shared" si="69"/>
        <v>0</v>
      </c>
      <c r="P137" s="54">
        <f t="shared" si="70"/>
        <v>0</v>
      </c>
      <c r="Q137" s="1"/>
    </row>
    <row r="138" spans="2:17" ht="12.5">
      <c r="B138" s="7" t="str">
        <f t="shared" si="40"/>
        <v/>
      </c>
      <c r="C138" s="50">
        <f>IF(D93="","-",+C137+1)</f>
        <v>2048</v>
      </c>
      <c r="D138" s="12">
        <f>IF(F137+SUM(E$99:E137)=D$92,F137,D$92-SUM(E$99:E137))</f>
        <v>1516971.3155900673</v>
      </c>
      <c r="E138" s="378">
        <f>IF(+J96&lt;F137,J96,D138)</f>
        <v>312336.45454545453</v>
      </c>
      <c r="F138" s="55">
        <f t="shared" si="65"/>
        <v>1204634.8610446127</v>
      </c>
      <c r="G138" s="55">
        <f t="shared" si="66"/>
        <v>1360803.08831734</v>
      </c>
      <c r="H138" s="380">
        <f t="shared" si="63"/>
        <v>481792.28246095055</v>
      </c>
      <c r="I138" s="399">
        <f t="shared" si="64"/>
        <v>481792.28246095055</v>
      </c>
      <c r="J138" s="54">
        <f t="shared" si="67"/>
        <v>0</v>
      </c>
      <c r="K138" s="54"/>
      <c r="L138" s="129"/>
      <c r="M138" s="54">
        <f t="shared" si="68"/>
        <v>0</v>
      </c>
      <c r="N138" s="129"/>
      <c r="O138" s="54">
        <f t="shared" si="69"/>
        <v>0</v>
      </c>
      <c r="P138" s="54">
        <f t="shared" si="70"/>
        <v>0</v>
      </c>
      <c r="Q138" s="1"/>
    </row>
    <row r="139" spans="2:17" ht="12.5">
      <c r="B139" s="7" t="str">
        <f t="shared" si="40"/>
        <v/>
      </c>
      <c r="C139" s="50">
        <f>IF(D93="","-",+C138+1)</f>
        <v>2049</v>
      </c>
      <c r="D139" s="12">
        <f>IF(F138+SUM(E$99:E138)=D$92,F138,D$92-SUM(E$99:E138))</f>
        <v>1204634.8610446127</v>
      </c>
      <c r="E139" s="378">
        <f>IF(+J96&lt;F138,J96,D139)</f>
        <v>312336.45454545453</v>
      </c>
      <c r="F139" s="55">
        <f t="shared" si="65"/>
        <v>892298.40649915813</v>
      </c>
      <c r="G139" s="55">
        <f t="shared" si="66"/>
        <v>1048466.6337718854</v>
      </c>
      <c r="H139" s="380">
        <f t="shared" si="63"/>
        <v>442898.16695843777</v>
      </c>
      <c r="I139" s="399">
        <f t="shared" si="64"/>
        <v>442898.16695843777</v>
      </c>
      <c r="J139" s="54">
        <f t="shared" si="67"/>
        <v>0</v>
      </c>
      <c r="K139" s="54"/>
      <c r="L139" s="129"/>
      <c r="M139" s="54">
        <f t="shared" si="68"/>
        <v>0</v>
      </c>
      <c r="N139" s="129"/>
      <c r="O139" s="54">
        <f t="shared" si="69"/>
        <v>0</v>
      </c>
      <c r="P139" s="54">
        <f t="shared" si="70"/>
        <v>0</v>
      </c>
      <c r="Q139" s="1"/>
    </row>
    <row r="140" spans="2:17" ht="12.5">
      <c r="B140" s="7" t="str">
        <f t="shared" si="40"/>
        <v/>
      </c>
      <c r="C140" s="50">
        <f>IF(D93="","-",+C139+1)</f>
        <v>2050</v>
      </c>
      <c r="D140" s="12">
        <f>IF(F139+SUM(E$99:E139)=D$92,F139,D$92-SUM(E$99:E139))</f>
        <v>892298.40649915813</v>
      </c>
      <c r="E140" s="378">
        <f>IF(+J96&lt;F139,J96,D140)</f>
        <v>312336.45454545453</v>
      </c>
      <c r="F140" s="55">
        <f t="shared" si="65"/>
        <v>579961.95195370354</v>
      </c>
      <c r="G140" s="55">
        <f t="shared" si="66"/>
        <v>736130.17922643083</v>
      </c>
      <c r="H140" s="380">
        <f t="shared" si="63"/>
        <v>404004.05145592499</v>
      </c>
      <c r="I140" s="399">
        <f t="shared" si="64"/>
        <v>404004.05145592499</v>
      </c>
      <c r="J140" s="54">
        <f t="shared" si="67"/>
        <v>0</v>
      </c>
      <c r="K140" s="54"/>
      <c r="L140" s="129"/>
      <c r="M140" s="54">
        <f t="shared" si="68"/>
        <v>0</v>
      </c>
      <c r="N140" s="129"/>
      <c r="O140" s="54">
        <f t="shared" si="69"/>
        <v>0</v>
      </c>
      <c r="P140" s="54">
        <f t="shared" si="70"/>
        <v>0</v>
      </c>
      <c r="Q140" s="1"/>
    </row>
    <row r="141" spans="2:17" ht="12.5">
      <c r="B141" s="7" t="str">
        <f t="shared" si="40"/>
        <v/>
      </c>
      <c r="C141" s="50">
        <f>IF(D93="","-",+C140+1)</f>
        <v>2051</v>
      </c>
      <c r="D141" s="12">
        <f>IF(F140+SUM(E$99:E140)=D$92,F140,D$92-SUM(E$99:E140))</f>
        <v>579961.95195370354</v>
      </c>
      <c r="E141" s="378">
        <f>IF(+J96&lt;F140,J96,D141)</f>
        <v>312336.45454545453</v>
      </c>
      <c r="F141" s="55">
        <f t="shared" si="65"/>
        <v>267625.49740824901</v>
      </c>
      <c r="G141" s="55">
        <f t="shared" si="66"/>
        <v>423793.72468097624</v>
      </c>
      <c r="H141" s="380">
        <f t="shared" si="63"/>
        <v>365109.93595341226</v>
      </c>
      <c r="I141" s="399">
        <f t="shared" si="64"/>
        <v>365109.93595341226</v>
      </c>
      <c r="J141" s="54">
        <f t="shared" si="67"/>
        <v>0</v>
      </c>
      <c r="K141" s="54"/>
      <c r="L141" s="129"/>
      <c r="M141" s="54">
        <f t="shared" si="68"/>
        <v>0</v>
      </c>
      <c r="N141" s="129"/>
      <c r="O141" s="54">
        <f t="shared" si="69"/>
        <v>0</v>
      </c>
      <c r="P141" s="54">
        <f t="shared" si="70"/>
        <v>0</v>
      </c>
      <c r="Q141" s="1"/>
    </row>
    <row r="142" spans="2:17" ht="12.5">
      <c r="B142" s="7" t="str">
        <f t="shared" si="40"/>
        <v/>
      </c>
      <c r="C142" s="50">
        <f>IF(D93="","-",+C141+1)</f>
        <v>2052</v>
      </c>
      <c r="D142" s="12">
        <f>IF(F141+SUM(E$99:E141)=D$92,F141,D$92-SUM(E$99:E141))</f>
        <v>267625.49740824901</v>
      </c>
      <c r="E142" s="378">
        <f>IF(+J96&lt;F141,J96,D142)</f>
        <v>267625.49740824901</v>
      </c>
      <c r="F142" s="55">
        <f t="shared" si="65"/>
        <v>0</v>
      </c>
      <c r="G142" s="55">
        <f t="shared" si="66"/>
        <v>133812.7487041245</v>
      </c>
      <c r="H142" s="380">
        <f t="shared" si="63"/>
        <v>284288.70923659968</v>
      </c>
      <c r="I142" s="399">
        <f t="shared" si="64"/>
        <v>284288.70923659968</v>
      </c>
      <c r="J142" s="54">
        <f t="shared" si="67"/>
        <v>0</v>
      </c>
      <c r="K142" s="54"/>
      <c r="L142" s="129"/>
      <c r="M142" s="54">
        <f t="shared" si="68"/>
        <v>0</v>
      </c>
      <c r="N142" s="129"/>
      <c r="O142" s="54">
        <f t="shared" si="69"/>
        <v>0</v>
      </c>
      <c r="P142" s="54">
        <f t="shared" si="70"/>
        <v>0</v>
      </c>
      <c r="Q142" s="1"/>
    </row>
    <row r="143" spans="2:17" ht="12.5">
      <c r="B143" s="7" t="str">
        <f t="shared" si="40"/>
        <v/>
      </c>
      <c r="C143" s="50">
        <f>IF(D93="","-",+C142+1)</f>
        <v>2053</v>
      </c>
      <c r="D143" s="12">
        <f>IF(F142+SUM(E$99:E142)=D$92,F142,D$92-SUM(E$99:E142))</f>
        <v>0</v>
      </c>
      <c r="E143" s="378">
        <f>IF(+J96&lt;F142,J96,D143)</f>
        <v>0</v>
      </c>
      <c r="F143" s="55">
        <f t="shared" si="65"/>
        <v>0</v>
      </c>
      <c r="G143" s="55">
        <f t="shared" si="66"/>
        <v>0</v>
      </c>
      <c r="H143" s="380">
        <f t="shared" si="63"/>
        <v>0</v>
      </c>
      <c r="I143" s="399">
        <f t="shared" si="64"/>
        <v>0</v>
      </c>
      <c r="J143" s="54">
        <f t="shared" si="67"/>
        <v>0</v>
      </c>
      <c r="K143" s="54"/>
      <c r="L143" s="129"/>
      <c r="M143" s="54">
        <f t="shared" si="68"/>
        <v>0</v>
      </c>
      <c r="N143" s="129"/>
      <c r="O143" s="54">
        <f t="shared" si="69"/>
        <v>0</v>
      </c>
      <c r="P143" s="54">
        <f t="shared" si="70"/>
        <v>0</v>
      </c>
      <c r="Q143" s="1"/>
    </row>
    <row r="144" spans="2:17" ht="12.5">
      <c r="B144" s="7" t="str">
        <f t="shared" si="40"/>
        <v/>
      </c>
      <c r="C144" s="50">
        <f>IF(D93="","-",+C143+1)</f>
        <v>2054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65"/>
        <v>0</v>
      </c>
      <c r="G144" s="55">
        <f t="shared" si="66"/>
        <v>0</v>
      </c>
      <c r="H144" s="380">
        <f t="shared" si="63"/>
        <v>0</v>
      </c>
      <c r="I144" s="399">
        <f t="shared" si="64"/>
        <v>0</v>
      </c>
      <c r="J144" s="54">
        <f t="shared" si="67"/>
        <v>0</v>
      </c>
      <c r="K144" s="54"/>
      <c r="L144" s="129"/>
      <c r="M144" s="54">
        <f t="shared" si="68"/>
        <v>0</v>
      </c>
      <c r="N144" s="129"/>
      <c r="O144" s="54">
        <f t="shared" si="69"/>
        <v>0</v>
      </c>
      <c r="P144" s="54">
        <f t="shared" si="70"/>
        <v>0</v>
      </c>
      <c r="Q144" s="1"/>
    </row>
    <row r="145" spans="2:17" ht="12.5">
      <c r="B145" s="7" t="str">
        <f t="shared" si="40"/>
        <v/>
      </c>
      <c r="C145" s="50">
        <f>IF(D93="","-",+C144+1)</f>
        <v>2055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65"/>
        <v>0</v>
      </c>
      <c r="G145" s="55">
        <f t="shared" si="66"/>
        <v>0</v>
      </c>
      <c r="H145" s="380">
        <f t="shared" si="63"/>
        <v>0</v>
      </c>
      <c r="I145" s="399">
        <f t="shared" si="64"/>
        <v>0</v>
      </c>
      <c r="J145" s="54">
        <f t="shared" si="67"/>
        <v>0</v>
      </c>
      <c r="K145" s="54"/>
      <c r="L145" s="129"/>
      <c r="M145" s="54">
        <f t="shared" si="68"/>
        <v>0</v>
      </c>
      <c r="N145" s="129"/>
      <c r="O145" s="54">
        <f t="shared" si="69"/>
        <v>0</v>
      </c>
      <c r="P145" s="54">
        <f t="shared" si="70"/>
        <v>0</v>
      </c>
      <c r="Q145" s="1"/>
    </row>
    <row r="146" spans="2:17" ht="12.5">
      <c r="B146" s="7" t="str">
        <f t="shared" si="40"/>
        <v/>
      </c>
      <c r="C146" s="50">
        <f>IF(D93="","-",+C145+1)</f>
        <v>2056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65"/>
        <v>0</v>
      </c>
      <c r="G146" s="55">
        <f t="shared" si="66"/>
        <v>0</v>
      </c>
      <c r="H146" s="380">
        <f t="shared" si="63"/>
        <v>0</v>
      </c>
      <c r="I146" s="399">
        <f t="shared" si="64"/>
        <v>0</v>
      </c>
      <c r="J146" s="54">
        <f t="shared" si="67"/>
        <v>0</v>
      </c>
      <c r="K146" s="54"/>
      <c r="L146" s="129"/>
      <c r="M146" s="54">
        <f t="shared" si="68"/>
        <v>0</v>
      </c>
      <c r="N146" s="129"/>
      <c r="O146" s="54">
        <f t="shared" si="69"/>
        <v>0</v>
      </c>
      <c r="P146" s="54">
        <f t="shared" si="70"/>
        <v>0</v>
      </c>
      <c r="Q146" s="1"/>
    </row>
    <row r="147" spans="2:17" ht="12.5">
      <c r="B147" s="7" t="str">
        <f t="shared" si="40"/>
        <v/>
      </c>
      <c r="C147" s="50">
        <f>IF(D93="","-",+C146+1)</f>
        <v>2057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65"/>
        <v>0</v>
      </c>
      <c r="G147" s="55">
        <f t="shared" si="66"/>
        <v>0</v>
      </c>
      <c r="H147" s="380">
        <f t="shared" si="63"/>
        <v>0</v>
      </c>
      <c r="I147" s="399">
        <f t="shared" si="64"/>
        <v>0</v>
      </c>
      <c r="J147" s="54">
        <f t="shared" si="67"/>
        <v>0</v>
      </c>
      <c r="K147" s="54"/>
      <c r="L147" s="129"/>
      <c r="M147" s="54">
        <f t="shared" si="68"/>
        <v>0</v>
      </c>
      <c r="N147" s="129"/>
      <c r="O147" s="54">
        <f t="shared" si="69"/>
        <v>0</v>
      </c>
      <c r="P147" s="54">
        <f t="shared" si="70"/>
        <v>0</v>
      </c>
      <c r="Q147" s="1"/>
    </row>
    <row r="148" spans="2:17" ht="12.5">
      <c r="B148" s="7" t="str">
        <f t="shared" si="40"/>
        <v/>
      </c>
      <c r="C148" s="50">
        <f>IF(D93="","-",+C147+1)</f>
        <v>2058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65"/>
        <v>0</v>
      </c>
      <c r="G148" s="55">
        <f t="shared" si="66"/>
        <v>0</v>
      </c>
      <c r="H148" s="380">
        <f t="shared" si="63"/>
        <v>0</v>
      </c>
      <c r="I148" s="399">
        <f t="shared" si="64"/>
        <v>0</v>
      </c>
      <c r="J148" s="54">
        <f t="shared" si="67"/>
        <v>0</v>
      </c>
      <c r="K148" s="54"/>
      <c r="L148" s="129"/>
      <c r="M148" s="54">
        <f t="shared" si="68"/>
        <v>0</v>
      </c>
      <c r="N148" s="129"/>
      <c r="O148" s="54">
        <f t="shared" si="69"/>
        <v>0</v>
      </c>
      <c r="P148" s="54">
        <f t="shared" si="70"/>
        <v>0</v>
      </c>
      <c r="Q148" s="1"/>
    </row>
    <row r="149" spans="2:17" ht="12.5">
      <c r="B149" s="7" t="str">
        <f t="shared" si="40"/>
        <v/>
      </c>
      <c r="C149" s="50">
        <f>IF(D93="","-",+C148+1)</f>
        <v>2059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65"/>
        <v>0</v>
      </c>
      <c r="G149" s="55">
        <f t="shared" si="66"/>
        <v>0</v>
      </c>
      <c r="H149" s="380">
        <f t="shared" si="63"/>
        <v>0</v>
      </c>
      <c r="I149" s="399">
        <f t="shared" si="64"/>
        <v>0</v>
      </c>
      <c r="J149" s="54">
        <f t="shared" si="67"/>
        <v>0</v>
      </c>
      <c r="K149" s="54"/>
      <c r="L149" s="129"/>
      <c r="M149" s="54">
        <f t="shared" si="68"/>
        <v>0</v>
      </c>
      <c r="N149" s="129"/>
      <c r="O149" s="54">
        <f t="shared" si="69"/>
        <v>0</v>
      </c>
      <c r="P149" s="54">
        <f t="shared" si="70"/>
        <v>0</v>
      </c>
      <c r="Q149" s="1"/>
    </row>
    <row r="150" spans="2:17" ht="12.5">
      <c r="B150" s="7" t="str">
        <f t="shared" si="40"/>
        <v/>
      </c>
      <c r="C150" s="50">
        <f>IF(D93="","-",+C149+1)</f>
        <v>2060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65"/>
        <v>0</v>
      </c>
      <c r="G150" s="55">
        <f t="shared" si="66"/>
        <v>0</v>
      </c>
      <c r="H150" s="380">
        <f t="shared" si="63"/>
        <v>0</v>
      </c>
      <c r="I150" s="399">
        <f t="shared" si="64"/>
        <v>0</v>
      </c>
      <c r="J150" s="54">
        <f t="shared" si="67"/>
        <v>0</v>
      </c>
      <c r="K150" s="54"/>
      <c r="L150" s="129"/>
      <c r="M150" s="54">
        <f t="shared" si="68"/>
        <v>0</v>
      </c>
      <c r="N150" s="129"/>
      <c r="O150" s="54">
        <f t="shared" si="69"/>
        <v>0</v>
      </c>
      <c r="P150" s="54">
        <f t="shared" si="70"/>
        <v>0</v>
      </c>
      <c r="Q150" s="1"/>
    </row>
    <row r="151" spans="2:17" ht="12.5">
      <c r="B151" s="7" t="str">
        <f t="shared" si="40"/>
        <v/>
      </c>
      <c r="C151" s="50">
        <f>IF(D93="","-",+C150+1)</f>
        <v>2061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65"/>
        <v>0</v>
      </c>
      <c r="G151" s="55">
        <f t="shared" si="66"/>
        <v>0</v>
      </c>
      <c r="H151" s="380">
        <f t="shared" si="63"/>
        <v>0</v>
      </c>
      <c r="I151" s="399">
        <f t="shared" si="64"/>
        <v>0</v>
      </c>
      <c r="J151" s="54">
        <f t="shared" si="67"/>
        <v>0</v>
      </c>
      <c r="K151" s="54"/>
      <c r="L151" s="129"/>
      <c r="M151" s="54">
        <f t="shared" si="68"/>
        <v>0</v>
      </c>
      <c r="N151" s="129"/>
      <c r="O151" s="54">
        <f t="shared" si="69"/>
        <v>0</v>
      </c>
      <c r="P151" s="54">
        <f t="shared" si="70"/>
        <v>0</v>
      </c>
      <c r="Q151" s="1"/>
    </row>
    <row r="152" spans="2:17" ht="12.5">
      <c r="B152" s="7" t="str">
        <f t="shared" si="40"/>
        <v/>
      </c>
      <c r="C152" s="50">
        <f>IF(D93="","-",+C151+1)</f>
        <v>2062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65"/>
        <v>0</v>
      </c>
      <c r="G152" s="55">
        <f t="shared" si="66"/>
        <v>0</v>
      </c>
      <c r="H152" s="380">
        <f t="shared" si="63"/>
        <v>0</v>
      </c>
      <c r="I152" s="399">
        <f t="shared" si="64"/>
        <v>0</v>
      </c>
      <c r="J152" s="54">
        <f t="shared" si="67"/>
        <v>0</v>
      </c>
      <c r="K152" s="54"/>
      <c r="L152" s="129"/>
      <c r="M152" s="54">
        <f t="shared" si="68"/>
        <v>0</v>
      </c>
      <c r="N152" s="129"/>
      <c r="O152" s="54">
        <f t="shared" si="69"/>
        <v>0</v>
      </c>
      <c r="P152" s="54">
        <f t="shared" si="70"/>
        <v>0</v>
      </c>
      <c r="Q152" s="1"/>
    </row>
    <row r="153" spans="2:17" ht="12.5">
      <c r="B153" s="7" t="str">
        <f t="shared" si="40"/>
        <v/>
      </c>
      <c r="C153" s="50">
        <f>IF(D93="","-",+C152+1)</f>
        <v>2063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65"/>
        <v>0</v>
      </c>
      <c r="G153" s="55">
        <f t="shared" si="66"/>
        <v>0</v>
      </c>
      <c r="H153" s="380">
        <f t="shared" si="63"/>
        <v>0</v>
      </c>
      <c r="I153" s="399">
        <f t="shared" si="64"/>
        <v>0</v>
      </c>
      <c r="J153" s="54">
        <f t="shared" si="67"/>
        <v>0</v>
      </c>
      <c r="K153" s="54"/>
      <c r="L153" s="129"/>
      <c r="M153" s="54">
        <f t="shared" si="68"/>
        <v>0</v>
      </c>
      <c r="N153" s="129"/>
      <c r="O153" s="54">
        <f t="shared" si="69"/>
        <v>0</v>
      </c>
      <c r="P153" s="54">
        <f t="shared" si="70"/>
        <v>0</v>
      </c>
      <c r="Q153" s="1"/>
    </row>
    <row r="154" spans="2:17" ht="13" thickBot="1">
      <c r="B154" s="7" t="str">
        <f t="shared" si="40"/>
        <v/>
      </c>
      <c r="C154" s="59">
        <f>IF(D93="","-",+C153+1)</f>
        <v>2064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65"/>
        <v>0</v>
      </c>
      <c r="G154" s="60">
        <f t="shared" si="66"/>
        <v>0</v>
      </c>
      <c r="H154" s="382">
        <f t="shared" si="63"/>
        <v>0</v>
      </c>
      <c r="I154" s="400">
        <f t="shared" si="64"/>
        <v>0</v>
      </c>
      <c r="J154" s="64">
        <f t="shared" si="67"/>
        <v>0</v>
      </c>
      <c r="K154" s="54"/>
      <c r="L154" s="130"/>
      <c r="M154" s="64">
        <f t="shared" si="68"/>
        <v>0</v>
      </c>
      <c r="N154" s="130"/>
      <c r="O154" s="64">
        <f t="shared" si="69"/>
        <v>0</v>
      </c>
      <c r="P154" s="64">
        <f t="shared" si="70"/>
        <v>0</v>
      </c>
      <c r="Q154" s="1"/>
    </row>
    <row r="155" spans="2:17" ht="12.5">
      <c r="C155" s="12" t="s">
        <v>78</v>
      </c>
      <c r="D155" s="293"/>
      <c r="E155" s="293">
        <f>SUM(E99:E154)</f>
        <v>13742804.000000006</v>
      </c>
      <c r="F155" s="293"/>
      <c r="G155" s="293"/>
      <c r="H155" s="293">
        <f>SUM(H99:H154)</f>
        <v>51277558.564670615</v>
      </c>
      <c r="I155" s="293">
        <f>SUM(I99:I154)</f>
        <v>51277558.564670615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 ht="12.5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 ht="12.5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51" priority="1" stopIfTrue="1" operator="equal">
      <formula>$I$10</formula>
    </cfRule>
  </conditionalFormatting>
  <conditionalFormatting sqref="C99:C154">
    <cfRule type="cellIs" dxfId="15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106"/>
  <dimension ref="A1:P162"/>
  <sheetViews>
    <sheetView topLeftCell="A74" zoomScaleNormal="100" zoomScaleSheetLayoutView="80" workbookViewId="0">
      <selection activeCell="D25" sqref="D25:H25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57 of 77</v>
      </c>
    </row>
    <row r="2" spans="1:16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147171.82578238277</v>
      </c>
      <c r="P5" s="1"/>
    </row>
    <row r="6" spans="1:16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147171.82578238277</v>
      </c>
      <c r="O6" s="1"/>
      <c r="P6" s="1"/>
    </row>
    <row r="7" spans="1:16" ht="13.5" thickBot="1">
      <c r="C7" s="25" t="s">
        <v>48</v>
      </c>
      <c r="D7" s="90" t="s">
        <v>363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364</v>
      </c>
      <c r="E9" s="436" t="s">
        <v>405</v>
      </c>
      <c r="F9" s="31"/>
      <c r="G9" s="31"/>
      <c r="H9" s="31"/>
      <c r="I9" s="32"/>
      <c r="J9" s="33"/>
      <c r="P9" s="1"/>
    </row>
    <row r="10" spans="1:16" ht="13">
      <c r="C10" s="34" t="s">
        <v>51</v>
      </c>
      <c r="D10" s="363">
        <v>1231360.51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6" ht="12.5">
      <c r="C11" s="34" t="s">
        <v>54</v>
      </c>
      <c r="D11" s="37">
        <v>2016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3">
        <v>4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27985.466136363637</v>
      </c>
      <c r="J14" s="293"/>
      <c r="K14" s="293"/>
      <c r="L14" s="293"/>
      <c r="M14" s="293"/>
      <c r="N14" s="293"/>
      <c r="O14" s="1"/>
      <c r="P14" s="1"/>
    </row>
    <row r="15" spans="1:16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3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2016</v>
      </c>
      <c r="D17" s="431">
        <v>1140472</v>
      </c>
      <c r="E17" s="430">
        <v>13577.047619047618</v>
      </c>
      <c r="F17" s="431">
        <v>1126894.9523809524</v>
      </c>
      <c r="G17" s="430">
        <v>160163.51487370714</v>
      </c>
      <c r="H17" s="438">
        <v>160163.51487370714</v>
      </c>
      <c r="I17" s="52">
        <f t="shared" ref="I17:I72" si="0">H17-G17</f>
        <v>0</v>
      </c>
      <c r="J17" s="52"/>
      <c r="K17" s="112">
        <f t="shared" ref="K17:K22" si="1">+G17</f>
        <v>160163.51487370714</v>
      </c>
      <c r="L17" s="53">
        <f t="shared" ref="L17:L72" si="2">IF(K17&lt;&gt;0,+G17-K17,0)</f>
        <v>0</v>
      </c>
      <c r="M17" s="112">
        <f t="shared" ref="M17:M22" si="3">+H17</f>
        <v>160163.51487370714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2017</v>
      </c>
      <c r="D18" s="147">
        <v>1217280.9523809524</v>
      </c>
      <c r="E18" s="451">
        <v>28624.60465116279</v>
      </c>
      <c r="F18" s="147">
        <v>1188656.3477297896</v>
      </c>
      <c r="G18" s="446">
        <v>177663.43856764107</v>
      </c>
      <c r="H18" s="452">
        <v>177663.43856764107</v>
      </c>
      <c r="I18" s="52">
        <f t="shared" si="0"/>
        <v>0</v>
      </c>
      <c r="J18" s="52"/>
      <c r="K18" s="113">
        <f t="shared" si="1"/>
        <v>177663.43856764107</v>
      </c>
      <c r="L18" s="54">
        <f t="shared" ref="L18:L23" si="6">IF(K18&lt;&gt;0,+G18-K18,0)</f>
        <v>0</v>
      </c>
      <c r="M18" s="113">
        <f t="shared" si="3"/>
        <v>177663.43856764107</v>
      </c>
      <c r="N18" s="54">
        <f>IF(M18&lt;&gt;0,+H18-M18,0)</f>
        <v>0</v>
      </c>
      <c r="O18" s="54">
        <f>+N18-L18</f>
        <v>0</v>
      </c>
      <c r="P18" s="1"/>
    </row>
    <row r="19" spans="2:16" ht="12.5">
      <c r="B19" s="7" t="str">
        <f>IF(D19=F18,"","IU")</f>
        <v/>
      </c>
      <c r="C19" s="50">
        <f>IF(D11="","-",+C18+1)</f>
        <v>2018</v>
      </c>
      <c r="D19" s="147">
        <v>1188656.3477297896</v>
      </c>
      <c r="E19" s="451">
        <v>30020.926829268294</v>
      </c>
      <c r="F19" s="147">
        <v>1158635.4209005213</v>
      </c>
      <c r="G19" s="446">
        <v>179184.3929571631</v>
      </c>
      <c r="H19" s="452">
        <v>179184.3929571631</v>
      </c>
      <c r="I19" s="52">
        <f t="shared" si="0"/>
        <v>0</v>
      </c>
      <c r="J19" s="52"/>
      <c r="K19" s="113">
        <f t="shared" si="1"/>
        <v>179184.3929571631</v>
      </c>
      <c r="L19" s="54">
        <f t="shared" si="6"/>
        <v>0</v>
      </c>
      <c r="M19" s="113">
        <f t="shared" si="3"/>
        <v>179184.3929571631</v>
      </c>
      <c r="N19" s="54">
        <f>IF(M19&lt;&gt;0,+H19-M19,0)</f>
        <v>0</v>
      </c>
      <c r="O19" s="54">
        <f>+N19-L19</f>
        <v>0</v>
      </c>
      <c r="P19" s="1"/>
    </row>
    <row r="20" spans="2:16" ht="12.5">
      <c r="B20" s="7" t="str">
        <f t="shared" ref="B20:B72" si="7">IF(D20=F19,"","IU")</f>
        <v/>
      </c>
      <c r="C20" s="50">
        <f>IF(D11="","-",+C19+1)</f>
        <v>2019</v>
      </c>
      <c r="D20" s="147">
        <v>1158635.4209005213</v>
      </c>
      <c r="E20" s="451">
        <v>30020.926829268294</v>
      </c>
      <c r="F20" s="147">
        <v>1128614.4940712531</v>
      </c>
      <c r="G20" s="446">
        <v>175368.91031280605</v>
      </c>
      <c r="H20" s="452">
        <v>175368.91031280605</v>
      </c>
      <c r="I20" s="52">
        <f t="shared" si="0"/>
        <v>0</v>
      </c>
      <c r="J20" s="52"/>
      <c r="K20" s="113">
        <f t="shared" si="1"/>
        <v>175368.91031280605</v>
      </c>
      <c r="L20" s="54">
        <f t="shared" si="6"/>
        <v>0</v>
      </c>
      <c r="M20" s="113">
        <f t="shared" si="3"/>
        <v>175368.91031280605</v>
      </c>
      <c r="N20" s="54">
        <f t="shared" si="4"/>
        <v>0</v>
      </c>
      <c r="O20" s="54">
        <f t="shared" si="5"/>
        <v>0</v>
      </c>
      <c r="P20" s="1"/>
    </row>
    <row r="21" spans="2:16" ht="12.5">
      <c r="B21" s="7" t="str">
        <f t="shared" si="7"/>
        <v/>
      </c>
      <c r="C21" s="50">
        <f>IF(D11="","-",+C20+1)</f>
        <v>2020</v>
      </c>
      <c r="D21" s="147">
        <v>1128614.4940712531</v>
      </c>
      <c r="E21" s="451">
        <v>30020.926829268294</v>
      </c>
      <c r="F21" s="147">
        <v>1098593.5672419849</v>
      </c>
      <c r="G21" s="446">
        <v>143982.10231573079</v>
      </c>
      <c r="H21" s="452">
        <v>143982.10231573079</v>
      </c>
      <c r="I21" s="52">
        <f t="shared" si="0"/>
        <v>0</v>
      </c>
      <c r="J21" s="52"/>
      <c r="K21" s="113">
        <f t="shared" si="1"/>
        <v>143982.10231573079</v>
      </c>
      <c r="L21" s="54">
        <f t="shared" si="6"/>
        <v>0</v>
      </c>
      <c r="M21" s="113">
        <f t="shared" si="3"/>
        <v>143982.10231573079</v>
      </c>
      <c r="N21" s="54">
        <f t="shared" si="4"/>
        <v>0</v>
      </c>
      <c r="O21" s="54">
        <f t="shared" si="5"/>
        <v>0</v>
      </c>
      <c r="P21" s="1"/>
    </row>
    <row r="22" spans="2:16" ht="12.5">
      <c r="B22" s="7" t="str">
        <f t="shared" si="7"/>
        <v>IU</v>
      </c>
      <c r="C22" s="50">
        <f>IF(D11="","-",+C21+1)</f>
        <v>2021</v>
      </c>
      <c r="D22" s="147">
        <v>1100492.8894200902</v>
      </c>
      <c r="E22" s="451">
        <v>29318.119047619046</v>
      </c>
      <c r="F22" s="147">
        <v>1071174.7703724713</v>
      </c>
      <c r="G22" s="446">
        <v>144421.44017766218</v>
      </c>
      <c r="H22" s="452">
        <v>144421.44017766218</v>
      </c>
      <c r="I22" s="52">
        <f t="shared" si="0"/>
        <v>0</v>
      </c>
      <c r="J22" s="52"/>
      <c r="K22" s="113">
        <f t="shared" si="1"/>
        <v>144421.44017766218</v>
      </c>
      <c r="L22" s="54">
        <f t="shared" si="6"/>
        <v>0</v>
      </c>
      <c r="M22" s="113">
        <f t="shared" si="3"/>
        <v>144421.44017766218</v>
      </c>
      <c r="N22" s="54">
        <f t="shared" si="4"/>
        <v>0</v>
      </c>
      <c r="O22" s="54">
        <f t="shared" si="5"/>
        <v>0</v>
      </c>
      <c r="P22" s="1"/>
    </row>
    <row r="23" spans="2:16" ht="12.5">
      <c r="B23" s="7" t="str">
        <f t="shared" si="7"/>
        <v>IU</v>
      </c>
      <c r="C23" s="50">
        <f>IF(D11="","-",+C22+1)</f>
        <v>2022</v>
      </c>
      <c r="D23" s="147">
        <v>1069778.4481943657</v>
      </c>
      <c r="E23" s="451">
        <v>29318.119047619046</v>
      </c>
      <c r="F23" s="147">
        <v>1040460.3291467467</v>
      </c>
      <c r="G23" s="446">
        <v>147960.06581049709</v>
      </c>
      <c r="H23" s="452">
        <v>147960.06581049709</v>
      </c>
      <c r="I23" s="52">
        <f t="shared" si="0"/>
        <v>0</v>
      </c>
      <c r="J23" s="52"/>
      <c r="K23" s="113">
        <f t="shared" ref="K23" si="8">+G23</f>
        <v>147960.06581049709</v>
      </c>
      <c r="L23" s="54">
        <f t="shared" si="6"/>
        <v>0</v>
      </c>
      <c r="M23" s="113">
        <f t="shared" ref="M23" si="9">+H23</f>
        <v>147960.06581049709</v>
      </c>
      <c r="N23" s="54">
        <f t="shared" si="4"/>
        <v>0</v>
      </c>
      <c r="O23" s="54">
        <f t="shared" si="5"/>
        <v>0</v>
      </c>
      <c r="P23" s="1"/>
    </row>
    <row r="24" spans="2:16" ht="12.5">
      <c r="B24" s="7" t="str">
        <f t="shared" si="7"/>
        <v>IU</v>
      </c>
      <c r="C24" s="50">
        <f>IF(D11="","-",+C23+1)</f>
        <v>2023</v>
      </c>
      <c r="D24" s="147">
        <v>1040459.8391467466</v>
      </c>
      <c r="E24" s="451">
        <v>29318.10738095238</v>
      </c>
      <c r="F24" s="147">
        <v>1011141.7317657942</v>
      </c>
      <c r="G24" s="446">
        <v>158904.22571462151</v>
      </c>
      <c r="H24" s="452">
        <v>158904.22571462151</v>
      </c>
      <c r="I24" s="52">
        <f t="shared" si="0"/>
        <v>0</v>
      </c>
      <c r="J24" s="52"/>
      <c r="K24" s="113">
        <f t="shared" ref="K24" si="10">+G24</f>
        <v>158904.22571462151</v>
      </c>
      <c r="L24" s="54">
        <f t="shared" ref="L24" si="11">IF(K24&lt;&gt;0,+G24-K24,0)</f>
        <v>0</v>
      </c>
      <c r="M24" s="113">
        <f t="shared" ref="M24" si="12">+H24</f>
        <v>158904.22571462151</v>
      </c>
      <c r="N24" s="54">
        <f t="shared" si="4"/>
        <v>0</v>
      </c>
      <c r="O24" s="54">
        <f t="shared" si="5"/>
        <v>0</v>
      </c>
      <c r="P24" s="1"/>
    </row>
    <row r="25" spans="2:16" ht="12.5">
      <c r="B25" s="7" t="str">
        <f t="shared" si="7"/>
        <v/>
      </c>
      <c r="C25" s="50">
        <f>IF(D11="","-",+C24+1)</f>
        <v>2024</v>
      </c>
      <c r="D25" s="147">
        <v>1011141.7317657942</v>
      </c>
      <c r="E25" s="451">
        <v>27985.466136363637</v>
      </c>
      <c r="F25" s="147">
        <v>983156.26562943053</v>
      </c>
      <c r="G25" s="446">
        <v>147171.82578238277</v>
      </c>
      <c r="H25" s="452">
        <v>147171.82578238277</v>
      </c>
      <c r="I25" s="52">
        <f t="shared" si="0"/>
        <v>0</v>
      </c>
      <c r="J25" s="52"/>
      <c r="K25" s="113">
        <f t="shared" ref="K25" si="13">+G25</f>
        <v>147171.82578238277</v>
      </c>
      <c r="L25" s="54">
        <f t="shared" ref="L25" si="14">IF(K25&lt;&gt;0,+G25-K25,0)</f>
        <v>0</v>
      </c>
      <c r="M25" s="113">
        <f t="shared" ref="M25" si="15">+H25</f>
        <v>147171.82578238277</v>
      </c>
      <c r="N25" s="54">
        <f t="shared" ref="N25" si="16">IF(M25&lt;&gt;0,+H25-M25,0)</f>
        <v>0</v>
      </c>
      <c r="O25" s="54">
        <f t="shared" ref="O25" si="17">+N25-L25</f>
        <v>0</v>
      </c>
      <c r="P25" s="1"/>
    </row>
    <row r="26" spans="2:16" ht="12.5">
      <c r="B26" s="7" t="str">
        <f t="shared" si="7"/>
        <v/>
      </c>
      <c r="C26" s="50">
        <f>IF(D11="","-",+C25+1)</f>
        <v>2025</v>
      </c>
      <c r="D26" s="55">
        <f>IF(F25+SUM(E$17:E25)=D$10,F25,D$10-SUM(E$17:E25))</f>
        <v>983156.26562943053</v>
      </c>
      <c r="E26" s="378">
        <f>IF(+I14&lt;F25,I14,D26)</f>
        <v>27985.466136363637</v>
      </c>
      <c r="F26" s="55">
        <f t="shared" ref="F26:F72" si="18">+D26-E26</f>
        <v>955170.79949306685</v>
      </c>
      <c r="G26" s="379">
        <f t="shared" ref="G26:G49" si="19">+I$12*((D26+F26)/2)+E26</f>
        <v>143826.80328710206</v>
      </c>
      <c r="H26" s="364">
        <f t="shared" ref="H26:H49" si="20">+I$13*((D26+F26)/2)+E26</f>
        <v>143826.80328710206</v>
      </c>
      <c r="I26" s="52">
        <f t="shared" si="0"/>
        <v>0</v>
      </c>
      <c r="J26" s="52"/>
      <c r="K26" s="129"/>
      <c r="L26" s="54">
        <f t="shared" si="2"/>
        <v>0</v>
      </c>
      <c r="M26" s="129"/>
      <c r="N26" s="54">
        <f t="shared" si="4"/>
        <v>0</v>
      </c>
      <c r="O26" s="54">
        <f t="shared" si="5"/>
        <v>0</v>
      </c>
      <c r="P26" s="1"/>
    </row>
    <row r="27" spans="2:16" ht="12.5">
      <c r="B27" s="7" t="str">
        <f t="shared" si="7"/>
        <v/>
      </c>
      <c r="C27" s="50">
        <f>IF(D11="","-",+C26+1)</f>
        <v>2026</v>
      </c>
      <c r="D27" s="55">
        <f>IF(F26+SUM(E$17:E26)=D$10,F26,D$10-SUM(E$17:E26))</f>
        <v>955170.79949306685</v>
      </c>
      <c r="E27" s="378">
        <f>IF(+I14&lt;F26,I14,D27)</f>
        <v>27985.466136363637</v>
      </c>
      <c r="F27" s="55">
        <f t="shared" si="18"/>
        <v>927185.33335670317</v>
      </c>
      <c r="G27" s="379">
        <f t="shared" si="19"/>
        <v>140481.78079182139</v>
      </c>
      <c r="H27" s="364">
        <f t="shared" si="20"/>
        <v>140481.78079182139</v>
      </c>
      <c r="I27" s="52">
        <f t="shared" si="0"/>
        <v>0</v>
      </c>
      <c r="J27" s="52"/>
      <c r="K27" s="129"/>
      <c r="L27" s="54">
        <f t="shared" si="2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7"/>
        <v/>
      </c>
      <c r="C28" s="50">
        <f>IF(D11="","-",+C27+1)</f>
        <v>2027</v>
      </c>
      <c r="D28" s="55">
        <f>IF(F27+SUM(E$17:E27)=D$10,F27,D$10-SUM(E$17:E27))</f>
        <v>927185.33335670317</v>
      </c>
      <c r="E28" s="378">
        <f>IF(+I14&lt;F27,I14,D28)</f>
        <v>27985.466136363637</v>
      </c>
      <c r="F28" s="55">
        <f t="shared" si="18"/>
        <v>899199.86722033948</v>
      </c>
      <c r="G28" s="379">
        <f t="shared" si="19"/>
        <v>137136.75829654068</v>
      </c>
      <c r="H28" s="364">
        <f t="shared" si="20"/>
        <v>137136.75829654068</v>
      </c>
      <c r="I28" s="52">
        <f t="shared" si="0"/>
        <v>0</v>
      </c>
      <c r="J28" s="52"/>
      <c r="K28" s="129"/>
      <c r="L28" s="54">
        <f t="shared" si="2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7"/>
        <v/>
      </c>
      <c r="C29" s="50">
        <f>IF(D11="","-",+C28+1)</f>
        <v>2028</v>
      </c>
      <c r="D29" s="55">
        <f>IF(F28+SUM(E$17:E28)=D$10,F28,D$10-SUM(E$17:E28))</f>
        <v>899199.86722033948</v>
      </c>
      <c r="E29" s="378">
        <f>IF(+I14&lt;F28,I14,D29)</f>
        <v>27985.466136363637</v>
      </c>
      <c r="F29" s="55">
        <f t="shared" si="18"/>
        <v>871214.4010839758</v>
      </c>
      <c r="G29" s="379">
        <f t="shared" si="19"/>
        <v>133791.73580126002</v>
      </c>
      <c r="H29" s="364">
        <f t="shared" si="20"/>
        <v>133791.73580126002</v>
      </c>
      <c r="I29" s="52">
        <f t="shared" si="0"/>
        <v>0</v>
      </c>
      <c r="J29" s="52"/>
      <c r="K29" s="129"/>
      <c r="L29" s="54">
        <f t="shared" si="2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7"/>
        <v/>
      </c>
      <c r="C30" s="50">
        <f>IF(D11="","-",+C29+1)</f>
        <v>2029</v>
      </c>
      <c r="D30" s="55">
        <f>IF(F29+SUM(E$17:E29)=D$10,F29,D$10-SUM(E$17:E29))</f>
        <v>871214.4010839758</v>
      </c>
      <c r="E30" s="378">
        <f>IF(+I14&lt;F29,I14,D30)</f>
        <v>27985.466136363637</v>
      </c>
      <c r="F30" s="55">
        <f t="shared" si="18"/>
        <v>843228.93494761211</v>
      </c>
      <c r="G30" s="379">
        <f t="shared" si="19"/>
        <v>130446.7133059793</v>
      </c>
      <c r="H30" s="364">
        <f t="shared" si="20"/>
        <v>130446.7133059793</v>
      </c>
      <c r="I30" s="52">
        <f t="shared" si="0"/>
        <v>0</v>
      </c>
      <c r="J30" s="52"/>
      <c r="K30" s="129"/>
      <c r="L30" s="54">
        <f t="shared" si="2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7"/>
        <v/>
      </c>
      <c r="C31" s="50">
        <f>IF(D11="","-",+C30+1)</f>
        <v>2030</v>
      </c>
      <c r="D31" s="55">
        <f>IF(F30+SUM(E$17:E30)=D$10,F30,D$10-SUM(E$17:E30))</f>
        <v>843228.93494761211</v>
      </c>
      <c r="E31" s="378">
        <f>IF(+I14&lt;F30,I14,D31)</f>
        <v>27985.466136363637</v>
      </c>
      <c r="F31" s="55">
        <f t="shared" si="18"/>
        <v>815243.46881124843</v>
      </c>
      <c r="G31" s="379">
        <f t="shared" si="19"/>
        <v>127101.69081069862</v>
      </c>
      <c r="H31" s="364">
        <f t="shared" si="20"/>
        <v>127101.69081069862</v>
      </c>
      <c r="I31" s="52">
        <f t="shared" si="0"/>
        <v>0</v>
      </c>
      <c r="J31" s="52"/>
      <c r="K31" s="129"/>
      <c r="L31" s="54">
        <f t="shared" si="2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7"/>
        <v/>
      </c>
      <c r="C32" s="50">
        <f>IF(D11="","-",+C31+1)</f>
        <v>2031</v>
      </c>
      <c r="D32" s="55">
        <f>IF(F31+SUM(E$17:E31)=D$10,F31,D$10-SUM(E$17:E31))</f>
        <v>815243.46881124843</v>
      </c>
      <c r="E32" s="378">
        <f>IF(+I14&lt;F31,I14,D32)</f>
        <v>27985.466136363637</v>
      </c>
      <c r="F32" s="55">
        <f t="shared" si="18"/>
        <v>787258.00267488474</v>
      </c>
      <c r="G32" s="379">
        <f t="shared" si="19"/>
        <v>123756.66831541792</v>
      </c>
      <c r="H32" s="364">
        <f t="shared" si="20"/>
        <v>123756.66831541792</v>
      </c>
      <c r="I32" s="52">
        <f t="shared" si="0"/>
        <v>0</v>
      </c>
      <c r="J32" s="52"/>
      <c r="K32" s="129"/>
      <c r="L32" s="54">
        <f t="shared" si="2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7"/>
        <v/>
      </c>
      <c r="C33" s="50">
        <f>IF(D11="","-",+C32+1)</f>
        <v>2032</v>
      </c>
      <c r="D33" s="55">
        <f>IF(F32+SUM(E$17:E32)=D$10,F32,D$10-SUM(E$17:E32))</f>
        <v>787258.00267488474</v>
      </c>
      <c r="E33" s="378">
        <f>IF(+I14&lt;F32,I14,D33)</f>
        <v>27985.466136363637</v>
      </c>
      <c r="F33" s="55">
        <f t="shared" si="18"/>
        <v>759272.53653852106</v>
      </c>
      <c r="G33" s="379">
        <f t="shared" si="19"/>
        <v>120411.64582013724</v>
      </c>
      <c r="H33" s="364">
        <f t="shared" si="20"/>
        <v>120411.64582013724</v>
      </c>
      <c r="I33" s="52">
        <f t="shared" si="0"/>
        <v>0</v>
      </c>
      <c r="J33" s="52"/>
      <c r="K33" s="129"/>
      <c r="L33" s="54">
        <f t="shared" si="2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7"/>
        <v/>
      </c>
      <c r="C34" s="50">
        <f>IF(D11="","-",+C33+1)</f>
        <v>2033</v>
      </c>
      <c r="D34" s="55">
        <f>IF(F33+SUM(E$17:E33)=D$10,F33,D$10-SUM(E$17:E33))</f>
        <v>759272.53653852106</v>
      </c>
      <c r="E34" s="378">
        <f>IF(+I14&lt;F33,I14,D34)</f>
        <v>27985.466136363637</v>
      </c>
      <c r="F34" s="55">
        <f t="shared" si="18"/>
        <v>731287.07040215738</v>
      </c>
      <c r="G34" s="379">
        <f t="shared" si="19"/>
        <v>117066.62332485653</v>
      </c>
      <c r="H34" s="364">
        <f t="shared" si="20"/>
        <v>117066.62332485653</v>
      </c>
      <c r="I34" s="52">
        <f t="shared" si="0"/>
        <v>0</v>
      </c>
      <c r="J34" s="52"/>
      <c r="K34" s="129"/>
      <c r="L34" s="54">
        <f t="shared" si="2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7"/>
        <v/>
      </c>
      <c r="C35" s="50">
        <f>IF(D11="","-",+C34+1)</f>
        <v>2034</v>
      </c>
      <c r="D35" s="55">
        <f>IF(F34+SUM(E$17:E34)=D$10,F34,D$10-SUM(E$17:E34))</f>
        <v>731287.07040215738</v>
      </c>
      <c r="E35" s="378">
        <f>IF(+I14&lt;F34,I14,D35)</f>
        <v>27985.466136363637</v>
      </c>
      <c r="F35" s="55">
        <f t="shared" si="18"/>
        <v>703301.60426579369</v>
      </c>
      <c r="G35" s="379">
        <f t="shared" si="19"/>
        <v>113721.60082957585</v>
      </c>
      <c r="H35" s="364">
        <f t="shared" si="20"/>
        <v>113721.60082957585</v>
      </c>
      <c r="I35" s="52">
        <f t="shared" si="0"/>
        <v>0</v>
      </c>
      <c r="J35" s="52"/>
      <c r="K35" s="129"/>
      <c r="L35" s="54">
        <f t="shared" si="2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7"/>
        <v/>
      </c>
      <c r="C36" s="50">
        <f>IF(D11="","-",+C35+1)</f>
        <v>2035</v>
      </c>
      <c r="D36" s="55">
        <f>IF(F35+SUM(E$17:E35)=D$10,F35,D$10-SUM(E$17:E35))</f>
        <v>703301.60426579369</v>
      </c>
      <c r="E36" s="378">
        <f>IF(+I14&lt;F35,I14,D36)</f>
        <v>27985.466136363637</v>
      </c>
      <c r="F36" s="55">
        <f t="shared" si="18"/>
        <v>675316.13812943001</v>
      </c>
      <c r="G36" s="379">
        <f t="shared" si="19"/>
        <v>110376.57833429515</v>
      </c>
      <c r="H36" s="364">
        <f t="shared" si="20"/>
        <v>110376.57833429515</v>
      </c>
      <c r="I36" s="52">
        <f t="shared" si="0"/>
        <v>0</v>
      </c>
      <c r="J36" s="52"/>
      <c r="K36" s="129"/>
      <c r="L36" s="54">
        <f t="shared" si="2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7"/>
        <v/>
      </c>
      <c r="C37" s="50">
        <f>IF(D11="","-",+C36+1)</f>
        <v>2036</v>
      </c>
      <c r="D37" s="55">
        <f>IF(F36+SUM(E$17:E36)=D$10,F36,D$10-SUM(E$17:E36))</f>
        <v>675316.13812943001</v>
      </c>
      <c r="E37" s="378">
        <f>IF(+I14&lt;F36,I14,D37)</f>
        <v>27985.466136363637</v>
      </c>
      <c r="F37" s="55">
        <f t="shared" si="18"/>
        <v>647330.67199306632</v>
      </c>
      <c r="G37" s="379">
        <f t="shared" si="19"/>
        <v>107031.55583901447</v>
      </c>
      <c r="H37" s="364">
        <f t="shared" si="20"/>
        <v>107031.55583901447</v>
      </c>
      <c r="I37" s="52">
        <f t="shared" si="0"/>
        <v>0</v>
      </c>
      <c r="J37" s="52"/>
      <c r="K37" s="129"/>
      <c r="L37" s="54">
        <f t="shared" si="2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7"/>
        <v/>
      </c>
      <c r="C38" s="50">
        <f>IF(D11="","-",+C37+1)</f>
        <v>2037</v>
      </c>
      <c r="D38" s="55">
        <f>IF(F37+SUM(E$17:E37)=D$10,F37,D$10-SUM(E$17:E37))</f>
        <v>647330.67199306632</v>
      </c>
      <c r="E38" s="378">
        <f>IF(+I14&lt;F37,I14,D38)</f>
        <v>27985.466136363637</v>
      </c>
      <c r="F38" s="55">
        <f t="shared" si="18"/>
        <v>619345.20585670264</v>
      </c>
      <c r="G38" s="379">
        <f t="shared" si="19"/>
        <v>103686.53334373377</v>
      </c>
      <c r="H38" s="364">
        <f t="shared" si="20"/>
        <v>103686.53334373377</v>
      </c>
      <c r="I38" s="52">
        <f t="shared" si="0"/>
        <v>0</v>
      </c>
      <c r="J38" s="52"/>
      <c r="K38" s="129"/>
      <c r="L38" s="54">
        <f t="shared" si="2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7"/>
        <v/>
      </c>
      <c r="C39" s="50">
        <f>IF(D11="","-",+C38+1)</f>
        <v>2038</v>
      </c>
      <c r="D39" s="55">
        <f>IF(F38+SUM(E$17:E38)=D$10,F38,D$10-SUM(E$17:E38))</f>
        <v>619345.20585670264</v>
      </c>
      <c r="E39" s="378">
        <f>IF(+I14&lt;F38,I14,D39)</f>
        <v>27985.466136363637</v>
      </c>
      <c r="F39" s="55">
        <f t="shared" si="18"/>
        <v>591359.73972033896</v>
      </c>
      <c r="G39" s="379">
        <f t="shared" si="19"/>
        <v>100341.51084845308</v>
      </c>
      <c r="H39" s="364">
        <f t="shared" si="20"/>
        <v>100341.51084845308</v>
      </c>
      <c r="I39" s="52">
        <f t="shared" si="0"/>
        <v>0</v>
      </c>
      <c r="J39" s="52"/>
      <c r="K39" s="129"/>
      <c r="L39" s="54">
        <f t="shared" si="2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7"/>
        <v/>
      </c>
      <c r="C40" s="50">
        <f>IF(D11="","-",+C39+1)</f>
        <v>2039</v>
      </c>
      <c r="D40" s="55">
        <f>IF(F39+SUM(E$17:E39)=D$10,F39,D$10-SUM(E$17:E39))</f>
        <v>591359.73972033896</v>
      </c>
      <c r="E40" s="378">
        <f>IF(+I14&lt;F39,I14,D40)</f>
        <v>27985.466136363637</v>
      </c>
      <c r="F40" s="55">
        <f t="shared" si="18"/>
        <v>563374.27358397527</v>
      </c>
      <c r="G40" s="379">
        <f t="shared" si="19"/>
        <v>96996.488353172375</v>
      </c>
      <c r="H40" s="364">
        <f t="shared" si="20"/>
        <v>96996.488353172375</v>
      </c>
      <c r="I40" s="52">
        <f t="shared" si="0"/>
        <v>0</v>
      </c>
      <c r="J40" s="52"/>
      <c r="K40" s="129"/>
      <c r="L40" s="54">
        <f t="shared" si="2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7"/>
        <v/>
      </c>
      <c r="C41" s="50">
        <f>IF(D11="","-",+C40+1)</f>
        <v>2040</v>
      </c>
      <c r="D41" s="55">
        <f>IF(F40+SUM(E$17:E40)=D$10,F40,D$10-SUM(E$17:E40))</f>
        <v>563374.27358397527</v>
      </c>
      <c r="E41" s="378">
        <f>IF(+I14&lt;F40,I14,D41)</f>
        <v>27985.466136363637</v>
      </c>
      <c r="F41" s="55">
        <f t="shared" si="18"/>
        <v>535388.80744761159</v>
      </c>
      <c r="G41" s="379">
        <f t="shared" si="19"/>
        <v>93651.465857891701</v>
      </c>
      <c r="H41" s="364">
        <f t="shared" si="20"/>
        <v>93651.465857891701</v>
      </c>
      <c r="I41" s="52">
        <f t="shared" si="0"/>
        <v>0</v>
      </c>
      <c r="J41" s="52"/>
      <c r="K41" s="129"/>
      <c r="L41" s="54">
        <f t="shared" si="2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7"/>
        <v/>
      </c>
      <c r="C42" s="50">
        <f>IF(D11="","-",+C41+1)</f>
        <v>2041</v>
      </c>
      <c r="D42" s="55">
        <f>IF(F41+SUM(E$17:E41)=D$10,F41,D$10-SUM(E$17:E41))</f>
        <v>535388.80744761159</v>
      </c>
      <c r="E42" s="378">
        <f>IF(+I14&lt;F41,I14,D42)</f>
        <v>27985.466136363637</v>
      </c>
      <c r="F42" s="55">
        <f t="shared" si="18"/>
        <v>507403.34131124796</v>
      </c>
      <c r="G42" s="379">
        <f t="shared" si="19"/>
        <v>90306.443362610997</v>
      </c>
      <c r="H42" s="364">
        <f t="shared" si="20"/>
        <v>90306.443362610997</v>
      </c>
      <c r="I42" s="52">
        <f t="shared" si="0"/>
        <v>0</v>
      </c>
      <c r="J42" s="52"/>
      <c r="K42" s="129"/>
      <c r="L42" s="54">
        <f t="shared" si="2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7"/>
        <v/>
      </c>
      <c r="C43" s="50">
        <f>IF(D11="","-",+C42+1)</f>
        <v>2042</v>
      </c>
      <c r="D43" s="55">
        <f>IF(F42+SUM(E$17:E42)=D$10,F42,D$10-SUM(E$17:E42))</f>
        <v>507403.34131124796</v>
      </c>
      <c r="E43" s="378">
        <f>IF(+I14&lt;F42,I14,D43)</f>
        <v>27985.466136363637</v>
      </c>
      <c r="F43" s="55">
        <f t="shared" si="18"/>
        <v>479417.87517488434</v>
      </c>
      <c r="G43" s="379">
        <f t="shared" si="19"/>
        <v>86961.420867330307</v>
      </c>
      <c r="H43" s="364">
        <f t="shared" si="20"/>
        <v>86961.420867330307</v>
      </c>
      <c r="I43" s="52">
        <f t="shared" si="0"/>
        <v>0</v>
      </c>
      <c r="J43" s="52"/>
      <c r="K43" s="129"/>
      <c r="L43" s="54">
        <f t="shared" si="2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7"/>
        <v/>
      </c>
      <c r="C44" s="50">
        <f>IF(D11="","-",+C43+1)</f>
        <v>2043</v>
      </c>
      <c r="D44" s="55">
        <f>IF(F43+SUM(E$17:E43)=D$10,F43,D$10-SUM(E$17:E43))</f>
        <v>479417.87517488434</v>
      </c>
      <c r="E44" s="378">
        <f>IF(+I14&lt;F43,I14,D44)</f>
        <v>27985.466136363637</v>
      </c>
      <c r="F44" s="55">
        <f t="shared" si="18"/>
        <v>451432.40903852071</v>
      </c>
      <c r="G44" s="379">
        <f t="shared" si="19"/>
        <v>83616.398372049633</v>
      </c>
      <c r="H44" s="364">
        <f t="shared" si="20"/>
        <v>83616.398372049633</v>
      </c>
      <c r="I44" s="52">
        <f t="shared" si="0"/>
        <v>0</v>
      </c>
      <c r="J44" s="52"/>
      <c r="K44" s="129"/>
      <c r="L44" s="54">
        <f t="shared" si="2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7"/>
        <v/>
      </c>
      <c r="C45" s="50">
        <f>IF(D11="","-",+C44+1)</f>
        <v>2044</v>
      </c>
      <c r="D45" s="55">
        <f>IF(F44+SUM(E$17:E44)=D$10,F44,D$10-SUM(E$17:E44))</f>
        <v>451432.40903852071</v>
      </c>
      <c r="E45" s="378">
        <f>IF(+I14&lt;F44,I14,D45)</f>
        <v>27985.466136363637</v>
      </c>
      <c r="F45" s="55">
        <f t="shared" si="18"/>
        <v>423446.94290215708</v>
      </c>
      <c r="G45" s="379">
        <f t="shared" si="19"/>
        <v>80271.375876768943</v>
      </c>
      <c r="H45" s="364">
        <f t="shared" si="20"/>
        <v>80271.375876768943</v>
      </c>
      <c r="I45" s="52">
        <f t="shared" si="0"/>
        <v>0</v>
      </c>
      <c r="J45" s="52"/>
      <c r="K45" s="129"/>
      <c r="L45" s="54">
        <f t="shared" si="2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7"/>
        <v/>
      </c>
      <c r="C46" s="50">
        <f>IF(D11="","-",+C45+1)</f>
        <v>2045</v>
      </c>
      <c r="D46" s="55">
        <f>IF(F45+SUM(E$17:E45)=D$10,F45,D$10-SUM(E$17:E45))</f>
        <v>423446.94290215708</v>
      </c>
      <c r="E46" s="378">
        <f>IF(+I14&lt;F45,I14,D46)</f>
        <v>27985.466136363637</v>
      </c>
      <c r="F46" s="55">
        <f t="shared" si="18"/>
        <v>395461.47676579346</v>
      </c>
      <c r="G46" s="379">
        <f t="shared" si="19"/>
        <v>76926.353381488254</v>
      </c>
      <c r="H46" s="364">
        <f t="shared" si="20"/>
        <v>76926.353381488254</v>
      </c>
      <c r="I46" s="52">
        <f t="shared" si="0"/>
        <v>0</v>
      </c>
      <c r="J46" s="52"/>
      <c r="K46" s="129"/>
      <c r="L46" s="54">
        <f t="shared" si="2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7"/>
        <v/>
      </c>
      <c r="C47" s="50">
        <f>IF(D11="","-",+C46+1)</f>
        <v>2046</v>
      </c>
      <c r="D47" s="55">
        <f>IF(F46+SUM(E$17:E46)=D$10,F46,D$10-SUM(E$17:E46))</f>
        <v>395461.47676579346</v>
      </c>
      <c r="E47" s="378">
        <f>IF(+I14&lt;F46,I14,D47)</f>
        <v>27985.466136363637</v>
      </c>
      <c r="F47" s="55">
        <f t="shared" si="18"/>
        <v>367476.01062942983</v>
      </c>
      <c r="G47" s="379">
        <f t="shared" si="19"/>
        <v>73581.330886207565</v>
      </c>
      <c r="H47" s="364">
        <f t="shared" si="20"/>
        <v>73581.330886207565</v>
      </c>
      <c r="I47" s="52">
        <f t="shared" si="0"/>
        <v>0</v>
      </c>
      <c r="J47" s="52"/>
      <c r="K47" s="129"/>
      <c r="L47" s="54">
        <f t="shared" si="2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7"/>
        <v/>
      </c>
      <c r="C48" s="50">
        <f>IF(D11="","-",+C47+1)</f>
        <v>2047</v>
      </c>
      <c r="D48" s="55">
        <f>IF(F47+SUM(E$17:E47)=D$10,F47,D$10-SUM(E$17:E47))</f>
        <v>367476.01062942983</v>
      </c>
      <c r="E48" s="378">
        <f>IF(+I14&lt;F47,I14,D48)</f>
        <v>27985.466136363637</v>
      </c>
      <c r="F48" s="55">
        <f t="shared" si="18"/>
        <v>339490.54449306621</v>
      </c>
      <c r="G48" s="379">
        <f t="shared" si="19"/>
        <v>70236.30839092689</v>
      </c>
      <c r="H48" s="364">
        <f t="shared" si="20"/>
        <v>70236.30839092689</v>
      </c>
      <c r="I48" s="52">
        <f t="shared" si="0"/>
        <v>0</v>
      </c>
      <c r="J48" s="52"/>
      <c r="K48" s="129"/>
      <c r="L48" s="54">
        <f t="shared" si="2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 ht="12.5">
      <c r="B49" s="7" t="str">
        <f t="shared" si="7"/>
        <v/>
      </c>
      <c r="C49" s="50">
        <f>IF(D11="","-",+C48+1)</f>
        <v>2048</v>
      </c>
      <c r="D49" s="55">
        <f>IF(F48+SUM(E$17:E48)=D$10,F48,D$10-SUM(E$17:E48))</f>
        <v>339490.54449306621</v>
      </c>
      <c r="E49" s="378">
        <f>IF(+I14&lt;F48,I14,D49)</f>
        <v>27985.466136363637</v>
      </c>
      <c r="F49" s="55">
        <f t="shared" si="18"/>
        <v>311505.07835670258</v>
      </c>
      <c r="G49" s="379">
        <f t="shared" si="19"/>
        <v>66891.285895646186</v>
      </c>
      <c r="H49" s="364">
        <f t="shared" si="20"/>
        <v>66891.285895646186</v>
      </c>
      <c r="I49" s="52">
        <f t="shared" si="0"/>
        <v>0</v>
      </c>
      <c r="J49" s="52"/>
      <c r="K49" s="129"/>
      <c r="L49" s="54">
        <f t="shared" si="2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 ht="12.5">
      <c r="B50" s="7" t="str">
        <f t="shared" si="7"/>
        <v/>
      </c>
      <c r="C50" s="50">
        <f>IF(D11="","-",+C49+1)</f>
        <v>2049</v>
      </c>
      <c r="D50" s="55">
        <f>IF(F49+SUM(E$17:E49)=D$10,F49,D$10-SUM(E$17:E49))</f>
        <v>311505.07835670258</v>
      </c>
      <c r="E50" s="378">
        <f>IF(+I14&lt;F49,I14,D50)</f>
        <v>27985.466136363637</v>
      </c>
      <c r="F50" s="55">
        <f t="shared" si="18"/>
        <v>283519.61222033895</v>
      </c>
      <c r="G50" s="379">
        <f t="shared" ref="G50:G72" si="21">+I$12*((D50+F50)/2)+E50</f>
        <v>63546.263400365511</v>
      </c>
      <c r="H50" s="364">
        <f t="shared" ref="H50:H72" si="22">+I$13*((D50+F50)/2)+E50</f>
        <v>63546.263400365511</v>
      </c>
      <c r="I50" s="52">
        <f t="shared" si="0"/>
        <v>0</v>
      </c>
      <c r="J50" s="52"/>
      <c r="K50" s="129"/>
      <c r="L50" s="54">
        <f t="shared" si="2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 ht="12.5">
      <c r="B51" s="7" t="str">
        <f t="shared" si="7"/>
        <v/>
      </c>
      <c r="C51" s="50">
        <f>IF(D11="","-",+C50+1)</f>
        <v>2050</v>
      </c>
      <c r="D51" s="55">
        <f>IF(F50+SUM(E$17:E50)=D$10,F50,D$10-SUM(E$17:E50))</f>
        <v>283519.61222033895</v>
      </c>
      <c r="E51" s="378">
        <f>IF(+I14&lt;F50,I14,D51)</f>
        <v>27985.466136363637</v>
      </c>
      <c r="F51" s="55">
        <f t="shared" si="18"/>
        <v>255534.14608397533</v>
      </c>
      <c r="G51" s="379">
        <f t="shared" si="21"/>
        <v>60201.240905084822</v>
      </c>
      <c r="H51" s="364">
        <f t="shared" si="22"/>
        <v>60201.240905084822</v>
      </c>
      <c r="I51" s="52">
        <f t="shared" si="0"/>
        <v>0</v>
      </c>
      <c r="J51" s="52"/>
      <c r="K51" s="129"/>
      <c r="L51" s="54">
        <f t="shared" si="2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 ht="12.5">
      <c r="B52" s="7" t="str">
        <f t="shared" si="7"/>
        <v/>
      </c>
      <c r="C52" s="50">
        <f>IF(D11="","-",+C51+1)</f>
        <v>2051</v>
      </c>
      <c r="D52" s="55">
        <f>IF(F51+SUM(E$17:E51)=D$10,F51,D$10-SUM(E$17:E51))</f>
        <v>255534.14608397533</v>
      </c>
      <c r="E52" s="378">
        <f>IF(+I14&lt;F51,I14,D52)</f>
        <v>27985.466136363637</v>
      </c>
      <c r="F52" s="55">
        <f t="shared" si="18"/>
        <v>227548.6799476117</v>
      </c>
      <c r="G52" s="379">
        <f t="shared" si="21"/>
        <v>56856.21840980414</v>
      </c>
      <c r="H52" s="364">
        <f t="shared" si="22"/>
        <v>56856.21840980414</v>
      </c>
      <c r="I52" s="52">
        <f t="shared" si="0"/>
        <v>0</v>
      </c>
      <c r="J52" s="52"/>
      <c r="K52" s="129"/>
      <c r="L52" s="54">
        <f t="shared" si="2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 ht="12.5">
      <c r="B53" s="7" t="str">
        <f t="shared" si="7"/>
        <v/>
      </c>
      <c r="C53" s="50">
        <f>IF(D11="","-",+C52+1)</f>
        <v>2052</v>
      </c>
      <c r="D53" s="55">
        <f>IF(F52+SUM(E$17:E52)=D$10,F52,D$10-SUM(E$17:E52))</f>
        <v>227548.6799476117</v>
      </c>
      <c r="E53" s="378">
        <f>IF(+I14&lt;F52,I14,D53)</f>
        <v>27985.466136363637</v>
      </c>
      <c r="F53" s="55">
        <f t="shared" si="18"/>
        <v>199563.21381124808</v>
      </c>
      <c r="G53" s="379">
        <f t="shared" si="21"/>
        <v>53511.195914523458</v>
      </c>
      <c r="H53" s="364">
        <f t="shared" si="22"/>
        <v>53511.195914523458</v>
      </c>
      <c r="I53" s="52">
        <f t="shared" si="0"/>
        <v>0</v>
      </c>
      <c r="J53" s="52"/>
      <c r="K53" s="129"/>
      <c r="L53" s="54">
        <f t="shared" si="2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 ht="12.5">
      <c r="B54" s="7" t="str">
        <f t="shared" si="7"/>
        <v/>
      </c>
      <c r="C54" s="50">
        <f>IF(D11="","-",+C53+1)</f>
        <v>2053</v>
      </c>
      <c r="D54" s="55">
        <f>IF(F53+SUM(E$17:E53)=D$10,F53,D$10-SUM(E$17:E53))</f>
        <v>199563.21381124808</v>
      </c>
      <c r="E54" s="378">
        <f>IF(+I14&lt;F53,I14,D54)</f>
        <v>27985.466136363637</v>
      </c>
      <c r="F54" s="55">
        <f t="shared" si="18"/>
        <v>171577.74767488445</v>
      </c>
      <c r="G54" s="379">
        <f t="shared" si="21"/>
        <v>50166.173419242768</v>
      </c>
      <c r="H54" s="364">
        <f t="shared" si="22"/>
        <v>50166.173419242768</v>
      </c>
      <c r="I54" s="52">
        <f t="shared" si="0"/>
        <v>0</v>
      </c>
      <c r="J54" s="52"/>
      <c r="K54" s="129"/>
      <c r="L54" s="54">
        <f t="shared" si="2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 ht="12.5">
      <c r="B55" s="7" t="str">
        <f t="shared" si="7"/>
        <v/>
      </c>
      <c r="C55" s="50">
        <f>IF(D11="","-",+C54+1)</f>
        <v>2054</v>
      </c>
      <c r="D55" s="55">
        <f>IF(F54+SUM(E$17:E54)=D$10,F54,D$10-SUM(E$17:E54))</f>
        <v>171577.74767488445</v>
      </c>
      <c r="E55" s="378">
        <f>IF(+I14&lt;F54,I14,D55)</f>
        <v>27985.466136363637</v>
      </c>
      <c r="F55" s="55">
        <f t="shared" si="18"/>
        <v>143592.28153852082</v>
      </c>
      <c r="G55" s="379">
        <f t="shared" si="21"/>
        <v>46821.150923962079</v>
      </c>
      <c r="H55" s="364">
        <f t="shared" si="22"/>
        <v>46821.150923962079</v>
      </c>
      <c r="I55" s="52">
        <f t="shared" si="0"/>
        <v>0</v>
      </c>
      <c r="J55" s="52"/>
      <c r="K55" s="129"/>
      <c r="L55" s="54">
        <f t="shared" si="2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 ht="12.5">
      <c r="B56" s="7" t="str">
        <f t="shared" si="7"/>
        <v/>
      </c>
      <c r="C56" s="50">
        <f>IF(D11="","-",+C55+1)</f>
        <v>2055</v>
      </c>
      <c r="D56" s="55">
        <f>IF(F55+SUM(E$17:E55)=D$10,F55,D$10-SUM(E$17:E55))</f>
        <v>143592.28153852082</v>
      </c>
      <c r="E56" s="378">
        <f>IF(+I14&lt;F55,I14,D56)</f>
        <v>27985.466136363637</v>
      </c>
      <c r="F56" s="55">
        <f t="shared" si="18"/>
        <v>115606.81540215718</v>
      </c>
      <c r="G56" s="379">
        <f t="shared" si="21"/>
        <v>43476.128428681397</v>
      </c>
      <c r="H56" s="364">
        <f t="shared" si="22"/>
        <v>43476.128428681397</v>
      </c>
      <c r="I56" s="52">
        <f t="shared" si="0"/>
        <v>0</v>
      </c>
      <c r="J56" s="52"/>
      <c r="K56" s="129"/>
      <c r="L56" s="54">
        <f t="shared" si="2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 ht="12.5">
      <c r="B57" s="7" t="str">
        <f t="shared" si="7"/>
        <v/>
      </c>
      <c r="C57" s="50">
        <f>IF(D11="","-",+C56+1)</f>
        <v>2056</v>
      </c>
      <c r="D57" s="55">
        <f>IF(F56+SUM(E$17:E56)=D$10,F56,D$10-SUM(E$17:E56))</f>
        <v>115606.81540215718</v>
      </c>
      <c r="E57" s="378">
        <f>IF(+I14&lt;F56,I14,D57)</f>
        <v>27985.466136363637</v>
      </c>
      <c r="F57" s="55">
        <f t="shared" si="18"/>
        <v>87621.349265793542</v>
      </c>
      <c r="G57" s="379">
        <f t="shared" si="21"/>
        <v>40131.105933400708</v>
      </c>
      <c r="H57" s="364">
        <f t="shared" si="22"/>
        <v>40131.105933400708</v>
      </c>
      <c r="I57" s="52">
        <f t="shared" si="0"/>
        <v>0</v>
      </c>
      <c r="J57" s="52"/>
      <c r="K57" s="129"/>
      <c r="L57" s="54">
        <f t="shared" si="2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 ht="12.5">
      <c r="B58" s="7" t="str">
        <f t="shared" si="7"/>
        <v/>
      </c>
      <c r="C58" s="50">
        <f>IF(D11="","-",+C57+1)</f>
        <v>2057</v>
      </c>
      <c r="D58" s="55">
        <f>IF(F57+SUM(E$17:E57)=D$10,F57,D$10-SUM(E$17:E57))</f>
        <v>87621.349265793542</v>
      </c>
      <c r="E58" s="378">
        <f>IF(+I14&lt;F57,I14,D58)</f>
        <v>27985.466136363637</v>
      </c>
      <c r="F58" s="55">
        <f t="shared" si="18"/>
        <v>59635.883129429902</v>
      </c>
      <c r="G58" s="379">
        <f t="shared" si="21"/>
        <v>36786.083438120018</v>
      </c>
      <c r="H58" s="364">
        <f t="shared" si="22"/>
        <v>36786.083438120018</v>
      </c>
      <c r="I58" s="52">
        <f t="shared" si="0"/>
        <v>0</v>
      </c>
      <c r="J58" s="52"/>
      <c r="K58" s="129"/>
      <c r="L58" s="54">
        <f t="shared" si="2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 ht="12.5">
      <c r="B59" s="7" t="str">
        <f t="shared" si="7"/>
        <v/>
      </c>
      <c r="C59" s="50">
        <f>IF(D11="","-",+C58+1)</f>
        <v>2058</v>
      </c>
      <c r="D59" s="55">
        <f>IF(F58+SUM(E$17:E58)=D$10,F58,D$10-SUM(E$17:E58))</f>
        <v>59635.883129429902</v>
      </c>
      <c r="E59" s="378">
        <f>IF(+I14&lt;F58,I14,D59)</f>
        <v>27985.466136363637</v>
      </c>
      <c r="F59" s="55">
        <f t="shared" si="18"/>
        <v>31650.416993066265</v>
      </c>
      <c r="G59" s="379">
        <f t="shared" si="21"/>
        <v>33441.060942839336</v>
      </c>
      <c r="H59" s="364">
        <f t="shared" si="22"/>
        <v>33441.060942839336</v>
      </c>
      <c r="I59" s="52">
        <f t="shared" si="0"/>
        <v>0</v>
      </c>
      <c r="J59" s="52"/>
      <c r="K59" s="129"/>
      <c r="L59" s="54">
        <f t="shared" si="2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 ht="12.5">
      <c r="B60" s="7" t="str">
        <f t="shared" si="7"/>
        <v/>
      </c>
      <c r="C60" s="50">
        <f>IF(D11="","-",+C59+1)</f>
        <v>2059</v>
      </c>
      <c r="D60" s="55">
        <f>IF(F59+SUM(E$17:E59)=D$10,F59,D$10-SUM(E$17:E59))</f>
        <v>31650.416993066265</v>
      </c>
      <c r="E60" s="378">
        <f>IF(+I14&lt;F59,I14,D60)</f>
        <v>27985.466136363637</v>
      </c>
      <c r="F60" s="55">
        <f t="shared" si="18"/>
        <v>3664.9508567026278</v>
      </c>
      <c r="G60" s="379">
        <f t="shared" si="21"/>
        <v>30096.038447558647</v>
      </c>
      <c r="H60" s="364">
        <f t="shared" si="22"/>
        <v>30096.038447558647</v>
      </c>
      <c r="I60" s="52">
        <f t="shared" si="0"/>
        <v>0</v>
      </c>
      <c r="J60" s="52"/>
      <c r="K60" s="129"/>
      <c r="L60" s="54">
        <f t="shared" si="2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 ht="12.5">
      <c r="B61" s="7" t="str">
        <f t="shared" si="7"/>
        <v/>
      </c>
      <c r="C61" s="50">
        <f>IF(D11="","-",+C60+1)</f>
        <v>2060</v>
      </c>
      <c r="D61" s="55">
        <f>IF(F60+SUM(E$17:E60)=D$10,F60,D$10-SUM(E$17:E60))</f>
        <v>3664.9508567026278</v>
      </c>
      <c r="E61" s="378">
        <f>IF(+I14&lt;F60,I14,D61)</f>
        <v>3664.9508567026278</v>
      </c>
      <c r="F61" s="55">
        <f t="shared" si="18"/>
        <v>0</v>
      </c>
      <c r="G61" s="380">
        <f t="shared" si="21"/>
        <v>3883.9813884799605</v>
      </c>
      <c r="H61" s="364">
        <f t="shared" si="22"/>
        <v>3883.9813884799605</v>
      </c>
      <c r="I61" s="52">
        <f t="shared" si="0"/>
        <v>0</v>
      </c>
      <c r="J61" s="52"/>
      <c r="K61" s="129"/>
      <c r="L61" s="54">
        <f t="shared" si="2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 ht="12.5">
      <c r="B62" s="7" t="str">
        <f t="shared" si="7"/>
        <v/>
      </c>
      <c r="C62" s="50">
        <f>IF(D11="","-",+C61+1)</f>
        <v>2061</v>
      </c>
      <c r="D62" s="55">
        <f>IF(F61+SUM(E$17:E61)=D$10,F61,D$10-SUM(E$17:E61))</f>
        <v>0</v>
      </c>
      <c r="E62" s="378">
        <f>IF(+I14&lt;F61,I14,D62)</f>
        <v>0</v>
      </c>
      <c r="F62" s="55">
        <f t="shared" si="18"/>
        <v>0</v>
      </c>
      <c r="G62" s="380">
        <f t="shared" si="21"/>
        <v>0</v>
      </c>
      <c r="H62" s="364">
        <f t="shared" si="22"/>
        <v>0</v>
      </c>
      <c r="I62" s="52">
        <f t="shared" si="0"/>
        <v>0</v>
      </c>
      <c r="J62" s="52"/>
      <c r="K62" s="129"/>
      <c r="L62" s="54">
        <f t="shared" si="2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 ht="12.5">
      <c r="B63" s="7" t="str">
        <f t="shared" si="7"/>
        <v/>
      </c>
      <c r="C63" s="50">
        <f>IF(D11="","-",+C62+1)</f>
        <v>2062</v>
      </c>
      <c r="D63" s="55">
        <f>IF(F62+SUM(E$17:E62)=D$10,F62,D$10-SUM(E$17:E62))</f>
        <v>0</v>
      </c>
      <c r="E63" s="378">
        <f>IF(+I14&lt;F62,I14,D63)</f>
        <v>0</v>
      </c>
      <c r="F63" s="55">
        <f t="shared" si="18"/>
        <v>0</v>
      </c>
      <c r="G63" s="380">
        <f t="shared" si="21"/>
        <v>0</v>
      </c>
      <c r="H63" s="364">
        <f t="shared" si="22"/>
        <v>0</v>
      </c>
      <c r="I63" s="52">
        <f t="shared" si="0"/>
        <v>0</v>
      </c>
      <c r="J63" s="52"/>
      <c r="K63" s="129"/>
      <c r="L63" s="54">
        <f t="shared" si="2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 ht="12.5">
      <c r="B64" s="7" t="str">
        <f t="shared" si="7"/>
        <v/>
      </c>
      <c r="C64" s="50">
        <f>IF(D11="","-",+C63+1)</f>
        <v>2063</v>
      </c>
      <c r="D64" s="55">
        <f>IF(F63+SUM(E$17:E63)=D$10,F63,D$10-SUM(E$17:E63))</f>
        <v>0</v>
      </c>
      <c r="E64" s="378">
        <f>IF(+I14&lt;F63,I14,D64)</f>
        <v>0</v>
      </c>
      <c r="F64" s="55">
        <f t="shared" si="18"/>
        <v>0</v>
      </c>
      <c r="G64" s="380">
        <f t="shared" si="21"/>
        <v>0</v>
      </c>
      <c r="H64" s="364">
        <f t="shared" si="22"/>
        <v>0</v>
      </c>
      <c r="I64" s="52">
        <f t="shared" si="0"/>
        <v>0</v>
      </c>
      <c r="J64" s="52"/>
      <c r="K64" s="129"/>
      <c r="L64" s="54">
        <f t="shared" si="2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 ht="12.5">
      <c r="B65" s="7" t="str">
        <f t="shared" si="7"/>
        <v/>
      </c>
      <c r="C65" s="50">
        <f>IF(D11="","-",+C64+1)</f>
        <v>2064</v>
      </c>
      <c r="D65" s="55">
        <f>IF(F64+SUM(E$17:E64)=D$10,F64,D$10-SUM(E$17:E64))</f>
        <v>0</v>
      </c>
      <c r="E65" s="378">
        <f>IF(+I14&lt;F64,I14,D65)</f>
        <v>0</v>
      </c>
      <c r="F65" s="55">
        <f t="shared" si="18"/>
        <v>0</v>
      </c>
      <c r="G65" s="380">
        <f t="shared" si="21"/>
        <v>0</v>
      </c>
      <c r="H65" s="364">
        <f t="shared" si="22"/>
        <v>0</v>
      </c>
      <c r="I65" s="52">
        <f t="shared" si="0"/>
        <v>0</v>
      </c>
      <c r="J65" s="52"/>
      <c r="K65" s="129"/>
      <c r="L65" s="54">
        <f t="shared" si="2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 ht="12.5">
      <c r="B66" s="7" t="str">
        <f t="shared" si="7"/>
        <v/>
      </c>
      <c r="C66" s="50">
        <f>IF(D11="","-",+C65+1)</f>
        <v>2065</v>
      </c>
      <c r="D66" s="55">
        <f>IF(F65+SUM(E$17:E65)=D$10,F65,D$10-SUM(E$17:E65))</f>
        <v>0</v>
      </c>
      <c r="E66" s="378">
        <f>IF(+I14&lt;F65,I14,D66)</f>
        <v>0</v>
      </c>
      <c r="F66" s="55">
        <f t="shared" si="18"/>
        <v>0</v>
      </c>
      <c r="G66" s="380">
        <f t="shared" si="21"/>
        <v>0</v>
      </c>
      <c r="H66" s="364">
        <f t="shared" si="22"/>
        <v>0</v>
      </c>
      <c r="I66" s="52">
        <f t="shared" si="0"/>
        <v>0</v>
      </c>
      <c r="J66" s="52"/>
      <c r="K66" s="129"/>
      <c r="L66" s="54">
        <f t="shared" si="2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 ht="12.5">
      <c r="B67" s="7" t="str">
        <f t="shared" si="7"/>
        <v/>
      </c>
      <c r="C67" s="50">
        <f>IF(D11="","-",+C66+1)</f>
        <v>2066</v>
      </c>
      <c r="D67" s="55">
        <f>IF(F66+SUM(E$17:E66)=D$10,F66,D$10-SUM(E$17:E66))</f>
        <v>0</v>
      </c>
      <c r="E67" s="378">
        <f>IF(+I14&lt;F66,I14,D67)</f>
        <v>0</v>
      </c>
      <c r="F67" s="55">
        <f t="shared" si="18"/>
        <v>0</v>
      </c>
      <c r="G67" s="380">
        <f t="shared" si="21"/>
        <v>0</v>
      </c>
      <c r="H67" s="364">
        <f t="shared" si="22"/>
        <v>0</v>
      </c>
      <c r="I67" s="52">
        <f t="shared" si="0"/>
        <v>0</v>
      </c>
      <c r="J67" s="52"/>
      <c r="K67" s="129"/>
      <c r="L67" s="54">
        <f t="shared" si="2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 ht="12.5">
      <c r="B68" s="7" t="str">
        <f t="shared" si="7"/>
        <v/>
      </c>
      <c r="C68" s="50">
        <f>IF(D11="","-",+C67+1)</f>
        <v>2067</v>
      </c>
      <c r="D68" s="55">
        <f>IF(F67+SUM(E$17:E67)=D$10,F67,D$10-SUM(E$17:E67))</f>
        <v>0</v>
      </c>
      <c r="E68" s="378">
        <f>IF(+I14&lt;F67,I14,D68)</f>
        <v>0</v>
      </c>
      <c r="F68" s="55">
        <f t="shared" si="18"/>
        <v>0</v>
      </c>
      <c r="G68" s="380">
        <f t="shared" si="21"/>
        <v>0</v>
      </c>
      <c r="H68" s="364">
        <f t="shared" si="22"/>
        <v>0</v>
      </c>
      <c r="I68" s="52">
        <f t="shared" si="0"/>
        <v>0</v>
      </c>
      <c r="J68" s="52"/>
      <c r="K68" s="129"/>
      <c r="L68" s="54">
        <f t="shared" si="2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 ht="12.5">
      <c r="B69" s="7" t="str">
        <f t="shared" si="7"/>
        <v/>
      </c>
      <c r="C69" s="50">
        <f>IF(D11="","-",+C68+1)</f>
        <v>2068</v>
      </c>
      <c r="D69" s="55">
        <f>IF(F68+SUM(E$17:E68)=D$10,F68,D$10-SUM(E$17:E68))</f>
        <v>0</v>
      </c>
      <c r="E69" s="378">
        <f>IF(+I14&lt;F68,I14,D69)</f>
        <v>0</v>
      </c>
      <c r="F69" s="55">
        <f t="shared" si="18"/>
        <v>0</v>
      </c>
      <c r="G69" s="380">
        <f t="shared" si="21"/>
        <v>0</v>
      </c>
      <c r="H69" s="364">
        <f t="shared" si="22"/>
        <v>0</v>
      </c>
      <c r="I69" s="52">
        <f t="shared" si="0"/>
        <v>0</v>
      </c>
      <c r="J69" s="52"/>
      <c r="K69" s="129"/>
      <c r="L69" s="54">
        <f t="shared" si="2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 ht="12.5">
      <c r="B70" s="7" t="str">
        <f t="shared" si="7"/>
        <v/>
      </c>
      <c r="C70" s="50">
        <f>IF(D11="","-",+C69+1)</f>
        <v>2069</v>
      </c>
      <c r="D70" s="55">
        <f>IF(F69+SUM(E$17:E69)=D$10,F69,D$10-SUM(E$17:E69))</f>
        <v>0</v>
      </c>
      <c r="E70" s="378">
        <f>IF(+I14&lt;F69,I14,D70)</f>
        <v>0</v>
      </c>
      <c r="F70" s="55">
        <f t="shared" si="18"/>
        <v>0</v>
      </c>
      <c r="G70" s="380">
        <f t="shared" si="21"/>
        <v>0</v>
      </c>
      <c r="H70" s="364">
        <f t="shared" si="22"/>
        <v>0</v>
      </c>
      <c r="I70" s="52">
        <f t="shared" si="0"/>
        <v>0</v>
      </c>
      <c r="J70" s="52"/>
      <c r="K70" s="129"/>
      <c r="L70" s="54">
        <f t="shared" si="2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 ht="12.5">
      <c r="B71" s="7" t="str">
        <f t="shared" si="7"/>
        <v/>
      </c>
      <c r="C71" s="50">
        <f>IF(D11="","-",+C70+1)</f>
        <v>2070</v>
      </c>
      <c r="D71" s="55">
        <f>IF(F70+SUM(E$17:E70)=D$10,F70,D$10-SUM(E$17:E70))</f>
        <v>0</v>
      </c>
      <c r="E71" s="378">
        <f>IF(+I14&lt;F70,I14,D71)</f>
        <v>0</v>
      </c>
      <c r="F71" s="55">
        <f t="shared" si="18"/>
        <v>0</v>
      </c>
      <c r="G71" s="380">
        <f t="shared" si="21"/>
        <v>0</v>
      </c>
      <c r="H71" s="364">
        <f t="shared" si="22"/>
        <v>0</v>
      </c>
      <c r="I71" s="52">
        <f t="shared" si="0"/>
        <v>0</v>
      </c>
      <c r="J71" s="52"/>
      <c r="K71" s="129"/>
      <c r="L71" s="54">
        <f t="shared" si="2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" thickBot="1">
      <c r="B72" s="7" t="str">
        <f t="shared" si="7"/>
        <v/>
      </c>
      <c r="C72" s="59">
        <f>IF(D11="","-",+C71+1)</f>
        <v>2071</v>
      </c>
      <c r="D72" s="60">
        <f>IF(F71+SUM(E$17:E71)=D$10,F71,D$10-SUM(E$17:E71))</f>
        <v>0</v>
      </c>
      <c r="E72" s="381">
        <f>IF(+I14&lt;F71,I14,D72)</f>
        <v>0</v>
      </c>
      <c r="F72" s="60">
        <f t="shared" si="18"/>
        <v>0</v>
      </c>
      <c r="G72" s="382">
        <f t="shared" si="21"/>
        <v>0</v>
      </c>
      <c r="H72" s="362">
        <f t="shared" si="22"/>
        <v>0</v>
      </c>
      <c r="I72" s="63">
        <f t="shared" si="0"/>
        <v>0</v>
      </c>
      <c r="J72" s="52"/>
      <c r="K72" s="130"/>
      <c r="L72" s="64">
        <f t="shared" si="2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 ht="12.5">
      <c r="C73" s="12" t="s">
        <v>78</v>
      </c>
      <c r="D73" s="293"/>
      <c r="E73" s="293">
        <f>SUM(E17:E72)</f>
        <v>1231360.5099999998</v>
      </c>
      <c r="F73" s="293"/>
      <c r="G73" s="293">
        <f>SUM(G17:G72)</f>
        <v>4482353.6282572541</v>
      </c>
      <c r="H73" s="293">
        <f>SUM(H17:H72)</f>
        <v>4482353.6282572541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 ht="13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57 of 77</v>
      </c>
    </row>
    <row r="84" spans="1:16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147171.82578238277</v>
      </c>
      <c r="N87" s="387">
        <f>IF(J92&lt;D11,0,VLOOKUP(J92,C17:O72,11))</f>
        <v>147171.82578238277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151809.13719939487</v>
      </c>
      <c r="N88" s="390">
        <f>IF(J92&lt;D11,0,VLOOKUP(J92,C99:P154,7))</f>
        <v>151809.13719939487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Winnsboro 138 kw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4637.3114170120971</v>
      </c>
      <c r="N89" s="392">
        <f>+N88-N87</f>
        <v>4637.3114170120971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TP2013122</v>
      </c>
      <c r="E91" s="76" t="str">
        <f>E9</f>
        <v xml:space="preserve">  SPP Project ID = 30296</v>
      </c>
      <c r="F91" s="76"/>
      <c r="G91" s="76"/>
      <c r="H91" s="76"/>
      <c r="I91" s="76"/>
      <c r="J91" s="76"/>
    </row>
    <row r="92" spans="1:16" ht="13">
      <c r="C92" s="34" t="s">
        <v>51</v>
      </c>
      <c r="D92" s="363">
        <f>D10</f>
        <v>1231360.51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</row>
    <row r="93" spans="1:16" ht="12.5">
      <c r="C93" s="34" t="s">
        <v>54</v>
      </c>
      <c r="D93" s="88">
        <f>IF(D11=I10,"",D11)</f>
        <v>2016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4">
        <f>IF(D11=I10,"",D12)</f>
        <v>4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27985.466136363637</v>
      </c>
      <c r="K96" s="293"/>
      <c r="L96" s="293"/>
      <c r="M96" s="293"/>
      <c r="N96" s="293"/>
      <c r="O96" s="293"/>
      <c r="P96" s="1"/>
    </row>
    <row r="97" spans="1:16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5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 ht="12.5">
      <c r="C99" s="50">
        <f>IF(D93= "","-",D93)</f>
        <v>2016</v>
      </c>
      <c r="D99" s="145">
        <v>0</v>
      </c>
      <c r="E99" s="446">
        <v>19083.069767441859</v>
      </c>
      <c r="F99" s="147">
        <v>1211774.9302325582</v>
      </c>
      <c r="G99" s="447">
        <v>605887.46511627908</v>
      </c>
      <c r="H99" s="448">
        <v>96000.47636801879</v>
      </c>
      <c r="I99" s="449">
        <v>96000.47636801879</v>
      </c>
      <c r="J99" s="54">
        <f t="shared" ref="J99:J130" si="23">+I99-H99</f>
        <v>0</v>
      </c>
      <c r="K99" s="54"/>
      <c r="L99" s="112">
        <f t="shared" ref="L99:L104" si="24">+H99</f>
        <v>96000.47636801879</v>
      </c>
      <c r="M99" s="53">
        <f t="shared" ref="M99:M130" si="25">IF(L99&lt;&gt;0,+H99-L99,0)</f>
        <v>0</v>
      </c>
      <c r="N99" s="112">
        <f t="shared" ref="N99:N104" si="26">+I99</f>
        <v>96000.47636801879</v>
      </c>
      <c r="O99" s="53">
        <f t="shared" ref="O99:O130" si="27">IF(N99&lt;&gt;0,+I99-N99,0)</f>
        <v>0</v>
      </c>
      <c r="P99" s="53">
        <f t="shared" ref="P99:P130" si="28">+O99-M99</f>
        <v>0</v>
      </c>
    </row>
    <row r="100" spans="1:16" ht="12.5">
      <c r="B100" s="7" t="str">
        <f>IF(D100=F99,"","IU")</f>
        <v>IU</v>
      </c>
      <c r="C100" s="50">
        <f>IF(D93="","-",+C99+1)</f>
        <v>2017</v>
      </c>
      <c r="D100" s="429">
        <v>1212277.9302325582</v>
      </c>
      <c r="E100" s="430">
        <v>29318.119047619046</v>
      </c>
      <c r="F100" s="431">
        <v>1182959.8111849392</v>
      </c>
      <c r="G100" s="431">
        <v>1197618.8707087487</v>
      </c>
      <c r="H100" s="433">
        <v>174794.62902245519</v>
      </c>
      <c r="I100" s="434">
        <v>174794.62902245519</v>
      </c>
      <c r="J100" s="54">
        <f t="shared" si="23"/>
        <v>0</v>
      </c>
      <c r="K100" s="54"/>
      <c r="L100" s="450">
        <f t="shared" si="24"/>
        <v>174794.62902245519</v>
      </c>
      <c r="M100" s="54">
        <f t="shared" si="25"/>
        <v>0</v>
      </c>
      <c r="N100" s="450">
        <f t="shared" si="26"/>
        <v>174794.62902245519</v>
      </c>
      <c r="O100" s="54">
        <f t="shared" si="27"/>
        <v>0</v>
      </c>
      <c r="P100" s="54">
        <f t="shared" si="28"/>
        <v>0</v>
      </c>
    </row>
    <row r="101" spans="1:16" ht="12.5">
      <c r="B101" s="7" t="str">
        <f t="shared" ref="B101:B154" si="29">IF(D101=F100,"","IU")</f>
        <v/>
      </c>
      <c r="C101" s="50">
        <f>IF(D93="","-",+C100+1)</f>
        <v>2018</v>
      </c>
      <c r="D101" s="429">
        <v>1182959.8111849392</v>
      </c>
      <c r="E101" s="430">
        <v>29318.119047619046</v>
      </c>
      <c r="F101" s="431">
        <v>1153641.6921373203</v>
      </c>
      <c r="G101" s="431">
        <v>1168300.7516611298</v>
      </c>
      <c r="H101" s="433">
        <v>152696.03603974119</v>
      </c>
      <c r="I101" s="434">
        <v>152696.03603974119</v>
      </c>
      <c r="J101" s="54">
        <f t="shared" si="23"/>
        <v>0</v>
      </c>
      <c r="K101" s="54"/>
      <c r="L101" s="450">
        <f t="shared" si="24"/>
        <v>152696.03603974119</v>
      </c>
      <c r="M101" s="54">
        <f t="shared" ref="M101" si="30">IF(L101&lt;&gt;0,+H101-L101,0)</f>
        <v>0</v>
      </c>
      <c r="N101" s="450">
        <f t="shared" si="26"/>
        <v>152696.03603974119</v>
      </c>
      <c r="O101" s="54">
        <f t="shared" ref="O101" si="31">IF(N101&lt;&gt;0,+I101-N101,0)</f>
        <v>0</v>
      </c>
      <c r="P101" s="54">
        <f t="shared" ref="P101" si="32">+O101-M101</f>
        <v>0</v>
      </c>
    </row>
    <row r="102" spans="1:16" ht="12.5">
      <c r="B102" s="7" t="str">
        <f t="shared" si="29"/>
        <v/>
      </c>
      <c r="C102" s="50">
        <f>IF(D93="","-",+C101+1)</f>
        <v>2019</v>
      </c>
      <c r="D102" s="429">
        <v>1153641.6921373203</v>
      </c>
      <c r="E102" s="430">
        <v>28636.302325581397</v>
      </c>
      <c r="F102" s="431">
        <v>1125005.3898117389</v>
      </c>
      <c r="G102" s="431">
        <v>1139323.5409745295</v>
      </c>
      <c r="H102" s="433">
        <v>150590.11683973201</v>
      </c>
      <c r="I102" s="434">
        <v>150590.11683973201</v>
      </c>
      <c r="J102" s="54">
        <f t="shared" si="23"/>
        <v>0</v>
      </c>
      <c r="K102" s="54"/>
      <c r="L102" s="450">
        <f t="shared" si="24"/>
        <v>150590.11683973201</v>
      </c>
      <c r="M102" s="54">
        <f t="shared" ref="M102" si="33">IF(L102&lt;&gt;0,+H102-L102,0)</f>
        <v>0</v>
      </c>
      <c r="N102" s="450">
        <f t="shared" si="26"/>
        <v>150590.11683973201</v>
      </c>
      <c r="O102" s="54">
        <f t="shared" si="27"/>
        <v>0</v>
      </c>
      <c r="P102" s="54">
        <f t="shared" si="28"/>
        <v>0</v>
      </c>
    </row>
    <row r="103" spans="1:16" ht="12.5">
      <c r="B103" s="7" t="str">
        <f t="shared" si="29"/>
        <v/>
      </c>
      <c r="C103" s="50">
        <f>IF(D93="","-",+C102+1)</f>
        <v>2020</v>
      </c>
      <c r="D103" s="429">
        <v>1125005.3898117389</v>
      </c>
      <c r="E103" s="430">
        <v>29318.119047619046</v>
      </c>
      <c r="F103" s="431">
        <v>1095687.2707641199</v>
      </c>
      <c r="G103" s="431">
        <v>1110346.3302879294</v>
      </c>
      <c r="H103" s="433">
        <v>148762.32919982137</v>
      </c>
      <c r="I103" s="434">
        <v>148762.32919982137</v>
      </c>
      <c r="J103" s="54">
        <f t="shared" si="23"/>
        <v>0</v>
      </c>
      <c r="K103" s="54"/>
      <c r="L103" s="450">
        <f t="shared" si="24"/>
        <v>148762.32919982137</v>
      </c>
      <c r="M103" s="54">
        <f t="shared" ref="M103" si="34">IF(L103&lt;&gt;0,+H103-L103,0)</f>
        <v>0</v>
      </c>
      <c r="N103" s="450">
        <f t="shared" si="26"/>
        <v>148762.32919982137</v>
      </c>
      <c r="O103" s="54">
        <f t="shared" si="27"/>
        <v>0</v>
      </c>
      <c r="P103" s="54">
        <f t="shared" si="28"/>
        <v>0</v>
      </c>
    </row>
    <row r="104" spans="1:16" ht="12.5">
      <c r="B104" s="7" t="str">
        <f t="shared" si="29"/>
        <v/>
      </c>
      <c r="C104" s="50">
        <f>IF(D93="","-",+C103+1)</f>
        <v>2021</v>
      </c>
      <c r="D104" s="429">
        <v>1095687.2707641199</v>
      </c>
      <c r="E104" s="430">
        <v>30033.195121951219</v>
      </c>
      <c r="F104" s="431">
        <v>1065654.0756421688</v>
      </c>
      <c r="G104" s="431">
        <v>1080670.6732031442</v>
      </c>
      <c r="H104" s="433">
        <v>152704.69055329741</v>
      </c>
      <c r="I104" s="434">
        <v>152704.69055329741</v>
      </c>
      <c r="J104" s="54">
        <f t="shared" si="23"/>
        <v>0</v>
      </c>
      <c r="K104" s="54"/>
      <c r="L104" s="450">
        <f t="shared" si="24"/>
        <v>152704.69055329741</v>
      </c>
      <c r="M104" s="54">
        <f t="shared" ref="M104" si="35">IF(L104&lt;&gt;0,+H104-L104,0)</f>
        <v>0</v>
      </c>
      <c r="N104" s="450">
        <f t="shared" si="26"/>
        <v>152704.69055329741</v>
      </c>
      <c r="O104" s="54">
        <f t="shared" si="27"/>
        <v>0</v>
      </c>
      <c r="P104" s="54">
        <f t="shared" si="28"/>
        <v>0</v>
      </c>
    </row>
    <row r="105" spans="1:16" ht="12.5">
      <c r="B105" s="7" t="str">
        <f t="shared" si="29"/>
        <v/>
      </c>
      <c r="C105" s="50">
        <f>IF(D93="","-",+C104+1)</f>
        <v>2022</v>
      </c>
      <c r="D105" s="429">
        <v>1065654.0756421688</v>
      </c>
      <c r="E105" s="430">
        <v>29318.119047619046</v>
      </c>
      <c r="F105" s="431">
        <v>1036335.9565945497</v>
      </c>
      <c r="G105" s="431">
        <v>1050995.0161183593</v>
      </c>
      <c r="H105" s="433">
        <v>152765.72668920556</v>
      </c>
      <c r="I105" s="434">
        <v>152765.72668920556</v>
      </c>
      <c r="J105" s="54">
        <f t="shared" si="23"/>
        <v>0</v>
      </c>
      <c r="K105" s="54"/>
      <c r="L105" s="450">
        <f t="shared" ref="L105" si="36">+H105</f>
        <v>152765.72668920556</v>
      </c>
      <c r="M105" s="54">
        <f t="shared" ref="M105" si="37">IF(L105&lt;&gt;0,+H105-L105,0)</f>
        <v>0</v>
      </c>
      <c r="N105" s="450">
        <f t="shared" ref="N105" si="38">+I105</f>
        <v>152765.72668920556</v>
      </c>
      <c r="O105" s="54">
        <f t="shared" ref="O105" si="39">IF(N105&lt;&gt;0,+I105-N105,0)</f>
        <v>0</v>
      </c>
      <c r="P105" s="54">
        <f t="shared" ref="P105" si="40">+O105-M105</f>
        <v>0</v>
      </c>
    </row>
    <row r="106" spans="1:16" ht="12.5">
      <c r="B106" s="7" t="str">
        <f t="shared" si="29"/>
        <v>IU</v>
      </c>
      <c r="C106" s="50">
        <f>IF(D93="","-",+C105+1)</f>
        <v>2023</v>
      </c>
      <c r="D106" s="429">
        <v>1036335.4665945494</v>
      </c>
      <c r="E106" s="430">
        <v>27985.466136363637</v>
      </c>
      <c r="F106" s="431">
        <v>1008350.0004581857</v>
      </c>
      <c r="G106" s="431">
        <v>1022342.7335263675</v>
      </c>
      <c r="H106" s="433">
        <v>154106.8349289287</v>
      </c>
      <c r="I106" s="434">
        <v>154106.8349289287</v>
      </c>
      <c r="J106" s="54">
        <f t="shared" si="23"/>
        <v>0</v>
      </c>
      <c r="K106" s="54"/>
      <c r="L106" s="450">
        <f t="shared" ref="L106" si="41">+H106</f>
        <v>154106.8349289287</v>
      </c>
      <c r="M106" s="54">
        <f t="shared" ref="M106" si="42">IF(L106&lt;&gt;0,+H106-L106,0)</f>
        <v>0</v>
      </c>
      <c r="N106" s="450">
        <f t="shared" ref="N106" si="43">+I106</f>
        <v>154106.8349289287</v>
      </c>
      <c r="O106" s="54">
        <f t="shared" ref="O106" si="44">IF(N106&lt;&gt;0,+I106-N106,0)</f>
        <v>0</v>
      </c>
      <c r="P106" s="54">
        <f t="shared" ref="P106" si="45">+O106-M106</f>
        <v>0</v>
      </c>
    </row>
    <row r="107" spans="1:16" ht="12.5">
      <c r="B107" s="7" t="str">
        <f t="shared" si="29"/>
        <v/>
      </c>
      <c r="C107" s="50">
        <f>IF(D93="","-",+C106+1)</f>
        <v>2024</v>
      </c>
      <c r="D107" s="12">
        <f>IF(F106+SUM(E$99:E106)=D$92,F106,D$92-SUM(E$99:E106))</f>
        <v>1008350.0004581857</v>
      </c>
      <c r="E107" s="378">
        <f>IF(+J96&lt;F106,J96,D107)</f>
        <v>27985.466136363637</v>
      </c>
      <c r="F107" s="55">
        <f t="shared" ref="F107:F130" si="46">+D107-E107</f>
        <v>980364.53432182199</v>
      </c>
      <c r="G107" s="55">
        <f t="shared" ref="G107:G130" si="47">+(F107+D107)/2</f>
        <v>994357.26739000389</v>
      </c>
      <c r="H107" s="380">
        <f t="shared" ref="H107:H154" si="48">+J$94*G107+E107</f>
        <v>151809.13719939487</v>
      </c>
      <c r="I107" s="399">
        <f t="shared" ref="I107:I154" si="49">+J$95*G107+E107</f>
        <v>151809.13719939487</v>
      </c>
      <c r="J107" s="54">
        <f t="shared" si="23"/>
        <v>0</v>
      </c>
      <c r="K107" s="54"/>
      <c r="L107" s="129"/>
      <c r="M107" s="54">
        <f t="shared" si="25"/>
        <v>0</v>
      </c>
      <c r="N107" s="129"/>
      <c r="O107" s="54">
        <f t="shared" si="27"/>
        <v>0</v>
      </c>
      <c r="P107" s="54">
        <f t="shared" si="28"/>
        <v>0</v>
      </c>
    </row>
    <row r="108" spans="1:16" ht="12.5">
      <c r="B108" s="7" t="str">
        <f t="shared" si="29"/>
        <v/>
      </c>
      <c r="C108" s="50">
        <f>IF(D93="","-",+C107+1)</f>
        <v>2025</v>
      </c>
      <c r="D108" s="12">
        <f>IF(F107+SUM(E$99:E107)=D$92,F107,D$92-SUM(E$99:E107))</f>
        <v>980364.53432182199</v>
      </c>
      <c r="E108" s="378">
        <f>IF(+J96&lt;F107,J96,D108)</f>
        <v>27985.466136363637</v>
      </c>
      <c r="F108" s="55">
        <f t="shared" si="46"/>
        <v>952379.06818545831</v>
      </c>
      <c r="G108" s="55">
        <f t="shared" si="47"/>
        <v>966371.80125364009</v>
      </c>
      <c r="H108" s="380">
        <f t="shared" si="48"/>
        <v>148324.20953098213</v>
      </c>
      <c r="I108" s="399">
        <f t="shared" si="49"/>
        <v>148324.20953098213</v>
      </c>
      <c r="J108" s="54">
        <f t="shared" si="23"/>
        <v>0</v>
      </c>
      <c r="K108" s="54"/>
      <c r="L108" s="129"/>
      <c r="M108" s="54">
        <f t="shared" si="25"/>
        <v>0</v>
      </c>
      <c r="N108" s="129"/>
      <c r="O108" s="54">
        <f t="shared" si="27"/>
        <v>0</v>
      </c>
      <c r="P108" s="54">
        <f t="shared" si="28"/>
        <v>0</v>
      </c>
    </row>
    <row r="109" spans="1:16" ht="12.5">
      <c r="B109" s="7" t="str">
        <f t="shared" si="29"/>
        <v/>
      </c>
      <c r="C109" s="50">
        <f>IF(D93="","-",+C108+1)</f>
        <v>2026</v>
      </c>
      <c r="D109" s="12">
        <f>IF(F108+SUM(E$99:E108)=D$92,F108,D$92-SUM(E$99:E108))</f>
        <v>952379.06818545831</v>
      </c>
      <c r="E109" s="378">
        <f>IF(+J96&lt;F108,J96,D109)</f>
        <v>27985.466136363637</v>
      </c>
      <c r="F109" s="55">
        <f t="shared" si="46"/>
        <v>924393.60204909462</v>
      </c>
      <c r="G109" s="55">
        <f t="shared" si="47"/>
        <v>938386.33511727653</v>
      </c>
      <c r="H109" s="380">
        <f t="shared" si="48"/>
        <v>144839.28186256939</v>
      </c>
      <c r="I109" s="399">
        <f t="shared" si="49"/>
        <v>144839.28186256939</v>
      </c>
      <c r="J109" s="54">
        <f t="shared" si="23"/>
        <v>0</v>
      </c>
      <c r="K109" s="54"/>
      <c r="L109" s="129"/>
      <c r="M109" s="54">
        <f t="shared" si="25"/>
        <v>0</v>
      </c>
      <c r="N109" s="129"/>
      <c r="O109" s="54">
        <f t="shared" si="27"/>
        <v>0</v>
      </c>
      <c r="P109" s="54">
        <f t="shared" si="28"/>
        <v>0</v>
      </c>
    </row>
    <row r="110" spans="1:16" ht="12.5">
      <c r="B110" s="7" t="str">
        <f t="shared" si="29"/>
        <v/>
      </c>
      <c r="C110" s="50">
        <f>IF(D93="","-",+C109+1)</f>
        <v>2027</v>
      </c>
      <c r="D110" s="12">
        <f>IF(F109+SUM(E$99:E109)=D$92,F109,D$92-SUM(E$99:E109))</f>
        <v>924393.60204909462</v>
      </c>
      <c r="E110" s="378">
        <f>IF(+J96&lt;F109,J96,D110)</f>
        <v>27985.466136363637</v>
      </c>
      <c r="F110" s="55">
        <f t="shared" si="46"/>
        <v>896408.13591273094</v>
      </c>
      <c r="G110" s="55">
        <f t="shared" si="47"/>
        <v>910400.86898091272</v>
      </c>
      <c r="H110" s="380">
        <f t="shared" si="48"/>
        <v>141354.35419415665</v>
      </c>
      <c r="I110" s="399">
        <f t="shared" si="49"/>
        <v>141354.35419415665</v>
      </c>
      <c r="J110" s="54">
        <f t="shared" si="23"/>
        <v>0</v>
      </c>
      <c r="K110" s="54"/>
      <c r="L110" s="129"/>
      <c r="M110" s="54">
        <f t="shared" si="25"/>
        <v>0</v>
      </c>
      <c r="N110" s="129"/>
      <c r="O110" s="54">
        <f t="shared" si="27"/>
        <v>0</v>
      </c>
      <c r="P110" s="54">
        <f t="shared" si="28"/>
        <v>0</v>
      </c>
    </row>
    <row r="111" spans="1:16" ht="12.5">
      <c r="B111" s="7" t="str">
        <f t="shared" si="29"/>
        <v/>
      </c>
      <c r="C111" s="50">
        <f>IF(D93="","-",+C110+1)</f>
        <v>2028</v>
      </c>
      <c r="D111" s="12">
        <f>IF(F110+SUM(E$99:E110)=D$92,F110,D$92-SUM(E$99:E110))</f>
        <v>896408.13591273094</v>
      </c>
      <c r="E111" s="378">
        <f>IF(+J96&lt;F110,J96,D111)</f>
        <v>27985.466136363637</v>
      </c>
      <c r="F111" s="55">
        <f t="shared" si="46"/>
        <v>868422.66977636726</v>
      </c>
      <c r="G111" s="55">
        <f t="shared" si="47"/>
        <v>882415.40284454916</v>
      </c>
      <c r="H111" s="380">
        <f t="shared" si="48"/>
        <v>137869.42652574394</v>
      </c>
      <c r="I111" s="399">
        <f t="shared" si="49"/>
        <v>137869.42652574394</v>
      </c>
      <c r="J111" s="54">
        <f t="shared" si="23"/>
        <v>0</v>
      </c>
      <c r="K111" s="54"/>
      <c r="L111" s="129"/>
      <c r="M111" s="54">
        <f t="shared" si="25"/>
        <v>0</v>
      </c>
      <c r="N111" s="129"/>
      <c r="O111" s="54">
        <f t="shared" si="27"/>
        <v>0</v>
      </c>
      <c r="P111" s="54">
        <f t="shared" si="28"/>
        <v>0</v>
      </c>
    </row>
    <row r="112" spans="1:16" ht="12.5">
      <c r="B112" s="7" t="str">
        <f t="shared" si="29"/>
        <v/>
      </c>
      <c r="C112" s="50">
        <f>IF(D93="","-",+C111+1)</f>
        <v>2029</v>
      </c>
      <c r="D112" s="12">
        <f>IF(F111+SUM(E$99:E111)=D$92,F111,D$92-SUM(E$99:E111))</f>
        <v>868422.66977636726</v>
      </c>
      <c r="E112" s="378">
        <f>IF(+J96&lt;F111,J96,D112)</f>
        <v>27985.466136363637</v>
      </c>
      <c r="F112" s="55">
        <f t="shared" si="46"/>
        <v>840437.20364000357</v>
      </c>
      <c r="G112" s="55">
        <f t="shared" si="47"/>
        <v>854429.93670818536</v>
      </c>
      <c r="H112" s="380">
        <f t="shared" si="48"/>
        <v>134384.4988573312</v>
      </c>
      <c r="I112" s="399">
        <f t="shared" si="49"/>
        <v>134384.4988573312</v>
      </c>
      <c r="J112" s="54">
        <f t="shared" si="23"/>
        <v>0</v>
      </c>
      <c r="K112" s="54"/>
      <c r="L112" s="129"/>
      <c r="M112" s="54">
        <f t="shared" si="25"/>
        <v>0</v>
      </c>
      <c r="N112" s="129"/>
      <c r="O112" s="54">
        <f t="shared" si="27"/>
        <v>0</v>
      </c>
      <c r="P112" s="54">
        <f t="shared" si="28"/>
        <v>0</v>
      </c>
    </row>
    <row r="113" spans="2:16" ht="12.5">
      <c r="B113" s="7" t="str">
        <f t="shared" si="29"/>
        <v/>
      </c>
      <c r="C113" s="50">
        <f>IF(D93="","-",+C112+1)</f>
        <v>2030</v>
      </c>
      <c r="D113" s="12">
        <f>IF(F112+SUM(E$99:E112)=D$92,F112,D$92-SUM(E$99:E112))</f>
        <v>840437.20364000357</v>
      </c>
      <c r="E113" s="378">
        <f>IF(+J96&lt;F112,J96,D113)</f>
        <v>27985.466136363637</v>
      </c>
      <c r="F113" s="55">
        <f t="shared" si="46"/>
        <v>812451.73750363989</v>
      </c>
      <c r="G113" s="55">
        <f t="shared" si="47"/>
        <v>826444.47057182179</v>
      </c>
      <c r="H113" s="380">
        <f t="shared" si="48"/>
        <v>130899.5711889185</v>
      </c>
      <c r="I113" s="399">
        <f t="shared" si="49"/>
        <v>130899.5711889185</v>
      </c>
      <c r="J113" s="54">
        <f t="shared" si="23"/>
        <v>0</v>
      </c>
      <c r="K113" s="54"/>
      <c r="L113" s="129"/>
      <c r="M113" s="54">
        <f t="shared" si="25"/>
        <v>0</v>
      </c>
      <c r="N113" s="129"/>
      <c r="O113" s="54">
        <f t="shared" si="27"/>
        <v>0</v>
      </c>
      <c r="P113" s="54">
        <f t="shared" si="28"/>
        <v>0</v>
      </c>
    </row>
    <row r="114" spans="2:16" ht="12.5">
      <c r="B114" s="7" t="str">
        <f t="shared" si="29"/>
        <v/>
      </c>
      <c r="C114" s="50">
        <f>IF(D93="","-",+C113+1)</f>
        <v>2031</v>
      </c>
      <c r="D114" s="12">
        <f>IF(F113+SUM(E$99:E113)=D$92,F113,D$92-SUM(E$99:E113))</f>
        <v>812451.73750363989</v>
      </c>
      <c r="E114" s="378">
        <f>IF(+J96&lt;F113,J96,D114)</f>
        <v>27985.466136363637</v>
      </c>
      <c r="F114" s="55">
        <f t="shared" si="46"/>
        <v>784466.2713672762</v>
      </c>
      <c r="G114" s="55">
        <f t="shared" si="47"/>
        <v>798459.00443545799</v>
      </c>
      <c r="H114" s="380">
        <f t="shared" si="48"/>
        <v>127414.64352050576</v>
      </c>
      <c r="I114" s="399">
        <f t="shared" si="49"/>
        <v>127414.64352050576</v>
      </c>
      <c r="J114" s="54">
        <f t="shared" si="23"/>
        <v>0</v>
      </c>
      <c r="K114" s="54"/>
      <c r="L114" s="129"/>
      <c r="M114" s="54">
        <f t="shared" si="25"/>
        <v>0</v>
      </c>
      <c r="N114" s="129"/>
      <c r="O114" s="54">
        <f t="shared" si="27"/>
        <v>0</v>
      </c>
      <c r="P114" s="54">
        <f t="shared" si="28"/>
        <v>0</v>
      </c>
    </row>
    <row r="115" spans="2:16" ht="12.5">
      <c r="B115" s="7" t="str">
        <f t="shared" si="29"/>
        <v/>
      </c>
      <c r="C115" s="50">
        <f>IF(D93="","-",+C114+1)</f>
        <v>2032</v>
      </c>
      <c r="D115" s="12">
        <f>IF(F114+SUM(E$99:E114)=D$92,F114,D$92-SUM(E$99:E114))</f>
        <v>784466.2713672762</v>
      </c>
      <c r="E115" s="378">
        <f>IF(+J96&lt;F114,J96,D115)</f>
        <v>27985.466136363637</v>
      </c>
      <c r="F115" s="55">
        <f t="shared" si="46"/>
        <v>756480.80523091252</v>
      </c>
      <c r="G115" s="55">
        <f t="shared" si="47"/>
        <v>770473.53829909442</v>
      </c>
      <c r="H115" s="380">
        <f t="shared" si="48"/>
        <v>123929.71585209305</v>
      </c>
      <c r="I115" s="399">
        <f t="shared" si="49"/>
        <v>123929.71585209305</v>
      </c>
      <c r="J115" s="54">
        <f t="shared" si="23"/>
        <v>0</v>
      </c>
      <c r="K115" s="54"/>
      <c r="L115" s="129"/>
      <c r="M115" s="54">
        <f t="shared" si="25"/>
        <v>0</v>
      </c>
      <c r="N115" s="129"/>
      <c r="O115" s="54">
        <f t="shared" si="27"/>
        <v>0</v>
      </c>
      <c r="P115" s="54">
        <f t="shared" si="28"/>
        <v>0</v>
      </c>
    </row>
    <row r="116" spans="2:16" ht="12.5">
      <c r="B116" s="7" t="str">
        <f t="shared" si="29"/>
        <v/>
      </c>
      <c r="C116" s="50">
        <f>IF(D93="","-",+C115+1)</f>
        <v>2033</v>
      </c>
      <c r="D116" s="12">
        <f>IF(F115+SUM(E$99:E115)=D$92,F115,D$92-SUM(E$99:E115))</f>
        <v>756480.80523091252</v>
      </c>
      <c r="E116" s="378">
        <f>IF(+J96&lt;F115,J96,D116)</f>
        <v>27985.466136363637</v>
      </c>
      <c r="F116" s="55">
        <f t="shared" si="46"/>
        <v>728495.33909454884</v>
      </c>
      <c r="G116" s="55">
        <f t="shared" si="47"/>
        <v>742488.07216273062</v>
      </c>
      <c r="H116" s="380">
        <f t="shared" si="48"/>
        <v>120444.78818368031</v>
      </c>
      <c r="I116" s="399">
        <f t="shared" si="49"/>
        <v>120444.78818368031</v>
      </c>
      <c r="J116" s="54">
        <f t="shared" si="23"/>
        <v>0</v>
      </c>
      <c r="K116" s="54"/>
      <c r="L116" s="129"/>
      <c r="M116" s="54">
        <f t="shared" si="25"/>
        <v>0</v>
      </c>
      <c r="N116" s="129"/>
      <c r="O116" s="54">
        <f t="shared" si="27"/>
        <v>0</v>
      </c>
      <c r="P116" s="54">
        <f t="shared" si="28"/>
        <v>0</v>
      </c>
    </row>
    <row r="117" spans="2:16" ht="12.5">
      <c r="B117" s="7" t="str">
        <f t="shared" si="29"/>
        <v/>
      </c>
      <c r="C117" s="50">
        <f>IF(D93="","-",+C116+1)</f>
        <v>2034</v>
      </c>
      <c r="D117" s="12">
        <f>IF(F116+SUM(E$99:E116)=D$92,F116,D$92-SUM(E$99:E116))</f>
        <v>728495.33909454884</v>
      </c>
      <c r="E117" s="378">
        <f>IF(+J96&lt;F116,J96,D117)</f>
        <v>27985.466136363637</v>
      </c>
      <c r="F117" s="55">
        <f t="shared" si="46"/>
        <v>700509.87295818515</v>
      </c>
      <c r="G117" s="55">
        <f t="shared" si="47"/>
        <v>714502.60602636705</v>
      </c>
      <c r="H117" s="380">
        <f t="shared" si="48"/>
        <v>116959.8605152676</v>
      </c>
      <c r="I117" s="399">
        <f t="shared" si="49"/>
        <v>116959.8605152676</v>
      </c>
      <c r="J117" s="54">
        <f t="shared" si="23"/>
        <v>0</v>
      </c>
      <c r="K117" s="54"/>
      <c r="L117" s="129"/>
      <c r="M117" s="54">
        <f t="shared" si="25"/>
        <v>0</v>
      </c>
      <c r="N117" s="129"/>
      <c r="O117" s="54">
        <f t="shared" si="27"/>
        <v>0</v>
      </c>
      <c r="P117" s="54">
        <f t="shared" si="28"/>
        <v>0</v>
      </c>
    </row>
    <row r="118" spans="2:16" ht="12.5">
      <c r="B118" s="7" t="str">
        <f t="shared" si="29"/>
        <v/>
      </c>
      <c r="C118" s="50">
        <f>IF(D93="","-",+C117+1)</f>
        <v>2035</v>
      </c>
      <c r="D118" s="12">
        <f>IF(F117+SUM(E$99:E117)=D$92,F117,D$92-SUM(E$99:E117))</f>
        <v>700509.87295818515</v>
      </c>
      <c r="E118" s="378">
        <f>IF(+J96&lt;F117,J96,D118)</f>
        <v>27985.466136363637</v>
      </c>
      <c r="F118" s="55">
        <f t="shared" si="46"/>
        <v>672524.40682182147</v>
      </c>
      <c r="G118" s="55">
        <f t="shared" si="47"/>
        <v>686517.13989000325</v>
      </c>
      <c r="H118" s="380">
        <f t="shared" si="48"/>
        <v>113474.93284685486</v>
      </c>
      <c r="I118" s="399">
        <f t="shared" si="49"/>
        <v>113474.93284685486</v>
      </c>
      <c r="J118" s="54">
        <f t="shared" si="23"/>
        <v>0</v>
      </c>
      <c r="K118" s="54"/>
      <c r="L118" s="129"/>
      <c r="M118" s="54">
        <f t="shared" si="25"/>
        <v>0</v>
      </c>
      <c r="N118" s="129"/>
      <c r="O118" s="54">
        <f t="shared" si="27"/>
        <v>0</v>
      </c>
      <c r="P118" s="54">
        <f t="shared" si="28"/>
        <v>0</v>
      </c>
    </row>
    <row r="119" spans="2:16" ht="12.5">
      <c r="B119" s="7" t="str">
        <f t="shared" si="29"/>
        <v/>
      </c>
      <c r="C119" s="50">
        <f>IF(D93="","-",+C118+1)</f>
        <v>2036</v>
      </c>
      <c r="D119" s="12">
        <f>IF(F118+SUM(E$99:E118)=D$92,F118,D$92-SUM(E$99:E118))</f>
        <v>672524.40682182147</v>
      </c>
      <c r="E119" s="378">
        <f>IF(+J96&lt;F118,J96,D119)</f>
        <v>27985.466136363637</v>
      </c>
      <c r="F119" s="55">
        <f t="shared" si="46"/>
        <v>644538.94068545778</v>
      </c>
      <c r="G119" s="55">
        <f t="shared" si="47"/>
        <v>658531.67375363968</v>
      </c>
      <c r="H119" s="380">
        <f t="shared" si="48"/>
        <v>109990.00517844215</v>
      </c>
      <c r="I119" s="399">
        <f t="shared" si="49"/>
        <v>109990.00517844215</v>
      </c>
      <c r="J119" s="54">
        <f t="shared" si="23"/>
        <v>0</v>
      </c>
      <c r="K119" s="54"/>
      <c r="L119" s="129"/>
      <c r="M119" s="54">
        <f t="shared" si="25"/>
        <v>0</v>
      </c>
      <c r="N119" s="129"/>
      <c r="O119" s="54">
        <f t="shared" si="27"/>
        <v>0</v>
      </c>
      <c r="P119" s="54">
        <f t="shared" si="28"/>
        <v>0</v>
      </c>
    </row>
    <row r="120" spans="2:16" ht="12.5">
      <c r="B120" s="7" t="str">
        <f t="shared" si="29"/>
        <v/>
      </c>
      <c r="C120" s="50">
        <f>IF(D93="","-",+C119+1)</f>
        <v>2037</v>
      </c>
      <c r="D120" s="12">
        <f>IF(F119+SUM(E$99:E119)=D$92,F119,D$92-SUM(E$99:E119))</f>
        <v>644538.94068545778</v>
      </c>
      <c r="E120" s="378">
        <f>IF(+J96&lt;F119,J96,D120)</f>
        <v>27985.466136363637</v>
      </c>
      <c r="F120" s="55">
        <f t="shared" si="46"/>
        <v>616553.4745490941</v>
      </c>
      <c r="G120" s="55">
        <f t="shared" si="47"/>
        <v>630546.20761727588</v>
      </c>
      <c r="H120" s="380">
        <f t="shared" si="48"/>
        <v>106505.07751002941</v>
      </c>
      <c r="I120" s="399">
        <f t="shared" si="49"/>
        <v>106505.07751002941</v>
      </c>
      <c r="J120" s="54">
        <f t="shared" si="23"/>
        <v>0</v>
      </c>
      <c r="K120" s="54"/>
      <c r="L120" s="129"/>
      <c r="M120" s="54">
        <f t="shared" si="25"/>
        <v>0</v>
      </c>
      <c r="N120" s="129"/>
      <c r="O120" s="54">
        <f t="shared" si="27"/>
        <v>0</v>
      </c>
      <c r="P120" s="54">
        <f t="shared" si="28"/>
        <v>0</v>
      </c>
    </row>
    <row r="121" spans="2:16" ht="12.5">
      <c r="B121" s="7" t="str">
        <f t="shared" si="29"/>
        <v/>
      </c>
      <c r="C121" s="50">
        <f>IF(D93="","-",+C120+1)</f>
        <v>2038</v>
      </c>
      <c r="D121" s="12">
        <f>IF(F120+SUM(E$99:E120)=D$92,F120,D$92-SUM(E$99:E120))</f>
        <v>616553.4745490941</v>
      </c>
      <c r="E121" s="378">
        <f>IF(+J96&lt;F120,J96,D121)</f>
        <v>27985.466136363637</v>
      </c>
      <c r="F121" s="55">
        <f t="shared" si="46"/>
        <v>588568.00841273041</v>
      </c>
      <c r="G121" s="55">
        <f t="shared" si="47"/>
        <v>602560.74148091231</v>
      </c>
      <c r="H121" s="380">
        <f t="shared" si="48"/>
        <v>103020.1498416167</v>
      </c>
      <c r="I121" s="399">
        <f t="shared" si="49"/>
        <v>103020.1498416167</v>
      </c>
      <c r="J121" s="54">
        <f t="shared" si="23"/>
        <v>0</v>
      </c>
      <c r="K121" s="54"/>
      <c r="L121" s="129"/>
      <c r="M121" s="54">
        <f t="shared" si="25"/>
        <v>0</v>
      </c>
      <c r="N121" s="129"/>
      <c r="O121" s="54">
        <f t="shared" si="27"/>
        <v>0</v>
      </c>
      <c r="P121" s="54">
        <f t="shared" si="28"/>
        <v>0</v>
      </c>
    </row>
    <row r="122" spans="2:16" ht="12.5">
      <c r="B122" s="7" t="str">
        <f t="shared" si="29"/>
        <v/>
      </c>
      <c r="C122" s="50">
        <f>IF(D93="","-",+C121+1)</f>
        <v>2039</v>
      </c>
      <c r="D122" s="12">
        <f>IF(F121+SUM(E$99:E121)=D$92,F121,D$92-SUM(E$99:E121))</f>
        <v>588568.00841273041</v>
      </c>
      <c r="E122" s="378">
        <f>IF(+J96&lt;F121,J96,D122)</f>
        <v>27985.466136363637</v>
      </c>
      <c r="F122" s="55">
        <f t="shared" si="46"/>
        <v>560582.54227636673</v>
      </c>
      <c r="G122" s="55">
        <f t="shared" si="47"/>
        <v>574575.27534454851</v>
      </c>
      <c r="H122" s="380">
        <f t="shared" si="48"/>
        <v>99535.222173203962</v>
      </c>
      <c r="I122" s="399">
        <f t="shared" si="49"/>
        <v>99535.222173203962</v>
      </c>
      <c r="J122" s="54">
        <f t="shared" si="23"/>
        <v>0</v>
      </c>
      <c r="K122" s="54"/>
      <c r="L122" s="129"/>
      <c r="M122" s="54">
        <f t="shared" si="25"/>
        <v>0</v>
      </c>
      <c r="N122" s="129"/>
      <c r="O122" s="54">
        <f t="shared" si="27"/>
        <v>0</v>
      </c>
      <c r="P122" s="54">
        <f t="shared" si="28"/>
        <v>0</v>
      </c>
    </row>
    <row r="123" spans="2:16" ht="12.5">
      <c r="B123" s="7" t="str">
        <f t="shared" si="29"/>
        <v/>
      </c>
      <c r="C123" s="50">
        <f>IF(D93="","-",+C122+1)</f>
        <v>2040</v>
      </c>
      <c r="D123" s="12">
        <f>IF(F122+SUM(E$99:E122)=D$92,F122,D$92-SUM(E$99:E122))</f>
        <v>560582.54227636673</v>
      </c>
      <c r="E123" s="378">
        <f>IF(+J96&lt;F122,J96,D123)</f>
        <v>27985.466136363637</v>
      </c>
      <c r="F123" s="55">
        <f t="shared" si="46"/>
        <v>532597.07614000305</v>
      </c>
      <c r="G123" s="55">
        <f t="shared" si="47"/>
        <v>546589.80920818495</v>
      </c>
      <c r="H123" s="380">
        <f t="shared" si="48"/>
        <v>96050.294504791236</v>
      </c>
      <c r="I123" s="399">
        <f t="shared" si="49"/>
        <v>96050.294504791236</v>
      </c>
      <c r="J123" s="54">
        <f t="shared" si="23"/>
        <v>0</v>
      </c>
      <c r="K123" s="54"/>
      <c r="L123" s="129"/>
      <c r="M123" s="54">
        <f t="shared" si="25"/>
        <v>0</v>
      </c>
      <c r="N123" s="129"/>
      <c r="O123" s="54">
        <f t="shared" si="27"/>
        <v>0</v>
      </c>
      <c r="P123" s="54">
        <f t="shared" si="28"/>
        <v>0</v>
      </c>
    </row>
    <row r="124" spans="2:16" ht="12.5">
      <c r="B124" s="7" t="str">
        <f t="shared" si="29"/>
        <v/>
      </c>
      <c r="C124" s="50">
        <f>IF(D93="","-",+C123+1)</f>
        <v>2041</v>
      </c>
      <c r="D124" s="12">
        <f>IF(F123+SUM(E$99:E123)=D$92,F123,D$92-SUM(E$99:E123))</f>
        <v>532597.07614000305</v>
      </c>
      <c r="E124" s="378">
        <f>IF(+J96&lt;F123,J96,D124)</f>
        <v>27985.466136363637</v>
      </c>
      <c r="F124" s="55">
        <f t="shared" si="46"/>
        <v>504611.61000363942</v>
      </c>
      <c r="G124" s="55">
        <f t="shared" si="47"/>
        <v>518604.34307182126</v>
      </c>
      <c r="H124" s="380">
        <f t="shared" si="48"/>
        <v>92565.366836378511</v>
      </c>
      <c r="I124" s="399">
        <f t="shared" si="49"/>
        <v>92565.366836378511</v>
      </c>
      <c r="J124" s="54">
        <f t="shared" si="23"/>
        <v>0</v>
      </c>
      <c r="K124" s="54"/>
      <c r="L124" s="129"/>
      <c r="M124" s="54">
        <f t="shared" si="25"/>
        <v>0</v>
      </c>
      <c r="N124" s="129"/>
      <c r="O124" s="54">
        <f t="shared" si="27"/>
        <v>0</v>
      </c>
      <c r="P124" s="54">
        <f t="shared" si="28"/>
        <v>0</v>
      </c>
    </row>
    <row r="125" spans="2:16" ht="12.5">
      <c r="B125" s="7" t="str">
        <f t="shared" si="29"/>
        <v/>
      </c>
      <c r="C125" s="50">
        <f>IF(D93="","-",+C124+1)</f>
        <v>2042</v>
      </c>
      <c r="D125" s="12">
        <f>IF(F124+SUM(E$99:E124)=D$92,F124,D$92-SUM(E$99:E124))</f>
        <v>504611.61000363942</v>
      </c>
      <c r="E125" s="378">
        <f>IF(+J96&lt;F124,J96,D125)</f>
        <v>27985.466136363637</v>
      </c>
      <c r="F125" s="55">
        <f t="shared" si="46"/>
        <v>476626.14386727579</v>
      </c>
      <c r="G125" s="55">
        <f t="shared" si="47"/>
        <v>490618.87693545758</v>
      </c>
      <c r="H125" s="380">
        <f t="shared" si="48"/>
        <v>89080.439167965786</v>
      </c>
      <c r="I125" s="399">
        <f t="shared" si="49"/>
        <v>89080.439167965786</v>
      </c>
      <c r="J125" s="54">
        <f t="shared" si="23"/>
        <v>0</v>
      </c>
      <c r="K125" s="54"/>
      <c r="L125" s="129"/>
      <c r="M125" s="54">
        <f t="shared" si="25"/>
        <v>0</v>
      </c>
      <c r="N125" s="129"/>
      <c r="O125" s="54">
        <f t="shared" si="27"/>
        <v>0</v>
      </c>
      <c r="P125" s="54">
        <f t="shared" si="28"/>
        <v>0</v>
      </c>
    </row>
    <row r="126" spans="2:16" ht="12.5">
      <c r="B126" s="7" t="str">
        <f t="shared" si="29"/>
        <v/>
      </c>
      <c r="C126" s="50">
        <f>IF(D93="","-",+C125+1)</f>
        <v>2043</v>
      </c>
      <c r="D126" s="12">
        <f>IF(F125+SUM(E$99:E125)=D$92,F125,D$92-SUM(E$99:E125))</f>
        <v>476626.14386727579</v>
      </c>
      <c r="E126" s="378">
        <f>IF(+J96&lt;F125,J96,D126)</f>
        <v>27985.466136363637</v>
      </c>
      <c r="F126" s="55">
        <f t="shared" si="46"/>
        <v>448640.67773091217</v>
      </c>
      <c r="G126" s="55">
        <f t="shared" si="47"/>
        <v>462633.41079909401</v>
      </c>
      <c r="H126" s="380">
        <f t="shared" si="48"/>
        <v>85595.511499553075</v>
      </c>
      <c r="I126" s="399">
        <f t="shared" si="49"/>
        <v>85595.511499553075</v>
      </c>
      <c r="J126" s="54">
        <f t="shared" si="23"/>
        <v>0</v>
      </c>
      <c r="K126" s="54"/>
      <c r="L126" s="129"/>
      <c r="M126" s="54">
        <f t="shared" si="25"/>
        <v>0</v>
      </c>
      <c r="N126" s="129"/>
      <c r="O126" s="54">
        <f t="shared" si="27"/>
        <v>0</v>
      </c>
      <c r="P126" s="54">
        <f t="shared" si="28"/>
        <v>0</v>
      </c>
    </row>
    <row r="127" spans="2:16" ht="12.5">
      <c r="B127" s="7" t="str">
        <f t="shared" si="29"/>
        <v/>
      </c>
      <c r="C127" s="50">
        <f>IF(D93="","-",+C126+1)</f>
        <v>2044</v>
      </c>
      <c r="D127" s="12">
        <f>IF(F126+SUM(E$99:E126)=D$92,F126,D$92-SUM(E$99:E126))</f>
        <v>448640.67773091217</v>
      </c>
      <c r="E127" s="378">
        <f>IF(+J96&lt;F126,J96,D127)</f>
        <v>27985.466136363637</v>
      </c>
      <c r="F127" s="55">
        <f t="shared" si="46"/>
        <v>420655.21159454854</v>
      </c>
      <c r="G127" s="55">
        <f t="shared" si="47"/>
        <v>434647.94466273033</v>
      </c>
      <c r="H127" s="380">
        <f t="shared" si="48"/>
        <v>82110.58383114035</v>
      </c>
      <c r="I127" s="399">
        <f t="shared" si="49"/>
        <v>82110.58383114035</v>
      </c>
      <c r="J127" s="54">
        <f t="shared" si="23"/>
        <v>0</v>
      </c>
      <c r="K127" s="54"/>
      <c r="L127" s="129"/>
      <c r="M127" s="54">
        <f t="shared" si="25"/>
        <v>0</v>
      </c>
      <c r="N127" s="129"/>
      <c r="O127" s="54">
        <f t="shared" si="27"/>
        <v>0</v>
      </c>
      <c r="P127" s="54">
        <f t="shared" si="28"/>
        <v>0</v>
      </c>
    </row>
    <row r="128" spans="2:16" ht="12.5">
      <c r="B128" s="7" t="str">
        <f t="shared" si="29"/>
        <v/>
      </c>
      <c r="C128" s="50">
        <f>IF(D93="","-",+C127+1)</f>
        <v>2045</v>
      </c>
      <c r="D128" s="12">
        <f>IF(F127+SUM(E$99:E127)=D$92,F127,D$92-SUM(E$99:E127))</f>
        <v>420655.21159454854</v>
      </c>
      <c r="E128" s="378">
        <f>IF(+J96&lt;F127,J96,D128)</f>
        <v>27985.466136363637</v>
      </c>
      <c r="F128" s="55">
        <f t="shared" si="46"/>
        <v>392669.74545818492</v>
      </c>
      <c r="G128" s="55">
        <f t="shared" si="47"/>
        <v>406662.47852636676</v>
      </c>
      <c r="H128" s="380">
        <f t="shared" si="48"/>
        <v>78625.656162727639</v>
      </c>
      <c r="I128" s="399">
        <f t="shared" si="49"/>
        <v>78625.656162727639</v>
      </c>
      <c r="J128" s="54">
        <f t="shared" si="23"/>
        <v>0</v>
      </c>
      <c r="K128" s="54"/>
      <c r="L128" s="129"/>
      <c r="M128" s="54">
        <f t="shared" si="25"/>
        <v>0</v>
      </c>
      <c r="N128" s="129"/>
      <c r="O128" s="54">
        <f t="shared" si="27"/>
        <v>0</v>
      </c>
      <c r="P128" s="54">
        <f t="shared" si="28"/>
        <v>0</v>
      </c>
    </row>
    <row r="129" spans="2:16" ht="12.5">
      <c r="B129" s="7" t="str">
        <f t="shared" si="29"/>
        <v/>
      </c>
      <c r="C129" s="50">
        <f>IF(D93="","-",+C128+1)</f>
        <v>2046</v>
      </c>
      <c r="D129" s="12">
        <f>IF(F128+SUM(E$99:E128)=D$92,F128,D$92-SUM(E$99:E128))</f>
        <v>392669.74545818492</v>
      </c>
      <c r="E129" s="378">
        <f>IF(+J96&lt;F128,J96,D129)</f>
        <v>27985.466136363637</v>
      </c>
      <c r="F129" s="55">
        <f t="shared" si="46"/>
        <v>364684.27932182129</v>
      </c>
      <c r="G129" s="55">
        <f t="shared" si="47"/>
        <v>378677.01239000307</v>
      </c>
      <c r="H129" s="380">
        <f t="shared" si="48"/>
        <v>75140.728494314913</v>
      </c>
      <c r="I129" s="399">
        <f t="shared" si="49"/>
        <v>75140.728494314913</v>
      </c>
      <c r="J129" s="54">
        <f t="shared" si="23"/>
        <v>0</v>
      </c>
      <c r="K129" s="54"/>
      <c r="L129" s="129"/>
      <c r="M129" s="54">
        <f t="shared" si="25"/>
        <v>0</v>
      </c>
      <c r="N129" s="129"/>
      <c r="O129" s="54">
        <f t="shared" si="27"/>
        <v>0</v>
      </c>
      <c r="P129" s="54">
        <f t="shared" si="28"/>
        <v>0</v>
      </c>
    </row>
    <row r="130" spans="2:16" ht="12.5">
      <c r="B130" s="7" t="str">
        <f t="shared" si="29"/>
        <v/>
      </c>
      <c r="C130" s="50">
        <f>IF(D93="","-",+C129+1)</f>
        <v>2047</v>
      </c>
      <c r="D130" s="12">
        <f>IF(F129+SUM(E$99:E129)=D$92,F129,D$92-SUM(E$99:E129))</f>
        <v>364684.27932182129</v>
      </c>
      <c r="E130" s="378">
        <f>IF(+J96&lt;F129,J96,D130)</f>
        <v>27985.466136363637</v>
      </c>
      <c r="F130" s="55">
        <f t="shared" si="46"/>
        <v>336698.81318545766</v>
      </c>
      <c r="G130" s="55">
        <f t="shared" si="47"/>
        <v>350691.54625363951</v>
      </c>
      <c r="H130" s="380">
        <f t="shared" si="48"/>
        <v>71655.800825902203</v>
      </c>
      <c r="I130" s="399">
        <f t="shared" si="49"/>
        <v>71655.800825902203</v>
      </c>
      <c r="J130" s="54">
        <f t="shared" si="23"/>
        <v>0</v>
      </c>
      <c r="K130" s="54"/>
      <c r="L130" s="129"/>
      <c r="M130" s="54">
        <f t="shared" si="25"/>
        <v>0</v>
      </c>
      <c r="N130" s="129"/>
      <c r="O130" s="54">
        <f t="shared" si="27"/>
        <v>0</v>
      </c>
      <c r="P130" s="54">
        <f t="shared" si="28"/>
        <v>0</v>
      </c>
    </row>
    <row r="131" spans="2:16" ht="12.5">
      <c r="B131" s="7" t="str">
        <f t="shared" si="29"/>
        <v/>
      </c>
      <c r="C131" s="50">
        <f>IF(D93="","-",+C130+1)</f>
        <v>2048</v>
      </c>
      <c r="D131" s="12">
        <f>IF(F130+SUM(E$99:E130)=D$92,F130,D$92-SUM(E$99:E130))</f>
        <v>336698.81318545766</v>
      </c>
      <c r="E131" s="378">
        <f>IF(+J96&lt;F130,J96,D131)</f>
        <v>27985.466136363637</v>
      </c>
      <c r="F131" s="55">
        <f t="shared" ref="F131:F154" si="50">+D131-E131</f>
        <v>308713.34704909404</v>
      </c>
      <c r="G131" s="55">
        <f t="shared" ref="G131:G154" si="51">+(F131+D131)/2</f>
        <v>322706.08011727582</v>
      </c>
      <c r="H131" s="380">
        <f t="shared" si="48"/>
        <v>68170.873157489477</v>
      </c>
      <c r="I131" s="399">
        <f t="shared" si="49"/>
        <v>68170.873157489477</v>
      </c>
      <c r="J131" s="54">
        <f t="shared" ref="J131:J154" si="52">+I541-H541</f>
        <v>0</v>
      </c>
      <c r="K131" s="54"/>
      <c r="L131" s="129"/>
      <c r="M131" s="54">
        <f t="shared" ref="M131:M154" si="53">IF(L541&lt;&gt;0,+H541-L541,0)</f>
        <v>0</v>
      </c>
      <c r="N131" s="129"/>
      <c r="O131" s="54">
        <f t="shared" ref="O131:O154" si="54">IF(N541&lt;&gt;0,+I541-N541,0)</f>
        <v>0</v>
      </c>
      <c r="P131" s="54">
        <f t="shared" ref="P131:P154" si="55">+O541-M541</f>
        <v>0</v>
      </c>
    </row>
    <row r="132" spans="2:16" ht="12.5">
      <c r="B132" s="7" t="str">
        <f t="shared" si="29"/>
        <v/>
      </c>
      <c r="C132" s="50">
        <f>IF(D93="","-",+C131+1)</f>
        <v>2049</v>
      </c>
      <c r="D132" s="12">
        <f>IF(F131+SUM(E$99:E131)=D$92,F131,D$92-SUM(E$99:E131))</f>
        <v>308713.34704909404</v>
      </c>
      <c r="E132" s="378">
        <f>IF(+J96&lt;F131,J96,D132)</f>
        <v>27985.466136363637</v>
      </c>
      <c r="F132" s="55">
        <f t="shared" si="50"/>
        <v>280727.88091273041</v>
      </c>
      <c r="G132" s="55">
        <f t="shared" si="51"/>
        <v>294720.61398091225</v>
      </c>
      <c r="H132" s="380">
        <f t="shared" si="48"/>
        <v>64685.945489076767</v>
      </c>
      <c r="I132" s="399">
        <f t="shared" si="49"/>
        <v>64685.945489076767</v>
      </c>
      <c r="J132" s="54">
        <f t="shared" si="52"/>
        <v>0</v>
      </c>
      <c r="K132" s="54"/>
      <c r="L132" s="129"/>
      <c r="M132" s="54">
        <f t="shared" si="53"/>
        <v>0</v>
      </c>
      <c r="N132" s="129"/>
      <c r="O132" s="54">
        <f t="shared" si="54"/>
        <v>0</v>
      </c>
      <c r="P132" s="54">
        <f t="shared" si="55"/>
        <v>0</v>
      </c>
    </row>
    <row r="133" spans="2:16" ht="12.5">
      <c r="B133" s="7" t="str">
        <f t="shared" si="29"/>
        <v/>
      </c>
      <c r="C133" s="50">
        <f>IF(D93="","-",+C132+1)</f>
        <v>2050</v>
      </c>
      <c r="D133" s="12">
        <f>IF(F132+SUM(E$99:E132)=D$92,F132,D$92-SUM(E$99:E132))</f>
        <v>280727.88091273041</v>
      </c>
      <c r="E133" s="378">
        <f>IF(+J96&lt;F132,J96,D133)</f>
        <v>27985.466136363637</v>
      </c>
      <c r="F133" s="55">
        <f t="shared" si="50"/>
        <v>252742.41477636679</v>
      </c>
      <c r="G133" s="55">
        <f t="shared" si="51"/>
        <v>266735.14784454857</v>
      </c>
      <c r="H133" s="380">
        <f t="shared" si="48"/>
        <v>61201.017820664041</v>
      </c>
      <c r="I133" s="399">
        <f t="shared" si="49"/>
        <v>61201.017820664041</v>
      </c>
      <c r="J133" s="54">
        <f t="shared" si="52"/>
        <v>0</v>
      </c>
      <c r="K133" s="54"/>
      <c r="L133" s="129"/>
      <c r="M133" s="54">
        <f t="shared" si="53"/>
        <v>0</v>
      </c>
      <c r="N133" s="129"/>
      <c r="O133" s="54">
        <f t="shared" si="54"/>
        <v>0</v>
      </c>
      <c r="P133" s="54">
        <f t="shared" si="55"/>
        <v>0</v>
      </c>
    </row>
    <row r="134" spans="2:16" ht="12.5">
      <c r="B134" s="7" t="str">
        <f t="shared" si="29"/>
        <v/>
      </c>
      <c r="C134" s="50">
        <f>IF(D93="","-",+C133+1)</f>
        <v>2051</v>
      </c>
      <c r="D134" s="12">
        <f>IF(F133+SUM(E$99:E133)=D$92,F133,D$92-SUM(E$99:E133))</f>
        <v>252742.41477636679</v>
      </c>
      <c r="E134" s="378">
        <f>IF(+J96&lt;F133,J96,D134)</f>
        <v>27985.466136363637</v>
      </c>
      <c r="F134" s="55">
        <f t="shared" si="50"/>
        <v>224756.94864000316</v>
      </c>
      <c r="G134" s="55">
        <f t="shared" si="51"/>
        <v>238749.68170818497</v>
      </c>
      <c r="H134" s="380">
        <f t="shared" si="48"/>
        <v>57716.090152251316</v>
      </c>
      <c r="I134" s="399">
        <f t="shared" si="49"/>
        <v>57716.090152251316</v>
      </c>
      <c r="J134" s="54">
        <f t="shared" si="52"/>
        <v>0</v>
      </c>
      <c r="K134" s="54"/>
      <c r="L134" s="129"/>
      <c r="M134" s="54">
        <f t="shared" si="53"/>
        <v>0</v>
      </c>
      <c r="N134" s="129"/>
      <c r="O134" s="54">
        <f t="shared" si="54"/>
        <v>0</v>
      </c>
      <c r="P134" s="54">
        <f t="shared" si="55"/>
        <v>0</v>
      </c>
    </row>
    <row r="135" spans="2:16" ht="12.5">
      <c r="B135" s="7" t="str">
        <f t="shared" si="29"/>
        <v/>
      </c>
      <c r="C135" s="50">
        <f>IF(D93="","-",+C134+1)</f>
        <v>2052</v>
      </c>
      <c r="D135" s="12">
        <f>IF(F134+SUM(E$99:E134)=D$92,F134,D$92-SUM(E$99:E134))</f>
        <v>224756.94864000316</v>
      </c>
      <c r="E135" s="378">
        <f>IF(+J96&lt;F134,J96,D135)</f>
        <v>27985.466136363637</v>
      </c>
      <c r="F135" s="55">
        <f t="shared" si="50"/>
        <v>196771.48250363953</v>
      </c>
      <c r="G135" s="55">
        <f t="shared" si="51"/>
        <v>210764.21557182135</v>
      </c>
      <c r="H135" s="380">
        <f t="shared" si="48"/>
        <v>54231.162483838598</v>
      </c>
      <c r="I135" s="399">
        <f t="shared" si="49"/>
        <v>54231.162483838598</v>
      </c>
      <c r="J135" s="54">
        <f t="shared" si="52"/>
        <v>0</v>
      </c>
      <c r="K135" s="54"/>
      <c r="L135" s="129"/>
      <c r="M135" s="54">
        <f t="shared" si="53"/>
        <v>0</v>
      </c>
      <c r="N135" s="129"/>
      <c r="O135" s="54">
        <f t="shared" si="54"/>
        <v>0</v>
      </c>
      <c r="P135" s="54">
        <f t="shared" si="55"/>
        <v>0</v>
      </c>
    </row>
    <row r="136" spans="2:16" ht="12.5">
      <c r="B136" s="7" t="str">
        <f t="shared" si="29"/>
        <v/>
      </c>
      <c r="C136" s="50">
        <f>IF(D93="","-",+C135+1)</f>
        <v>2053</v>
      </c>
      <c r="D136" s="12">
        <f>IF(F135+SUM(E$99:E135)=D$92,F135,D$92-SUM(E$99:E135))</f>
        <v>196771.48250363953</v>
      </c>
      <c r="E136" s="378">
        <f>IF(+J96&lt;F135,J96,D136)</f>
        <v>27985.466136363637</v>
      </c>
      <c r="F136" s="55">
        <f t="shared" si="50"/>
        <v>168786.01636727591</v>
      </c>
      <c r="G136" s="55">
        <f t="shared" si="51"/>
        <v>182778.74943545772</v>
      </c>
      <c r="H136" s="380">
        <f t="shared" si="48"/>
        <v>50746.23481542588</v>
      </c>
      <c r="I136" s="399">
        <f t="shared" si="49"/>
        <v>50746.23481542588</v>
      </c>
      <c r="J136" s="54">
        <f t="shared" si="52"/>
        <v>0</v>
      </c>
      <c r="K136" s="54"/>
      <c r="L136" s="129"/>
      <c r="M136" s="54">
        <f t="shared" si="53"/>
        <v>0</v>
      </c>
      <c r="N136" s="129"/>
      <c r="O136" s="54">
        <f t="shared" si="54"/>
        <v>0</v>
      </c>
      <c r="P136" s="54">
        <f t="shared" si="55"/>
        <v>0</v>
      </c>
    </row>
    <row r="137" spans="2:16" ht="12.5">
      <c r="B137" s="7" t="str">
        <f t="shared" si="29"/>
        <v/>
      </c>
      <c r="C137" s="50">
        <f>IF(D93="","-",+C136+1)</f>
        <v>2054</v>
      </c>
      <c r="D137" s="12">
        <f>IF(F136+SUM(E$99:E136)=D$92,F136,D$92-SUM(E$99:E136))</f>
        <v>168786.01636727591</v>
      </c>
      <c r="E137" s="378">
        <f>IF(+J96&lt;F136,J96,D137)</f>
        <v>27985.466136363637</v>
      </c>
      <c r="F137" s="55">
        <f t="shared" si="50"/>
        <v>140800.55023091228</v>
      </c>
      <c r="G137" s="55">
        <f t="shared" si="51"/>
        <v>154793.2832990941</v>
      </c>
      <c r="H137" s="380">
        <f t="shared" si="48"/>
        <v>47261.307147013162</v>
      </c>
      <c r="I137" s="399">
        <f t="shared" si="49"/>
        <v>47261.307147013162</v>
      </c>
      <c r="J137" s="54">
        <f t="shared" si="52"/>
        <v>0</v>
      </c>
      <c r="K137" s="54"/>
      <c r="L137" s="129"/>
      <c r="M137" s="54">
        <f t="shared" si="53"/>
        <v>0</v>
      </c>
      <c r="N137" s="129"/>
      <c r="O137" s="54">
        <f t="shared" si="54"/>
        <v>0</v>
      </c>
      <c r="P137" s="54">
        <f t="shared" si="55"/>
        <v>0</v>
      </c>
    </row>
    <row r="138" spans="2:16" ht="12.5">
      <c r="B138" s="7" t="str">
        <f t="shared" si="29"/>
        <v/>
      </c>
      <c r="C138" s="50">
        <f>IF(D93="","-",+C137+1)</f>
        <v>2055</v>
      </c>
      <c r="D138" s="12">
        <f>IF(F137+SUM(E$99:E137)=D$92,F137,D$92-SUM(E$99:E137))</f>
        <v>140800.55023091228</v>
      </c>
      <c r="E138" s="378">
        <f>IF(+J96&lt;F137,J96,D138)</f>
        <v>27985.466136363637</v>
      </c>
      <c r="F138" s="55">
        <f t="shared" si="50"/>
        <v>112815.08409454864</v>
      </c>
      <c r="G138" s="55">
        <f t="shared" si="51"/>
        <v>126807.81716273047</v>
      </c>
      <c r="H138" s="380">
        <f t="shared" si="48"/>
        <v>43776.379478600444</v>
      </c>
      <c r="I138" s="399">
        <f t="shared" si="49"/>
        <v>43776.379478600444</v>
      </c>
      <c r="J138" s="54">
        <f t="shared" si="52"/>
        <v>0</v>
      </c>
      <c r="K138" s="54"/>
      <c r="L138" s="129"/>
      <c r="M138" s="54">
        <f t="shared" si="53"/>
        <v>0</v>
      </c>
      <c r="N138" s="129"/>
      <c r="O138" s="54">
        <f t="shared" si="54"/>
        <v>0</v>
      </c>
      <c r="P138" s="54">
        <f t="shared" si="55"/>
        <v>0</v>
      </c>
    </row>
    <row r="139" spans="2:16" ht="12.5">
      <c r="B139" s="7" t="str">
        <f t="shared" si="29"/>
        <v/>
      </c>
      <c r="C139" s="50">
        <f>IF(D93="","-",+C138+1)</f>
        <v>2056</v>
      </c>
      <c r="D139" s="12">
        <f>IF(F138+SUM(E$99:E138)=D$92,F138,D$92-SUM(E$99:E138))</f>
        <v>112815.08409454864</v>
      </c>
      <c r="E139" s="378">
        <f>IF(+J96&lt;F138,J96,D139)</f>
        <v>27985.466136363637</v>
      </c>
      <c r="F139" s="55">
        <f t="shared" si="50"/>
        <v>84829.617958185001</v>
      </c>
      <c r="G139" s="55">
        <f t="shared" si="51"/>
        <v>98822.351026366814</v>
      </c>
      <c r="H139" s="380">
        <f t="shared" si="48"/>
        <v>40291.451810187718</v>
      </c>
      <c r="I139" s="399">
        <f t="shared" si="49"/>
        <v>40291.451810187718</v>
      </c>
      <c r="J139" s="54">
        <f t="shared" si="52"/>
        <v>0</v>
      </c>
      <c r="K139" s="54"/>
      <c r="L139" s="129"/>
      <c r="M139" s="54">
        <f t="shared" si="53"/>
        <v>0</v>
      </c>
      <c r="N139" s="129"/>
      <c r="O139" s="54">
        <f t="shared" si="54"/>
        <v>0</v>
      </c>
      <c r="P139" s="54">
        <f t="shared" si="55"/>
        <v>0</v>
      </c>
    </row>
    <row r="140" spans="2:16" ht="12.5">
      <c r="B140" s="7" t="str">
        <f t="shared" si="29"/>
        <v/>
      </c>
      <c r="C140" s="50">
        <f>IF(D93="","-",+C139+1)</f>
        <v>2057</v>
      </c>
      <c r="D140" s="12">
        <f>IF(F139+SUM(E$99:E139)=D$92,F139,D$92-SUM(E$99:E139))</f>
        <v>84829.617958185001</v>
      </c>
      <c r="E140" s="378">
        <f>IF(+J96&lt;F139,J96,D140)</f>
        <v>27985.466136363637</v>
      </c>
      <c r="F140" s="55">
        <f t="shared" si="50"/>
        <v>56844.15182182136</v>
      </c>
      <c r="G140" s="55">
        <f t="shared" si="51"/>
        <v>70836.884890003188</v>
      </c>
      <c r="H140" s="380">
        <f t="shared" si="48"/>
        <v>36806.524141775</v>
      </c>
      <c r="I140" s="399">
        <f t="shared" si="49"/>
        <v>36806.524141775</v>
      </c>
      <c r="J140" s="54">
        <f t="shared" si="52"/>
        <v>0</v>
      </c>
      <c r="K140" s="54"/>
      <c r="L140" s="129"/>
      <c r="M140" s="54">
        <f t="shared" si="53"/>
        <v>0</v>
      </c>
      <c r="N140" s="129"/>
      <c r="O140" s="54">
        <f t="shared" si="54"/>
        <v>0</v>
      </c>
      <c r="P140" s="54">
        <f t="shared" si="55"/>
        <v>0</v>
      </c>
    </row>
    <row r="141" spans="2:16" ht="12.5">
      <c r="B141" s="7" t="str">
        <f t="shared" si="29"/>
        <v/>
      </c>
      <c r="C141" s="50">
        <f>IF(D93="","-",+C140+1)</f>
        <v>2058</v>
      </c>
      <c r="D141" s="12">
        <f>IF(F140+SUM(E$99:E140)=D$92,F140,D$92-SUM(E$99:E140))</f>
        <v>56844.15182182136</v>
      </c>
      <c r="E141" s="378">
        <f>IF(+J96&lt;F140,J96,D141)</f>
        <v>27985.466136363637</v>
      </c>
      <c r="F141" s="55">
        <f t="shared" si="50"/>
        <v>28858.685685457724</v>
      </c>
      <c r="G141" s="55">
        <f t="shared" si="51"/>
        <v>42851.41875363954</v>
      </c>
      <c r="H141" s="380">
        <f t="shared" si="48"/>
        <v>33321.596473362282</v>
      </c>
      <c r="I141" s="399">
        <f t="shared" si="49"/>
        <v>33321.596473362282</v>
      </c>
      <c r="J141" s="54">
        <f t="shared" si="52"/>
        <v>0</v>
      </c>
      <c r="K141" s="54"/>
      <c r="L141" s="129"/>
      <c r="M141" s="54">
        <f t="shared" si="53"/>
        <v>0</v>
      </c>
      <c r="N141" s="129"/>
      <c r="O141" s="54">
        <f t="shared" si="54"/>
        <v>0</v>
      </c>
      <c r="P141" s="54">
        <f t="shared" si="55"/>
        <v>0</v>
      </c>
    </row>
    <row r="142" spans="2:16" ht="12.5">
      <c r="B142" s="7" t="str">
        <f t="shared" si="29"/>
        <v/>
      </c>
      <c r="C142" s="50">
        <f>IF(D93="","-",+C141+1)</f>
        <v>2059</v>
      </c>
      <c r="D142" s="12">
        <f>IF(F141+SUM(E$99:E141)=D$92,F141,D$92-SUM(E$99:E141))</f>
        <v>28858.685685457724</v>
      </c>
      <c r="E142" s="378">
        <f>IF(+J96&lt;F141,J96,D142)</f>
        <v>27985.466136363637</v>
      </c>
      <c r="F142" s="55">
        <f t="shared" si="50"/>
        <v>873.21954909408669</v>
      </c>
      <c r="G142" s="55">
        <f t="shared" si="51"/>
        <v>14865.952617275905</v>
      </c>
      <c r="H142" s="380">
        <f t="shared" si="48"/>
        <v>29836.668804949557</v>
      </c>
      <c r="I142" s="399">
        <f t="shared" si="49"/>
        <v>29836.668804949557</v>
      </c>
      <c r="J142" s="54">
        <f t="shared" si="52"/>
        <v>0</v>
      </c>
      <c r="K142" s="54"/>
      <c r="L142" s="129"/>
      <c r="M142" s="54">
        <f t="shared" si="53"/>
        <v>0</v>
      </c>
      <c r="N142" s="129"/>
      <c r="O142" s="54">
        <f t="shared" si="54"/>
        <v>0</v>
      </c>
      <c r="P142" s="54">
        <f t="shared" si="55"/>
        <v>0</v>
      </c>
    </row>
    <row r="143" spans="2:16" ht="12.5">
      <c r="B143" s="7" t="str">
        <f t="shared" si="29"/>
        <v/>
      </c>
      <c r="C143" s="50">
        <f>IF(D93="","-",+C142+1)</f>
        <v>2060</v>
      </c>
      <c r="D143" s="12">
        <f>IF(F142+SUM(E$99:E142)=D$92,F142,D$92-SUM(E$99:E142))</f>
        <v>873.21954909408669</v>
      </c>
      <c r="E143" s="378">
        <f>IF(+J96&lt;F142,J96,D143)</f>
        <v>873.21954909408669</v>
      </c>
      <c r="F143" s="55">
        <f t="shared" si="50"/>
        <v>0</v>
      </c>
      <c r="G143" s="55">
        <f t="shared" si="51"/>
        <v>436.60977454704334</v>
      </c>
      <c r="H143" s="380">
        <f t="shared" si="48"/>
        <v>927.58896628386731</v>
      </c>
      <c r="I143" s="399">
        <f t="shared" si="49"/>
        <v>927.58896628386731</v>
      </c>
      <c r="J143" s="54">
        <f t="shared" si="52"/>
        <v>0</v>
      </c>
      <c r="K143" s="54"/>
      <c r="L143" s="129"/>
      <c r="M143" s="54">
        <f t="shared" si="53"/>
        <v>0</v>
      </c>
      <c r="N143" s="129"/>
      <c r="O143" s="54">
        <f t="shared" si="54"/>
        <v>0</v>
      </c>
      <c r="P143" s="54">
        <f t="shared" si="55"/>
        <v>0</v>
      </c>
    </row>
    <row r="144" spans="2:16" ht="12.5">
      <c r="B144" s="7" t="str">
        <f t="shared" si="29"/>
        <v/>
      </c>
      <c r="C144" s="50">
        <f>IF(D93="","-",+C143+1)</f>
        <v>2061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50"/>
        <v>0</v>
      </c>
      <c r="G144" s="55">
        <f t="shared" si="51"/>
        <v>0</v>
      </c>
      <c r="H144" s="380">
        <f t="shared" si="48"/>
        <v>0</v>
      </c>
      <c r="I144" s="399">
        <f t="shared" si="49"/>
        <v>0</v>
      </c>
      <c r="J144" s="54">
        <f t="shared" si="52"/>
        <v>0</v>
      </c>
      <c r="K144" s="54"/>
      <c r="L144" s="129"/>
      <c r="M144" s="54">
        <f t="shared" si="53"/>
        <v>0</v>
      </c>
      <c r="N144" s="129"/>
      <c r="O144" s="54">
        <f t="shared" si="54"/>
        <v>0</v>
      </c>
      <c r="P144" s="54">
        <f t="shared" si="55"/>
        <v>0</v>
      </c>
    </row>
    <row r="145" spans="2:16" ht="12.5">
      <c r="B145" s="7" t="str">
        <f t="shared" si="29"/>
        <v/>
      </c>
      <c r="C145" s="50">
        <f>IF(D93="","-",+C144+1)</f>
        <v>2062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50"/>
        <v>0</v>
      </c>
      <c r="G145" s="55">
        <f t="shared" si="51"/>
        <v>0</v>
      </c>
      <c r="H145" s="380">
        <f t="shared" si="48"/>
        <v>0</v>
      </c>
      <c r="I145" s="399">
        <f t="shared" si="49"/>
        <v>0</v>
      </c>
      <c r="J145" s="54">
        <f t="shared" si="52"/>
        <v>0</v>
      </c>
      <c r="K145" s="54"/>
      <c r="L145" s="129"/>
      <c r="M145" s="54">
        <f t="shared" si="53"/>
        <v>0</v>
      </c>
      <c r="N145" s="129"/>
      <c r="O145" s="54">
        <f t="shared" si="54"/>
        <v>0</v>
      </c>
      <c r="P145" s="54">
        <f t="shared" si="55"/>
        <v>0</v>
      </c>
    </row>
    <row r="146" spans="2:16" ht="12.5">
      <c r="B146" s="7" t="str">
        <f t="shared" si="29"/>
        <v/>
      </c>
      <c r="C146" s="50">
        <f>IF(D93="","-",+C145+1)</f>
        <v>2063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50"/>
        <v>0</v>
      </c>
      <c r="G146" s="55">
        <f t="shared" si="51"/>
        <v>0</v>
      </c>
      <c r="H146" s="380">
        <f t="shared" si="48"/>
        <v>0</v>
      </c>
      <c r="I146" s="399">
        <f t="shared" si="49"/>
        <v>0</v>
      </c>
      <c r="J146" s="54">
        <f t="shared" si="52"/>
        <v>0</v>
      </c>
      <c r="K146" s="54"/>
      <c r="L146" s="129"/>
      <c r="M146" s="54">
        <f t="shared" si="53"/>
        <v>0</v>
      </c>
      <c r="N146" s="129"/>
      <c r="O146" s="54">
        <f t="shared" si="54"/>
        <v>0</v>
      </c>
      <c r="P146" s="54">
        <f t="shared" si="55"/>
        <v>0</v>
      </c>
    </row>
    <row r="147" spans="2:16" ht="12.5">
      <c r="B147" s="7" t="str">
        <f t="shared" si="29"/>
        <v/>
      </c>
      <c r="C147" s="50">
        <f>IF(D93="","-",+C146+1)</f>
        <v>2064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50"/>
        <v>0</v>
      </c>
      <c r="G147" s="55">
        <f t="shared" si="51"/>
        <v>0</v>
      </c>
      <c r="H147" s="380">
        <f t="shared" si="48"/>
        <v>0</v>
      </c>
      <c r="I147" s="399">
        <f t="shared" si="49"/>
        <v>0</v>
      </c>
      <c r="J147" s="54">
        <f t="shared" si="52"/>
        <v>0</v>
      </c>
      <c r="K147" s="54"/>
      <c r="L147" s="129"/>
      <c r="M147" s="54">
        <f t="shared" si="53"/>
        <v>0</v>
      </c>
      <c r="N147" s="129"/>
      <c r="O147" s="54">
        <f t="shared" si="54"/>
        <v>0</v>
      </c>
      <c r="P147" s="54">
        <f t="shared" si="55"/>
        <v>0</v>
      </c>
    </row>
    <row r="148" spans="2:16" ht="12.5">
      <c r="B148" s="7" t="str">
        <f t="shared" si="29"/>
        <v/>
      </c>
      <c r="C148" s="50">
        <f>IF(D93="","-",+C147+1)</f>
        <v>2065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50"/>
        <v>0</v>
      </c>
      <c r="G148" s="55">
        <f t="shared" si="51"/>
        <v>0</v>
      </c>
      <c r="H148" s="380">
        <f t="shared" si="48"/>
        <v>0</v>
      </c>
      <c r="I148" s="399">
        <f t="shared" si="49"/>
        <v>0</v>
      </c>
      <c r="J148" s="54">
        <f t="shared" si="52"/>
        <v>0</v>
      </c>
      <c r="K148" s="54"/>
      <c r="L148" s="129"/>
      <c r="M148" s="54">
        <f t="shared" si="53"/>
        <v>0</v>
      </c>
      <c r="N148" s="129"/>
      <c r="O148" s="54">
        <f t="shared" si="54"/>
        <v>0</v>
      </c>
      <c r="P148" s="54">
        <f t="shared" si="55"/>
        <v>0</v>
      </c>
    </row>
    <row r="149" spans="2:16" ht="12.5">
      <c r="B149" s="7" t="str">
        <f t="shared" si="29"/>
        <v/>
      </c>
      <c r="C149" s="50">
        <f>IF(D93="","-",+C148+1)</f>
        <v>2066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50"/>
        <v>0</v>
      </c>
      <c r="G149" s="55">
        <f t="shared" si="51"/>
        <v>0</v>
      </c>
      <c r="H149" s="380">
        <f t="shared" si="48"/>
        <v>0</v>
      </c>
      <c r="I149" s="399">
        <f t="shared" si="49"/>
        <v>0</v>
      </c>
      <c r="J149" s="54">
        <f t="shared" si="52"/>
        <v>0</v>
      </c>
      <c r="K149" s="54"/>
      <c r="L149" s="129"/>
      <c r="M149" s="54">
        <f t="shared" si="53"/>
        <v>0</v>
      </c>
      <c r="N149" s="129"/>
      <c r="O149" s="54">
        <f t="shared" si="54"/>
        <v>0</v>
      </c>
      <c r="P149" s="54">
        <f t="shared" si="55"/>
        <v>0</v>
      </c>
    </row>
    <row r="150" spans="2:16" ht="12.5">
      <c r="B150" s="7" t="str">
        <f t="shared" si="29"/>
        <v/>
      </c>
      <c r="C150" s="50">
        <f>IF(D93="","-",+C149+1)</f>
        <v>2067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50"/>
        <v>0</v>
      </c>
      <c r="G150" s="55">
        <f t="shared" si="51"/>
        <v>0</v>
      </c>
      <c r="H150" s="380">
        <f t="shared" si="48"/>
        <v>0</v>
      </c>
      <c r="I150" s="399">
        <f t="shared" si="49"/>
        <v>0</v>
      </c>
      <c r="J150" s="54">
        <f t="shared" si="52"/>
        <v>0</v>
      </c>
      <c r="K150" s="54"/>
      <c r="L150" s="129"/>
      <c r="M150" s="54">
        <f t="shared" si="53"/>
        <v>0</v>
      </c>
      <c r="N150" s="129"/>
      <c r="O150" s="54">
        <f t="shared" si="54"/>
        <v>0</v>
      </c>
      <c r="P150" s="54">
        <f t="shared" si="55"/>
        <v>0</v>
      </c>
    </row>
    <row r="151" spans="2:16" ht="12.5">
      <c r="B151" s="7" t="str">
        <f t="shared" si="29"/>
        <v/>
      </c>
      <c r="C151" s="50">
        <f>IF(D93="","-",+C150+1)</f>
        <v>2068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50"/>
        <v>0</v>
      </c>
      <c r="G151" s="55">
        <f t="shared" si="51"/>
        <v>0</v>
      </c>
      <c r="H151" s="380">
        <f t="shared" si="48"/>
        <v>0</v>
      </c>
      <c r="I151" s="399">
        <f t="shared" si="49"/>
        <v>0</v>
      </c>
      <c r="J151" s="54">
        <f t="shared" si="52"/>
        <v>0</v>
      </c>
      <c r="K151" s="54"/>
      <c r="L151" s="129"/>
      <c r="M151" s="54">
        <f t="shared" si="53"/>
        <v>0</v>
      </c>
      <c r="N151" s="129"/>
      <c r="O151" s="54">
        <f t="shared" si="54"/>
        <v>0</v>
      </c>
      <c r="P151" s="54">
        <f t="shared" si="55"/>
        <v>0</v>
      </c>
    </row>
    <row r="152" spans="2:16" ht="12.5">
      <c r="B152" s="7" t="str">
        <f t="shared" si="29"/>
        <v/>
      </c>
      <c r="C152" s="50">
        <f>IF(D93="","-",+C151+1)</f>
        <v>2069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50"/>
        <v>0</v>
      </c>
      <c r="G152" s="55">
        <f t="shared" si="51"/>
        <v>0</v>
      </c>
      <c r="H152" s="380">
        <f t="shared" si="48"/>
        <v>0</v>
      </c>
      <c r="I152" s="399">
        <f t="shared" si="49"/>
        <v>0</v>
      </c>
      <c r="J152" s="54">
        <f t="shared" si="52"/>
        <v>0</v>
      </c>
      <c r="K152" s="54"/>
      <c r="L152" s="129"/>
      <c r="M152" s="54">
        <f t="shared" si="53"/>
        <v>0</v>
      </c>
      <c r="N152" s="129"/>
      <c r="O152" s="54">
        <f t="shared" si="54"/>
        <v>0</v>
      </c>
      <c r="P152" s="54">
        <f t="shared" si="55"/>
        <v>0</v>
      </c>
    </row>
    <row r="153" spans="2:16" ht="12.5">
      <c r="B153" s="7" t="str">
        <f t="shared" si="29"/>
        <v/>
      </c>
      <c r="C153" s="50">
        <f>IF(D93="","-",+C152+1)</f>
        <v>2070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50"/>
        <v>0</v>
      </c>
      <c r="G153" s="55">
        <f t="shared" si="51"/>
        <v>0</v>
      </c>
      <c r="H153" s="380">
        <f t="shared" si="48"/>
        <v>0</v>
      </c>
      <c r="I153" s="399">
        <f t="shared" si="49"/>
        <v>0</v>
      </c>
      <c r="J153" s="54">
        <f t="shared" si="52"/>
        <v>0</v>
      </c>
      <c r="K153" s="54"/>
      <c r="L153" s="129"/>
      <c r="M153" s="54">
        <f t="shared" si="53"/>
        <v>0</v>
      </c>
      <c r="N153" s="129"/>
      <c r="O153" s="54">
        <f t="shared" si="54"/>
        <v>0</v>
      </c>
      <c r="P153" s="54">
        <f t="shared" si="55"/>
        <v>0</v>
      </c>
    </row>
    <row r="154" spans="2:16" ht="13" thickBot="1">
      <c r="B154" s="7" t="str">
        <f t="shared" si="29"/>
        <v/>
      </c>
      <c r="C154" s="59">
        <f>IF(D93="","-",+C153+1)</f>
        <v>2071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50"/>
        <v>0</v>
      </c>
      <c r="G154" s="60">
        <f t="shared" si="51"/>
        <v>0</v>
      </c>
      <c r="H154" s="382">
        <f t="shared" si="48"/>
        <v>0</v>
      </c>
      <c r="I154" s="400">
        <f t="shared" si="49"/>
        <v>0</v>
      </c>
      <c r="J154" s="64">
        <f t="shared" si="52"/>
        <v>0</v>
      </c>
      <c r="K154" s="54"/>
      <c r="L154" s="130"/>
      <c r="M154" s="64">
        <f t="shared" si="53"/>
        <v>0</v>
      </c>
      <c r="N154" s="130"/>
      <c r="O154" s="64">
        <f t="shared" si="54"/>
        <v>0</v>
      </c>
      <c r="P154" s="64">
        <f t="shared" si="55"/>
        <v>0</v>
      </c>
    </row>
    <row r="155" spans="2:16" ht="12.5">
      <c r="C155" s="12" t="s">
        <v>78</v>
      </c>
      <c r="D155" s="293"/>
      <c r="E155" s="293">
        <f>SUM(E99:E154)</f>
        <v>1231360.5099999998</v>
      </c>
      <c r="F155" s="293"/>
      <c r="G155" s="293"/>
      <c r="H155" s="293">
        <f>SUM(H99:H154)</f>
        <v>4452972.9366856832</v>
      </c>
      <c r="I155" s="293">
        <f>SUM(I99:I154)</f>
        <v>4452972.9366856832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 ht="12.5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 ht="13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43" priority="1" stopIfTrue="1" operator="equal">
      <formula>$I$10</formula>
    </cfRule>
  </conditionalFormatting>
  <conditionalFormatting sqref="C99:C154">
    <cfRule type="cellIs" dxfId="4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107"/>
  <dimension ref="A1:P162"/>
  <sheetViews>
    <sheetView topLeftCell="A80" zoomScaleNormal="100" zoomScaleSheetLayoutView="80" workbookViewId="0">
      <selection activeCell="D25" sqref="D25:H25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58 of 77</v>
      </c>
    </row>
    <row r="2" spans="1:16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3029068.3185003367</v>
      </c>
      <c r="P5" s="1"/>
    </row>
    <row r="6" spans="1:16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3029068.3185003367</v>
      </c>
      <c r="O6" s="1"/>
      <c r="P6" s="1"/>
    </row>
    <row r="7" spans="1:16" ht="13.5" thickBot="1">
      <c r="C7" s="25" t="s">
        <v>48</v>
      </c>
      <c r="D7" s="90" t="s">
        <v>365</v>
      </c>
      <c r="E7" s="406"/>
      <c r="F7" s="406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406</v>
      </c>
      <c r="E9" s="436" t="s">
        <v>407</v>
      </c>
      <c r="F9" s="31"/>
      <c r="G9" s="31"/>
      <c r="H9" s="31"/>
      <c r="I9" s="32"/>
      <c r="J9" s="33"/>
      <c r="P9" s="1"/>
    </row>
    <row r="10" spans="1:16" ht="13">
      <c r="C10" s="34" t="s">
        <v>51</v>
      </c>
      <c r="D10" s="363">
        <v>25330929.210000001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6" ht="12.5">
      <c r="C11" s="34" t="s">
        <v>54</v>
      </c>
      <c r="D11" s="37">
        <v>2016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3">
        <v>4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575702.93659090914</v>
      </c>
      <c r="J14" s="293"/>
      <c r="K14" s="293"/>
      <c r="L14" s="293"/>
      <c r="M14" s="293"/>
      <c r="N14" s="293"/>
      <c r="O14" s="1"/>
      <c r="P14" s="1"/>
    </row>
    <row r="15" spans="1:16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2016</v>
      </c>
      <c r="D17" s="431">
        <v>23229161</v>
      </c>
      <c r="E17" s="430">
        <v>276537.63095238095</v>
      </c>
      <c r="F17" s="431">
        <v>22952623.369047619</v>
      </c>
      <c r="G17" s="430">
        <v>3262214.3054167381</v>
      </c>
      <c r="H17" s="438">
        <v>3262214.3054167381</v>
      </c>
      <c r="I17" s="52">
        <f t="shared" ref="I17:I72" si="0">H17-G17</f>
        <v>0</v>
      </c>
      <c r="J17" s="52"/>
      <c r="K17" s="112">
        <f t="shared" ref="K17:K22" si="1">+G17</f>
        <v>3262214.3054167381</v>
      </c>
      <c r="L17" s="53">
        <f t="shared" ref="L17:L72" si="2">IF(K17&lt;&gt;0,+G17-K17,0)</f>
        <v>0</v>
      </c>
      <c r="M17" s="112">
        <f t="shared" ref="M17:M22" si="3">+H17</f>
        <v>3262214.3054167381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2017</v>
      </c>
      <c r="D18" s="147">
        <v>24940522.369047619</v>
      </c>
      <c r="E18" s="451">
        <v>586443.25581395347</v>
      </c>
      <c r="F18" s="147">
        <v>24354079.113233667</v>
      </c>
      <c r="G18" s="446">
        <v>3640059.7914396082</v>
      </c>
      <c r="H18" s="452">
        <v>3640059.7914396082</v>
      </c>
      <c r="I18" s="52">
        <f t="shared" si="0"/>
        <v>0</v>
      </c>
      <c r="J18" s="52"/>
      <c r="K18" s="113">
        <f t="shared" si="1"/>
        <v>3640059.7914396082</v>
      </c>
      <c r="L18" s="54">
        <f t="shared" ref="L18:L23" si="6">IF(K18&lt;&gt;0,+G18-K18,0)</f>
        <v>0</v>
      </c>
      <c r="M18" s="113">
        <f t="shared" si="3"/>
        <v>3640059.7914396082</v>
      </c>
      <c r="N18" s="54">
        <f>IF(M18&lt;&gt;0,+H18-M18,0)</f>
        <v>0</v>
      </c>
      <c r="O18" s="54">
        <f>+N18-L18</f>
        <v>0</v>
      </c>
      <c r="P18" s="1"/>
    </row>
    <row r="19" spans="2:16" ht="12.5">
      <c r="B19" s="7" t="str">
        <f>IF(D19=F18,"","IU")</f>
        <v/>
      </c>
      <c r="C19" s="50">
        <f>IF(D11="","-",+C18+1)</f>
        <v>2018</v>
      </c>
      <c r="D19" s="147">
        <v>24354079.113233667</v>
      </c>
      <c r="E19" s="451">
        <v>615050.24390243902</v>
      </c>
      <c r="F19" s="147">
        <v>23739028.869331229</v>
      </c>
      <c r="G19" s="446">
        <v>3671225.3557542209</v>
      </c>
      <c r="H19" s="452">
        <v>3671225.3557542209</v>
      </c>
      <c r="I19" s="52">
        <f t="shared" si="0"/>
        <v>0</v>
      </c>
      <c r="J19" s="52"/>
      <c r="K19" s="113">
        <f t="shared" si="1"/>
        <v>3671225.3557542209</v>
      </c>
      <c r="L19" s="54">
        <f t="shared" si="6"/>
        <v>0</v>
      </c>
      <c r="M19" s="113">
        <f t="shared" si="3"/>
        <v>3671225.3557542209</v>
      </c>
      <c r="N19" s="54">
        <f>IF(M19&lt;&gt;0,+H19-M19,0)</f>
        <v>0</v>
      </c>
      <c r="O19" s="54">
        <f>+N19-L19</f>
        <v>0</v>
      </c>
      <c r="P19" s="1"/>
    </row>
    <row r="20" spans="2:16" ht="12.5">
      <c r="B20" s="7" t="str">
        <f t="shared" ref="B20:B72" si="7">IF(D20=F19,"","IU")</f>
        <v/>
      </c>
      <c r="C20" s="50">
        <f>IF(D11="","-",+C19+1)</f>
        <v>2019</v>
      </c>
      <c r="D20" s="147">
        <v>23739028.869331229</v>
      </c>
      <c r="E20" s="451">
        <v>615050.24390243902</v>
      </c>
      <c r="F20" s="147">
        <v>23123978.625428792</v>
      </c>
      <c r="G20" s="446">
        <v>3593056.0992098348</v>
      </c>
      <c r="H20" s="452">
        <v>3593056.0992098348</v>
      </c>
      <c r="I20" s="52">
        <f t="shared" si="0"/>
        <v>0</v>
      </c>
      <c r="J20" s="52"/>
      <c r="K20" s="113">
        <f t="shared" si="1"/>
        <v>3593056.0992098348</v>
      </c>
      <c r="L20" s="54">
        <f t="shared" si="6"/>
        <v>0</v>
      </c>
      <c r="M20" s="113">
        <f t="shared" si="3"/>
        <v>3593056.0992098348</v>
      </c>
      <c r="N20" s="54">
        <f t="shared" si="4"/>
        <v>0</v>
      </c>
      <c r="O20" s="54">
        <f t="shared" si="5"/>
        <v>0</v>
      </c>
      <c r="P20" s="1"/>
    </row>
    <row r="21" spans="2:16" ht="12.5">
      <c r="B21" s="7" t="str">
        <f t="shared" si="7"/>
        <v/>
      </c>
      <c r="C21" s="50">
        <f>IF(D11="","-",+C20+1)</f>
        <v>2020</v>
      </c>
      <c r="D21" s="147">
        <v>23123978.625428792</v>
      </c>
      <c r="E21" s="451">
        <v>615050.24390243902</v>
      </c>
      <c r="F21" s="147">
        <v>22508928.381526355</v>
      </c>
      <c r="G21" s="446">
        <v>2949982.4012109563</v>
      </c>
      <c r="H21" s="452">
        <v>2949982.4012109563</v>
      </c>
      <c r="I21" s="52">
        <f t="shared" si="0"/>
        <v>0</v>
      </c>
      <c r="J21" s="52"/>
      <c r="K21" s="113">
        <f t="shared" si="1"/>
        <v>2949982.4012109563</v>
      </c>
      <c r="L21" s="54">
        <f t="shared" si="6"/>
        <v>0</v>
      </c>
      <c r="M21" s="113">
        <f t="shared" si="3"/>
        <v>2949982.4012109563</v>
      </c>
      <c r="N21" s="54">
        <f t="shared" si="4"/>
        <v>0</v>
      </c>
      <c r="O21" s="54">
        <f t="shared" si="5"/>
        <v>0</v>
      </c>
      <c r="P21" s="1"/>
    </row>
    <row r="22" spans="2:16" ht="12.5">
      <c r="B22" s="7" t="str">
        <f t="shared" si="7"/>
        <v>IU</v>
      </c>
      <c r="C22" s="50">
        <f>IF(D11="","-",+C21+1)</f>
        <v>2021</v>
      </c>
      <c r="D22" s="147">
        <v>22651404.369614832</v>
      </c>
      <c r="E22" s="451">
        <v>603117.35714285716</v>
      </c>
      <c r="F22" s="147">
        <v>22048287.012471974</v>
      </c>
      <c r="G22" s="446">
        <v>2972302.5813947208</v>
      </c>
      <c r="H22" s="452">
        <v>2972302.5813947208</v>
      </c>
      <c r="I22" s="52">
        <f t="shared" si="0"/>
        <v>0</v>
      </c>
      <c r="J22" s="52"/>
      <c r="K22" s="113">
        <f t="shared" si="1"/>
        <v>2972302.5813947208</v>
      </c>
      <c r="L22" s="54">
        <f t="shared" si="6"/>
        <v>0</v>
      </c>
      <c r="M22" s="113">
        <f t="shared" si="3"/>
        <v>2972302.5813947208</v>
      </c>
      <c r="N22" s="54">
        <f t="shared" si="4"/>
        <v>0</v>
      </c>
      <c r="O22" s="54">
        <f t="shared" si="5"/>
        <v>0</v>
      </c>
      <c r="P22" s="1"/>
    </row>
    <row r="23" spans="2:16" ht="12.5">
      <c r="B23" s="7" t="str">
        <f t="shared" si="7"/>
        <v>IU</v>
      </c>
      <c r="C23" s="50">
        <f>IF(D11="","-",+C22+1)</f>
        <v>2022</v>
      </c>
      <c r="D23" s="147">
        <v>22019680.024383493</v>
      </c>
      <c r="E23" s="451">
        <v>603117.35714285716</v>
      </c>
      <c r="F23" s="147">
        <v>21416562.667240635</v>
      </c>
      <c r="G23" s="446">
        <v>3045191.8978696284</v>
      </c>
      <c r="H23" s="452">
        <v>3045191.8978696284</v>
      </c>
      <c r="I23" s="52">
        <f t="shared" si="0"/>
        <v>0</v>
      </c>
      <c r="J23" s="52"/>
      <c r="K23" s="113">
        <f t="shared" ref="K23" si="8">+G23</f>
        <v>3045191.8978696284</v>
      </c>
      <c r="L23" s="54">
        <f t="shared" si="6"/>
        <v>0</v>
      </c>
      <c r="M23" s="113">
        <f t="shared" ref="M23" si="9">+H23</f>
        <v>3045191.8978696284</v>
      </c>
      <c r="N23" s="54">
        <f t="shared" si="4"/>
        <v>0</v>
      </c>
      <c r="O23" s="54">
        <f t="shared" si="5"/>
        <v>0</v>
      </c>
      <c r="P23" s="1"/>
    </row>
    <row r="24" spans="2:16" ht="12.5">
      <c r="B24" s="7" t="str">
        <f t="shared" si="7"/>
        <v>IU</v>
      </c>
      <c r="C24" s="50">
        <f>IF(D11="","-",+C23+1)</f>
        <v>2023</v>
      </c>
      <c r="D24" s="147">
        <v>21416562.877240635</v>
      </c>
      <c r="E24" s="451">
        <v>603117.36214285716</v>
      </c>
      <c r="F24" s="147">
        <v>20813445.515097778</v>
      </c>
      <c r="G24" s="446">
        <v>3270508.0204212591</v>
      </c>
      <c r="H24" s="452">
        <v>3270508.0204212591</v>
      </c>
      <c r="I24" s="52">
        <f t="shared" si="0"/>
        <v>0</v>
      </c>
      <c r="J24" s="52"/>
      <c r="K24" s="113">
        <f t="shared" ref="K24" si="10">+G24</f>
        <v>3270508.0204212591</v>
      </c>
      <c r="L24" s="54">
        <f t="shared" ref="L24" si="11">IF(K24&lt;&gt;0,+G24-K24,0)</f>
        <v>0</v>
      </c>
      <c r="M24" s="113">
        <f t="shared" ref="M24" si="12">+H24</f>
        <v>3270508.0204212591</v>
      </c>
      <c r="N24" s="54">
        <f t="shared" si="4"/>
        <v>0</v>
      </c>
      <c r="O24" s="54">
        <f t="shared" si="5"/>
        <v>0</v>
      </c>
      <c r="P24" s="1"/>
    </row>
    <row r="25" spans="2:16" ht="12.5">
      <c r="B25" s="7" t="str">
        <f t="shared" si="7"/>
        <v/>
      </c>
      <c r="C25" s="50">
        <f>IF(D11="","-",+C24+1)</f>
        <v>2024</v>
      </c>
      <c r="D25" s="147">
        <v>20813445.515097778</v>
      </c>
      <c r="E25" s="451">
        <v>575702.93659090914</v>
      </c>
      <c r="F25" s="147">
        <v>20237742.578506868</v>
      </c>
      <c r="G25" s="446">
        <v>3029068.3185003367</v>
      </c>
      <c r="H25" s="452">
        <v>3029068.3185003367</v>
      </c>
      <c r="I25" s="52">
        <f t="shared" si="0"/>
        <v>0</v>
      </c>
      <c r="J25" s="52"/>
      <c r="K25" s="113">
        <f t="shared" ref="K25" si="13">+G25</f>
        <v>3029068.3185003367</v>
      </c>
      <c r="L25" s="54">
        <f t="shared" ref="L25" si="14">IF(K25&lt;&gt;0,+G25-K25,0)</f>
        <v>0</v>
      </c>
      <c r="M25" s="113">
        <f t="shared" ref="M25" si="15">+H25</f>
        <v>3029068.3185003367</v>
      </c>
      <c r="N25" s="54">
        <f t="shared" ref="N25" si="16">IF(M25&lt;&gt;0,+H25-M25,0)</f>
        <v>0</v>
      </c>
      <c r="O25" s="54">
        <f t="shared" ref="O25" si="17">+N25-L25</f>
        <v>0</v>
      </c>
      <c r="P25" s="1"/>
    </row>
    <row r="26" spans="2:16" ht="12.5">
      <c r="B26" s="7" t="str">
        <f t="shared" si="7"/>
        <v/>
      </c>
      <c r="C26" s="50">
        <f>IF(D11="","-",+C25+1)</f>
        <v>2025</v>
      </c>
      <c r="D26" s="55">
        <f>IF(F25+SUM(E$17:E25)=D$10,F25,D$10-SUM(E$17:E25))</f>
        <v>20237742.578506868</v>
      </c>
      <c r="E26" s="378">
        <f>IF(+I14&lt;F25,I14,D26)</f>
        <v>575702.93659090914</v>
      </c>
      <c r="F26" s="55">
        <f t="shared" ref="F26:F72" si="18">+D26-E26</f>
        <v>19662039.641915958</v>
      </c>
      <c r="G26" s="379">
        <f t="shared" ref="G26:G49" si="19">+I$12*((D26+F26)/2)+E26</f>
        <v>2960256.1978048198</v>
      </c>
      <c r="H26" s="364">
        <f t="shared" ref="H26:H49" si="20">+I$13*((D26+F26)/2)+E26</f>
        <v>2960256.1978048198</v>
      </c>
      <c r="I26" s="52">
        <f t="shared" si="0"/>
        <v>0</v>
      </c>
      <c r="J26" s="52"/>
      <c r="K26" s="129"/>
      <c r="L26" s="54">
        <f t="shared" si="2"/>
        <v>0</v>
      </c>
      <c r="M26" s="129"/>
      <c r="N26" s="54">
        <f t="shared" si="4"/>
        <v>0</v>
      </c>
      <c r="O26" s="54">
        <f t="shared" si="5"/>
        <v>0</v>
      </c>
      <c r="P26" s="1"/>
    </row>
    <row r="27" spans="2:16" ht="12.5">
      <c r="B27" s="7" t="str">
        <f t="shared" si="7"/>
        <v/>
      </c>
      <c r="C27" s="50">
        <f>IF(D11="","-",+C26+1)</f>
        <v>2026</v>
      </c>
      <c r="D27" s="55">
        <f>IF(F26+SUM(E$17:E26)=D$10,F26,D$10-SUM(E$17:E26))</f>
        <v>19662039.641915958</v>
      </c>
      <c r="E27" s="378">
        <f>IF(+I14&lt;F26,I14,D27)</f>
        <v>575702.93659090914</v>
      </c>
      <c r="F27" s="55">
        <f t="shared" si="18"/>
        <v>19086336.705325048</v>
      </c>
      <c r="G27" s="379">
        <f t="shared" si="19"/>
        <v>2891444.0771093033</v>
      </c>
      <c r="H27" s="364">
        <f t="shared" si="20"/>
        <v>2891444.0771093033</v>
      </c>
      <c r="I27" s="52">
        <f t="shared" si="0"/>
        <v>0</v>
      </c>
      <c r="J27" s="52"/>
      <c r="K27" s="129"/>
      <c r="L27" s="54">
        <f t="shared" si="2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7"/>
        <v/>
      </c>
      <c r="C28" s="50">
        <f>IF(D11="","-",+C27+1)</f>
        <v>2027</v>
      </c>
      <c r="D28" s="55">
        <f>IF(F27+SUM(E$17:E27)=D$10,F27,D$10-SUM(E$17:E27))</f>
        <v>19086336.705325048</v>
      </c>
      <c r="E28" s="378">
        <f>IF(+I14&lt;F27,I14,D28)</f>
        <v>575702.93659090914</v>
      </c>
      <c r="F28" s="55">
        <f t="shared" si="18"/>
        <v>18510633.768734138</v>
      </c>
      <c r="G28" s="379">
        <f t="shared" si="19"/>
        <v>2822631.9564137869</v>
      </c>
      <c r="H28" s="364">
        <f t="shared" si="20"/>
        <v>2822631.9564137869</v>
      </c>
      <c r="I28" s="52">
        <f t="shared" si="0"/>
        <v>0</v>
      </c>
      <c r="J28" s="52"/>
      <c r="K28" s="129"/>
      <c r="L28" s="54">
        <f t="shared" si="2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7"/>
        <v/>
      </c>
      <c r="C29" s="50">
        <f>IF(D11="","-",+C28+1)</f>
        <v>2028</v>
      </c>
      <c r="D29" s="55">
        <f>IF(F28+SUM(E$17:E28)=D$10,F28,D$10-SUM(E$17:E28))</f>
        <v>18510633.768734138</v>
      </c>
      <c r="E29" s="378">
        <f>IF(+I14&lt;F28,I14,D29)</f>
        <v>575702.93659090914</v>
      </c>
      <c r="F29" s="55">
        <f t="shared" si="18"/>
        <v>17934930.832143229</v>
      </c>
      <c r="G29" s="379">
        <f t="shared" si="19"/>
        <v>2753819.8357182704</v>
      </c>
      <c r="H29" s="364">
        <f t="shared" si="20"/>
        <v>2753819.8357182704</v>
      </c>
      <c r="I29" s="52">
        <f t="shared" si="0"/>
        <v>0</v>
      </c>
      <c r="J29" s="52"/>
      <c r="K29" s="129"/>
      <c r="L29" s="54">
        <f t="shared" si="2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7"/>
        <v/>
      </c>
      <c r="C30" s="50">
        <f>IF(D11="","-",+C29+1)</f>
        <v>2029</v>
      </c>
      <c r="D30" s="55">
        <f>IF(F29+SUM(E$17:E29)=D$10,F29,D$10-SUM(E$17:E29))</f>
        <v>17934930.832143229</v>
      </c>
      <c r="E30" s="378">
        <f>IF(+I14&lt;F29,I14,D30)</f>
        <v>575702.93659090914</v>
      </c>
      <c r="F30" s="55">
        <f t="shared" si="18"/>
        <v>17359227.895552319</v>
      </c>
      <c r="G30" s="379">
        <f t="shared" si="19"/>
        <v>2685007.7150227539</v>
      </c>
      <c r="H30" s="364">
        <f t="shared" si="20"/>
        <v>2685007.7150227539</v>
      </c>
      <c r="I30" s="52">
        <f t="shared" si="0"/>
        <v>0</v>
      </c>
      <c r="J30" s="52"/>
      <c r="K30" s="129"/>
      <c r="L30" s="54">
        <f t="shared" si="2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7"/>
        <v/>
      </c>
      <c r="C31" s="50">
        <f>IF(D11="","-",+C30+1)</f>
        <v>2030</v>
      </c>
      <c r="D31" s="55">
        <f>IF(F30+SUM(E$17:E30)=D$10,F30,D$10-SUM(E$17:E30))</f>
        <v>17359227.895552319</v>
      </c>
      <c r="E31" s="378">
        <f>IF(+I14&lt;F30,I14,D31)</f>
        <v>575702.93659090914</v>
      </c>
      <c r="F31" s="55">
        <f t="shared" si="18"/>
        <v>16783524.958961409</v>
      </c>
      <c r="G31" s="379">
        <f t="shared" si="19"/>
        <v>2616195.5943272375</v>
      </c>
      <c r="H31" s="364">
        <f t="shared" si="20"/>
        <v>2616195.5943272375</v>
      </c>
      <c r="I31" s="52">
        <f t="shared" si="0"/>
        <v>0</v>
      </c>
      <c r="J31" s="52"/>
      <c r="K31" s="129"/>
      <c r="L31" s="54">
        <f t="shared" si="2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7"/>
        <v/>
      </c>
      <c r="C32" s="50">
        <f>IF(D11="","-",+C31+1)</f>
        <v>2031</v>
      </c>
      <c r="D32" s="55">
        <f>IF(F31+SUM(E$17:E31)=D$10,F31,D$10-SUM(E$17:E31))</f>
        <v>16783524.958961409</v>
      </c>
      <c r="E32" s="378">
        <f>IF(+I14&lt;F31,I14,D32)</f>
        <v>575702.93659090914</v>
      </c>
      <c r="F32" s="55">
        <f t="shared" si="18"/>
        <v>16207822.022370499</v>
      </c>
      <c r="G32" s="379">
        <f t="shared" si="19"/>
        <v>2547383.473631721</v>
      </c>
      <c r="H32" s="364">
        <f t="shared" si="20"/>
        <v>2547383.473631721</v>
      </c>
      <c r="I32" s="52">
        <f t="shared" si="0"/>
        <v>0</v>
      </c>
      <c r="J32" s="52"/>
      <c r="K32" s="129"/>
      <c r="L32" s="54">
        <f t="shared" si="2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7"/>
        <v/>
      </c>
      <c r="C33" s="50">
        <f>IF(D11="","-",+C32+1)</f>
        <v>2032</v>
      </c>
      <c r="D33" s="55">
        <f>IF(F32+SUM(E$17:E32)=D$10,F32,D$10-SUM(E$17:E32))</f>
        <v>16207822.022370499</v>
      </c>
      <c r="E33" s="378">
        <f>IF(+I14&lt;F32,I14,D33)</f>
        <v>575702.93659090914</v>
      </c>
      <c r="F33" s="55">
        <f t="shared" si="18"/>
        <v>15632119.085779589</v>
      </c>
      <c r="G33" s="379">
        <f t="shared" si="19"/>
        <v>2478571.3529362045</v>
      </c>
      <c r="H33" s="364">
        <f t="shared" si="20"/>
        <v>2478571.3529362045</v>
      </c>
      <c r="I33" s="52">
        <f t="shared" si="0"/>
        <v>0</v>
      </c>
      <c r="J33" s="52"/>
      <c r="K33" s="129"/>
      <c r="L33" s="54">
        <f t="shared" si="2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7"/>
        <v/>
      </c>
      <c r="C34" s="50">
        <f>IF(D11="","-",+C33+1)</f>
        <v>2033</v>
      </c>
      <c r="D34" s="55">
        <f>IF(F33+SUM(E$17:E33)=D$10,F33,D$10-SUM(E$17:E33))</f>
        <v>15632119.085779589</v>
      </c>
      <c r="E34" s="378">
        <f>IF(+I14&lt;F33,I14,D34)</f>
        <v>575702.93659090914</v>
      </c>
      <c r="F34" s="55">
        <f t="shared" si="18"/>
        <v>15056416.149188679</v>
      </c>
      <c r="G34" s="379">
        <f t="shared" si="19"/>
        <v>2409759.2322406881</v>
      </c>
      <c r="H34" s="364">
        <f t="shared" si="20"/>
        <v>2409759.2322406881</v>
      </c>
      <c r="I34" s="52">
        <f t="shared" si="0"/>
        <v>0</v>
      </c>
      <c r="J34" s="52"/>
      <c r="K34" s="129"/>
      <c r="L34" s="54">
        <f t="shared" si="2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7"/>
        <v/>
      </c>
      <c r="C35" s="50">
        <f>IF(D11="","-",+C34+1)</f>
        <v>2034</v>
      </c>
      <c r="D35" s="55">
        <f>IF(F34+SUM(E$17:E34)=D$10,F34,D$10-SUM(E$17:E34))</f>
        <v>15056416.149188679</v>
      </c>
      <c r="E35" s="378">
        <f>IF(+I14&lt;F34,I14,D35)</f>
        <v>575702.93659090914</v>
      </c>
      <c r="F35" s="55">
        <f t="shared" si="18"/>
        <v>14480713.212597769</v>
      </c>
      <c r="G35" s="379">
        <f t="shared" si="19"/>
        <v>2340947.1115451716</v>
      </c>
      <c r="H35" s="364">
        <f t="shared" si="20"/>
        <v>2340947.1115451716</v>
      </c>
      <c r="I35" s="52">
        <f t="shared" si="0"/>
        <v>0</v>
      </c>
      <c r="J35" s="52"/>
      <c r="K35" s="129"/>
      <c r="L35" s="54">
        <f t="shared" si="2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7"/>
        <v/>
      </c>
      <c r="C36" s="50">
        <f>IF(D11="","-",+C35+1)</f>
        <v>2035</v>
      </c>
      <c r="D36" s="55">
        <f>IF(F35+SUM(E$17:E35)=D$10,F35,D$10-SUM(E$17:E35))</f>
        <v>14480713.212597769</v>
      </c>
      <c r="E36" s="378">
        <f>IF(+I14&lt;F35,I14,D36)</f>
        <v>575702.93659090914</v>
      </c>
      <c r="F36" s="55">
        <f t="shared" si="18"/>
        <v>13905010.276006859</v>
      </c>
      <c r="G36" s="379">
        <f t="shared" si="19"/>
        <v>2272134.9908496551</v>
      </c>
      <c r="H36" s="364">
        <f t="shared" si="20"/>
        <v>2272134.9908496551</v>
      </c>
      <c r="I36" s="52">
        <f t="shared" si="0"/>
        <v>0</v>
      </c>
      <c r="J36" s="52"/>
      <c r="K36" s="129"/>
      <c r="L36" s="54">
        <f t="shared" si="2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7"/>
        <v/>
      </c>
      <c r="C37" s="50">
        <f>IF(D11="","-",+C36+1)</f>
        <v>2036</v>
      </c>
      <c r="D37" s="55">
        <f>IF(F36+SUM(E$17:E36)=D$10,F36,D$10-SUM(E$17:E36))</f>
        <v>13905010.276006859</v>
      </c>
      <c r="E37" s="378">
        <f>IF(+I14&lt;F36,I14,D37)</f>
        <v>575702.93659090914</v>
      </c>
      <c r="F37" s="55">
        <f t="shared" si="18"/>
        <v>13329307.339415949</v>
      </c>
      <c r="G37" s="379">
        <f t="shared" si="19"/>
        <v>2203322.8701541387</v>
      </c>
      <c r="H37" s="364">
        <f t="shared" si="20"/>
        <v>2203322.8701541387</v>
      </c>
      <c r="I37" s="52">
        <f t="shared" si="0"/>
        <v>0</v>
      </c>
      <c r="J37" s="52"/>
      <c r="K37" s="129"/>
      <c r="L37" s="54">
        <f t="shared" si="2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7"/>
        <v/>
      </c>
      <c r="C38" s="50">
        <f>IF(D11="","-",+C37+1)</f>
        <v>2037</v>
      </c>
      <c r="D38" s="55">
        <f>IF(F37+SUM(E$17:E37)=D$10,F37,D$10-SUM(E$17:E37))</f>
        <v>13329307.339415949</v>
      </c>
      <c r="E38" s="378">
        <f>IF(+I14&lt;F37,I14,D38)</f>
        <v>575702.93659090914</v>
      </c>
      <c r="F38" s="55">
        <f t="shared" si="18"/>
        <v>12753604.402825039</v>
      </c>
      <c r="G38" s="379">
        <f t="shared" si="19"/>
        <v>2134510.7494586217</v>
      </c>
      <c r="H38" s="364">
        <f t="shared" si="20"/>
        <v>2134510.7494586217</v>
      </c>
      <c r="I38" s="52">
        <f t="shared" si="0"/>
        <v>0</v>
      </c>
      <c r="J38" s="52"/>
      <c r="K38" s="129"/>
      <c r="L38" s="54">
        <f t="shared" si="2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7"/>
        <v/>
      </c>
      <c r="C39" s="50">
        <f>IF(D11="","-",+C38+1)</f>
        <v>2038</v>
      </c>
      <c r="D39" s="55">
        <f>IF(F38+SUM(E$17:E38)=D$10,F38,D$10-SUM(E$17:E38))</f>
        <v>12753604.402825039</v>
      </c>
      <c r="E39" s="378">
        <f>IF(+I14&lt;F38,I14,D39)</f>
        <v>575702.93659090914</v>
      </c>
      <c r="F39" s="55">
        <f t="shared" si="18"/>
        <v>12177901.466234129</v>
      </c>
      <c r="G39" s="379">
        <f t="shared" si="19"/>
        <v>2065698.6287631053</v>
      </c>
      <c r="H39" s="364">
        <f t="shared" si="20"/>
        <v>2065698.6287631053</v>
      </c>
      <c r="I39" s="52">
        <f t="shared" si="0"/>
        <v>0</v>
      </c>
      <c r="J39" s="52"/>
      <c r="K39" s="129"/>
      <c r="L39" s="54">
        <f t="shared" si="2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7"/>
        <v/>
      </c>
      <c r="C40" s="50">
        <f>IF(D11="","-",+C39+1)</f>
        <v>2039</v>
      </c>
      <c r="D40" s="55">
        <f>IF(F39+SUM(E$17:E39)=D$10,F39,D$10-SUM(E$17:E39))</f>
        <v>12177901.466234129</v>
      </c>
      <c r="E40" s="378">
        <f>IF(+I14&lt;F39,I14,D40)</f>
        <v>575702.93659090914</v>
      </c>
      <c r="F40" s="55">
        <f t="shared" si="18"/>
        <v>11602198.529643219</v>
      </c>
      <c r="G40" s="379">
        <f t="shared" si="19"/>
        <v>1996886.5080675888</v>
      </c>
      <c r="H40" s="364">
        <f t="shared" si="20"/>
        <v>1996886.5080675888</v>
      </c>
      <c r="I40" s="52">
        <f t="shared" si="0"/>
        <v>0</v>
      </c>
      <c r="J40" s="52"/>
      <c r="K40" s="129"/>
      <c r="L40" s="54">
        <f t="shared" si="2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7"/>
        <v/>
      </c>
      <c r="C41" s="50">
        <f>IF(D11="","-",+C40+1)</f>
        <v>2040</v>
      </c>
      <c r="D41" s="55">
        <f>IF(F40+SUM(E$17:E40)=D$10,F40,D$10-SUM(E$17:E40))</f>
        <v>11602198.529643219</v>
      </c>
      <c r="E41" s="378">
        <f>IF(+I14&lt;F40,I14,D41)</f>
        <v>575702.93659090914</v>
      </c>
      <c r="F41" s="55">
        <f t="shared" si="18"/>
        <v>11026495.593052309</v>
      </c>
      <c r="G41" s="379">
        <f t="shared" si="19"/>
        <v>1928074.3873720723</v>
      </c>
      <c r="H41" s="364">
        <f t="shared" si="20"/>
        <v>1928074.3873720723</v>
      </c>
      <c r="I41" s="52">
        <f t="shared" si="0"/>
        <v>0</v>
      </c>
      <c r="J41" s="52"/>
      <c r="K41" s="129"/>
      <c r="L41" s="54">
        <f t="shared" si="2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7"/>
        <v/>
      </c>
      <c r="C42" s="50">
        <f>IF(D11="","-",+C41+1)</f>
        <v>2041</v>
      </c>
      <c r="D42" s="55">
        <f>IF(F41+SUM(E$17:E41)=D$10,F41,D$10-SUM(E$17:E41))</f>
        <v>11026495.593052309</v>
      </c>
      <c r="E42" s="378">
        <f>IF(+I14&lt;F41,I14,D42)</f>
        <v>575702.93659090914</v>
      </c>
      <c r="F42" s="55">
        <f t="shared" si="18"/>
        <v>10450792.656461399</v>
      </c>
      <c r="G42" s="379">
        <f t="shared" si="19"/>
        <v>1859262.2666765559</v>
      </c>
      <c r="H42" s="364">
        <f t="shared" si="20"/>
        <v>1859262.2666765559</v>
      </c>
      <c r="I42" s="52">
        <f t="shared" si="0"/>
        <v>0</v>
      </c>
      <c r="J42" s="52"/>
      <c r="K42" s="129"/>
      <c r="L42" s="54">
        <f t="shared" si="2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7"/>
        <v/>
      </c>
      <c r="C43" s="50">
        <f>IF(D11="","-",+C42+1)</f>
        <v>2042</v>
      </c>
      <c r="D43" s="55">
        <f>IF(F42+SUM(E$17:E42)=D$10,F42,D$10-SUM(E$17:E42))</f>
        <v>10450792.656461399</v>
      </c>
      <c r="E43" s="378">
        <f>IF(+I14&lt;F42,I14,D43)</f>
        <v>575702.93659090914</v>
      </c>
      <c r="F43" s="55">
        <f t="shared" si="18"/>
        <v>9875089.7198704891</v>
      </c>
      <c r="G43" s="379">
        <f t="shared" si="19"/>
        <v>1790450.1459810394</v>
      </c>
      <c r="H43" s="364">
        <f t="shared" si="20"/>
        <v>1790450.1459810394</v>
      </c>
      <c r="I43" s="52">
        <f t="shared" si="0"/>
        <v>0</v>
      </c>
      <c r="J43" s="52"/>
      <c r="K43" s="129"/>
      <c r="L43" s="54">
        <f t="shared" si="2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7"/>
        <v/>
      </c>
      <c r="C44" s="50">
        <f>IF(D11="","-",+C43+1)</f>
        <v>2043</v>
      </c>
      <c r="D44" s="55">
        <f>IF(F43+SUM(E$17:E43)=D$10,F43,D$10-SUM(E$17:E43))</f>
        <v>9875089.7198704891</v>
      </c>
      <c r="E44" s="378">
        <f>IF(+I14&lt;F43,I14,D44)</f>
        <v>575702.93659090914</v>
      </c>
      <c r="F44" s="55">
        <f t="shared" si="18"/>
        <v>9299386.7832795791</v>
      </c>
      <c r="G44" s="379">
        <f t="shared" si="19"/>
        <v>1721638.0252855229</v>
      </c>
      <c r="H44" s="364">
        <f t="shared" si="20"/>
        <v>1721638.0252855229</v>
      </c>
      <c r="I44" s="52">
        <f t="shared" si="0"/>
        <v>0</v>
      </c>
      <c r="J44" s="52"/>
      <c r="K44" s="129"/>
      <c r="L44" s="54">
        <f t="shared" si="2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7"/>
        <v/>
      </c>
      <c r="C45" s="50">
        <f>IF(D11="","-",+C44+1)</f>
        <v>2044</v>
      </c>
      <c r="D45" s="55">
        <f>IF(F44+SUM(E$17:E44)=D$10,F44,D$10-SUM(E$17:E44))</f>
        <v>9299386.7832795791</v>
      </c>
      <c r="E45" s="378">
        <f>IF(+I14&lt;F44,I14,D45)</f>
        <v>575702.93659090914</v>
      </c>
      <c r="F45" s="55">
        <f t="shared" si="18"/>
        <v>8723683.8466886692</v>
      </c>
      <c r="G45" s="379">
        <f t="shared" si="19"/>
        <v>1652825.9045900065</v>
      </c>
      <c r="H45" s="364">
        <f t="shared" si="20"/>
        <v>1652825.9045900065</v>
      </c>
      <c r="I45" s="52">
        <f t="shared" si="0"/>
        <v>0</v>
      </c>
      <c r="J45" s="52"/>
      <c r="K45" s="129"/>
      <c r="L45" s="54">
        <f t="shared" si="2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7"/>
        <v/>
      </c>
      <c r="C46" s="50">
        <f>IF(D11="","-",+C45+1)</f>
        <v>2045</v>
      </c>
      <c r="D46" s="55">
        <f>IF(F45+SUM(E$17:E45)=D$10,F45,D$10-SUM(E$17:E45))</f>
        <v>8723683.8466886692</v>
      </c>
      <c r="E46" s="378">
        <f>IF(+I14&lt;F45,I14,D46)</f>
        <v>575702.93659090914</v>
      </c>
      <c r="F46" s="55">
        <f t="shared" si="18"/>
        <v>8147980.9100977601</v>
      </c>
      <c r="G46" s="379">
        <f t="shared" si="19"/>
        <v>1584013.78389449</v>
      </c>
      <c r="H46" s="364">
        <f t="shared" si="20"/>
        <v>1584013.78389449</v>
      </c>
      <c r="I46" s="52">
        <f t="shared" si="0"/>
        <v>0</v>
      </c>
      <c r="J46" s="52"/>
      <c r="K46" s="129"/>
      <c r="L46" s="54">
        <f t="shared" si="2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7"/>
        <v/>
      </c>
      <c r="C47" s="50">
        <f>IF(D11="","-",+C46+1)</f>
        <v>2046</v>
      </c>
      <c r="D47" s="55">
        <f>IF(F46+SUM(E$17:E46)=D$10,F46,D$10-SUM(E$17:E46))</f>
        <v>8147980.9100977601</v>
      </c>
      <c r="E47" s="378">
        <f>IF(+I14&lt;F46,I14,D47)</f>
        <v>575702.93659090914</v>
      </c>
      <c r="F47" s="55">
        <f t="shared" si="18"/>
        <v>7572277.9735068511</v>
      </c>
      <c r="G47" s="379">
        <f t="shared" si="19"/>
        <v>1515201.6631989735</v>
      </c>
      <c r="H47" s="364">
        <f t="shared" si="20"/>
        <v>1515201.6631989735</v>
      </c>
      <c r="I47" s="52">
        <f t="shared" si="0"/>
        <v>0</v>
      </c>
      <c r="J47" s="52"/>
      <c r="K47" s="129"/>
      <c r="L47" s="54">
        <f t="shared" si="2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7"/>
        <v/>
      </c>
      <c r="C48" s="50">
        <f>IF(D11="","-",+C47+1)</f>
        <v>2047</v>
      </c>
      <c r="D48" s="55">
        <f>IF(F47+SUM(E$17:E47)=D$10,F47,D$10-SUM(E$17:E47))</f>
        <v>7572277.9735068511</v>
      </c>
      <c r="E48" s="378">
        <f>IF(+I14&lt;F47,I14,D48)</f>
        <v>575702.93659090914</v>
      </c>
      <c r="F48" s="55">
        <f t="shared" si="18"/>
        <v>6996575.0369159421</v>
      </c>
      <c r="G48" s="379">
        <f t="shared" si="19"/>
        <v>1446389.5425034571</v>
      </c>
      <c r="H48" s="364">
        <f t="shared" si="20"/>
        <v>1446389.5425034571</v>
      </c>
      <c r="I48" s="52">
        <f t="shared" si="0"/>
        <v>0</v>
      </c>
      <c r="J48" s="52"/>
      <c r="K48" s="129"/>
      <c r="L48" s="54">
        <f t="shared" si="2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 ht="12.5">
      <c r="B49" s="7" t="str">
        <f t="shared" si="7"/>
        <v/>
      </c>
      <c r="C49" s="50">
        <f>IF(D11="","-",+C48+1)</f>
        <v>2048</v>
      </c>
      <c r="D49" s="55">
        <f>IF(F48+SUM(E$17:E48)=D$10,F48,D$10-SUM(E$17:E48))</f>
        <v>6996575.0369159421</v>
      </c>
      <c r="E49" s="378">
        <f>IF(+I14&lt;F48,I14,D49)</f>
        <v>575702.93659090914</v>
      </c>
      <c r="F49" s="55">
        <f t="shared" si="18"/>
        <v>6420872.1003250331</v>
      </c>
      <c r="G49" s="379">
        <f t="shared" si="19"/>
        <v>1377577.4218079406</v>
      </c>
      <c r="H49" s="364">
        <f t="shared" si="20"/>
        <v>1377577.4218079406</v>
      </c>
      <c r="I49" s="52">
        <f t="shared" si="0"/>
        <v>0</v>
      </c>
      <c r="J49" s="52"/>
      <c r="K49" s="129"/>
      <c r="L49" s="54">
        <f t="shared" si="2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 ht="12.5">
      <c r="B50" s="7" t="str">
        <f t="shared" si="7"/>
        <v/>
      </c>
      <c r="C50" s="50">
        <f>IF(D11="","-",+C49+1)</f>
        <v>2049</v>
      </c>
      <c r="D50" s="55">
        <f>IF(F49+SUM(E$17:E49)=D$10,F49,D$10-SUM(E$17:E49))</f>
        <v>6420872.1003250331</v>
      </c>
      <c r="E50" s="378">
        <f>IF(+I14&lt;F49,I14,D50)</f>
        <v>575702.93659090914</v>
      </c>
      <c r="F50" s="55">
        <f t="shared" si="18"/>
        <v>5845169.163734124</v>
      </c>
      <c r="G50" s="379">
        <f t="shared" ref="G50:G72" si="21">+I$12*((D50+F50)/2)+E50</f>
        <v>1308765.3011124241</v>
      </c>
      <c r="H50" s="364">
        <f t="shared" ref="H50:H72" si="22">+I$13*((D50+F50)/2)+E50</f>
        <v>1308765.3011124241</v>
      </c>
      <c r="I50" s="52">
        <f t="shared" si="0"/>
        <v>0</v>
      </c>
      <c r="J50" s="52"/>
      <c r="K50" s="129"/>
      <c r="L50" s="54">
        <f t="shared" si="2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 ht="12.5">
      <c r="B51" s="7" t="str">
        <f t="shared" si="7"/>
        <v/>
      </c>
      <c r="C51" s="50">
        <f>IF(D11="","-",+C50+1)</f>
        <v>2050</v>
      </c>
      <c r="D51" s="55">
        <f>IF(F50+SUM(E$17:E50)=D$10,F50,D$10-SUM(E$17:E50))</f>
        <v>5845169.163734124</v>
      </c>
      <c r="E51" s="378">
        <f>IF(+I14&lt;F50,I14,D51)</f>
        <v>575702.93659090914</v>
      </c>
      <c r="F51" s="55">
        <f t="shared" si="18"/>
        <v>5269466.227143215</v>
      </c>
      <c r="G51" s="379">
        <f t="shared" si="21"/>
        <v>1239953.1804169079</v>
      </c>
      <c r="H51" s="364">
        <f t="shared" si="22"/>
        <v>1239953.1804169079</v>
      </c>
      <c r="I51" s="52">
        <f t="shared" si="0"/>
        <v>0</v>
      </c>
      <c r="J51" s="52"/>
      <c r="K51" s="129"/>
      <c r="L51" s="54">
        <f t="shared" si="2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 ht="12.5">
      <c r="B52" s="7" t="str">
        <f t="shared" si="7"/>
        <v/>
      </c>
      <c r="C52" s="50">
        <f>IF(D11="","-",+C51+1)</f>
        <v>2051</v>
      </c>
      <c r="D52" s="55">
        <f>IF(F51+SUM(E$17:E51)=D$10,F51,D$10-SUM(E$17:E51))</f>
        <v>5269466.227143215</v>
      </c>
      <c r="E52" s="378">
        <f>IF(+I14&lt;F51,I14,D52)</f>
        <v>575702.93659090914</v>
      </c>
      <c r="F52" s="55">
        <f t="shared" si="18"/>
        <v>4693763.290552306</v>
      </c>
      <c r="G52" s="379">
        <f t="shared" si="21"/>
        <v>1171141.0597213914</v>
      </c>
      <c r="H52" s="364">
        <f t="shared" si="22"/>
        <v>1171141.0597213914</v>
      </c>
      <c r="I52" s="52">
        <f t="shared" si="0"/>
        <v>0</v>
      </c>
      <c r="J52" s="52"/>
      <c r="K52" s="129"/>
      <c r="L52" s="54">
        <f t="shared" si="2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 ht="12.5">
      <c r="B53" s="7" t="str">
        <f t="shared" si="7"/>
        <v/>
      </c>
      <c r="C53" s="50">
        <f>IF(D11="","-",+C52+1)</f>
        <v>2052</v>
      </c>
      <c r="D53" s="55">
        <f>IF(F52+SUM(E$17:E52)=D$10,F52,D$10-SUM(E$17:E52))</f>
        <v>4693763.290552306</v>
      </c>
      <c r="E53" s="378">
        <f>IF(+I14&lt;F52,I14,D53)</f>
        <v>575702.93659090914</v>
      </c>
      <c r="F53" s="55">
        <f t="shared" si="18"/>
        <v>4118060.353961397</v>
      </c>
      <c r="G53" s="379">
        <f t="shared" si="21"/>
        <v>1102328.9390258752</v>
      </c>
      <c r="H53" s="364">
        <f t="shared" si="22"/>
        <v>1102328.9390258752</v>
      </c>
      <c r="I53" s="52">
        <f t="shared" si="0"/>
        <v>0</v>
      </c>
      <c r="J53" s="52"/>
      <c r="K53" s="129"/>
      <c r="L53" s="54">
        <f t="shared" si="2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 ht="12.5">
      <c r="B54" s="7" t="str">
        <f t="shared" si="7"/>
        <v/>
      </c>
      <c r="C54" s="50">
        <f>IF(D11="","-",+C53+1)</f>
        <v>2053</v>
      </c>
      <c r="D54" s="55">
        <f>IF(F53+SUM(E$17:E53)=D$10,F53,D$10-SUM(E$17:E53))</f>
        <v>4118060.353961397</v>
      </c>
      <c r="E54" s="378">
        <f>IF(+I14&lt;F53,I14,D54)</f>
        <v>575702.93659090914</v>
      </c>
      <c r="F54" s="55">
        <f t="shared" si="18"/>
        <v>3542357.4173704879</v>
      </c>
      <c r="G54" s="379">
        <f t="shared" si="21"/>
        <v>1033516.8183303587</v>
      </c>
      <c r="H54" s="364">
        <f t="shared" si="22"/>
        <v>1033516.8183303587</v>
      </c>
      <c r="I54" s="52">
        <f t="shared" si="0"/>
        <v>0</v>
      </c>
      <c r="J54" s="52"/>
      <c r="K54" s="129"/>
      <c r="L54" s="54">
        <f t="shared" si="2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 ht="12.5">
      <c r="B55" s="7" t="str">
        <f t="shared" si="7"/>
        <v/>
      </c>
      <c r="C55" s="50">
        <f>IF(D11="","-",+C54+1)</f>
        <v>2054</v>
      </c>
      <c r="D55" s="55">
        <f>IF(F54+SUM(E$17:E54)=D$10,F54,D$10-SUM(E$17:E54))</f>
        <v>3542357.4173704879</v>
      </c>
      <c r="E55" s="378">
        <f>IF(+I14&lt;F54,I14,D55)</f>
        <v>575702.93659090914</v>
      </c>
      <c r="F55" s="55">
        <f t="shared" si="18"/>
        <v>2966654.4807795789</v>
      </c>
      <c r="G55" s="379">
        <f t="shared" si="21"/>
        <v>964704.69763484225</v>
      </c>
      <c r="H55" s="364">
        <f t="shared" si="22"/>
        <v>964704.69763484225</v>
      </c>
      <c r="I55" s="52">
        <f t="shared" si="0"/>
        <v>0</v>
      </c>
      <c r="J55" s="52"/>
      <c r="K55" s="129"/>
      <c r="L55" s="54">
        <f t="shared" si="2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 ht="12.5">
      <c r="B56" s="7" t="str">
        <f t="shared" si="7"/>
        <v/>
      </c>
      <c r="C56" s="50">
        <f>IF(D11="","-",+C55+1)</f>
        <v>2055</v>
      </c>
      <c r="D56" s="55">
        <f>IF(F55+SUM(E$17:E55)=D$10,F55,D$10-SUM(E$17:E55))</f>
        <v>2966654.4807795789</v>
      </c>
      <c r="E56" s="378">
        <f>IF(+I14&lt;F55,I14,D56)</f>
        <v>575702.93659090914</v>
      </c>
      <c r="F56" s="55">
        <f t="shared" si="18"/>
        <v>2390951.5441886699</v>
      </c>
      <c r="G56" s="379">
        <f t="shared" si="21"/>
        <v>895892.57693932578</v>
      </c>
      <c r="H56" s="364">
        <f t="shared" si="22"/>
        <v>895892.57693932578</v>
      </c>
      <c r="I56" s="52">
        <f t="shared" si="0"/>
        <v>0</v>
      </c>
      <c r="J56" s="52"/>
      <c r="K56" s="129"/>
      <c r="L56" s="54">
        <f t="shared" si="2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 ht="12.5">
      <c r="B57" s="7" t="str">
        <f t="shared" si="7"/>
        <v/>
      </c>
      <c r="C57" s="50">
        <f>IF(D11="","-",+C56+1)</f>
        <v>2056</v>
      </c>
      <c r="D57" s="55">
        <f>IF(F56+SUM(E$17:E56)=D$10,F56,D$10-SUM(E$17:E56))</f>
        <v>2390951.5441886699</v>
      </c>
      <c r="E57" s="378">
        <f>IF(+I14&lt;F56,I14,D57)</f>
        <v>575702.93659090914</v>
      </c>
      <c r="F57" s="55">
        <f t="shared" si="18"/>
        <v>1815248.6075977609</v>
      </c>
      <c r="G57" s="379">
        <f t="shared" si="21"/>
        <v>827080.45624380943</v>
      </c>
      <c r="H57" s="364">
        <f t="shared" si="22"/>
        <v>827080.45624380943</v>
      </c>
      <c r="I57" s="52">
        <f t="shared" si="0"/>
        <v>0</v>
      </c>
      <c r="J57" s="52"/>
      <c r="K57" s="129"/>
      <c r="L57" s="54">
        <f t="shared" si="2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 ht="12.5">
      <c r="B58" s="7" t="str">
        <f t="shared" si="7"/>
        <v/>
      </c>
      <c r="C58" s="50">
        <f>IF(D11="","-",+C57+1)</f>
        <v>2057</v>
      </c>
      <c r="D58" s="55">
        <f>IF(F57+SUM(E$17:E57)=D$10,F57,D$10-SUM(E$17:E57))</f>
        <v>1815248.6075977609</v>
      </c>
      <c r="E58" s="378">
        <f>IF(+I14&lt;F57,I14,D58)</f>
        <v>575702.93659090914</v>
      </c>
      <c r="F58" s="55">
        <f t="shared" si="18"/>
        <v>1239545.6710068518</v>
      </c>
      <c r="G58" s="379">
        <f t="shared" si="21"/>
        <v>758268.33554829308</v>
      </c>
      <c r="H58" s="364">
        <f t="shared" si="22"/>
        <v>758268.33554829308</v>
      </c>
      <c r="I58" s="52">
        <f t="shared" si="0"/>
        <v>0</v>
      </c>
      <c r="J58" s="52"/>
      <c r="K58" s="129"/>
      <c r="L58" s="54">
        <f t="shared" si="2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 ht="12.5">
      <c r="B59" s="7" t="str">
        <f t="shared" si="7"/>
        <v/>
      </c>
      <c r="C59" s="50">
        <f>IF(D11="","-",+C58+1)</f>
        <v>2058</v>
      </c>
      <c r="D59" s="55">
        <f>IF(F58+SUM(E$17:E58)=D$10,F58,D$10-SUM(E$17:E58))</f>
        <v>1239545.6710068518</v>
      </c>
      <c r="E59" s="378">
        <f>IF(+I14&lt;F58,I14,D59)</f>
        <v>575702.93659090914</v>
      </c>
      <c r="F59" s="55">
        <f t="shared" si="18"/>
        <v>663842.73441594269</v>
      </c>
      <c r="G59" s="379">
        <f t="shared" si="21"/>
        <v>689456.21485277661</v>
      </c>
      <c r="H59" s="364">
        <f t="shared" si="22"/>
        <v>689456.21485277661</v>
      </c>
      <c r="I59" s="52">
        <f t="shared" si="0"/>
        <v>0</v>
      </c>
      <c r="J59" s="52"/>
      <c r="K59" s="129"/>
      <c r="L59" s="54">
        <f t="shared" si="2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 ht="12.5">
      <c r="B60" s="7" t="str">
        <f t="shared" si="7"/>
        <v/>
      </c>
      <c r="C60" s="50">
        <f>IF(D11="","-",+C59+1)</f>
        <v>2059</v>
      </c>
      <c r="D60" s="55">
        <f>IF(F59+SUM(E$17:E59)=D$10,F59,D$10-SUM(E$17:E59))</f>
        <v>663842.73441594269</v>
      </c>
      <c r="E60" s="378">
        <f>IF(+I14&lt;F59,I14,D60)</f>
        <v>575702.93659090914</v>
      </c>
      <c r="F60" s="55">
        <f t="shared" si="18"/>
        <v>88139.797825033544</v>
      </c>
      <c r="G60" s="379">
        <f t="shared" si="21"/>
        <v>620644.09415726014</v>
      </c>
      <c r="H60" s="364">
        <f t="shared" si="22"/>
        <v>620644.09415726014</v>
      </c>
      <c r="I60" s="52">
        <f t="shared" si="0"/>
        <v>0</v>
      </c>
      <c r="J60" s="52"/>
      <c r="K60" s="129"/>
      <c r="L60" s="54">
        <f t="shared" si="2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 ht="12.5">
      <c r="B61" s="7" t="str">
        <f t="shared" si="7"/>
        <v/>
      </c>
      <c r="C61" s="50">
        <f>IF(D11="","-",+C60+1)</f>
        <v>2060</v>
      </c>
      <c r="D61" s="55">
        <f>IF(F60+SUM(E$17:E60)=D$10,F60,D$10-SUM(E$17:E60))</f>
        <v>88139.797825033544</v>
      </c>
      <c r="E61" s="378">
        <f>IF(+I14&lt;F60,I14,D61)</f>
        <v>88139.797825033544</v>
      </c>
      <c r="F61" s="55">
        <f t="shared" si="18"/>
        <v>0</v>
      </c>
      <c r="G61" s="380">
        <f t="shared" si="21"/>
        <v>93407.346434329971</v>
      </c>
      <c r="H61" s="364">
        <f t="shared" si="22"/>
        <v>93407.346434329971</v>
      </c>
      <c r="I61" s="52">
        <f t="shared" si="0"/>
        <v>0</v>
      </c>
      <c r="J61" s="52"/>
      <c r="K61" s="129"/>
      <c r="L61" s="54">
        <f t="shared" si="2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 ht="12.5">
      <c r="B62" s="7" t="str">
        <f t="shared" si="7"/>
        <v/>
      </c>
      <c r="C62" s="50">
        <f>IF(D11="","-",+C61+1)</f>
        <v>2061</v>
      </c>
      <c r="D62" s="55">
        <f>IF(F61+SUM(E$17:E61)=D$10,F61,D$10-SUM(E$17:E61))</f>
        <v>0</v>
      </c>
      <c r="E62" s="378">
        <f>IF(+I14&lt;F61,I14,D62)</f>
        <v>0</v>
      </c>
      <c r="F62" s="55">
        <f t="shared" si="18"/>
        <v>0</v>
      </c>
      <c r="G62" s="380">
        <f t="shared" si="21"/>
        <v>0</v>
      </c>
      <c r="H62" s="364">
        <f t="shared" si="22"/>
        <v>0</v>
      </c>
      <c r="I62" s="52">
        <f t="shared" si="0"/>
        <v>0</v>
      </c>
      <c r="J62" s="52"/>
      <c r="K62" s="129"/>
      <c r="L62" s="54">
        <f t="shared" si="2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 ht="12.5">
      <c r="B63" s="7" t="str">
        <f t="shared" si="7"/>
        <v/>
      </c>
      <c r="C63" s="50">
        <f>IF(D11="","-",+C62+1)</f>
        <v>2062</v>
      </c>
      <c r="D63" s="55">
        <f>IF(F62+SUM(E$17:E62)=D$10,F62,D$10-SUM(E$17:E62))</f>
        <v>0</v>
      </c>
      <c r="E63" s="378">
        <f>IF(+I14&lt;F62,I14,D63)</f>
        <v>0</v>
      </c>
      <c r="F63" s="55">
        <f t="shared" si="18"/>
        <v>0</v>
      </c>
      <c r="G63" s="380">
        <f t="shared" si="21"/>
        <v>0</v>
      </c>
      <c r="H63" s="364">
        <f t="shared" si="22"/>
        <v>0</v>
      </c>
      <c r="I63" s="52">
        <f t="shared" si="0"/>
        <v>0</v>
      </c>
      <c r="J63" s="52"/>
      <c r="K63" s="129"/>
      <c r="L63" s="54">
        <f t="shared" si="2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 ht="12.5">
      <c r="B64" s="7" t="str">
        <f t="shared" si="7"/>
        <v/>
      </c>
      <c r="C64" s="50">
        <f>IF(D11="","-",+C63+1)</f>
        <v>2063</v>
      </c>
      <c r="D64" s="55">
        <f>IF(F63+SUM(E$17:E63)=D$10,F63,D$10-SUM(E$17:E63))</f>
        <v>0</v>
      </c>
      <c r="E64" s="378">
        <f>IF(+I14&lt;F63,I14,D64)</f>
        <v>0</v>
      </c>
      <c r="F64" s="55">
        <f t="shared" si="18"/>
        <v>0</v>
      </c>
      <c r="G64" s="380">
        <f t="shared" si="21"/>
        <v>0</v>
      </c>
      <c r="H64" s="364">
        <f t="shared" si="22"/>
        <v>0</v>
      </c>
      <c r="I64" s="52">
        <f t="shared" si="0"/>
        <v>0</v>
      </c>
      <c r="J64" s="52"/>
      <c r="K64" s="129"/>
      <c r="L64" s="54">
        <f t="shared" si="2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 ht="12.5">
      <c r="B65" s="7" t="str">
        <f t="shared" si="7"/>
        <v/>
      </c>
      <c r="C65" s="50">
        <f>IF(D11="","-",+C64+1)</f>
        <v>2064</v>
      </c>
      <c r="D65" s="55">
        <f>IF(F64+SUM(E$17:E64)=D$10,F64,D$10-SUM(E$17:E64))</f>
        <v>0</v>
      </c>
      <c r="E65" s="378">
        <f>IF(+I14&lt;F64,I14,D65)</f>
        <v>0</v>
      </c>
      <c r="F65" s="55">
        <f t="shared" si="18"/>
        <v>0</v>
      </c>
      <c r="G65" s="380">
        <f t="shared" si="21"/>
        <v>0</v>
      </c>
      <c r="H65" s="364">
        <f t="shared" si="22"/>
        <v>0</v>
      </c>
      <c r="I65" s="52">
        <f t="shared" si="0"/>
        <v>0</v>
      </c>
      <c r="J65" s="52"/>
      <c r="K65" s="129"/>
      <c r="L65" s="54">
        <f t="shared" si="2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 ht="12.5">
      <c r="B66" s="7" t="str">
        <f t="shared" si="7"/>
        <v/>
      </c>
      <c r="C66" s="50">
        <f>IF(D11="","-",+C65+1)</f>
        <v>2065</v>
      </c>
      <c r="D66" s="55">
        <f>IF(F65+SUM(E$17:E65)=D$10,F65,D$10-SUM(E$17:E65))</f>
        <v>0</v>
      </c>
      <c r="E66" s="378">
        <f>IF(+I14&lt;F65,I14,D66)</f>
        <v>0</v>
      </c>
      <c r="F66" s="55">
        <f t="shared" si="18"/>
        <v>0</v>
      </c>
      <c r="G66" s="380">
        <f t="shared" si="21"/>
        <v>0</v>
      </c>
      <c r="H66" s="364">
        <f t="shared" si="22"/>
        <v>0</v>
      </c>
      <c r="I66" s="52">
        <f t="shared" si="0"/>
        <v>0</v>
      </c>
      <c r="J66" s="52"/>
      <c r="K66" s="129"/>
      <c r="L66" s="54">
        <f t="shared" si="2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 ht="12.5">
      <c r="B67" s="7" t="str">
        <f t="shared" si="7"/>
        <v/>
      </c>
      <c r="C67" s="50">
        <f>IF(D11="","-",+C66+1)</f>
        <v>2066</v>
      </c>
      <c r="D67" s="55">
        <f>IF(F66+SUM(E$17:E66)=D$10,F66,D$10-SUM(E$17:E66))</f>
        <v>0</v>
      </c>
      <c r="E67" s="378">
        <f>IF(+I14&lt;F66,I14,D67)</f>
        <v>0</v>
      </c>
      <c r="F67" s="55">
        <f t="shared" si="18"/>
        <v>0</v>
      </c>
      <c r="G67" s="380">
        <f t="shared" si="21"/>
        <v>0</v>
      </c>
      <c r="H67" s="364">
        <f t="shared" si="22"/>
        <v>0</v>
      </c>
      <c r="I67" s="52">
        <f t="shared" si="0"/>
        <v>0</v>
      </c>
      <c r="J67" s="52"/>
      <c r="K67" s="129"/>
      <c r="L67" s="54">
        <f t="shared" si="2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 ht="12.5">
      <c r="B68" s="7" t="str">
        <f t="shared" si="7"/>
        <v/>
      </c>
      <c r="C68" s="50">
        <f>IF(D11="","-",+C67+1)</f>
        <v>2067</v>
      </c>
      <c r="D68" s="55">
        <f>IF(F67+SUM(E$17:E67)=D$10,F67,D$10-SUM(E$17:E67))</f>
        <v>0</v>
      </c>
      <c r="E68" s="378">
        <f>IF(+I14&lt;F67,I14,D68)</f>
        <v>0</v>
      </c>
      <c r="F68" s="55">
        <f t="shared" si="18"/>
        <v>0</v>
      </c>
      <c r="G68" s="380">
        <f t="shared" si="21"/>
        <v>0</v>
      </c>
      <c r="H68" s="364">
        <f t="shared" si="22"/>
        <v>0</v>
      </c>
      <c r="I68" s="52">
        <f t="shared" si="0"/>
        <v>0</v>
      </c>
      <c r="J68" s="52"/>
      <c r="K68" s="129"/>
      <c r="L68" s="54">
        <f t="shared" si="2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 ht="12.5">
      <c r="B69" s="7" t="str">
        <f t="shared" si="7"/>
        <v/>
      </c>
      <c r="C69" s="50">
        <f>IF(D11="","-",+C68+1)</f>
        <v>2068</v>
      </c>
      <c r="D69" s="55">
        <f>IF(F68+SUM(E$17:E68)=D$10,F68,D$10-SUM(E$17:E68))</f>
        <v>0</v>
      </c>
      <c r="E69" s="378">
        <f>IF(+I14&lt;F68,I14,D69)</f>
        <v>0</v>
      </c>
      <c r="F69" s="55">
        <f t="shared" si="18"/>
        <v>0</v>
      </c>
      <c r="G69" s="380">
        <f t="shared" si="21"/>
        <v>0</v>
      </c>
      <c r="H69" s="364">
        <f t="shared" si="22"/>
        <v>0</v>
      </c>
      <c r="I69" s="52">
        <f t="shared" si="0"/>
        <v>0</v>
      </c>
      <c r="J69" s="52"/>
      <c r="K69" s="129"/>
      <c r="L69" s="54">
        <f t="shared" si="2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 ht="12.5">
      <c r="B70" s="7" t="str">
        <f t="shared" si="7"/>
        <v/>
      </c>
      <c r="C70" s="50">
        <f>IF(D11="","-",+C69+1)</f>
        <v>2069</v>
      </c>
      <c r="D70" s="55">
        <f>IF(F69+SUM(E$17:E69)=D$10,F69,D$10-SUM(E$17:E69))</f>
        <v>0</v>
      </c>
      <c r="E70" s="378">
        <f>IF(+I14&lt;F69,I14,D70)</f>
        <v>0</v>
      </c>
      <c r="F70" s="55">
        <f t="shared" si="18"/>
        <v>0</v>
      </c>
      <c r="G70" s="380">
        <f t="shared" si="21"/>
        <v>0</v>
      </c>
      <c r="H70" s="364">
        <f t="shared" si="22"/>
        <v>0</v>
      </c>
      <c r="I70" s="52">
        <f t="shared" si="0"/>
        <v>0</v>
      </c>
      <c r="J70" s="52"/>
      <c r="K70" s="129"/>
      <c r="L70" s="54">
        <f t="shared" si="2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 ht="12.5">
      <c r="B71" s="7" t="str">
        <f t="shared" si="7"/>
        <v/>
      </c>
      <c r="C71" s="50">
        <f>IF(D11="","-",+C70+1)</f>
        <v>2070</v>
      </c>
      <c r="D71" s="55">
        <f>IF(F70+SUM(E$17:E70)=D$10,F70,D$10-SUM(E$17:E70))</f>
        <v>0</v>
      </c>
      <c r="E71" s="378">
        <f>IF(+I14&lt;F70,I14,D71)</f>
        <v>0</v>
      </c>
      <c r="F71" s="55">
        <f t="shared" si="18"/>
        <v>0</v>
      </c>
      <c r="G71" s="380">
        <f t="shared" si="21"/>
        <v>0</v>
      </c>
      <c r="H71" s="364">
        <f t="shared" si="22"/>
        <v>0</v>
      </c>
      <c r="I71" s="52">
        <f t="shared" si="0"/>
        <v>0</v>
      </c>
      <c r="J71" s="52"/>
      <c r="K71" s="129"/>
      <c r="L71" s="54">
        <f t="shared" si="2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" thickBot="1">
      <c r="B72" s="7" t="str">
        <f t="shared" si="7"/>
        <v/>
      </c>
      <c r="C72" s="59">
        <f>IF(D11="","-",+C71+1)</f>
        <v>2071</v>
      </c>
      <c r="D72" s="60">
        <f>IF(F71+SUM(E$17:E71)=D$10,F71,D$10-SUM(E$17:E71))</f>
        <v>0</v>
      </c>
      <c r="E72" s="381">
        <f>IF(+I14&lt;F71,I14,D72)</f>
        <v>0</v>
      </c>
      <c r="F72" s="60">
        <f t="shared" si="18"/>
        <v>0</v>
      </c>
      <c r="G72" s="382">
        <f t="shared" si="21"/>
        <v>0</v>
      </c>
      <c r="H72" s="362">
        <f t="shared" si="22"/>
        <v>0</v>
      </c>
      <c r="I72" s="63">
        <f t="shared" si="0"/>
        <v>0</v>
      </c>
      <c r="J72" s="52"/>
      <c r="K72" s="130"/>
      <c r="L72" s="64">
        <f t="shared" si="2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 ht="12.5">
      <c r="C73" s="12" t="s">
        <v>78</v>
      </c>
      <c r="D73" s="293"/>
      <c r="E73" s="293">
        <f>SUM(E17:E72)</f>
        <v>25330929.210000008</v>
      </c>
      <c r="F73" s="293"/>
      <c r="G73" s="293">
        <f>SUM(G17:G72)</f>
        <v>92192771.226988107</v>
      </c>
      <c r="H73" s="293">
        <f>SUM(H17:H72)</f>
        <v>92192771.226988107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 ht="13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58 of 77</v>
      </c>
    </row>
    <row r="84" spans="1:16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3029068.3185003367</v>
      </c>
      <c r="N87" s="387">
        <f>IF(J92&lt;D11,0,VLOOKUP(J92,C17:O72,11))</f>
        <v>3029068.3185003367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3153924.2329793787</v>
      </c>
      <c r="N88" s="390">
        <f>IF(J92&lt;D11,0,VLOOKUP(J92,C99:P154,7))</f>
        <v>3153924.2329793787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Rock Hill-Springridge Pan-Harr REC 138 kv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124855.91447904194</v>
      </c>
      <c r="N89" s="392">
        <f>+N88-N87</f>
        <v>124855.91447904194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TP2010067</v>
      </c>
      <c r="E91" s="76" t="str">
        <f>E9</f>
        <v xml:space="preserve">  SPP Project ID = 30449</v>
      </c>
      <c r="F91" s="76"/>
      <c r="G91" s="76"/>
      <c r="H91" s="76"/>
      <c r="I91" s="76"/>
      <c r="J91" s="76"/>
    </row>
    <row r="92" spans="1:16" ht="13">
      <c r="C92" s="34" t="s">
        <v>51</v>
      </c>
      <c r="D92" s="394">
        <f>D10</f>
        <v>25330929.210000001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</row>
    <row r="93" spans="1:16" ht="12.5">
      <c r="C93" s="34" t="s">
        <v>54</v>
      </c>
      <c r="D93" s="88">
        <f>IF(D11=I10,"",D11)</f>
        <v>2016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4">
        <f>IF(D11=I10,"",D12)</f>
        <v>4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575702.93659090914</v>
      </c>
      <c r="K96" s="293"/>
      <c r="L96" s="293"/>
      <c r="M96" s="293"/>
      <c r="N96" s="293"/>
      <c r="O96" s="293"/>
      <c r="P96" s="1"/>
    </row>
    <row r="97" spans="1:16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 ht="12.5">
      <c r="C99" s="50">
        <f>IF(D93= "","-",D93)</f>
        <v>2016</v>
      </c>
      <c r="D99" s="145">
        <v>0</v>
      </c>
      <c r="E99" s="446">
        <v>143761.97674418605</v>
      </c>
      <c r="F99" s="147">
        <v>24583298.023255814</v>
      </c>
      <c r="G99" s="447">
        <v>12291649.011627907</v>
      </c>
      <c r="H99" s="448">
        <v>1704186.6748150045</v>
      </c>
      <c r="I99" s="449">
        <v>1704186.6748150045</v>
      </c>
      <c r="J99" s="54">
        <f t="shared" ref="J99:J130" si="23">+I99-H99</f>
        <v>0</v>
      </c>
      <c r="K99" s="54"/>
      <c r="L99" s="112">
        <f t="shared" ref="L99:L104" si="24">+H99</f>
        <v>1704186.6748150045</v>
      </c>
      <c r="M99" s="53">
        <f t="shared" ref="M99:M130" si="25">IF(L99&lt;&gt;0,+H99-L99,0)</f>
        <v>0</v>
      </c>
      <c r="N99" s="112">
        <f t="shared" ref="N99:N104" si="26">+I99</f>
        <v>1704186.6748150045</v>
      </c>
      <c r="O99" s="53">
        <f t="shared" ref="O99:O130" si="27">IF(N99&lt;&gt;0,+I99-N99,0)</f>
        <v>0</v>
      </c>
      <c r="P99" s="53">
        <f t="shared" ref="P99:P130" si="28">+O99-M99</f>
        <v>0</v>
      </c>
    </row>
    <row r="100" spans="1:16" ht="12.5">
      <c r="B100" s="7" t="str">
        <f>IF(D100=F99,"","IU")</f>
        <v>IU</v>
      </c>
      <c r="C100" s="50">
        <f>IF(D93="","-",+C99+1)</f>
        <v>2017</v>
      </c>
      <c r="D100" s="429">
        <v>25187167.023255814</v>
      </c>
      <c r="E100" s="430">
        <v>603117.35714285716</v>
      </c>
      <c r="F100" s="431">
        <v>24584049.666112956</v>
      </c>
      <c r="G100" s="431">
        <v>24885608.344684385</v>
      </c>
      <c r="H100" s="433">
        <v>3626008.4781243373</v>
      </c>
      <c r="I100" s="434">
        <v>3626008.4781243373</v>
      </c>
      <c r="J100" s="54">
        <f t="shared" si="23"/>
        <v>0</v>
      </c>
      <c r="K100" s="54"/>
      <c r="L100" s="450">
        <f t="shared" si="24"/>
        <v>3626008.4781243373</v>
      </c>
      <c r="M100" s="54">
        <f t="shared" si="25"/>
        <v>0</v>
      </c>
      <c r="N100" s="450">
        <f t="shared" si="26"/>
        <v>3626008.4781243373</v>
      </c>
      <c r="O100" s="54">
        <f t="shared" si="27"/>
        <v>0</v>
      </c>
      <c r="P100" s="54">
        <f t="shared" si="28"/>
        <v>0</v>
      </c>
    </row>
    <row r="101" spans="1:16" ht="12.5">
      <c r="B101" s="7" t="str">
        <f t="shared" ref="B101:B154" si="29">IF(D101=F100,"","IU")</f>
        <v/>
      </c>
      <c r="C101" s="50">
        <f>IF(D93="","-",+C100+1)</f>
        <v>2018</v>
      </c>
      <c r="D101" s="429">
        <v>24584049.666112956</v>
      </c>
      <c r="E101" s="430">
        <v>603117.35714285716</v>
      </c>
      <c r="F101" s="431">
        <v>23980932.308970097</v>
      </c>
      <c r="G101" s="431">
        <v>24282490.987541527</v>
      </c>
      <c r="H101" s="433">
        <v>3167459.760554947</v>
      </c>
      <c r="I101" s="434">
        <v>3167459.760554947</v>
      </c>
      <c r="J101" s="54">
        <f t="shared" si="23"/>
        <v>0</v>
      </c>
      <c r="K101" s="54"/>
      <c r="L101" s="450">
        <f t="shared" si="24"/>
        <v>3167459.760554947</v>
      </c>
      <c r="M101" s="54">
        <f t="shared" ref="M101" si="30">IF(L101&lt;&gt;0,+H101-L101,0)</f>
        <v>0</v>
      </c>
      <c r="N101" s="450">
        <f t="shared" si="26"/>
        <v>3167459.760554947</v>
      </c>
      <c r="O101" s="54">
        <f t="shared" si="27"/>
        <v>0</v>
      </c>
      <c r="P101" s="54">
        <f t="shared" si="28"/>
        <v>0</v>
      </c>
    </row>
    <row r="102" spans="1:16" ht="12.5">
      <c r="B102" s="7" t="str">
        <f t="shared" si="29"/>
        <v/>
      </c>
      <c r="C102" s="50">
        <f>IF(D93="","-",+C101+1)</f>
        <v>2019</v>
      </c>
      <c r="D102" s="429">
        <v>23980932.308970097</v>
      </c>
      <c r="E102" s="430">
        <v>589091.37209302327</v>
      </c>
      <c r="F102" s="431">
        <v>23391840.936877076</v>
      </c>
      <c r="G102" s="431">
        <v>23686386.622923587</v>
      </c>
      <c r="H102" s="433">
        <v>3124495.1418173425</v>
      </c>
      <c r="I102" s="434">
        <v>3124495.1418173425</v>
      </c>
      <c r="J102" s="54">
        <f t="shared" si="23"/>
        <v>0</v>
      </c>
      <c r="K102" s="54"/>
      <c r="L102" s="450">
        <f t="shared" si="24"/>
        <v>3124495.1418173425</v>
      </c>
      <c r="M102" s="54">
        <f t="shared" ref="M102" si="31">IF(L102&lt;&gt;0,+H102-L102,0)</f>
        <v>0</v>
      </c>
      <c r="N102" s="450">
        <f t="shared" si="26"/>
        <v>3124495.1418173425</v>
      </c>
      <c r="O102" s="54">
        <f t="shared" si="27"/>
        <v>0</v>
      </c>
      <c r="P102" s="54">
        <f t="shared" si="28"/>
        <v>0</v>
      </c>
    </row>
    <row r="103" spans="1:16" ht="12.5">
      <c r="B103" s="7" t="str">
        <f t="shared" si="29"/>
        <v/>
      </c>
      <c r="C103" s="50">
        <f>IF(D93="","-",+C102+1)</f>
        <v>2020</v>
      </c>
      <c r="D103" s="429">
        <v>23391840.936877076</v>
      </c>
      <c r="E103" s="430">
        <v>603117.35714285716</v>
      </c>
      <c r="F103" s="431">
        <v>22788723.579734217</v>
      </c>
      <c r="G103" s="431">
        <v>23090282.258305646</v>
      </c>
      <c r="H103" s="433">
        <v>3087027.5131925805</v>
      </c>
      <c r="I103" s="434">
        <v>3087027.5131925805</v>
      </c>
      <c r="J103" s="54">
        <f t="shared" si="23"/>
        <v>0</v>
      </c>
      <c r="K103" s="54"/>
      <c r="L103" s="450">
        <f t="shared" si="24"/>
        <v>3087027.5131925805</v>
      </c>
      <c r="M103" s="54">
        <f t="shared" ref="M103" si="32">IF(L103&lt;&gt;0,+H103-L103,0)</f>
        <v>0</v>
      </c>
      <c r="N103" s="450">
        <f t="shared" si="26"/>
        <v>3087027.5131925805</v>
      </c>
      <c r="O103" s="54">
        <f t="shared" si="27"/>
        <v>0</v>
      </c>
      <c r="P103" s="54">
        <f t="shared" si="28"/>
        <v>0</v>
      </c>
    </row>
    <row r="104" spans="1:16" ht="12.5">
      <c r="B104" s="7" t="str">
        <f t="shared" si="29"/>
        <v/>
      </c>
      <c r="C104" s="50">
        <f>IF(D93="","-",+C103+1)</f>
        <v>2021</v>
      </c>
      <c r="D104" s="429">
        <v>22788723.579734217</v>
      </c>
      <c r="E104" s="430">
        <v>617827.53658536589</v>
      </c>
      <c r="F104" s="431">
        <v>22170896.043148853</v>
      </c>
      <c r="G104" s="431">
        <v>22479809.811441533</v>
      </c>
      <c r="H104" s="433">
        <v>3169605.7563163298</v>
      </c>
      <c r="I104" s="434">
        <v>3169605.7563163298</v>
      </c>
      <c r="J104" s="54">
        <f t="shared" si="23"/>
        <v>0</v>
      </c>
      <c r="K104" s="54"/>
      <c r="L104" s="450">
        <f t="shared" si="24"/>
        <v>3169605.7563163298</v>
      </c>
      <c r="M104" s="54">
        <f t="shared" ref="M104" si="33">IF(L104&lt;&gt;0,+H104-L104,0)</f>
        <v>0</v>
      </c>
      <c r="N104" s="450">
        <f t="shared" si="26"/>
        <v>3169605.7563163298</v>
      </c>
      <c r="O104" s="54">
        <f t="shared" si="27"/>
        <v>0</v>
      </c>
      <c r="P104" s="54">
        <f t="shared" si="28"/>
        <v>0</v>
      </c>
    </row>
    <row r="105" spans="1:16" ht="12.5">
      <c r="B105" s="7" t="str">
        <f t="shared" si="29"/>
        <v/>
      </c>
      <c r="C105" s="50">
        <f>IF(D93="","-",+C104+1)</f>
        <v>2022</v>
      </c>
      <c r="D105" s="429">
        <v>22170896.043148853</v>
      </c>
      <c r="E105" s="430">
        <v>603117.35714285716</v>
      </c>
      <c r="F105" s="431">
        <v>21567778.686005995</v>
      </c>
      <c r="G105" s="431">
        <v>21869337.364577424</v>
      </c>
      <c r="H105" s="433">
        <v>3171842.5527529279</v>
      </c>
      <c r="I105" s="434">
        <v>3171842.5527529279</v>
      </c>
      <c r="J105" s="54">
        <f t="shared" si="23"/>
        <v>0</v>
      </c>
      <c r="K105" s="54"/>
      <c r="L105" s="450">
        <f t="shared" ref="L105" si="34">+H105</f>
        <v>3171842.5527529279</v>
      </c>
      <c r="M105" s="54">
        <f t="shared" ref="M105" si="35">IF(L105&lt;&gt;0,+H105-L105,0)</f>
        <v>0</v>
      </c>
      <c r="N105" s="450">
        <f t="shared" ref="N105" si="36">+I105</f>
        <v>3171842.5527529279</v>
      </c>
      <c r="O105" s="54">
        <f t="shared" ref="O105" si="37">IF(N105&lt;&gt;0,+I105-N105,0)</f>
        <v>0</v>
      </c>
      <c r="P105" s="54">
        <f t="shared" ref="P105" si="38">+O105-M105</f>
        <v>0</v>
      </c>
    </row>
    <row r="106" spans="1:16" ht="12.5">
      <c r="B106" s="7" t="str">
        <f t="shared" si="29"/>
        <v>IU</v>
      </c>
      <c r="C106" s="50">
        <f>IF(D93="","-",+C105+1)</f>
        <v>2023</v>
      </c>
      <c r="D106" s="429">
        <v>21567778.896005996</v>
      </c>
      <c r="E106" s="430">
        <v>575702.93659090914</v>
      </c>
      <c r="F106" s="431">
        <v>20992075.959415086</v>
      </c>
      <c r="G106" s="431">
        <v>21279927.427710541</v>
      </c>
      <c r="H106" s="433">
        <v>3200902.3799633714</v>
      </c>
      <c r="I106" s="434">
        <v>3200902.3799633714</v>
      </c>
      <c r="J106" s="54">
        <f t="shared" si="23"/>
        <v>0</v>
      </c>
      <c r="K106" s="54"/>
      <c r="L106" s="450">
        <f t="shared" ref="L106" si="39">+H106</f>
        <v>3200902.3799633714</v>
      </c>
      <c r="M106" s="54">
        <f t="shared" ref="M106" si="40">IF(L106&lt;&gt;0,+H106-L106,0)</f>
        <v>0</v>
      </c>
      <c r="N106" s="450">
        <f t="shared" ref="N106" si="41">+I106</f>
        <v>3200902.3799633714</v>
      </c>
      <c r="O106" s="54">
        <f t="shared" ref="O106" si="42">IF(N106&lt;&gt;0,+I106-N106,0)</f>
        <v>0</v>
      </c>
      <c r="P106" s="54">
        <f t="shared" ref="P106" si="43">+O106-M106</f>
        <v>0</v>
      </c>
    </row>
    <row r="107" spans="1:16" ht="12.5">
      <c r="B107" s="7" t="str">
        <f t="shared" si="29"/>
        <v/>
      </c>
      <c r="C107" s="50">
        <f>IF(D93="","-",+C106+1)</f>
        <v>2024</v>
      </c>
      <c r="D107" s="12">
        <f>IF(F106+SUM(E$99:E106)=D$92,F106,D$92-SUM(E$99:E106))</f>
        <v>20992075.959415086</v>
      </c>
      <c r="E107" s="378">
        <f>IF(+J96&lt;F106,J96,D107)</f>
        <v>575702.93659090914</v>
      </c>
      <c r="F107" s="55">
        <f t="shared" ref="F107:F130" si="44">+D107-E107</f>
        <v>20416373.022824176</v>
      </c>
      <c r="G107" s="55">
        <f t="shared" ref="G107:G130" si="45">+(F107+D107)/2</f>
        <v>20704224.491119631</v>
      </c>
      <c r="H107" s="380">
        <f t="shared" ref="H107:H154" si="46">+J$94*G107+E107</f>
        <v>3153924.2329793787</v>
      </c>
      <c r="I107" s="399">
        <f t="shared" ref="I107:I154" si="47">+J$95*G107+E107</f>
        <v>3153924.2329793787</v>
      </c>
      <c r="J107" s="54">
        <f t="shared" si="23"/>
        <v>0</v>
      </c>
      <c r="K107" s="54"/>
      <c r="L107" s="129"/>
      <c r="M107" s="54">
        <f t="shared" si="25"/>
        <v>0</v>
      </c>
      <c r="N107" s="129"/>
      <c r="O107" s="54">
        <f t="shared" si="27"/>
        <v>0</v>
      </c>
      <c r="P107" s="54">
        <f t="shared" si="28"/>
        <v>0</v>
      </c>
    </row>
    <row r="108" spans="1:16" ht="12.5">
      <c r="B108" s="7" t="str">
        <f t="shared" si="29"/>
        <v/>
      </c>
      <c r="C108" s="50">
        <f>IF(D93="","-",+C107+1)</f>
        <v>2025</v>
      </c>
      <c r="D108" s="12">
        <f>IF(F107+SUM(E$99:E107)=D$92,F107,D$92-SUM(E$99:E107))</f>
        <v>20416373.022824176</v>
      </c>
      <c r="E108" s="378">
        <f>IF(+J96&lt;F107,J96,D108)</f>
        <v>575702.93659090914</v>
      </c>
      <c r="F108" s="55">
        <f t="shared" si="44"/>
        <v>19840670.086233266</v>
      </c>
      <c r="G108" s="55">
        <f t="shared" si="45"/>
        <v>20128521.554528721</v>
      </c>
      <c r="H108" s="380">
        <f t="shared" si="46"/>
        <v>3082234.0534148798</v>
      </c>
      <c r="I108" s="399">
        <f t="shared" si="47"/>
        <v>3082234.0534148798</v>
      </c>
      <c r="J108" s="54">
        <f t="shared" si="23"/>
        <v>0</v>
      </c>
      <c r="K108" s="54"/>
      <c r="L108" s="129"/>
      <c r="M108" s="54">
        <f t="shared" si="25"/>
        <v>0</v>
      </c>
      <c r="N108" s="129"/>
      <c r="O108" s="54">
        <f t="shared" si="27"/>
        <v>0</v>
      </c>
      <c r="P108" s="54">
        <f t="shared" si="28"/>
        <v>0</v>
      </c>
    </row>
    <row r="109" spans="1:16" ht="12.5">
      <c r="B109" s="7" t="str">
        <f t="shared" si="29"/>
        <v/>
      </c>
      <c r="C109" s="50">
        <f>IF(D93="","-",+C108+1)</f>
        <v>2026</v>
      </c>
      <c r="D109" s="12">
        <f>IF(F108+SUM(E$99:E108)=D$92,F108,D$92-SUM(E$99:E108))</f>
        <v>19840670.086233266</v>
      </c>
      <c r="E109" s="378">
        <f>IF(+J96&lt;F108,J96,D109)</f>
        <v>575702.93659090914</v>
      </c>
      <c r="F109" s="55">
        <f t="shared" si="44"/>
        <v>19264967.149642356</v>
      </c>
      <c r="G109" s="55">
        <f t="shared" si="45"/>
        <v>19552818.617937811</v>
      </c>
      <c r="H109" s="380">
        <f t="shared" si="46"/>
        <v>3010543.873850381</v>
      </c>
      <c r="I109" s="399">
        <f t="shared" si="47"/>
        <v>3010543.873850381</v>
      </c>
      <c r="J109" s="54">
        <f t="shared" si="23"/>
        <v>0</v>
      </c>
      <c r="K109" s="54"/>
      <c r="L109" s="129"/>
      <c r="M109" s="54">
        <f t="shared" si="25"/>
        <v>0</v>
      </c>
      <c r="N109" s="129"/>
      <c r="O109" s="54">
        <f t="shared" si="27"/>
        <v>0</v>
      </c>
      <c r="P109" s="54">
        <f t="shared" si="28"/>
        <v>0</v>
      </c>
    </row>
    <row r="110" spans="1:16" ht="12.5">
      <c r="B110" s="7" t="str">
        <f t="shared" si="29"/>
        <v/>
      </c>
      <c r="C110" s="50">
        <f>IF(D93="","-",+C109+1)</f>
        <v>2027</v>
      </c>
      <c r="D110" s="12">
        <f>IF(F109+SUM(E$99:E109)=D$92,F109,D$92-SUM(E$99:E109))</f>
        <v>19264967.149642356</v>
      </c>
      <c r="E110" s="378">
        <f>IF(+J96&lt;F109,J96,D110)</f>
        <v>575702.93659090914</v>
      </c>
      <c r="F110" s="55">
        <f t="shared" si="44"/>
        <v>18689264.213051446</v>
      </c>
      <c r="G110" s="55">
        <f t="shared" si="45"/>
        <v>18977115.681346901</v>
      </c>
      <c r="H110" s="380">
        <f t="shared" si="46"/>
        <v>2938853.6942858817</v>
      </c>
      <c r="I110" s="399">
        <f t="shared" si="47"/>
        <v>2938853.6942858817</v>
      </c>
      <c r="J110" s="54">
        <f t="shared" si="23"/>
        <v>0</v>
      </c>
      <c r="K110" s="54"/>
      <c r="L110" s="129"/>
      <c r="M110" s="54">
        <f t="shared" si="25"/>
        <v>0</v>
      </c>
      <c r="N110" s="129"/>
      <c r="O110" s="54">
        <f t="shared" si="27"/>
        <v>0</v>
      </c>
      <c r="P110" s="54">
        <f t="shared" si="28"/>
        <v>0</v>
      </c>
    </row>
    <row r="111" spans="1:16" ht="12.5">
      <c r="B111" s="7" t="str">
        <f t="shared" si="29"/>
        <v/>
      </c>
      <c r="C111" s="50">
        <f>IF(D93="","-",+C110+1)</f>
        <v>2028</v>
      </c>
      <c r="D111" s="12">
        <f>IF(F110+SUM(E$99:E110)=D$92,F110,D$92-SUM(E$99:E110))</f>
        <v>18689264.213051446</v>
      </c>
      <c r="E111" s="378">
        <f>IF(+J96&lt;F110,J96,D111)</f>
        <v>575702.93659090914</v>
      </c>
      <c r="F111" s="55">
        <f t="shared" si="44"/>
        <v>18113561.276460536</v>
      </c>
      <c r="G111" s="55">
        <f t="shared" si="45"/>
        <v>18401412.744755991</v>
      </c>
      <c r="H111" s="380">
        <f t="shared" si="46"/>
        <v>2867163.5147213829</v>
      </c>
      <c r="I111" s="399">
        <f t="shared" si="47"/>
        <v>2867163.5147213829</v>
      </c>
      <c r="J111" s="54">
        <f t="shared" si="23"/>
        <v>0</v>
      </c>
      <c r="K111" s="54"/>
      <c r="L111" s="129"/>
      <c r="M111" s="54">
        <f t="shared" si="25"/>
        <v>0</v>
      </c>
      <c r="N111" s="129"/>
      <c r="O111" s="54">
        <f t="shared" si="27"/>
        <v>0</v>
      </c>
      <c r="P111" s="54">
        <f t="shared" si="28"/>
        <v>0</v>
      </c>
    </row>
    <row r="112" spans="1:16" ht="12.5">
      <c r="B112" s="7" t="str">
        <f t="shared" si="29"/>
        <v/>
      </c>
      <c r="C112" s="50">
        <f>IF(D93="","-",+C111+1)</f>
        <v>2029</v>
      </c>
      <c r="D112" s="12">
        <f>IF(F111+SUM(E$99:E111)=D$92,F111,D$92-SUM(E$99:E111))</f>
        <v>18113561.276460536</v>
      </c>
      <c r="E112" s="378">
        <f>IF(+J96&lt;F111,J96,D112)</f>
        <v>575702.93659090914</v>
      </c>
      <c r="F112" s="55">
        <f t="shared" si="44"/>
        <v>17537858.339869626</v>
      </c>
      <c r="G112" s="55">
        <f t="shared" si="45"/>
        <v>17825709.808165081</v>
      </c>
      <c r="H112" s="380">
        <f t="shared" si="46"/>
        <v>2795473.3351568836</v>
      </c>
      <c r="I112" s="399">
        <f t="shared" si="47"/>
        <v>2795473.3351568836</v>
      </c>
      <c r="J112" s="54">
        <f t="shared" si="23"/>
        <v>0</v>
      </c>
      <c r="K112" s="54"/>
      <c r="L112" s="129"/>
      <c r="M112" s="54">
        <f t="shared" si="25"/>
        <v>0</v>
      </c>
      <c r="N112" s="129"/>
      <c r="O112" s="54">
        <f t="shared" si="27"/>
        <v>0</v>
      </c>
      <c r="P112" s="54">
        <f t="shared" si="28"/>
        <v>0</v>
      </c>
    </row>
    <row r="113" spans="2:16" ht="12.5">
      <c r="B113" s="7" t="str">
        <f t="shared" si="29"/>
        <v/>
      </c>
      <c r="C113" s="50">
        <f>IF(D93="","-",+C112+1)</f>
        <v>2030</v>
      </c>
      <c r="D113" s="12">
        <f>IF(F112+SUM(E$99:E112)=D$92,F112,D$92-SUM(E$99:E112))</f>
        <v>17537858.339869626</v>
      </c>
      <c r="E113" s="378">
        <f>IF(+J96&lt;F112,J96,D113)</f>
        <v>575702.93659090914</v>
      </c>
      <c r="F113" s="55">
        <f t="shared" si="44"/>
        <v>16962155.403278716</v>
      </c>
      <c r="G113" s="55">
        <f t="shared" si="45"/>
        <v>17250006.871574171</v>
      </c>
      <c r="H113" s="380">
        <f t="shared" si="46"/>
        <v>2723783.1555923847</v>
      </c>
      <c r="I113" s="399">
        <f t="shared" si="47"/>
        <v>2723783.1555923847</v>
      </c>
      <c r="J113" s="54">
        <f t="shared" si="23"/>
        <v>0</v>
      </c>
      <c r="K113" s="54"/>
      <c r="L113" s="129"/>
      <c r="M113" s="54">
        <f t="shared" si="25"/>
        <v>0</v>
      </c>
      <c r="N113" s="129"/>
      <c r="O113" s="54">
        <f t="shared" si="27"/>
        <v>0</v>
      </c>
      <c r="P113" s="54">
        <f t="shared" si="28"/>
        <v>0</v>
      </c>
    </row>
    <row r="114" spans="2:16" ht="12.5">
      <c r="B114" s="7" t="str">
        <f t="shared" si="29"/>
        <v/>
      </c>
      <c r="C114" s="50">
        <f>IF(D93="","-",+C113+1)</f>
        <v>2031</v>
      </c>
      <c r="D114" s="12">
        <f>IF(F113+SUM(E$99:E113)=D$92,F113,D$92-SUM(E$99:E113))</f>
        <v>16962155.403278716</v>
      </c>
      <c r="E114" s="378">
        <f>IF(+J96&lt;F113,J96,D114)</f>
        <v>575702.93659090914</v>
      </c>
      <c r="F114" s="55">
        <f t="shared" si="44"/>
        <v>16386452.466687806</v>
      </c>
      <c r="G114" s="55">
        <f t="shared" si="45"/>
        <v>16674303.934983261</v>
      </c>
      <c r="H114" s="380">
        <f t="shared" si="46"/>
        <v>2652092.9760278859</v>
      </c>
      <c r="I114" s="399">
        <f t="shared" si="47"/>
        <v>2652092.9760278859</v>
      </c>
      <c r="J114" s="54">
        <f t="shared" si="23"/>
        <v>0</v>
      </c>
      <c r="K114" s="54"/>
      <c r="L114" s="129"/>
      <c r="M114" s="54">
        <f t="shared" si="25"/>
        <v>0</v>
      </c>
      <c r="N114" s="129"/>
      <c r="O114" s="54">
        <f t="shared" si="27"/>
        <v>0</v>
      </c>
      <c r="P114" s="54">
        <f t="shared" si="28"/>
        <v>0</v>
      </c>
    </row>
    <row r="115" spans="2:16" ht="12.5">
      <c r="B115" s="7" t="str">
        <f t="shared" si="29"/>
        <v/>
      </c>
      <c r="C115" s="50">
        <f>IF(D93="","-",+C114+1)</f>
        <v>2032</v>
      </c>
      <c r="D115" s="12">
        <f>IF(F114+SUM(E$99:E114)=D$92,F114,D$92-SUM(E$99:E114))</f>
        <v>16386452.466687806</v>
      </c>
      <c r="E115" s="378">
        <f>IF(+J96&lt;F114,J96,D115)</f>
        <v>575702.93659090914</v>
      </c>
      <c r="F115" s="55">
        <f t="shared" si="44"/>
        <v>15810749.530096896</v>
      </c>
      <c r="G115" s="55">
        <f t="shared" si="45"/>
        <v>16098600.998392351</v>
      </c>
      <c r="H115" s="380">
        <f t="shared" si="46"/>
        <v>2580402.7964633866</v>
      </c>
      <c r="I115" s="399">
        <f t="shared" si="47"/>
        <v>2580402.7964633866</v>
      </c>
      <c r="J115" s="54">
        <f t="shared" si="23"/>
        <v>0</v>
      </c>
      <c r="K115" s="54"/>
      <c r="L115" s="129"/>
      <c r="M115" s="54">
        <f t="shared" si="25"/>
        <v>0</v>
      </c>
      <c r="N115" s="129"/>
      <c r="O115" s="54">
        <f t="shared" si="27"/>
        <v>0</v>
      </c>
      <c r="P115" s="54">
        <f t="shared" si="28"/>
        <v>0</v>
      </c>
    </row>
    <row r="116" spans="2:16" ht="12.5">
      <c r="B116" s="7" t="str">
        <f t="shared" si="29"/>
        <v/>
      </c>
      <c r="C116" s="50">
        <f>IF(D93="","-",+C115+1)</f>
        <v>2033</v>
      </c>
      <c r="D116" s="12">
        <f>IF(F115+SUM(E$99:E115)=D$92,F115,D$92-SUM(E$99:E115))</f>
        <v>15810749.530096896</v>
      </c>
      <c r="E116" s="378">
        <f>IF(+J96&lt;F115,J96,D116)</f>
        <v>575702.93659090914</v>
      </c>
      <c r="F116" s="55">
        <f t="shared" si="44"/>
        <v>15235046.593505986</v>
      </c>
      <c r="G116" s="55">
        <f t="shared" si="45"/>
        <v>15522898.061801441</v>
      </c>
      <c r="H116" s="380">
        <f t="shared" si="46"/>
        <v>2508712.6168988878</v>
      </c>
      <c r="I116" s="399">
        <f t="shared" si="47"/>
        <v>2508712.6168988878</v>
      </c>
      <c r="J116" s="54">
        <f t="shared" si="23"/>
        <v>0</v>
      </c>
      <c r="K116" s="54"/>
      <c r="L116" s="129"/>
      <c r="M116" s="54">
        <f t="shared" si="25"/>
        <v>0</v>
      </c>
      <c r="N116" s="129"/>
      <c r="O116" s="54">
        <f t="shared" si="27"/>
        <v>0</v>
      </c>
      <c r="P116" s="54">
        <f t="shared" si="28"/>
        <v>0</v>
      </c>
    </row>
    <row r="117" spans="2:16" ht="12.5">
      <c r="B117" s="7" t="str">
        <f t="shared" si="29"/>
        <v/>
      </c>
      <c r="C117" s="50">
        <f>IF(D93="","-",+C116+1)</f>
        <v>2034</v>
      </c>
      <c r="D117" s="12">
        <f>IF(F116+SUM(E$99:E116)=D$92,F116,D$92-SUM(E$99:E116))</f>
        <v>15235046.593505986</v>
      </c>
      <c r="E117" s="378">
        <f>IF(+J96&lt;F116,J96,D117)</f>
        <v>575702.93659090914</v>
      </c>
      <c r="F117" s="55">
        <f t="shared" si="44"/>
        <v>14659343.656915076</v>
      </c>
      <c r="G117" s="55">
        <f t="shared" si="45"/>
        <v>14947195.125210531</v>
      </c>
      <c r="H117" s="380">
        <f t="shared" si="46"/>
        <v>2437022.4373343885</v>
      </c>
      <c r="I117" s="399">
        <f t="shared" si="47"/>
        <v>2437022.4373343885</v>
      </c>
      <c r="J117" s="54">
        <f t="shared" si="23"/>
        <v>0</v>
      </c>
      <c r="K117" s="54"/>
      <c r="L117" s="129"/>
      <c r="M117" s="54">
        <f t="shared" si="25"/>
        <v>0</v>
      </c>
      <c r="N117" s="129"/>
      <c r="O117" s="54">
        <f t="shared" si="27"/>
        <v>0</v>
      </c>
      <c r="P117" s="54">
        <f t="shared" si="28"/>
        <v>0</v>
      </c>
    </row>
    <row r="118" spans="2:16" ht="12.5">
      <c r="B118" s="7" t="str">
        <f t="shared" si="29"/>
        <v/>
      </c>
      <c r="C118" s="50">
        <f>IF(D93="","-",+C117+1)</f>
        <v>2035</v>
      </c>
      <c r="D118" s="12">
        <f>IF(F117+SUM(E$99:E117)=D$92,F117,D$92-SUM(E$99:E117))</f>
        <v>14659343.656915076</v>
      </c>
      <c r="E118" s="378">
        <f>IF(+J96&lt;F117,J96,D118)</f>
        <v>575702.93659090914</v>
      </c>
      <c r="F118" s="55">
        <f t="shared" si="44"/>
        <v>14083640.720324166</v>
      </c>
      <c r="G118" s="55">
        <f t="shared" si="45"/>
        <v>14371492.188619621</v>
      </c>
      <c r="H118" s="380">
        <f t="shared" si="46"/>
        <v>2365332.2577698897</v>
      </c>
      <c r="I118" s="399">
        <f t="shared" si="47"/>
        <v>2365332.2577698897</v>
      </c>
      <c r="J118" s="54">
        <f t="shared" si="23"/>
        <v>0</v>
      </c>
      <c r="K118" s="54"/>
      <c r="L118" s="129"/>
      <c r="M118" s="54">
        <f t="shared" si="25"/>
        <v>0</v>
      </c>
      <c r="N118" s="129"/>
      <c r="O118" s="54">
        <f t="shared" si="27"/>
        <v>0</v>
      </c>
      <c r="P118" s="54">
        <f t="shared" si="28"/>
        <v>0</v>
      </c>
    </row>
    <row r="119" spans="2:16" ht="12.5">
      <c r="B119" s="7" t="str">
        <f t="shared" si="29"/>
        <v/>
      </c>
      <c r="C119" s="50">
        <f>IF(D93="","-",+C118+1)</f>
        <v>2036</v>
      </c>
      <c r="D119" s="12">
        <f>IF(F118+SUM(E$99:E118)=D$92,F118,D$92-SUM(E$99:E118))</f>
        <v>14083640.720324166</v>
      </c>
      <c r="E119" s="378">
        <f>IF(+J96&lt;F118,J96,D119)</f>
        <v>575702.93659090914</v>
      </c>
      <c r="F119" s="55">
        <f t="shared" si="44"/>
        <v>13507937.783733256</v>
      </c>
      <c r="G119" s="55">
        <f t="shared" si="45"/>
        <v>13795789.252028711</v>
      </c>
      <c r="H119" s="380">
        <f t="shared" si="46"/>
        <v>2293642.0782053904</v>
      </c>
      <c r="I119" s="399">
        <f t="shared" si="47"/>
        <v>2293642.0782053904</v>
      </c>
      <c r="J119" s="54">
        <f t="shared" si="23"/>
        <v>0</v>
      </c>
      <c r="K119" s="54"/>
      <c r="L119" s="129"/>
      <c r="M119" s="54">
        <f t="shared" si="25"/>
        <v>0</v>
      </c>
      <c r="N119" s="129"/>
      <c r="O119" s="54">
        <f t="shared" si="27"/>
        <v>0</v>
      </c>
      <c r="P119" s="54">
        <f t="shared" si="28"/>
        <v>0</v>
      </c>
    </row>
    <row r="120" spans="2:16" ht="12.5">
      <c r="B120" s="7" t="str">
        <f t="shared" si="29"/>
        <v/>
      </c>
      <c r="C120" s="50">
        <f>IF(D93="","-",+C119+1)</f>
        <v>2037</v>
      </c>
      <c r="D120" s="12">
        <f>IF(F119+SUM(E$99:E119)=D$92,F119,D$92-SUM(E$99:E119))</f>
        <v>13507937.783733256</v>
      </c>
      <c r="E120" s="378">
        <f>IF(+J96&lt;F119,J96,D120)</f>
        <v>575702.93659090914</v>
      </c>
      <c r="F120" s="55">
        <f t="shared" si="44"/>
        <v>12932234.847142346</v>
      </c>
      <c r="G120" s="55">
        <f t="shared" si="45"/>
        <v>13220086.315437801</v>
      </c>
      <c r="H120" s="380">
        <f t="shared" si="46"/>
        <v>2221951.8986408915</v>
      </c>
      <c r="I120" s="399">
        <f t="shared" si="47"/>
        <v>2221951.8986408915</v>
      </c>
      <c r="J120" s="54">
        <f t="shared" si="23"/>
        <v>0</v>
      </c>
      <c r="K120" s="54"/>
      <c r="L120" s="129"/>
      <c r="M120" s="54">
        <f t="shared" si="25"/>
        <v>0</v>
      </c>
      <c r="N120" s="129"/>
      <c r="O120" s="54">
        <f t="shared" si="27"/>
        <v>0</v>
      </c>
      <c r="P120" s="54">
        <f t="shared" si="28"/>
        <v>0</v>
      </c>
    </row>
    <row r="121" spans="2:16" ht="12.5">
      <c r="B121" s="7" t="str">
        <f t="shared" si="29"/>
        <v/>
      </c>
      <c r="C121" s="50">
        <f>IF(D93="","-",+C120+1)</f>
        <v>2038</v>
      </c>
      <c r="D121" s="12">
        <f>IF(F120+SUM(E$99:E120)=D$92,F120,D$92-SUM(E$99:E120))</f>
        <v>12932234.847142346</v>
      </c>
      <c r="E121" s="378">
        <f>IF(+J96&lt;F120,J96,D121)</f>
        <v>575702.93659090914</v>
      </c>
      <c r="F121" s="55">
        <f t="shared" si="44"/>
        <v>12356531.910551436</v>
      </c>
      <c r="G121" s="55">
        <f t="shared" si="45"/>
        <v>12644383.378846891</v>
      </c>
      <c r="H121" s="380">
        <f t="shared" si="46"/>
        <v>2150261.7190763927</v>
      </c>
      <c r="I121" s="399">
        <f t="shared" si="47"/>
        <v>2150261.7190763927</v>
      </c>
      <c r="J121" s="54">
        <f t="shared" si="23"/>
        <v>0</v>
      </c>
      <c r="K121" s="54"/>
      <c r="L121" s="129"/>
      <c r="M121" s="54">
        <f t="shared" si="25"/>
        <v>0</v>
      </c>
      <c r="N121" s="129"/>
      <c r="O121" s="54">
        <f t="shared" si="27"/>
        <v>0</v>
      </c>
      <c r="P121" s="54">
        <f t="shared" si="28"/>
        <v>0</v>
      </c>
    </row>
    <row r="122" spans="2:16" ht="12.5">
      <c r="B122" s="7" t="str">
        <f t="shared" si="29"/>
        <v/>
      </c>
      <c r="C122" s="50">
        <f>IF(D93="","-",+C121+1)</f>
        <v>2039</v>
      </c>
      <c r="D122" s="12">
        <f>IF(F121+SUM(E$99:E121)=D$92,F121,D$92-SUM(E$99:E121))</f>
        <v>12356531.910551436</v>
      </c>
      <c r="E122" s="378">
        <f>IF(+J96&lt;F121,J96,D122)</f>
        <v>575702.93659090914</v>
      </c>
      <c r="F122" s="55">
        <f t="shared" si="44"/>
        <v>11780828.973960526</v>
      </c>
      <c r="G122" s="55">
        <f t="shared" si="45"/>
        <v>12068680.442255981</v>
      </c>
      <c r="H122" s="380">
        <f t="shared" si="46"/>
        <v>2078571.5395118934</v>
      </c>
      <c r="I122" s="399">
        <f t="shared" si="47"/>
        <v>2078571.5395118934</v>
      </c>
      <c r="J122" s="54">
        <f t="shared" si="23"/>
        <v>0</v>
      </c>
      <c r="K122" s="54"/>
      <c r="L122" s="129"/>
      <c r="M122" s="54">
        <f t="shared" si="25"/>
        <v>0</v>
      </c>
      <c r="N122" s="129"/>
      <c r="O122" s="54">
        <f t="shared" si="27"/>
        <v>0</v>
      </c>
      <c r="P122" s="54">
        <f t="shared" si="28"/>
        <v>0</v>
      </c>
    </row>
    <row r="123" spans="2:16" ht="12.5">
      <c r="B123" s="7" t="str">
        <f t="shared" si="29"/>
        <v/>
      </c>
      <c r="C123" s="50">
        <f>IF(D93="","-",+C122+1)</f>
        <v>2040</v>
      </c>
      <c r="D123" s="12">
        <f>IF(F122+SUM(E$99:E122)=D$92,F122,D$92-SUM(E$99:E122))</f>
        <v>11780828.973960526</v>
      </c>
      <c r="E123" s="378">
        <f>IF(+J96&lt;F122,J96,D123)</f>
        <v>575702.93659090914</v>
      </c>
      <c r="F123" s="55">
        <f t="shared" si="44"/>
        <v>11205126.037369616</v>
      </c>
      <c r="G123" s="55">
        <f t="shared" si="45"/>
        <v>11492977.505665071</v>
      </c>
      <c r="H123" s="380">
        <f t="shared" si="46"/>
        <v>2006881.3599473946</v>
      </c>
      <c r="I123" s="399">
        <f t="shared" si="47"/>
        <v>2006881.3599473946</v>
      </c>
      <c r="J123" s="54">
        <f t="shared" si="23"/>
        <v>0</v>
      </c>
      <c r="K123" s="54"/>
      <c r="L123" s="129"/>
      <c r="M123" s="54">
        <f t="shared" si="25"/>
        <v>0</v>
      </c>
      <c r="N123" s="129"/>
      <c r="O123" s="54">
        <f t="shared" si="27"/>
        <v>0</v>
      </c>
      <c r="P123" s="54">
        <f t="shared" si="28"/>
        <v>0</v>
      </c>
    </row>
    <row r="124" spans="2:16" ht="12.5">
      <c r="B124" s="7" t="str">
        <f t="shared" si="29"/>
        <v/>
      </c>
      <c r="C124" s="50">
        <f>IF(D93="","-",+C123+1)</f>
        <v>2041</v>
      </c>
      <c r="D124" s="12">
        <f>IF(F123+SUM(E$99:E123)=D$92,F123,D$92-SUM(E$99:E123))</f>
        <v>11205126.037369616</v>
      </c>
      <c r="E124" s="378">
        <f>IF(+J96&lt;F123,J96,D124)</f>
        <v>575702.93659090914</v>
      </c>
      <c r="F124" s="55">
        <f t="shared" si="44"/>
        <v>10629423.100778706</v>
      </c>
      <c r="G124" s="55">
        <f t="shared" si="45"/>
        <v>10917274.569074161</v>
      </c>
      <c r="H124" s="380">
        <f t="shared" si="46"/>
        <v>1935191.1803828953</v>
      </c>
      <c r="I124" s="399">
        <f t="shared" si="47"/>
        <v>1935191.1803828953</v>
      </c>
      <c r="J124" s="54">
        <f t="shared" si="23"/>
        <v>0</v>
      </c>
      <c r="K124" s="54"/>
      <c r="L124" s="129"/>
      <c r="M124" s="54">
        <f t="shared" si="25"/>
        <v>0</v>
      </c>
      <c r="N124" s="129"/>
      <c r="O124" s="54">
        <f t="shared" si="27"/>
        <v>0</v>
      </c>
      <c r="P124" s="54">
        <f t="shared" si="28"/>
        <v>0</v>
      </c>
    </row>
    <row r="125" spans="2:16" ht="12.5">
      <c r="B125" s="7" t="str">
        <f t="shared" si="29"/>
        <v/>
      </c>
      <c r="C125" s="50">
        <f>IF(D93="","-",+C124+1)</f>
        <v>2042</v>
      </c>
      <c r="D125" s="12">
        <f>IF(F124+SUM(E$99:E124)=D$92,F124,D$92-SUM(E$99:E124))</f>
        <v>10629423.100778706</v>
      </c>
      <c r="E125" s="378">
        <f>IF(+J96&lt;F124,J96,D125)</f>
        <v>575702.93659090914</v>
      </c>
      <c r="F125" s="55">
        <f t="shared" si="44"/>
        <v>10053720.164187796</v>
      </c>
      <c r="G125" s="55">
        <f t="shared" si="45"/>
        <v>10341571.632483251</v>
      </c>
      <c r="H125" s="380">
        <f t="shared" si="46"/>
        <v>1863501.0008183965</v>
      </c>
      <c r="I125" s="399">
        <f t="shared" si="47"/>
        <v>1863501.0008183965</v>
      </c>
      <c r="J125" s="54">
        <f t="shared" si="23"/>
        <v>0</v>
      </c>
      <c r="K125" s="54"/>
      <c r="L125" s="129"/>
      <c r="M125" s="54">
        <f t="shared" si="25"/>
        <v>0</v>
      </c>
      <c r="N125" s="129"/>
      <c r="O125" s="54">
        <f t="shared" si="27"/>
        <v>0</v>
      </c>
      <c r="P125" s="54">
        <f t="shared" si="28"/>
        <v>0</v>
      </c>
    </row>
    <row r="126" spans="2:16" ht="12.5">
      <c r="B126" s="7" t="str">
        <f t="shared" si="29"/>
        <v/>
      </c>
      <c r="C126" s="50">
        <f>IF(D93="","-",+C125+1)</f>
        <v>2043</v>
      </c>
      <c r="D126" s="12">
        <f>IF(F125+SUM(E$99:E125)=D$92,F125,D$92-SUM(E$99:E125))</f>
        <v>10053720.164187796</v>
      </c>
      <c r="E126" s="378">
        <f>IF(+J96&lt;F125,J96,D126)</f>
        <v>575702.93659090914</v>
      </c>
      <c r="F126" s="55">
        <f t="shared" si="44"/>
        <v>9478017.2275968865</v>
      </c>
      <c r="G126" s="55">
        <f t="shared" si="45"/>
        <v>9765868.6958923414</v>
      </c>
      <c r="H126" s="380">
        <f t="shared" si="46"/>
        <v>1791810.8212538972</v>
      </c>
      <c r="I126" s="399">
        <f t="shared" si="47"/>
        <v>1791810.8212538972</v>
      </c>
      <c r="J126" s="54">
        <f t="shared" si="23"/>
        <v>0</v>
      </c>
      <c r="K126" s="54"/>
      <c r="L126" s="129"/>
      <c r="M126" s="54">
        <f t="shared" si="25"/>
        <v>0</v>
      </c>
      <c r="N126" s="129"/>
      <c r="O126" s="54">
        <f t="shared" si="27"/>
        <v>0</v>
      </c>
      <c r="P126" s="54">
        <f t="shared" si="28"/>
        <v>0</v>
      </c>
    </row>
    <row r="127" spans="2:16" ht="12.5">
      <c r="B127" s="7" t="str">
        <f t="shared" si="29"/>
        <v/>
      </c>
      <c r="C127" s="50">
        <f>IF(D93="","-",+C126+1)</f>
        <v>2044</v>
      </c>
      <c r="D127" s="12">
        <f>IF(F126+SUM(E$99:E126)=D$92,F126,D$92-SUM(E$99:E126))</f>
        <v>9478017.2275968865</v>
      </c>
      <c r="E127" s="378">
        <f>IF(+J96&lt;F126,J96,D127)</f>
        <v>575702.93659090914</v>
      </c>
      <c r="F127" s="55">
        <f t="shared" si="44"/>
        <v>8902314.2910059765</v>
      </c>
      <c r="G127" s="55">
        <f t="shared" si="45"/>
        <v>9190165.7593014315</v>
      </c>
      <c r="H127" s="380">
        <f t="shared" si="46"/>
        <v>1720120.6416893983</v>
      </c>
      <c r="I127" s="399">
        <f t="shared" si="47"/>
        <v>1720120.6416893983</v>
      </c>
      <c r="J127" s="54">
        <f t="shared" si="23"/>
        <v>0</v>
      </c>
      <c r="K127" s="54"/>
      <c r="L127" s="129"/>
      <c r="M127" s="54">
        <f t="shared" si="25"/>
        <v>0</v>
      </c>
      <c r="N127" s="129"/>
      <c r="O127" s="54">
        <f t="shared" si="27"/>
        <v>0</v>
      </c>
      <c r="P127" s="54">
        <f t="shared" si="28"/>
        <v>0</v>
      </c>
    </row>
    <row r="128" spans="2:16" ht="12.5">
      <c r="B128" s="7" t="str">
        <f t="shared" si="29"/>
        <v/>
      </c>
      <c r="C128" s="50">
        <f>IF(D93="","-",+C127+1)</f>
        <v>2045</v>
      </c>
      <c r="D128" s="12">
        <f>IF(F127+SUM(E$99:E127)=D$92,F127,D$92-SUM(E$99:E127))</f>
        <v>8902314.2910059765</v>
      </c>
      <c r="E128" s="378">
        <f>IF(+J96&lt;F127,J96,D128)</f>
        <v>575702.93659090914</v>
      </c>
      <c r="F128" s="55">
        <f t="shared" si="44"/>
        <v>8326611.3544150675</v>
      </c>
      <c r="G128" s="55">
        <f t="shared" si="45"/>
        <v>8614462.8227105215</v>
      </c>
      <c r="H128" s="380">
        <f t="shared" si="46"/>
        <v>1648430.4621248995</v>
      </c>
      <c r="I128" s="399">
        <f t="shared" si="47"/>
        <v>1648430.4621248995</v>
      </c>
      <c r="J128" s="54">
        <f t="shared" si="23"/>
        <v>0</v>
      </c>
      <c r="K128" s="54"/>
      <c r="L128" s="129"/>
      <c r="M128" s="54">
        <f t="shared" si="25"/>
        <v>0</v>
      </c>
      <c r="N128" s="129"/>
      <c r="O128" s="54">
        <f t="shared" si="27"/>
        <v>0</v>
      </c>
      <c r="P128" s="54">
        <f t="shared" si="28"/>
        <v>0</v>
      </c>
    </row>
    <row r="129" spans="2:16" ht="12.5">
      <c r="B129" s="7" t="str">
        <f t="shared" si="29"/>
        <v/>
      </c>
      <c r="C129" s="50">
        <f>IF(D93="","-",+C128+1)</f>
        <v>2046</v>
      </c>
      <c r="D129" s="12">
        <f>IF(F128+SUM(E$99:E128)=D$92,F128,D$92-SUM(E$99:E128))</f>
        <v>8326611.3544150675</v>
      </c>
      <c r="E129" s="378">
        <f>IF(+J96&lt;F128,J96,D129)</f>
        <v>575702.93659090914</v>
      </c>
      <c r="F129" s="55">
        <f t="shared" si="44"/>
        <v>7750908.4178241584</v>
      </c>
      <c r="G129" s="55">
        <f t="shared" si="45"/>
        <v>8038759.8861196134</v>
      </c>
      <c r="H129" s="380">
        <f t="shared" si="46"/>
        <v>1576740.2825604007</v>
      </c>
      <c r="I129" s="399">
        <f t="shared" si="47"/>
        <v>1576740.2825604007</v>
      </c>
      <c r="J129" s="54">
        <f t="shared" si="23"/>
        <v>0</v>
      </c>
      <c r="K129" s="54"/>
      <c r="L129" s="129"/>
      <c r="M129" s="54">
        <f t="shared" si="25"/>
        <v>0</v>
      </c>
      <c r="N129" s="129"/>
      <c r="O129" s="54">
        <f t="shared" si="27"/>
        <v>0</v>
      </c>
      <c r="P129" s="54">
        <f t="shared" si="28"/>
        <v>0</v>
      </c>
    </row>
    <row r="130" spans="2:16" ht="12.5">
      <c r="B130" s="7" t="str">
        <f t="shared" si="29"/>
        <v/>
      </c>
      <c r="C130" s="50">
        <f>IF(D93="","-",+C129+1)</f>
        <v>2047</v>
      </c>
      <c r="D130" s="12">
        <f>IF(F129+SUM(E$99:E129)=D$92,F129,D$92-SUM(E$99:E129))</f>
        <v>7750908.4178241584</v>
      </c>
      <c r="E130" s="378">
        <f>IF(+J96&lt;F129,J96,D130)</f>
        <v>575702.93659090914</v>
      </c>
      <c r="F130" s="55">
        <f t="shared" si="44"/>
        <v>7175205.4812332494</v>
      </c>
      <c r="G130" s="55">
        <f t="shared" si="45"/>
        <v>7463056.9495287035</v>
      </c>
      <c r="H130" s="380">
        <f t="shared" si="46"/>
        <v>1505050.1029959014</v>
      </c>
      <c r="I130" s="399">
        <f t="shared" si="47"/>
        <v>1505050.1029959014</v>
      </c>
      <c r="J130" s="54">
        <f t="shared" si="23"/>
        <v>0</v>
      </c>
      <c r="K130" s="54"/>
      <c r="L130" s="129"/>
      <c r="M130" s="54">
        <f t="shared" si="25"/>
        <v>0</v>
      </c>
      <c r="N130" s="129"/>
      <c r="O130" s="54">
        <f t="shared" si="27"/>
        <v>0</v>
      </c>
      <c r="P130" s="54">
        <f t="shared" si="28"/>
        <v>0</v>
      </c>
    </row>
    <row r="131" spans="2:16" ht="12.5">
      <c r="B131" s="7" t="str">
        <f t="shared" si="29"/>
        <v/>
      </c>
      <c r="C131" s="50">
        <f>IF(D93="","-",+C130+1)</f>
        <v>2048</v>
      </c>
      <c r="D131" s="12">
        <f>IF(F130+SUM(E$99:E130)=D$92,F130,D$92-SUM(E$99:E130))</f>
        <v>7175205.4812332494</v>
      </c>
      <c r="E131" s="378">
        <f>IF(+J96&lt;F130,J96,D131)</f>
        <v>575702.93659090914</v>
      </c>
      <c r="F131" s="55">
        <f t="shared" ref="F131:F154" si="48">+D131-E131</f>
        <v>6599502.5446423404</v>
      </c>
      <c r="G131" s="55">
        <f t="shared" ref="G131:G154" si="49">+(F131+D131)/2</f>
        <v>6887354.0129377954</v>
      </c>
      <c r="H131" s="380">
        <f t="shared" si="46"/>
        <v>1433359.9234314025</v>
      </c>
      <c r="I131" s="399">
        <f t="shared" si="47"/>
        <v>1433359.9234314025</v>
      </c>
      <c r="J131" s="54">
        <f t="shared" ref="J131:J154" si="50">+I541-H541</f>
        <v>0</v>
      </c>
      <c r="K131" s="54"/>
      <c r="L131" s="129"/>
      <c r="M131" s="54">
        <f t="shared" ref="M131:M154" si="51">IF(L541&lt;&gt;0,+H541-L541,0)</f>
        <v>0</v>
      </c>
      <c r="N131" s="129"/>
      <c r="O131" s="54">
        <f t="shared" ref="O131:O154" si="52">IF(N541&lt;&gt;0,+I541-N541,0)</f>
        <v>0</v>
      </c>
      <c r="P131" s="54">
        <f t="shared" ref="P131:P154" si="53">+O541-M541</f>
        <v>0</v>
      </c>
    </row>
    <row r="132" spans="2:16" ht="12.5">
      <c r="B132" s="7" t="str">
        <f t="shared" si="29"/>
        <v/>
      </c>
      <c r="C132" s="50">
        <f>IF(D93="","-",+C131+1)</f>
        <v>2049</v>
      </c>
      <c r="D132" s="12">
        <f>IF(F131+SUM(E$99:E131)=D$92,F131,D$92-SUM(E$99:E131))</f>
        <v>6599502.5446423404</v>
      </c>
      <c r="E132" s="378">
        <f>IF(+J96&lt;F131,J96,D132)</f>
        <v>575702.93659090914</v>
      </c>
      <c r="F132" s="55">
        <f t="shared" si="48"/>
        <v>6023799.6080514314</v>
      </c>
      <c r="G132" s="55">
        <f t="shared" si="49"/>
        <v>6311651.0763468854</v>
      </c>
      <c r="H132" s="380">
        <f t="shared" si="46"/>
        <v>1361669.7438669037</v>
      </c>
      <c r="I132" s="399">
        <f t="shared" si="47"/>
        <v>1361669.7438669037</v>
      </c>
      <c r="J132" s="54">
        <f t="shared" si="50"/>
        <v>0</v>
      </c>
      <c r="K132" s="54"/>
      <c r="L132" s="129"/>
      <c r="M132" s="54">
        <f t="shared" si="51"/>
        <v>0</v>
      </c>
      <c r="N132" s="129"/>
      <c r="O132" s="54">
        <f t="shared" si="52"/>
        <v>0</v>
      </c>
      <c r="P132" s="54">
        <f t="shared" si="53"/>
        <v>0</v>
      </c>
    </row>
    <row r="133" spans="2:16" ht="12.5">
      <c r="B133" s="7" t="str">
        <f t="shared" si="29"/>
        <v/>
      </c>
      <c r="C133" s="50">
        <f>IF(D93="","-",+C132+1)</f>
        <v>2050</v>
      </c>
      <c r="D133" s="12">
        <f>IF(F132+SUM(E$99:E132)=D$92,F132,D$92-SUM(E$99:E132))</f>
        <v>6023799.6080514314</v>
      </c>
      <c r="E133" s="378">
        <f>IF(+J96&lt;F132,J96,D133)</f>
        <v>575702.93659090914</v>
      </c>
      <c r="F133" s="55">
        <f t="shared" si="48"/>
        <v>5448096.6714605223</v>
      </c>
      <c r="G133" s="55">
        <f t="shared" si="49"/>
        <v>5735948.1397559773</v>
      </c>
      <c r="H133" s="380">
        <f t="shared" si="46"/>
        <v>1289979.5643024049</v>
      </c>
      <c r="I133" s="399">
        <f t="shared" si="47"/>
        <v>1289979.5643024049</v>
      </c>
      <c r="J133" s="54">
        <f t="shared" si="50"/>
        <v>0</v>
      </c>
      <c r="K133" s="54"/>
      <c r="L133" s="129"/>
      <c r="M133" s="54">
        <f t="shared" si="51"/>
        <v>0</v>
      </c>
      <c r="N133" s="129"/>
      <c r="O133" s="54">
        <f t="shared" si="52"/>
        <v>0</v>
      </c>
      <c r="P133" s="54">
        <f t="shared" si="53"/>
        <v>0</v>
      </c>
    </row>
    <row r="134" spans="2:16" ht="12.5">
      <c r="B134" s="7" t="str">
        <f t="shared" si="29"/>
        <v/>
      </c>
      <c r="C134" s="50">
        <f>IF(D93="","-",+C133+1)</f>
        <v>2051</v>
      </c>
      <c r="D134" s="12">
        <f>IF(F133+SUM(E$99:E133)=D$92,F133,D$92-SUM(E$99:E133))</f>
        <v>5448096.6714605223</v>
      </c>
      <c r="E134" s="378">
        <f>IF(+J96&lt;F133,J96,D134)</f>
        <v>575702.93659090914</v>
      </c>
      <c r="F134" s="55">
        <f t="shared" si="48"/>
        <v>4872393.7348696133</v>
      </c>
      <c r="G134" s="55">
        <f t="shared" si="49"/>
        <v>5160245.2031650674</v>
      </c>
      <c r="H134" s="380">
        <f t="shared" si="46"/>
        <v>1218289.3847379058</v>
      </c>
      <c r="I134" s="399">
        <f t="shared" si="47"/>
        <v>1218289.3847379058</v>
      </c>
      <c r="J134" s="54">
        <f t="shared" si="50"/>
        <v>0</v>
      </c>
      <c r="K134" s="54"/>
      <c r="L134" s="129"/>
      <c r="M134" s="54">
        <f t="shared" si="51"/>
        <v>0</v>
      </c>
      <c r="N134" s="129"/>
      <c r="O134" s="54">
        <f t="shared" si="52"/>
        <v>0</v>
      </c>
      <c r="P134" s="54">
        <f t="shared" si="53"/>
        <v>0</v>
      </c>
    </row>
    <row r="135" spans="2:16" ht="12.5">
      <c r="B135" s="7" t="str">
        <f t="shared" si="29"/>
        <v/>
      </c>
      <c r="C135" s="50">
        <f>IF(D93="","-",+C134+1)</f>
        <v>2052</v>
      </c>
      <c r="D135" s="12">
        <f>IF(F134+SUM(E$99:E134)=D$92,F134,D$92-SUM(E$99:E134))</f>
        <v>4872393.7348696133</v>
      </c>
      <c r="E135" s="378">
        <f>IF(+J96&lt;F134,J96,D135)</f>
        <v>575702.93659090914</v>
      </c>
      <c r="F135" s="55">
        <f t="shared" si="48"/>
        <v>4296690.7982787043</v>
      </c>
      <c r="G135" s="55">
        <f t="shared" si="49"/>
        <v>4584542.2665741593</v>
      </c>
      <c r="H135" s="380">
        <f t="shared" si="46"/>
        <v>1146599.205173407</v>
      </c>
      <c r="I135" s="399">
        <f t="shared" si="47"/>
        <v>1146599.205173407</v>
      </c>
      <c r="J135" s="54">
        <f t="shared" si="50"/>
        <v>0</v>
      </c>
      <c r="K135" s="54"/>
      <c r="L135" s="129"/>
      <c r="M135" s="54">
        <f t="shared" si="51"/>
        <v>0</v>
      </c>
      <c r="N135" s="129"/>
      <c r="O135" s="54">
        <f t="shared" si="52"/>
        <v>0</v>
      </c>
      <c r="P135" s="54">
        <f t="shared" si="53"/>
        <v>0</v>
      </c>
    </row>
    <row r="136" spans="2:16" ht="12.5">
      <c r="B136" s="7" t="str">
        <f t="shared" si="29"/>
        <v/>
      </c>
      <c r="C136" s="50">
        <f>IF(D93="","-",+C135+1)</f>
        <v>2053</v>
      </c>
      <c r="D136" s="12">
        <f>IF(F135+SUM(E$99:E135)=D$92,F135,D$92-SUM(E$99:E135))</f>
        <v>4296690.7982787043</v>
      </c>
      <c r="E136" s="378">
        <f>IF(+J96&lt;F135,J96,D136)</f>
        <v>575702.93659090914</v>
      </c>
      <c r="F136" s="55">
        <f t="shared" si="48"/>
        <v>3720987.8616877953</v>
      </c>
      <c r="G136" s="55">
        <f t="shared" si="49"/>
        <v>4008839.3299832498</v>
      </c>
      <c r="H136" s="380">
        <f t="shared" si="46"/>
        <v>1074909.0256089079</v>
      </c>
      <c r="I136" s="399">
        <f t="shared" si="47"/>
        <v>1074909.0256089079</v>
      </c>
      <c r="J136" s="54">
        <f t="shared" si="50"/>
        <v>0</v>
      </c>
      <c r="K136" s="54"/>
      <c r="L136" s="129"/>
      <c r="M136" s="54">
        <f t="shared" si="51"/>
        <v>0</v>
      </c>
      <c r="N136" s="129"/>
      <c r="O136" s="54">
        <f t="shared" si="52"/>
        <v>0</v>
      </c>
      <c r="P136" s="54">
        <f t="shared" si="53"/>
        <v>0</v>
      </c>
    </row>
    <row r="137" spans="2:16" ht="12.5">
      <c r="B137" s="7" t="str">
        <f t="shared" si="29"/>
        <v/>
      </c>
      <c r="C137" s="50">
        <f>IF(D93="","-",+C136+1)</f>
        <v>2054</v>
      </c>
      <c r="D137" s="12">
        <f>IF(F136+SUM(E$99:E136)=D$92,F136,D$92-SUM(E$99:E136))</f>
        <v>3720987.8616877953</v>
      </c>
      <c r="E137" s="378">
        <f>IF(+J96&lt;F136,J96,D137)</f>
        <v>575702.93659090914</v>
      </c>
      <c r="F137" s="55">
        <f t="shared" si="48"/>
        <v>3145284.9250968862</v>
      </c>
      <c r="G137" s="55">
        <f t="shared" si="49"/>
        <v>3433136.3933923407</v>
      </c>
      <c r="H137" s="380">
        <f t="shared" si="46"/>
        <v>1003218.8460444091</v>
      </c>
      <c r="I137" s="399">
        <f t="shared" si="47"/>
        <v>1003218.8460444091</v>
      </c>
      <c r="J137" s="54">
        <f t="shared" si="50"/>
        <v>0</v>
      </c>
      <c r="K137" s="54"/>
      <c r="L137" s="129"/>
      <c r="M137" s="54">
        <f t="shared" si="51"/>
        <v>0</v>
      </c>
      <c r="N137" s="129"/>
      <c r="O137" s="54">
        <f t="shared" si="52"/>
        <v>0</v>
      </c>
      <c r="P137" s="54">
        <f t="shared" si="53"/>
        <v>0</v>
      </c>
    </row>
    <row r="138" spans="2:16" ht="12.5">
      <c r="B138" s="7" t="str">
        <f t="shared" si="29"/>
        <v/>
      </c>
      <c r="C138" s="50">
        <f>IF(D93="","-",+C137+1)</f>
        <v>2055</v>
      </c>
      <c r="D138" s="12">
        <f>IF(F137+SUM(E$99:E137)=D$92,F137,D$92-SUM(E$99:E137))</f>
        <v>3145284.9250968862</v>
      </c>
      <c r="E138" s="378">
        <f>IF(+J96&lt;F137,J96,D138)</f>
        <v>575702.93659090914</v>
      </c>
      <c r="F138" s="55">
        <f t="shared" si="48"/>
        <v>2569581.9885059772</v>
      </c>
      <c r="G138" s="55">
        <f t="shared" si="49"/>
        <v>2857433.4568014317</v>
      </c>
      <c r="H138" s="380">
        <f t="shared" si="46"/>
        <v>931528.66647991026</v>
      </c>
      <c r="I138" s="399">
        <f t="shared" si="47"/>
        <v>931528.66647991026</v>
      </c>
      <c r="J138" s="54">
        <f t="shared" si="50"/>
        <v>0</v>
      </c>
      <c r="K138" s="54"/>
      <c r="L138" s="129"/>
      <c r="M138" s="54">
        <f t="shared" si="51"/>
        <v>0</v>
      </c>
      <c r="N138" s="129"/>
      <c r="O138" s="54">
        <f t="shared" si="52"/>
        <v>0</v>
      </c>
      <c r="P138" s="54">
        <f t="shared" si="53"/>
        <v>0</v>
      </c>
    </row>
    <row r="139" spans="2:16" ht="12.5">
      <c r="B139" s="7" t="str">
        <f t="shared" si="29"/>
        <v/>
      </c>
      <c r="C139" s="50">
        <f>IF(D93="","-",+C138+1)</f>
        <v>2056</v>
      </c>
      <c r="D139" s="12">
        <f>IF(F138+SUM(E$99:E138)=D$92,F138,D$92-SUM(E$99:E138))</f>
        <v>2569581.9885059772</v>
      </c>
      <c r="E139" s="378">
        <f>IF(+J96&lt;F138,J96,D139)</f>
        <v>575702.93659090914</v>
      </c>
      <c r="F139" s="55">
        <f t="shared" si="48"/>
        <v>1993879.0519150682</v>
      </c>
      <c r="G139" s="55">
        <f t="shared" si="49"/>
        <v>2281730.5202105227</v>
      </c>
      <c r="H139" s="380">
        <f t="shared" si="46"/>
        <v>859838.48691541119</v>
      </c>
      <c r="I139" s="399">
        <f t="shared" si="47"/>
        <v>859838.48691541119</v>
      </c>
      <c r="J139" s="54">
        <f t="shared" si="50"/>
        <v>0</v>
      </c>
      <c r="K139" s="54"/>
      <c r="L139" s="129"/>
      <c r="M139" s="54">
        <f t="shared" si="51"/>
        <v>0</v>
      </c>
      <c r="N139" s="129"/>
      <c r="O139" s="54">
        <f t="shared" si="52"/>
        <v>0</v>
      </c>
      <c r="P139" s="54">
        <f t="shared" si="53"/>
        <v>0</v>
      </c>
    </row>
    <row r="140" spans="2:16" ht="12.5">
      <c r="B140" s="7" t="str">
        <f t="shared" si="29"/>
        <v/>
      </c>
      <c r="C140" s="50">
        <f>IF(D93="","-",+C139+1)</f>
        <v>2057</v>
      </c>
      <c r="D140" s="12">
        <f>IF(F139+SUM(E$99:E139)=D$92,F139,D$92-SUM(E$99:E139))</f>
        <v>1993879.0519150682</v>
      </c>
      <c r="E140" s="378">
        <f>IF(+J96&lt;F139,J96,D140)</f>
        <v>575702.93659090914</v>
      </c>
      <c r="F140" s="55">
        <f t="shared" si="48"/>
        <v>1418176.1153241592</v>
      </c>
      <c r="G140" s="55">
        <f t="shared" si="49"/>
        <v>1706027.5836196137</v>
      </c>
      <c r="H140" s="380">
        <f t="shared" si="46"/>
        <v>788148.30735091236</v>
      </c>
      <c r="I140" s="399">
        <f t="shared" si="47"/>
        <v>788148.30735091236</v>
      </c>
      <c r="J140" s="54">
        <f t="shared" si="50"/>
        <v>0</v>
      </c>
      <c r="K140" s="54"/>
      <c r="L140" s="129"/>
      <c r="M140" s="54">
        <f t="shared" si="51"/>
        <v>0</v>
      </c>
      <c r="N140" s="129"/>
      <c r="O140" s="54">
        <f t="shared" si="52"/>
        <v>0</v>
      </c>
      <c r="P140" s="54">
        <f t="shared" si="53"/>
        <v>0</v>
      </c>
    </row>
    <row r="141" spans="2:16" ht="12.5">
      <c r="B141" s="7" t="str">
        <f t="shared" si="29"/>
        <v/>
      </c>
      <c r="C141" s="50">
        <f>IF(D93="","-",+C140+1)</f>
        <v>2058</v>
      </c>
      <c r="D141" s="12">
        <f>IF(F140+SUM(E$99:E140)=D$92,F140,D$92-SUM(E$99:E140))</f>
        <v>1418176.1153241592</v>
      </c>
      <c r="E141" s="378">
        <f>IF(+J96&lt;F140,J96,D141)</f>
        <v>575702.93659090914</v>
      </c>
      <c r="F141" s="55">
        <f t="shared" si="48"/>
        <v>842473.17873325001</v>
      </c>
      <c r="G141" s="55">
        <f t="shared" si="49"/>
        <v>1130324.6470287046</v>
      </c>
      <c r="H141" s="380">
        <f t="shared" si="46"/>
        <v>716458.12778641342</v>
      </c>
      <c r="I141" s="399">
        <f t="shared" si="47"/>
        <v>716458.12778641342</v>
      </c>
      <c r="J141" s="54">
        <f t="shared" si="50"/>
        <v>0</v>
      </c>
      <c r="K141" s="54"/>
      <c r="L141" s="129"/>
      <c r="M141" s="54">
        <f t="shared" si="51"/>
        <v>0</v>
      </c>
      <c r="N141" s="129"/>
      <c r="O141" s="54">
        <f t="shared" si="52"/>
        <v>0</v>
      </c>
      <c r="P141" s="54">
        <f t="shared" si="53"/>
        <v>0</v>
      </c>
    </row>
    <row r="142" spans="2:16" ht="12.5">
      <c r="B142" s="7" t="str">
        <f t="shared" si="29"/>
        <v/>
      </c>
      <c r="C142" s="50">
        <f>IF(D93="","-",+C141+1)</f>
        <v>2059</v>
      </c>
      <c r="D142" s="12">
        <f>IF(F141+SUM(E$99:E141)=D$92,F141,D$92-SUM(E$99:E141))</f>
        <v>842473.17873325001</v>
      </c>
      <c r="E142" s="378">
        <f>IF(+J96&lt;F141,J96,D142)</f>
        <v>575702.93659090914</v>
      </c>
      <c r="F142" s="55">
        <f t="shared" si="48"/>
        <v>266770.24214234087</v>
      </c>
      <c r="G142" s="55">
        <f t="shared" si="49"/>
        <v>554621.71043779538</v>
      </c>
      <c r="H142" s="380">
        <f t="shared" si="46"/>
        <v>644767.94822191447</v>
      </c>
      <c r="I142" s="399">
        <f t="shared" si="47"/>
        <v>644767.94822191447</v>
      </c>
      <c r="J142" s="54">
        <f t="shared" si="50"/>
        <v>0</v>
      </c>
      <c r="K142" s="54"/>
      <c r="L142" s="129"/>
      <c r="M142" s="54">
        <f t="shared" si="51"/>
        <v>0</v>
      </c>
      <c r="N142" s="129"/>
      <c r="O142" s="54">
        <f t="shared" si="52"/>
        <v>0</v>
      </c>
      <c r="P142" s="54">
        <f t="shared" si="53"/>
        <v>0</v>
      </c>
    </row>
    <row r="143" spans="2:16" ht="12.5">
      <c r="B143" s="7" t="str">
        <f t="shared" si="29"/>
        <v/>
      </c>
      <c r="C143" s="50">
        <f>IF(D93="","-",+C142+1)</f>
        <v>2060</v>
      </c>
      <c r="D143" s="12">
        <f>IF(F142+SUM(E$99:E142)=D$92,F142,D$92-SUM(E$99:E142))</f>
        <v>266770.24214234087</v>
      </c>
      <c r="E143" s="378">
        <f>IF(+J96&lt;F142,J96,D143)</f>
        <v>266770.24214234087</v>
      </c>
      <c r="F143" s="55">
        <f t="shared" si="48"/>
        <v>0</v>
      </c>
      <c r="G143" s="55">
        <f t="shared" si="49"/>
        <v>133385.12107117043</v>
      </c>
      <c r="H143" s="380">
        <f t="shared" si="46"/>
        <v>283380.20306671882</v>
      </c>
      <c r="I143" s="399">
        <f t="shared" si="47"/>
        <v>283380.20306671882</v>
      </c>
      <c r="J143" s="54">
        <f t="shared" si="50"/>
        <v>0</v>
      </c>
      <c r="K143" s="54"/>
      <c r="L143" s="129"/>
      <c r="M143" s="54">
        <f t="shared" si="51"/>
        <v>0</v>
      </c>
      <c r="N143" s="129"/>
      <c r="O143" s="54">
        <f t="shared" si="52"/>
        <v>0</v>
      </c>
      <c r="P143" s="54">
        <f t="shared" si="53"/>
        <v>0</v>
      </c>
    </row>
    <row r="144" spans="2:16" ht="12.5">
      <c r="B144" s="7" t="str">
        <f t="shared" si="29"/>
        <v/>
      </c>
      <c r="C144" s="50">
        <f>IF(D93="","-",+C143+1)</f>
        <v>2061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48"/>
        <v>0</v>
      </c>
      <c r="G144" s="55">
        <f t="shared" si="49"/>
        <v>0</v>
      </c>
      <c r="H144" s="380">
        <f t="shared" si="46"/>
        <v>0</v>
      </c>
      <c r="I144" s="399">
        <f t="shared" si="47"/>
        <v>0</v>
      </c>
      <c r="J144" s="54">
        <f t="shared" si="50"/>
        <v>0</v>
      </c>
      <c r="K144" s="54"/>
      <c r="L144" s="129"/>
      <c r="M144" s="54">
        <f t="shared" si="51"/>
        <v>0</v>
      </c>
      <c r="N144" s="129"/>
      <c r="O144" s="54">
        <f t="shared" si="52"/>
        <v>0</v>
      </c>
      <c r="P144" s="54">
        <f t="shared" si="53"/>
        <v>0</v>
      </c>
    </row>
    <row r="145" spans="2:16" ht="12.5">
      <c r="B145" s="7" t="str">
        <f t="shared" si="29"/>
        <v/>
      </c>
      <c r="C145" s="50">
        <f>IF(D93="","-",+C144+1)</f>
        <v>2062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48"/>
        <v>0</v>
      </c>
      <c r="G145" s="55">
        <f t="shared" si="49"/>
        <v>0</v>
      </c>
      <c r="H145" s="380">
        <f t="shared" si="46"/>
        <v>0</v>
      </c>
      <c r="I145" s="399">
        <f t="shared" si="47"/>
        <v>0</v>
      </c>
      <c r="J145" s="54">
        <f t="shared" si="50"/>
        <v>0</v>
      </c>
      <c r="K145" s="54"/>
      <c r="L145" s="129"/>
      <c r="M145" s="54">
        <f t="shared" si="51"/>
        <v>0</v>
      </c>
      <c r="N145" s="129"/>
      <c r="O145" s="54">
        <f t="shared" si="52"/>
        <v>0</v>
      </c>
      <c r="P145" s="54">
        <f t="shared" si="53"/>
        <v>0</v>
      </c>
    </row>
    <row r="146" spans="2:16" ht="12.5">
      <c r="B146" s="7" t="str">
        <f t="shared" si="29"/>
        <v/>
      </c>
      <c r="C146" s="50">
        <f>IF(D93="","-",+C145+1)</f>
        <v>2063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48"/>
        <v>0</v>
      </c>
      <c r="G146" s="55">
        <f t="shared" si="49"/>
        <v>0</v>
      </c>
      <c r="H146" s="380">
        <f t="shared" si="46"/>
        <v>0</v>
      </c>
      <c r="I146" s="399">
        <f t="shared" si="47"/>
        <v>0</v>
      </c>
      <c r="J146" s="54">
        <f t="shared" si="50"/>
        <v>0</v>
      </c>
      <c r="K146" s="54"/>
      <c r="L146" s="129"/>
      <c r="M146" s="54">
        <f t="shared" si="51"/>
        <v>0</v>
      </c>
      <c r="N146" s="129"/>
      <c r="O146" s="54">
        <f t="shared" si="52"/>
        <v>0</v>
      </c>
      <c r="P146" s="54">
        <f t="shared" si="53"/>
        <v>0</v>
      </c>
    </row>
    <row r="147" spans="2:16" ht="12.5">
      <c r="B147" s="7" t="str">
        <f t="shared" si="29"/>
        <v/>
      </c>
      <c r="C147" s="50">
        <f>IF(D93="","-",+C146+1)</f>
        <v>2064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48"/>
        <v>0</v>
      </c>
      <c r="G147" s="55">
        <f t="shared" si="49"/>
        <v>0</v>
      </c>
      <c r="H147" s="380">
        <f t="shared" si="46"/>
        <v>0</v>
      </c>
      <c r="I147" s="399">
        <f t="shared" si="47"/>
        <v>0</v>
      </c>
      <c r="J147" s="54">
        <f t="shared" si="50"/>
        <v>0</v>
      </c>
      <c r="K147" s="54"/>
      <c r="L147" s="129"/>
      <c r="M147" s="54">
        <f t="shared" si="51"/>
        <v>0</v>
      </c>
      <c r="N147" s="129"/>
      <c r="O147" s="54">
        <f t="shared" si="52"/>
        <v>0</v>
      </c>
      <c r="P147" s="54">
        <f t="shared" si="53"/>
        <v>0</v>
      </c>
    </row>
    <row r="148" spans="2:16" ht="12.5">
      <c r="B148" s="7" t="str">
        <f t="shared" si="29"/>
        <v/>
      </c>
      <c r="C148" s="50">
        <f>IF(D93="","-",+C147+1)</f>
        <v>2065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48"/>
        <v>0</v>
      </c>
      <c r="G148" s="55">
        <f t="shared" si="49"/>
        <v>0</v>
      </c>
      <c r="H148" s="380">
        <f t="shared" si="46"/>
        <v>0</v>
      </c>
      <c r="I148" s="399">
        <f t="shared" si="47"/>
        <v>0</v>
      </c>
      <c r="J148" s="54">
        <f t="shared" si="50"/>
        <v>0</v>
      </c>
      <c r="K148" s="54"/>
      <c r="L148" s="129"/>
      <c r="M148" s="54">
        <f t="shared" si="51"/>
        <v>0</v>
      </c>
      <c r="N148" s="129"/>
      <c r="O148" s="54">
        <f t="shared" si="52"/>
        <v>0</v>
      </c>
      <c r="P148" s="54">
        <f t="shared" si="53"/>
        <v>0</v>
      </c>
    </row>
    <row r="149" spans="2:16" ht="12.5">
      <c r="B149" s="7" t="str">
        <f t="shared" si="29"/>
        <v/>
      </c>
      <c r="C149" s="50">
        <f>IF(D93="","-",+C148+1)</f>
        <v>2066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48"/>
        <v>0</v>
      </c>
      <c r="G149" s="55">
        <f t="shared" si="49"/>
        <v>0</v>
      </c>
      <c r="H149" s="380">
        <f t="shared" si="46"/>
        <v>0</v>
      </c>
      <c r="I149" s="399">
        <f t="shared" si="47"/>
        <v>0</v>
      </c>
      <c r="J149" s="54">
        <f t="shared" si="50"/>
        <v>0</v>
      </c>
      <c r="K149" s="54"/>
      <c r="L149" s="129"/>
      <c r="M149" s="54">
        <f t="shared" si="51"/>
        <v>0</v>
      </c>
      <c r="N149" s="129"/>
      <c r="O149" s="54">
        <f t="shared" si="52"/>
        <v>0</v>
      </c>
      <c r="P149" s="54">
        <f t="shared" si="53"/>
        <v>0</v>
      </c>
    </row>
    <row r="150" spans="2:16" ht="12.5">
      <c r="B150" s="7" t="str">
        <f t="shared" si="29"/>
        <v/>
      </c>
      <c r="C150" s="50">
        <f>IF(D93="","-",+C149+1)</f>
        <v>2067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48"/>
        <v>0</v>
      </c>
      <c r="G150" s="55">
        <f t="shared" si="49"/>
        <v>0</v>
      </c>
      <c r="H150" s="380">
        <f t="shared" si="46"/>
        <v>0</v>
      </c>
      <c r="I150" s="399">
        <f t="shared" si="47"/>
        <v>0</v>
      </c>
      <c r="J150" s="54">
        <f t="shared" si="50"/>
        <v>0</v>
      </c>
      <c r="K150" s="54"/>
      <c r="L150" s="129"/>
      <c r="M150" s="54">
        <f t="shared" si="51"/>
        <v>0</v>
      </c>
      <c r="N150" s="129"/>
      <c r="O150" s="54">
        <f t="shared" si="52"/>
        <v>0</v>
      </c>
      <c r="P150" s="54">
        <f t="shared" si="53"/>
        <v>0</v>
      </c>
    </row>
    <row r="151" spans="2:16" ht="12.5">
      <c r="B151" s="7" t="str">
        <f t="shared" si="29"/>
        <v/>
      </c>
      <c r="C151" s="50">
        <f>IF(D93="","-",+C150+1)</f>
        <v>2068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48"/>
        <v>0</v>
      </c>
      <c r="G151" s="55">
        <f t="shared" si="49"/>
        <v>0</v>
      </c>
      <c r="H151" s="380">
        <f t="shared" si="46"/>
        <v>0</v>
      </c>
      <c r="I151" s="399">
        <f t="shared" si="47"/>
        <v>0</v>
      </c>
      <c r="J151" s="54">
        <f t="shared" si="50"/>
        <v>0</v>
      </c>
      <c r="K151" s="54"/>
      <c r="L151" s="129"/>
      <c r="M151" s="54">
        <f t="shared" si="51"/>
        <v>0</v>
      </c>
      <c r="N151" s="129"/>
      <c r="O151" s="54">
        <f t="shared" si="52"/>
        <v>0</v>
      </c>
      <c r="P151" s="54">
        <f t="shared" si="53"/>
        <v>0</v>
      </c>
    </row>
    <row r="152" spans="2:16" ht="12.5">
      <c r="B152" s="7" t="str">
        <f t="shared" si="29"/>
        <v/>
      </c>
      <c r="C152" s="50">
        <f>IF(D93="","-",+C151+1)</f>
        <v>2069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48"/>
        <v>0</v>
      </c>
      <c r="G152" s="55">
        <f t="shared" si="49"/>
        <v>0</v>
      </c>
      <c r="H152" s="380">
        <f t="shared" si="46"/>
        <v>0</v>
      </c>
      <c r="I152" s="399">
        <f t="shared" si="47"/>
        <v>0</v>
      </c>
      <c r="J152" s="54">
        <f t="shared" si="50"/>
        <v>0</v>
      </c>
      <c r="K152" s="54"/>
      <c r="L152" s="129"/>
      <c r="M152" s="54">
        <f t="shared" si="51"/>
        <v>0</v>
      </c>
      <c r="N152" s="129"/>
      <c r="O152" s="54">
        <f t="shared" si="52"/>
        <v>0</v>
      </c>
      <c r="P152" s="54">
        <f t="shared" si="53"/>
        <v>0</v>
      </c>
    </row>
    <row r="153" spans="2:16" ht="12.5">
      <c r="B153" s="7" t="str">
        <f t="shared" si="29"/>
        <v/>
      </c>
      <c r="C153" s="50">
        <f>IF(D93="","-",+C152+1)</f>
        <v>2070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48"/>
        <v>0</v>
      </c>
      <c r="G153" s="55">
        <f t="shared" si="49"/>
        <v>0</v>
      </c>
      <c r="H153" s="380">
        <f t="shared" si="46"/>
        <v>0</v>
      </c>
      <c r="I153" s="399">
        <f t="shared" si="47"/>
        <v>0</v>
      </c>
      <c r="J153" s="54">
        <f t="shared" si="50"/>
        <v>0</v>
      </c>
      <c r="K153" s="54"/>
      <c r="L153" s="129"/>
      <c r="M153" s="54">
        <f t="shared" si="51"/>
        <v>0</v>
      </c>
      <c r="N153" s="129"/>
      <c r="O153" s="54">
        <f t="shared" si="52"/>
        <v>0</v>
      </c>
      <c r="P153" s="54">
        <f t="shared" si="53"/>
        <v>0</v>
      </c>
    </row>
    <row r="154" spans="2:16" ht="13" thickBot="1">
      <c r="B154" s="7" t="str">
        <f t="shared" si="29"/>
        <v/>
      </c>
      <c r="C154" s="59">
        <f>IF(D93="","-",+C153+1)</f>
        <v>2071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48"/>
        <v>0</v>
      </c>
      <c r="G154" s="60">
        <f t="shared" si="49"/>
        <v>0</v>
      </c>
      <c r="H154" s="382">
        <f t="shared" si="46"/>
        <v>0</v>
      </c>
      <c r="I154" s="400">
        <f t="shared" si="47"/>
        <v>0</v>
      </c>
      <c r="J154" s="64">
        <f t="shared" si="50"/>
        <v>0</v>
      </c>
      <c r="K154" s="54"/>
      <c r="L154" s="130"/>
      <c r="M154" s="64">
        <f t="shared" si="51"/>
        <v>0</v>
      </c>
      <c r="N154" s="130"/>
      <c r="O154" s="64">
        <f t="shared" si="52"/>
        <v>0</v>
      </c>
      <c r="P154" s="64">
        <f t="shared" si="53"/>
        <v>0</v>
      </c>
    </row>
    <row r="155" spans="2:16" ht="12.5">
      <c r="C155" s="12" t="s">
        <v>78</v>
      </c>
      <c r="D155" s="293"/>
      <c r="E155" s="293">
        <f>SUM(E99:E154)</f>
        <v>25330929.210000005</v>
      </c>
      <c r="F155" s="293"/>
      <c r="G155" s="293"/>
      <c r="H155" s="293">
        <f>SUM(H99:H154)</f>
        <v>92911367.722226843</v>
      </c>
      <c r="I155" s="293">
        <f>SUM(I99:I154)</f>
        <v>92911367.722226843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 ht="12.5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 ht="13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41" priority="1" stopIfTrue="1" operator="equal">
      <formula>$I$10</formula>
    </cfRule>
  </conditionalFormatting>
  <conditionalFormatting sqref="C99:C154">
    <cfRule type="cellIs" dxfId="4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108"/>
  <dimension ref="A1:P162"/>
  <sheetViews>
    <sheetView topLeftCell="A87" zoomScaleNormal="100" zoomScaleSheetLayoutView="80" workbookViewId="0">
      <selection activeCell="D25" sqref="D25:H25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59 of 77</v>
      </c>
    </row>
    <row r="2" spans="1:16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2079259.6309567015</v>
      </c>
      <c r="P5" s="1"/>
    </row>
    <row r="6" spans="1:16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2079259.6309567015</v>
      </c>
      <c r="O6" s="1"/>
      <c r="P6" s="1"/>
    </row>
    <row r="7" spans="1:16" ht="13.5" thickBot="1">
      <c r="C7" s="25" t="s">
        <v>48</v>
      </c>
      <c r="D7" s="90" t="s">
        <v>366</v>
      </c>
      <c r="E7" s="406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409</v>
      </c>
      <c r="E9" s="436" t="s">
        <v>408</v>
      </c>
      <c r="F9" s="31"/>
      <c r="G9" s="31"/>
      <c r="H9" s="31"/>
      <c r="I9" s="32"/>
      <c r="J9" s="33"/>
      <c r="P9" s="1"/>
    </row>
    <row r="10" spans="1:16" ht="13">
      <c r="C10" s="34" t="s">
        <v>51</v>
      </c>
      <c r="D10" s="363">
        <v>17132604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6" ht="12.5">
      <c r="C11" s="34" t="s">
        <v>54</v>
      </c>
      <c r="D11" s="37">
        <v>2017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3">
        <v>7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389377.36363636365</v>
      </c>
      <c r="J14" s="293"/>
      <c r="K14" s="293"/>
      <c r="L14" s="293"/>
      <c r="M14" s="293"/>
      <c r="N14" s="293"/>
      <c r="O14" s="1"/>
      <c r="P14" s="1"/>
    </row>
    <row r="15" spans="1:16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v>2016</v>
      </c>
      <c r="D17" s="431">
        <v>9636181</v>
      </c>
      <c r="E17" s="431">
        <f>IF(+I13&lt;F16,I13,D17)</f>
        <v>0.11952713165403545</v>
      </c>
      <c r="F17" s="431">
        <v>9636181</v>
      </c>
      <c r="G17" s="430">
        <v>1253474.1837577762</v>
      </c>
      <c r="H17" s="438">
        <v>1253474.1837577762</v>
      </c>
      <c r="I17" s="52">
        <f t="shared" ref="I17:I72" si="0">H17-G17</f>
        <v>0</v>
      </c>
      <c r="J17" s="52"/>
      <c r="K17" s="112">
        <f t="shared" ref="K17:K22" si="1">+G17</f>
        <v>1253474.1837577762</v>
      </c>
      <c r="L17" s="53">
        <f t="shared" ref="L17:L72" si="2">IF(K17&lt;&gt;0,+G17-K17,0)</f>
        <v>0</v>
      </c>
      <c r="M17" s="112">
        <f t="shared" ref="M17:M22" si="3">+H17</f>
        <v>1253474.1837577762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2017</v>
      </c>
      <c r="D18" s="147">
        <v>16078411.876107465</v>
      </c>
      <c r="E18" s="451">
        <v>373916.5581395349</v>
      </c>
      <c r="F18" s="147">
        <v>15704495.317967931</v>
      </c>
      <c r="G18" s="446">
        <v>2342749.0071242256</v>
      </c>
      <c r="H18" s="452">
        <v>2342749.0071242256</v>
      </c>
      <c r="I18" s="52">
        <f t="shared" si="0"/>
        <v>0</v>
      </c>
      <c r="J18" s="52"/>
      <c r="K18" s="113">
        <f t="shared" si="1"/>
        <v>2342749.0071242256</v>
      </c>
      <c r="L18" s="54">
        <f t="shared" ref="L18:L23" si="6">IF(K18&lt;&gt;0,+G18-K18,0)</f>
        <v>0</v>
      </c>
      <c r="M18" s="113">
        <f t="shared" si="3"/>
        <v>2342749.0071242256</v>
      </c>
      <c r="N18" s="54">
        <f>IF(M18&lt;&gt;0,+H18-M18,0)</f>
        <v>0</v>
      </c>
      <c r="O18" s="54">
        <f>+N18-L18</f>
        <v>0</v>
      </c>
      <c r="P18" s="1"/>
    </row>
    <row r="19" spans="2:16" ht="12.5">
      <c r="B19" s="7" t="str">
        <f>IF(D19=F18,"","IU")</f>
        <v>IU</v>
      </c>
      <c r="C19" s="50">
        <f>IF(D11="","-",+C18+1)</f>
        <v>2018</v>
      </c>
      <c r="D19" s="147">
        <v>15704495.441860465</v>
      </c>
      <c r="E19" s="451">
        <v>392156.39024390245</v>
      </c>
      <c r="F19" s="147">
        <v>15312339.051616563</v>
      </c>
      <c r="G19" s="446">
        <v>2363184.7060216111</v>
      </c>
      <c r="H19" s="452">
        <v>2363184.7060216111</v>
      </c>
      <c r="I19" s="52">
        <f t="shared" si="0"/>
        <v>0</v>
      </c>
      <c r="J19" s="52"/>
      <c r="K19" s="113">
        <f t="shared" si="1"/>
        <v>2363184.7060216111</v>
      </c>
      <c r="L19" s="54">
        <f t="shared" si="6"/>
        <v>0</v>
      </c>
      <c r="M19" s="113">
        <f t="shared" si="3"/>
        <v>2363184.7060216111</v>
      </c>
      <c r="N19" s="54">
        <f>IF(M19&lt;&gt;0,+H19-M19,0)</f>
        <v>0</v>
      </c>
      <c r="O19" s="54">
        <f>+N19-L19</f>
        <v>0</v>
      </c>
      <c r="P19" s="1"/>
    </row>
    <row r="20" spans="2:16" ht="12.5">
      <c r="B20" s="7" t="str">
        <f t="shared" ref="B20:B72" si="7">IF(D20=F19,"","IU")</f>
        <v>IU</v>
      </c>
      <c r="C20" s="50">
        <f>IF(D11="","-",+C19+1)</f>
        <v>2019</v>
      </c>
      <c r="D20" s="147">
        <v>15312338.924522463</v>
      </c>
      <c r="E20" s="451">
        <v>392156.39024390245</v>
      </c>
      <c r="F20" s="147">
        <v>14920182.53427856</v>
      </c>
      <c r="G20" s="446">
        <v>2313343.9268116932</v>
      </c>
      <c r="H20" s="452">
        <v>2313343.9268116932</v>
      </c>
      <c r="I20" s="52">
        <f t="shared" si="0"/>
        <v>0</v>
      </c>
      <c r="J20" s="52"/>
      <c r="K20" s="113">
        <f t="shared" si="1"/>
        <v>2313343.9268116932</v>
      </c>
      <c r="L20" s="54">
        <f t="shared" si="6"/>
        <v>0</v>
      </c>
      <c r="M20" s="113">
        <f t="shared" si="3"/>
        <v>2313343.9268116932</v>
      </c>
      <c r="N20" s="54">
        <f t="shared" si="4"/>
        <v>0</v>
      </c>
      <c r="O20" s="54">
        <f t="shared" si="5"/>
        <v>0</v>
      </c>
      <c r="P20" s="1"/>
    </row>
    <row r="21" spans="2:16" ht="12.5">
      <c r="B21" s="7" t="str">
        <f t="shared" si="7"/>
        <v>IU</v>
      </c>
      <c r="C21" s="50">
        <f>IF(D11="","-",+C20+1)</f>
        <v>2020</v>
      </c>
      <c r="D21" s="147">
        <v>15974201.53427856</v>
      </c>
      <c r="E21" s="451">
        <v>417864.1707317073</v>
      </c>
      <c r="F21" s="147">
        <v>15556337.363546854</v>
      </c>
      <c r="G21" s="446">
        <v>2031210.1975052932</v>
      </c>
      <c r="H21" s="452">
        <v>2031210.1975052932</v>
      </c>
      <c r="I21" s="52">
        <f t="shared" si="0"/>
        <v>0</v>
      </c>
      <c r="J21" s="52"/>
      <c r="K21" s="113">
        <f t="shared" si="1"/>
        <v>2031210.1975052932</v>
      </c>
      <c r="L21" s="54">
        <f t="shared" si="6"/>
        <v>0</v>
      </c>
      <c r="M21" s="113">
        <f t="shared" si="3"/>
        <v>2031210.1975052932</v>
      </c>
      <c r="N21" s="54">
        <f t="shared" si="4"/>
        <v>0</v>
      </c>
      <c r="O21" s="54">
        <f t="shared" si="5"/>
        <v>0</v>
      </c>
      <c r="P21" s="1"/>
    </row>
    <row r="22" spans="2:16" ht="12.5">
      <c r="B22" s="7" t="str">
        <f t="shared" si="7"/>
        <v>IU</v>
      </c>
      <c r="C22" s="50">
        <f>IF(D11="","-",+C21+1)</f>
        <v>2021</v>
      </c>
      <c r="D22" s="147">
        <v>15574750.195651222</v>
      </c>
      <c r="E22" s="451">
        <v>407919.14285714284</v>
      </c>
      <c r="F22" s="147">
        <v>15166831.052794078</v>
      </c>
      <c r="G22" s="446">
        <v>2037292.8099232661</v>
      </c>
      <c r="H22" s="452">
        <v>2037292.8099232661</v>
      </c>
      <c r="I22" s="52">
        <f t="shared" si="0"/>
        <v>0</v>
      </c>
      <c r="J22" s="52"/>
      <c r="K22" s="113">
        <f t="shared" si="1"/>
        <v>2037292.8099232661</v>
      </c>
      <c r="L22" s="54">
        <f t="shared" si="6"/>
        <v>0</v>
      </c>
      <c r="M22" s="113">
        <f t="shared" si="3"/>
        <v>2037292.8099232661</v>
      </c>
      <c r="N22" s="54">
        <f t="shared" si="4"/>
        <v>0</v>
      </c>
      <c r="O22" s="54">
        <f t="shared" si="5"/>
        <v>0</v>
      </c>
      <c r="P22" s="1"/>
    </row>
    <row r="23" spans="2:16" ht="12.5">
      <c r="B23" s="7" t="str">
        <f t="shared" si="7"/>
        <v>IU</v>
      </c>
      <c r="C23" s="50">
        <f>IF(D11="","-",+C22+1)</f>
        <v>2022</v>
      </c>
      <c r="D23" s="147">
        <v>15148591.22068971</v>
      </c>
      <c r="E23" s="451">
        <v>407919.14285714284</v>
      </c>
      <c r="F23" s="147">
        <v>14740672.077832567</v>
      </c>
      <c r="G23" s="446">
        <v>2088354.751908463</v>
      </c>
      <c r="H23" s="452">
        <v>2088354.751908463</v>
      </c>
      <c r="I23" s="52">
        <f t="shared" si="0"/>
        <v>0</v>
      </c>
      <c r="J23" s="52"/>
      <c r="K23" s="113">
        <f t="shared" ref="K23" si="8">+G23</f>
        <v>2088354.751908463</v>
      </c>
      <c r="L23" s="54">
        <f t="shared" si="6"/>
        <v>0</v>
      </c>
      <c r="M23" s="113">
        <f t="shared" ref="M23" si="9">+H23</f>
        <v>2088354.751908463</v>
      </c>
      <c r="N23" s="54">
        <f t="shared" si="4"/>
        <v>0</v>
      </c>
      <c r="O23" s="54">
        <f t="shared" si="5"/>
        <v>0</v>
      </c>
      <c r="P23" s="1"/>
    </row>
    <row r="24" spans="2:16" ht="12.5">
      <c r="B24" s="7" t="str">
        <f t="shared" si="7"/>
        <v/>
      </c>
      <c r="C24" s="50">
        <f>IF(D11="","-",+C23+1)</f>
        <v>2023</v>
      </c>
      <c r="D24" s="147">
        <v>14740672.077832567</v>
      </c>
      <c r="E24" s="451">
        <v>407919.14285714284</v>
      </c>
      <c r="F24" s="147">
        <v>14332752.934975423</v>
      </c>
      <c r="G24" s="446">
        <v>2244295.3415744328</v>
      </c>
      <c r="H24" s="452">
        <v>2244295.3415744328</v>
      </c>
      <c r="I24" s="52">
        <f t="shared" si="0"/>
        <v>0</v>
      </c>
      <c r="J24" s="52"/>
      <c r="K24" s="113">
        <f t="shared" ref="K24" si="10">+G24</f>
        <v>2244295.3415744328</v>
      </c>
      <c r="L24" s="54">
        <f t="shared" ref="L24" si="11">IF(K24&lt;&gt;0,+G24-K24,0)</f>
        <v>0</v>
      </c>
      <c r="M24" s="113">
        <f t="shared" ref="M24" si="12">+H24</f>
        <v>2244295.3415744328</v>
      </c>
      <c r="N24" s="54">
        <f t="shared" si="4"/>
        <v>0</v>
      </c>
      <c r="O24" s="54">
        <f t="shared" si="5"/>
        <v>0</v>
      </c>
      <c r="P24" s="1"/>
    </row>
    <row r="25" spans="2:16" ht="12.5">
      <c r="B25" s="7" t="str">
        <f t="shared" si="7"/>
        <v/>
      </c>
      <c r="C25" s="50">
        <f>IF(D11="","-",+C24+1)</f>
        <v>2024</v>
      </c>
      <c r="D25" s="147">
        <v>14332752.934975423</v>
      </c>
      <c r="E25" s="451">
        <v>389377.36363636365</v>
      </c>
      <c r="F25" s="147">
        <v>13943375.57133906</v>
      </c>
      <c r="G25" s="446">
        <v>2079259.6309567015</v>
      </c>
      <c r="H25" s="452">
        <v>2079259.6309567015</v>
      </c>
      <c r="I25" s="52">
        <f t="shared" si="0"/>
        <v>0</v>
      </c>
      <c r="J25" s="52"/>
      <c r="K25" s="113">
        <f t="shared" ref="K25" si="13">+G25</f>
        <v>2079259.6309567015</v>
      </c>
      <c r="L25" s="54">
        <f t="shared" ref="L25" si="14">IF(K25&lt;&gt;0,+G25-K25,0)</f>
        <v>0</v>
      </c>
      <c r="M25" s="113">
        <f t="shared" ref="M25" si="15">+H25</f>
        <v>2079259.6309567015</v>
      </c>
      <c r="N25" s="54">
        <f t="shared" ref="N25" si="16">IF(M25&lt;&gt;0,+H25-M25,0)</f>
        <v>0</v>
      </c>
      <c r="O25" s="54">
        <f t="shared" ref="O25" si="17">+N25-L25</f>
        <v>0</v>
      </c>
      <c r="P25" s="1"/>
    </row>
    <row r="26" spans="2:16" ht="12.5">
      <c r="B26" s="7" t="str">
        <f t="shared" si="7"/>
        <v>IU</v>
      </c>
      <c r="C26" s="50">
        <f>IF(D11="","-",+C25+1)</f>
        <v>2025</v>
      </c>
      <c r="D26" s="55">
        <f>IF(F25+SUM(E$17:E25)=D$10,F25,D$10-SUM(E$17:E25))</f>
        <v>13943375.578906029</v>
      </c>
      <c r="E26" s="378">
        <f>IF(+I14&lt;F25,I14,D26)</f>
        <v>389377.36363636365</v>
      </c>
      <c r="F26" s="55">
        <f t="shared" ref="F26:F72" si="18">+D26-E26</f>
        <v>13553998.215269666</v>
      </c>
      <c r="G26" s="379">
        <f t="shared" ref="G26:G49" si="19">+I$12*((D26+F26)/2)+E26</f>
        <v>2032718.472454695</v>
      </c>
      <c r="H26" s="364">
        <f t="shared" ref="H26:H49" si="20">+I$13*((D26+F26)/2)+E26</f>
        <v>2032718.472454695</v>
      </c>
      <c r="I26" s="52">
        <f t="shared" si="0"/>
        <v>0</v>
      </c>
      <c r="J26" s="52"/>
      <c r="K26" s="129"/>
      <c r="L26" s="54">
        <f t="shared" si="2"/>
        <v>0</v>
      </c>
      <c r="M26" s="129"/>
      <c r="N26" s="54">
        <f t="shared" si="4"/>
        <v>0</v>
      </c>
      <c r="O26" s="54">
        <f t="shared" si="5"/>
        <v>0</v>
      </c>
      <c r="P26" s="1"/>
    </row>
    <row r="27" spans="2:16" ht="12.5">
      <c r="B27" s="7" t="str">
        <f t="shared" si="7"/>
        <v/>
      </c>
      <c r="C27" s="50">
        <f>IF(D11="","-",+C26+1)</f>
        <v>2026</v>
      </c>
      <c r="D27" s="55">
        <f>IF(F26+SUM(E$17:E26)=D$10,F26,D$10-SUM(E$17:E26))</f>
        <v>13553998.215269666</v>
      </c>
      <c r="E27" s="378">
        <f>IF(+I14&lt;F26,I14,D27)</f>
        <v>389377.36363636365</v>
      </c>
      <c r="F27" s="55">
        <f t="shared" si="18"/>
        <v>13164620.851633303</v>
      </c>
      <c r="G27" s="379">
        <f t="shared" si="19"/>
        <v>1986177.31304823</v>
      </c>
      <c r="H27" s="364">
        <f t="shared" si="20"/>
        <v>1986177.31304823</v>
      </c>
      <c r="I27" s="52">
        <f t="shared" si="0"/>
        <v>0</v>
      </c>
      <c r="J27" s="52"/>
      <c r="K27" s="129"/>
      <c r="L27" s="54">
        <f t="shared" si="2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7"/>
        <v/>
      </c>
      <c r="C28" s="50">
        <f>IF(D11="","-",+C27+1)</f>
        <v>2027</v>
      </c>
      <c r="D28" s="55">
        <f>IF(F27+SUM(E$17:E27)=D$10,F27,D$10-SUM(E$17:E27))</f>
        <v>13164620.851633303</v>
      </c>
      <c r="E28" s="378">
        <f>IF(+I14&lt;F27,I14,D28)</f>
        <v>389377.36363636365</v>
      </c>
      <c r="F28" s="55">
        <f t="shared" si="18"/>
        <v>12775243.48799694</v>
      </c>
      <c r="G28" s="379">
        <f t="shared" si="19"/>
        <v>1939636.1536417655</v>
      </c>
      <c r="H28" s="364">
        <f t="shared" si="20"/>
        <v>1939636.1536417655</v>
      </c>
      <c r="I28" s="52">
        <f t="shared" si="0"/>
        <v>0</v>
      </c>
      <c r="J28" s="52"/>
      <c r="K28" s="129"/>
      <c r="L28" s="54">
        <f t="shared" si="2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7"/>
        <v/>
      </c>
      <c r="C29" s="50">
        <f>IF(D11="","-",+C28+1)</f>
        <v>2028</v>
      </c>
      <c r="D29" s="55">
        <f>IF(F28+SUM(E$17:E28)=D$10,F28,D$10-SUM(E$17:E28))</f>
        <v>12775243.48799694</v>
      </c>
      <c r="E29" s="378">
        <f>IF(+I14&lt;F28,I14,D29)</f>
        <v>389377.36363636365</v>
      </c>
      <c r="F29" s="55">
        <f t="shared" si="18"/>
        <v>12385866.124360576</v>
      </c>
      <c r="G29" s="379">
        <f t="shared" si="19"/>
        <v>1893094.9942353005</v>
      </c>
      <c r="H29" s="364">
        <f t="shared" si="20"/>
        <v>1893094.9942353005</v>
      </c>
      <c r="I29" s="52">
        <f t="shared" si="0"/>
        <v>0</v>
      </c>
      <c r="J29" s="52"/>
      <c r="K29" s="129"/>
      <c r="L29" s="54">
        <f t="shared" si="2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7"/>
        <v/>
      </c>
      <c r="C30" s="50">
        <f>IF(D11="","-",+C29+1)</f>
        <v>2029</v>
      </c>
      <c r="D30" s="55">
        <f>IF(F29+SUM(E$17:E29)=D$10,F29,D$10-SUM(E$17:E29))</f>
        <v>12385866.124360576</v>
      </c>
      <c r="E30" s="378">
        <f>IF(+I14&lt;F29,I14,D30)</f>
        <v>389377.36363636365</v>
      </c>
      <c r="F30" s="55">
        <f t="shared" si="18"/>
        <v>11996488.760724213</v>
      </c>
      <c r="G30" s="379">
        <f t="shared" si="19"/>
        <v>1846553.8348288354</v>
      </c>
      <c r="H30" s="364">
        <f t="shared" si="20"/>
        <v>1846553.8348288354</v>
      </c>
      <c r="I30" s="52">
        <f t="shared" si="0"/>
        <v>0</v>
      </c>
      <c r="J30" s="52"/>
      <c r="K30" s="129"/>
      <c r="L30" s="54">
        <f t="shared" si="2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7"/>
        <v/>
      </c>
      <c r="C31" s="50">
        <f>IF(D11="","-",+C30+1)</f>
        <v>2030</v>
      </c>
      <c r="D31" s="55">
        <f>IF(F30+SUM(E$17:E30)=D$10,F30,D$10-SUM(E$17:E30))</f>
        <v>11996488.760724213</v>
      </c>
      <c r="E31" s="378">
        <f>IF(+I14&lt;F30,I14,D31)</f>
        <v>389377.36363636365</v>
      </c>
      <c r="F31" s="55">
        <f t="shared" si="18"/>
        <v>11607111.39708785</v>
      </c>
      <c r="G31" s="379">
        <f t="shared" si="19"/>
        <v>1800012.6754223709</v>
      </c>
      <c r="H31" s="364">
        <f t="shared" si="20"/>
        <v>1800012.6754223709</v>
      </c>
      <c r="I31" s="52">
        <f t="shared" si="0"/>
        <v>0</v>
      </c>
      <c r="J31" s="52"/>
      <c r="K31" s="129"/>
      <c r="L31" s="54">
        <f t="shared" si="2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7"/>
        <v/>
      </c>
      <c r="C32" s="50">
        <f>IF(D11="","-",+C31+1)</f>
        <v>2031</v>
      </c>
      <c r="D32" s="55">
        <f>IF(F31+SUM(E$17:E31)=D$10,F31,D$10-SUM(E$17:E31))</f>
        <v>11607111.39708785</v>
      </c>
      <c r="E32" s="378">
        <f>IF(+I14&lt;F31,I14,D32)</f>
        <v>389377.36363636365</v>
      </c>
      <c r="F32" s="55">
        <f t="shared" si="18"/>
        <v>11217734.033451486</v>
      </c>
      <c r="G32" s="379">
        <f t="shared" si="19"/>
        <v>1753471.5160159059</v>
      </c>
      <c r="H32" s="364">
        <f t="shared" si="20"/>
        <v>1753471.5160159059</v>
      </c>
      <c r="I32" s="52">
        <f t="shared" si="0"/>
        <v>0</v>
      </c>
      <c r="J32" s="52"/>
      <c r="K32" s="129"/>
      <c r="L32" s="54">
        <f t="shared" si="2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7"/>
        <v/>
      </c>
      <c r="C33" s="50">
        <f>IF(D11="","-",+C32+1)</f>
        <v>2032</v>
      </c>
      <c r="D33" s="55">
        <f>IF(F32+SUM(E$17:E32)=D$10,F32,D$10-SUM(E$17:E32))</f>
        <v>11217734.033451486</v>
      </c>
      <c r="E33" s="378">
        <f>IF(+I14&lt;F32,I14,D33)</f>
        <v>389377.36363636365</v>
      </c>
      <c r="F33" s="55">
        <f t="shared" si="18"/>
        <v>10828356.669815123</v>
      </c>
      <c r="G33" s="379">
        <f t="shared" si="19"/>
        <v>1706930.3566094409</v>
      </c>
      <c r="H33" s="364">
        <f t="shared" si="20"/>
        <v>1706930.3566094409</v>
      </c>
      <c r="I33" s="52">
        <f t="shared" si="0"/>
        <v>0</v>
      </c>
      <c r="J33" s="52"/>
      <c r="K33" s="129"/>
      <c r="L33" s="54">
        <f t="shared" si="2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7"/>
        <v/>
      </c>
      <c r="C34" s="50">
        <f>IF(D11="","-",+C33+1)</f>
        <v>2033</v>
      </c>
      <c r="D34" s="55">
        <f>IF(F33+SUM(E$17:E33)=D$10,F33,D$10-SUM(E$17:E33))</f>
        <v>10828356.669815123</v>
      </c>
      <c r="E34" s="378">
        <f>IF(+I14&lt;F33,I14,D34)</f>
        <v>389377.36363636365</v>
      </c>
      <c r="F34" s="55">
        <f t="shared" si="18"/>
        <v>10438979.30617876</v>
      </c>
      <c r="G34" s="379">
        <f t="shared" si="19"/>
        <v>1660389.1972029763</v>
      </c>
      <c r="H34" s="364">
        <f t="shared" si="20"/>
        <v>1660389.1972029763</v>
      </c>
      <c r="I34" s="52">
        <f t="shared" si="0"/>
        <v>0</v>
      </c>
      <c r="J34" s="52"/>
      <c r="K34" s="129"/>
      <c r="L34" s="54">
        <f t="shared" si="2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7"/>
        <v/>
      </c>
      <c r="C35" s="50">
        <f>IF(D11="","-",+C34+1)</f>
        <v>2034</v>
      </c>
      <c r="D35" s="55">
        <f>IF(F34+SUM(E$17:E34)=D$10,F34,D$10-SUM(E$17:E34))</f>
        <v>10438979.30617876</v>
      </c>
      <c r="E35" s="378">
        <f>IF(+I14&lt;F34,I14,D35)</f>
        <v>389377.36363636365</v>
      </c>
      <c r="F35" s="55">
        <f t="shared" si="18"/>
        <v>10049601.942542396</v>
      </c>
      <c r="G35" s="379">
        <f t="shared" si="19"/>
        <v>1613848.0377965113</v>
      </c>
      <c r="H35" s="364">
        <f t="shared" si="20"/>
        <v>1613848.0377965113</v>
      </c>
      <c r="I35" s="52">
        <f t="shared" si="0"/>
        <v>0</v>
      </c>
      <c r="J35" s="52"/>
      <c r="K35" s="129"/>
      <c r="L35" s="54">
        <f t="shared" si="2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7"/>
        <v/>
      </c>
      <c r="C36" s="50">
        <f>IF(D11="","-",+C35+1)</f>
        <v>2035</v>
      </c>
      <c r="D36" s="55">
        <f>IF(F35+SUM(E$17:E35)=D$10,F35,D$10-SUM(E$17:E35))</f>
        <v>10049601.942542396</v>
      </c>
      <c r="E36" s="378">
        <f>IF(+I14&lt;F35,I14,D36)</f>
        <v>389377.36363636365</v>
      </c>
      <c r="F36" s="55">
        <f t="shared" si="18"/>
        <v>9660224.5789060332</v>
      </c>
      <c r="G36" s="379">
        <f t="shared" si="19"/>
        <v>1567306.8783900468</v>
      </c>
      <c r="H36" s="364">
        <f t="shared" si="20"/>
        <v>1567306.8783900468</v>
      </c>
      <c r="I36" s="52">
        <f t="shared" si="0"/>
        <v>0</v>
      </c>
      <c r="J36" s="52"/>
      <c r="K36" s="129"/>
      <c r="L36" s="54">
        <f t="shared" si="2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7"/>
        <v/>
      </c>
      <c r="C37" s="50">
        <f>IF(D11="","-",+C36+1)</f>
        <v>2036</v>
      </c>
      <c r="D37" s="55">
        <f>IF(F36+SUM(E$17:E36)=D$10,F36,D$10-SUM(E$17:E36))</f>
        <v>9660224.5789060332</v>
      </c>
      <c r="E37" s="378">
        <f>IF(+I14&lt;F36,I14,D37)</f>
        <v>389377.36363636365</v>
      </c>
      <c r="F37" s="55">
        <f t="shared" si="18"/>
        <v>9270847.2152696699</v>
      </c>
      <c r="G37" s="379">
        <f t="shared" si="19"/>
        <v>1520765.7189835818</v>
      </c>
      <c r="H37" s="364">
        <f t="shared" si="20"/>
        <v>1520765.7189835818</v>
      </c>
      <c r="I37" s="52">
        <f t="shared" si="0"/>
        <v>0</v>
      </c>
      <c r="J37" s="52"/>
      <c r="K37" s="129"/>
      <c r="L37" s="54">
        <f t="shared" si="2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7"/>
        <v/>
      </c>
      <c r="C38" s="50">
        <f>IF(D11="","-",+C37+1)</f>
        <v>2037</v>
      </c>
      <c r="D38" s="55">
        <f>IF(F37+SUM(E$17:E37)=D$10,F37,D$10-SUM(E$17:E37))</f>
        <v>9270847.2152696699</v>
      </c>
      <c r="E38" s="378">
        <f>IF(+I14&lt;F37,I14,D38)</f>
        <v>389377.36363636365</v>
      </c>
      <c r="F38" s="55">
        <f t="shared" si="18"/>
        <v>8881469.8516333066</v>
      </c>
      <c r="G38" s="379">
        <f t="shared" si="19"/>
        <v>1474224.5595771167</v>
      </c>
      <c r="H38" s="364">
        <f t="shared" si="20"/>
        <v>1474224.5595771167</v>
      </c>
      <c r="I38" s="52">
        <f t="shared" si="0"/>
        <v>0</v>
      </c>
      <c r="J38" s="52"/>
      <c r="K38" s="129"/>
      <c r="L38" s="54">
        <f t="shared" si="2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7"/>
        <v/>
      </c>
      <c r="C39" s="50">
        <f>IF(D11="","-",+C38+1)</f>
        <v>2038</v>
      </c>
      <c r="D39" s="55">
        <f>IF(F38+SUM(E$17:E38)=D$10,F38,D$10-SUM(E$17:E38))</f>
        <v>8881469.8516333066</v>
      </c>
      <c r="E39" s="378">
        <f>IF(+I14&lt;F38,I14,D39)</f>
        <v>389377.36363636365</v>
      </c>
      <c r="F39" s="55">
        <f t="shared" si="18"/>
        <v>8492092.4879969433</v>
      </c>
      <c r="G39" s="379">
        <f t="shared" si="19"/>
        <v>1427683.4001706522</v>
      </c>
      <c r="H39" s="364">
        <f t="shared" si="20"/>
        <v>1427683.4001706522</v>
      </c>
      <c r="I39" s="52">
        <f t="shared" si="0"/>
        <v>0</v>
      </c>
      <c r="J39" s="52"/>
      <c r="K39" s="129"/>
      <c r="L39" s="54">
        <f t="shared" si="2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7"/>
        <v/>
      </c>
      <c r="C40" s="50">
        <f>IF(D11="","-",+C39+1)</f>
        <v>2039</v>
      </c>
      <c r="D40" s="55">
        <f>IF(F39+SUM(E$17:E39)=D$10,F39,D$10-SUM(E$17:E39))</f>
        <v>8492092.4879969433</v>
      </c>
      <c r="E40" s="378">
        <f>IF(+I14&lt;F39,I14,D40)</f>
        <v>389377.36363636365</v>
      </c>
      <c r="F40" s="55">
        <f t="shared" si="18"/>
        <v>8102715.12436058</v>
      </c>
      <c r="G40" s="379">
        <f t="shared" si="19"/>
        <v>1381142.2407641872</v>
      </c>
      <c r="H40" s="364">
        <f t="shared" si="20"/>
        <v>1381142.2407641872</v>
      </c>
      <c r="I40" s="52">
        <f t="shared" si="0"/>
        <v>0</v>
      </c>
      <c r="J40" s="52"/>
      <c r="K40" s="129"/>
      <c r="L40" s="54">
        <f t="shared" si="2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7"/>
        <v/>
      </c>
      <c r="C41" s="50">
        <f>IF(D11="","-",+C40+1)</f>
        <v>2040</v>
      </c>
      <c r="D41" s="55">
        <f>IF(F40+SUM(E$17:E40)=D$10,F40,D$10-SUM(E$17:E40))</f>
        <v>8102715.12436058</v>
      </c>
      <c r="E41" s="378">
        <f>IF(+I14&lt;F40,I14,D41)</f>
        <v>389377.36363636365</v>
      </c>
      <c r="F41" s="55">
        <f t="shared" si="18"/>
        <v>7713337.7607242167</v>
      </c>
      <c r="G41" s="379">
        <f t="shared" si="19"/>
        <v>1334601.0813577226</v>
      </c>
      <c r="H41" s="364">
        <f t="shared" si="20"/>
        <v>1334601.0813577226</v>
      </c>
      <c r="I41" s="52">
        <f t="shared" si="0"/>
        <v>0</v>
      </c>
      <c r="J41" s="52"/>
      <c r="K41" s="129"/>
      <c r="L41" s="54">
        <f t="shared" si="2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7"/>
        <v/>
      </c>
      <c r="C42" s="50">
        <f>IF(D11="","-",+C41+1)</f>
        <v>2041</v>
      </c>
      <c r="D42" s="55">
        <f>IF(F41+SUM(E$17:E41)=D$10,F41,D$10-SUM(E$17:E41))</f>
        <v>7713337.7607242167</v>
      </c>
      <c r="E42" s="378">
        <f>IF(+I14&lt;F41,I14,D42)</f>
        <v>389377.36363636365</v>
      </c>
      <c r="F42" s="55">
        <f t="shared" si="18"/>
        <v>7323960.3970878534</v>
      </c>
      <c r="G42" s="379">
        <f t="shared" si="19"/>
        <v>1288059.9219512576</v>
      </c>
      <c r="H42" s="364">
        <f t="shared" si="20"/>
        <v>1288059.9219512576</v>
      </c>
      <c r="I42" s="52">
        <f t="shared" si="0"/>
        <v>0</v>
      </c>
      <c r="J42" s="52"/>
      <c r="K42" s="129"/>
      <c r="L42" s="54">
        <f t="shared" si="2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7"/>
        <v/>
      </c>
      <c r="C43" s="50">
        <f>IF(D11="","-",+C42+1)</f>
        <v>2042</v>
      </c>
      <c r="D43" s="55">
        <f>IF(F42+SUM(E$17:E42)=D$10,F42,D$10-SUM(E$17:E42))</f>
        <v>7323960.3970878534</v>
      </c>
      <c r="E43" s="378">
        <f>IF(+I14&lt;F42,I14,D43)</f>
        <v>389377.36363636365</v>
      </c>
      <c r="F43" s="55">
        <f t="shared" si="18"/>
        <v>6934583.0334514901</v>
      </c>
      <c r="G43" s="379">
        <f t="shared" si="19"/>
        <v>1241518.7625447928</v>
      </c>
      <c r="H43" s="364">
        <f t="shared" si="20"/>
        <v>1241518.7625447928</v>
      </c>
      <c r="I43" s="52">
        <f t="shared" si="0"/>
        <v>0</v>
      </c>
      <c r="J43" s="52"/>
      <c r="K43" s="129"/>
      <c r="L43" s="54">
        <f t="shared" si="2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7"/>
        <v/>
      </c>
      <c r="C44" s="50">
        <f>IF(D11="","-",+C43+1)</f>
        <v>2043</v>
      </c>
      <c r="D44" s="55">
        <f>IF(F43+SUM(E$17:E43)=D$10,F43,D$10-SUM(E$17:E43))</f>
        <v>6934583.0334514901</v>
      </c>
      <c r="E44" s="378">
        <f>IF(+I14&lt;F43,I14,D44)</f>
        <v>389377.36363636365</v>
      </c>
      <c r="F44" s="55">
        <f t="shared" si="18"/>
        <v>6545205.6698151268</v>
      </c>
      <c r="G44" s="379">
        <f t="shared" si="19"/>
        <v>1194977.6031383281</v>
      </c>
      <c r="H44" s="364">
        <f t="shared" si="20"/>
        <v>1194977.6031383281</v>
      </c>
      <c r="I44" s="52">
        <f t="shared" si="0"/>
        <v>0</v>
      </c>
      <c r="J44" s="52"/>
      <c r="K44" s="129"/>
      <c r="L44" s="54">
        <f t="shared" si="2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7"/>
        <v/>
      </c>
      <c r="C45" s="50">
        <f>IF(D11="","-",+C44+1)</f>
        <v>2044</v>
      </c>
      <c r="D45" s="55">
        <f>IF(F44+SUM(E$17:E44)=D$10,F44,D$10-SUM(E$17:E44))</f>
        <v>6545205.6698151268</v>
      </c>
      <c r="E45" s="378">
        <f>IF(+I14&lt;F44,I14,D45)</f>
        <v>389377.36363636365</v>
      </c>
      <c r="F45" s="55">
        <f t="shared" si="18"/>
        <v>6155828.3061787635</v>
      </c>
      <c r="G45" s="379">
        <f t="shared" si="19"/>
        <v>1148436.4437318631</v>
      </c>
      <c r="H45" s="364">
        <f t="shared" si="20"/>
        <v>1148436.4437318631</v>
      </c>
      <c r="I45" s="52">
        <f t="shared" si="0"/>
        <v>0</v>
      </c>
      <c r="J45" s="52"/>
      <c r="K45" s="129"/>
      <c r="L45" s="54">
        <f t="shared" si="2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7"/>
        <v/>
      </c>
      <c r="C46" s="50">
        <f>IF(D11="","-",+C45+1)</f>
        <v>2045</v>
      </c>
      <c r="D46" s="55">
        <f>IF(F45+SUM(E$17:E45)=D$10,F45,D$10-SUM(E$17:E45))</f>
        <v>6155828.3061787635</v>
      </c>
      <c r="E46" s="378">
        <f>IF(+I14&lt;F45,I14,D46)</f>
        <v>389377.36363636365</v>
      </c>
      <c r="F46" s="55">
        <f t="shared" si="18"/>
        <v>5766450.9425424002</v>
      </c>
      <c r="G46" s="379">
        <f t="shared" si="19"/>
        <v>1101895.2843253983</v>
      </c>
      <c r="H46" s="364">
        <f t="shared" si="20"/>
        <v>1101895.2843253983</v>
      </c>
      <c r="I46" s="52">
        <f t="shared" si="0"/>
        <v>0</v>
      </c>
      <c r="J46" s="52"/>
      <c r="K46" s="129"/>
      <c r="L46" s="54">
        <f t="shared" si="2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7"/>
        <v/>
      </c>
      <c r="C47" s="50">
        <f>IF(D11="","-",+C46+1)</f>
        <v>2046</v>
      </c>
      <c r="D47" s="55">
        <f>IF(F46+SUM(E$17:E46)=D$10,F46,D$10-SUM(E$17:E46))</f>
        <v>5766450.9425424002</v>
      </c>
      <c r="E47" s="378">
        <f>IF(+I14&lt;F46,I14,D47)</f>
        <v>389377.36363636365</v>
      </c>
      <c r="F47" s="55">
        <f t="shared" si="18"/>
        <v>5377073.5789060369</v>
      </c>
      <c r="G47" s="379">
        <f t="shared" si="19"/>
        <v>1055354.1249189335</v>
      </c>
      <c r="H47" s="364">
        <f t="shared" si="20"/>
        <v>1055354.1249189335</v>
      </c>
      <c r="I47" s="52">
        <f t="shared" si="0"/>
        <v>0</v>
      </c>
      <c r="J47" s="52"/>
      <c r="K47" s="129"/>
      <c r="L47" s="54">
        <f t="shared" si="2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7"/>
        <v/>
      </c>
      <c r="C48" s="50">
        <f>IF(D11="","-",+C47+1)</f>
        <v>2047</v>
      </c>
      <c r="D48" s="55">
        <f>IF(F47+SUM(E$17:E47)=D$10,F47,D$10-SUM(E$17:E47))</f>
        <v>5377073.5789060369</v>
      </c>
      <c r="E48" s="378">
        <f>IF(+I14&lt;F47,I14,D48)</f>
        <v>389377.36363636365</v>
      </c>
      <c r="F48" s="55">
        <f t="shared" si="18"/>
        <v>4987696.2152696736</v>
      </c>
      <c r="G48" s="379">
        <f t="shared" si="19"/>
        <v>1008812.9655124687</v>
      </c>
      <c r="H48" s="364">
        <f t="shared" si="20"/>
        <v>1008812.9655124687</v>
      </c>
      <c r="I48" s="52">
        <f t="shared" si="0"/>
        <v>0</v>
      </c>
      <c r="J48" s="52"/>
      <c r="K48" s="129"/>
      <c r="L48" s="54">
        <f t="shared" si="2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 ht="12.5">
      <c r="B49" s="7" t="str">
        <f t="shared" si="7"/>
        <v/>
      </c>
      <c r="C49" s="50">
        <f>IF(D11="","-",+C48+1)</f>
        <v>2048</v>
      </c>
      <c r="D49" s="55">
        <f>IF(F48+SUM(E$17:E48)=D$10,F48,D$10-SUM(E$17:E48))</f>
        <v>4987696.2152696736</v>
      </c>
      <c r="E49" s="378">
        <f>IF(+I14&lt;F48,I14,D49)</f>
        <v>389377.36363636365</v>
      </c>
      <c r="F49" s="55">
        <f t="shared" si="18"/>
        <v>4598318.8516333103</v>
      </c>
      <c r="G49" s="379">
        <f t="shared" si="19"/>
        <v>962271.80610600382</v>
      </c>
      <c r="H49" s="364">
        <f t="shared" si="20"/>
        <v>962271.80610600382</v>
      </c>
      <c r="I49" s="52">
        <f t="shared" si="0"/>
        <v>0</v>
      </c>
      <c r="J49" s="52"/>
      <c r="K49" s="129"/>
      <c r="L49" s="54">
        <f t="shared" si="2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 ht="12.5">
      <c r="B50" s="7" t="str">
        <f t="shared" si="7"/>
        <v/>
      </c>
      <c r="C50" s="50">
        <f>IF(D11="","-",+C49+1)</f>
        <v>2049</v>
      </c>
      <c r="D50" s="55">
        <f>IF(F49+SUM(E$17:E49)=D$10,F49,D$10-SUM(E$17:E49))</f>
        <v>4598318.8516333103</v>
      </c>
      <c r="E50" s="378">
        <f>IF(+I14&lt;F49,I14,D50)</f>
        <v>389377.36363636365</v>
      </c>
      <c r="F50" s="55">
        <f t="shared" si="18"/>
        <v>4208941.487996947</v>
      </c>
      <c r="G50" s="379">
        <f t="shared" ref="G50:G72" si="21">+I$12*((D50+F50)/2)+E50</f>
        <v>915730.64669953904</v>
      </c>
      <c r="H50" s="364">
        <f t="shared" ref="H50:H72" si="22">+I$13*((D50+F50)/2)+E50</f>
        <v>915730.64669953904</v>
      </c>
      <c r="I50" s="52">
        <f t="shared" si="0"/>
        <v>0</v>
      </c>
      <c r="J50" s="52"/>
      <c r="K50" s="129"/>
      <c r="L50" s="54">
        <f t="shared" si="2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 ht="12.5">
      <c r="B51" s="7" t="str">
        <f t="shared" si="7"/>
        <v/>
      </c>
      <c r="C51" s="50">
        <f>IF(D11="","-",+C50+1)</f>
        <v>2050</v>
      </c>
      <c r="D51" s="55">
        <f>IF(F50+SUM(E$17:E50)=D$10,F50,D$10-SUM(E$17:E50))</f>
        <v>4208941.487996947</v>
      </c>
      <c r="E51" s="378">
        <f>IF(+I14&lt;F50,I14,D51)</f>
        <v>389377.36363636365</v>
      </c>
      <c r="F51" s="55">
        <f t="shared" si="18"/>
        <v>3819564.1243605833</v>
      </c>
      <c r="G51" s="379">
        <f t="shared" si="21"/>
        <v>869189.48729307414</v>
      </c>
      <c r="H51" s="364">
        <f t="shared" si="22"/>
        <v>869189.48729307414</v>
      </c>
      <c r="I51" s="52">
        <f t="shared" si="0"/>
        <v>0</v>
      </c>
      <c r="J51" s="52"/>
      <c r="K51" s="129"/>
      <c r="L51" s="54">
        <f t="shared" si="2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 ht="12.5">
      <c r="B52" s="7" t="str">
        <f t="shared" si="7"/>
        <v/>
      </c>
      <c r="C52" s="50">
        <f>IF(D11="","-",+C51+1)</f>
        <v>2051</v>
      </c>
      <c r="D52" s="55">
        <f>IF(F51+SUM(E$17:E51)=D$10,F51,D$10-SUM(E$17:E51))</f>
        <v>3819564.1243605833</v>
      </c>
      <c r="E52" s="378">
        <f>IF(+I14&lt;F51,I14,D52)</f>
        <v>389377.36363636365</v>
      </c>
      <c r="F52" s="55">
        <f t="shared" si="18"/>
        <v>3430186.7607242195</v>
      </c>
      <c r="G52" s="379">
        <f t="shared" si="21"/>
        <v>822648.32788660924</v>
      </c>
      <c r="H52" s="364">
        <f t="shared" si="22"/>
        <v>822648.32788660924</v>
      </c>
      <c r="I52" s="52">
        <f t="shared" si="0"/>
        <v>0</v>
      </c>
      <c r="J52" s="52"/>
      <c r="K52" s="129"/>
      <c r="L52" s="54">
        <f t="shared" si="2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 ht="12.5">
      <c r="B53" s="7" t="str">
        <f t="shared" si="7"/>
        <v/>
      </c>
      <c r="C53" s="50">
        <f>IF(D11="","-",+C52+1)</f>
        <v>2052</v>
      </c>
      <c r="D53" s="55">
        <f>IF(F52+SUM(E$17:E52)=D$10,F52,D$10-SUM(E$17:E52))</f>
        <v>3430186.7607242195</v>
      </c>
      <c r="E53" s="378">
        <f>IF(+I14&lt;F52,I14,D53)</f>
        <v>389377.36363636365</v>
      </c>
      <c r="F53" s="55">
        <f t="shared" si="18"/>
        <v>3040809.3970878557</v>
      </c>
      <c r="G53" s="379">
        <f t="shared" si="21"/>
        <v>776107.16848014435</v>
      </c>
      <c r="H53" s="364">
        <f t="shared" si="22"/>
        <v>776107.16848014435</v>
      </c>
      <c r="I53" s="52">
        <f t="shared" si="0"/>
        <v>0</v>
      </c>
      <c r="J53" s="52"/>
      <c r="K53" s="129"/>
      <c r="L53" s="54">
        <f t="shared" si="2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 ht="12.5">
      <c r="B54" s="7" t="str">
        <f t="shared" si="7"/>
        <v/>
      </c>
      <c r="C54" s="50">
        <f>IF(D11="","-",+C53+1)</f>
        <v>2053</v>
      </c>
      <c r="D54" s="55">
        <f>IF(F53+SUM(E$17:E53)=D$10,F53,D$10-SUM(E$17:E53))</f>
        <v>3040809.3970878557</v>
      </c>
      <c r="E54" s="378">
        <f>IF(+I14&lt;F53,I14,D54)</f>
        <v>389377.36363636365</v>
      </c>
      <c r="F54" s="55">
        <f t="shared" si="18"/>
        <v>2651432.033451492</v>
      </c>
      <c r="G54" s="379">
        <f t="shared" si="21"/>
        <v>729566.00907367945</v>
      </c>
      <c r="H54" s="364">
        <f t="shared" si="22"/>
        <v>729566.00907367945</v>
      </c>
      <c r="I54" s="52">
        <f t="shared" si="0"/>
        <v>0</v>
      </c>
      <c r="J54" s="52"/>
      <c r="K54" s="129"/>
      <c r="L54" s="54">
        <f t="shared" si="2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 ht="12.5">
      <c r="B55" s="7" t="str">
        <f t="shared" si="7"/>
        <v/>
      </c>
      <c r="C55" s="50">
        <f>IF(D11="","-",+C54+1)</f>
        <v>2054</v>
      </c>
      <c r="D55" s="55">
        <f>IF(F54+SUM(E$17:E54)=D$10,F54,D$10-SUM(E$17:E54))</f>
        <v>2651432.033451492</v>
      </c>
      <c r="E55" s="378">
        <f>IF(+I14&lt;F54,I14,D55)</f>
        <v>389377.36363636365</v>
      </c>
      <c r="F55" s="55">
        <f t="shared" si="18"/>
        <v>2262054.6698151282</v>
      </c>
      <c r="G55" s="379">
        <f t="shared" si="21"/>
        <v>683024.84966721456</v>
      </c>
      <c r="H55" s="364">
        <f t="shared" si="22"/>
        <v>683024.84966721456</v>
      </c>
      <c r="I55" s="52">
        <f t="shared" si="0"/>
        <v>0</v>
      </c>
      <c r="J55" s="52"/>
      <c r="K55" s="129"/>
      <c r="L55" s="54">
        <f t="shared" si="2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 ht="12.5">
      <c r="B56" s="7" t="str">
        <f t="shared" si="7"/>
        <v/>
      </c>
      <c r="C56" s="50">
        <f>IF(D11="","-",+C55+1)</f>
        <v>2055</v>
      </c>
      <c r="D56" s="55">
        <f>IF(F55+SUM(E$17:E55)=D$10,F55,D$10-SUM(E$17:E55))</f>
        <v>2262054.6698151282</v>
      </c>
      <c r="E56" s="378">
        <f>IF(+I14&lt;F55,I14,D56)</f>
        <v>389377.36363636365</v>
      </c>
      <c r="F56" s="55">
        <f t="shared" si="18"/>
        <v>1872677.3061787644</v>
      </c>
      <c r="G56" s="379">
        <f t="shared" si="21"/>
        <v>636483.69026074978</v>
      </c>
      <c r="H56" s="364">
        <f t="shared" si="22"/>
        <v>636483.69026074978</v>
      </c>
      <c r="I56" s="52">
        <f t="shared" si="0"/>
        <v>0</v>
      </c>
      <c r="J56" s="52"/>
      <c r="K56" s="129"/>
      <c r="L56" s="54">
        <f t="shared" si="2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 ht="12.5">
      <c r="B57" s="7" t="str">
        <f t="shared" si="7"/>
        <v/>
      </c>
      <c r="C57" s="50">
        <f>IF(D11="","-",+C56+1)</f>
        <v>2056</v>
      </c>
      <c r="D57" s="55">
        <f>IF(F56+SUM(E$17:E56)=D$10,F56,D$10-SUM(E$17:E56))</f>
        <v>1872677.3061787644</v>
      </c>
      <c r="E57" s="378">
        <f>IF(+I14&lt;F56,I14,D57)</f>
        <v>389377.36363636365</v>
      </c>
      <c r="F57" s="55">
        <f t="shared" si="18"/>
        <v>1483299.9425424007</v>
      </c>
      <c r="G57" s="379">
        <f t="shared" si="21"/>
        <v>589942.53085428476</v>
      </c>
      <c r="H57" s="364">
        <f t="shared" si="22"/>
        <v>589942.53085428476</v>
      </c>
      <c r="I57" s="52">
        <f t="shared" si="0"/>
        <v>0</v>
      </c>
      <c r="J57" s="52"/>
      <c r="K57" s="129"/>
      <c r="L57" s="54">
        <f t="shared" si="2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 ht="12.5">
      <c r="B58" s="7" t="str">
        <f t="shared" si="7"/>
        <v/>
      </c>
      <c r="C58" s="50">
        <f>IF(D11="","-",+C57+1)</f>
        <v>2057</v>
      </c>
      <c r="D58" s="55">
        <f>IF(F57+SUM(E$17:E57)=D$10,F57,D$10-SUM(E$17:E57))</f>
        <v>1483299.9425424007</v>
      </c>
      <c r="E58" s="378">
        <f>IF(+I14&lt;F57,I14,D58)</f>
        <v>389377.36363636365</v>
      </c>
      <c r="F58" s="55">
        <f t="shared" si="18"/>
        <v>1093922.5789060369</v>
      </c>
      <c r="G58" s="379">
        <f t="shared" si="21"/>
        <v>543401.37144781998</v>
      </c>
      <c r="H58" s="364">
        <f t="shared" si="22"/>
        <v>543401.37144781998</v>
      </c>
      <c r="I58" s="52">
        <f t="shared" si="0"/>
        <v>0</v>
      </c>
      <c r="J58" s="52"/>
      <c r="K58" s="129"/>
      <c r="L58" s="54">
        <f t="shared" si="2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 ht="12.5">
      <c r="B59" s="7" t="str">
        <f t="shared" si="7"/>
        <v/>
      </c>
      <c r="C59" s="50">
        <f>IF(D11="","-",+C58+1)</f>
        <v>2058</v>
      </c>
      <c r="D59" s="55">
        <f>IF(F58+SUM(E$17:E58)=D$10,F58,D$10-SUM(E$17:E58))</f>
        <v>1093922.5789060369</v>
      </c>
      <c r="E59" s="378">
        <f>IF(+I14&lt;F58,I14,D59)</f>
        <v>389377.36363636365</v>
      </c>
      <c r="F59" s="55">
        <f t="shared" si="18"/>
        <v>704545.21526967327</v>
      </c>
      <c r="G59" s="379">
        <f t="shared" si="21"/>
        <v>496860.21204135509</v>
      </c>
      <c r="H59" s="364">
        <f t="shared" si="22"/>
        <v>496860.21204135509</v>
      </c>
      <c r="I59" s="52">
        <f t="shared" si="0"/>
        <v>0</v>
      </c>
      <c r="J59" s="52"/>
      <c r="K59" s="129"/>
      <c r="L59" s="54">
        <f t="shared" si="2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 ht="12.5">
      <c r="B60" s="7" t="str">
        <f t="shared" si="7"/>
        <v/>
      </c>
      <c r="C60" s="50">
        <f>IF(D11="","-",+C59+1)</f>
        <v>2059</v>
      </c>
      <c r="D60" s="55">
        <f>IF(F59+SUM(E$17:E59)=D$10,F59,D$10-SUM(E$17:E59))</f>
        <v>704545.21526967327</v>
      </c>
      <c r="E60" s="378">
        <f>IF(+I14&lt;F59,I14,D60)</f>
        <v>389377.36363636365</v>
      </c>
      <c r="F60" s="55">
        <f t="shared" si="18"/>
        <v>315167.85163330962</v>
      </c>
      <c r="G60" s="379">
        <f t="shared" si="21"/>
        <v>450319.05263489019</v>
      </c>
      <c r="H60" s="364">
        <f t="shared" si="22"/>
        <v>450319.05263489019</v>
      </c>
      <c r="I60" s="52">
        <f t="shared" si="0"/>
        <v>0</v>
      </c>
      <c r="J60" s="52"/>
      <c r="K60" s="129"/>
      <c r="L60" s="54">
        <f t="shared" si="2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 ht="12.5">
      <c r="B61" s="7" t="str">
        <f t="shared" si="7"/>
        <v/>
      </c>
      <c r="C61" s="50">
        <f>IF(D11="","-",+C60+1)</f>
        <v>2060</v>
      </c>
      <c r="D61" s="55">
        <f>IF(F60+SUM(E$17:E60)=D$10,F60,D$10-SUM(E$17:E60))</f>
        <v>315167.85163330962</v>
      </c>
      <c r="E61" s="378">
        <f>IF(+I14&lt;F60,I14,D61)</f>
        <v>315167.85163330962</v>
      </c>
      <c r="F61" s="55">
        <f t="shared" si="18"/>
        <v>0</v>
      </c>
      <c r="G61" s="380">
        <f t="shared" si="21"/>
        <v>334003.4062809567</v>
      </c>
      <c r="H61" s="364">
        <f t="shared" si="22"/>
        <v>334003.4062809567</v>
      </c>
      <c r="I61" s="52">
        <f t="shared" si="0"/>
        <v>0</v>
      </c>
      <c r="J61" s="52"/>
      <c r="K61" s="129"/>
      <c r="L61" s="54">
        <f t="shared" si="2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 ht="12.5">
      <c r="B62" s="7" t="str">
        <f t="shared" si="7"/>
        <v/>
      </c>
      <c r="C62" s="50">
        <f>IF(D11="","-",+C61+1)</f>
        <v>2061</v>
      </c>
      <c r="D62" s="55">
        <f>IF(F61+SUM(E$17:E61)=D$10,F61,D$10-SUM(E$17:E61))</f>
        <v>0</v>
      </c>
      <c r="E62" s="378">
        <f>IF(+I14&lt;F61,I14,D62)</f>
        <v>0</v>
      </c>
      <c r="F62" s="55">
        <f t="shared" si="18"/>
        <v>0</v>
      </c>
      <c r="G62" s="380">
        <f t="shared" si="21"/>
        <v>0</v>
      </c>
      <c r="H62" s="364">
        <f t="shared" si="22"/>
        <v>0</v>
      </c>
      <c r="I62" s="52">
        <f t="shared" si="0"/>
        <v>0</v>
      </c>
      <c r="J62" s="52"/>
      <c r="K62" s="129"/>
      <c r="L62" s="54">
        <f t="shared" si="2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 ht="12.5">
      <c r="B63" s="7" t="str">
        <f t="shared" si="7"/>
        <v/>
      </c>
      <c r="C63" s="50">
        <f>IF(D11="","-",+C62+1)</f>
        <v>2062</v>
      </c>
      <c r="D63" s="55">
        <f>IF(F62+SUM(E$17:E62)=D$10,F62,D$10-SUM(E$17:E62))</f>
        <v>0</v>
      </c>
      <c r="E63" s="378">
        <f>IF(+I14&lt;F62,I14,D63)</f>
        <v>0</v>
      </c>
      <c r="F63" s="55">
        <f t="shared" si="18"/>
        <v>0</v>
      </c>
      <c r="G63" s="380">
        <f t="shared" si="21"/>
        <v>0</v>
      </c>
      <c r="H63" s="364">
        <f t="shared" si="22"/>
        <v>0</v>
      </c>
      <c r="I63" s="52">
        <f t="shared" si="0"/>
        <v>0</v>
      </c>
      <c r="J63" s="52"/>
      <c r="K63" s="129"/>
      <c r="L63" s="54">
        <f t="shared" si="2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 ht="12.5">
      <c r="B64" s="7" t="str">
        <f t="shared" si="7"/>
        <v/>
      </c>
      <c r="C64" s="50">
        <f>IF(D11="","-",+C63+1)</f>
        <v>2063</v>
      </c>
      <c r="D64" s="55">
        <f>IF(F63+SUM(E$17:E63)=D$10,F63,D$10-SUM(E$17:E63))</f>
        <v>0</v>
      </c>
      <c r="E64" s="378">
        <f>IF(+I14&lt;F63,I14,D64)</f>
        <v>0</v>
      </c>
      <c r="F64" s="55">
        <f t="shared" si="18"/>
        <v>0</v>
      </c>
      <c r="G64" s="380">
        <f t="shared" si="21"/>
        <v>0</v>
      </c>
      <c r="H64" s="364">
        <f t="shared" si="22"/>
        <v>0</v>
      </c>
      <c r="I64" s="52">
        <f t="shared" si="0"/>
        <v>0</v>
      </c>
      <c r="J64" s="52"/>
      <c r="K64" s="129"/>
      <c r="L64" s="54">
        <f t="shared" si="2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 ht="12.5">
      <c r="B65" s="7" t="str">
        <f t="shared" si="7"/>
        <v/>
      </c>
      <c r="C65" s="50">
        <f>IF(D11="","-",+C64+1)</f>
        <v>2064</v>
      </c>
      <c r="D65" s="55">
        <f>IF(F64+SUM(E$17:E64)=D$10,F64,D$10-SUM(E$17:E64))</f>
        <v>0</v>
      </c>
      <c r="E65" s="378">
        <f>IF(+I14&lt;F64,I14,D65)</f>
        <v>0</v>
      </c>
      <c r="F65" s="55">
        <f t="shared" si="18"/>
        <v>0</v>
      </c>
      <c r="G65" s="380">
        <f t="shared" si="21"/>
        <v>0</v>
      </c>
      <c r="H65" s="364">
        <f t="shared" si="22"/>
        <v>0</v>
      </c>
      <c r="I65" s="52">
        <f t="shared" si="0"/>
        <v>0</v>
      </c>
      <c r="J65" s="52"/>
      <c r="K65" s="129"/>
      <c r="L65" s="54">
        <f t="shared" si="2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 ht="12.5">
      <c r="B66" s="7" t="str">
        <f t="shared" si="7"/>
        <v/>
      </c>
      <c r="C66" s="50">
        <f>IF(D11="","-",+C65+1)</f>
        <v>2065</v>
      </c>
      <c r="D66" s="55">
        <f>IF(F65+SUM(E$17:E65)=D$10,F65,D$10-SUM(E$17:E65))</f>
        <v>0</v>
      </c>
      <c r="E66" s="378">
        <f>IF(+I14&lt;F65,I14,D66)</f>
        <v>0</v>
      </c>
      <c r="F66" s="55">
        <f t="shared" si="18"/>
        <v>0</v>
      </c>
      <c r="G66" s="380">
        <f t="shared" si="21"/>
        <v>0</v>
      </c>
      <c r="H66" s="364">
        <f t="shared" si="22"/>
        <v>0</v>
      </c>
      <c r="I66" s="52">
        <f t="shared" si="0"/>
        <v>0</v>
      </c>
      <c r="J66" s="52"/>
      <c r="K66" s="129"/>
      <c r="L66" s="54">
        <f t="shared" si="2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 ht="12.5">
      <c r="B67" s="7" t="str">
        <f t="shared" si="7"/>
        <v/>
      </c>
      <c r="C67" s="50">
        <f>IF(D11="","-",+C66+1)</f>
        <v>2066</v>
      </c>
      <c r="D67" s="55">
        <f>IF(F66+SUM(E$17:E66)=D$10,F66,D$10-SUM(E$17:E66))</f>
        <v>0</v>
      </c>
      <c r="E67" s="378">
        <f>IF(+I14&lt;F66,I14,D67)</f>
        <v>0</v>
      </c>
      <c r="F67" s="55">
        <f t="shared" si="18"/>
        <v>0</v>
      </c>
      <c r="G67" s="380">
        <f t="shared" si="21"/>
        <v>0</v>
      </c>
      <c r="H67" s="364">
        <f t="shared" si="22"/>
        <v>0</v>
      </c>
      <c r="I67" s="52">
        <f t="shared" si="0"/>
        <v>0</v>
      </c>
      <c r="J67" s="52"/>
      <c r="K67" s="129"/>
      <c r="L67" s="54">
        <f t="shared" si="2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 ht="12.5">
      <c r="B68" s="7" t="str">
        <f t="shared" si="7"/>
        <v/>
      </c>
      <c r="C68" s="50">
        <f>IF(D11="","-",+C67+1)</f>
        <v>2067</v>
      </c>
      <c r="D68" s="55">
        <f>IF(F67+SUM(E$17:E67)=D$10,F67,D$10-SUM(E$17:E67))</f>
        <v>0</v>
      </c>
      <c r="E68" s="378">
        <f>IF(+I14&lt;F67,I14,D68)</f>
        <v>0</v>
      </c>
      <c r="F68" s="55">
        <f t="shared" si="18"/>
        <v>0</v>
      </c>
      <c r="G68" s="380">
        <f t="shared" si="21"/>
        <v>0</v>
      </c>
      <c r="H68" s="364">
        <f t="shared" si="22"/>
        <v>0</v>
      </c>
      <c r="I68" s="52">
        <f t="shared" si="0"/>
        <v>0</v>
      </c>
      <c r="J68" s="52"/>
      <c r="K68" s="129"/>
      <c r="L68" s="54">
        <f t="shared" si="2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 ht="12.5">
      <c r="B69" s="7" t="str">
        <f t="shared" si="7"/>
        <v/>
      </c>
      <c r="C69" s="50">
        <f>IF(D11="","-",+C68+1)</f>
        <v>2068</v>
      </c>
      <c r="D69" s="55">
        <f>IF(F68+SUM(E$17:E68)=D$10,F68,D$10-SUM(E$17:E68))</f>
        <v>0</v>
      </c>
      <c r="E69" s="378">
        <f>IF(+I14&lt;F68,I14,D69)</f>
        <v>0</v>
      </c>
      <c r="F69" s="55">
        <f t="shared" si="18"/>
        <v>0</v>
      </c>
      <c r="G69" s="380">
        <f t="shared" si="21"/>
        <v>0</v>
      </c>
      <c r="H69" s="364">
        <f t="shared" si="22"/>
        <v>0</v>
      </c>
      <c r="I69" s="52">
        <f t="shared" si="0"/>
        <v>0</v>
      </c>
      <c r="J69" s="52"/>
      <c r="K69" s="129"/>
      <c r="L69" s="54">
        <f t="shared" si="2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 ht="12.5">
      <c r="B70" s="7" t="str">
        <f t="shared" si="7"/>
        <v/>
      </c>
      <c r="C70" s="50">
        <f>IF(D11="","-",+C69+1)</f>
        <v>2069</v>
      </c>
      <c r="D70" s="55">
        <f>IF(F69+SUM(E$17:E69)=D$10,F69,D$10-SUM(E$17:E69))</f>
        <v>0</v>
      </c>
      <c r="E70" s="378">
        <f>IF(+I14&lt;F69,I14,D70)</f>
        <v>0</v>
      </c>
      <c r="F70" s="55">
        <f t="shared" si="18"/>
        <v>0</v>
      </c>
      <c r="G70" s="380">
        <f t="shared" si="21"/>
        <v>0</v>
      </c>
      <c r="H70" s="364">
        <f t="shared" si="22"/>
        <v>0</v>
      </c>
      <c r="I70" s="52">
        <f t="shared" si="0"/>
        <v>0</v>
      </c>
      <c r="J70" s="52"/>
      <c r="K70" s="129"/>
      <c r="L70" s="54">
        <f t="shared" si="2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 ht="12.5">
      <c r="B71" s="7" t="str">
        <f t="shared" si="7"/>
        <v/>
      </c>
      <c r="C71" s="50">
        <f>IF(D11="","-",+C70+1)</f>
        <v>2070</v>
      </c>
      <c r="D71" s="55">
        <f>IF(F70+SUM(E$17:E70)=D$10,F70,D$10-SUM(E$17:E70))</f>
        <v>0</v>
      </c>
      <c r="E71" s="378">
        <f>IF(+I14&lt;F70,I14,D71)</f>
        <v>0</v>
      </c>
      <c r="F71" s="55">
        <f t="shared" si="18"/>
        <v>0</v>
      </c>
      <c r="G71" s="380">
        <f t="shared" si="21"/>
        <v>0</v>
      </c>
      <c r="H71" s="364">
        <f t="shared" si="22"/>
        <v>0</v>
      </c>
      <c r="I71" s="52">
        <f t="shared" si="0"/>
        <v>0</v>
      </c>
      <c r="J71" s="52"/>
      <c r="K71" s="129"/>
      <c r="L71" s="54">
        <f t="shared" si="2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" thickBot="1">
      <c r="B72" s="7" t="str">
        <f t="shared" si="7"/>
        <v/>
      </c>
      <c r="C72" s="59">
        <f>IF(D11="","-",+C71+1)</f>
        <v>2071</v>
      </c>
      <c r="D72" s="60">
        <f>IF(F71+SUM(E$17:E71)=D$10,F71,D$10-SUM(E$17:E71))</f>
        <v>0</v>
      </c>
      <c r="E72" s="381">
        <f>IF(+I14&lt;F71,I14,D72)</f>
        <v>0</v>
      </c>
      <c r="F72" s="60">
        <f t="shared" si="18"/>
        <v>0</v>
      </c>
      <c r="G72" s="382">
        <f t="shared" si="21"/>
        <v>0</v>
      </c>
      <c r="H72" s="362">
        <f t="shared" si="22"/>
        <v>0</v>
      </c>
      <c r="I72" s="63">
        <f t="shared" si="0"/>
        <v>0</v>
      </c>
      <c r="J72" s="52"/>
      <c r="K72" s="130"/>
      <c r="L72" s="64">
        <f t="shared" si="2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 ht="12.5">
      <c r="C73" s="12" t="s">
        <v>78</v>
      </c>
      <c r="D73" s="293"/>
      <c r="E73" s="293">
        <f>SUM(E17:E72)</f>
        <v>17132604</v>
      </c>
      <c r="F73" s="293"/>
      <c r="G73" s="293">
        <f>SUM(G17:G72)</f>
        <v>62540324.650932156</v>
      </c>
      <c r="H73" s="293">
        <f>SUM(H17:H72)</f>
        <v>62540324.650932156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 ht="13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59 of 77</v>
      </c>
    </row>
    <row r="84" spans="1:16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2079259.6309567015</v>
      </c>
      <c r="N87" s="387">
        <f>IF(J92&lt;D11,0,VLOOKUP(J92,C17:O72,11))</f>
        <v>2079259.6309567015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2157949.9706132575</v>
      </c>
      <c r="N88" s="390">
        <f>IF(J92&lt;D11,0,VLOOKUP(J92,C99:P154,7))</f>
        <v>2157949.9706132575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Brownlee-North Mrket 69 kv Rebuild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78690.339656556025</v>
      </c>
      <c r="N89" s="392">
        <f>+N88-N87</f>
        <v>78690.339656556025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TP2009104</v>
      </c>
      <c r="E91" s="76" t="str">
        <f>E9</f>
        <v xml:space="preserve">  SPP Project ID = 504</v>
      </c>
      <c r="F91" s="76"/>
      <c r="G91" s="76"/>
      <c r="H91" s="76"/>
      <c r="I91" s="76"/>
      <c r="J91" s="76"/>
    </row>
    <row r="92" spans="1:16" ht="13">
      <c r="C92" s="34" t="s">
        <v>51</v>
      </c>
      <c r="D92" s="394">
        <f>D10</f>
        <v>17132604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</row>
    <row r="93" spans="1:16" ht="12.5">
      <c r="C93" s="34" t="s">
        <v>54</v>
      </c>
      <c r="D93" s="88">
        <f>IF(D11=I10,"",D11)</f>
        <v>2017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4">
        <f>IF(D11=I10,"",D12)</f>
        <v>7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389377.36363636365</v>
      </c>
      <c r="K96" s="293"/>
      <c r="L96" s="293"/>
      <c r="M96" s="293"/>
      <c r="N96" s="293"/>
      <c r="O96" s="293"/>
      <c r="P96" s="1"/>
    </row>
    <row r="97" spans="1:16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 ht="12.5">
      <c r="C99" s="50">
        <f>IF(D93= "","-",D93)</f>
        <v>2017</v>
      </c>
      <c r="D99" s="145">
        <v>0</v>
      </c>
      <c r="E99" s="446">
        <v>306085.875</v>
      </c>
      <c r="F99" s="147">
        <v>16834723.125</v>
      </c>
      <c r="G99" s="447">
        <v>8417361.5625</v>
      </c>
      <c r="H99" s="448">
        <v>1328555.0538499958</v>
      </c>
      <c r="I99" s="449">
        <v>1328555.0538499958</v>
      </c>
      <c r="J99" s="54">
        <f t="shared" ref="J99:J130" si="23">+I99-H99</f>
        <v>0</v>
      </c>
      <c r="K99" s="54"/>
      <c r="L99" s="112">
        <f t="shared" ref="L99:L104" si="24">+H99</f>
        <v>1328555.0538499958</v>
      </c>
      <c r="M99" s="53">
        <f t="shared" ref="M99:M130" si="25">IF(L99&lt;&gt;0,+H99-L99,0)</f>
        <v>0</v>
      </c>
      <c r="N99" s="112">
        <f t="shared" ref="N99:N104" si="26">+I99</f>
        <v>1328555.0538499958</v>
      </c>
      <c r="O99" s="53">
        <f t="shared" ref="O99:O130" si="27">IF(N99&lt;&gt;0,+I99-N99,0)</f>
        <v>0</v>
      </c>
      <c r="P99" s="53">
        <f t="shared" ref="P99:P130" si="28">+O99-M99</f>
        <v>0</v>
      </c>
    </row>
    <row r="100" spans="1:16" ht="12.5">
      <c r="B100" s="7" t="str">
        <f>IF(D100=F99,"","IU")</f>
        <v>IU</v>
      </c>
      <c r="C100" s="50">
        <f>IF(D93="","-",+C99+1)</f>
        <v>2018</v>
      </c>
      <c r="D100" s="429">
        <v>16826345.125</v>
      </c>
      <c r="E100" s="430">
        <v>407915.02380952379</v>
      </c>
      <c r="F100" s="431">
        <v>16418430.101190476</v>
      </c>
      <c r="G100" s="431">
        <v>16622387.613095239</v>
      </c>
      <c r="H100" s="433">
        <v>2163315.383026443</v>
      </c>
      <c r="I100" s="434">
        <v>2163315.383026443</v>
      </c>
      <c r="J100" s="54">
        <f t="shared" si="23"/>
        <v>0</v>
      </c>
      <c r="K100" s="54"/>
      <c r="L100" s="450">
        <f t="shared" si="24"/>
        <v>2163315.383026443</v>
      </c>
      <c r="M100" s="54">
        <f t="shared" si="25"/>
        <v>0</v>
      </c>
      <c r="N100" s="450">
        <f t="shared" si="26"/>
        <v>2163315.383026443</v>
      </c>
      <c r="O100" s="54">
        <f t="shared" si="27"/>
        <v>0</v>
      </c>
      <c r="P100" s="54">
        <f t="shared" si="28"/>
        <v>0</v>
      </c>
    </row>
    <row r="101" spans="1:16" ht="12.5">
      <c r="B101" s="7" t="str">
        <f t="shared" ref="B101:B154" si="29">IF(D101=F100,"","IU")</f>
        <v>IU</v>
      </c>
      <c r="C101" s="50">
        <f>IF(D93="","-",+C100+1)</f>
        <v>2019</v>
      </c>
      <c r="D101" s="429">
        <v>16418603.101190476</v>
      </c>
      <c r="E101" s="430">
        <v>398432.65116279072</v>
      </c>
      <c r="F101" s="431">
        <v>16020170.450027686</v>
      </c>
      <c r="G101" s="431">
        <v>16219386.77560908</v>
      </c>
      <c r="H101" s="433">
        <v>2134564.6762010739</v>
      </c>
      <c r="I101" s="434">
        <v>2134564.6762010739</v>
      </c>
      <c r="J101" s="54">
        <f t="shared" si="23"/>
        <v>0</v>
      </c>
      <c r="K101" s="54"/>
      <c r="L101" s="450">
        <f t="shared" si="24"/>
        <v>2134564.6762010739</v>
      </c>
      <c r="M101" s="54">
        <f t="shared" ref="M101" si="30">IF(L101&lt;&gt;0,+H101-L101,0)</f>
        <v>0</v>
      </c>
      <c r="N101" s="450">
        <f t="shared" si="26"/>
        <v>2134564.6762010739</v>
      </c>
      <c r="O101" s="54">
        <f t="shared" si="27"/>
        <v>0</v>
      </c>
      <c r="P101" s="54">
        <f t="shared" si="28"/>
        <v>0</v>
      </c>
    </row>
    <row r="102" spans="1:16" ht="12.5">
      <c r="B102" s="7" t="str">
        <f t="shared" si="29"/>
        <v/>
      </c>
      <c r="C102" s="50">
        <f>IF(D93="","-",+C101+1)</f>
        <v>2020</v>
      </c>
      <c r="D102" s="429">
        <v>16020170.450027686</v>
      </c>
      <c r="E102" s="430">
        <v>407919.14285714284</v>
      </c>
      <c r="F102" s="431">
        <v>15612251.307170542</v>
      </c>
      <c r="G102" s="431">
        <v>15816210.878599115</v>
      </c>
      <c r="H102" s="433">
        <v>2109329.5627079071</v>
      </c>
      <c r="I102" s="434">
        <v>2109329.5627079071</v>
      </c>
      <c r="J102" s="54">
        <f t="shared" si="23"/>
        <v>0</v>
      </c>
      <c r="K102" s="54"/>
      <c r="L102" s="450">
        <f t="shared" si="24"/>
        <v>2109329.5627079071</v>
      </c>
      <c r="M102" s="54">
        <f t="shared" ref="M102" si="31">IF(L102&lt;&gt;0,+H102-L102,0)</f>
        <v>0</v>
      </c>
      <c r="N102" s="450">
        <f t="shared" si="26"/>
        <v>2109329.5627079071</v>
      </c>
      <c r="O102" s="54">
        <f t="shared" si="27"/>
        <v>0</v>
      </c>
      <c r="P102" s="54">
        <f t="shared" si="28"/>
        <v>0</v>
      </c>
    </row>
    <row r="103" spans="1:16" ht="12.5">
      <c r="B103" s="7" t="str">
        <f t="shared" si="29"/>
        <v/>
      </c>
      <c r="C103" s="50">
        <f>IF(D93="","-",+C102+1)</f>
        <v>2021</v>
      </c>
      <c r="D103" s="429">
        <v>15612251.307170542</v>
      </c>
      <c r="E103" s="430">
        <v>417868.39024390245</v>
      </c>
      <c r="F103" s="431">
        <v>15194382.916926639</v>
      </c>
      <c r="G103" s="431">
        <v>15403317.112048591</v>
      </c>
      <c r="H103" s="433">
        <v>2166364.0157775921</v>
      </c>
      <c r="I103" s="434">
        <v>2166364.0157775921</v>
      </c>
      <c r="J103" s="54">
        <f t="shared" si="23"/>
        <v>0</v>
      </c>
      <c r="K103" s="54"/>
      <c r="L103" s="450">
        <f t="shared" si="24"/>
        <v>2166364.0157775921</v>
      </c>
      <c r="M103" s="54">
        <f t="shared" ref="M103" si="32">IF(L103&lt;&gt;0,+H103-L103,0)</f>
        <v>0</v>
      </c>
      <c r="N103" s="450">
        <f t="shared" si="26"/>
        <v>2166364.0157775921</v>
      </c>
      <c r="O103" s="54">
        <f t="shared" si="27"/>
        <v>0</v>
      </c>
      <c r="P103" s="54">
        <f t="shared" si="28"/>
        <v>0</v>
      </c>
    </row>
    <row r="104" spans="1:16" ht="12.5">
      <c r="B104" s="7" t="str">
        <f t="shared" si="29"/>
        <v/>
      </c>
      <c r="C104" s="50">
        <f>IF(D93="","-",+C103+1)</f>
        <v>2022</v>
      </c>
      <c r="D104" s="429">
        <v>15194382.916926639</v>
      </c>
      <c r="E104" s="430">
        <v>407919.14285714284</v>
      </c>
      <c r="F104" s="431">
        <v>14786463.774069495</v>
      </c>
      <c r="G104" s="431">
        <v>14990423.345498066</v>
      </c>
      <c r="H104" s="433">
        <v>2168661.9353119493</v>
      </c>
      <c r="I104" s="434">
        <v>2168661.9353119493</v>
      </c>
      <c r="J104" s="54">
        <f t="shared" si="23"/>
        <v>0</v>
      </c>
      <c r="K104" s="54"/>
      <c r="L104" s="450">
        <f t="shared" si="24"/>
        <v>2168661.9353119493</v>
      </c>
      <c r="M104" s="54">
        <f t="shared" ref="M104" si="33">IF(L104&lt;&gt;0,+H104-L104,0)</f>
        <v>0</v>
      </c>
      <c r="N104" s="450">
        <f t="shared" si="26"/>
        <v>2168661.9353119493</v>
      </c>
      <c r="O104" s="54">
        <f t="shared" ref="O104" si="34">IF(N104&lt;&gt;0,+I104-N104,0)</f>
        <v>0</v>
      </c>
      <c r="P104" s="54">
        <f t="shared" ref="P104" si="35">+O104-M104</f>
        <v>0</v>
      </c>
    </row>
    <row r="105" spans="1:16" ht="12.5">
      <c r="B105" s="7" t="str">
        <f t="shared" si="29"/>
        <v/>
      </c>
      <c r="C105" s="50">
        <f>IF(D93="","-",+C104+1)</f>
        <v>2023</v>
      </c>
      <c r="D105" s="429">
        <v>14786463.774069495</v>
      </c>
      <c r="E105" s="430">
        <v>389377.36363636365</v>
      </c>
      <c r="F105" s="431">
        <v>14397086.410433132</v>
      </c>
      <c r="G105" s="431">
        <v>14591775.092251314</v>
      </c>
      <c r="H105" s="433">
        <v>2189492.5181698394</v>
      </c>
      <c r="I105" s="434">
        <v>2189492.5181698394</v>
      </c>
      <c r="J105" s="54">
        <f t="shared" si="23"/>
        <v>0</v>
      </c>
      <c r="K105" s="54"/>
      <c r="L105" s="450">
        <f t="shared" ref="L105" si="36">+H105</f>
        <v>2189492.5181698394</v>
      </c>
      <c r="M105" s="54">
        <f t="shared" ref="M105" si="37">IF(L105&lt;&gt;0,+H105-L105,0)</f>
        <v>0</v>
      </c>
      <c r="N105" s="450">
        <f t="shared" ref="N105" si="38">+I105</f>
        <v>2189492.5181698394</v>
      </c>
      <c r="O105" s="54">
        <f t="shared" ref="O105" si="39">IF(N105&lt;&gt;0,+I105-N105,0)</f>
        <v>0</v>
      </c>
      <c r="P105" s="54">
        <f t="shared" ref="P105" si="40">+O105-M105</f>
        <v>0</v>
      </c>
    </row>
    <row r="106" spans="1:16" ht="12.5">
      <c r="B106" s="7" t="str">
        <f t="shared" si="29"/>
        <v/>
      </c>
      <c r="C106" s="50">
        <f>IF(D93="","-",+C105+1)</f>
        <v>2024</v>
      </c>
      <c r="D106" s="12">
        <f>IF(F105+SUM(E$99:E105)=D$92,F105,D$92-SUM(E$99:E105))</f>
        <v>14397086.410433132</v>
      </c>
      <c r="E106" s="378">
        <f>IF(+J96&lt;F105,J96,D106)</f>
        <v>389377.36363636365</v>
      </c>
      <c r="F106" s="55">
        <f t="shared" ref="F106:F154" si="41">+D106-E106</f>
        <v>14007709.046796769</v>
      </c>
      <c r="G106" s="55">
        <f t="shared" ref="G106:G154" si="42">+(F106+D106)/2</f>
        <v>14202397.728614951</v>
      </c>
      <c r="H106" s="380">
        <f t="shared" ref="H106:H154" si="43">+J$94*G106+E106</f>
        <v>2157949.9706132575</v>
      </c>
      <c r="I106" s="399">
        <f t="shared" ref="I106:I154" si="44">+J$95*G106+E106</f>
        <v>2157949.9706132575</v>
      </c>
      <c r="J106" s="54">
        <f t="shared" si="23"/>
        <v>0</v>
      </c>
      <c r="K106" s="54"/>
      <c r="L106" s="129"/>
      <c r="M106" s="54">
        <f t="shared" si="25"/>
        <v>0</v>
      </c>
      <c r="N106" s="129"/>
      <c r="O106" s="54">
        <f t="shared" si="27"/>
        <v>0</v>
      </c>
      <c r="P106" s="54">
        <f t="shared" si="28"/>
        <v>0</v>
      </c>
    </row>
    <row r="107" spans="1:16" ht="12.5">
      <c r="B107" s="7" t="str">
        <f t="shared" si="29"/>
        <v/>
      </c>
      <c r="C107" s="50">
        <f>IF(D93="","-",+C106+1)</f>
        <v>2025</v>
      </c>
      <c r="D107" s="12">
        <f>IF(F106+SUM(E$99:E106)=D$92,F106,D$92-SUM(E$99:E106))</f>
        <v>14007709.046796769</v>
      </c>
      <c r="E107" s="378">
        <f>IF(+J96&lt;F106,J96,D107)</f>
        <v>389377.36363636365</v>
      </c>
      <c r="F107" s="55">
        <f t="shared" si="41"/>
        <v>13618331.683160406</v>
      </c>
      <c r="G107" s="55">
        <f t="shared" si="42"/>
        <v>13813020.364978587</v>
      </c>
      <c r="H107" s="380">
        <f t="shared" si="43"/>
        <v>2109462.2326789312</v>
      </c>
      <c r="I107" s="399">
        <f t="shared" si="44"/>
        <v>2109462.2326789312</v>
      </c>
      <c r="J107" s="54">
        <f t="shared" si="23"/>
        <v>0</v>
      </c>
      <c r="K107" s="54"/>
      <c r="L107" s="129"/>
      <c r="M107" s="54">
        <f t="shared" si="25"/>
        <v>0</v>
      </c>
      <c r="N107" s="129"/>
      <c r="O107" s="54">
        <f t="shared" si="27"/>
        <v>0</v>
      </c>
      <c r="P107" s="54">
        <f t="shared" si="28"/>
        <v>0</v>
      </c>
    </row>
    <row r="108" spans="1:16" ht="12.5">
      <c r="B108" s="7" t="str">
        <f t="shared" si="29"/>
        <v/>
      </c>
      <c r="C108" s="50">
        <f>IF(D93="","-",+C107+1)</f>
        <v>2026</v>
      </c>
      <c r="D108" s="12">
        <f>IF(F107+SUM(E$99:E107)=D$92,F107,D$92-SUM(E$99:E107))</f>
        <v>13618331.683160406</v>
      </c>
      <c r="E108" s="378">
        <f>IF(+J96&lt;F107,J96,D108)</f>
        <v>389377.36363636365</v>
      </c>
      <c r="F108" s="55">
        <f t="shared" si="41"/>
        <v>13228954.319524042</v>
      </c>
      <c r="G108" s="55">
        <f t="shared" si="42"/>
        <v>13423643.001342224</v>
      </c>
      <c r="H108" s="380">
        <f t="shared" si="43"/>
        <v>2060974.4947446049</v>
      </c>
      <c r="I108" s="399">
        <f t="shared" si="44"/>
        <v>2060974.4947446049</v>
      </c>
      <c r="J108" s="54">
        <f t="shared" si="23"/>
        <v>0</v>
      </c>
      <c r="K108" s="54"/>
      <c r="L108" s="129"/>
      <c r="M108" s="54">
        <f t="shared" si="25"/>
        <v>0</v>
      </c>
      <c r="N108" s="129"/>
      <c r="O108" s="54">
        <f t="shared" si="27"/>
        <v>0</v>
      </c>
      <c r="P108" s="54">
        <f t="shared" si="28"/>
        <v>0</v>
      </c>
    </row>
    <row r="109" spans="1:16" ht="12.5">
      <c r="B109" s="7" t="str">
        <f t="shared" si="29"/>
        <v/>
      </c>
      <c r="C109" s="50">
        <f>IF(D93="","-",+C108+1)</f>
        <v>2027</v>
      </c>
      <c r="D109" s="12">
        <f>IF(F108+SUM(E$99:E108)=D$92,F108,D$92-SUM(E$99:E108))</f>
        <v>13228954.319524042</v>
      </c>
      <c r="E109" s="378">
        <f>IF(+J96&lt;F108,J96,D109)</f>
        <v>389377.36363636365</v>
      </c>
      <c r="F109" s="55">
        <f t="shared" si="41"/>
        <v>12839576.955887679</v>
      </c>
      <c r="G109" s="55">
        <f t="shared" si="42"/>
        <v>13034265.637705861</v>
      </c>
      <c r="H109" s="380">
        <f t="shared" si="43"/>
        <v>2012486.7568102786</v>
      </c>
      <c r="I109" s="399">
        <f t="shared" si="44"/>
        <v>2012486.7568102786</v>
      </c>
      <c r="J109" s="54">
        <f t="shared" si="23"/>
        <v>0</v>
      </c>
      <c r="K109" s="54"/>
      <c r="L109" s="129"/>
      <c r="M109" s="54">
        <f t="shared" si="25"/>
        <v>0</v>
      </c>
      <c r="N109" s="129"/>
      <c r="O109" s="54">
        <f t="shared" si="27"/>
        <v>0</v>
      </c>
      <c r="P109" s="54">
        <f t="shared" si="28"/>
        <v>0</v>
      </c>
    </row>
    <row r="110" spans="1:16" ht="12.5">
      <c r="B110" s="7" t="str">
        <f t="shared" si="29"/>
        <v/>
      </c>
      <c r="C110" s="50">
        <f>IF(D93="","-",+C109+1)</f>
        <v>2028</v>
      </c>
      <c r="D110" s="12">
        <f>IF(F109+SUM(E$99:E109)=D$92,F109,D$92-SUM(E$99:E109))</f>
        <v>12839576.955887679</v>
      </c>
      <c r="E110" s="378">
        <f>IF(+J96&lt;F109,J96,D110)</f>
        <v>389377.36363636365</v>
      </c>
      <c r="F110" s="55">
        <f t="shared" si="41"/>
        <v>12450199.592251316</v>
      </c>
      <c r="G110" s="55">
        <f t="shared" si="42"/>
        <v>12644888.274069497</v>
      </c>
      <c r="H110" s="380">
        <f t="shared" si="43"/>
        <v>1963999.0188759523</v>
      </c>
      <c r="I110" s="399">
        <f t="shared" si="44"/>
        <v>1963999.0188759523</v>
      </c>
      <c r="J110" s="54">
        <f t="shared" si="23"/>
        <v>0</v>
      </c>
      <c r="K110" s="54"/>
      <c r="L110" s="129"/>
      <c r="M110" s="54">
        <f t="shared" si="25"/>
        <v>0</v>
      </c>
      <c r="N110" s="129"/>
      <c r="O110" s="54">
        <f t="shared" si="27"/>
        <v>0</v>
      </c>
      <c r="P110" s="54">
        <f t="shared" si="28"/>
        <v>0</v>
      </c>
    </row>
    <row r="111" spans="1:16" ht="12.5">
      <c r="B111" s="7" t="str">
        <f t="shared" si="29"/>
        <v/>
      </c>
      <c r="C111" s="50">
        <f>IF(D93="","-",+C110+1)</f>
        <v>2029</v>
      </c>
      <c r="D111" s="12">
        <f>IF(F110+SUM(E$99:E110)=D$92,F110,D$92-SUM(E$99:E110))</f>
        <v>12450199.592251316</v>
      </c>
      <c r="E111" s="378">
        <f>IF(+J96&lt;F110,J96,D111)</f>
        <v>389377.36363636365</v>
      </c>
      <c r="F111" s="55">
        <f t="shared" si="41"/>
        <v>12060822.228614952</v>
      </c>
      <c r="G111" s="55">
        <f t="shared" si="42"/>
        <v>12255510.910433134</v>
      </c>
      <c r="H111" s="380">
        <f t="shared" si="43"/>
        <v>1915511.2809416261</v>
      </c>
      <c r="I111" s="399">
        <f t="shared" si="44"/>
        <v>1915511.2809416261</v>
      </c>
      <c r="J111" s="54">
        <f t="shared" si="23"/>
        <v>0</v>
      </c>
      <c r="K111" s="54"/>
      <c r="L111" s="129"/>
      <c r="M111" s="54">
        <f t="shared" si="25"/>
        <v>0</v>
      </c>
      <c r="N111" s="129"/>
      <c r="O111" s="54">
        <f t="shared" si="27"/>
        <v>0</v>
      </c>
      <c r="P111" s="54">
        <f t="shared" si="28"/>
        <v>0</v>
      </c>
    </row>
    <row r="112" spans="1:16" ht="12.5">
      <c r="B112" s="7" t="str">
        <f t="shared" si="29"/>
        <v/>
      </c>
      <c r="C112" s="50">
        <f>IF(D93="","-",+C111+1)</f>
        <v>2030</v>
      </c>
      <c r="D112" s="12">
        <f>IF(F111+SUM(E$99:E111)=D$92,F111,D$92-SUM(E$99:E111))</f>
        <v>12060822.228614952</v>
      </c>
      <c r="E112" s="378">
        <f>IF(+J96&lt;F111,J96,D112)</f>
        <v>389377.36363636365</v>
      </c>
      <c r="F112" s="55">
        <f t="shared" si="41"/>
        <v>11671444.864978589</v>
      </c>
      <c r="G112" s="55">
        <f t="shared" si="42"/>
        <v>11866133.546796771</v>
      </c>
      <c r="H112" s="380">
        <f t="shared" si="43"/>
        <v>1867023.5430072998</v>
      </c>
      <c r="I112" s="399">
        <f t="shared" si="44"/>
        <v>1867023.5430072998</v>
      </c>
      <c r="J112" s="54">
        <f t="shared" si="23"/>
        <v>0</v>
      </c>
      <c r="K112" s="54"/>
      <c r="L112" s="129"/>
      <c r="M112" s="54">
        <f t="shared" si="25"/>
        <v>0</v>
      </c>
      <c r="N112" s="129"/>
      <c r="O112" s="54">
        <f t="shared" si="27"/>
        <v>0</v>
      </c>
      <c r="P112" s="54">
        <f t="shared" si="28"/>
        <v>0</v>
      </c>
    </row>
    <row r="113" spans="2:16" ht="12.5">
      <c r="B113" s="7" t="str">
        <f t="shared" si="29"/>
        <v/>
      </c>
      <c r="C113" s="50">
        <f>IF(D93="","-",+C112+1)</f>
        <v>2031</v>
      </c>
      <c r="D113" s="12">
        <f>IF(F112+SUM(E$99:E112)=D$92,F112,D$92-SUM(E$99:E112))</f>
        <v>11671444.864978589</v>
      </c>
      <c r="E113" s="378">
        <f>IF(+J96&lt;F112,J96,D113)</f>
        <v>389377.36363636365</v>
      </c>
      <c r="F113" s="55">
        <f t="shared" si="41"/>
        <v>11282067.501342226</v>
      </c>
      <c r="G113" s="55">
        <f t="shared" si="42"/>
        <v>11476756.183160407</v>
      </c>
      <c r="H113" s="380">
        <f t="shared" si="43"/>
        <v>1818535.805072973</v>
      </c>
      <c r="I113" s="399">
        <f t="shared" si="44"/>
        <v>1818535.805072973</v>
      </c>
      <c r="J113" s="54">
        <f t="shared" si="23"/>
        <v>0</v>
      </c>
      <c r="K113" s="54"/>
      <c r="L113" s="129"/>
      <c r="M113" s="54">
        <f t="shared" si="25"/>
        <v>0</v>
      </c>
      <c r="N113" s="129"/>
      <c r="O113" s="54">
        <f t="shared" si="27"/>
        <v>0</v>
      </c>
      <c r="P113" s="54">
        <f t="shared" si="28"/>
        <v>0</v>
      </c>
    </row>
    <row r="114" spans="2:16" ht="12.5">
      <c r="B114" s="7" t="str">
        <f t="shared" si="29"/>
        <v/>
      </c>
      <c r="C114" s="50">
        <f>IF(D93="","-",+C113+1)</f>
        <v>2032</v>
      </c>
      <c r="D114" s="12">
        <f>IF(F113+SUM(E$99:E113)=D$92,F113,D$92-SUM(E$99:E113))</f>
        <v>11282067.501342226</v>
      </c>
      <c r="E114" s="378">
        <f>IF(+J96&lt;F113,J96,D114)</f>
        <v>389377.36363636365</v>
      </c>
      <c r="F114" s="55">
        <f t="shared" si="41"/>
        <v>10892690.137705863</v>
      </c>
      <c r="G114" s="55">
        <f t="shared" si="42"/>
        <v>11087378.819524044</v>
      </c>
      <c r="H114" s="380">
        <f t="shared" si="43"/>
        <v>1770048.0671386467</v>
      </c>
      <c r="I114" s="399">
        <f t="shared" si="44"/>
        <v>1770048.0671386467</v>
      </c>
      <c r="J114" s="54">
        <f t="shared" si="23"/>
        <v>0</v>
      </c>
      <c r="K114" s="54"/>
      <c r="L114" s="129"/>
      <c r="M114" s="54">
        <f t="shared" si="25"/>
        <v>0</v>
      </c>
      <c r="N114" s="129"/>
      <c r="O114" s="54">
        <f t="shared" si="27"/>
        <v>0</v>
      </c>
      <c r="P114" s="54">
        <f t="shared" si="28"/>
        <v>0</v>
      </c>
    </row>
    <row r="115" spans="2:16" ht="12.5">
      <c r="B115" s="7" t="str">
        <f t="shared" si="29"/>
        <v/>
      </c>
      <c r="C115" s="50">
        <f>IF(D93="","-",+C114+1)</f>
        <v>2033</v>
      </c>
      <c r="D115" s="12">
        <f>IF(F114+SUM(E$99:E114)=D$92,F114,D$92-SUM(E$99:E114))</f>
        <v>10892690.137705863</v>
      </c>
      <c r="E115" s="378">
        <f>IF(+J96&lt;F114,J96,D115)</f>
        <v>389377.36363636365</v>
      </c>
      <c r="F115" s="55">
        <f t="shared" si="41"/>
        <v>10503312.774069499</v>
      </c>
      <c r="G115" s="55">
        <f t="shared" si="42"/>
        <v>10698001.455887681</v>
      </c>
      <c r="H115" s="380">
        <f t="shared" si="43"/>
        <v>1721560.3292043204</v>
      </c>
      <c r="I115" s="399">
        <f t="shared" si="44"/>
        <v>1721560.3292043204</v>
      </c>
      <c r="J115" s="54">
        <f t="shared" si="23"/>
        <v>0</v>
      </c>
      <c r="K115" s="54"/>
      <c r="L115" s="129"/>
      <c r="M115" s="54">
        <f t="shared" si="25"/>
        <v>0</v>
      </c>
      <c r="N115" s="129"/>
      <c r="O115" s="54">
        <f t="shared" si="27"/>
        <v>0</v>
      </c>
      <c r="P115" s="54">
        <f t="shared" si="28"/>
        <v>0</v>
      </c>
    </row>
    <row r="116" spans="2:16" ht="12.5">
      <c r="B116" s="7" t="str">
        <f t="shared" si="29"/>
        <v/>
      </c>
      <c r="C116" s="50">
        <f>IF(D93="","-",+C115+1)</f>
        <v>2034</v>
      </c>
      <c r="D116" s="12">
        <f>IF(F115+SUM(E$99:E115)=D$92,F115,D$92-SUM(E$99:E115))</f>
        <v>10503312.774069499</v>
      </c>
      <c r="E116" s="378">
        <f>IF(+J96&lt;F115,J96,D116)</f>
        <v>389377.36363636365</v>
      </c>
      <c r="F116" s="55">
        <f t="shared" si="41"/>
        <v>10113935.410433136</v>
      </c>
      <c r="G116" s="55">
        <f t="shared" si="42"/>
        <v>10308624.092251318</v>
      </c>
      <c r="H116" s="380">
        <f t="shared" si="43"/>
        <v>1673072.5912699942</v>
      </c>
      <c r="I116" s="399">
        <f t="shared" si="44"/>
        <v>1673072.5912699942</v>
      </c>
      <c r="J116" s="54">
        <f t="shared" si="23"/>
        <v>0</v>
      </c>
      <c r="K116" s="54"/>
      <c r="L116" s="129"/>
      <c r="M116" s="54">
        <f t="shared" si="25"/>
        <v>0</v>
      </c>
      <c r="N116" s="129"/>
      <c r="O116" s="54">
        <f t="shared" si="27"/>
        <v>0</v>
      </c>
      <c r="P116" s="54">
        <f t="shared" si="28"/>
        <v>0</v>
      </c>
    </row>
    <row r="117" spans="2:16" ht="12.5">
      <c r="B117" s="7" t="str">
        <f t="shared" si="29"/>
        <v/>
      </c>
      <c r="C117" s="50">
        <f>IF(D93="","-",+C116+1)</f>
        <v>2035</v>
      </c>
      <c r="D117" s="12">
        <f>IF(F116+SUM(E$99:E116)=D$92,F116,D$92-SUM(E$99:E116))</f>
        <v>10113935.410433136</v>
      </c>
      <c r="E117" s="378">
        <f>IF(+J96&lt;F116,J96,D117)</f>
        <v>389377.36363636365</v>
      </c>
      <c r="F117" s="55">
        <f t="shared" si="41"/>
        <v>9724558.0467967726</v>
      </c>
      <c r="G117" s="55">
        <f t="shared" si="42"/>
        <v>9919246.7286149543</v>
      </c>
      <c r="H117" s="380">
        <f t="shared" si="43"/>
        <v>1624584.8533356679</v>
      </c>
      <c r="I117" s="399">
        <f t="shared" si="44"/>
        <v>1624584.8533356679</v>
      </c>
      <c r="J117" s="54">
        <f t="shared" si="23"/>
        <v>0</v>
      </c>
      <c r="K117" s="54"/>
      <c r="L117" s="129"/>
      <c r="M117" s="54">
        <f t="shared" si="25"/>
        <v>0</v>
      </c>
      <c r="N117" s="129"/>
      <c r="O117" s="54">
        <f t="shared" si="27"/>
        <v>0</v>
      </c>
      <c r="P117" s="54">
        <f t="shared" si="28"/>
        <v>0</v>
      </c>
    </row>
    <row r="118" spans="2:16" ht="12.5">
      <c r="B118" s="7" t="str">
        <f t="shared" si="29"/>
        <v/>
      </c>
      <c r="C118" s="50">
        <f>IF(D93="","-",+C117+1)</f>
        <v>2036</v>
      </c>
      <c r="D118" s="12">
        <f>IF(F117+SUM(E$99:E117)=D$92,F117,D$92-SUM(E$99:E117))</f>
        <v>9724558.0467967726</v>
      </c>
      <c r="E118" s="378">
        <f>IF(+J96&lt;F117,J96,D118)</f>
        <v>389377.36363636365</v>
      </c>
      <c r="F118" s="55">
        <f t="shared" si="41"/>
        <v>9335180.6831604093</v>
      </c>
      <c r="G118" s="55">
        <f t="shared" si="42"/>
        <v>9529869.364978591</v>
      </c>
      <c r="H118" s="380">
        <f t="shared" si="43"/>
        <v>1576097.1154013416</v>
      </c>
      <c r="I118" s="399">
        <f t="shared" si="44"/>
        <v>1576097.1154013416</v>
      </c>
      <c r="J118" s="54">
        <f t="shared" si="23"/>
        <v>0</v>
      </c>
      <c r="K118" s="54"/>
      <c r="L118" s="129"/>
      <c r="M118" s="54">
        <f t="shared" si="25"/>
        <v>0</v>
      </c>
      <c r="N118" s="129"/>
      <c r="O118" s="54">
        <f t="shared" si="27"/>
        <v>0</v>
      </c>
      <c r="P118" s="54">
        <f t="shared" si="28"/>
        <v>0</v>
      </c>
    </row>
    <row r="119" spans="2:16" ht="12.5">
      <c r="B119" s="7" t="str">
        <f t="shared" si="29"/>
        <v/>
      </c>
      <c r="C119" s="50">
        <f>IF(D93="","-",+C118+1)</f>
        <v>2037</v>
      </c>
      <c r="D119" s="12">
        <f>IF(F118+SUM(E$99:E118)=D$92,F118,D$92-SUM(E$99:E118))</f>
        <v>9335180.6831604093</v>
      </c>
      <c r="E119" s="378">
        <f>IF(+J96&lt;F118,J96,D119)</f>
        <v>389377.36363636365</v>
      </c>
      <c r="F119" s="55">
        <f t="shared" si="41"/>
        <v>8945803.319524046</v>
      </c>
      <c r="G119" s="55">
        <f t="shared" si="42"/>
        <v>9140492.0013422277</v>
      </c>
      <c r="H119" s="380">
        <f t="shared" si="43"/>
        <v>1527609.3774670153</v>
      </c>
      <c r="I119" s="399">
        <f t="shared" si="44"/>
        <v>1527609.3774670153</v>
      </c>
      <c r="J119" s="54">
        <f t="shared" si="23"/>
        <v>0</v>
      </c>
      <c r="K119" s="54"/>
      <c r="L119" s="129"/>
      <c r="M119" s="54">
        <f t="shared" si="25"/>
        <v>0</v>
      </c>
      <c r="N119" s="129"/>
      <c r="O119" s="54">
        <f t="shared" si="27"/>
        <v>0</v>
      </c>
      <c r="P119" s="54">
        <f t="shared" si="28"/>
        <v>0</v>
      </c>
    </row>
    <row r="120" spans="2:16" ht="12.5">
      <c r="B120" s="7" t="str">
        <f t="shared" si="29"/>
        <v/>
      </c>
      <c r="C120" s="50">
        <f>IF(D93="","-",+C119+1)</f>
        <v>2038</v>
      </c>
      <c r="D120" s="12">
        <f>IF(F119+SUM(E$99:E119)=D$92,F119,D$92-SUM(E$99:E119))</f>
        <v>8945803.319524046</v>
      </c>
      <c r="E120" s="378">
        <f>IF(+J96&lt;F119,J96,D120)</f>
        <v>389377.36363636365</v>
      </c>
      <c r="F120" s="55">
        <f t="shared" si="41"/>
        <v>8556425.9558876827</v>
      </c>
      <c r="G120" s="55">
        <f t="shared" si="42"/>
        <v>8751114.6377058644</v>
      </c>
      <c r="H120" s="380">
        <f t="shared" si="43"/>
        <v>1479121.639532689</v>
      </c>
      <c r="I120" s="399">
        <f t="shared" si="44"/>
        <v>1479121.639532689</v>
      </c>
      <c r="J120" s="54">
        <f t="shared" si="23"/>
        <v>0</v>
      </c>
      <c r="K120" s="54"/>
      <c r="L120" s="129"/>
      <c r="M120" s="54">
        <f t="shared" si="25"/>
        <v>0</v>
      </c>
      <c r="N120" s="129"/>
      <c r="O120" s="54">
        <f t="shared" si="27"/>
        <v>0</v>
      </c>
      <c r="P120" s="54">
        <f t="shared" si="28"/>
        <v>0</v>
      </c>
    </row>
    <row r="121" spans="2:16" ht="12.5">
      <c r="B121" s="7" t="str">
        <f t="shared" si="29"/>
        <v/>
      </c>
      <c r="C121" s="50">
        <f>IF(D93="","-",+C120+1)</f>
        <v>2039</v>
      </c>
      <c r="D121" s="12">
        <f>IF(F120+SUM(E$99:E120)=D$92,F120,D$92-SUM(E$99:E120))</f>
        <v>8556425.9558876827</v>
      </c>
      <c r="E121" s="378">
        <f>IF(+J96&lt;F120,J96,D121)</f>
        <v>389377.36363636365</v>
      </c>
      <c r="F121" s="55">
        <f t="shared" si="41"/>
        <v>8167048.5922513194</v>
      </c>
      <c r="G121" s="55">
        <f t="shared" si="42"/>
        <v>8361737.2740695011</v>
      </c>
      <c r="H121" s="380">
        <f t="shared" si="43"/>
        <v>1430633.9015983627</v>
      </c>
      <c r="I121" s="399">
        <f t="shared" si="44"/>
        <v>1430633.9015983627</v>
      </c>
      <c r="J121" s="54">
        <f t="shared" si="23"/>
        <v>0</v>
      </c>
      <c r="K121" s="54"/>
      <c r="L121" s="129"/>
      <c r="M121" s="54">
        <f t="shared" si="25"/>
        <v>0</v>
      </c>
      <c r="N121" s="129"/>
      <c r="O121" s="54">
        <f t="shared" si="27"/>
        <v>0</v>
      </c>
      <c r="P121" s="54">
        <f t="shared" si="28"/>
        <v>0</v>
      </c>
    </row>
    <row r="122" spans="2:16" ht="12.5">
      <c r="B122" s="7" t="str">
        <f t="shared" si="29"/>
        <v/>
      </c>
      <c r="C122" s="50">
        <f>IF(D93="","-",+C121+1)</f>
        <v>2040</v>
      </c>
      <c r="D122" s="12">
        <f>IF(F121+SUM(E$99:E121)=D$92,F121,D$92-SUM(E$99:E121))</f>
        <v>8167048.5922513194</v>
      </c>
      <c r="E122" s="378">
        <f>IF(+J96&lt;F121,J96,D122)</f>
        <v>389377.36363636365</v>
      </c>
      <c r="F122" s="55">
        <f t="shared" si="41"/>
        <v>7777671.2286149561</v>
      </c>
      <c r="G122" s="55">
        <f t="shared" si="42"/>
        <v>7972359.9104331378</v>
      </c>
      <c r="H122" s="380">
        <f t="shared" si="43"/>
        <v>1382146.1636640364</v>
      </c>
      <c r="I122" s="399">
        <f t="shared" si="44"/>
        <v>1382146.1636640364</v>
      </c>
      <c r="J122" s="54">
        <f t="shared" si="23"/>
        <v>0</v>
      </c>
      <c r="K122" s="54"/>
      <c r="L122" s="129"/>
      <c r="M122" s="54">
        <f t="shared" si="25"/>
        <v>0</v>
      </c>
      <c r="N122" s="129"/>
      <c r="O122" s="54">
        <f t="shared" si="27"/>
        <v>0</v>
      </c>
      <c r="P122" s="54">
        <f t="shared" si="28"/>
        <v>0</v>
      </c>
    </row>
    <row r="123" spans="2:16" ht="12.5">
      <c r="B123" s="7" t="str">
        <f t="shared" si="29"/>
        <v/>
      </c>
      <c r="C123" s="50">
        <f>IF(D93="","-",+C122+1)</f>
        <v>2041</v>
      </c>
      <c r="D123" s="12">
        <f>IF(F122+SUM(E$99:E122)=D$92,F122,D$92-SUM(E$99:E122))</f>
        <v>7777671.2286149561</v>
      </c>
      <c r="E123" s="378">
        <f>IF(+J96&lt;F122,J96,D123)</f>
        <v>389377.36363636365</v>
      </c>
      <c r="F123" s="55">
        <f t="shared" si="41"/>
        <v>7388293.8649785928</v>
      </c>
      <c r="G123" s="55">
        <f t="shared" si="42"/>
        <v>7582982.5467967745</v>
      </c>
      <c r="H123" s="380">
        <f t="shared" si="43"/>
        <v>1333658.4257297101</v>
      </c>
      <c r="I123" s="399">
        <f t="shared" si="44"/>
        <v>1333658.4257297101</v>
      </c>
      <c r="J123" s="54">
        <f t="shared" si="23"/>
        <v>0</v>
      </c>
      <c r="K123" s="54"/>
      <c r="L123" s="129"/>
      <c r="M123" s="54">
        <f t="shared" si="25"/>
        <v>0</v>
      </c>
      <c r="N123" s="129"/>
      <c r="O123" s="54">
        <f t="shared" si="27"/>
        <v>0</v>
      </c>
      <c r="P123" s="54">
        <f t="shared" si="28"/>
        <v>0</v>
      </c>
    </row>
    <row r="124" spans="2:16" ht="12.5">
      <c r="B124" s="7" t="str">
        <f t="shared" si="29"/>
        <v/>
      </c>
      <c r="C124" s="50">
        <f>IF(D93="","-",+C123+1)</f>
        <v>2042</v>
      </c>
      <c r="D124" s="12">
        <f>IF(F123+SUM(E$99:E123)=D$92,F123,D$92-SUM(E$99:E123))</f>
        <v>7388293.8649785928</v>
      </c>
      <c r="E124" s="378">
        <f>IF(+J96&lt;F123,J96,D124)</f>
        <v>389377.36363636365</v>
      </c>
      <c r="F124" s="55">
        <f t="shared" si="41"/>
        <v>6998916.5013422295</v>
      </c>
      <c r="G124" s="55">
        <f t="shared" si="42"/>
        <v>7193605.1831604112</v>
      </c>
      <c r="H124" s="380">
        <f t="shared" si="43"/>
        <v>1285170.6877953839</v>
      </c>
      <c r="I124" s="399">
        <f t="shared" si="44"/>
        <v>1285170.6877953839</v>
      </c>
      <c r="J124" s="54">
        <f t="shared" si="23"/>
        <v>0</v>
      </c>
      <c r="K124" s="54"/>
      <c r="L124" s="129"/>
      <c r="M124" s="54">
        <f t="shared" si="25"/>
        <v>0</v>
      </c>
      <c r="N124" s="129"/>
      <c r="O124" s="54">
        <f t="shared" si="27"/>
        <v>0</v>
      </c>
      <c r="P124" s="54">
        <f t="shared" si="28"/>
        <v>0</v>
      </c>
    </row>
    <row r="125" spans="2:16" ht="12.5">
      <c r="B125" s="7" t="str">
        <f t="shared" si="29"/>
        <v/>
      </c>
      <c r="C125" s="50">
        <f>IF(D93="","-",+C124+1)</f>
        <v>2043</v>
      </c>
      <c r="D125" s="12">
        <f>IF(F124+SUM(E$99:E124)=D$92,F124,D$92-SUM(E$99:E124))</f>
        <v>6998916.5013422295</v>
      </c>
      <c r="E125" s="378">
        <f>IF(+J96&lt;F124,J96,D125)</f>
        <v>389377.36363636365</v>
      </c>
      <c r="F125" s="55">
        <f t="shared" si="41"/>
        <v>6609539.1377058662</v>
      </c>
      <c r="G125" s="55">
        <f t="shared" si="42"/>
        <v>6804227.8195240479</v>
      </c>
      <c r="H125" s="380">
        <f t="shared" si="43"/>
        <v>1236682.9498610576</v>
      </c>
      <c r="I125" s="399">
        <f t="shared" si="44"/>
        <v>1236682.9498610576</v>
      </c>
      <c r="J125" s="54">
        <f t="shared" si="23"/>
        <v>0</v>
      </c>
      <c r="K125" s="54"/>
      <c r="L125" s="129"/>
      <c r="M125" s="54">
        <f t="shared" si="25"/>
        <v>0</v>
      </c>
      <c r="N125" s="129"/>
      <c r="O125" s="54">
        <f t="shared" si="27"/>
        <v>0</v>
      </c>
      <c r="P125" s="54">
        <f t="shared" si="28"/>
        <v>0</v>
      </c>
    </row>
    <row r="126" spans="2:16" ht="12.5">
      <c r="B126" s="7" t="str">
        <f t="shared" si="29"/>
        <v/>
      </c>
      <c r="C126" s="50">
        <f>IF(D93="","-",+C125+1)</f>
        <v>2044</v>
      </c>
      <c r="D126" s="12">
        <f>IF(F125+SUM(E$99:E125)=D$92,F125,D$92-SUM(E$99:E125))</f>
        <v>6609539.1377058662</v>
      </c>
      <c r="E126" s="378">
        <f>IF(+J96&lt;F125,J96,D126)</f>
        <v>389377.36363636365</v>
      </c>
      <c r="F126" s="55">
        <f t="shared" si="41"/>
        <v>6220161.7740695029</v>
      </c>
      <c r="G126" s="55">
        <f t="shared" si="42"/>
        <v>6414850.4558876846</v>
      </c>
      <c r="H126" s="380">
        <f t="shared" si="43"/>
        <v>1188195.2119267313</v>
      </c>
      <c r="I126" s="399">
        <f t="shared" si="44"/>
        <v>1188195.2119267313</v>
      </c>
      <c r="J126" s="54">
        <f t="shared" si="23"/>
        <v>0</v>
      </c>
      <c r="K126" s="54"/>
      <c r="L126" s="129"/>
      <c r="M126" s="54">
        <f t="shared" si="25"/>
        <v>0</v>
      </c>
      <c r="N126" s="129"/>
      <c r="O126" s="54">
        <f t="shared" si="27"/>
        <v>0</v>
      </c>
      <c r="P126" s="54">
        <f t="shared" si="28"/>
        <v>0</v>
      </c>
    </row>
    <row r="127" spans="2:16" ht="12.5">
      <c r="B127" s="7" t="str">
        <f t="shared" si="29"/>
        <v/>
      </c>
      <c r="C127" s="50">
        <f>IF(D93="","-",+C126+1)</f>
        <v>2045</v>
      </c>
      <c r="D127" s="12">
        <f>IF(F126+SUM(E$99:E126)=D$92,F126,D$92-SUM(E$99:E126))</f>
        <v>6220161.7740695029</v>
      </c>
      <c r="E127" s="378">
        <f>IF(+J96&lt;F126,J96,D127)</f>
        <v>389377.36363636365</v>
      </c>
      <c r="F127" s="55">
        <f t="shared" si="41"/>
        <v>5830784.4104331397</v>
      </c>
      <c r="G127" s="55">
        <f t="shared" si="42"/>
        <v>6025473.0922513213</v>
      </c>
      <c r="H127" s="380">
        <f t="shared" si="43"/>
        <v>1139707.473992405</v>
      </c>
      <c r="I127" s="399">
        <f t="shared" si="44"/>
        <v>1139707.473992405</v>
      </c>
      <c r="J127" s="54">
        <f t="shared" si="23"/>
        <v>0</v>
      </c>
      <c r="K127" s="54"/>
      <c r="L127" s="129"/>
      <c r="M127" s="54">
        <f t="shared" si="25"/>
        <v>0</v>
      </c>
      <c r="N127" s="129"/>
      <c r="O127" s="54">
        <f t="shared" si="27"/>
        <v>0</v>
      </c>
      <c r="P127" s="54">
        <f t="shared" si="28"/>
        <v>0</v>
      </c>
    </row>
    <row r="128" spans="2:16" ht="12.5">
      <c r="B128" s="7" t="str">
        <f t="shared" si="29"/>
        <v/>
      </c>
      <c r="C128" s="50">
        <f>IF(D93="","-",+C127+1)</f>
        <v>2046</v>
      </c>
      <c r="D128" s="12">
        <f>IF(F127+SUM(E$99:E127)=D$92,F127,D$92-SUM(E$99:E127))</f>
        <v>5830784.4104331397</v>
      </c>
      <c r="E128" s="378">
        <f>IF(+J96&lt;F127,J96,D128)</f>
        <v>389377.36363636365</v>
      </c>
      <c r="F128" s="55">
        <f t="shared" si="41"/>
        <v>5441407.0467967764</v>
      </c>
      <c r="G128" s="55">
        <f t="shared" si="42"/>
        <v>5636095.728614958</v>
      </c>
      <c r="H128" s="380">
        <f t="shared" si="43"/>
        <v>1091219.7360580787</v>
      </c>
      <c r="I128" s="399">
        <f t="shared" si="44"/>
        <v>1091219.7360580787</v>
      </c>
      <c r="J128" s="54">
        <f t="shared" si="23"/>
        <v>0</v>
      </c>
      <c r="K128" s="54"/>
      <c r="L128" s="129"/>
      <c r="M128" s="54">
        <f t="shared" si="25"/>
        <v>0</v>
      </c>
      <c r="N128" s="129"/>
      <c r="O128" s="54">
        <f t="shared" si="27"/>
        <v>0</v>
      </c>
      <c r="P128" s="54">
        <f t="shared" si="28"/>
        <v>0</v>
      </c>
    </row>
    <row r="129" spans="2:16" ht="12.5">
      <c r="B129" s="7" t="str">
        <f t="shared" si="29"/>
        <v/>
      </c>
      <c r="C129" s="50">
        <f>IF(D93="","-",+C128+1)</f>
        <v>2047</v>
      </c>
      <c r="D129" s="12">
        <f>IF(F128+SUM(E$99:E128)=D$92,F128,D$92-SUM(E$99:E128))</f>
        <v>5441407.0467967764</v>
      </c>
      <c r="E129" s="378">
        <f>IF(+J96&lt;F128,J96,D129)</f>
        <v>389377.36363636365</v>
      </c>
      <c r="F129" s="55">
        <f t="shared" si="41"/>
        <v>5052029.6831604131</v>
      </c>
      <c r="G129" s="55">
        <f t="shared" si="42"/>
        <v>5246718.3649785947</v>
      </c>
      <c r="H129" s="380">
        <f t="shared" si="43"/>
        <v>1042731.9981237522</v>
      </c>
      <c r="I129" s="399">
        <f t="shared" si="44"/>
        <v>1042731.9981237522</v>
      </c>
      <c r="J129" s="54">
        <f t="shared" si="23"/>
        <v>0</v>
      </c>
      <c r="K129" s="54"/>
      <c r="L129" s="129"/>
      <c r="M129" s="54">
        <f t="shared" si="25"/>
        <v>0</v>
      </c>
      <c r="N129" s="129"/>
      <c r="O129" s="54">
        <f t="shared" si="27"/>
        <v>0</v>
      </c>
      <c r="P129" s="54">
        <f t="shared" si="28"/>
        <v>0</v>
      </c>
    </row>
    <row r="130" spans="2:16" ht="12.5">
      <c r="B130" s="7" t="str">
        <f t="shared" si="29"/>
        <v/>
      </c>
      <c r="C130" s="50">
        <f>IF(D93="","-",+C129+1)</f>
        <v>2048</v>
      </c>
      <c r="D130" s="12">
        <f>IF(F129+SUM(E$99:E129)=D$92,F129,D$92-SUM(E$99:E129))</f>
        <v>5052029.6831604131</v>
      </c>
      <c r="E130" s="378">
        <f>IF(+J96&lt;F129,J96,D130)</f>
        <v>389377.36363636365</v>
      </c>
      <c r="F130" s="55">
        <f t="shared" si="41"/>
        <v>4662652.3195240498</v>
      </c>
      <c r="G130" s="55">
        <f t="shared" si="42"/>
        <v>4857341.0013422314</v>
      </c>
      <c r="H130" s="380">
        <f t="shared" si="43"/>
        <v>994244.2601894259</v>
      </c>
      <c r="I130" s="399">
        <f t="shared" si="44"/>
        <v>994244.2601894259</v>
      </c>
      <c r="J130" s="54">
        <f t="shared" si="23"/>
        <v>0</v>
      </c>
      <c r="K130" s="54"/>
      <c r="L130" s="129"/>
      <c r="M130" s="54">
        <f t="shared" si="25"/>
        <v>0</v>
      </c>
      <c r="N130" s="129"/>
      <c r="O130" s="54">
        <f t="shared" si="27"/>
        <v>0</v>
      </c>
      <c r="P130" s="54">
        <f t="shared" si="28"/>
        <v>0</v>
      </c>
    </row>
    <row r="131" spans="2:16" ht="12.5">
      <c r="B131" s="7" t="str">
        <f t="shared" si="29"/>
        <v/>
      </c>
      <c r="C131" s="50">
        <f>IF(D93="","-",+C130+1)</f>
        <v>2049</v>
      </c>
      <c r="D131" s="12">
        <f>IF(F130+SUM(E$99:E130)=D$92,F130,D$92-SUM(E$99:E130))</f>
        <v>4662652.3195240498</v>
      </c>
      <c r="E131" s="378">
        <f>IF(+J96&lt;F130,J96,D131)</f>
        <v>389377.36363636365</v>
      </c>
      <c r="F131" s="55">
        <f t="shared" si="41"/>
        <v>4273274.9558876865</v>
      </c>
      <c r="G131" s="55">
        <f t="shared" si="42"/>
        <v>4467963.6377058681</v>
      </c>
      <c r="H131" s="380">
        <f t="shared" si="43"/>
        <v>945756.52225509961</v>
      </c>
      <c r="I131" s="399">
        <f t="shared" si="44"/>
        <v>945756.52225509961</v>
      </c>
      <c r="J131" s="54">
        <f t="shared" ref="J131:J154" si="45">+I541-H541</f>
        <v>0</v>
      </c>
      <c r="K131" s="54"/>
      <c r="L131" s="129"/>
      <c r="M131" s="54">
        <f t="shared" ref="M131:M154" si="46">IF(L541&lt;&gt;0,+H541-L541,0)</f>
        <v>0</v>
      </c>
      <c r="N131" s="129"/>
      <c r="O131" s="54">
        <f t="shared" ref="O131:O154" si="47">IF(N541&lt;&gt;0,+I541-N541,0)</f>
        <v>0</v>
      </c>
      <c r="P131" s="54">
        <f t="shared" ref="P131:P154" si="48">+O541-M541</f>
        <v>0</v>
      </c>
    </row>
    <row r="132" spans="2:16" ht="12.5">
      <c r="B132" s="7" t="str">
        <f t="shared" si="29"/>
        <v/>
      </c>
      <c r="C132" s="50">
        <f>IF(D93="","-",+C131+1)</f>
        <v>2050</v>
      </c>
      <c r="D132" s="12">
        <f>IF(F131+SUM(E$99:E131)=D$92,F131,D$92-SUM(E$99:E131))</f>
        <v>4273274.9558876865</v>
      </c>
      <c r="E132" s="378">
        <f>IF(+J96&lt;F131,J96,D132)</f>
        <v>389377.36363636365</v>
      </c>
      <c r="F132" s="55">
        <f t="shared" si="41"/>
        <v>3883897.5922513227</v>
      </c>
      <c r="G132" s="55">
        <f t="shared" si="42"/>
        <v>4078586.2740695048</v>
      </c>
      <c r="H132" s="380">
        <f t="shared" si="43"/>
        <v>897268.78432077332</v>
      </c>
      <c r="I132" s="399">
        <f t="shared" si="44"/>
        <v>897268.78432077332</v>
      </c>
      <c r="J132" s="54">
        <f t="shared" si="45"/>
        <v>0</v>
      </c>
      <c r="K132" s="54"/>
      <c r="L132" s="129"/>
      <c r="M132" s="54">
        <f t="shared" si="46"/>
        <v>0</v>
      </c>
      <c r="N132" s="129"/>
      <c r="O132" s="54">
        <f t="shared" si="47"/>
        <v>0</v>
      </c>
      <c r="P132" s="54">
        <f t="shared" si="48"/>
        <v>0</v>
      </c>
    </row>
    <row r="133" spans="2:16" ht="12.5">
      <c r="B133" s="7" t="str">
        <f t="shared" si="29"/>
        <v/>
      </c>
      <c r="C133" s="50">
        <f>IF(D93="","-",+C132+1)</f>
        <v>2051</v>
      </c>
      <c r="D133" s="12">
        <f>IF(F132+SUM(E$99:E132)=D$92,F132,D$92-SUM(E$99:E132))</f>
        <v>3883897.5922513227</v>
      </c>
      <c r="E133" s="378">
        <f>IF(+J96&lt;F132,J96,D133)</f>
        <v>389377.36363636365</v>
      </c>
      <c r="F133" s="55">
        <f t="shared" si="41"/>
        <v>3494520.2286149589</v>
      </c>
      <c r="G133" s="55">
        <f t="shared" si="42"/>
        <v>3689208.9104331406</v>
      </c>
      <c r="H133" s="380">
        <f t="shared" si="43"/>
        <v>848781.0463864468</v>
      </c>
      <c r="I133" s="399">
        <f t="shared" si="44"/>
        <v>848781.0463864468</v>
      </c>
      <c r="J133" s="54">
        <f t="shared" si="45"/>
        <v>0</v>
      </c>
      <c r="K133" s="54"/>
      <c r="L133" s="129"/>
      <c r="M133" s="54">
        <f t="shared" si="46"/>
        <v>0</v>
      </c>
      <c r="N133" s="129"/>
      <c r="O133" s="54">
        <f t="shared" si="47"/>
        <v>0</v>
      </c>
      <c r="P133" s="54">
        <f t="shared" si="48"/>
        <v>0</v>
      </c>
    </row>
    <row r="134" spans="2:16" ht="12.5">
      <c r="B134" s="7" t="str">
        <f t="shared" si="29"/>
        <v/>
      </c>
      <c r="C134" s="50">
        <f>IF(D93="","-",+C133+1)</f>
        <v>2052</v>
      </c>
      <c r="D134" s="12">
        <f>IF(F133+SUM(E$99:E133)=D$92,F133,D$92-SUM(E$99:E133))</f>
        <v>3494520.2286149589</v>
      </c>
      <c r="E134" s="378">
        <f>IF(+J96&lt;F133,J96,D134)</f>
        <v>389377.36363636365</v>
      </c>
      <c r="F134" s="55">
        <f t="shared" si="41"/>
        <v>3105142.8649785952</v>
      </c>
      <c r="G134" s="55">
        <f t="shared" si="42"/>
        <v>3299831.5467967773</v>
      </c>
      <c r="H134" s="380">
        <f t="shared" si="43"/>
        <v>800293.30845212052</v>
      </c>
      <c r="I134" s="399">
        <f t="shared" si="44"/>
        <v>800293.30845212052</v>
      </c>
      <c r="J134" s="54">
        <f t="shared" si="45"/>
        <v>0</v>
      </c>
      <c r="K134" s="54"/>
      <c r="L134" s="129"/>
      <c r="M134" s="54">
        <f t="shared" si="46"/>
        <v>0</v>
      </c>
      <c r="N134" s="129"/>
      <c r="O134" s="54">
        <f t="shared" si="47"/>
        <v>0</v>
      </c>
      <c r="P134" s="54">
        <f t="shared" si="48"/>
        <v>0</v>
      </c>
    </row>
    <row r="135" spans="2:16" ht="12.5">
      <c r="B135" s="7" t="str">
        <f t="shared" si="29"/>
        <v/>
      </c>
      <c r="C135" s="50">
        <f>IF(D93="","-",+C134+1)</f>
        <v>2053</v>
      </c>
      <c r="D135" s="12">
        <f>IF(F134+SUM(E$99:E134)=D$92,F134,D$92-SUM(E$99:E134))</f>
        <v>3105142.8649785952</v>
      </c>
      <c r="E135" s="378">
        <f>IF(+J96&lt;F134,J96,D135)</f>
        <v>389377.36363636365</v>
      </c>
      <c r="F135" s="55">
        <f t="shared" si="41"/>
        <v>2715765.5013422314</v>
      </c>
      <c r="G135" s="55">
        <f t="shared" si="42"/>
        <v>2910454.1831604131</v>
      </c>
      <c r="H135" s="380">
        <f t="shared" si="43"/>
        <v>751805.57051779411</v>
      </c>
      <c r="I135" s="399">
        <f t="shared" si="44"/>
        <v>751805.57051779411</v>
      </c>
      <c r="J135" s="54">
        <f t="shared" si="45"/>
        <v>0</v>
      </c>
      <c r="K135" s="54"/>
      <c r="L135" s="129"/>
      <c r="M135" s="54">
        <f t="shared" si="46"/>
        <v>0</v>
      </c>
      <c r="N135" s="129"/>
      <c r="O135" s="54">
        <f t="shared" si="47"/>
        <v>0</v>
      </c>
      <c r="P135" s="54">
        <f t="shared" si="48"/>
        <v>0</v>
      </c>
    </row>
    <row r="136" spans="2:16" ht="12.5">
      <c r="B136" s="7" t="str">
        <f t="shared" si="29"/>
        <v/>
      </c>
      <c r="C136" s="50">
        <f>IF(D93="","-",+C135+1)</f>
        <v>2054</v>
      </c>
      <c r="D136" s="12">
        <f>IF(F135+SUM(E$99:E135)=D$92,F135,D$92-SUM(E$99:E135))</f>
        <v>2715765.5013422314</v>
      </c>
      <c r="E136" s="378">
        <f>IF(+J96&lt;F135,J96,D136)</f>
        <v>389377.36363636365</v>
      </c>
      <c r="F136" s="55">
        <f t="shared" si="41"/>
        <v>2326388.1377058676</v>
      </c>
      <c r="G136" s="55">
        <f t="shared" si="42"/>
        <v>2521076.8195240498</v>
      </c>
      <c r="H136" s="380">
        <f t="shared" si="43"/>
        <v>703317.83258346783</v>
      </c>
      <c r="I136" s="399">
        <f t="shared" si="44"/>
        <v>703317.83258346783</v>
      </c>
      <c r="J136" s="54">
        <f t="shared" si="45"/>
        <v>0</v>
      </c>
      <c r="K136" s="54"/>
      <c r="L136" s="129"/>
      <c r="M136" s="54">
        <f t="shared" si="46"/>
        <v>0</v>
      </c>
      <c r="N136" s="129"/>
      <c r="O136" s="54">
        <f t="shared" si="47"/>
        <v>0</v>
      </c>
      <c r="P136" s="54">
        <f t="shared" si="48"/>
        <v>0</v>
      </c>
    </row>
    <row r="137" spans="2:16" ht="12.5">
      <c r="B137" s="7" t="str">
        <f t="shared" si="29"/>
        <v/>
      </c>
      <c r="C137" s="50">
        <f>IF(D93="","-",+C136+1)</f>
        <v>2055</v>
      </c>
      <c r="D137" s="12">
        <f>IF(F136+SUM(E$99:E136)=D$92,F136,D$92-SUM(E$99:E136))</f>
        <v>2326388.1377058676</v>
      </c>
      <c r="E137" s="378">
        <f>IF(+J96&lt;F136,J96,D137)</f>
        <v>389377.36363636365</v>
      </c>
      <c r="F137" s="55">
        <f t="shared" si="41"/>
        <v>1937010.7740695039</v>
      </c>
      <c r="G137" s="55">
        <f t="shared" si="42"/>
        <v>2131699.4558876855</v>
      </c>
      <c r="H137" s="380">
        <f t="shared" si="43"/>
        <v>654830.09464914142</v>
      </c>
      <c r="I137" s="399">
        <f t="shared" si="44"/>
        <v>654830.09464914142</v>
      </c>
      <c r="J137" s="54">
        <f t="shared" si="45"/>
        <v>0</v>
      </c>
      <c r="K137" s="54"/>
      <c r="L137" s="129"/>
      <c r="M137" s="54">
        <f t="shared" si="46"/>
        <v>0</v>
      </c>
      <c r="N137" s="129"/>
      <c r="O137" s="54">
        <f t="shared" si="47"/>
        <v>0</v>
      </c>
      <c r="P137" s="54">
        <f t="shared" si="48"/>
        <v>0</v>
      </c>
    </row>
    <row r="138" spans="2:16" ht="12.5">
      <c r="B138" s="7" t="str">
        <f t="shared" si="29"/>
        <v/>
      </c>
      <c r="C138" s="50">
        <f>IF(D93="","-",+C137+1)</f>
        <v>2056</v>
      </c>
      <c r="D138" s="12">
        <f>IF(F137+SUM(E$99:E137)=D$92,F137,D$92-SUM(E$99:E137))</f>
        <v>1937010.7740695039</v>
      </c>
      <c r="E138" s="378">
        <f>IF(+J96&lt;F137,J96,D138)</f>
        <v>389377.36363636365</v>
      </c>
      <c r="F138" s="55">
        <f t="shared" si="41"/>
        <v>1547633.4104331401</v>
      </c>
      <c r="G138" s="55">
        <f t="shared" si="42"/>
        <v>1742322.092251322</v>
      </c>
      <c r="H138" s="380">
        <f t="shared" si="43"/>
        <v>606342.35671481502</v>
      </c>
      <c r="I138" s="399">
        <f t="shared" si="44"/>
        <v>606342.35671481502</v>
      </c>
      <c r="J138" s="54">
        <f t="shared" si="45"/>
        <v>0</v>
      </c>
      <c r="K138" s="54"/>
      <c r="L138" s="129"/>
      <c r="M138" s="54">
        <f t="shared" si="46"/>
        <v>0</v>
      </c>
      <c r="N138" s="129"/>
      <c r="O138" s="54">
        <f t="shared" si="47"/>
        <v>0</v>
      </c>
      <c r="P138" s="54">
        <f t="shared" si="48"/>
        <v>0</v>
      </c>
    </row>
    <row r="139" spans="2:16" ht="12.5">
      <c r="B139" s="7" t="str">
        <f t="shared" si="29"/>
        <v/>
      </c>
      <c r="C139" s="50">
        <f>IF(D93="","-",+C138+1)</f>
        <v>2057</v>
      </c>
      <c r="D139" s="12">
        <f>IF(F138+SUM(E$99:E138)=D$92,F138,D$92-SUM(E$99:E138))</f>
        <v>1547633.4104331401</v>
      </c>
      <c r="E139" s="378">
        <f>IF(+J96&lt;F138,J96,D139)</f>
        <v>389377.36363636365</v>
      </c>
      <c r="F139" s="55">
        <f t="shared" si="41"/>
        <v>1158256.0467967764</v>
      </c>
      <c r="G139" s="55">
        <f t="shared" si="42"/>
        <v>1352944.7286149582</v>
      </c>
      <c r="H139" s="380">
        <f t="shared" si="43"/>
        <v>557854.61878048861</v>
      </c>
      <c r="I139" s="399">
        <f t="shared" si="44"/>
        <v>557854.61878048861</v>
      </c>
      <c r="J139" s="54">
        <f t="shared" si="45"/>
        <v>0</v>
      </c>
      <c r="K139" s="54"/>
      <c r="L139" s="129"/>
      <c r="M139" s="54">
        <f t="shared" si="46"/>
        <v>0</v>
      </c>
      <c r="N139" s="129"/>
      <c r="O139" s="54">
        <f t="shared" si="47"/>
        <v>0</v>
      </c>
      <c r="P139" s="54">
        <f t="shared" si="48"/>
        <v>0</v>
      </c>
    </row>
    <row r="140" spans="2:16" ht="12.5">
      <c r="B140" s="7" t="str">
        <f t="shared" si="29"/>
        <v/>
      </c>
      <c r="C140" s="50">
        <f>IF(D93="","-",+C139+1)</f>
        <v>2058</v>
      </c>
      <c r="D140" s="12">
        <f>IF(F139+SUM(E$99:E139)=D$92,F139,D$92-SUM(E$99:E139))</f>
        <v>1158256.0467967764</v>
      </c>
      <c r="E140" s="378">
        <f>IF(+J96&lt;F139,J96,D140)</f>
        <v>389377.36363636365</v>
      </c>
      <c r="F140" s="55">
        <f t="shared" si="41"/>
        <v>768878.68316041271</v>
      </c>
      <c r="G140" s="55">
        <f t="shared" si="42"/>
        <v>963567.36497859447</v>
      </c>
      <c r="H140" s="380">
        <f t="shared" si="43"/>
        <v>509366.88084616233</v>
      </c>
      <c r="I140" s="399">
        <f t="shared" si="44"/>
        <v>509366.88084616233</v>
      </c>
      <c r="J140" s="54">
        <f t="shared" si="45"/>
        <v>0</v>
      </c>
      <c r="K140" s="54"/>
      <c r="L140" s="129"/>
      <c r="M140" s="54">
        <f t="shared" si="46"/>
        <v>0</v>
      </c>
      <c r="N140" s="129"/>
      <c r="O140" s="54">
        <f t="shared" si="47"/>
        <v>0</v>
      </c>
      <c r="P140" s="54">
        <f t="shared" si="48"/>
        <v>0</v>
      </c>
    </row>
    <row r="141" spans="2:16" ht="12.5">
      <c r="B141" s="7" t="str">
        <f t="shared" si="29"/>
        <v/>
      </c>
      <c r="C141" s="50">
        <f>IF(D93="","-",+C140+1)</f>
        <v>2059</v>
      </c>
      <c r="D141" s="12">
        <f>IF(F140+SUM(E$99:E140)=D$92,F140,D$92-SUM(E$99:E140))</f>
        <v>768878.68316041271</v>
      </c>
      <c r="E141" s="378">
        <f>IF(+J96&lt;F140,J96,D141)</f>
        <v>389377.36363636365</v>
      </c>
      <c r="F141" s="55">
        <f t="shared" si="41"/>
        <v>379501.31952404906</v>
      </c>
      <c r="G141" s="55">
        <f t="shared" si="42"/>
        <v>574190.00134223094</v>
      </c>
      <c r="H141" s="380">
        <f t="shared" si="43"/>
        <v>460879.14291183598</v>
      </c>
      <c r="I141" s="399">
        <f t="shared" si="44"/>
        <v>460879.14291183598</v>
      </c>
      <c r="J141" s="54">
        <f t="shared" si="45"/>
        <v>0</v>
      </c>
      <c r="K141" s="54"/>
      <c r="L141" s="129"/>
      <c r="M141" s="54">
        <f t="shared" si="46"/>
        <v>0</v>
      </c>
      <c r="N141" s="129"/>
      <c r="O141" s="54">
        <f t="shared" si="47"/>
        <v>0</v>
      </c>
      <c r="P141" s="54">
        <f t="shared" si="48"/>
        <v>0</v>
      </c>
    </row>
    <row r="142" spans="2:16" ht="12.5">
      <c r="B142" s="7" t="str">
        <f t="shared" si="29"/>
        <v/>
      </c>
      <c r="C142" s="50">
        <f>IF(D93="","-",+C141+1)</f>
        <v>2060</v>
      </c>
      <c r="D142" s="12">
        <f>IF(F141+SUM(E$99:E141)=D$92,F141,D$92-SUM(E$99:E141))</f>
        <v>379501.31952404906</v>
      </c>
      <c r="E142" s="378">
        <f>IF(+J96&lt;F141,J96,D142)</f>
        <v>379501.31952404906</v>
      </c>
      <c r="F142" s="55">
        <f t="shared" si="41"/>
        <v>0</v>
      </c>
      <c r="G142" s="55">
        <f t="shared" si="42"/>
        <v>189750.65976202453</v>
      </c>
      <c r="H142" s="380">
        <f t="shared" si="43"/>
        <v>403130.27467820363</v>
      </c>
      <c r="I142" s="399">
        <f t="shared" si="44"/>
        <v>403130.27467820363</v>
      </c>
      <c r="J142" s="54">
        <f t="shared" si="45"/>
        <v>0</v>
      </c>
      <c r="K142" s="54"/>
      <c r="L142" s="129"/>
      <c r="M142" s="54">
        <f t="shared" si="46"/>
        <v>0</v>
      </c>
      <c r="N142" s="129"/>
      <c r="O142" s="54">
        <f t="shared" si="47"/>
        <v>0</v>
      </c>
      <c r="P142" s="54">
        <f t="shared" si="48"/>
        <v>0</v>
      </c>
    </row>
    <row r="143" spans="2:16" ht="12.5">
      <c r="B143" s="7" t="str">
        <f t="shared" si="29"/>
        <v/>
      </c>
      <c r="C143" s="50">
        <f>IF(D93="","-",+C142+1)</f>
        <v>2061</v>
      </c>
      <c r="D143" s="12">
        <f>IF(F142+SUM(E$99:E142)=D$92,F142,D$92-SUM(E$99:E142))</f>
        <v>0</v>
      </c>
      <c r="E143" s="378">
        <f>IF(+J96&lt;F142,J96,D143)</f>
        <v>0</v>
      </c>
      <c r="F143" s="55">
        <f t="shared" si="41"/>
        <v>0</v>
      </c>
      <c r="G143" s="55">
        <f t="shared" si="42"/>
        <v>0</v>
      </c>
      <c r="H143" s="380">
        <f t="shared" si="43"/>
        <v>0</v>
      </c>
      <c r="I143" s="399">
        <f t="shared" si="44"/>
        <v>0</v>
      </c>
      <c r="J143" s="54">
        <f t="shared" si="45"/>
        <v>0</v>
      </c>
      <c r="K143" s="54"/>
      <c r="L143" s="129"/>
      <c r="M143" s="54">
        <f t="shared" si="46"/>
        <v>0</v>
      </c>
      <c r="N143" s="129"/>
      <c r="O143" s="54">
        <f t="shared" si="47"/>
        <v>0</v>
      </c>
      <c r="P143" s="54">
        <f t="shared" si="48"/>
        <v>0</v>
      </c>
    </row>
    <row r="144" spans="2:16" ht="12.5">
      <c r="B144" s="7" t="str">
        <f t="shared" si="29"/>
        <v/>
      </c>
      <c r="C144" s="50">
        <f>IF(D93="","-",+C143+1)</f>
        <v>2062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41"/>
        <v>0</v>
      </c>
      <c r="G144" s="55">
        <f t="shared" si="42"/>
        <v>0</v>
      </c>
      <c r="H144" s="380">
        <f t="shared" si="43"/>
        <v>0</v>
      </c>
      <c r="I144" s="399">
        <f t="shared" si="44"/>
        <v>0</v>
      </c>
      <c r="J144" s="54">
        <f t="shared" si="45"/>
        <v>0</v>
      </c>
      <c r="K144" s="54"/>
      <c r="L144" s="129"/>
      <c r="M144" s="54">
        <f t="shared" si="46"/>
        <v>0</v>
      </c>
      <c r="N144" s="129"/>
      <c r="O144" s="54">
        <f t="shared" si="47"/>
        <v>0</v>
      </c>
      <c r="P144" s="54">
        <f t="shared" si="48"/>
        <v>0</v>
      </c>
    </row>
    <row r="145" spans="2:16" ht="12.5">
      <c r="B145" s="7" t="str">
        <f t="shared" si="29"/>
        <v/>
      </c>
      <c r="C145" s="50">
        <f>IF(D93="","-",+C144+1)</f>
        <v>2063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41"/>
        <v>0</v>
      </c>
      <c r="G145" s="55">
        <f t="shared" si="42"/>
        <v>0</v>
      </c>
      <c r="H145" s="380">
        <f t="shared" si="43"/>
        <v>0</v>
      </c>
      <c r="I145" s="399">
        <f t="shared" si="44"/>
        <v>0</v>
      </c>
      <c r="J145" s="54">
        <f t="shared" si="45"/>
        <v>0</v>
      </c>
      <c r="K145" s="54"/>
      <c r="L145" s="129"/>
      <c r="M145" s="54">
        <f t="shared" si="46"/>
        <v>0</v>
      </c>
      <c r="N145" s="129"/>
      <c r="O145" s="54">
        <f t="shared" si="47"/>
        <v>0</v>
      </c>
      <c r="P145" s="54">
        <f t="shared" si="48"/>
        <v>0</v>
      </c>
    </row>
    <row r="146" spans="2:16" ht="12.5">
      <c r="B146" s="7" t="str">
        <f t="shared" si="29"/>
        <v/>
      </c>
      <c r="C146" s="50">
        <f>IF(D93="","-",+C145+1)</f>
        <v>2064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41"/>
        <v>0</v>
      </c>
      <c r="G146" s="55">
        <f t="shared" si="42"/>
        <v>0</v>
      </c>
      <c r="H146" s="380">
        <f t="shared" si="43"/>
        <v>0</v>
      </c>
      <c r="I146" s="399">
        <f t="shared" si="44"/>
        <v>0</v>
      </c>
      <c r="J146" s="54">
        <f t="shared" si="45"/>
        <v>0</v>
      </c>
      <c r="K146" s="54"/>
      <c r="L146" s="129"/>
      <c r="M146" s="54">
        <f t="shared" si="46"/>
        <v>0</v>
      </c>
      <c r="N146" s="129"/>
      <c r="O146" s="54">
        <f t="shared" si="47"/>
        <v>0</v>
      </c>
      <c r="P146" s="54">
        <f t="shared" si="48"/>
        <v>0</v>
      </c>
    </row>
    <row r="147" spans="2:16" ht="12.5">
      <c r="B147" s="7" t="str">
        <f t="shared" si="29"/>
        <v/>
      </c>
      <c r="C147" s="50">
        <f>IF(D93="","-",+C146+1)</f>
        <v>2065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41"/>
        <v>0</v>
      </c>
      <c r="G147" s="55">
        <f t="shared" si="42"/>
        <v>0</v>
      </c>
      <c r="H147" s="380">
        <f t="shared" si="43"/>
        <v>0</v>
      </c>
      <c r="I147" s="399">
        <f t="shared" si="44"/>
        <v>0</v>
      </c>
      <c r="J147" s="54">
        <f t="shared" si="45"/>
        <v>0</v>
      </c>
      <c r="K147" s="54"/>
      <c r="L147" s="129"/>
      <c r="M147" s="54">
        <f t="shared" si="46"/>
        <v>0</v>
      </c>
      <c r="N147" s="129"/>
      <c r="O147" s="54">
        <f t="shared" si="47"/>
        <v>0</v>
      </c>
      <c r="P147" s="54">
        <f t="shared" si="48"/>
        <v>0</v>
      </c>
    </row>
    <row r="148" spans="2:16" ht="12.5">
      <c r="B148" s="7" t="str">
        <f t="shared" si="29"/>
        <v/>
      </c>
      <c r="C148" s="50">
        <f>IF(D93="","-",+C147+1)</f>
        <v>2066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41"/>
        <v>0</v>
      </c>
      <c r="G148" s="55">
        <f t="shared" si="42"/>
        <v>0</v>
      </c>
      <c r="H148" s="380">
        <f t="shared" si="43"/>
        <v>0</v>
      </c>
      <c r="I148" s="399">
        <f t="shared" si="44"/>
        <v>0</v>
      </c>
      <c r="J148" s="54">
        <f t="shared" si="45"/>
        <v>0</v>
      </c>
      <c r="K148" s="54"/>
      <c r="L148" s="129"/>
      <c r="M148" s="54">
        <f t="shared" si="46"/>
        <v>0</v>
      </c>
      <c r="N148" s="129"/>
      <c r="O148" s="54">
        <f t="shared" si="47"/>
        <v>0</v>
      </c>
      <c r="P148" s="54">
        <f t="shared" si="48"/>
        <v>0</v>
      </c>
    </row>
    <row r="149" spans="2:16" ht="12.5">
      <c r="B149" s="7" t="str">
        <f t="shared" si="29"/>
        <v/>
      </c>
      <c r="C149" s="50">
        <f>IF(D93="","-",+C148+1)</f>
        <v>2067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41"/>
        <v>0</v>
      </c>
      <c r="G149" s="55">
        <f t="shared" si="42"/>
        <v>0</v>
      </c>
      <c r="H149" s="380">
        <f t="shared" si="43"/>
        <v>0</v>
      </c>
      <c r="I149" s="399">
        <f t="shared" si="44"/>
        <v>0</v>
      </c>
      <c r="J149" s="54">
        <f t="shared" si="45"/>
        <v>0</v>
      </c>
      <c r="K149" s="54"/>
      <c r="L149" s="129"/>
      <c r="M149" s="54">
        <f t="shared" si="46"/>
        <v>0</v>
      </c>
      <c r="N149" s="129"/>
      <c r="O149" s="54">
        <f t="shared" si="47"/>
        <v>0</v>
      </c>
      <c r="P149" s="54">
        <f t="shared" si="48"/>
        <v>0</v>
      </c>
    </row>
    <row r="150" spans="2:16" ht="12.5">
      <c r="B150" s="7" t="str">
        <f t="shared" si="29"/>
        <v/>
      </c>
      <c r="C150" s="50">
        <f>IF(D93="","-",+C149+1)</f>
        <v>2068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41"/>
        <v>0</v>
      </c>
      <c r="G150" s="55">
        <f t="shared" si="42"/>
        <v>0</v>
      </c>
      <c r="H150" s="380">
        <f t="shared" si="43"/>
        <v>0</v>
      </c>
      <c r="I150" s="399">
        <f t="shared" si="44"/>
        <v>0</v>
      </c>
      <c r="J150" s="54">
        <f t="shared" si="45"/>
        <v>0</v>
      </c>
      <c r="K150" s="54"/>
      <c r="L150" s="129"/>
      <c r="M150" s="54">
        <f t="shared" si="46"/>
        <v>0</v>
      </c>
      <c r="N150" s="129"/>
      <c r="O150" s="54">
        <f t="shared" si="47"/>
        <v>0</v>
      </c>
      <c r="P150" s="54">
        <f t="shared" si="48"/>
        <v>0</v>
      </c>
    </row>
    <row r="151" spans="2:16" ht="12.5">
      <c r="B151" s="7" t="str">
        <f t="shared" si="29"/>
        <v/>
      </c>
      <c r="C151" s="50">
        <f>IF(D93="","-",+C150+1)</f>
        <v>2069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41"/>
        <v>0</v>
      </c>
      <c r="G151" s="55">
        <f t="shared" si="42"/>
        <v>0</v>
      </c>
      <c r="H151" s="380">
        <f t="shared" si="43"/>
        <v>0</v>
      </c>
      <c r="I151" s="399">
        <f t="shared" si="44"/>
        <v>0</v>
      </c>
      <c r="J151" s="54">
        <f t="shared" si="45"/>
        <v>0</v>
      </c>
      <c r="K151" s="54"/>
      <c r="L151" s="129"/>
      <c r="M151" s="54">
        <f t="shared" si="46"/>
        <v>0</v>
      </c>
      <c r="N151" s="129"/>
      <c r="O151" s="54">
        <f t="shared" si="47"/>
        <v>0</v>
      </c>
      <c r="P151" s="54">
        <f t="shared" si="48"/>
        <v>0</v>
      </c>
    </row>
    <row r="152" spans="2:16" ht="12.5">
      <c r="B152" s="7" t="str">
        <f t="shared" si="29"/>
        <v/>
      </c>
      <c r="C152" s="50">
        <f>IF(D93="","-",+C151+1)</f>
        <v>2070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41"/>
        <v>0</v>
      </c>
      <c r="G152" s="55">
        <f t="shared" si="42"/>
        <v>0</v>
      </c>
      <c r="H152" s="380">
        <f t="shared" si="43"/>
        <v>0</v>
      </c>
      <c r="I152" s="399">
        <f t="shared" si="44"/>
        <v>0</v>
      </c>
      <c r="J152" s="54">
        <f t="shared" si="45"/>
        <v>0</v>
      </c>
      <c r="K152" s="54"/>
      <c r="L152" s="129"/>
      <c r="M152" s="54">
        <f t="shared" si="46"/>
        <v>0</v>
      </c>
      <c r="N152" s="129"/>
      <c r="O152" s="54">
        <f t="shared" si="47"/>
        <v>0</v>
      </c>
      <c r="P152" s="54">
        <f t="shared" si="48"/>
        <v>0</v>
      </c>
    </row>
    <row r="153" spans="2:16" ht="12.5">
      <c r="B153" s="7" t="str">
        <f t="shared" si="29"/>
        <v/>
      </c>
      <c r="C153" s="50">
        <f>IF(D93="","-",+C152+1)</f>
        <v>2071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41"/>
        <v>0</v>
      </c>
      <c r="G153" s="55">
        <f t="shared" si="42"/>
        <v>0</v>
      </c>
      <c r="H153" s="380">
        <f t="shared" si="43"/>
        <v>0</v>
      </c>
      <c r="I153" s="399">
        <f t="shared" si="44"/>
        <v>0</v>
      </c>
      <c r="J153" s="54">
        <f t="shared" si="45"/>
        <v>0</v>
      </c>
      <c r="K153" s="54"/>
      <c r="L153" s="129"/>
      <c r="M153" s="54">
        <f t="shared" si="46"/>
        <v>0</v>
      </c>
      <c r="N153" s="129"/>
      <c r="O153" s="54">
        <f t="shared" si="47"/>
        <v>0</v>
      </c>
      <c r="P153" s="54">
        <f t="shared" si="48"/>
        <v>0</v>
      </c>
    </row>
    <row r="154" spans="2:16" ht="13" thickBot="1">
      <c r="B154" s="7" t="str">
        <f t="shared" si="29"/>
        <v/>
      </c>
      <c r="C154" s="59">
        <f>IF(D93="","-",+C153+1)</f>
        <v>2072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41"/>
        <v>0</v>
      </c>
      <c r="G154" s="60">
        <f t="shared" si="42"/>
        <v>0</v>
      </c>
      <c r="H154" s="382">
        <f t="shared" si="43"/>
        <v>0</v>
      </c>
      <c r="I154" s="400">
        <f t="shared" si="44"/>
        <v>0</v>
      </c>
      <c r="J154" s="64">
        <f t="shared" si="45"/>
        <v>0</v>
      </c>
      <c r="K154" s="54"/>
      <c r="L154" s="130"/>
      <c r="M154" s="64">
        <f t="shared" si="46"/>
        <v>0</v>
      </c>
      <c r="N154" s="130"/>
      <c r="O154" s="64">
        <f t="shared" si="47"/>
        <v>0</v>
      </c>
      <c r="P154" s="64">
        <f t="shared" si="48"/>
        <v>0</v>
      </c>
    </row>
    <row r="155" spans="2:16" ht="12.5">
      <c r="C155" s="12" t="s">
        <v>78</v>
      </c>
      <c r="D155" s="293"/>
      <c r="E155" s="293">
        <f>SUM(E99:E154)</f>
        <v>17132603.999999996</v>
      </c>
      <c r="F155" s="293"/>
      <c r="G155" s="293"/>
      <c r="H155" s="293">
        <f>SUM(H99:H154)</f>
        <v>61802337.463174693</v>
      </c>
      <c r="I155" s="293">
        <f>SUM(I99:I154)</f>
        <v>61802337.463174693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 ht="12.5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 ht="13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39" priority="1" stopIfTrue="1" operator="equal">
      <formula>$I$10</formula>
    </cfRule>
  </conditionalFormatting>
  <conditionalFormatting sqref="C99:C154">
    <cfRule type="cellIs" dxfId="3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109"/>
  <dimension ref="A1:P162"/>
  <sheetViews>
    <sheetView topLeftCell="A83" zoomScaleNormal="100" zoomScaleSheetLayoutView="80" workbookViewId="0">
      <selection activeCell="D25" sqref="D25:H25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60 of 77</v>
      </c>
    </row>
    <row r="2" spans="1:16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11743276.985286441</v>
      </c>
      <c r="P5" s="1"/>
    </row>
    <row r="6" spans="1:16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11743276.985286441</v>
      </c>
      <c r="O6" s="1"/>
      <c r="P6" s="1"/>
    </row>
    <row r="7" spans="1:16" ht="13.5" thickBot="1">
      <c r="C7" s="25" t="s">
        <v>48</v>
      </c>
      <c r="D7" s="90" t="s">
        <v>382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481</v>
      </c>
      <c r="E9" s="31" t="s">
        <v>482</v>
      </c>
      <c r="F9" s="31"/>
      <c r="G9" s="31"/>
      <c r="H9" s="31"/>
      <c r="I9" s="32"/>
      <c r="J9" s="33"/>
      <c r="P9" s="1"/>
    </row>
    <row r="10" spans="1:16" ht="13">
      <c r="C10" s="34" t="s">
        <v>51</v>
      </c>
      <c r="D10" s="363">
        <v>97370354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6" ht="12.5">
      <c r="C11" s="34" t="s">
        <v>54</v>
      </c>
      <c r="D11" s="37">
        <v>2016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3">
        <v>12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2212962.5909090908</v>
      </c>
      <c r="J14" s="293"/>
      <c r="K14" s="293"/>
      <c r="L14" s="293"/>
      <c r="M14" s="293"/>
      <c r="N14" s="293"/>
      <c r="O14" s="1"/>
      <c r="P14" s="1"/>
    </row>
    <row r="15" spans="1:16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2016</v>
      </c>
      <c r="D17" s="376">
        <v>0</v>
      </c>
      <c r="E17" s="376">
        <v>0</v>
      </c>
      <c r="F17" s="376">
        <v>99956721</v>
      </c>
      <c r="G17" s="376">
        <v>0</v>
      </c>
      <c r="H17" s="376">
        <v>0</v>
      </c>
      <c r="I17" s="376">
        <v>0</v>
      </c>
      <c r="J17" s="52"/>
      <c r="K17" s="112">
        <f t="shared" ref="K17:K22" si="0">+G17</f>
        <v>0</v>
      </c>
      <c r="L17" s="53">
        <f t="shared" ref="L17:L72" si="1">IF(K17&lt;&gt;0,+G17-K17,0)</f>
        <v>0</v>
      </c>
      <c r="M17" s="112">
        <f t="shared" ref="M17:M22" si="2">+H17</f>
        <v>0</v>
      </c>
      <c r="N17" s="53">
        <f t="shared" ref="N17:N72" si="3">IF(M17&lt;&gt;0,+H17-M17,0)</f>
        <v>0</v>
      </c>
      <c r="O17" s="54">
        <f t="shared" ref="O17:O72" si="4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2017</v>
      </c>
      <c r="D18" s="147">
        <v>99956721</v>
      </c>
      <c r="E18" s="451">
        <v>2324574.9069767441</v>
      </c>
      <c r="F18" s="147">
        <v>97632146.093023255</v>
      </c>
      <c r="G18" s="446">
        <v>14564467.586252602</v>
      </c>
      <c r="H18" s="452">
        <v>14564467.586252602</v>
      </c>
      <c r="I18" s="52">
        <f t="shared" ref="I18:I72" si="5">H18-G18</f>
        <v>0</v>
      </c>
      <c r="J18" s="52"/>
      <c r="K18" s="113">
        <f t="shared" si="0"/>
        <v>14564467.586252602</v>
      </c>
      <c r="L18" s="54">
        <f t="shared" si="1"/>
        <v>0</v>
      </c>
      <c r="M18" s="113">
        <f t="shared" si="2"/>
        <v>14564467.586252602</v>
      </c>
      <c r="N18" s="54">
        <f t="shared" si="3"/>
        <v>0</v>
      </c>
      <c r="O18" s="54">
        <f t="shared" si="4"/>
        <v>0</v>
      </c>
      <c r="P18" s="1"/>
    </row>
    <row r="19" spans="2:16" ht="12.5">
      <c r="B19" s="7" t="str">
        <f>IF(D19=F18,"","IU")</f>
        <v/>
      </c>
      <c r="C19" s="50">
        <f>IF(D11="","-",+C18+1)</f>
        <v>2018</v>
      </c>
      <c r="D19" s="147">
        <v>97632146.093023255</v>
      </c>
      <c r="E19" s="451">
        <v>2437968.8048780486</v>
      </c>
      <c r="F19" s="147">
        <v>95194177.288145214</v>
      </c>
      <c r="G19" s="446">
        <v>14691512.71476743</v>
      </c>
      <c r="H19" s="452">
        <v>14691512.71476743</v>
      </c>
      <c r="I19" s="52">
        <f t="shared" si="5"/>
        <v>0</v>
      </c>
      <c r="J19" s="52"/>
      <c r="K19" s="113">
        <f t="shared" si="0"/>
        <v>14691512.71476743</v>
      </c>
      <c r="L19" s="54">
        <f t="shared" ref="L19:L24" si="6">IF(K19&lt;&gt;0,+G19-K19,0)</f>
        <v>0</v>
      </c>
      <c r="M19" s="113">
        <f t="shared" si="2"/>
        <v>14691512.71476743</v>
      </c>
      <c r="N19" s="54">
        <f>IF(M19&lt;&gt;0,+H19-M19,0)</f>
        <v>0</v>
      </c>
      <c r="O19" s="54">
        <f>+N19-L19</f>
        <v>0</v>
      </c>
      <c r="P19" s="1"/>
    </row>
    <row r="20" spans="2:16" ht="12.5">
      <c r="B20" s="7" t="str">
        <f t="shared" ref="B20:B72" si="7">IF(D20=F19,"","IU")</f>
        <v/>
      </c>
      <c r="C20" s="50">
        <f>IF(D11="","-",+C19+1)</f>
        <v>2019</v>
      </c>
      <c r="D20" s="147">
        <v>95194177.288145214</v>
      </c>
      <c r="E20" s="451">
        <v>2437968.8048780486</v>
      </c>
      <c r="F20" s="147">
        <v>92756208.483267158</v>
      </c>
      <c r="G20" s="446">
        <v>14381661.266296247</v>
      </c>
      <c r="H20" s="452">
        <v>14381661.266296247</v>
      </c>
      <c r="I20" s="52">
        <f t="shared" si="5"/>
        <v>0</v>
      </c>
      <c r="J20" s="52"/>
      <c r="K20" s="113">
        <f t="shared" si="0"/>
        <v>14381661.266296247</v>
      </c>
      <c r="L20" s="54">
        <f t="shared" si="6"/>
        <v>0</v>
      </c>
      <c r="M20" s="113">
        <f t="shared" si="2"/>
        <v>14381661.266296247</v>
      </c>
      <c r="N20" s="54">
        <f t="shared" si="3"/>
        <v>0</v>
      </c>
      <c r="O20" s="54">
        <f t="shared" si="4"/>
        <v>0</v>
      </c>
      <c r="P20" s="1"/>
    </row>
    <row r="21" spans="2:16" ht="12.5">
      <c r="B21" s="7" t="str">
        <f t="shared" si="7"/>
        <v>IU</v>
      </c>
      <c r="C21" s="50">
        <f>IF(D11="","-",+C20+1)</f>
        <v>2020</v>
      </c>
      <c r="D21" s="147">
        <v>90168458.483267158</v>
      </c>
      <c r="E21" s="451">
        <v>2374852.9512195121</v>
      </c>
      <c r="F21" s="147">
        <v>87793605.532047644</v>
      </c>
      <c r="G21" s="446">
        <v>11480767.373612601</v>
      </c>
      <c r="H21" s="452">
        <v>11480767.373612601</v>
      </c>
      <c r="I21" s="52">
        <f t="shared" si="5"/>
        <v>0</v>
      </c>
      <c r="J21" s="52"/>
      <c r="K21" s="113">
        <f t="shared" si="0"/>
        <v>11480767.373612601</v>
      </c>
      <c r="L21" s="54">
        <f t="shared" si="6"/>
        <v>0</v>
      </c>
      <c r="M21" s="113">
        <f t="shared" si="2"/>
        <v>11480767.373612601</v>
      </c>
      <c r="N21" s="54">
        <f t="shared" si="3"/>
        <v>0</v>
      </c>
      <c r="O21" s="54">
        <f t="shared" si="4"/>
        <v>0</v>
      </c>
      <c r="P21" s="1"/>
    </row>
    <row r="22" spans="2:16" ht="12.5">
      <c r="B22" s="7" t="str">
        <f t="shared" si="7"/>
        <v>IU</v>
      </c>
      <c r="C22" s="50">
        <f>IF(D11="","-",+C21+1)</f>
        <v>2021</v>
      </c>
      <c r="D22" s="147">
        <v>87908382.429948956</v>
      </c>
      <c r="E22" s="451">
        <v>2318341.7619047621</v>
      </c>
      <c r="F22" s="147">
        <v>85590040.668044195</v>
      </c>
      <c r="G22" s="446">
        <v>11514152.464962322</v>
      </c>
      <c r="H22" s="452">
        <v>11514152.464962322</v>
      </c>
      <c r="I22" s="52">
        <f t="shared" si="5"/>
        <v>0</v>
      </c>
      <c r="J22" s="52"/>
      <c r="K22" s="113">
        <f t="shared" si="0"/>
        <v>11514152.464962322</v>
      </c>
      <c r="L22" s="54">
        <f t="shared" si="6"/>
        <v>0</v>
      </c>
      <c r="M22" s="113">
        <f t="shared" si="2"/>
        <v>11514152.464962322</v>
      </c>
      <c r="N22" s="54">
        <f t="shared" si="3"/>
        <v>0</v>
      </c>
      <c r="O22" s="54">
        <f t="shared" si="4"/>
        <v>0</v>
      </c>
      <c r="P22" s="1"/>
    </row>
    <row r="23" spans="2:16" ht="12.5">
      <c r="B23" s="7" t="str">
        <f t="shared" si="7"/>
        <v>IU</v>
      </c>
      <c r="C23" s="50">
        <f>IF(D11="","-",+C22+1)</f>
        <v>2022</v>
      </c>
      <c r="D23" s="147">
        <v>85476646.770142883</v>
      </c>
      <c r="E23" s="451">
        <v>2318341.7619047621</v>
      </c>
      <c r="F23" s="147">
        <v>83158305.008238122</v>
      </c>
      <c r="G23" s="446">
        <v>11799344.189724851</v>
      </c>
      <c r="H23" s="452">
        <v>11799344.189724851</v>
      </c>
      <c r="I23" s="52">
        <f t="shared" si="5"/>
        <v>0</v>
      </c>
      <c r="J23" s="52"/>
      <c r="K23" s="113">
        <f t="shared" ref="K23" si="8">+G23</f>
        <v>11799344.189724851</v>
      </c>
      <c r="L23" s="54">
        <f t="shared" si="6"/>
        <v>0</v>
      </c>
      <c r="M23" s="113">
        <f t="shared" ref="M23" si="9">+H23</f>
        <v>11799344.189724851</v>
      </c>
      <c r="N23" s="54">
        <f t="shared" si="3"/>
        <v>0</v>
      </c>
      <c r="O23" s="54">
        <f t="shared" si="4"/>
        <v>0</v>
      </c>
      <c r="P23" s="1"/>
    </row>
    <row r="24" spans="2:16" ht="12.5">
      <c r="B24" s="7" t="str">
        <f t="shared" si="7"/>
        <v/>
      </c>
      <c r="C24" s="50">
        <f>IF(D11="","-",+C23+1)</f>
        <v>2023</v>
      </c>
      <c r="D24" s="147">
        <v>83158305.008238122</v>
      </c>
      <c r="E24" s="451">
        <v>2318341.7619047621</v>
      </c>
      <c r="F24" s="147">
        <v>80839963.246333361</v>
      </c>
      <c r="G24" s="446">
        <v>12677028.993315388</v>
      </c>
      <c r="H24" s="452">
        <v>12677028.993315388</v>
      </c>
      <c r="I24" s="52">
        <f t="shared" si="5"/>
        <v>0</v>
      </c>
      <c r="J24" s="52"/>
      <c r="K24" s="113">
        <f t="shared" ref="K24" si="10">+G24</f>
        <v>12677028.993315388</v>
      </c>
      <c r="L24" s="54">
        <f t="shared" si="6"/>
        <v>0</v>
      </c>
      <c r="M24" s="113">
        <f t="shared" ref="M24" si="11">+H24</f>
        <v>12677028.993315388</v>
      </c>
      <c r="N24" s="54">
        <f t="shared" si="3"/>
        <v>0</v>
      </c>
      <c r="O24" s="54">
        <f t="shared" si="4"/>
        <v>0</v>
      </c>
      <c r="P24" s="1"/>
    </row>
    <row r="25" spans="2:16" ht="12.5">
      <c r="B25" s="7" t="str">
        <f t="shared" si="7"/>
        <v/>
      </c>
      <c r="C25" s="50">
        <f>IF(D11="","-",+C24+1)</f>
        <v>2024</v>
      </c>
      <c r="D25" s="147">
        <v>80839963.246333361</v>
      </c>
      <c r="E25" s="451">
        <v>2212962.5909090908</v>
      </c>
      <c r="F25" s="147">
        <v>78627000.655424267</v>
      </c>
      <c r="G25" s="446">
        <v>11743276.985286441</v>
      </c>
      <c r="H25" s="452">
        <v>11743276.985286441</v>
      </c>
      <c r="I25" s="52">
        <f t="shared" si="5"/>
        <v>0</v>
      </c>
      <c r="J25" s="52"/>
      <c r="K25" s="113">
        <f t="shared" ref="K25" si="12">+G25</f>
        <v>11743276.985286441</v>
      </c>
      <c r="L25" s="54">
        <f t="shared" ref="L25" si="13">IF(K25&lt;&gt;0,+G25-K25,0)</f>
        <v>0</v>
      </c>
      <c r="M25" s="113">
        <f t="shared" ref="M25" si="14">+H25</f>
        <v>11743276.985286441</v>
      </c>
      <c r="N25" s="54">
        <f t="shared" ref="N25" si="15">IF(M25&lt;&gt;0,+H25-M25,0)</f>
        <v>0</v>
      </c>
      <c r="O25" s="54">
        <f t="shared" ref="O25" si="16">+N25-L25</f>
        <v>0</v>
      </c>
      <c r="P25" s="1"/>
    </row>
    <row r="26" spans="2:16" ht="12.5">
      <c r="B26" s="7" t="str">
        <f t="shared" si="7"/>
        <v/>
      </c>
      <c r="C26" s="50">
        <f>IF(D11="","-",+C25+1)</f>
        <v>2025</v>
      </c>
      <c r="D26" s="55">
        <f>IF(F25+SUM(E$17:E25)=D$10,F25,D$10-SUM(E$17:E25))</f>
        <v>78627000.655424267</v>
      </c>
      <c r="E26" s="378">
        <f>IF(+I14&lt;F25,I14,D26)</f>
        <v>2212962.5909090908</v>
      </c>
      <c r="F26" s="55">
        <f t="shared" ref="F26:F72" si="17">+D26-E26</f>
        <v>76414038.064515173</v>
      </c>
      <c r="G26" s="379">
        <f t="shared" ref="G26:G49" si="18">+I$12*((D26+F26)/2)+E26</f>
        <v>11478767.914337397</v>
      </c>
      <c r="H26" s="364">
        <f t="shared" ref="H26:H49" si="19">+I$13*((D26+F26)/2)+E26</f>
        <v>11478767.914337397</v>
      </c>
      <c r="I26" s="52">
        <f t="shared" si="5"/>
        <v>0</v>
      </c>
      <c r="J26" s="52"/>
      <c r="K26" s="129"/>
      <c r="L26" s="54">
        <f t="shared" si="1"/>
        <v>0</v>
      </c>
      <c r="M26" s="129"/>
      <c r="N26" s="54">
        <f t="shared" si="3"/>
        <v>0</v>
      </c>
      <c r="O26" s="54">
        <f t="shared" si="4"/>
        <v>0</v>
      </c>
      <c r="P26" s="1"/>
    </row>
    <row r="27" spans="2:16" ht="12.5">
      <c r="B27" s="7" t="str">
        <f t="shared" si="7"/>
        <v/>
      </c>
      <c r="C27" s="50">
        <f>IF(D11="","-",+C26+1)</f>
        <v>2026</v>
      </c>
      <c r="D27" s="55">
        <f>IF(F26+SUM(E$17:E26)=D$10,F26,D$10-SUM(E$17:E26))</f>
        <v>76414038.064515173</v>
      </c>
      <c r="E27" s="378">
        <f>IF(+I14&lt;F26,I14,D27)</f>
        <v>2212962.5909090908</v>
      </c>
      <c r="F27" s="55">
        <f t="shared" si="17"/>
        <v>74201075.47360608</v>
      </c>
      <c r="G27" s="379">
        <f t="shared" si="18"/>
        <v>11214258.843388349</v>
      </c>
      <c r="H27" s="364">
        <f t="shared" si="19"/>
        <v>11214258.843388349</v>
      </c>
      <c r="I27" s="52">
        <f t="shared" si="5"/>
        <v>0</v>
      </c>
      <c r="J27" s="52"/>
      <c r="K27" s="129"/>
      <c r="L27" s="54">
        <f t="shared" si="1"/>
        <v>0</v>
      </c>
      <c r="M27" s="129"/>
      <c r="N27" s="54">
        <f t="shared" si="3"/>
        <v>0</v>
      </c>
      <c r="O27" s="54">
        <f t="shared" si="4"/>
        <v>0</v>
      </c>
      <c r="P27" s="1"/>
    </row>
    <row r="28" spans="2:16" ht="12.5">
      <c r="B28" s="7" t="str">
        <f t="shared" si="7"/>
        <v/>
      </c>
      <c r="C28" s="50">
        <f>IF(D11="","-",+C27+1)</f>
        <v>2027</v>
      </c>
      <c r="D28" s="55">
        <f>IF(F27+SUM(E$17:E27)=D$10,F27,D$10-SUM(E$17:E27))</f>
        <v>74201075.47360608</v>
      </c>
      <c r="E28" s="378">
        <f>IF(+I14&lt;F27,I14,D28)</f>
        <v>2212962.5909090908</v>
      </c>
      <c r="F28" s="55">
        <f t="shared" si="17"/>
        <v>71988112.882696986</v>
      </c>
      <c r="G28" s="379">
        <f t="shared" si="18"/>
        <v>10949749.772439301</v>
      </c>
      <c r="H28" s="364">
        <f t="shared" si="19"/>
        <v>10949749.772439301</v>
      </c>
      <c r="I28" s="52">
        <f t="shared" si="5"/>
        <v>0</v>
      </c>
      <c r="J28" s="52"/>
      <c r="K28" s="129"/>
      <c r="L28" s="54">
        <f t="shared" si="1"/>
        <v>0</v>
      </c>
      <c r="M28" s="129"/>
      <c r="N28" s="54">
        <f t="shared" si="3"/>
        <v>0</v>
      </c>
      <c r="O28" s="54">
        <f t="shared" si="4"/>
        <v>0</v>
      </c>
      <c r="P28" s="1"/>
    </row>
    <row r="29" spans="2:16" ht="12.5">
      <c r="B29" s="7" t="str">
        <f t="shared" si="7"/>
        <v/>
      </c>
      <c r="C29" s="50">
        <f>IF(D11="","-",+C28+1)</f>
        <v>2028</v>
      </c>
      <c r="D29" s="55">
        <f>IF(F28+SUM(E$17:E28)=D$10,F28,D$10-SUM(E$17:E28))</f>
        <v>71988112.882696986</v>
      </c>
      <c r="E29" s="378">
        <f>IF(+I14&lt;F28,I14,D29)</f>
        <v>2212962.5909090908</v>
      </c>
      <c r="F29" s="55">
        <f t="shared" si="17"/>
        <v>69775150.291787893</v>
      </c>
      <c r="G29" s="379">
        <f t="shared" si="18"/>
        <v>10685240.701490257</v>
      </c>
      <c r="H29" s="364">
        <f t="shared" si="19"/>
        <v>10685240.701490257</v>
      </c>
      <c r="I29" s="52">
        <f t="shared" si="5"/>
        <v>0</v>
      </c>
      <c r="J29" s="52"/>
      <c r="K29" s="129"/>
      <c r="L29" s="54">
        <f t="shared" si="1"/>
        <v>0</v>
      </c>
      <c r="M29" s="129"/>
      <c r="N29" s="54">
        <f t="shared" si="3"/>
        <v>0</v>
      </c>
      <c r="O29" s="54">
        <f t="shared" si="4"/>
        <v>0</v>
      </c>
      <c r="P29" s="1"/>
    </row>
    <row r="30" spans="2:16" ht="12.5">
      <c r="B30" s="7" t="str">
        <f t="shared" si="7"/>
        <v/>
      </c>
      <c r="C30" s="50">
        <f>IF(D11="","-",+C29+1)</f>
        <v>2029</v>
      </c>
      <c r="D30" s="55">
        <f>IF(F29+SUM(E$17:E29)=D$10,F29,D$10-SUM(E$17:E29))</f>
        <v>69775150.291787893</v>
      </c>
      <c r="E30" s="378">
        <f>IF(+I14&lt;F29,I14,D30)</f>
        <v>2212962.5909090908</v>
      </c>
      <c r="F30" s="55">
        <f t="shared" si="17"/>
        <v>67562187.700878799</v>
      </c>
      <c r="G30" s="379">
        <f t="shared" si="18"/>
        <v>10420731.630541209</v>
      </c>
      <c r="H30" s="364">
        <f t="shared" si="19"/>
        <v>10420731.630541209</v>
      </c>
      <c r="I30" s="52">
        <f t="shared" si="5"/>
        <v>0</v>
      </c>
      <c r="J30" s="52"/>
      <c r="K30" s="129"/>
      <c r="L30" s="54">
        <f t="shared" si="1"/>
        <v>0</v>
      </c>
      <c r="M30" s="129"/>
      <c r="N30" s="54">
        <f t="shared" si="3"/>
        <v>0</v>
      </c>
      <c r="O30" s="54">
        <f t="shared" si="4"/>
        <v>0</v>
      </c>
      <c r="P30" s="1"/>
    </row>
    <row r="31" spans="2:16" ht="12.5">
      <c r="B31" s="7" t="str">
        <f t="shared" si="7"/>
        <v/>
      </c>
      <c r="C31" s="50">
        <f>IF(D11="","-",+C30+1)</f>
        <v>2030</v>
      </c>
      <c r="D31" s="55">
        <f>IF(F30+SUM(E$17:E30)=D$10,F30,D$10-SUM(E$17:E30))</f>
        <v>67562187.700878799</v>
      </c>
      <c r="E31" s="378">
        <f>IF(+I14&lt;F30,I14,D31)</f>
        <v>2212962.5909090908</v>
      </c>
      <c r="F31" s="55">
        <f t="shared" si="17"/>
        <v>65349225.109969705</v>
      </c>
      <c r="G31" s="379">
        <f t="shared" si="18"/>
        <v>10156222.559592161</v>
      </c>
      <c r="H31" s="364">
        <f t="shared" si="19"/>
        <v>10156222.559592161</v>
      </c>
      <c r="I31" s="52">
        <f t="shared" si="5"/>
        <v>0</v>
      </c>
      <c r="J31" s="52"/>
      <c r="K31" s="129"/>
      <c r="L31" s="54">
        <f t="shared" si="1"/>
        <v>0</v>
      </c>
      <c r="M31" s="129"/>
      <c r="N31" s="54">
        <f t="shared" si="3"/>
        <v>0</v>
      </c>
      <c r="O31" s="54">
        <f t="shared" si="4"/>
        <v>0</v>
      </c>
      <c r="P31" s="1"/>
    </row>
    <row r="32" spans="2:16" ht="12.5">
      <c r="B32" s="7" t="str">
        <f t="shared" si="7"/>
        <v/>
      </c>
      <c r="C32" s="50">
        <f>IF(D11="","-",+C31+1)</f>
        <v>2031</v>
      </c>
      <c r="D32" s="55">
        <f>IF(F31+SUM(E$17:E31)=D$10,F31,D$10-SUM(E$17:E31))</f>
        <v>65349225.109969705</v>
      </c>
      <c r="E32" s="378">
        <f>IF(+I14&lt;F31,I14,D32)</f>
        <v>2212962.5909090908</v>
      </c>
      <c r="F32" s="55">
        <f t="shared" si="17"/>
        <v>63136262.519060612</v>
      </c>
      <c r="G32" s="379">
        <f t="shared" si="18"/>
        <v>9891713.4886431154</v>
      </c>
      <c r="H32" s="364">
        <f t="shared" si="19"/>
        <v>9891713.4886431154</v>
      </c>
      <c r="I32" s="52">
        <f t="shared" si="5"/>
        <v>0</v>
      </c>
      <c r="J32" s="52"/>
      <c r="K32" s="129"/>
      <c r="L32" s="54">
        <f t="shared" si="1"/>
        <v>0</v>
      </c>
      <c r="M32" s="129"/>
      <c r="N32" s="54">
        <f t="shared" si="3"/>
        <v>0</v>
      </c>
      <c r="O32" s="54">
        <f t="shared" si="4"/>
        <v>0</v>
      </c>
      <c r="P32" s="1"/>
    </row>
    <row r="33" spans="2:16" ht="12.5">
      <c r="B33" s="7" t="str">
        <f t="shared" si="7"/>
        <v/>
      </c>
      <c r="C33" s="50">
        <f>IF(D11="","-",+C32+1)</f>
        <v>2032</v>
      </c>
      <c r="D33" s="55">
        <f>IF(F32+SUM(E$17:E32)=D$10,F32,D$10-SUM(E$17:E32))</f>
        <v>63136262.519060612</v>
      </c>
      <c r="E33" s="378">
        <f>IF(+I14&lt;F32,I14,D33)</f>
        <v>2212962.5909090908</v>
      </c>
      <c r="F33" s="55">
        <f t="shared" si="17"/>
        <v>60923299.928151518</v>
      </c>
      <c r="G33" s="379">
        <f t="shared" si="18"/>
        <v>9627204.4176940694</v>
      </c>
      <c r="H33" s="364">
        <f t="shared" si="19"/>
        <v>9627204.4176940694</v>
      </c>
      <c r="I33" s="52">
        <f t="shared" si="5"/>
        <v>0</v>
      </c>
      <c r="J33" s="52"/>
      <c r="K33" s="129"/>
      <c r="L33" s="54">
        <f t="shared" si="1"/>
        <v>0</v>
      </c>
      <c r="M33" s="129"/>
      <c r="N33" s="54">
        <f t="shared" si="3"/>
        <v>0</v>
      </c>
      <c r="O33" s="54">
        <f t="shared" si="4"/>
        <v>0</v>
      </c>
      <c r="P33" s="1"/>
    </row>
    <row r="34" spans="2:16" ht="12.5">
      <c r="B34" s="7" t="str">
        <f t="shared" si="7"/>
        <v/>
      </c>
      <c r="C34" s="50">
        <f>IF(D11="","-",+C33+1)</f>
        <v>2033</v>
      </c>
      <c r="D34" s="55">
        <f>IF(F33+SUM(E$17:E33)=D$10,F33,D$10-SUM(E$17:E33))</f>
        <v>60923299.928151518</v>
      </c>
      <c r="E34" s="378">
        <f>IF(+I14&lt;F33,I14,D34)</f>
        <v>2212962.5909090908</v>
      </c>
      <c r="F34" s="55">
        <f t="shared" si="17"/>
        <v>58710337.337242424</v>
      </c>
      <c r="G34" s="379">
        <f t="shared" si="18"/>
        <v>9362695.3467450216</v>
      </c>
      <c r="H34" s="364">
        <f t="shared" si="19"/>
        <v>9362695.3467450216</v>
      </c>
      <c r="I34" s="52">
        <f t="shared" si="5"/>
        <v>0</v>
      </c>
      <c r="J34" s="52"/>
      <c r="K34" s="129"/>
      <c r="L34" s="54">
        <f t="shared" si="1"/>
        <v>0</v>
      </c>
      <c r="M34" s="129"/>
      <c r="N34" s="54">
        <f t="shared" si="3"/>
        <v>0</v>
      </c>
      <c r="O34" s="54">
        <f t="shared" si="4"/>
        <v>0</v>
      </c>
      <c r="P34" s="1"/>
    </row>
    <row r="35" spans="2:16" ht="12.5">
      <c r="B35" s="7" t="str">
        <f t="shared" si="7"/>
        <v/>
      </c>
      <c r="C35" s="50">
        <f>IF(D11="","-",+C34+1)</f>
        <v>2034</v>
      </c>
      <c r="D35" s="55">
        <f>IF(F34+SUM(E$17:E34)=D$10,F34,D$10-SUM(E$17:E34))</f>
        <v>58710337.337242424</v>
      </c>
      <c r="E35" s="378">
        <f>IF(+I14&lt;F34,I14,D35)</f>
        <v>2212962.5909090908</v>
      </c>
      <c r="F35" s="55">
        <f t="shared" si="17"/>
        <v>56497374.746333331</v>
      </c>
      <c r="G35" s="379">
        <f t="shared" si="18"/>
        <v>9098186.2757959757</v>
      </c>
      <c r="H35" s="364">
        <f t="shared" si="19"/>
        <v>9098186.2757959757</v>
      </c>
      <c r="I35" s="52">
        <f t="shared" si="5"/>
        <v>0</v>
      </c>
      <c r="J35" s="52"/>
      <c r="K35" s="129"/>
      <c r="L35" s="54">
        <f t="shared" si="1"/>
        <v>0</v>
      </c>
      <c r="M35" s="129"/>
      <c r="N35" s="54">
        <f t="shared" si="3"/>
        <v>0</v>
      </c>
      <c r="O35" s="54">
        <f t="shared" si="4"/>
        <v>0</v>
      </c>
      <c r="P35" s="1"/>
    </row>
    <row r="36" spans="2:16" ht="12.5">
      <c r="B36" s="7" t="str">
        <f t="shared" si="7"/>
        <v/>
      </c>
      <c r="C36" s="50">
        <f>IF(D11="","-",+C35+1)</f>
        <v>2035</v>
      </c>
      <c r="D36" s="55">
        <f>IF(F35+SUM(E$17:E35)=D$10,F35,D$10-SUM(E$17:E35))</f>
        <v>56497374.746333331</v>
      </c>
      <c r="E36" s="378">
        <f>IF(+I14&lt;F35,I14,D36)</f>
        <v>2212962.5909090908</v>
      </c>
      <c r="F36" s="55">
        <f t="shared" si="17"/>
        <v>54284412.155424237</v>
      </c>
      <c r="G36" s="379">
        <f t="shared" si="18"/>
        <v>8833677.2048469298</v>
      </c>
      <c r="H36" s="364">
        <f t="shared" si="19"/>
        <v>8833677.2048469298</v>
      </c>
      <c r="I36" s="52">
        <f t="shared" si="5"/>
        <v>0</v>
      </c>
      <c r="J36" s="52"/>
      <c r="K36" s="129"/>
      <c r="L36" s="54">
        <f t="shared" si="1"/>
        <v>0</v>
      </c>
      <c r="M36" s="129"/>
      <c r="N36" s="54">
        <f t="shared" si="3"/>
        <v>0</v>
      </c>
      <c r="O36" s="54">
        <f t="shared" si="4"/>
        <v>0</v>
      </c>
      <c r="P36" s="1"/>
    </row>
    <row r="37" spans="2:16" ht="12.5">
      <c r="B37" s="7" t="str">
        <f t="shared" si="7"/>
        <v/>
      </c>
      <c r="C37" s="50">
        <f>IF(D11="","-",+C36+1)</f>
        <v>2036</v>
      </c>
      <c r="D37" s="55">
        <f>IF(F36+SUM(E$17:E36)=D$10,F36,D$10-SUM(E$17:E36))</f>
        <v>54284412.155424237</v>
      </c>
      <c r="E37" s="378">
        <f>IF(+I14&lt;F36,I14,D37)</f>
        <v>2212962.5909090908</v>
      </c>
      <c r="F37" s="55">
        <f t="shared" si="17"/>
        <v>52071449.564515144</v>
      </c>
      <c r="G37" s="379">
        <f t="shared" si="18"/>
        <v>8569168.133897882</v>
      </c>
      <c r="H37" s="364">
        <f t="shared" si="19"/>
        <v>8569168.133897882</v>
      </c>
      <c r="I37" s="52">
        <f t="shared" si="5"/>
        <v>0</v>
      </c>
      <c r="J37" s="52"/>
      <c r="K37" s="129"/>
      <c r="L37" s="54">
        <f t="shared" si="1"/>
        <v>0</v>
      </c>
      <c r="M37" s="129"/>
      <c r="N37" s="54">
        <f t="shared" si="3"/>
        <v>0</v>
      </c>
      <c r="O37" s="54">
        <f t="shared" si="4"/>
        <v>0</v>
      </c>
      <c r="P37" s="1"/>
    </row>
    <row r="38" spans="2:16" ht="12.5">
      <c r="B38" s="7" t="str">
        <f t="shared" si="7"/>
        <v/>
      </c>
      <c r="C38" s="50">
        <f>IF(D11="","-",+C37+1)</f>
        <v>2037</v>
      </c>
      <c r="D38" s="55">
        <f>IF(F37+SUM(E$17:E37)=D$10,F37,D$10-SUM(E$17:E37))</f>
        <v>52071449.564515144</v>
      </c>
      <c r="E38" s="378">
        <f>IF(+I14&lt;F37,I14,D38)</f>
        <v>2212962.5909090908</v>
      </c>
      <c r="F38" s="55">
        <f t="shared" si="17"/>
        <v>49858486.97360605</v>
      </c>
      <c r="G38" s="379">
        <f t="shared" si="18"/>
        <v>8304659.062948836</v>
      </c>
      <c r="H38" s="364">
        <f t="shared" si="19"/>
        <v>8304659.062948836</v>
      </c>
      <c r="I38" s="52">
        <f t="shared" si="5"/>
        <v>0</v>
      </c>
      <c r="J38" s="52"/>
      <c r="K38" s="129"/>
      <c r="L38" s="54">
        <f t="shared" si="1"/>
        <v>0</v>
      </c>
      <c r="M38" s="129"/>
      <c r="N38" s="54">
        <f t="shared" si="3"/>
        <v>0</v>
      </c>
      <c r="O38" s="54">
        <f t="shared" si="4"/>
        <v>0</v>
      </c>
      <c r="P38" s="1"/>
    </row>
    <row r="39" spans="2:16" ht="12.5">
      <c r="B39" s="7" t="str">
        <f t="shared" si="7"/>
        <v/>
      </c>
      <c r="C39" s="50">
        <f>IF(D11="","-",+C38+1)</f>
        <v>2038</v>
      </c>
      <c r="D39" s="55">
        <f>IF(F38+SUM(E$17:E38)=D$10,F38,D$10-SUM(E$17:E38))</f>
        <v>49858486.97360605</v>
      </c>
      <c r="E39" s="378">
        <f>IF(+I14&lt;F38,I14,D39)</f>
        <v>2212962.5909090908</v>
      </c>
      <c r="F39" s="55">
        <f t="shared" si="17"/>
        <v>47645524.382696956</v>
      </c>
      <c r="G39" s="379">
        <f t="shared" si="18"/>
        <v>8040149.9919997891</v>
      </c>
      <c r="H39" s="364">
        <f t="shared" si="19"/>
        <v>8040149.9919997891</v>
      </c>
      <c r="I39" s="52">
        <f t="shared" si="5"/>
        <v>0</v>
      </c>
      <c r="J39" s="52"/>
      <c r="K39" s="129"/>
      <c r="L39" s="54">
        <f t="shared" si="1"/>
        <v>0</v>
      </c>
      <c r="M39" s="129"/>
      <c r="N39" s="54">
        <f t="shared" si="3"/>
        <v>0</v>
      </c>
      <c r="O39" s="54">
        <f t="shared" si="4"/>
        <v>0</v>
      </c>
      <c r="P39" s="1"/>
    </row>
    <row r="40" spans="2:16" ht="12.5">
      <c r="B40" s="7" t="str">
        <f t="shared" si="7"/>
        <v/>
      </c>
      <c r="C40" s="50">
        <f>IF(D11="","-",+C39+1)</f>
        <v>2039</v>
      </c>
      <c r="D40" s="55">
        <f>IF(F39+SUM(E$17:E39)=D$10,F39,D$10-SUM(E$17:E39))</f>
        <v>47645524.382696956</v>
      </c>
      <c r="E40" s="378">
        <f>IF(+I14&lt;F39,I14,D40)</f>
        <v>2212962.5909090908</v>
      </c>
      <c r="F40" s="55">
        <f t="shared" si="17"/>
        <v>45432561.791787863</v>
      </c>
      <c r="G40" s="379">
        <f t="shared" si="18"/>
        <v>7775640.9210507423</v>
      </c>
      <c r="H40" s="364">
        <f t="shared" si="19"/>
        <v>7775640.9210507423</v>
      </c>
      <c r="I40" s="52">
        <f t="shared" si="5"/>
        <v>0</v>
      </c>
      <c r="J40" s="52"/>
      <c r="K40" s="129"/>
      <c r="L40" s="54">
        <f t="shared" si="1"/>
        <v>0</v>
      </c>
      <c r="M40" s="129"/>
      <c r="N40" s="54">
        <f t="shared" si="3"/>
        <v>0</v>
      </c>
      <c r="O40" s="54">
        <f t="shared" si="4"/>
        <v>0</v>
      </c>
      <c r="P40" s="1"/>
    </row>
    <row r="41" spans="2:16" ht="12.5">
      <c r="B41" s="7" t="str">
        <f t="shared" si="7"/>
        <v/>
      </c>
      <c r="C41" s="50">
        <f>IF(D11="","-",+C40+1)</f>
        <v>2040</v>
      </c>
      <c r="D41" s="55">
        <f>IF(F40+SUM(E$17:E40)=D$10,F40,D$10-SUM(E$17:E40))</f>
        <v>45432561.791787863</v>
      </c>
      <c r="E41" s="378">
        <f>IF(+I14&lt;F40,I14,D41)</f>
        <v>2212962.5909090908</v>
      </c>
      <c r="F41" s="55">
        <f t="shared" si="17"/>
        <v>43219599.200878769</v>
      </c>
      <c r="G41" s="379">
        <f t="shared" si="18"/>
        <v>7511131.8501016963</v>
      </c>
      <c r="H41" s="364">
        <f t="shared" si="19"/>
        <v>7511131.8501016963</v>
      </c>
      <c r="I41" s="52">
        <f t="shared" si="5"/>
        <v>0</v>
      </c>
      <c r="J41" s="52"/>
      <c r="K41" s="129"/>
      <c r="L41" s="54">
        <f t="shared" si="1"/>
        <v>0</v>
      </c>
      <c r="M41" s="129"/>
      <c r="N41" s="54">
        <f t="shared" si="3"/>
        <v>0</v>
      </c>
      <c r="O41" s="54">
        <f t="shared" si="4"/>
        <v>0</v>
      </c>
      <c r="P41" s="1"/>
    </row>
    <row r="42" spans="2:16" ht="12.5">
      <c r="B42" s="7" t="str">
        <f t="shared" si="7"/>
        <v/>
      </c>
      <c r="C42" s="50">
        <f>IF(D11="","-",+C41+1)</f>
        <v>2041</v>
      </c>
      <c r="D42" s="55">
        <f>IF(F41+SUM(E$17:E41)=D$10,F41,D$10-SUM(E$17:E41))</f>
        <v>43219599.200878769</v>
      </c>
      <c r="E42" s="378">
        <f>IF(+I14&lt;F41,I14,D42)</f>
        <v>2212962.5909090908</v>
      </c>
      <c r="F42" s="55">
        <f t="shared" si="17"/>
        <v>41006636.609969676</v>
      </c>
      <c r="G42" s="379">
        <f t="shared" si="18"/>
        <v>7246622.7791526495</v>
      </c>
      <c r="H42" s="364">
        <f t="shared" si="19"/>
        <v>7246622.7791526495</v>
      </c>
      <c r="I42" s="52">
        <f t="shared" si="5"/>
        <v>0</v>
      </c>
      <c r="J42" s="52"/>
      <c r="K42" s="129"/>
      <c r="L42" s="54">
        <f t="shared" si="1"/>
        <v>0</v>
      </c>
      <c r="M42" s="129"/>
      <c r="N42" s="54">
        <f t="shared" si="3"/>
        <v>0</v>
      </c>
      <c r="O42" s="54">
        <f t="shared" si="4"/>
        <v>0</v>
      </c>
      <c r="P42" s="1"/>
    </row>
    <row r="43" spans="2:16" ht="12.5">
      <c r="B43" s="7" t="str">
        <f t="shared" si="7"/>
        <v/>
      </c>
      <c r="C43" s="50">
        <f>IF(D11="","-",+C42+1)</f>
        <v>2042</v>
      </c>
      <c r="D43" s="55">
        <f>IF(F42+SUM(E$17:E42)=D$10,F42,D$10-SUM(E$17:E42))</f>
        <v>41006636.609969676</v>
      </c>
      <c r="E43" s="378">
        <f>IF(+I14&lt;F42,I14,D43)</f>
        <v>2212962.5909090908</v>
      </c>
      <c r="F43" s="55">
        <f t="shared" si="17"/>
        <v>38793674.019060582</v>
      </c>
      <c r="G43" s="379">
        <f t="shared" si="18"/>
        <v>6982113.7082036026</v>
      </c>
      <c r="H43" s="364">
        <f t="shared" si="19"/>
        <v>6982113.7082036026</v>
      </c>
      <c r="I43" s="52">
        <f t="shared" si="5"/>
        <v>0</v>
      </c>
      <c r="J43" s="52"/>
      <c r="K43" s="129"/>
      <c r="L43" s="54">
        <f t="shared" si="1"/>
        <v>0</v>
      </c>
      <c r="M43" s="129"/>
      <c r="N43" s="54">
        <f t="shared" si="3"/>
        <v>0</v>
      </c>
      <c r="O43" s="54">
        <f t="shared" si="4"/>
        <v>0</v>
      </c>
      <c r="P43" s="1"/>
    </row>
    <row r="44" spans="2:16" ht="12.5">
      <c r="B44" s="7" t="str">
        <f t="shared" si="7"/>
        <v/>
      </c>
      <c r="C44" s="50">
        <f>IF(D11="","-",+C43+1)</f>
        <v>2043</v>
      </c>
      <c r="D44" s="55">
        <f>IF(F43+SUM(E$17:E43)=D$10,F43,D$10-SUM(E$17:E43))</f>
        <v>38793674.019060582</v>
      </c>
      <c r="E44" s="378">
        <f>IF(+I14&lt;F43,I14,D44)</f>
        <v>2212962.5909090908</v>
      </c>
      <c r="F44" s="55">
        <f t="shared" si="17"/>
        <v>36580711.428151488</v>
      </c>
      <c r="G44" s="379">
        <f t="shared" si="18"/>
        <v>6717604.6372545557</v>
      </c>
      <c r="H44" s="364">
        <f t="shared" si="19"/>
        <v>6717604.6372545557</v>
      </c>
      <c r="I44" s="52">
        <f t="shared" si="5"/>
        <v>0</v>
      </c>
      <c r="J44" s="52"/>
      <c r="K44" s="129"/>
      <c r="L44" s="54">
        <f t="shared" si="1"/>
        <v>0</v>
      </c>
      <c r="M44" s="129"/>
      <c r="N44" s="54">
        <f t="shared" si="3"/>
        <v>0</v>
      </c>
      <c r="O44" s="54">
        <f t="shared" si="4"/>
        <v>0</v>
      </c>
      <c r="P44" s="1"/>
    </row>
    <row r="45" spans="2:16" ht="12.5">
      <c r="B45" s="7" t="str">
        <f t="shared" si="7"/>
        <v/>
      </c>
      <c r="C45" s="50">
        <f>IF(D11="","-",+C44+1)</f>
        <v>2044</v>
      </c>
      <c r="D45" s="55">
        <f>IF(F44+SUM(E$17:E44)=D$10,F44,D$10-SUM(E$17:E44))</f>
        <v>36580711.428151488</v>
      </c>
      <c r="E45" s="378">
        <f>IF(+I14&lt;F44,I14,D45)</f>
        <v>2212962.5909090908</v>
      </c>
      <c r="F45" s="55">
        <f t="shared" si="17"/>
        <v>34367748.837242395</v>
      </c>
      <c r="G45" s="379">
        <f t="shared" si="18"/>
        <v>6453095.5663055098</v>
      </c>
      <c r="H45" s="364">
        <f t="shared" si="19"/>
        <v>6453095.5663055098</v>
      </c>
      <c r="I45" s="52">
        <f t="shared" si="5"/>
        <v>0</v>
      </c>
      <c r="J45" s="52"/>
      <c r="K45" s="129"/>
      <c r="L45" s="54">
        <f t="shared" si="1"/>
        <v>0</v>
      </c>
      <c r="M45" s="129"/>
      <c r="N45" s="54">
        <f t="shared" si="3"/>
        <v>0</v>
      </c>
      <c r="O45" s="54">
        <f t="shared" si="4"/>
        <v>0</v>
      </c>
      <c r="P45" s="1"/>
    </row>
    <row r="46" spans="2:16" ht="12.5">
      <c r="B46" s="7" t="str">
        <f t="shared" si="7"/>
        <v/>
      </c>
      <c r="C46" s="50">
        <f>IF(D11="","-",+C45+1)</f>
        <v>2045</v>
      </c>
      <c r="D46" s="55">
        <f>IF(F45+SUM(E$17:E45)=D$10,F45,D$10-SUM(E$17:E45))</f>
        <v>34367748.837242395</v>
      </c>
      <c r="E46" s="378">
        <f>IF(+I14&lt;F45,I14,D46)</f>
        <v>2212962.5909090908</v>
      </c>
      <c r="F46" s="55">
        <f t="shared" si="17"/>
        <v>32154786.246333305</v>
      </c>
      <c r="G46" s="379">
        <f t="shared" si="18"/>
        <v>6188586.4953564629</v>
      </c>
      <c r="H46" s="364">
        <f t="shared" si="19"/>
        <v>6188586.4953564629</v>
      </c>
      <c r="I46" s="52">
        <f t="shared" si="5"/>
        <v>0</v>
      </c>
      <c r="J46" s="52"/>
      <c r="K46" s="129"/>
      <c r="L46" s="54">
        <f t="shared" si="1"/>
        <v>0</v>
      </c>
      <c r="M46" s="129"/>
      <c r="N46" s="54">
        <f t="shared" si="3"/>
        <v>0</v>
      </c>
      <c r="O46" s="54">
        <f t="shared" si="4"/>
        <v>0</v>
      </c>
      <c r="P46" s="1"/>
    </row>
    <row r="47" spans="2:16" ht="12.5">
      <c r="B47" s="7" t="str">
        <f t="shared" si="7"/>
        <v/>
      </c>
      <c r="C47" s="50">
        <f>IF(D11="","-",+C46+1)</f>
        <v>2046</v>
      </c>
      <c r="D47" s="55">
        <f>IF(F46+SUM(E$17:E46)=D$10,F46,D$10-SUM(E$17:E46))</f>
        <v>32154786.246333305</v>
      </c>
      <c r="E47" s="378">
        <f>IF(+I14&lt;F46,I14,D47)</f>
        <v>2212962.5909090908</v>
      </c>
      <c r="F47" s="55">
        <f t="shared" si="17"/>
        <v>29941823.655424215</v>
      </c>
      <c r="G47" s="379">
        <f t="shared" si="18"/>
        <v>5924077.424407417</v>
      </c>
      <c r="H47" s="364">
        <f t="shared" si="19"/>
        <v>5924077.424407417</v>
      </c>
      <c r="I47" s="52">
        <f t="shared" si="5"/>
        <v>0</v>
      </c>
      <c r="J47" s="52"/>
      <c r="K47" s="129"/>
      <c r="L47" s="54">
        <f t="shared" si="1"/>
        <v>0</v>
      </c>
      <c r="M47" s="129"/>
      <c r="N47" s="54">
        <f t="shared" si="3"/>
        <v>0</v>
      </c>
      <c r="O47" s="54">
        <f t="shared" si="4"/>
        <v>0</v>
      </c>
      <c r="P47" s="1"/>
    </row>
    <row r="48" spans="2:16" ht="12.5">
      <c r="B48" s="7" t="str">
        <f t="shared" si="7"/>
        <v/>
      </c>
      <c r="C48" s="50">
        <f>IF(D11="","-",+C47+1)</f>
        <v>2047</v>
      </c>
      <c r="D48" s="55">
        <f>IF(F47+SUM(E$17:E47)=D$10,F47,D$10-SUM(E$17:E47))</f>
        <v>29941823.655424215</v>
      </c>
      <c r="E48" s="378">
        <f>IF(+I14&lt;F47,I14,D48)</f>
        <v>2212962.5909090908</v>
      </c>
      <c r="F48" s="55">
        <f t="shared" si="17"/>
        <v>27728861.064515125</v>
      </c>
      <c r="G48" s="379">
        <f t="shared" si="18"/>
        <v>5659568.353458371</v>
      </c>
      <c r="H48" s="364">
        <f t="shared" si="19"/>
        <v>5659568.353458371</v>
      </c>
      <c r="I48" s="52">
        <f t="shared" si="5"/>
        <v>0</v>
      </c>
      <c r="J48" s="52"/>
      <c r="K48" s="129"/>
      <c r="L48" s="54">
        <f t="shared" si="1"/>
        <v>0</v>
      </c>
      <c r="M48" s="129"/>
      <c r="N48" s="54">
        <f t="shared" si="3"/>
        <v>0</v>
      </c>
      <c r="O48" s="54">
        <f t="shared" si="4"/>
        <v>0</v>
      </c>
      <c r="P48" s="1"/>
    </row>
    <row r="49" spans="2:16" ht="12.5">
      <c r="B49" s="7" t="str">
        <f t="shared" si="7"/>
        <v/>
      </c>
      <c r="C49" s="50">
        <f>IF(D11="","-",+C48+1)</f>
        <v>2048</v>
      </c>
      <c r="D49" s="55">
        <f>IF(F48+SUM(E$17:E48)=D$10,F48,D$10-SUM(E$17:E48))</f>
        <v>27728861.064515125</v>
      </c>
      <c r="E49" s="378">
        <f>IF(+I14&lt;F48,I14,D49)</f>
        <v>2212962.5909090908</v>
      </c>
      <c r="F49" s="55">
        <f t="shared" si="17"/>
        <v>25515898.473606035</v>
      </c>
      <c r="G49" s="379">
        <f t="shared" si="18"/>
        <v>5395059.2825093251</v>
      </c>
      <c r="H49" s="364">
        <f t="shared" si="19"/>
        <v>5395059.2825093251</v>
      </c>
      <c r="I49" s="52">
        <f t="shared" si="5"/>
        <v>0</v>
      </c>
      <c r="J49" s="52"/>
      <c r="K49" s="129"/>
      <c r="L49" s="54">
        <f t="shared" si="1"/>
        <v>0</v>
      </c>
      <c r="M49" s="129"/>
      <c r="N49" s="54">
        <f t="shared" si="3"/>
        <v>0</v>
      </c>
      <c r="O49" s="54">
        <f t="shared" si="4"/>
        <v>0</v>
      </c>
      <c r="P49" s="1"/>
    </row>
    <row r="50" spans="2:16" ht="12.5">
      <c r="B50" s="7" t="str">
        <f t="shared" si="7"/>
        <v/>
      </c>
      <c r="C50" s="50">
        <f>IF(D11="","-",+C49+1)</f>
        <v>2049</v>
      </c>
      <c r="D50" s="55">
        <f>IF(F49+SUM(E$17:E49)=D$10,F49,D$10-SUM(E$17:E49))</f>
        <v>25515898.473606035</v>
      </c>
      <c r="E50" s="378">
        <f>IF(+I14&lt;F49,I14,D50)</f>
        <v>2212962.5909090908</v>
      </c>
      <c r="F50" s="55">
        <f t="shared" si="17"/>
        <v>23302935.882696945</v>
      </c>
      <c r="G50" s="379">
        <f t="shared" ref="G50:G72" si="20">+I$12*((D50+F50)/2)+E50</f>
        <v>5130550.2115602782</v>
      </c>
      <c r="H50" s="364">
        <f t="shared" ref="H50:H72" si="21">+I$13*((D50+F50)/2)+E50</f>
        <v>5130550.2115602782</v>
      </c>
      <c r="I50" s="52">
        <f t="shared" si="5"/>
        <v>0</v>
      </c>
      <c r="J50" s="52"/>
      <c r="K50" s="129"/>
      <c r="L50" s="54">
        <f t="shared" si="1"/>
        <v>0</v>
      </c>
      <c r="M50" s="129"/>
      <c r="N50" s="54">
        <f t="shared" si="3"/>
        <v>0</v>
      </c>
      <c r="O50" s="54">
        <f t="shared" si="4"/>
        <v>0</v>
      </c>
      <c r="P50" s="1"/>
    </row>
    <row r="51" spans="2:16" ht="12.5">
      <c r="B51" s="7" t="str">
        <f t="shared" si="7"/>
        <v/>
      </c>
      <c r="C51" s="50">
        <f>IF(D11="","-",+C50+1)</f>
        <v>2050</v>
      </c>
      <c r="D51" s="55">
        <f>IF(F50+SUM(E$17:E50)=D$10,F50,D$10-SUM(E$17:E50))</f>
        <v>23302935.882696945</v>
      </c>
      <c r="E51" s="378">
        <f>IF(+I14&lt;F50,I14,D51)</f>
        <v>2212962.5909090908</v>
      </c>
      <c r="F51" s="55">
        <f t="shared" si="17"/>
        <v>21089973.291787855</v>
      </c>
      <c r="G51" s="379">
        <f t="shared" si="20"/>
        <v>4866041.1406112323</v>
      </c>
      <c r="H51" s="364">
        <f t="shared" si="21"/>
        <v>4866041.1406112323</v>
      </c>
      <c r="I51" s="52">
        <f t="shared" si="5"/>
        <v>0</v>
      </c>
      <c r="J51" s="52"/>
      <c r="K51" s="129"/>
      <c r="L51" s="54">
        <f t="shared" si="1"/>
        <v>0</v>
      </c>
      <c r="M51" s="129"/>
      <c r="N51" s="54">
        <f t="shared" si="3"/>
        <v>0</v>
      </c>
      <c r="O51" s="54">
        <f t="shared" si="4"/>
        <v>0</v>
      </c>
      <c r="P51" s="1"/>
    </row>
    <row r="52" spans="2:16" ht="12.5">
      <c r="B52" s="7" t="str">
        <f t="shared" si="7"/>
        <v/>
      </c>
      <c r="C52" s="50">
        <f>IF(D11="","-",+C51+1)</f>
        <v>2051</v>
      </c>
      <c r="D52" s="55">
        <f>IF(F51+SUM(E$17:E51)=D$10,F51,D$10-SUM(E$17:E51))</f>
        <v>21089973.291787855</v>
      </c>
      <c r="E52" s="378">
        <f>IF(+I14&lt;F51,I14,D52)</f>
        <v>2212962.5909090908</v>
      </c>
      <c r="F52" s="55">
        <f t="shared" si="17"/>
        <v>18877010.700878765</v>
      </c>
      <c r="G52" s="379">
        <f t="shared" si="20"/>
        <v>4601532.0696621854</v>
      </c>
      <c r="H52" s="364">
        <f t="shared" si="21"/>
        <v>4601532.0696621854</v>
      </c>
      <c r="I52" s="52">
        <f t="shared" si="5"/>
        <v>0</v>
      </c>
      <c r="J52" s="52"/>
      <c r="K52" s="129"/>
      <c r="L52" s="54">
        <f t="shared" si="1"/>
        <v>0</v>
      </c>
      <c r="M52" s="129"/>
      <c r="N52" s="54">
        <f t="shared" si="3"/>
        <v>0</v>
      </c>
      <c r="O52" s="54">
        <f t="shared" si="4"/>
        <v>0</v>
      </c>
      <c r="P52" s="1"/>
    </row>
    <row r="53" spans="2:16" ht="12.5">
      <c r="B53" s="7" t="str">
        <f t="shared" si="7"/>
        <v/>
      </c>
      <c r="C53" s="50">
        <f>IF(D11="","-",+C52+1)</f>
        <v>2052</v>
      </c>
      <c r="D53" s="55">
        <f>IF(F52+SUM(E$17:E52)=D$10,F52,D$10-SUM(E$17:E52))</f>
        <v>18877010.700878765</v>
      </c>
      <c r="E53" s="378">
        <f>IF(+I14&lt;F52,I14,D53)</f>
        <v>2212962.5909090908</v>
      </c>
      <c r="F53" s="55">
        <f t="shared" si="17"/>
        <v>16664048.109969676</v>
      </c>
      <c r="G53" s="379">
        <f t="shared" si="20"/>
        <v>4337022.9987131394</v>
      </c>
      <c r="H53" s="364">
        <f t="shared" si="21"/>
        <v>4337022.9987131394</v>
      </c>
      <c r="I53" s="52">
        <f t="shared" si="5"/>
        <v>0</v>
      </c>
      <c r="J53" s="52"/>
      <c r="K53" s="129"/>
      <c r="L53" s="54">
        <f t="shared" si="1"/>
        <v>0</v>
      </c>
      <c r="M53" s="129"/>
      <c r="N53" s="54">
        <f t="shared" si="3"/>
        <v>0</v>
      </c>
      <c r="O53" s="54">
        <f t="shared" si="4"/>
        <v>0</v>
      </c>
      <c r="P53" s="1"/>
    </row>
    <row r="54" spans="2:16" ht="12.5">
      <c r="B54" s="7" t="str">
        <f t="shared" si="7"/>
        <v/>
      </c>
      <c r="C54" s="50">
        <f>IF(D11="","-",+C53+1)</f>
        <v>2053</v>
      </c>
      <c r="D54" s="55">
        <f>IF(F53+SUM(E$17:E53)=D$10,F53,D$10-SUM(E$17:E53))</f>
        <v>16664048.109969676</v>
      </c>
      <c r="E54" s="378">
        <f>IF(+I14&lt;F53,I14,D54)</f>
        <v>2212962.5909090908</v>
      </c>
      <c r="F54" s="55">
        <f t="shared" si="17"/>
        <v>14451085.519060586</v>
      </c>
      <c r="G54" s="379">
        <f t="shared" si="20"/>
        <v>4072513.9277640935</v>
      </c>
      <c r="H54" s="364">
        <f t="shared" si="21"/>
        <v>4072513.9277640935</v>
      </c>
      <c r="I54" s="52">
        <f t="shared" si="5"/>
        <v>0</v>
      </c>
      <c r="J54" s="52"/>
      <c r="K54" s="129"/>
      <c r="L54" s="54">
        <f t="shared" si="1"/>
        <v>0</v>
      </c>
      <c r="M54" s="129"/>
      <c r="N54" s="54">
        <f t="shared" si="3"/>
        <v>0</v>
      </c>
      <c r="O54" s="54">
        <f t="shared" si="4"/>
        <v>0</v>
      </c>
      <c r="P54" s="1"/>
    </row>
    <row r="55" spans="2:16" ht="12.5">
      <c r="B55" s="7" t="str">
        <f t="shared" si="7"/>
        <v/>
      </c>
      <c r="C55" s="50">
        <f>IF(D11="","-",+C54+1)</f>
        <v>2054</v>
      </c>
      <c r="D55" s="55">
        <f>IF(F54+SUM(E$17:E54)=D$10,F54,D$10-SUM(E$17:E54))</f>
        <v>14451085.519060586</v>
      </c>
      <c r="E55" s="378">
        <f>IF(+I14&lt;F54,I14,D55)</f>
        <v>2212962.5909090908</v>
      </c>
      <c r="F55" s="55">
        <f t="shared" si="17"/>
        <v>12238122.928151496</v>
      </c>
      <c r="G55" s="379">
        <f t="shared" si="20"/>
        <v>3808004.8568150476</v>
      </c>
      <c r="H55" s="364">
        <f t="shared" si="21"/>
        <v>3808004.8568150476</v>
      </c>
      <c r="I55" s="52">
        <f t="shared" si="5"/>
        <v>0</v>
      </c>
      <c r="J55" s="52"/>
      <c r="K55" s="129"/>
      <c r="L55" s="54">
        <f t="shared" si="1"/>
        <v>0</v>
      </c>
      <c r="M55" s="129"/>
      <c r="N55" s="54">
        <f t="shared" si="3"/>
        <v>0</v>
      </c>
      <c r="O55" s="54">
        <f t="shared" si="4"/>
        <v>0</v>
      </c>
      <c r="P55" s="1"/>
    </row>
    <row r="56" spans="2:16" ht="12.5">
      <c r="B56" s="7" t="str">
        <f t="shared" si="7"/>
        <v/>
      </c>
      <c r="C56" s="50">
        <f>IF(D11="","-",+C55+1)</f>
        <v>2055</v>
      </c>
      <c r="D56" s="55">
        <f>IF(F55+SUM(E$17:E55)=D$10,F55,D$10-SUM(E$17:E55))</f>
        <v>12238122.928151496</v>
      </c>
      <c r="E56" s="378">
        <f>IF(+I14&lt;F55,I14,D56)</f>
        <v>2212962.5909090908</v>
      </c>
      <c r="F56" s="55">
        <f t="shared" si="17"/>
        <v>10025160.337242406</v>
      </c>
      <c r="G56" s="379">
        <f t="shared" si="20"/>
        <v>3543495.7858660016</v>
      </c>
      <c r="H56" s="364">
        <f t="shared" si="21"/>
        <v>3543495.7858660016</v>
      </c>
      <c r="I56" s="52">
        <f t="shared" si="5"/>
        <v>0</v>
      </c>
      <c r="J56" s="52"/>
      <c r="K56" s="129"/>
      <c r="L56" s="54">
        <f t="shared" si="1"/>
        <v>0</v>
      </c>
      <c r="M56" s="129"/>
      <c r="N56" s="54">
        <f t="shared" si="3"/>
        <v>0</v>
      </c>
      <c r="O56" s="54">
        <f t="shared" si="4"/>
        <v>0</v>
      </c>
      <c r="P56" s="1"/>
    </row>
    <row r="57" spans="2:16" ht="12.5">
      <c r="B57" s="7" t="str">
        <f t="shared" si="7"/>
        <v/>
      </c>
      <c r="C57" s="50">
        <f>IF(D11="","-",+C56+1)</f>
        <v>2056</v>
      </c>
      <c r="D57" s="55">
        <f>IF(F56+SUM(E$17:E56)=D$10,F56,D$10-SUM(E$17:E56))</f>
        <v>10025160.337242406</v>
      </c>
      <c r="E57" s="378">
        <f>IF(+I14&lt;F56,I14,D57)</f>
        <v>2212962.5909090908</v>
      </c>
      <c r="F57" s="55">
        <f t="shared" si="17"/>
        <v>7812197.746333315</v>
      </c>
      <c r="G57" s="379">
        <f t="shared" si="20"/>
        <v>3278986.7149169552</v>
      </c>
      <c r="H57" s="364">
        <f t="shared" si="21"/>
        <v>3278986.7149169552</v>
      </c>
      <c r="I57" s="52">
        <f t="shared" si="5"/>
        <v>0</v>
      </c>
      <c r="J57" s="52"/>
      <c r="K57" s="129"/>
      <c r="L57" s="54">
        <f t="shared" si="1"/>
        <v>0</v>
      </c>
      <c r="M57" s="129"/>
      <c r="N57" s="54">
        <f t="shared" si="3"/>
        <v>0</v>
      </c>
      <c r="O57" s="54">
        <f t="shared" si="4"/>
        <v>0</v>
      </c>
      <c r="P57" s="1"/>
    </row>
    <row r="58" spans="2:16" ht="12.5">
      <c r="B58" s="7" t="str">
        <f t="shared" si="7"/>
        <v/>
      </c>
      <c r="C58" s="50">
        <f>IF(D11="","-",+C57+1)</f>
        <v>2057</v>
      </c>
      <c r="D58" s="55">
        <f>IF(F57+SUM(E$17:E57)=D$10,F57,D$10-SUM(E$17:E57))</f>
        <v>7812197.746333315</v>
      </c>
      <c r="E58" s="378">
        <f>IF(+I14&lt;F57,I14,D58)</f>
        <v>2212962.5909090908</v>
      </c>
      <c r="F58" s="55">
        <f t="shared" si="17"/>
        <v>5599235.1554242242</v>
      </c>
      <c r="G58" s="379">
        <f t="shared" si="20"/>
        <v>3014477.6439679088</v>
      </c>
      <c r="H58" s="364">
        <f t="shared" si="21"/>
        <v>3014477.6439679088</v>
      </c>
      <c r="I58" s="52">
        <f t="shared" si="5"/>
        <v>0</v>
      </c>
      <c r="J58" s="52"/>
      <c r="K58" s="129"/>
      <c r="L58" s="54">
        <f t="shared" si="1"/>
        <v>0</v>
      </c>
      <c r="M58" s="129"/>
      <c r="N58" s="54">
        <f t="shared" si="3"/>
        <v>0</v>
      </c>
      <c r="O58" s="54">
        <f t="shared" si="4"/>
        <v>0</v>
      </c>
      <c r="P58" s="1"/>
    </row>
    <row r="59" spans="2:16" ht="12.5">
      <c r="B59" s="7" t="str">
        <f t="shared" si="7"/>
        <v/>
      </c>
      <c r="C59" s="50">
        <f>IF(D11="","-",+C58+1)</f>
        <v>2058</v>
      </c>
      <c r="D59" s="55">
        <f>IF(F58+SUM(E$17:E58)=D$10,F58,D$10-SUM(E$17:E58))</f>
        <v>5599235.1554242242</v>
      </c>
      <c r="E59" s="378">
        <f>IF(+I14&lt;F58,I14,D59)</f>
        <v>2212962.5909090908</v>
      </c>
      <c r="F59" s="55">
        <f t="shared" si="17"/>
        <v>3386272.5645151334</v>
      </c>
      <c r="G59" s="379">
        <f t="shared" si="20"/>
        <v>2749968.5730188629</v>
      </c>
      <c r="H59" s="364">
        <f t="shared" si="21"/>
        <v>2749968.5730188629</v>
      </c>
      <c r="I59" s="52">
        <f t="shared" si="5"/>
        <v>0</v>
      </c>
      <c r="J59" s="52"/>
      <c r="K59" s="129"/>
      <c r="L59" s="54">
        <f t="shared" si="1"/>
        <v>0</v>
      </c>
      <c r="M59" s="129"/>
      <c r="N59" s="54">
        <f t="shared" si="3"/>
        <v>0</v>
      </c>
      <c r="O59" s="54">
        <f t="shared" si="4"/>
        <v>0</v>
      </c>
      <c r="P59" s="1"/>
    </row>
    <row r="60" spans="2:16" ht="12.5">
      <c r="B60" s="7" t="str">
        <f t="shared" si="7"/>
        <v/>
      </c>
      <c r="C60" s="50">
        <f>IF(D11="","-",+C59+1)</f>
        <v>2059</v>
      </c>
      <c r="D60" s="55">
        <f>IF(F59+SUM(E$17:E59)=D$10,F59,D$10-SUM(E$17:E59))</f>
        <v>3386272.5645151334</v>
      </c>
      <c r="E60" s="378">
        <f>IF(+I14&lt;F59,I14,D60)</f>
        <v>2212962.5909090908</v>
      </c>
      <c r="F60" s="55">
        <f t="shared" si="17"/>
        <v>1173309.9736060426</v>
      </c>
      <c r="G60" s="379">
        <f t="shared" si="20"/>
        <v>2485459.5020698165</v>
      </c>
      <c r="H60" s="364">
        <f t="shared" si="21"/>
        <v>2485459.5020698165</v>
      </c>
      <c r="I60" s="52">
        <f t="shared" si="5"/>
        <v>0</v>
      </c>
      <c r="J60" s="52"/>
      <c r="K60" s="129"/>
      <c r="L60" s="54">
        <f t="shared" si="1"/>
        <v>0</v>
      </c>
      <c r="M60" s="129"/>
      <c r="N60" s="54">
        <f t="shared" si="3"/>
        <v>0</v>
      </c>
      <c r="O60" s="54">
        <f t="shared" si="4"/>
        <v>0</v>
      </c>
      <c r="P60" s="1"/>
    </row>
    <row r="61" spans="2:16" ht="12.5">
      <c r="B61" s="7" t="str">
        <f t="shared" si="7"/>
        <v/>
      </c>
      <c r="C61" s="50">
        <f>IF(D11="","-",+C60+1)</f>
        <v>2060</v>
      </c>
      <c r="D61" s="55">
        <f>IF(F60+SUM(E$17:E60)=D$10,F60,D$10-SUM(E$17:E60))</f>
        <v>1173309.9736060426</v>
      </c>
      <c r="E61" s="378">
        <f>IF(+I14&lt;F60,I14,D61)</f>
        <v>1173309.9736060426</v>
      </c>
      <c r="F61" s="55">
        <f t="shared" si="17"/>
        <v>0</v>
      </c>
      <c r="G61" s="380">
        <f t="shared" si="20"/>
        <v>1243431.1614491437</v>
      </c>
      <c r="H61" s="364">
        <f t="shared" si="21"/>
        <v>1243431.1614491437</v>
      </c>
      <c r="I61" s="52">
        <f t="shared" si="5"/>
        <v>0</v>
      </c>
      <c r="J61" s="52"/>
      <c r="K61" s="129"/>
      <c r="L61" s="54">
        <f t="shared" si="1"/>
        <v>0</v>
      </c>
      <c r="M61" s="129"/>
      <c r="N61" s="54">
        <f t="shared" si="3"/>
        <v>0</v>
      </c>
      <c r="O61" s="54">
        <f t="shared" si="4"/>
        <v>0</v>
      </c>
      <c r="P61" s="1"/>
    </row>
    <row r="62" spans="2:16" ht="12.5">
      <c r="B62" s="7" t="str">
        <f t="shared" si="7"/>
        <v/>
      </c>
      <c r="C62" s="50">
        <f>IF(D11="","-",+C61+1)</f>
        <v>2061</v>
      </c>
      <c r="D62" s="55">
        <f>IF(F61+SUM(E$17:E61)=D$10,F61,D$10-SUM(E$17:E61))</f>
        <v>0</v>
      </c>
      <c r="E62" s="378">
        <f>IF(+I14&lt;F61,I14,D62)</f>
        <v>0</v>
      </c>
      <c r="F62" s="55">
        <f t="shared" si="17"/>
        <v>0</v>
      </c>
      <c r="G62" s="380">
        <f t="shared" si="20"/>
        <v>0</v>
      </c>
      <c r="H62" s="364">
        <f t="shared" si="21"/>
        <v>0</v>
      </c>
      <c r="I62" s="52">
        <f t="shared" si="5"/>
        <v>0</v>
      </c>
      <c r="J62" s="52"/>
      <c r="K62" s="129"/>
      <c r="L62" s="54">
        <f t="shared" si="1"/>
        <v>0</v>
      </c>
      <c r="M62" s="129"/>
      <c r="N62" s="54">
        <f t="shared" si="3"/>
        <v>0</v>
      </c>
      <c r="O62" s="54">
        <f t="shared" si="4"/>
        <v>0</v>
      </c>
      <c r="P62" s="1"/>
    </row>
    <row r="63" spans="2:16" ht="12.5">
      <c r="B63" s="7" t="str">
        <f t="shared" si="7"/>
        <v/>
      </c>
      <c r="C63" s="50">
        <f>IF(D11="","-",+C62+1)</f>
        <v>2062</v>
      </c>
      <c r="D63" s="55">
        <f>IF(F62+SUM(E$17:E62)=D$10,F62,D$10-SUM(E$17:E62))</f>
        <v>0</v>
      </c>
      <c r="E63" s="378">
        <f>IF(+I14&lt;F62,I14,D63)</f>
        <v>0</v>
      </c>
      <c r="F63" s="55">
        <f t="shared" si="17"/>
        <v>0</v>
      </c>
      <c r="G63" s="380">
        <f t="shared" si="20"/>
        <v>0</v>
      </c>
      <c r="H63" s="364">
        <f t="shared" si="21"/>
        <v>0</v>
      </c>
      <c r="I63" s="52">
        <f t="shared" si="5"/>
        <v>0</v>
      </c>
      <c r="J63" s="52"/>
      <c r="K63" s="129"/>
      <c r="L63" s="54">
        <f t="shared" si="1"/>
        <v>0</v>
      </c>
      <c r="M63" s="129"/>
      <c r="N63" s="54">
        <f t="shared" si="3"/>
        <v>0</v>
      </c>
      <c r="O63" s="54">
        <f t="shared" si="4"/>
        <v>0</v>
      </c>
      <c r="P63" s="1"/>
    </row>
    <row r="64" spans="2:16" ht="12.5">
      <c r="B64" s="7" t="str">
        <f t="shared" si="7"/>
        <v/>
      </c>
      <c r="C64" s="50">
        <f>IF(D11="","-",+C63+1)</f>
        <v>2063</v>
      </c>
      <c r="D64" s="55">
        <f>IF(F63+SUM(E$17:E63)=D$10,F63,D$10-SUM(E$17:E63))</f>
        <v>0</v>
      </c>
      <c r="E64" s="378">
        <f>IF(+I14&lt;F63,I14,D64)</f>
        <v>0</v>
      </c>
      <c r="F64" s="55">
        <f t="shared" si="17"/>
        <v>0</v>
      </c>
      <c r="G64" s="380">
        <f t="shared" si="20"/>
        <v>0</v>
      </c>
      <c r="H64" s="364">
        <f t="shared" si="21"/>
        <v>0</v>
      </c>
      <c r="I64" s="52">
        <f t="shared" si="5"/>
        <v>0</v>
      </c>
      <c r="J64" s="52"/>
      <c r="K64" s="129"/>
      <c r="L64" s="54">
        <f t="shared" si="1"/>
        <v>0</v>
      </c>
      <c r="M64" s="129"/>
      <c r="N64" s="54">
        <f t="shared" si="3"/>
        <v>0</v>
      </c>
      <c r="O64" s="54">
        <f t="shared" si="4"/>
        <v>0</v>
      </c>
      <c r="P64" s="1"/>
    </row>
    <row r="65" spans="2:16" ht="12.5">
      <c r="B65" s="7" t="str">
        <f t="shared" si="7"/>
        <v/>
      </c>
      <c r="C65" s="50">
        <f>IF(D11="","-",+C64+1)</f>
        <v>2064</v>
      </c>
      <c r="D65" s="55">
        <f>IF(F64+SUM(E$17:E64)=D$10,F64,D$10-SUM(E$17:E64))</f>
        <v>0</v>
      </c>
      <c r="E65" s="378">
        <f>IF(+I14&lt;F64,I14,D65)</f>
        <v>0</v>
      </c>
      <c r="F65" s="55">
        <f t="shared" si="17"/>
        <v>0</v>
      </c>
      <c r="G65" s="380">
        <f t="shared" si="20"/>
        <v>0</v>
      </c>
      <c r="H65" s="364">
        <f t="shared" si="21"/>
        <v>0</v>
      </c>
      <c r="I65" s="52">
        <f t="shared" si="5"/>
        <v>0</v>
      </c>
      <c r="J65" s="52"/>
      <c r="K65" s="129"/>
      <c r="L65" s="54">
        <f t="shared" si="1"/>
        <v>0</v>
      </c>
      <c r="M65" s="129"/>
      <c r="N65" s="54">
        <f t="shared" si="3"/>
        <v>0</v>
      </c>
      <c r="O65" s="54">
        <f t="shared" si="4"/>
        <v>0</v>
      </c>
      <c r="P65" s="1"/>
    </row>
    <row r="66" spans="2:16" ht="12.5">
      <c r="B66" s="7" t="str">
        <f t="shared" si="7"/>
        <v/>
      </c>
      <c r="C66" s="50">
        <f>IF(D11="","-",+C65+1)</f>
        <v>2065</v>
      </c>
      <c r="D66" s="55">
        <f>IF(F65+SUM(E$17:E65)=D$10,F65,D$10-SUM(E$17:E65))</f>
        <v>0</v>
      </c>
      <c r="E66" s="378">
        <f>IF(+I14&lt;F65,I14,D66)</f>
        <v>0</v>
      </c>
      <c r="F66" s="55">
        <f t="shared" si="17"/>
        <v>0</v>
      </c>
      <c r="G66" s="380">
        <f t="shared" si="20"/>
        <v>0</v>
      </c>
      <c r="H66" s="364">
        <f t="shared" si="21"/>
        <v>0</v>
      </c>
      <c r="I66" s="52">
        <f t="shared" si="5"/>
        <v>0</v>
      </c>
      <c r="J66" s="52"/>
      <c r="K66" s="129"/>
      <c r="L66" s="54">
        <f t="shared" si="1"/>
        <v>0</v>
      </c>
      <c r="M66" s="129"/>
      <c r="N66" s="54">
        <f t="shared" si="3"/>
        <v>0</v>
      </c>
      <c r="O66" s="54">
        <f t="shared" si="4"/>
        <v>0</v>
      </c>
      <c r="P66" s="1"/>
    </row>
    <row r="67" spans="2:16" ht="12.5">
      <c r="B67" s="7" t="str">
        <f t="shared" si="7"/>
        <v/>
      </c>
      <c r="C67" s="50">
        <f>IF(D11="","-",+C66+1)</f>
        <v>2066</v>
      </c>
      <c r="D67" s="55">
        <f>IF(F66+SUM(E$17:E66)=D$10,F66,D$10-SUM(E$17:E66))</f>
        <v>0</v>
      </c>
      <c r="E67" s="378">
        <f>IF(+I14&lt;F66,I14,D67)</f>
        <v>0</v>
      </c>
      <c r="F67" s="55">
        <f t="shared" si="17"/>
        <v>0</v>
      </c>
      <c r="G67" s="380">
        <f t="shared" si="20"/>
        <v>0</v>
      </c>
      <c r="H67" s="364">
        <f t="shared" si="21"/>
        <v>0</v>
      </c>
      <c r="I67" s="52">
        <f t="shared" si="5"/>
        <v>0</v>
      </c>
      <c r="J67" s="52"/>
      <c r="K67" s="129"/>
      <c r="L67" s="54">
        <f t="shared" si="1"/>
        <v>0</v>
      </c>
      <c r="M67" s="129"/>
      <c r="N67" s="54">
        <f t="shared" si="3"/>
        <v>0</v>
      </c>
      <c r="O67" s="54">
        <f t="shared" si="4"/>
        <v>0</v>
      </c>
      <c r="P67" s="1"/>
    </row>
    <row r="68" spans="2:16" ht="12.5">
      <c r="B68" s="7" t="str">
        <f t="shared" si="7"/>
        <v/>
      </c>
      <c r="C68" s="50">
        <f>IF(D11="","-",+C67+1)</f>
        <v>2067</v>
      </c>
      <c r="D68" s="55">
        <f>IF(F67+SUM(E$17:E67)=D$10,F67,D$10-SUM(E$17:E67))</f>
        <v>0</v>
      </c>
      <c r="E68" s="378">
        <f>IF(+I14&lt;F67,I14,D68)</f>
        <v>0</v>
      </c>
      <c r="F68" s="55">
        <f t="shared" si="17"/>
        <v>0</v>
      </c>
      <c r="G68" s="380">
        <f t="shared" si="20"/>
        <v>0</v>
      </c>
      <c r="H68" s="364">
        <f t="shared" si="21"/>
        <v>0</v>
      </c>
      <c r="I68" s="52">
        <f t="shared" si="5"/>
        <v>0</v>
      </c>
      <c r="J68" s="52"/>
      <c r="K68" s="129"/>
      <c r="L68" s="54">
        <f t="shared" si="1"/>
        <v>0</v>
      </c>
      <c r="M68" s="129"/>
      <c r="N68" s="54">
        <f t="shared" si="3"/>
        <v>0</v>
      </c>
      <c r="O68" s="54">
        <f t="shared" si="4"/>
        <v>0</v>
      </c>
      <c r="P68" s="1"/>
    </row>
    <row r="69" spans="2:16" ht="12.5">
      <c r="B69" s="7" t="str">
        <f t="shared" si="7"/>
        <v/>
      </c>
      <c r="C69" s="50">
        <f>IF(D11="","-",+C68+1)</f>
        <v>2068</v>
      </c>
      <c r="D69" s="55">
        <f>IF(F68+SUM(E$17:E68)=D$10,F68,D$10-SUM(E$17:E68))</f>
        <v>0</v>
      </c>
      <c r="E69" s="378">
        <f>IF(+I14&lt;F68,I14,D69)</f>
        <v>0</v>
      </c>
      <c r="F69" s="55">
        <f t="shared" si="17"/>
        <v>0</v>
      </c>
      <c r="G69" s="380">
        <f t="shared" si="20"/>
        <v>0</v>
      </c>
      <c r="H69" s="364">
        <f t="shared" si="21"/>
        <v>0</v>
      </c>
      <c r="I69" s="52">
        <f t="shared" si="5"/>
        <v>0</v>
      </c>
      <c r="J69" s="52"/>
      <c r="K69" s="129"/>
      <c r="L69" s="54">
        <f t="shared" si="1"/>
        <v>0</v>
      </c>
      <c r="M69" s="129"/>
      <c r="N69" s="54">
        <f t="shared" si="3"/>
        <v>0</v>
      </c>
      <c r="O69" s="54">
        <f t="shared" si="4"/>
        <v>0</v>
      </c>
      <c r="P69" s="1"/>
    </row>
    <row r="70" spans="2:16" ht="12.5">
      <c r="B70" s="7" t="str">
        <f t="shared" si="7"/>
        <v/>
      </c>
      <c r="C70" s="50">
        <f>IF(D11="","-",+C69+1)</f>
        <v>2069</v>
      </c>
      <c r="D70" s="55">
        <f>IF(F69+SUM(E$17:E69)=D$10,F69,D$10-SUM(E$17:E69))</f>
        <v>0</v>
      </c>
      <c r="E70" s="378">
        <f>IF(+I14&lt;F69,I14,D70)</f>
        <v>0</v>
      </c>
      <c r="F70" s="55">
        <f t="shared" si="17"/>
        <v>0</v>
      </c>
      <c r="G70" s="380">
        <f t="shared" si="20"/>
        <v>0</v>
      </c>
      <c r="H70" s="364">
        <f t="shared" si="21"/>
        <v>0</v>
      </c>
      <c r="I70" s="52">
        <f t="shared" si="5"/>
        <v>0</v>
      </c>
      <c r="J70" s="52"/>
      <c r="K70" s="129"/>
      <c r="L70" s="54">
        <f t="shared" si="1"/>
        <v>0</v>
      </c>
      <c r="M70" s="129"/>
      <c r="N70" s="54">
        <f t="shared" si="3"/>
        <v>0</v>
      </c>
      <c r="O70" s="54">
        <f t="shared" si="4"/>
        <v>0</v>
      </c>
      <c r="P70" s="1"/>
    </row>
    <row r="71" spans="2:16" ht="12.5">
      <c r="B71" s="7" t="str">
        <f t="shared" si="7"/>
        <v/>
      </c>
      <c r="C71" s="50">
        <f>IF(D11="","-",+C70+1)</f>
        <v>2070</v>
      </c>
      <c r="D71" s="55">
        <f>IF(F70+SUM(E$17:E70)=D$10,F70,D$10-SUM(E$17:E70))</f>
        <v>0</v>
      </c>
      <c r="E71" s="378">
        <f>IF(+I14&lt;F70,I14,D71)</f>
        <v>0</v>
      </c>
      <c r="F71" s="55">
        <f t="shared" si="17"/>
        <v>0</v>
      </c>
      <c r="G71" s="380">
        <f t="shared" si="20"/>
        <v>0</v>
      </c>
      <c r="H71" s="364">
        <f t="shared" si="21"/>
        <v>0</v>
      </c>
      <c r="I71" s="52">
        <f t="shared" si="5"/>
        <v>0</v>
      </c>
      <c r="J71" s="52"/>
      <c r="K71" s="129"/>
      <c r="L71" s="54">
        <f t="shared" si="1"/>
        <v>0</v>
      </c>
      <c r="M71" s="129"/>
      <c r="N71" s="54">
        <f t="shared" si="3"/>
        <v>0</v>
      </c>
      <c r="O71" s="54">
        <f t="shared" si="4"/>
        <v>0</v>
      </c>
      <c r="P71" s="1"/>
    </row>
    <row r="72" spans="2:16" ht="13" thickBot="1">
      <c r="B72" s="7" t="str">
        <f t="shared" si="7"/>
        <v/>
      </c>
      <c r="C72" s="59">
        <f>IF(D11="","-",+C71+1)</f>
        <v>2071</v>
      </c>
      <c r="D72" s="60">
        <f>IF(F71+SUM(E$17:E71)=D$10,F71,D$10-SUM(E$17:E71))</f>
        <v>0</v>
      </c>
      <c r="E72" s="381">
        <f>IF(+I14&lt;F71,I14,D72)</f>
        <v>0</v>
      </c>
      <c r="F72" s="60">
        <f t="shared" si="17"/>
        <v>0</v>
      </c>
      <c r="G72" s="382">
        <f t="shared" si="20"/>
        <v>0</v>
      </c>
      <c r="H72" s="362">
        <f t="shared" si="21"/>
        <v>0</v>
      </c>
      <c r="I72" s="63">
        <f t="shared" si="5"/>
        <v>0</v>
      </c>
      <c r="J72" s="52"/>
      <c r="K72" s="130"/>
      <c r="L72" s="64">
        <f t="shared" si="1"/>
        <v>0</v>
      </c>
      <c r="M72" s="130"/>
      <c r="N72" s="64">
        <f t="shared" si="3"/>
        <v>0</v>
      </c>
      <c r="O72" s="64">
        <f t="shared" si="4"/>
        <v>0</v>
      </c>
      <c r="P72" s="1"/>
    </row>
    <row r="73" spans="2:16" ht="12.5">
      <c r="C73" s="12" t="s">
        <v>78</v>
      </c>
      <c r="D73" s="293"/>
      <c r="E73" s="293">
        <f>SUM(E17:E72)</f>
        <v>97370354.00000003</v>
      </c>
      <c r="F73" s="293"/>
      <c r="G73" s="293">
        <f>SUM(G17:G72)</f>
        <v>348469622.52279305</v>
      </c>
      <c r="H73" s="293">
        <f>SUM(H17:H72)</f>
        <v>348469622.52279305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 ht="13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60 of 77</v>
      </c>
    </row>
    <row r="84" spans="1:16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11743276.985286441</v>
      </c>
      <c r="N87" s="387">
        <f>IF(J92&lt;D11,0,VLOOKUP(J92,C17:O72,11))</f>
        <v>11743276.985286441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12192660.38252195</v>
      </c>
      <c r="N88" s="390">
        <f>IF(J92&lt;D11,0,VLOOKUP(J92,C99:P154,7))</f>
        <v>12192660.38252195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Valliant-NW Texarkana 345 kV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449383.39723550901</v>
      </c>
      <c r="N89" s="392">
        <f>+N88-N87</f>
        <v>449383.39723550901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TP2009089</v>
      </c>
      <c r="E91" s="76" t="str">
        <f>E9</f>
        <v>SPP Project ID = 936</v>
      </c>
      <c r="F91" s="76"/>
      <c r="G91" s="76"/>
      <c r="H91" s="76"/>
      <c r="I91" s="76"/>
      <c r="J91" s="76"/>
    </row>
    <row r="92" spans="1:16" ht="13">
      <c r="C92" s="34" t="s">
        <v>51</v>
      </c>
      <c r="D92" s="394">
        <f>D10</f>
        <v>97370354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</row>
    <row r="93" spans="1:16" ht="12.5">
      <c r="C93" s="34" t="s">
        <v>54</v>
      </c>
      <c r="D93" s="88">
        <f>IF(D11=I10,"",D11)</f>
        <v>2016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4">
        <f>IF(D11=I10,"",D12)</f>
        <v>12</v>
      </c>
      <c r="E94" s="34" t="s">
        <v>57</v>
      </c>
      <c r="F94" s="2"/>
      <c r="G94" s="2"/>
      <c r="J94" s="40">
        <f>'SWE.WS.G.BPU.ATRR.True-up'!$F$81</f>
        <v>0.1245263399019997</v>
      </c>
      <c r="K94" s="8">
        <f>+I12-J94</f>
        <v>-4.9992082479642513E-3</v>
      </c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293">
        <f>+K94*G101</f>
        <v>-469398.02094365185</v>
      </c>
      <c r="L95" s="293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2212962.5909090908</v>
      </c>
      <c r="K96" s="293"/>
      <c r="L96" s="293"/>
      <c r="M96" s="293"/>
      <c r="N96" s="293"/>
      <c r="O96" s="293"/>
      <c r="P96" s="1"/>
    </row>
    <row r="97" spans="1:16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 ht="12.5">
      <c r="C99" s="50">
        <f>IF(D93= "","-",D93)</f>
        <v>2016</v>
      </c>
      <c r="D99" s="145">
        <v>0</v>
      </c>
      <c r="E99" s="446">
        <v>0</v>
      </c>
      <c r="F99" s="147">
        <v>94208721</v>
      </c>
      <c r="G99" s="447">
        <v>47104360.5</v>
      </c>
      <c r="H99" s="448">
        <v>5979898.0138057787</v>
      </c>
      <c r="I99" s="449">
        <v>5979898.0138057787</v>
      </c>
      <c r="J99" s="54">
        <f t="shared" ref="J99:J130" si="22">+I99-H99</f>
        <v>0</v>
      </c>
      <c r="K99" s="54"/>
      <c r="L99" s="112">
        <f t="shared" ref="L99:L104" si="23">+H99</f>
        <v>5979898.0138057787</v>
      </c>
      <c r="M99" s="53">
        <f t="shared" ref="M99:M130" si="24">IF(L99&lt;&gt;0,+H99-L99,0)</f>
        <v>0</v>
      </c>
      <c r="N99" s="112">
        <f t="shared" ref="N99:N104" si="25">+I99</f>
        <v>5979898.0138057787</v>
      </c>
      <c r="O99" s="53">
        <f t="shared" ref="O99:O130" si="26">IF(N99&lt;&gt;0,+I99-N99,0)</f>
        <v>0</v>
      </c>
      <c r="P99" s="53">
        <f t="shared" ref="P99:P130" si="27">+O99-M99</f>
        <v>0</v>
      </c>
    </row>
    <row r="100" spans="1:16" ht="12.5">
      <c r="B100" s="7" t="str">
        <f>IF(D100=F99,"","IU")</f>
        <v>IU</v>
      </c>
      <c r="C100" s="50">
        <f>IF(D93="","-",+C99+1)</f>
        <v>2017</v>
      </c>
      <c r="D100" s="429">
        <v>97244455</v>
      </c>
      <c r="E100" s="430">
        <v>2315344.1666666665</v>
      </c>
      <c r="F100" s="431">
        <v>94929110.833333328</v>
      </c>
      <c r="G100" s="431">
        <v>96086782.916666657</v>
      </c>
      <c r="H100" s="433">
        <v>13987145.75171851</v>
      </c>
      <c r="I100" s="434">
        <v>13987145.75171851</v>
      </c>
      <c r="J100" s="54">
        <f t="shared" si="22"/>
        <v>0</v>
      </c>
      <c r="K100" s="54"/>
      <c r="L100" s="450">
        <f t="shared" si="23"/>
        <v>13987145.75171851</v>
      </c>
      <c r="M100" s="54">
        <f t="shared" si="24"/>
        <v>0</v>
      </c>
      <c r="N100" s="450">
        <f t="shared" si="25"/>
        <v>13987145.75171851</v>
      </c>
      <c r="O100" s="54">
        <f t="shared" si="26"/>
        <v>0</v>
      </c>
      <c r="P100" s="54">
        <f t="shared" si="27"/>
        <v>0</v>
      </c>
    </row>
    <row r="101" spans="1:16" ht="12.5">
      <c r="B101" s="7" t="str">
        <f t="shared" ref="B101:B154" si="28">IF(D101=F100,"","IU")</f>
        <v>IU</v>
      </c>
      <c r="C101" s="50">
        <f>IF(D93="","-",+C100+1)</f>
        <v>2018</v>
      </c>
      <c r="D101" s="429">
        <v>95053626.833333328</v>
      </c>
      <c r="E101" s="430">
        <v>2318308.8333333335</v>
      </c>
      <c r="F101" s="431">
        <v>92735318</v>
      </c>
      <c r="G101" s="431">
        <v>93894472.416666657</v>
      </c>
      <c r="H101" s="433">
        <v>12233995.703663049</v>
      </c>
      <c r="I101" s="434">
        <v>12233995.703663049</v>
      </c>
      <c r="J101" s="54">
        <f t="shared" si="22"/>
        <v>0</v>
      </c>
      <c r="K101" s="54"/>
      <c r="L101" s="450">
        <f t="shared" si="23"/>
        <v>12233995.703663049</v>
      </c>
      <c r="M101" s="54">
        <f t="shared" ref="M101" si="29">IF(L101&lt;&gt;0,+H101-L101,0)</f>
        <v>0</v>
      </c>
      <c r="N101" s="450">
        <f t="shared" si="25"/>
        <v>12233995.703663049</v>
      </c>
      <c r="O101" s="54">
        <f t="shared" si="26"/>
        <v>0</v>
      </c>
      <c r="P101" s="54">
        <f t="shared" si="27"/>
        <v>0</v>
      </c>
    </row>
    <row r="102" spans="1:16" ht="12.5">
      <c r="B102" s="7" t="str">
        <f t="shared" si="28"/>
        <v>IU</v>
      </c>
      <c r="C102" s="50">
        <f>IF(D93="","-",+C101+1)</f>
        <v>2019</v>
      </c>
      <c r="D102" s="429">
        <v>92736701</v>
      </c>
      <c r="E102" s="430">
        <v>2264426.8372093025</v>
      </c>
      <c r="F102" s="431">
        <v>90472274.162790701</v>
      </c>
      <c r="G102" s="431">
        <v>91604487.581395358</v>
      </c>
      <c r="H102" s="433">
        <v>12069821.253627364</v>
      </c>
      <c r="I102" s="434">
        <v>12069821.253627364</v>
      </c>
      <c r="J102" s="54">
        <f t="shared" si="22"/>
        <v>0</v>
      </c>
      <c r="K102" s="54"/>
      <c r="L102" s="450">
        <f t="shared" si="23"/>
        <v>12069821.253627364</v>
      </c>
      <c r="M102" s="54">
        <f t="shared" ref="M102" si="30">IF(L102&lt;&gt;0,+H102-L102,0)</f>
        <v>0</v>
      </c>
      <c r="N102" s="450">
        <f t="shared" si="25"/>
        <v>12069821.253627364</v>
      </c>
      <c r="O102" s="54">
        <f t="shared" si="26"/>
        <v>0</v>
      </c>
      <c r="P102" s="54">
        <f t="shared" si="27"/>
        <v>0</v>
      </c>
    </row>
    <row r="103" spans="1:16" ht="12.5">
      <c r="B103" s="7" t="str">
        <f t="shared" si="28"/>
        <v/>
      </c>
      <c r="C103" s="50">
        <f>IF(D93="","-",+C102+1)</f>
        <v>2020</v>
      </c>
      <c r="D103" s="429">
        <v>90472274.162790701</v>
      </c>
      <c r="E103" s="430">
        <v>2318341.7619047621</v>
      </c>
      <c r="F103" s="431">
        <v>88153932.40088594</v>
      </c>
      <c r="G103" s="431">
        <v>89313103.281838328</v>
      </c>
      <c r="H103" s="433">
        <v>11926094.57446631</v>
      </c>
      <c r="I103" s="434">
        <v>11926094.57446631</v>
      </c>
      <c r="J103" s="54">
        <f t="shared" si="22"/>
        <v>0</v>
      </c>
      <c r="K103" s="54"/>
      <c r="L103" s="450">
        <f t="shared" si="23"/>
        <v>11926094.57446631</v>
      </c>
      <c r="M103" s="54">
        <f t="shared" ref="M103" si="31">IF(L103&lt;&gt;0,+H103-L103,0)</f>
        <v>0</v>
      </c>
      <c r="N103" s="450">
        <f t="shared" si="25"/>
        <v>11926094.57446631</v>
      </c>
      <c r="O103" s="54">
        <f t="shared" si="26"/>
        <v>0</v>
      </c>
      <c r="P103" s="54">
        <f t="shared" si="27"/>
        <v>0</v>
      </c>
    </row>
    <row r="104" spans="1:16" ht="12.5">
      <c r="B104" s="7" t="str">
        <f t="shared" si="28"/>
        <v/>
      </c>
      <c r="C104" s="50">
        <f>IF(D93="","-",+C103+1)</f>
        <v>2021</v>
      </c>
      <c r="D104" s="429">
        <v>88153932.40088594</v>
      </c>
      <c r="E104" s="430">
        <v>2374886.6829268294</v>
      </c>
      <c r="F104" s="431">
        <v>85779045.717959106</v>
      </c>
      <c r="G104" s="431">
        <v>86966489.059422523</v>
      </c>
      <c r="H104" s="433">
        <v>12246820.408778705</v>
      </c>
      <c r="I104" s="434">
        <v>12246820.408778705</v>
      </c>
      <c r="J104" s="54">
        <f t="shared" si="22"/>
        <v>0</v>
      </c>
      <c r="K104" s="54"/>
      <c r="L104" s="450">
        <f t="shared" si="23"/>
        <v>12246820.408778705</v>
      </c>
      <c r="M104" s="54">
        <f t="shared" ref="M104" si="32">IF(L104&lt;&gt;0,+H104-L104,0)</f>
        <v>0</v>
      </c>
      <c r="N104" s="450">
        <f t="shared" si="25"/>
        <v>12246820.408778705</v>
      </c>
      <c r="O104" s="54">
        <f t="shared" si="26"/>
        <v>0</v>
      </c>
      <c r="P104" s="54">
        <f t="shared" si="27"/>
        <v>0</v>
      </c>
    </row>
    <row r="105" spans="1:16" ht="12.5">
      <c r="B105" s="7" t="str">
        <f t="shared" si="28"/>
        <v/>
      </c>
      <c r="C105" s="50">
        <f>IF(D93="","-",+C104+1)</f>
        <v>2022</v>
      </c>
      <c r="D105" s="429">
        <v>85779045.717959106</v>
      </c>
      <c r="E105" s="430">
        <v>2318341.7619047621</v>
      </c>
      <c r="F105" s="431">
        <v>83460703.956054345</v>
      </c>
      <c r="G105" s="431">
        <v>84619874.837006718</v>
      </c>
      <c r="H105" s="433">
        <v>12257609.738778368</v>
      </c>
      <c r="I105" s="434">
        <v>12257609.738778368</v>
      </c>
      <c r="J105" s="54">
        <f t="shared" si="22"/>
        <v>0</v>
      </c>
      <c r="K105" s="54"/>
      <c r="L105" s="450">
        <f t="shared" ref="L105" si="33">+H105</f>
        <v>12257609.738778368</v>
      </c>
      <c r="M105" s="54">
        <f t="shared" ref="M105" si="34">IF(L105&lt;&gt;0,+H105-L105,0)</f>
        <v>0</v>
      </c>
      <c r="N105" s="450">
        <f t="shared" ref="N105" si="35">+I105</f>
        <v>12257609.738778368</v>
      </c>
      <c r="O105" s="54">
        <f t="shared" ref="O105" si="36">IF(N105&lt;&gt;0,+I105-N105,0)</f>
        <v>0</v>
      </c>
      <c r="P105" s="54">
        <f t="shared" ref="P105" si="37">+O105-M105</f>
        <v>0</v>
      </c>
    </row>
    <row r="106" spans="1:16" ht="12.5">
      <c r="B106" s="7" t="str">
        <f t="shared" si="28"/>
        <v/>
      </c>
      <c r="C106" s="50">
        <f>IF(D93="","-",+C105+1)</f>
        <v>2023</v>
      </c>
      <c r="D106" s="429">
        <v>83460703.956054345</v>
      </c>
      <c r="E106" s="430">
        <v>2212962.5909090908</v>
      </c>
      <c r="F106" s="431">
        <v>81247741.365145251</v>
      </c>
      <c r="G106" s="431">
        <v>82354222.660599798</v>
      </c>
      <c r="H106" s="433">
        <v>12372595.898983698</v>
      </c>
      <c r="I106" s="434">
        <v>12372595.898983698</v>
      </c>
      <c r="J106" s="54">
        <f t="shared" si="22"/>
        <v>0</v>
      </c>
      <c r="K106" s="54"/>
      <c r="L106" s="450">
        <f t="shared" ref="L106" si="38">+H106</f>
        <v>12372595.898983698</v>
      </c>
      <c r="M106" s="54">
        <f t="shared" ref="M106" si="39">IF(L106&lt;&gt;0,+H106-L106,0)</f>
        <v>0</v>
      </c>
      <c r="N106" s="450">
        <f t="shared" ref="N106" si="40">+I106</f>
        <v>12372595.898983698</v>
      </c>
      <c r="O106" s="54">
        <f t="shared" ref="O106" si="41">IF(N106&lt;&gt;0,+I106-N106,0)</f>
        <v>0</v>
      </c>
      <c r="P106" s="54">
        <f t="shared" ref="P106" si="42">+O106-M106</f>
        <v>0</v>
      </c>
    </row>
    <row r="107" spans="1:16" ht="12.5">
      <c r="B107" s="7" t="str">
        <f t="shared" si="28"/>
        <v/>
      </c>
      <c r="C107" s="50">
        <f>IF(D93="","-",+C106+1)</f>
        <v>2024</v>
      </c>
      <c r="D107" s="12">
        <f>IF(F106+SUM(E$99:E106)=D$92,F106,D$92-SUM(E$99:E106))</f>
        <v>81247741.365145251</v>
      </c>
      <c r="E107" s="378">
        <f>IF(+J96&lt;F106,J96,D107)</f>
        <v>2212962.5909090908</v>
      </c>
      <c r="F107" s="55">
        <f t="shared" ref="F107:F130" si="43">+D107-E107</f>
        <v>79034778.774236158</v>
      </c>
      <c r="G107" s="55">
        <f t="shared" ref="G107:G130" si="44">+(F107+D107)/2</f>
        <v>80141260.069690704</v>
      </c>
      <c r="H107" s="380">
        <f t="shared" ref="H107:H154" si="45">+J$94*G107+E107</f>
        <v>12192660.38252195</v>
      </c>
      <c r="I107" s="399">
        <f t="shared" ref="I107:I154" si="46">+J$95*G107+E107</f>
        <v>12192660.38252195</v>
      </c>
      <c r="J107" s="54">
        <f t="shared" si="22"/>
        <v>0</v>
      </c>
      <c r="K107" s="54"/>
      <c r="L107" s="129"/>
      <c r="M107" s="54">
        <f t="shared" si="24"/>
        <v>0</v>
      </c>
      <c r="N107" s="129"/>
      <c r="O107" s="54">
        <f t="shared" si="26"/>
        <v>0</v>
      </c>
      <c r="P107" s="54">
        <f t="shared" si="27"/>
        <v>0</v>
      </c>
    </row>
    <row r="108" spans="1:16" ht="12.5">
      <c r="B108" s="7" t="str">
        <f t="shared" si="28"/>
        <v/>
      </c>
      <c r="C108" s="50">
        <f>IF(D93="","-",+C107+1)</f>
        <v>2025</v>
      </c>
      <c r="D108" s="12">
        <f>IF(F107+SUM(E$99:E107)=D$92,F107,D$92-SUM(E$99:E107))</f>
        <v>79034778.774236158</v>
      </c>
      <c r="E108" s="378">
        <f>IF(+J96&lt;F107,J96,D108)</f>
        <v>2212962.5909090908</v>
      </c>
      <c r="F108" s="55">
        <f t="shared" si="43"/>
        <v>76821816.183327064</v>
      </c>
      <c r="G108" s="55">
        <f t="shared" si="44"/>
        <v>77928297.478781611</v>
      </c>
      <c r="H108" s="380">
        <f t="shared" si="45"/>
        <v>11917088.250735994</v>
      </c>
      <c r="I108" s="399">
        <f t="shared" si="46"/>
        <v>11917088.250735994</v>
      </c>
      <c r="J108" s="54">
        <f t="shared" si="22"/>
        <v>0</v>
      </c>
      <c r="K108" s="54"/>
      <c r="L108" s="129"/>
      <c r="M108" s="54">
        <f t="shared" si="24"/>
        <v>0</v>
      </c>
      <c r="N108" s="129"/>
      <c r="O108" s="54">
        <f t="shared" si="26"/>
        <v>0</v>
      </c>
      <c r="P108" s="54">
        <f t="shared" si="27"/>
        <v>0</v>
      </c>
    </row>
    <row r="109" spans="1:16" ht="12.5">
      <c r="B109" s="7" t="str">
        <f t="shared" si="28"/>
        <v/>
      </c>
      <c r="C109" s="50">
        <f>IF(D93="","-",+C108+1)</f>
        <v>2026</v>
      </c>
      <c r="D109" s="12">
        <f>IF(F108+SUM(E$99:E108)=D$92,F108,D$92-SUM(E$99:E108))</f>
        <v>76821816.183327064</v>
      </c>
      <c r="E109" s="378">
        <f>IF(+J96&lt;F108,J96,D109)</f>
        <v>2212962.5909090908</v>
      </c>
      <c r="F109" s="55">
        <f t="shared" si="43"/>
        <v>74608853.59241797</v>
      </c>
      <c r="G109" s="55">
        <f t="shared" si="44"/>
        <v>75715334.887872517</v>
      </c>
      <c r="H109" s="380">
        <f t="shared" si="45"/>
        <v>11641516.118950039</v>
      </c>
      <c r="I109" s="399">
        <f t="shared" si="46"/>
        <v>11641516.118950039</v>
      </c>
      <c r="J109" s="54">
        <f t="shared" si="22"/>
        <v>0</v>
      </c>
      <c r="K109" s="54"/>
      <c r="L109" s="129"/>
      <c r="M109" s="54">
        <f t="shared" si="24"/>
        <v>0</v>
      </c>
      <c r="N109" s="129"/>
      <c r="O109" s="54">
        <f t="shared" si="26"/>
        <v>0</v>
      </c>
      <c r="P109" s="54">
        <f t="shared" si="27"/>
        <v>0</v>
      </c>
    </row>
    <row r="110" spans="1:16" ht="12.5">
      <c r="B110" s="7" t="str">
        <f t="shared" si="28"/>
        <v/>
      </c>
      <c r="C110" s="50">
        <f>IF(D93="","-",+C109+1)</f>
        <v>2027</v>
      </c>
      <c r="D110" s="12">
        <f>IF(F109+SUM(E$99:E109)=D$92,F109,D$92-SUM(E$99:E109))</f>
        <v>74608853.59241797</v>
      </c>
      <c r="E110" s="378">
        <f>IF(+J96&lt;F109,J96,D110)</f>
        <v>2212962.5909090908</v>
      </c>
      <c r="F110" s="55">
        <f t="shared" si="43"/>
        <v>72395891.001508877</v>
      </c>
      <c r="G110" s="55">
        <f t="shared" si="44"/>
        <v>73502372.296963423</v>
      </c>
      <c r="H110" s="380">
        <f t="shared" si="45"/>
        <v>11365943.987164084</v>
      </c>
      <c r="I110" s="399">
        <f t="shared" si="46"/>
        <v>11365943.987164084</v>
      </c>
      <c r="J110" s="54">
        <f t="shared" si="22"/>
        <v>0</v>
      </c>
      <c r="K110" s="54"/>
      <c r="L110" s="129"/>
      <c r="M110" s="54">
        <f t="shared" si="24"/>
        <v>0</v>
      </c>
      <c r="N110" s="129"/>
      <c r="O110" s="54">
        <f t="shared" si="26"/>
        <v>0</v>
      </c>
      <c r="P110" s="54">
        <f t="shared" si="27"/>
        <v>0</v>
      </c>
    </row>
    <row r="111" spans="1:16" ht="12.5">
      <c r="B111" s="7" t="str">
        <f t="shared" si="28"/>
        <v/>
      </c>
      <c r="C111" s="50">
        <f>IF(D93="","-",+C110+1)</f>
        <v>2028</v>
      </c>
      <c r="D111" s="12">
        <f>IF(F110+SUM(E$99:E110)=D$92,F110,D$92-SUM(E$99:E110))</f>
        <v>72395891.001508877</v>
      </c>
      <c r="E111" s="378">
        <f>IF(+J96&lt;F110,J96,D111)</f>
        <v>2212962.5909090908</v>
      </c>
      <c r="F111" s="55">
        <f t="shared" si="43"/>
        <v>70182928.410599783</v>
      </c>
      <c r="G111" s="55">
        <f t="shared" si="44"/>
        <v>71289409.70605433</v>
      </c>
      <c r="H111" s="380">
        <f t="shared" si="45"/>
        <v>11090371.855378129</v>
      </c>
      <c r="I111" s="399">
        <f t="shared" si="46"/>
        <v>11090371.855378129</v>
      </c>
      <c r="J111" s="54">
        <f t="shared" si="22"/>
        <v>0</v>
      </c>
      <c r="K111" s="54"/>
      <c r="L111" s="129"/>
      <c r="M111" s="54">
        <f t="shared" si="24"/>
        <v>0</v>
      </c>
      <c r="N111" s="129"/>
      <c r="O111" s="54">
        <f t="shared" si="26"/>
        <v>0</v>
      </c>
      <c r="P111" s="54">
        <f t="shared" si="27"/>
        <v>0</v>
      </c>
    </row>
    <row r="112" spans="1:16" ht="12.5">
      <c r="B112" s="7" t="str">
        <f t="shared" si="28"/>
        <v/>
      </c>
      <c r="C112" s="50">
        <f>IF(D93="","-",+C111+1)</f>
        <v>2029</v>
      </c>
      <c r="D112" s="12">
        <f>IF(F111+SUM(E$99:E111)=D$92,F111,D$92-SUM(E$99:E111))</f>
        <v>70182928.410599783</v>
      </c>
      <c r="E112" s="378">
        <f>IF(+J96&lt;F111,J96,D112)</f>
        <v>2212962.5909090908</v>
      </c>
      <c r="F112" s="55">
        <f t="shared" si="43"/>
        <v>67969965.819690689</v>
      </c>
      <c r="G112" s="55">
        <f t="shared" si="44"/>
        <v>69076447.115145236</v>
      </c>
      <c r="H112" s="380">
        <f t="shared" si="45"/>
        <v>10814799.723592173</v>
      </c>
      <c r="I112" s="399">
        <f t="shared" si="46"/>
        <v>10814799.723592173</v>
      </c>
      <c r="J112" s="54">
        <f t="shared" si="22"/>
        <v>0</v>
      </c>
      <c r="K112" s="54"/>
      <c r="L112" s="129"/>
      <c r="M112" s="54">
        <f t="shared" si="24"/>
        <v>0</v>
      </c>
      <c r="N112" s="129"/>
      <c r="O112" s="54">
        <f t="shared" si="26"/>
        <v>0</v>
      </c>
      <c r="P112" s="54">
        <f t="shared" si="27"/>
        <v>0</v>
      </c>
    </row>
    <row r="113" spans="2:16" ht="12.5">
      <c r="B113" s="7" t="str">
        <f t="shared" si="28"/>
        <v/>
      </c>
      <c r="C113" s="50">
        <f>IF(D93="","-",+C112+1)</f>
        <v>2030</v>
      </c>
      <c r="D113" s="12">
        <f>IF(F112+SUM(E$99:E112)=D$92,F112,D$92-SUM(E$99:E112))</f>
        <v>67969965.819690689</v>
      </c>
      <c r="E113" s="378">
        <f>IF(+J96&lt;F112,J96,D113)</f>
        <v>2212962.5909090908</v>
      </c>
      <c r="F113" s="55">
        <f t="shared" si="43"/>
        <v>65757003.228781596</v>
      </c>
      <c r="G113" s="55">
        <f t="shared" si="44"/>
        <v>66863484.524236143</v>
      </c>
      <c r="H113" s="380">
        <f t="shared" si="45"/>
        <v>10539227.591806218</v>
      </c>
      <c r="I113" s="399">
        <f t="shared" si="46"/>
        <v>10539227.591806218</v>
      </c>
      <c r="J113" s="54">
        <f t="shared" si="22"/>
        <v>0</v>
      </c>
      <c r="K113" s="54"/>
      <c r="L113" s="129"/>
      <c r="M113" s="54">
        <f t="shared" si="24"/>
        <v>0</v>
      </c>
      <c r="N113" s="129"/>
      <c r="O113" s="54">
        <f t="shared" si="26"/>
        <v>0</v>
      </c>
      <c r="P113" s="54">
        <f t="shared" si="27"/>
        <v>0</v>
      </c>
    </row>
    <row r="114" spans="2:16" ht="12.5">
      <c r="B114" s="7" t="str">
        <f t="shared" si="28"/>
        <v/>
      </c>
      <c r="C114" s="50">
        <f>IF(D93="","-",+C113+1)</f>
        <v>2031</v>
      </c>
      <c r="D114" s="12">
        <f>IF(F113+SUM(E$99:E113)=D$92,F113,D$92-SUM(E$99:E113))</f>
        <v>65757003.228781596</v>
      </c>
      <c r="E114" s="378">
        <f>IF(+J96&lt;F113,J96,D114)</f>
        <v>2212962.5909090908</v>
      </c>
      <c r="F114" s="55">
        <f t="shared" si="43"/>
        <v>63544040.637872502</v>
      </c>
      <c r="G114" s="55">
        <f t="shared" si="44"/>
        <v>64650521.933327049</v>
      </c>
      <c r="H114" s="380">
        <f t="shared" si="45"/>
        <v>10263655.460020263</v>
      </c>
      <c r="I114" s="399">
        <f t="shared" si="46"/>
        <v>10263655.460020263</v>
      </c>
      <c r="J114" s="54">
        <f t="shared" si="22"/>
        <v>0</v>
      </c>
      <c r="K114" s="54"/>
      <c r="L114" s="129"/>
      <c r="M114" s="54">
        <f t="shared" si="24"/>
        <v>0</v>
      </c>
      <c r="N114" s="129"/>
      <c r="O114" s="54">
        <f t="shared" si="26"/>
        <v>0</v>
      </c>
      <c r="P114" s="54">
        <f t="shared" si="27"/>
        <v>0</v>
      </c>
    </row>
    <row r="115" spans="2:16" ht="12.5">
      <c r="B115" s="7" t="str">
        <f t="shared" si="28"/>
        <v/>
      </c>
      <c r="C115" s="50">
        <f>IF(D93="","-",+C114+1)</f>
        <v>2032</v>
      </c>
      <c r="D115" s="12">
        <f>IF(F114+SUM(E$99:E114)=D$92,F114,D$92-SUM(E$99:E114))</f>
        <v>63544040.637872502</v>
      </c>
      <c r="E115" s="378">
        <f>IF(+J96&lt;F114,J96,D115)</f>
        <v>2212962.5909090908</v>
      </c>
      <c r="F115" s="55">
        <f t="shared" si="43"/>
        <v>61331078.046963409</v>
      </c>
      <c r="G115" s="55">
        <f t="shared" si="44"/>
        <v>62437559.342417955</v>
      </c>
      <c r="H115" s="380">
        <f t="shared" si="45"/>
        <v>9988083.3282343056</v>
      </c>
      <c r="I115" s="399">
        <f t="shared" si="46"/>
        <v>9988083.3282343056</v>
      </c>
      <c r="J115" s="54">
        <f t="shared" si="22"/>
        <v>0</v>
      </c>
      <c r="K115" s="54"/>
      <c r="L115" s="129"/>
      <c r="M115" s="54">
        <f t="shared" si="24"/>
        <v>0</v>
      </c>
      <c r="N115" s="129"/>
      <c r="O115" s="54">
        <f t="shared" si="26"/>
        <v>0</v>
      </c>
      <c r="P115" s="54">
        <f t="shared" si="27"/>
        <v>0</v>
      </c>
    </row>
    <row r="116" spans="2:16" ht="12.5">
      <c r="B116" s="7" t="str">
        <f t="shared" si="28"/>
        <v/>
      </c>
      <c r="C116" s="50">
        <f>IF(D93="","-",+C115+1)</f>
        <v>2033</v>
      </c>
      <c r="D116" s="12">
        <f>IF(F115+SUM(E$99:E115)=D$92,F115,D$92-SUM(E$99:E115))</f>
        <v>61331078.046963409</v>
      </c>
      <c r="E116" s="378">
        <f>IF(+J96&lt;F115,J96,D116)</f>
        <v>2212962.5909090908</v>
      </c>
      <c r="F116" s="55">
        <f t="shared" si="43"/>
        <v>59118115.456054315</v>
      </c>
      <c r="G116" s="55">
        <f t="shared" si="44"/>
        <v>60224596.751508862</v>
      </c>
      <c r="H116" s="380">
        <f t="shared" si="45"/>
        <v>9712511.1964483503</v>
      </c>
      <c r="I116" s="399">
        <f t="shared" si="46"/>
        <v>9712511.1964483503</v>
      </c>
      <c r="J116" s="54">
        <f t="shared" si="22"/>
        <v>0</v>
      </c>
      <c r="K116" s="54"/>
      <c r="L116" s="129"/>
      <c r="M116" s="54">
        <f t="shared" si="24"/>
        <v>0</v>
      </c>
      <c r="N116" s="129"/>
      <c r="O116" s="54">
        <f t="shared" si="26"/>
        <v>0</v>
      </c>
      <c r="P116" s="54">
        <f t="shared" si="27"/>
        <v>0</v>
      </c>
    </row>
    <row r="117" spans="2:16" ht="12.5">
      <c r="B117" s="7" t="str">
        <f t="shared" si="28"/>
        <v/>
      </c>
      <c r="C117" s="50">
        <f>IF(D93="","-",+C116+1)</f>
        <v>2034</v>
      </c>
      <c r="D117" s="12">
        <f>IF(F116+SUM(E$99:E116)=D$92,F116,D$92-SUM(E$99:E116))</f>
        <v>59118115.456054315</v>
      </c>
      <c r="E117" s="378">
        <f>IF(+J96&lt;F116,J96,D117)</f>
        <v>2212962.5909090908</v>
      </c>
      <c r="F117" s="55">
        <f t="shared" si="43"/>
        <v>56905152.865145221</v>
      </c>
      <c r="G117" s="55">
        <f t="shared" si="44"/>
        <v>58011634.160599768</v>
      </c>
      <c r="H117" s="380">
        <f t="shared" si="45"/>
        <v>9436939.0646623932</v>
      </c>
      <c r="I117" s="399">
        <f t="shared" si="46"/>
        <v>9436939.0646623932</v>
      </c>
      <c r="J117" s="54">
        <f t="shared" si="22"/>
        <v>0</v>
      </c>
      <c r="K117" s="54"/>
      <c r="L117" s="129"/>
      <c r="M117" s="54">
        <f t="shared" si="24"/>
        <v>0</v>
      </c>
      <c r="N117" s="129"/>
      <c r="O117" s="54">
        <f t="shared" si="26"/>
        <v>0</v>
      </c>
      <c r="P117" s="54">
        <f t="shared" si="27"/>
        <v>0</v>
      </c>
    </row>
    <row r="118" spans="2:16" ht="12.5">
      <c r="B118" s="7" t="str">
        <f t="shared" si="28"/>
        <v/>
      </c>
      <c r="C118" s="50">
        <f>IF(D93="","-",+C117+1)</f>
        <v>2035</v>
      </c>
      <c r="D118" s="12">
        <f>IF(F117+SUM(E$99:E117)=D$92,F117,D$92-SUM(E$99:E117))</f>
        <v>56905152.865145221</v>
      </c>
      <c r="E118" s="378">
        <f>IF(+J96&lt;F117,J96,D118)</f>
        <v>2212962.5909090908</v>
      </c>
      <c r="F118" s="55">
        <f t="shared" si="43"/>
        <v>54692190.274236128</v>
      </c>
      <c r="G118" s="55">
        <f t="shared" si="44"/>
        <v>55798671.569690675</v>
      </c>
      <c r="H118" s="380">
        <f t="shared" si="45"/>
        <v>9161366.9328764379</v>
      </c>
      <c r="I118" s="399">
        <f t="shared" si="46"/>
        <v>9161366.9328764379</v>
      </c>
      <c r="J118" s="54">
        <f t="shared" si="22"/>
        <v>0</v>
      </c>
      <c r="K118" s="54"/>
      <c r="L118" s="129"/>
      <c r="M118" s="54">
        <f t="shared" si="24"/>
        <v>0</v>
      </c>
      <c r="N118" s="129"/>
      <c r="O118" s="54">
        <f t="shared" si="26"/>
        <v>0</v>
      </c>
      <c r="P118" s="54">
        <f t="shared" si="27"/>
        <v>0</v>
      </c>
    </row>
    <row r="119" spans="2:16" ht="12.5">
      <c r="B119" s="7" t="str">
        <f t="shared" si="28"/>
        <v/>
      </c>
      <c r="C119" s="50">
        <f>IF(D93="","-",+C118+1)</f>
        <v>2036</v>
      </c>
      <c r="D119" s="12">
        <f>IF(F118+SUM(E$99:E118)=D$92,F118,D$92-SUM(E$99:E118))</f>
        <v>54692190.274236128</v>
      </c>
      <c r="E119" s="378">
        <f>IF(+J96&lt;F118,J96,D119)</f>
        <v>2212962.5909090908</v>
      </c>
      <c r="F119" s="55">
        <f t="shared" si="43"/>
        <v>52479227.683327034</v>
      </c>
      <c r="G119" s="55">
        <f t="shared" si="44"/>
        <v>53585708.978781581</v>
      </c>
      <c r="H119" s="380">
        <f t="shared" si="45"/>
        <v>8885794.8010904826</v>
      </c>
      <c r="I119" s="399">
        <f t="shared" si="46"/>
        <v>8885794.8010904826</v>
      </c>
      <c r="J119" s="54">
        <f t="shared" si="22"/>
        <v>0</v>
      </c>
      <c r="K119" s="54"/>
      <c r="L119" s="129"/>
      <c r="M119" s="54">
        <f t="shared" si="24"/>
        <v>0</v>
      </c>
      <c r="N119" s="129"/>
      <c r="O119" s="54">
        <f t="shared" si="26"/>
        <v>0</v>
      </c>
      <c r="P119" s="54">
        <f t="shared" si="27"/>
        <v>0</v>
      </c>
    </row>
    <row r="120" spans="2:16" ht="12.5">
      <c r="B120" s="7" t="str">
        <f t="shared" si="28"/>
        <v/>
      </c>
      <c r="C120" s="50">
        <f>IF(D93="","-",+C119+1)</f>
        <v>2037</v>
      </c>
      <c r="D120" s="12">
        <f>IF(F119+SUM(E$99:E119)=D$92,F119,D$92-SUM(E$99:E119))</f>
        <v>52479227.683327034</v>
      </c>
      <c r="E120" s="378">
        <f>IF(+J96&lt;F119,J96,D120)</f>
        <v>2212962.5909090908</v>
      </c>
      <c r="F120" s="55">
        <f t="shared" si="43"/>
        <v>50266265.09241794</v>
      </c>
      <c r="G120" s="55">
        <f t="shared" si="44"/>
        <v>51372746.387872487</v>
      </c>
      <c r="H120" s="380">
        <f t="shared" si="45"/>
        <v>8610222.6693045273</v>
      </c>
      <c r="I120" s="399">
        <f t="shared" si="46"/>
        <v>8610222.6693045273</v>
      </c>
      <c r="J120" s="54">
        <f t="shared" si="22"/>
        <v>0</v>
      </c>
      <c r="K120" s="54"/>
      <c r="L120" s="129"/>
      <c r="M120" s="54">
        <f t="shared" si="24"/>
        <v>0</v>
      </c>
      <c r="N120" s="129"/>
      <c r="O120" s="54">
        <f t="shared" si="26"/>
        <v>0</v>
      </c>
      <c r="P120" s="54">
        <f t="shared" si="27"/>
        <v>0</v>
      </c>
    </row>
    <row r="121" spans="2:16" ht="12.5">
      <c r="B121" s="7" t="str">
        <f t="shared" si="28"/>
        <v/>
      </c>
      <c r="C121" s="50">
        <f>IF(D93="","-",+C120+1)</f>
        <v>2038</v>
      </c>
      <c r="D121" s="12">
        <f>IF(F120+SUM(E$99:E120)=D$92,F120,D$92-SUM(E$99:E120))</f>
        <v>50266265.09241794</v>
      </c>
      <c r="E121" s="378">
        <f>IF(+J96&lt;F120,J96,D121)</f>
        <v>2212962.5909090908</v>
      </c>
      <c r="F121" s="55">
        <f t="shared" si="43"/>
        <v>48053302.501508847</v>
      </c>
      <c r="G121" s="55">
        <f t="shared" si="44"/>
        <v>49159783.796963394</v>
      </c>
      <c r="H121" s="380">
        <f t="shared" si="45"/>
        <v>8334650.5375185721</v>
      </c>
      <c r="I121" s="399">
        <f t="shared" si="46"/>
        <v>8334650.5375185721</v>
      </c>
      <c r="J121" s="54">
        <f t="shared" si="22"/>
        <v>0</v>
      </c>
      <c r="K121" s="54"/>
      <c r="L121" s="129"/>
      <c r="M121" s="54">
        <f t="shared" si="24"/>
        <v>0</v>
      </c>
      <c r="N121" s="129"/>
      <c r="O121" s="54">
        <f t="shared" si="26"/>
        <v>0</v>
      </c>
      <c r="P121" s="54">
        <f t="shared" si="27"/>
        <v>0</v>
      </c>
    </row>
    <row r="122" spans="2:16" ht="12.5">
      <c r="B122" s="7" t="str">
        <f t="shared" si="28"/>
        <v/>
      </c>
      <c r="C122" s="50">
        <f>IF(D93="","-",+C121+1)</f>
        <v>2039</v>
      </c>
      <c r="D122" s="12">
        <f>IF(F121+SUM(E$99:E121)=D$92,F121,D$92-SUM(E$99:E121))</f>
        <v>48053302.501508847</v>
      </c>
      <c r="E122" s="378">
        <f>IF(+J96&lt;F121,J96,D122)</f>
        <v>2212962.5909090908</v>
      </c>
      <c r="F122" s="55">
        <f t="shared" si="43"/>
        <v>45840339.910599753</v>
      </c>
      <c r="G122" s="55">
        <f t="shared" si="44"/>
        <v>46946821.2060543</v>
      </c>
      <c r="H122" s="380">
        <f t="shared" si="45"/>
        <v>8059078.4057326159</v>
      </c>
      <c r="I122" s="399">
        <f t="shared" si="46"/>
        <v>8059078.4057326159</v>
      </c>
      <c r="J122" s="54">
        <f t="shared" si="22"/>
        <v>0</v>
      </c>
      <c r="K122" s="54"/>
      <c r="L122" s="129"/>
      <c r="M122" s="54">
        <f t="shared" si="24"/>
        <v>0</v>
      </c>
      <c r="N122" s="129"/>
      <c r="O122" s="54">
        <f t="shared" si="26"/>
        <v>0</v>
      </c>
      <c r="P122" s="54">
        <f t="shared" si="27"/>
        <v>0</v>
      </c>
    </row>
    <row r="123" spans="2:16" ht="12.5">
      <c r="B123" s="7" t="str">
        <f t="shared" si="28"/>
        <v/>
      </c>
      <c r="C123" s="50">
        <f>IF(D93="","-",+C122+1)</f>
        <v>2040</v>
      </c>
      <c r="D123" s="12">
        <f>IF(F122+SUM(E$99:E122)=D$92,F122,D$92-SUM(E$99:E122))</f>
        <v>45840339.910599753</v>
      </c>
      <c r="E123" s="378">
        <f>IF(+J96&lt;F122,J96,D123)</f>
        <v>2212962.5909090908</v>
      </c>
      <c r="F123" s="55">
        <f t="shared" si="43"/>
        <v>43627377.31969066</v>
      </c>
      <c r="G123" s="55">
        <f t="shared" si="44"/>
        <v>44733858.615145206</v>
      </c>
      <c r="H123" s="380">
        <f t="shared" si="45"/>
        <v>7783506.2739466606</v>
      </c>
      <c r="I123" s="399">
        <f t="shared" si="46"/>
        <v>7783506.2739466606</v>
      </c>
      <c r="J123" s="54">
        <f t="shared" si="22"/>
        <v>0</v>
      </c>
      <c r="K123" s="54"/>
      <c r="L123" s="129"/>
      <c r="M123" s="54">
        <f t="shared" si="24"/>
        <v>0</v>
      </c>
      <c r="N123" s="129"/>
      <c r="O123" s="54">
        <f t="shared" si="26"/>
        <v>0</v>
      </c>
      <c r="P123" s="54">
        <f t="shared" si="27"/>
        <v>0</v>
      </c>
    </row>
    <row r="124" spans="2:16" ht="12.5">
      <c r="B124" s="7" t="str">
        <f t="shared" si="28"/>
        <v/>
      </c>
      <c r="C124" s="50">
        <f>IF(D93="","-",+C123+1)</f>
        <v>2041</v>
      </c>
      <c r="D124" s="12">
        <f>IF(F123+SUM(E$99:E123)=D$92,F123,D$92-SUM(E$99:E123))</f>
        <v>43627377.31969066</v>
      </c>
      <c r="E124" s="378">
        <f>IF(+J96&lt;F123,J96,D124)</f>
        <v>2212962.5909090908</v>
      </c>
      <c r="F124" s="55">
        <f t="shared" si="43"/>
        <v>41414414.728781566</v>
      </c>
      <c r="G124" s="55">
        <f t="shared" si="44"/>
        <v>42520896.024236113</v>
      </c>
      <c r="H124" s="380">
        <f t="shared" si="45"/>
        <v>7507934.1421607044</v>
      </c>
      <c r="I124" s="399">
        <f t="shared" si="46"/>
        <v>7507934.1421607044</v>
      </c>
      <c r="J124" s="54">
        <f t="shared" si="22"/>
        <v>0</v>
      </c>
      <c r="K124" s="54"/>
      <c r="L124" s="129"/>
      <c r="M124" s="54">
        <f t="shared" si="24"/>
        <v>0</v>
      </c>
      <c r="N124" s="129"/>
      <c r="O124" s="54">
        <f t="shared" si="26"/>
        <v>0</v>
      </c>
      <c r="P124" s="54">
        <f t="shared" si="27"/>
        <v>0</v>
      </c>
    </row>
    <row r="125" spans="2:16" ht="12.5">
      <c r="B125" s="7" t="str">
        <f t="shared" si="28"/>
        <v/>
      </c>
      <c r="C125" s="50">
        <f>IF(D93="","-",+C124+1)</f>
        <v>2042</v>
      </c>
      <c r="D125" s="12">
        <f>IF(F124+SUM(E$99:E124)=D$92,F124,D$92-SUM(E$99:E124))</f>
        <v>41414414.728781566</v>
      </c>
      <c r="E125" s="378">
        <f>IF(+J96&lt;F124,J96,D125)</f>
        <v>2212962.5909090908</v>
      </c>
      <c r="F125" s="55">
        <f t="shared" si="43"/>
        <v>39201452.137872472</v>
      </c>
      <c r="G125" s="55">
        <f t="shared" si="44"/>
        <v>40307933.433327019</v>
      </c>
      <c r="H125" s="380">
        <f t="shared" si="45"/>
        <v>7232362.0103747491</v>
      </c>
      <c r="I125" s="399">
        <f t="shared" si="46"/>
        <v>7232362.0103747491</v>
      </c>
      <c r="J125" s="54">
        <f t="shared" si="22"/>
        <v>0</v>
      </c>
      <c r="K125" s="54"/>
      <c r="L125" s="129"/>
      <c r="M125" s="54">
        <f t="shared" si="24"/>
        <v>0</v>
      </c>
      <c r="N125" s="129"/>
      <c r="O125" s="54">
        <f t="shared" si="26"/>
        <v>0</v>
      </c>
      <c r="P125" s="54">
        <f t="shared" si="27"/>
        <v>0</v>
      </c>
    </row>
    <row r="126" spans="2:16" ht="12.5">
      <c r="B126" s="7" t="str">
        <f t="shared" si="28"/>
        <v/>
      </c>
      <c r="C126" s="50">
        <f>IF(D93="","-",+C125+1)</f>
        <v>2043</v>
      </c>
      <c r="D126" s="12">
        <f>IF(F125+SUM(E$99:E125)=D$92,F125,D$92-SUM(E$99:E125))</f>
        <v>39201452.137872472</v>
      </c>
      <c r="E126" s="378">
        <f>IF(+J96&lt;F125,J96,D126)</f>
        <v>2212962.5909090908</v>
      </c>
      <c r="F126" s="55">
        <f t="shared" si="43"/>
        <v>36988489.546963379</v>
      </c>
      <c r="G126" s="55">
        <f t="shared" si="44"/>
        <v>38094970.842417926</v>
      </c>
      <c r="H126" s="380">
        <f t="shared" si="45"/>
        <v>6956789.8785887929</v>
      </c>
      <c r="I126" s="399">
        <f t="shared" si="46"/>
        <v>6956789.8785887929</v>
      </c>
      <c r="J126" s="54">
        <f t="shared" si="22"/>
        <v>0</v>
      </c>
      <c r="K126" s="54"/>
      <c r="L126" s="129"/>
      <c r="M126" s="54">
        <f t="shared" si="24"/>
        <v>0</v>
      </c>
      <c r="N126" s="129"/>
      <c r="O126" s="54">
        <f t="shared" si="26"/>
        <v>0</v>
      </c>
      <c r="P126" s="54">
        <f t="shared" si="27"/>
        <v>0</v>
      </c>
    </row>
    <row r="127" spans="2:16" ht="12.5">
      <c r="B127" s="7" t="str">
        <f t="shared" si="28"/>
        <v/>
      </c>
      <c r="C127" s="50">
        <f>IF(D93="","-",+C126+1)</f>
        <v>2044</v>
      </c>
      <c r="D127" s="12">
        <f>IF(F126+SUM(E$99:E126)=D$92,F126,D$92-SUM(E$99:E126))</f>
        <v>36988489.546963379</v>
      </c>
      <c r="E127" s="378">
        <f>IF(+J96&lt;F126,J96,D127)</f>
        <v>2212962.5909090908</v>
      </c>
      <c r="F127" s="55">
        <f t="shared" si="43"/>
        <v>34775526.956054285</v>
      </c>
      <c r="G127" s="55">
        <f t="shared" si="44"/>
        <v>35882008.251508832</v>
      </c>
      <c r="H127" s="380">
        <f t="shared" si="45"/>
        <v>6681217.7468028376</v>
      </c>
      <c r="I127" s="399">
        <f t="shared" si="46"/>
        <v>6681217.7468028376</v>
      </c>
      <c r="J127" s="54">
        <f t="shared" si="22"/>
        <v>0</v>
      </c>
      <c r="K127" s="54"/>
      <c r="L127" s="129"/>
      <c r="M127" s="54">
        <f t="shared" si="24"/>
        <v>0</v>
      </c>
      <c r="N127" s="129"/>
      <c r="O127" s="54">
        <f t="shared" si="26"/>
        <v>0</v>
      </c>
      <c r="P127" s="54">
        <f t="shared" si="27"/>
        <v>0</v>
      </c>
    </row>
    <row r="128" spans="2:16" ht="12.5">
      <c r="B128" s="7" t="str">
        <f t="shared" si="28"/>
        <v/>
      </c>
      <c r="C128" s="50">
        <f>IF(D93="","-",+C127+1)</f>
        <v>2045</v>
      </c>
      <c r="D128" s="12">
        <f>IF(F127+SUM(E$99:E127)=D$92,F127,D$92-SUM(E$99:E127))</f>
        <v>34775526.956054285</v>
      </c>
      <c r="E128" s="378">
        <f>IF(+J96&lt;F127,J96,D128)</f>
        <v>2212962.5909090908</v>
      </c>
      <c r="F128" s="55">
        <f t="shared" si="43"/>
        <v>32562564.365145195</v>
      </c>
      <c r="G128" s="55">
        <f t="shared" si="44"/>
        <v>33669045.660599738</v>
      </c>
      <c r="H128" s="380">
        <f t="shared" si="45"/>
        <v>6405645.6150168814</v>
      </c>
      <c r="I128" s="399">
        <f t="shared" si="46"/>
        <v>6405645.6150168814</v>
      </c>
      <c r="J128" s="54">
        <f t="shared" si="22"/>
        <v>0</v>
      </c>
      <c r="K128" s="54"/>
      <c r="L128" s="129"/>
      <c r="M128" s="54">
        <f t="shared" si="24"/>
        <v>0</v>
      </c>
      <c r="N128" s="129"/>
      <c r="O128" s="54">
        <f t="shared" si="26"/>
        <v>0</v>
      </c>
      <c r="P128" s="54">
        <f t="shared" si="27"/>
        <v>0</v>
      </c>
    </row>
    <row r="129" spans="2:16" ht="12.5">
      <c r="B129" s="7" t="str">
        <f t="shared" si="28"/>
        <v/>
      </c>
      <c r="C129" s="50">
        <f>IF(D93="","-",+C128+1)</f>
        <v>2046</v>
      </c>
      <c r="D129" s="12">
        <f>IF(F128+SUM(E$99:E128)=D$92,F128,D$92-SUM(E$99:E128))</f>
        <v>32562564.365145195</v>
      </c>
      <c r="E129" s="378">
        <f>IF(+J96&lt;F128,J96,D129)</f>
        <v>2212962.5909090908</v>
      </c>
      <c r="F129" s="55">
        <f t="shared" si="43"/>
        <v>30349601.774236105</v>
      </c>
      <c r="G129" s="55">
        <f t="shared" si="44"/>
        <v>31456083.069690652</v>
      </c>
      <c r="H129" s="380">
        <f t="shared" si="45"/>
        <v>6130073.483230927</v>
      </c>
      <c r="I129" s="399">
        <f t="shared" si="46"/>
        <v>6130073.483230927</v>
      </c>
      <c r="J129" s="54">
        <f t="shared" si="22"/>
        <v>0</v>
      </c>
      <c r="K129" s="54"/>
      <c r="L129" s="129"/>
      <c r="M129" s="54">
        <f t="shared" si="24"/>
        <v>0</v>
      </c>
      <c r="N129" s="129"/>
      <c r="O129" s="54">
        <f t="shared" si="26"/>
        <v>0</v>
      </c>
      <c r="P129" s="54">
        <f t="shared" si="27"/>
        <v>0</v>
      </c>
    </row>
    <row r="130" spans="2:16" ht="12.5">
      <c r="B130" s="7" t="str">
        <f t="shared" si="28"/>
        <v/>
      </c>
      <c r="C130" s="50">
        <f>IF(D93="","-",+C129+1)</f>
        <v>2047</v>
      </c>
      <c r="D130" s="12">
        <f>IF(F129+SUM(E$99:E129)=D$92,F129,D$92-SUM(E$99:E129))</f>
        <v>30349601.774236105</v>
      </c>
      <c r="E130" s="378">
        <f>IF(+J96&lt;F129,J96,D130)</f>
        <v>2212962.5909090908</v>
      </c>
      <c r="F130" s="55">
        <f t="shared" si="43"/>
        <v>28136639.183327015</v>
      </c>
      <c r="G130" s="55">
        <f t="shared" si="44"/>
        <v>29243120.478781559</v>
      </c>
      <c r="H130" s="380">
        <f t="shared" si="45"/>
        <v>5854501.3514449708</v>
      </c>
      <c r="I130" s="399">
        <f t="shared" si="46"/>
        <v>5854501.3514449708</v>
      </c>
      <c r="J130" s="54">
        <f t="shared" si="22"/>
        <v>0</v>
      </c>
      <c r="K130" s="54"/>
      <c r="L130" s="129"/>
      <c r="M130" s="54">
        <f t="shared" si="24"/>
        <v>0</v>
      </c>
      <c r="N130" s="129"/>
      <c r="O130" s="54">
        <f t="shared" si="26"/>
        <v>0</v>
      </c>
      <c r="P130" s="54">
        <f t="shared" si="27"/>
        <v>0</v>
      </c>
    </row>
    <row r="131" spans="2:16" ht="12.5">
      <c r="B131" s="7" t="str">
        <f t="shared" si="28"/>
        <v/>
      </c>
      <c r="C131" s="50">
        <f>IF(D93="","-",+C130+1)</f>
        <v>2048</v>
      </c>
      <c r="D131" s="12">
        <f>IF(F130+SUM(E$99:E130)=D$92,F130,D$92-SUM(E$99:E130))</f>
        <v>28136639.183327015</v>
      </c>
      <c r="E131" s="378">
        <f>IF(+J96&lt;F130,J96,D131)</f>
        <v>2212962.5909090908</v>
      </c>
      <c r="F131" s="55">
        <f t="shared" ref="F131:F154" si="47">+D131-E131</f>
        <v>25923676.592417926</v>
      </c>
      <c r="G131" s="55">
        <f t="shared" ref="G131:G154" si="48">+(F131+D131)/2</f>
        <v>27030157.887872472</v>
      </c>
      <c r="H131" s="380">
        <f t="shared" si="45"/>
        <v>5578929.2196590165</v>
      </c>
      <c r="I131" s="399">
        <f t="shared" si="46"/>
        <v>5578929.2196590165</v>
      </c>
      <c r="J131" s="54">
        <f t="shared" ref="J131:J154" si="49">+I541-H541</f>
        <v>0</v>
      </c>
      <c r="K131" s="54"/>
      <c r="L131" s="129"/>
      <c r="M131" s="54">
        <f t="shared" ref="M131:M154" si="50">IF(L541&lt;&gt;0,+H541-L541,0)</f>
        <v>0</v>
      </c>
      <c r="N131" s="129"/>
      <c r="O131" s="54">
        <f t="shared" ref="O131:O154" si="51">IF(N541&lt;&gt;0,+I541-N541,0)</f>
        <v>0</v>
      </c>
      <c r="P131" s="54">
        <f t="shared" ref="P131:P154" si="52">+O541-M541</f>
        <v>0</v>
      </c>
    </row>
    <row r="132" spans="2:16" ht="12.5">
      <c r="B132" s="7" t="str">
        <f t="shared" si="28"/>
        <v/>
      </c>
      <c r="C132" s="50">
        <f>IF(D93="","-",+C131+1)</f>
        <v>2049</v>
      </c>
      <c r="D132" s="12">
        <f>IF(F131+SUM(E$99:E131)=D$92,F131,D$92-SUM(E$99:E131))</f>
        <v>25923676.592417926</v>
      </c>
      <c r="E132" s="378">
        <f>IF(+J96&lt;F131,J96,D132)</f>
        <v>2212962.5909090908</v>
      </c>
      <c r="F132" s="55">
        <f t="shared" si="47"/>
        <v>23710714.001508836</v>
      </c>
      <c r="G132" s="55">
        <f t="shared" si="48"/>
        <v>24817195.296963379</v>
      </c>
      <c r="H132" s="380">
        <f t="shared" si="45"/>
        <v>5303357.0878730603</v>
      </c>
      <c r="I132" s="399">
        <f t="shared" si="46"/>
        <v>5303357.0878730603</v>
      </c>
      <c r="J132" s="54">
        <f t="shared" si="49"/>
        <v>0</v>
      </c>
      <c r="K132" s="54"/>
      <c r="L132" s="129"/>
      <c r="M132" s="54">
        <f t="shared" si="50"/>
        <v>0</v>
      </c>
      <c r="N132" s="129"/>
      <c r="O132" s="54">
        <f t="shared" si="51"/>
        <v>0</v>
      </c>
      <c r="P132" s="54">
        <f t="shared" si="52"/>
        <v>0</v>
      </c>
    </row>
    <row r="133" spans="2:16" ht="12.5">
      <c r="B133" s="7" t="str">
        <f t="shared" si="28"/>
        <v/>
      </c>
      <c r="C133" s="50">
        <f>IF(D93="","-",+C132+1)</f>
        <v>2050</v>
      </c>
      <c r="D133" s="12">
        <f>IF(F132+SUM(E$99:E132)=D$92,F132,D$92-SUM(E$99:E132))</f>
        <v>23710714.001508836</v>
      </c>
      <c r="E133" s="378">
        <f>IF(+J96&lt;F132,J96,D133)</f>
        <v>2212962.5909090908</v>
      </c>
      <c r="F133" s="55">
        <f t="shared" si="47"/>
        <v>21497751.410599746</v>
      </c>
      <c r="G133" s="55">
        <f t="shared" si="48"/>
        <v>22604232.706054293</v>
      </c>
      <c r="H133" s="380">
        <f t="shared" si="45"/>
        <v>5027784.9560871059</v>
      </c>
      <c r="I133" s="399">
        <f t="shared" si="46"/>
        <v>5027784.9560871059</v>
      </c>
      <c r="J133" s="54">
        <f t="shared" si="49"/>
        <v>0</v>
      </c>
      <c r="K133" s="54"/>
      <c r="L133" s="129"/>
      <c r="M133" s="54">
        <f t="shared" si="50"/>
        <v>0</v>
      </c>
      <c r="N133" s="129"/>
      <c r="O133" s="54">
        <f t="shared" si="51"/>
        <v>0</v>
      </c>
      <c r="P133" s="54">
        <f t="shared" si="52"/>
        <v>0</v>
      </c>
    </row>
    <row r="134" spans="2:16" ht="12.5">
      <c r="B134" s="7" t="str">
        <f t="shared" si="28"/>
        <v/>
      </c>
      <c r="C134" s="50">
        <f>IF(D93="","-",+C133+1)</f>
        <v>2051</v>
      </c>
      <c r="D134" s="12">
        <f>IF(F133+SUM(E$99:E133)=D$92,F133,D$92-SUM(E$99:E133))</f>
        <v>21497751.410599746</v>
      </c>
      <c r="E134" s="378">
        <f>IF(+J96&lt;F133,J96,D134)</f>
        <v>2212962.5909090908</v>
      </c>
      <c r="F134" s="55">
        <f t="shared" si="47"/>
        <v>19284788.819690656</v>
      </c>
      <c r="G134" s="55">
        <f t="shared" si="48"/>
        <v>20391270.115145199</v>
      </c>
      <c r="H134" s="380">
        <f t="shared" si="45"/>
        <v>4752212.8243011497</v>
      </c>
      <c r="I134" s="399">
        <f t="shared" si="46"/>
        <v>4752212.8243011497</v>
      </c>
      <c r="J134" s="54">
        <f t="shared" si="49"/>
        <v>0</v>
      </c>
      <c r="K134" s="54"/>
      <c r="L134" s="129"/>
      <c r="M134" s="54">
        <f t="shared" si="50"/>
        <v>0</v>
      </c>
      <c r="N134" s="129"/>
      <c r="O134" s="54">
        <f t="shared" si="51"/>
        <v>0</v>
      </c>
      <c r="P134" s="54">
        <f t="shared" si="52"/>
        <v>0</v>
      </c>
    </row>
    <row r="135" spans="2:16" ht="12.5">
      <c r="B135" s="7" t="str">
        <f t="shared" si="28"/>
        <v/>
      </c>
      <c r="C135" s="50">
        <f>IF(D93="","-",+C134+1)</f>
        <v>2052</v>
      </c>
      <c r="D135" s="12">
        <f>IF(F134+SUM(E$99:E134)=D$92,F134,D$92-SUM(E$99:E134))</f>
        <v>19284788.819690656</v>
      </c>
      <c r="E135" s="378">
        <f>IF(+J96&lt;F134,J96,D135)</f>
        <v>2212962.5909090908</v>
      </c>
      <c r="F135" s="55">
        <f t="shared" si="47"/>
        <v>17071826.228781566</v>
      </c>
      <c r="G135" s="55">
        <f t="shared" si="48"/>
        <v>18178307.524236113</v>
      </c>
      <c r="H135" s="380">
        <f t="shared" si="45"/>
        <v>4476640.6925151963</v>
      </c>
      <c r="I135" s="399">
        <f t="shared" si="46"/>
        <v>4476640.6925151963</v>
      </c>
      <c r="J135" s="54">
        <f t="shared" si="49"/>
        <v>0</v>
      </c>
      <c r="K135" s="54"/>
      <c r="L135" s="129"/>
      <c r="M135" s="54">
        <f t="shared" si="50"/>
        <v>0</v>
      </c>
      <c r="N135" s="129"/>
      <c r="O135" s="54">
        <f t="shared" si="51"/>
        <v>0</v>
      </c>
      <c r="P135" s="54">
        <f t="shared" si="52"/>
        <v>0</v>
      </c>
    </row>
    <row r="136" spans="2:16" ht="12.5">
      <c r="B136" s="7" t="str">
        <f t="shared" si="28"/>
        <v/>
      </c>
      <c r="C136" s="50">
        <f>IF(D93="","-",+C135+1)</f>
        <v>2053</v>
      </c>
      <c r="D136" s="12">
        <f>IF(F135+SUM(E$99:E135)=D$92,F135,D$92-SUM(E$99:E135))</f>
        <v>17071826.228781566</v>
      </c>
      <c r="E136" s="378">
        <f>IF(+J96&lt;F135,J96,D136)</f>
        <v>2212962.5909090908</v>
      </c>
      <c r="F136" s="55">
        <f t="shared" si="47"/>
        <v>14858863.637872476</v>
      </c>
      <c r="G136" s="55">
        <f t="shared" si="48"/>
        <v>15965344.933327021</v>
      </c>
      <c r="H136" s="380">
        <f t="shared" si="45"/>
        <v>4201068.5607292401</v>
      </c>
      <c r="I136" s="399">
        <f t="shared" si="46"/>
        <v>4201068.5607292401</v>
      </c>
      <c r="J136" s="54">
        <f t="shared" si="49"/>
        <v>0</v>
      </c>
      <c r="K136" s="54"/>
      <c r="L136" s="129"/>
      <c r="M136" s="54">
        <f t="shared" si="50"/>
        <v>0</v>
      </c>
      <c r="N136" s="129"/>
      <c r="O136" s="54">
        <f t="shared" si="51"/>
        <v>0</v>
      </c>
      <c r="P136" s="54">
        <f t="shared" si="52"/>
        <v>0</v>
      </c>
    </row>
    <row r="137" spans="2:16" ht="12.5">
      <c r="B137" s="7" t="str">
        <f t="shared" si="28"/>
        <v/>
      </c>
      <c r="C137" s="50">
        <f>IF(D93="","-",+C136+1)</f>
        <v>2054</v>
      </c>
      <c r="D137" s="12">
        <f>IF(F136+SUM(E$99:E136)=D$92,F136,D$92-SUM(E$99:E136))</f>
        <v>14858863.637872476</v>
      </c>
      <c r="E137" s="378">
        <f>IF(+J96&lt;F136,J96,D137)</f>
        <v>2212962.5909090908</v>
      </c>
      <c r="F137" s="55">
        <f t="shared" si="47"/>
        <v>12645901.046963386</v>
      </c>
      <c r="G137" s="55">
        <f t="shared" si="48"/>
        <v>13752382.342417931</v>
      </c>
      <c r="H137" s="380">
        <f t="shared" si="45"/>
        <v>3925496.4289432848</v>
      </c>
      <c r="I137" s="399">
        <f t="shared" si="46"/>
        <v>3925496.4289432848</v>
      </c>
      <c r="J137" s="54">
        <f t="shared" si="49"/>
        <v>0</v>
      </c>
      <c r="K137" s="54"/>
      <c r="L137" s="129"/>
      <c r="M137" s="54">
        <f t="shared" si="50"/>
        <v>0</v>
      </c>
      <c r="N137" s="129"/>
      <c r="O137" s="54">
        <f t="shared" si="51"/>
        <v>0</v>
      </c>
      <c r="P137" s="54">
        <f t="shared" si="52"/>
        <v>0</v>
      </c>
    </row>
    <row r="138" spans="2:16" ht="12.5">
      <c r="B138" s="7" t="str">
        <f t="shared" si="28"/>
        <v/>
      </c>
      <c r="C138" s="50">
        <f>IF(D93="","-",+C137+1)</f>
        <v>2055</v>
      </c>
      <c r="D138" s="12">
        <f>IF(F137+SUM(E$99:E137)=D$92,F137,D$92-SUM(E$99:E137))</f>
        <v>12645901.046963386</v>
      </c>
      <c r="E138" s="378">
        <f>IF(+J96&lt;F137,J96,D138)</f>
        <v>2212962.5909090908</v>
      </c>
      <c r="F138" s="55">
        <f t="shared" si="47"/>
        <v>10432938.456054296</v>
      </c>
      <c r="G138" s="55">
        <f t="shared" si="48"/>
        <v>11539419.751508841</v>
      </c>
      <c r="H138" s="380">
        <f t="shared" si="45"/>
        <v>3649924.2971573295</v>
      </c>
      <c r="I138" s="399">
        <f t="shared" si="46"/>
        <v>3649924.2971573295</v>
      </c>
      <c r="J138" s="54">
        <f t="shared" si="49"/>
        <v>0</v>
      </c>
      <c r="K138" s="54"/>
      <c r="L138" s="129"/>
      <c r="M138" s="54">
        <f t="shared" si="50"/>
        <v>0</v>
      </c>
      <c r="N138" s="129"/>
      <c r="O138" s="54">
        <f t="shared" si="51"/>
        <v>0</v>
      </c>
      <c r="P138" s="54">
        <f t="shared" si="52"/>
        <v>0</v>
      </c>
    </row>
    <row r="139" spans="2:16" ht="12.5">
      <c r="B139" s="7" t="str">
        <f t="shared" si="28"/>
        <v/>
      </c>
      <c r="C139" s="50">
        <f>IF(D93="","-",+C138+1)</f>
        <v>2056</v>
      </c>
      <c r="D139" s="12">
        <f>IF(F138+SUM(E$99:E138)=D$92,F138,D$92-SUM(E$99:E138))</f>
        <v>10432938.456054296</v>
      </c>
      <c r="E139" s="378">
        <f>IF(+J96&lt;F138,J96,D139)</f>
        <v>2212962.5909090908</v>
      </c>
      <c r="F139" s="55">
        <f t="shared" si="47"/>
        <v>8219975.8651452055</v>
      </c>
      <c r="G139" s="55">
        <f t="shared" si="48"/>
        <v>9326457.1605997514</v>
      </c>
      <c r="H139" s="380">
        <f t="shared" si="45"/>
        <v>3374352.1653713742</v>
      </c>
      <c r="I139" s="399">
        <f t="shared" si="46"/>
        <v>3374352.1653713742</v>
      </c>
      <c r="J139" s="54">
        <f t="shared" si="49"/>
        <v>0</v>
      </c>
      <c r="K139" s="54"/>
      <c r="L139" s="129"/>
      <c r="M139" s="54">
        <f t="shared" si="50"/>
        <v>0</v>
      </c>
      <c r="N139" s="129"/>
      <c r="O139" s="54">
        <f t="shared" si="51"/>
        <v>0</v>
      </c>
      <c r="P139" s="54">
        <f t="shared" si="52"/>
        <v>0</v>
      </c>
    </row>
    <row r="140" spans="2:16" ht="12.5">
      <c r="B140" s="7" t="str">
        <f t="shared" si="28"/>
        <v/>
      </c>
      <c r="C140" s="50">
        <f>IF(D93="","-",+C139+1)</f>
        <v>2057</v>
      </c>
      <c r="D140" s="12">
        <f>IF(F139+SUM(E$99:E139)=D$92,F139,D$92-SUM(E$99:E139))</f>
        <v>8219975.8651452055</v>
      </c>
      <c r="E140" s="378">
        <f>IF(+J96&lt;F139,J96,D140)</f>
        <v>2212962.5909090908</v>
      </c>
      <c r="F140" s="55">
        <f t="shared" si="47"/>
        <v>6007013.2742361147</v>
      </c>
      <c r="G140" s="55">
        <f t="shared" si="48"/>
        <v>7113494.5696906596</v>
      </c>
      <c r="H140" s="380">
        <f t="shared" si="45"/>
        <v>3098780.0335854189</v>
      </c>
      <c r="I140" s="399">
        <f t="shared" si="46"/>
        <v>3098780.0335854189</v>
      </c>
      <c r="J140" s="54">
        <f t="shared" si="49"/>
        <v>0</v>
      </c>
      <c r="K140" s="54"/>
      <c r="L140" s="129"/>
      <c r="M140" s="54">
        <f t="shared" si="50"/>
        <v>0</v>
      </c>
      <c r="N140" s="129"/>
      <c r="O140" s="54">
        <f t="shared" si="51"/>
        <v>0</v>
      </c>
      <c r="P140" s="54">
        <f t="shared" si="52"/>
        <v>0</v>
      </c>
    </row>
    <row r="141" spans="2:16" ht="12.5">
      <c r="B141" s="7" t="str">
        <f t="shared" si="28"/>
        <v/>
      </c>
      <c r="C141" s="50">
        <f>IF(D93="","-",+C140+1)</f>
        <v>2058</v>
      </c>
      <c r="D141" s="12">
        <f>IF(F140+SUM(E$99:E140)=D$92,F140,D$92-SUM(E$99:E140))</f>
        <v>6007013.2742361147</v>
      </c>
      <c r="E141" s="378">
        <f>IF(+J96&lt;F140,J96,D141)</f>
        <v>2212962.5909090908</v>
      </c>
      <c r="F141" s="55">
        <f t="shared" si="47"/>
        <v>3794050.6833270239</v>
      </c>
      <c r="G141" s="55">
        <f t="shared" si="48"/>
        <v>4900531.9787815697</v>
      </c>
      <c r="H141" s="380">
        <f t="shared" si="45"/>
        <v>2823207.9017994637</v>
      </c>
      <c r="I141" s="399">
        <f t="shared" si="46"/>
        <v>2823207.9017994637</v>
      </c>
      <c r="J141" s="54">
        <f t="shared" si="49"/>
        <v>0</v>
      </c>
      <c r="K141" s="54"/>
      <c r="L141" s="129"/>
      <c r="M141" s="54">
        <f t="shared" si="50"/>
        <v>0</v>
      </c>
      <c r="N141" s="129"/>
      <c r="O141" s="54">
        <f t="shared" si="51"/>
        <v>0</v>
      </c>
      <c r="P141" s="54">
        <f t="shared" si="52"/>
        <v>0</v>
      </c>
    </row>
    <row r="142" spans="2:16" ht="12.5">
      <c r="B142" s="7" t="str">
        <f t="shared" si="28"/>
        <v/>
      </c>
      <c r="C142" s="50">
        <f>IF(D93="","-",+C141+1)</f>
        <v>2059</v>
      </c>
      <c r="D142" s="12">
        <f>IF(F141+SUM(E$99:E141)=D$92,F141,D$92-SUM(E$99:E141))</f>
        <v>3794050.6833270239</v>
      </c>
      <c r="E142" s="378">
        <f>IF(+J96&lt;F141,J96,D142)</f>
        <v>2212962.5909090908</v>
      </c>
      <c r="F142" s="55">
        <f t="shared" si="47"/>
        <v>1581088.092417933</v>
      </c>
      <c r="G142" s="55">
        <f t="shared" si="48"/>
        <v>2687569.3878724785</v>
      </c>
      <c r="H142" s="380">
        <f t="shared" si="45"/>
        <v>2547635.7700135084</v>
      </c>
      <c r="I142" s="399">
        <f t="shared" si="46"/>
        <v>2547635.7700135084</v>
      </c>
      <c r="J142" s="54">
        <f t="shared" si="49"/>
        <v>0</v>
      </c>
      <c r="K142" s="54"/>
      <c r="L142" s="129"/>
      <c r="M142" s="54">
        <f t="shared" si="50"/>
        <v>0</v>
      </c>
      <c r="N142" s="129"/>
      <c r="O142" s="54">
        <f t="shared" si="51"/>
        <v>0</v>
      </c>
      <c r="P142" s="54">
        <f t="shared" si="52"/>
        <v>0</v>
      </c>
    </row>
    <row r="143" spans="2:16" ht="12.5">
      <c r="B143" s="7" t="str">
        <f t="shared" si="28"/>
        <v/>
      </c>
      <c r="C143" s="50">
        <f>IF(D93="","-",+C142+1)</f>
        <v>2060</v>
      </c>
      <c r="D143" s="12">
        <f>IF(F142+SUM(E$99:E142)=D$92,F142,D$92-SUM(E$99:E142))</f>
        <v>1581088.092417933</v>
      </c>
      <c r="E143" s="378">
        <f>IF(+J96&lt;F142,J96,D143)</f>
        <v>1581088.092417933</v>
      </c>
      <c r="F143" s="55">
        <f t="shared" si="47"/>
        <v>0</v>
      </c>
      <c r="G143" s="55">
        <f t="shared" si="48"/>
        <v>790544.04620896652</v>
      </c>
      <c r="H143" s="380">
        <f t="shared" si="45"/>
        <v>1679531.649023653</v>
      </c>
      <c r="I143" s="399">
        <f t="shared" si="46"/>
        <v>1679531.649023653</v>
      </c>
      <c r="J143" s="54">
        <f t="shared" si="49"/>
        <v>0</v>
      </c>
      <c r="K143" s="54"/>
      <c r="L143" s="129"/>
      <c r="M143" s="54">
        <f t="shared" si="50"/>
        <v>0</v>
      </c>
      <c r="N143" s="129"/>
      <c r="O143" s="54">
        <f t="shared" si="51"/>
        <v>0</v>
      </c>
      <c r="P143" s="54">
        <f t="shared" si="52"/>
        <v>0</v>
      </c>
    </row>
    <row r="144" spans="2:16" ht="12.5">
      <c r="B144" s="7" t="str">
        <f t="shared" si="28"/>
        <v/>
      </c>
      <c r="C144" s="50">
        <f>IF(D93="","-",+C143+1)</f>
        <v>2061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47"/>
        <v>0</v>
      </c>
      <c r="G144" s="55">
        <f t="shared" si="48"/>
        <v>0</v>
      </c>
      <c r="H144" s="380">
        <f t="shared" si="45"/>
        <v>0</v>
      </c>
      <c r="I144" s="399">
        <f t="shared" si="46"/>
        <v>0</v>
      </c>
      <c r="J144" s="54">
        <f t="shared" si="49"/>
        <v>0</v>
      </c>
      <c r="K144" s="54"/>
      <c r="L144" s="129"/>
      <c r="M144" s="54">
        <f t="shared" si="50"/>
        <v>0</v>
      </c>
      <c r="N144" s="129"/>
      <c r="O144" s="54">
        <f t="shared" si="51"/>
        <v>0</v>
      </c>
      <c r="P144" s="54">
        <f t="shared" si="52"/>
        <v>0</v>
      </c>
    </row>
    <row r="145" spans="2:16" ht="12.5">
      <c r="B145" s="7" t="str">
        <f t="shared" si="28"/>
        <v/>
      </c>
      <c r="C145" s="50">
        <f>IF(D93="","-",+C144+1)</f>
        <v>2062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47"/>
        <v>0</v>
      </c>
      <c r="G145" s="55">
        <f t="shared" si="48"/>
        <v>0</v>
      </c>
      <c r="H145" s="380">
        <f t="shared" si="45"/>
        <v>0</v>
      </c>
      <c r="I145" s="399">
        <f t="shared" si="46"/>
        <v>0</v>
      </c>
      <c r="J145" s="54">
        <f t="shared" si="49"/>
        <v>0</v>
      </c>
      <c r="K145" s="54"/>
      <c r="L145" s="129"/>
      <c r="M145" s="54">
        <f t="shared" si="50"/>
        <v>0</v>
      </c>
      <c r="N145" s="129"/>
      <c r="O145" s="54">
        <f t="shared" si="51"/>
        <v>0</v>
      </c>
      <c r="P145" s="54">
        <f t="shared" si="52"/>
        <v>0</v>
      </c>
    </row>
    <row r="146" spans="2:16" ht="12.5">
      <c r="B146" s="7" t="str">
        <f t="shared" si="28"/>
        <v/>
      </c>
      <c r="C146" s="50">
        <f>IF(D93="","-",+C145+1)</f>
        <v>2063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47"/>
        <v>0</v>
      </c>
      <c r="G146" s="55">
        <f t="shared" si="48"/>
        <v>0</v>
      </c>
      <c r="H146" s="380">
        <f t="shared" si="45"/>
        <v>0</v>
      </c>
      <c r="I146" s="399">
        <f t="shared" si="46"/>
        <v>0</v>
      </c>
      <c r="J146" s="54">
        <f t="shared" si="49"/>
        <v>0</v>
      </c>
      <c r="K146" s="54"/>
      <c r="L146" s="129"/>
      <c r="M146" s="54">
        <f t="shared" si="50"/>
        <v>0</v>
      </c>
      <c r="N146" s="129"/>
      <c r="O146" s="54">
        <f t="shared" si="51"/>
        <v>0</v>
      </c>
      <c r="P146" s="54">
        <f t="shared" si="52"/>
        <v>0</v>
      </c>
    </row>
    <row r="147" spans="2:16" ht="12.5">
      <c r="B147" s="7" t="str">
        <f t="shared" si="28"/>
        <v/>
      </c>
      <c r="C147" s="50">
        <f>IF(D93="","-",+C146+1)</f>
        <v>2064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47"/>
        <v>0</v>
      </c>
      <c r="G147" s="55">
        <f t="shared" si="48"/>
        <v>0</v>
      </c>
      <c r="H147" s="380">
        <f t="shared" si="45"/>
        <v>0</v>
      </c>
      <c r="I147" s="399">
        <f t="shared" si="46"/>
        <v>0</v>
      </c>
      <c r="J147" s="54">
        <f t="shared" si="49"/>
        <v>0</v>
      </c>
      <c r="K147" s="54"/>
      <c r="L147" s="129"/>
      <c r="M147" s="54">
        <f t="shared" si="50"/>
        <v>0</v>
      </c>
      <c r="N147" s="129"/>
      <c r="O147" s="54">
        <f t="shared" si="51"/>
        <v>0</v>
      </c>
      <c r="P147" s="54">
        <f t="shared" si="52"/>
        <v>0</v>
      </c>
    </row>
    <row r="148" spans="2:16" ht="12.5">
      <c r="B148" s="7" t="str">
        <f t="shared" si="28"/>
        <v/>
      </c>
      <c r="C148" s="50">
        <f>IF(D93="","-",+C147+1)</f>
        <v>2065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47"/>
        <v>0</v>
      </c>
      <c r="G148" s="55">
        <f t="shared" si="48"/>
        <v>0</v>
      </c>
      <c r="H148" s="380">
        <f t="shared" si="45"/>
        <v>0</v>
      </c>
      <c r="I148" s="399">
        <f t="shared" si="46"/>
        <v>0</v>
      </c>
      <c r="J148" s="54">
        <f t="shared" si="49"/>
        <v>0</v>
      </c>
      <c r="K148" s="54"/>
      <c r="L148" s="129"/>
      <c r="M148" s="54">
        <f t="shared" si="50"/>
        <v>0</v>
      </c>
      <c r="N148" s="129"/>
      <c r="O148" s="54">
        <f t="shared" si="51"/>
        <v>0</v>
      </c>
      <c r="P148" s="54">
        <f t="shared" si="52"/>
        <v>0</v>
      </c>
    </row>
    <row r="149" spans="2:16" ht="12.5">
      <c r="B149" s="7" t="str">
        <f t="shared" si="28"/>
        <v/>
      </c>
      <c r="C149" s="50">
        <f>IF(D93="","-",+C148+1)</f>
        <v>2066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47"/>
        <v>0</v>
      </c>
      <c r="G149" s="55">
        <f t="shared" si="48"/>
        <v>0</v>
      </c>
      <c r="H149" s="380">
        <f t="shared" si="45"/>
        <v>0</v>
      </c>
      <c r="I149" s="399">
        <f t="shared" si="46"/>
        <v>0</v>
      </c>
      <c r="J149" s="54">
        <f t="shared" si="49"/>
        <v>0</v>
      </c>
      <c r="K149" s="54"/>
      <c r="L149" s="129"/>
      <c r="M149" s="54">
        <f t="shared" si="50"/>
        <v>0</v>
      </c>
      <c r="N149" s="129"/>
      <c r="O149" s="54">
        <f t="shared" si="51"/>
        <v>0</v>
      </c>
      <c r="P149" s="54">
        <f t="shared" si="52"/>
        <v>0</v>
      </c>
    </row>
    <row r="150" spans="2:16" ht="12.5">
      <c r="B150" s="7" t="str">
        <f t="shared" si="28"/>
        <v/>
      </c>
      <c r="C150" s="50">
        <f>IF(D93="","-",+C149+1)</f>
        <v>2067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47"/>
        <v>0</v>
      </c>
      <c r="G150" s="55">
        <f t="shared" si="48"/>
        <v>0</v>
      </c>
      <c r="H150" s="380">
        <f t="shared" si="45"/>
        <v>0</v>
      </c>
      <c r="I150" s="399">
        <f t="shared" si="46"/>
        <v>0</v>
      </c>
      <c r="J150" s="54">
        <f t="shared" si="49"/>
        <v>0</v>
      </c>
      <c r="K150" s="54"/>
      <c r="L150" s="129"/>
      <c r="M150" s="54">
        <f t="shared" si="50"/>
        <v>0</v>
      </c>
      <c r="N150" s="129"/>
      <c r="O150" s="54">
        <f t="shared" si="51"/>
        <v>0</v>
      </c>
      <c r="P150" s="54">
        <f t="shared" si="52"/>
        <v>0</v>
      </c>
    </row>
    <row r="151" spans="2:16" ht="12.5">
      <c r="B151" s="7" t="str">
        <f t="shared" si="28"/>
        <v/>
      </c>
      <c r="C151" s="50">
        <f>IF(D93="","-",+C150+1)</f>
        <v>2068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47"/>
        <v>0</v>
      </c>
      <c r="G151" s="55">
        <f t="shared" si="48"/>
        <v>0</v>
      </c>
      <c r="H151" s="380">
        <f t="shared" si="45"/>
        <v>0</v>
      </c>
      <c r="I151" s="399">
        <f t="shared" si="46"/>
        <v>0</v>
      </c>
      <c r="J151" s="54">
        <f t="shared" si="49"/>
        <v>0</v>
      </c>
      <c r="K151" s="54"/>
      <c r="L151" s="129"/>
      <c r="M151" s="54">
        <f t="shared" si="50"/>
        <v>0</v>
      </c>
      <c r="N151" s="129"/>
      <c r="O151" s="54">
        <f t="shared" si="51"/>
        <v>0</v>
      </c>
      <c r="P151" s="54">
        <f t="shared" si="52"/>
        <v>0</v>
      </c>
    </row>
    <row r="152" spans="2:16" ht="12.5">
      <c r="B152" s="7" t="str">
        <f t="shared" si="28"/>
        <v/>
      </c>
      <c r="C152" s="50">
        <f>IF(D93="","-",+C151+1)</f>
        <v>2069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47"/>
        <v>0</v>
      </c>
      <c r="G152" s="55">
        <f t="shared" si="48"/>
        <v>0</v>
      </c>
      <c r="H152" s="380">
        <f t="shared" si="45"/>
        <v>0</v>
      </c>
      <c r="I152" s="399">
        <f t="shared" si="46"/>
        <v>0</v>
      </c>
      <c r="J152" s="54">
        <f t="shared" si="49"/>
        <v>0</v>
      </c>
      <c r="K152" s="54"/>
      <c r="L152" s="129"/>
      <c r="M152" s="54">
        <f t="shared" si="50"/>
        <v>0</v>
      </c>
      <c r="N152" s="129"/>
      <c r="O152" s="54">
        <f t="shared" si="51"/>
        <v>0</v>
      </c>
      <c r="P152" s="54">
        <f t="shared" si="52"/>
        <v>0</v>
      </c>
    </row>
    <row r="153" spans="2:16" ht="12.5">
      <c r="B153" s="7" t="str">
        <f t="shared" si="28"/>
        <v/>
      </c>
      <c r="C153" s="50">
        <f>IF(D93="","-",+C152+1)</f>
        <v>2070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47"/>
        <v>0</v>
      </c>
      <c r="G153" s="55">
        <f t="shared" si="48"/>
        <v>0</v>
      </c>
      <c r="H153" s="380">
        <f t="shared" si="45"/>
        <v>0</v>
      </c>
      <c r="I153" s="399">
        <f t="shared" si="46"/>
        <v>0</v>
      </c>
      <c r="J153" s="54">
        <f t="shared" si="49"/>
        <v>0</v>
      </c>
      <c r="K153" s="54"/>
      <c r="L153" s="129"/>
      <c r="M153" s="54">
        <f t="shared" si="50"/>
        <v>0</v>
      </c>
      <c r="N153" s="129"/>
      <c r="O153" s="54">
        <f t="shared" si="51"/>
        <v>0</v>
      </c>
      <c r="P153" s="54">
        <f t="shared" si="52"/>
        <v>0</v>
      </c>
    </row>
    <row r="154" spans="2:16" ht="13" thickBot="1">
      <c r="B154" s="7" t="str">
        <f t="shared" si="28"/>
        <v/>
      </c>
      <c r="C154" s="59">
        <f>IF(D93="","-",+C153+1)</f>
        <v>2071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47"/>
        <v>0</v>
      </c>
      <c r="G154" s="60">
        <f t="shared" si="48"/>
        <v>0</v>
      </c>
      <c r="H154" s="382">
        <f t="shared" si="45"/>
        <v>0</v>
      </c>
      <c r="I154" s="400">
        <f t="shared" si="46"/>
        <v>0</v>
      </c>
      <c r="J154" s="64">
        <f t="shared" si="49"/>
        <v>0</v>
      </c>
      <c r="K154" s="54"/>
      <c r="L154" s="130"/>
      <c r="M154" s="64">
        <f t="shared" si="50"/>
        <v>0</v>
      </c>
      <c r="N154" s="130"/>
      <c r="O154" s="64">
        <f t="shared" si="51"/>
        <v>0</v>
      </c>
      <c r="P154" s="64">
        <f t="shared" si="52"/>
        <v>0</v>
      </c>
    </row>
    <row r="155" spans="2:16" ht="12.5">
      <c r="C155" s="12" t="s">
        <v>78</v>
      </c>
      <c r="D155" s="293"/>
      <c r="E155" s="293">
        <f>SUM(E99:E154)</f>
        <v>97370354.00000003</v>
      </c>
      <c r="F155" s="293"/>
      <c r="G155" s="293"/>
      <c r="H155" s="293">
        <f>SUM(H99:H154)</f>
        <v>360078843.73848367</v>
      </c>
      <c r="I155" s="293">
        <f>SUM(I99:I154)</f>
        <v>360078843.73848367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 ht="12.5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 ht="13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37" priority="1" stopIfTrue="1" operator="equal">
      <formula>$I$10</formula>
    </cfRule>
  </conditionalFormatting>
  <conditionalFormatting sqref="C99:C154">
    <cfRule type="cellIs" dxfId="36" priority="3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110"/>
  <dimension ref="A1:P162"/>
  <sheetViews>
    <sheetView topLeftCell="A85" zoomScaleNormal="100" zoomScaleSheetLayoutView="80" workbookViewId="0">
      <selection activeCell="I18" sqref="I18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61 of 77</v>
      </c>
    </row>
    <row r="2" spans="1:16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6960825.5877609951</v>
      </c>
      <c r="P5" s="1"/>
    </row>
    <row r="6" spans="1:16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6960825.5877609951</v>
      </c>
      <c r="O6" s="1"/>
      <c r="P6" s="1"/>
    </row>
    <row r="7" spans="1:16" ht="13.5" thickBot="1">
      <c r="C7" s="25" t="s">
        <v>48</v>
      </c>
      <c r="D7" s="90" t="s">
        <v>383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384</v>
      </c>
      <c r="E9" s="462" t="s">
        <v>483</v>
      </c>
      <c r="F9" s="31"/>
      <c r="G9" s="31"/>
      <c r="H9" s="31"/>
      <c r="I9" s="32"/>
      <c r="J9" s="33"/>
      <c r="P9" s="1"/>
    </row>
    <row r="10" spans="1:16" ht="13">
      <c r="C10" s="34" t="s">
        <v>51</v>
      </c>
      <c r="D10" s="363">
        <v>58649881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6" ht="12.5">
      <c r="C11" s="34" t="s">
        <v>54</v>
      </c>
      <c r="D11" s="37">
        <v>2016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3">
        <v>6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1332951.8409090908</v>
      </c>
      <c r="J14" s="293"/>
      <c r="K14" s="293"/>
      <c r="L14" s="293"/>
      <c r="M14" s="293"/>
      <c r="N14" s="293"/>
      <c r="O14" s="1"/>
      <c r="P14" s="1"/>
    </row>
    <row r="15" spans="1:16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2016</v>
      </c>
      <c r="D17" s="145">
        <v>0</v>
      </c>
      <c r="E17" s="453">
        <v>923012.13953488367</v>
      </c>
      <c r="F17" s="147">
        <v>58611270.860465117</v>
      </c>
      <c r="G17" s="454">
        <v>4553761.5622253697</v>
      </c>
      <c r="H17" s="452">
        <v>4553761.5622253697</v>
      </c>
      <c r="I17" s="52">
        <f t="shared" ref="I17:I72" si="0">H17-G17</f>
        <v>0</v>
      </c>
      <c r="J17" s="52"/>
      <c r="K17" s="112">
        <f t="shared" ref="K17:K22" si="1">+G17</f>
        <v>4553761.5622253697</v>
      </c>
      <c r="L17" s="53">
        <f t="shared" ref="L17:L72" si="2">IF(K17&lt;&gt;0,+G17-K17,0)</f>
        <v>0</v>
      </c>
      <c r="M17" s="112">
        <f t="shared" ref="M17:M22" si="3">+H17</f>
        <v>4553761.5622253697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2017</v>
      </c>
      <c r="D18" s="431">
        <v>58611270.860465117</v>
      </c>
      <c r="E18" s="430">
        <v>1452055.6829268292</v>
      </c>
      <c r="F18" s="431">
        <v>57159215.177538291</v>
      </c>
      <c r="G18" s="430">
        <v>7928500.3710052036</v>
      </c>
      <c r="H18" s="438">
        <v>7928500.3710052036</v>
      </c>
      <c r="I18" s="52">
        <f t="shared" si="0"/>
        <v>0</v>
      </c>
      <c r="J18" s="52"/>
      <c r="K18" s="450">
        <f t="shared" si="1"/>
        <v>7928500.3710052036</v>
      </c>
      <c r="L18" s="54">
        <f t="shared" si="2"/>
        <v>0</v>
      </c>
      <c r="M18" s="450">
        <f t="shared" si="3"/>
        <v>7928500.3710052036</v>
      </c>
      <c r="N18" s="54">
        <f t="shared" si="4"/>
        <v>0</v>
      </c>
      <c r="O18" s="54">
        <f t="shared" si="5"/>
        <v>0</v>
      </c>
      <c r="P18" s="1"/>
    </row>
    <row r="19" spans="2:16" ht="12.5">
      <c r="B19" s="7" t="str">
        <f>IF(D19=F18,"","IU")</f>
        <v>IU</v>
      </c>
      <c r="C19" s="50">
        <f>IF(D11="","-",+C18+1)</f>
        <v>2018</v>
      </c>
      <c r="D19" s="431">
        <v>58611270.860465117</v>
      </c>
      <c r="E19" s="430">
        <v>1452055.6829268292</v>
      </c>
      <c r="F19" s="431">
        <v>57159215.177538291</v>
      </c>
      <c r="G19" s="430">
        <v>8808928.485670168</v>
      </c>
      <c r="H19" s="438">
        <v>8808928.485670168</v>
      </c>
      <c r="I19" s="52">
        <f t="shared" si="0"/>
        <v>0</v>
      </c>
      <c r="J19" s="52"/>
      <c r="K19" s="450">
        <f t="shared" si="1"/>
        <v>8808928.485670168</v>
      </c>
      <c r="L19" s="54">
        <f t="shared" ref="L19" si="6">IF(K19&lt;&gt;0,+G19-K19,0)</f>
        <v>0</v>
      </c>
      <c r="M19" s="450">
        <f t="shared" si="3"/>
        <v>8808928.485670168</v>
      </c>
      <c r="N19" s="54">
        <f t="shared" si="4"/>
        <v>0</v>
      </c>
      <c r="O19" s="54">
        <f t="shared" si="5"/>
        <v>0</v>
      </c>
      <c r="P19" s="1"/>
    </row>
    <row r="20" spans="2:16" ht="12.5">
      <c r="B20" s="7" t="str">
        <f t="shared" ref="B20:B72" si="7">IF(D20=F19,"","IU")</f>
        <v/>
      </c>
      <c r="C20" s="50">
        <f>IF(D11="","-",+C19+1)</f>
        <v>2019</v>
      </c>
      <c r="D20" s="431">
        <v>57159215.177538291</v>
      </c>
      <c r="E20" s="430">
        <v>1452055.6829268292</v>
      </c>
      <c r="F20" s="431">
        <v>55707159.494611464</v>
      </c>
      <c r="G20" s="430">
        <v>8624380.7770549227</v>
      </c>
      <c r="H20" s="438">
        <v>8624380.7770549227</v>
      </c>
      <c r="I20" s="52">
        <f t="shared" si="0"/>
        <v>0</v>
      </c>
      <c r="J20" s="52"/>
      <c r="K20" s="450">
        <f t="shared" si="1"/>
        <v>8624380.7770549227</v>
      </c>
      <c r="L20" s="54">
        <f t="shared" ref="L20" si="8">IF(K20&lt;&gt;0,+G20-K20,0)</f>
        <v>0</v>
      </c>
      <c r="M20" s="450">
        <f t="shared" si="3"/>
        <v>8624380.7770549227</v>
      </c>
      <c r="N20" s="54">
        <f t="shared" si="4"/>
        <v>0</v>
      </c>
      <c r="O20" s="54">
        <f t="shared" si="5"/>
        <v>0</v>
      </c>
      <c r="P20" s="1"/>
    </row>
    <row r="21" spans="2:16" ht="12.5">
      <c r="B21" s="7" t="str">
        <f t="shared" si="7"/>
        <v>IU</v>
      </c>
      <c r="C21" s="50">
        <f>IF(D11="","-",+C20+1)</f>
        <v>2020</v>
      </c>
      <c r="D21" s="431">
        <v>53369709.811684631</v>
      </c>
      <c r="E21" s="430">
        <v>1430460.7073170731</v>
      </c>
      <c r="F21" s="431">
        <v>51939249.104367554</v>
      </c>
      <c r="G21" s="430">
        <v>6818880.8355437173</v>
      </c>
      <c r="H21" s="438">
        <v>6818880.8355437173</v>
      </c>
      <c r="I21" s="52">
        <f t="shared" si="0"/>
        <v>0</v>
      </c>
      <c r="J21" s="52"/>
      <c r="K21" s="450">
        <f t="shared" si="1"/>
        <v>6818880.8355437173</v>
      </c>
      <c r="L21" s="54">
        <f t="shared" ref="L21" si="9">IF(K21&lt;&gt;0,+G21-K21,0)</f>
        <v>0</v>
      </c>
      <c r="M21" s="450">
        <f t="shared" si="3"/>
        <v>6818880.8355437173</v>
      </c>
      <c r="N21" s="54">
        <f t="shared" si="4"/>
        <v>0</v>
      </c>
      <c r="O21" s="54">
        <f t="shared" si="5"/>
        <v>0</v>
      </c>
      <c r="P21" s="1"/>
    </row>
    <row r="22" spans="2:16" ht="12.5">
      <c r="B22" s="7" t="str">
        <f t="shared" si="7"/>
        <v>IU</v>
      </c>
      <c r="C22" s="50">
        <f>IF(D11="","-",+C21+1)</f>
        <v>2021</v>
      </c>
      <c r="D22" s="431">
        <v>52007778.577992059</v>
      </c>
      <c r="E22" s="430">
        <v>1396425.7380952381</v>
      </c>
      <c r="F22" s="431">
        <v>50611352.83989682</v>
      </c>
      <c r="G22" s="430">
        <v>6835472.9074064167</v>
      </c>
      <c r="H22" s="438">
        <v>6835472.9074064167</v>
      </c>
      <c r="I22" s="52">
        <f t="shared" si="0"/>
        <v>0</v>
      </c>
      <c r="J22" s="52"/>
      <c r="K22" s="450">
        <f t="shared" si="1"/>
        <v>6835472.9074064167</v>
      </c>
      <c r="L22" s="54">
        <f t="shared" ref="L22" si="10">IF(K22&lt;&gt;0,+G22-K22,0)</f>
        <v>0</v>
      </c>
      <c r="M22" s="450">
        <f t="shared" si="3"/>
        <v>6835472.9074064167</v>
      </c>
      <c r="N22" s="54">
        <f t="shared" si="4"/>
        <v>0</v>
      </c>
      <c r="O22" s="54">
        <f t="shared" si="5"/>
        <v>0</v>
      </c>
      <c r="P22" s="1"/>
    </row>
    <row r="23" spans="2:16" ht="12.5">
      <c r="B23" s="7" t="str">
        <f t="shared" si="7"/>
        <v>IU</v>
      </c>
      <c r="C23" s="50">
        <f>IF(D11="","-",+C22+1)</f>
        <v>2022</v>
      </c>
      <c r="D23" s="431">
        <v>50543815.366272315</v>
      </c>
      <c r="E23" s="430">
        <v>1396425.7380952381</v>
      </c>
      <c r="F23" s="431">
        <v>49147389.628177077</v>
      </c>
      <c r="G23" s="430">
        <v>7001269.4944881881</v>
      </c>
      <c r="H23" s="438">
        <v>7001269.4944881881</v>
      </c>
      <c r="I23" s="52">
        <f t="shared" si="0"/>
        <v>0</v>
      </c>
      <c r="J23" s="52"/>
      <c r="K23" s="450">
        <f t="shared" ref="K23" si="11">+G23</f>
        <v>7001269.4944881881</v>
      </c>
      <c r="L23" s="54">
        <f t="shared" ref="L23" si="12">IF(K23&lt;&gt;0,+G23-K23,0)</f>
        <v>0</v>
      </c>
      <c r="M23" s="450">
        <f t="shared" ref="M23" si="13">+H23</f>
        <v>7001269.4944881881</v>
      </c>
      <c r="N23" s="54">
        <f t="shared" si="4"/>
        <v>0</v>
      </c>
      <c r="O23" s="54">
        <f t="shared" si="5"/>
        <v>0</v>
      </c>
      <c r="P23" s="1"/>
    </row>
    <row r="24" spans="2:16" ht="12.5">
      <c r="B24" s="7" t="str">
        <f t="shared" si="7"/>
        <v>IU</v>
      </c>
      <c r="C24" s="50">
        <f>IF(D11="","-",+C23+1)</f>
        <v>2023</v>
      </c>
      <c r="D24" s="431">
        <v>49147389.298177078</v>
      </c>
      <c r="E24" s="430">
        <v>1396425.7302380952</v>
      </c>
      <c r="F24" s="431">
        <v>47750963.567938983</v>
      </c>
      <c r="G24" s="430">
        <v>7516854.5692845583</v>
      </c>
      <c r="H24" s="438">
        <v>7516854.5692845583</v>
      </c>
      <c r="I24" s="52">
        <f t="shared" si="0"/>
        <v>0</v>
      </c>
      <c r="J24" s="52"/>
      <c r="K24" s="450">
        <f t="shared" ref="K24" si="14">+G24</f>
        <v>7516854.5692845583</v>
      </c>
      <c r="L24" s="54">
        <f t="shared" ref="L24" si="15">IF(K24&lt;&gt;0,+G24-K24,0)</f>
        <v>0</v>
      </c>
      <c r="M24" s="450">
        <f t="shared" ref="M24" si="16">+H24</f>
        <v>7516854.5692845583</v>
      </c>
      <c r="N24" s="54">
        <f t="shared" si="4"/>
        <v>0</v>
      </c>
      <c r="O24" s="54">
        <f t="shared" si="5"/>
        <v>0</v>
      </c>
      <c r="P24" s="1"/>
    </row>
    <row r="25" spans="2:16" ht="12.5">
      <c r="B25" s="7" t="str">
        <f t="shared" si="7"/>
        <v/>
      </c>
      <c r="C25" s="50">
        <f>IF(D11="","-",+C24+1)</f>
        <v>2024</v>
      </c>
      <c r="D25" s="431">
        <v>47750963.567938983</v>
      </c>
      <c r="E25" s="430">
        <v>1332951.8334090908</v>
      </c>
      <c r="F25" s="431">
        <v>46418011.73452989</v>
      </c>
      <c r="G25" s="430">
        <v>6960825.5877609951</v>
      </c>
      <c r="H25" s="438">
        <v>6960825.5877609951</v>
      </c>
      <c r="I25" s="52">
        <f t="shared" si="0"/>
        <v>0</v>
      </c>
      <c r="J25" s="52"/>
      <c r="K25" s="450">
        <f t="shared" ref="K25" si="17">+G25</f>
        <v>6960825.5877609951</v>
      </c>
      <c r="L25" s="54">
        <f t="shared" ref="L25" si="18">IF(K25&lt;&gt;0,+G25-K25,0)</f>
        <v>0</v>
      </c>
      <c r="M25" s="450">
        <f t="shared" ref="M25" si="19">+H25</f>
        <v>6960825.5877609951</v>
      </c>
      <c r="N25" s="54">
        <f t="shared" ref="N25" si="20">IF(M25&lt;&gt;0,+H25-M25,0)</f>
        <v>0</v>
      </c>
      <c r="O25" s="54">
        <f t="shared" ref="O25" si="21">+N25-L25</f>
        <v>0</v>
      </c>
      <c r="P25" s="1"/>
    </row>
    <row r="26" spans="2:16" ht="12.5">
      <c r="B26" s="7" t="str">
        <f t="shared" si="7"/>
        <v>IU</v>
      </c>
      <c r="C26" s="50">
        <f>IF(D11="","-",+C25+1)</f>
        <v>2025</v>
      </c>
      <c r="D26" s="55">
        <f>IF(F25+SUM(E$17:E25)=D$10,F25,D$10-SUM(E$17:E25))</f>
        <v>46418012.064529896</v>
      </c>
      <c r="E26" s="378">
        <f>IF(+I14&lt;F25,I14,D26)</f>
        <v>1332951.8409090908</v>
      </c>
      <c r="F26" s="55">
        <f t="shared" ref="F26:F72" si="22">+D26-E26</f>
        <v>45085060.223620802</v>
      </c>
      <c r="G26" s="379">
        <f t="shared" ref="G26:G48" si="23">+I$12*((D26+F26)/2)+E26</f>
        <v>6801501.7249763459</v>
      </c>
      <c r="H26" s="364">
        <f t="shared" ref="H26:H48" si="24">+I$13*((D26+F26)/2)+E26</f>
        <v>6801501.7249763459</v>
      </c>
      <c r="I26" s="52">
        <f t="shared" si="0"/>
        <v>0</v>
      </c>
      <c r="J26" s="52"/>
      <c r="K26" s="129"/>
      <c r="L26" s="54">
        <f t="shared" si="2"/>
        <v>0</v>
      </c>
      <c r="M26" s="129"/>
      <c r="N26" s="54">
        <f t="shared" si="4"/>
        <v>0</v>
      </c>
      <c r="O26" s="54">
        <f t="shared" si="5"/>
        <v>0</v>
      </c>
      <c r="P26" s="1"/>
    </row>
    <row r="27" spans="2:16" ht="12.5">
      <c r="B27" s="7" t="str">
        <f t="shared" si="7"/>
        <v/>
      </c>
      <c r="C27" s="50">
        <f>IF(D11="","-",+C26+1)</f>
        <v>2026</v>
      </c>
      <c r="D27" s="55">
        <f>IF(F26+SUM(E$17:E26)=D$10,F26,D$10-SUM(E$17:E26))</f>
        <v>45085060.223620802</v>
      </c>
      <c r="E27" s="378">
        <f>IF(+I14&lt;F26,I14,D27)</f>
        <v>1332951.8409090908</v>
      </c>
      <c r="F27" s="55">
        <f t="shared" si="22"/>
        <v>43752108.382711709</v>
      </c>
      <c r="G27" s="379">
        <f t="shared" si="23"/>
        <v>6642177.8147995165</v>
      </c>
      <c r="H27" s="364">
        <f t="shared" si="24"/>
        <v>6642177.8147995165</v>
      </c>
      <c r="I27" s="52">
        <f t="shared" si="0"/>
        <v>0</v>
      </c>
      <c r="J27" s="52"/>
      <c r="K27" s="129"/>
      <c r="L27" s="54">
        <f t="shared" si="2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7"/>
        <v/>
      </c>
      <c r="C28" s="50">
        <f>IF(D11="","-",+C27+1)</f>
        <v>2027</v>
      </c>
      <c r="D28" s="55">
        <f>IF(F27+SUM(E$17:E27)=D$10,F27,D$10-SUM(E$17:E27))</f>
        <v>43752108.382711709</v>
      </c>
      <c r="E28" s="378">
        <f>IF(+I14&lt;F27,I14,D28)</f>
        <v>1332951.8409090908</v>
      </c>
      <c r="F28" s="55">
        <f t="shared" si="22"/>
        <v>42419156.541802615</v>
      </c>
      <c r="G28" s="379">
        <f t="shared" si="23"/>
        <v>6482853.9046226861</v>
      </c>
      <c r="H28" s="364">
        <f t="shared" si="24"/>
        <v>6482853.9046226861</v>
      </c>
      <c r="I28" s="52">
        <f t="shared" si="0"/>
        <v>0</v>
      </c>
      <c r="J28" s="52"/>
      <c r="K28" s="129"/>
      <c r="L28" s="54">
        <f t="shared" si="2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7"/>
        <v/>
      </c>
      <c r="C29" s="50">
        <f>IF(D11="","-",+C28+1)</f>
        <v>2028</v>
      </c>
      <c r="D29" s="55">
        <f>IF(F28+SUM(E$17:E28)=D$10,F28,D$10-SUM(E$17:E28))</f>
        <v>42419156.541802615</v>
      </c>
      <c r="E29" s="378">
        <f>IF(+I14&lt;F28,I14,D29)</f>
        <v>1332951.8409090908</v>
      </c>
      <c r="F29" s="55">
        <f t="shared" si="22"/>
        <v>41086204.700893521</v>
      </c>
      <c r="G29" s="379">
        <f t="shared" si="23"/>
        <v>6323529.9944458557</v>
      </c>
      <c r="H29" s="364">
        <f t="shared" si="24"/>
        <v>6323529.9944458557</v>
      </c>
      <c r="I29" s="52">
        <f t="shared" si="0"/>
        <v>0</v>
      </c>
      <c r="J29" s="52"/>
      <c r="K29" s="129"/>
      <c r="L29" s="54">
        <f t="shared" si="2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7"/>
        <v/>
      </c>
      <c r="C30" s="50">
        <f>IF(D11="","-",+C29+1)</f>
        <v>2029</v>
      </c>
      <c r="D30" s="55">
        <f>IF(F29+SUM(E$17:E29)=D$10,F29,D$10-SUM(E$17:E29))</f>
        <v>41086204.700893521</v>
      </c>
      <c r="E30" s="378">
        <f>IF(+I14&lt;F29,I14,D30)</f>
        <v>1332951.8409090908</v>
      </c>
      <c r="F30" s="55">
        <f t="shared" si="22"/>
        <v>39753252.859984428</v>
      </c>
      <c r="G30" s="379">
        <f t="shared" si="23"/>
        <v>6164206.0842690254</v>
      </c>
      <c r="H30" s="364">
        <f t="shared" si="24"/>
        <v>6164206.0842690254</v>
      </c>
      <c r="I30" s="52">
        <f t="shared" si="0"/>
        <v>0</v>
      </c>
      <c r="J30" s="52"/>
      <c r="K30" s="129"/>
      <c r="L30" s="54">
        <f t="shared" si="2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7"/>
        <v/>
      </c>
      <c r="C31" s="50">
        <f>IF(D11="","-",+C30+1)</f>
        <v>2030</v>
      </c>
      <c r="D31" s="55">
        <f>IF(F30+SUM(E$17:E30)=D$10,F30,D$10-SUM(E$17:E30))</f>
        <v>39753252.859984428</v>
      </c>
      <c r="E31" s="378">
        <f>IF(+I14&lt;F30,I14,D31)</f>
        <v>1332951.8409090908</v>
      </c>
      <c r="F31" s="55">
        <f t="shared" si="22"/>
        <v>38420301.019075334</v>
      </c>
      <c r="G31" s="379">
        <f t="shared" si="23"/>
        <v>6004882.1740921959</v>
      </c>
      <c r="H31" s="364">
        <f t="shared" si="24"/>
        <v>6004882.1740921959</v>
      </c>
      <c r="I31" s="52">
        <f t="shared" si="0"/>
        <v>0</v>
      </c>
      <c r="J31" s="52"/>
      <c r="K31" s="129"/>
      <c r="L31" s="54">
        <f t="shared" si="2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7"/>
        <v/>
      </c>
      <c r="C32" s="50">
        <f>IF(D11="","-",+C31+1)</f>
        <v>2031</v>
      </c>
      <c r="D32" s="55">
        <f>IF(F31+SUM(E$17:E31)=D$10,F31,D$10-SUM(E$17:E31))</f>
        <v>38420301.019075334</v>
      </c>
      <c r="E32" s="378">
        <f>IF(+I14&lt;F31,I14,D32)</f>
        <v>1332951.8409090908</v>
      </c>
      <c r="F32" s="55">
        <f t="shared" si="22"/>
        <v>37087349.17816624</v>
      </c>
      <c r="G32" s="379">
        <f t="shared" si="23"/>
        <v>5845558.2639153656</v>
      </c>
      <c r="H32" s="364">
        <f t="shared" si="24"/>
        <v>5845558.2639153656</v>
      </c>
      <c r="I32" s="52">
        <f t="shared" si="0"/>
        <v>0</v>
      </c>
      <c r="J32" s="52"/>
      <c r="K32" s="129"/>
      <c r="L32" s="54">
        <f t="shared" si="2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7"/>
        <v/>
      </c>
      <c r="C33" s="50">
        <f>IF(D11="","-",+C32+1)</f>
        <v>2032</v>
      </c>
      <c r="D33" s="55">
        <f>IF(F32+SUM(E$17:E32)=D$10,F32,D$10-SUM(E$17:E32))</f>
        <v>37087349.17816624</v>
      </c>
      <c r="E33" s="378">
        <f>IF(+I14&lt;F32,I14,D33)</f>
        <v>1332951.8409090908</v>
      </c>
      <c r="F33" s="55">
        <f t="shared" si="22"/>
        <v>35754397.337257147</v>
      </c>
      <c r="G33" s="379">
        <f t="shared" si="23"/>
        <v>5686234.3537385352</v>
      </c>
      <c r="H33" s="364">
        <f t="shared" si="24"/>
        <v>5686234.3537385352</v>
      </c>
      <c r="I33" s="52">
        <f t="shared" si="0"/>
        <v>0</v>
      </c>
      <c r="J33" s="52"/>
      <c r="K33" s="129"/>
      <c r="L33" s="54">
        <f t="shared" si="2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7"/>
        <v/>
      </c>
      <c r="C34" s="50">
        <f>IF(D11="","-",+C33+1)</f>
        <v>2033</v>
      </c>
      <c r="D34" s="55">
        <f>IF(F33+SUM(E$17:E33)=D$10,F33,D$10-SUM(E$17:E33))</f>
        <v>35754397.337257147</v>
      </c>
      <c r="E34" s="378">
        <f>IF(+I14&lt;F33,I14,D34)</f>
        <v>1332951.8409090908</v>
      </c>
      <c r="F34" s="55">
        <f t="shared" si="22"/>
        <v>34421445.496348053</v>
      </c>
      <c r="G34" s="379">
        <f t="shared" si="23"/>
        <v>5526910.4435617048</v>
      </c>
      <c r="H34" s="364">
        <f t="shared" si="24"/>
        <v>5526910.4435617048</v>
      </c>
      <c r="I34" s="52">
        <f t="shared" si="0"/>
        <v>0</v>
      </c>
      <c r="J34" s="52"/>
      <c r="K34" s="129"/>
      <c r="L34" s="54">
        <f t="shared" si="2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7"/>
        <v/>
      </c>
      <c r="C35" s="50">
        <f>IF(D11="","-",+C34+1)</f>
        <v>2034</v>
      </c>
      <c r="D35" s="55">
        <f>IF(F34+SUM(E$17:E34)=D$10,F34,D$10-SUM(E$17:E34))</f>
        <v>34421445.496348053</v>
      </c>
      <c r="E35" s="378">
        <f>IF(+I14&lt;F34,I14,D35)</f>
        <v>1332951.8409090908</v>
      </c>
      <c r="F35" s="55">
        <f t="shared" si="22"/>
        <v>33088493.655438963</v>
      </c>
      <c r="G35" s="379">
        <f t="shared" si="23"/>
        <v>5367586.5333848745</v>
      </c>
      <c r="H35" s="364">
        <f t="shared" si="24"/>
        <v>5367586.5333848745</v>
      </c>
      <c r="I35" s="52">
        <f t="shared" si="0"/>
        <v>0</v>
      </c>
      <c r="J35" s="52"/>
      <c r="K35" s="129"/>
      <c r="L35" s="54">
        <f t="shared" si="2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7"/>
        <v/>
      </c>
      <c r="C36" s="50">
        <f>IF(D11="","-",+C35+1)</f>
        <v>2035</v>
      </c>
      <c r="D36" s="55">
        <f>IF(F35+SUM(E$17:E35)=D$10,F35,D$10-SUM(E$17:E35))</f>
        <v>33088493.655438963</v>
      </c>
      <c r="E36" s="378">
        <f>IF(+I14&lt;F35,I14,D36)</f>
        <v>1332951.8409090908</v>
      </c>
      <c r="F36" s="55">
        <f t="shared" si="22"/>
        <v>31755541.814529873</v>
      </c>
      <c r="G36" s="379">
        <f t="shared" si="23"/>
        <v>5208262.623208046</v>
      </c>
      <c r="H36" s="364">
        <f t="shared" si="24"/>
        <v>5208262.623208046</v>
      </c>
      <c r="I36" s="52">
        <f t="shared" si="0"/>
        <v>0</v>
      </c>
      <c r="J36" s="52"/>
      <c r="K36" s="129"/>
      <c r="L36" s="54">
        <f t="shared" si="2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7"/>
        <v/>
      </c>
      <c r="C37" s="50">
        <f>IF(D11="","-",+C36+1)</f>
        <v>2036</v>
      </c>
      <c r="D37" s="55">
        <f>IF(F36+SUM(E$17:E36)=D$10,F36,D$10-SUM(E$17:E36))</f>
        <v>31755541.814529873</v>
      </c>
      <c r="E37" s="378">
        <f>IF(+I14&lt;F36,I14,D37)</f>
        <v>1332951.8409090908</v>
      </c>
      <c r="F37" s="55">
        <f t="shared" si="22"/>
        <v>30422589.973620784</v>
      </c>
      <c r="G37" s="379">
        <f t="shared" si="23"/>
        <v>5048938.7130312156</v>
      </c>
      <c r="H37" s="364">
        <f t="shared" si="24"/>
        <v>5048938.7130312156</v>
      </c>
      <c r="I37" s="52">
        <f t="shared" si="0"/>
        <v>0</v>
      </c>
      <c r="J37" s="52"/>
      <c r="K37" s="129"/>
      <c r="L37" s="54">
        <f t="shared" si="2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7"/>
        <v/>
      </c>
      <c r="C38" s="50">
        <f>IF(D11="","-",+C37+1)</f>
        <v>2037</v>
      </c>
      <c r="D38" s="55">
        <f>IF(F37+SUM(E$17:E37)=D$10,F37,D$10-SUM(E$17:E37))</f>
        <v>30422589.973620784</v>
      </c>
      <c r="E38" s="378">
        <f>IF(+I14&lt;F37,I14,D38)</f>
        <v>1332951.8409090908</v>
      </c>
      <c r="F38" s="55">
        <f t="shared" si="22"/>
        <v>29089638.132711694</v>
      </c>
      <c r="G38" s="379">
        <f t="shared" si="23"/>
        <v>4889614.8028543862</v>
      </c>
      <c r="H38" s="364">
        <f t="shared" si="24"/>
        <v>4889614.8028543862</v>
      </c>
      <c r="I38" s="52">
        <f t="shared" si="0"/>
        <v>0</v>
      </c>
      <c r="J38" s="52"/>
      <c r="K38" s="129"/>
      <c r="L38" s="54">
        <f t="shared" si="2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7"/>
        <v/>
      </c>
      <c r="C39" s="50">
        <f>IF(D11="","-",+C38+1)</f>
        <v>2038</v>
      </c>
      <c r="D39" s="55">
        <f>IF(F38+SUM(E$17:E38)=D$10,F38,D$10-SUM(E$17:E38))</f>
        <v>29089638.132711694</v>
      </c>
      <c r="E39" s="378">
        <f>IF(+I14&lt;F38,I14,D39)</f>
        <v>1332951.8409090908</v>
      </c>
      <c r="F39" s="55">
        <f t="shared" si="22"/>
        <v>27756686.291802604</v>
      </c>
      <c r="G39" s="379">
        <f t="shared" si="23"/>
        <v>4730290.8926775567</v>
      </c>
      <c r="H39" s="364">
        <f t="shared" si="24"/>
        <v>4730290.8926775567</v>
      </c>
      <c r="I39" s="52">
        <f t="shared" si="0"/>
        <v>0</v>
      </c>
      <c r="J39" s="52"/>
      <c r="K39" s="129"/>
      <c r="L39" s="54">
        <f t="shared" si="2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7"/>
        <v/>
      </c>
      <c r="C40" s="50">
        <f>IF(D11="","-",+C39+1)</f>
        <v>2039</v>
      </c>
      <c r="D40" s="55">
        <f>IF(F39+SUM(E$17:E39)=D$10,F39,D$10-SUM(E$17:E39))</f>
        <v>27756686.291802604</v>
      </c>
      <c r="E40" s="378">
        <f>IF(+I14&lt;F39,I14,D40)</f>
        <v>1332951.8409090908</v>
      </c>
      <c r="F40" s="55">
        <f t="shared" si="22"/>
        <v>26423734.450893514</v>
      </c>
      <c r="G40" s="379">
        <f t="shared" si="23"/>
        <v>4570966.9825007264</v>
      </c>
      <c r="H40" s="364">
        <f t="shared" si="24"/>
        <v>4570966.9825007264</v>
      </c>
      <c r="I40" s="52">
        <f t="shared" si="0"/>
        <v>0</v>
      </c>
      <c r="J40" s="52"/>
      <c r="K40" s="129"/>
      <c r="L40" s="54">
        <f t="shared" si="2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7"/>
        <v/>
      </c>
      <c r="C41" s="50">
        <f>IF(D11="","-",+C40+1)</f>
        <v>2040</v>
      </c>
      <c r="D41" s="55">
        <f>IF(F40+SUM(E$17:E40)=D$10,F40,D$10-SUM(E$17:E40))</f>
        <v>26423734.450893514</v>
      </c>
      <c r="E41" s="378">
        <f>IF(+I14&lt;F40,I14,D41)</f>
        <v>1332951.8409090908</v>
      </c>
      <c r="F41" s="55">
        <f t="shared" si="22"/>
        <v>25090782.609984424</v>
      </c>
      <c r="G41" s="379">
        <f t="shared" si="23"/>
        <v>4411643.0723238969</v>
      </c>
      <c r="H41" s="364">
        <f t="shared" si="24"/>
        <v>4411643.0723238969</v>
      </c>
      <c r="I41" s="52">
        <f t="shared" si="0"/>
        <v>0</v>
      </c>
      <c r="J41" s="52"/>
      <c r="K41" s="129"/>
      <c r="L41" s="54">
        <f t="shared" si="2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7"/>
        <v/>
      </c>
      <c r="C42" s="50">
        <f>IF(D11="","-",+C41+1)</f>
        <v>2041</v>
      </c>
      <c r="D42" s="55">
        <f>IF(F41+SUM(E$17:E41)=D$10,F41,D$10-SUM(E$17:E41))</f>
        <v>25090782.609984424</v>
      </c>
      <c r="E42" s="378">
        <f>IF(+I14&lt;F41,I14,D42)</f>
        <v>1332951.8409090908</v>
      </c>
      <c r="F42" s="55">
        <f t="shared" si="22"/>
        <v>23757830.769075334</v>
      </c>
      <c r="G42" s="379">
        <f t="shared" si="23"/>
        <v>4252319.1621470675</v>
      </c>
      <c r="H42" s="364">
        <f t="shared" si="24"/>
        <v>4252319.1621470675</v>
      </c>
      <c r="I42" s="52">
        <f t="shared" si="0"/>
        <v>0</v>
      </c>
      <c r="J42" s="52"/>
      <c r="K42" s="129"/>
      <c r="L42" s="54">
        <f t="shared" si="2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7"/>
        <v/>
      </c>
      <c r="C43" s="50">
        <f>IF(D11="","-",+C42+1)</f>
        <v>2042</v>
      </c>
      <c r="D43" s="55">
        <f>IF(F42+SUM(E$17:E42)=D$10,F42,D$10-SUM(E$17:E42))</f>
        <v>23757830.769075334</v>
      </c>
      <c r="E43" s="378">
        <f>IF(+I14&lt;F42,I14,D43)</f>
        <v>1332951.8409090908</v>
      </c>
      <c r="F43" s="55">
        <f t="shared" si="22"/>
        <v>22424878.928166244</v>
      </c>
      <c r="G43" s="379">
        <f t="shared" si="23"/>
        <v>4092995.2519702376</v>
      </c>
      <c r="H43" s="364">
        <f t="shared" si="24"/>
        <v>4092995.2519702376</v>
      </c>
      <c r="I43" s="52">
        <f t="shared" si="0"/>
        <v>0</v>
      </c>
      <c r="J43" s="52"/>
      <c r="K43" s="129"/>
      <c r="L43" s="54">
        <f t="shared" si="2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7"/>
        <v/>
      </c>
      <c r="C44" s="50">
        <f>IF(D11="","-",+C43+1)</f>
        <v>2043</v>
      </c>
      <c r="D44" s="55">
        <f>IF(F43+SUM(E$17:E43)=D$10,F43,D$10-SUM(E$17:E43))</f>
        <v>22424878.928166244</v>
      </c>
      <c r="E44" s="378">
        <f>IF(+I14&lt;F43,I14,D44)</f>
        <v>1332951.8409090908</v>
      </c>
      <c r="F44" s="55">
        <f t="shared" si="22"/>
        <v>21091927.087257154</v>
      </c>
      <c r="G44" s="379">
        <f t="shared" si="23"/>
        <v>3933671.3417934082</v>
      </c>
      <c r="H44" s="364">
        <f t="shared" si="24"/>
        <v>3933671.3417934082</v>
      </c>
      <c r="I44" s="52">
        <f t="shared" si="0"/>
        <v>0</v>
      </c>
      <c r="J44" s="52"/>
      <c r="K44" s="129"/>
      <c r="L44" s="54">
        <f t="shared" si="2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7"/>
        <v/>
      </c>
      <c r="C45" s="50">
        <f>IF(D11="","-",+C44+1)</f>
        <v>2044</v>
      </c>
      <c r="D45" s="55">
        <f>IF(F44+SUM(E$17:E44)=D$10,F44,D$10-SUM(E$17:E44))</f>
        <v>21091927.087257154</v>
      </c>
      <c r="E45" s="378">
        <f>IF(+I14&lt;F44,I14,D45)</f>
        <v>1332951.8409090908</v>
      </c>
      <c r="F45" s="55">
        <f t="shared" si="22"/>
        <v>19758975.246348064</v>
      </c>
      <c r="G45" s="379">
        <f t="shared" si="23"/>
        <v>3774347.4316165778</v>
      </c>
      <c r="H45" s="364">
        <f t="shared" si="24"/>
        <v>3774347.4316165778</v>
      </c>
      <c r="I45" s="52">
        <f t="shared" si="0"/>
        <v>0</v>
      </c>
      <c r="J45" s="52"/>
      <c r="K45" s="129"/>
      <c r="L45" s="54">
        <f t="shared" si="2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7"/>
        <v/>
      </c>
      <c r="C46" s="50">
        <f>IF(D11="","-",+C45+1)</f>
        <v>2045</v>
      </c>
      <c r="D46" s="55">
        <f>IF(F45+SUM(E$17:E45)=D$10,F45,D$10-SUM(E$17:E45))</f>
        <v>19758975.246348064</v>
      </c>
      <c r="E46" s="378">
        <f>IF(+I14&lt;F45,I14,D46)</f>
        <v>1332951.8409090908</v>
      </c>
      <c r="F46" s="55">
        <f t="shared" si="22"/>
        <v>18426023.405438974</v>
      </c>
      <c r="G46" s="379">
        <f t="shared" si="23"/>
        <v>3615023.5214397488</v>
      </c>
      <c r="H46" s="364">
        <f t="shared" si="24"/>
        <v>3615023.5214397488</v>
      </c>
      <c r="I46" s="52">
        <f t="shared" si="0"/>
        <v>0</v>
      </c>
      <c r="J46" s="52"/>
      <c r="K46" s="129"/>
      <c r="L46" s="54">
        <f t="shared" si="2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7"/>
        <v/>
      </c>
      <c r="C47" s="50">
        <f>IF(D11="","-",+C46+1)</f>
        <v>2046</v>
      </c>
      <c r="D47" s="55">
        <f>IF(F46+SUM(E$17:E46)=D$10,F46,D$10-SUM(E$17:E46))</f>
        <v>18426023.405438974</v>
      </c>
      <c r="E47" s="378">
        <f>IF(+I14&lt;F46,I14,D47)</f>
        <v>1332951.8409090908</v>
      </c>
      <c r="F47" s="55">
        <f t="shared" si="22"/>
        <v>17093071.564529885</v>
      </c>
      <c r="G47" s="379">
        <f t="shared" si="23"/>
        <v>3455699.6112629184</v>
      </c>
      <c r="H47" s="364">
        <f t="shared" si="24"/>
        <v>3455699.6112629184</v>
      </c>
      <c r="I47" s="52">
        <f t="shared" si="0"/>
        <v>0</v>
      </c>
      <c r="J47" s="52"/>
      <c r="K47" s="129"/>
      <c r="L47" s="54">
        <f t="shared" si="2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7"/>
        <v/>
      </c>
      <c r="C48" s="50">
        <f>IF(D11="","-",+C47+1)</f>
        <v>2047</v>
      </c>
      <c r="D48" s="55">
        <f>IF(F47+SUM(E$17:E47)=D$10,F47,D$10-SUM(E$17:E47))</f>
        <v>17093071.564529885</v>
      </c>
      <c r="E48" s="378">
        <f>IF(+I14&lt;F47,I14,D48)</f>
        <v>1332951.8409090908</v>
      </c>
      <c r="F48" s="55">
        <f t="shared" si="22"/>
        <v>15760119.723620795</v>
      </c>
      <c r="G48" s="379">
        <f t="shared" si="23"/>
        <v>3296375.701086089</v>
      </c>
      <c r="H48" s="364">
        <f t="shared" si="24"/>
        <v>3296375.701086089</v>
      </c>
      <c r="I48" s="52">
        <f t="shared" si="0"/>
        <v>0</v>
      </c>
      <c r="J48" s="52"/>
      <c r="K48" s="129"/>
      <c r="L48" s="54">
        <f t="shared" si="2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 ht="12.5">
      <c r="B49" s="7" t="str">
        <f t="shared" si="7"/>
        <v/>
      </c>
      <c r="C49" s="50">
        <f>IF(D11="","-",+C48+1)</f>
        <v>2048</v>
      </c>
      <c r="D49" s="55">
        <f>IF(F48+SUM(E$17:E48)=D$10,F48,D$10-SUM(E$17:E48))</f>
        <v>15760119.723620795</v>
      </c>
      <c r="E49" s="378">
        <f>IF(+I14&lt;F48,I14,D49)</f>
        <v>1332951.8409090908</v>
      </c>
      <c r="F49" s="55">
        <f t="shared" si="22"/>
        <v>14427167.882711705</v>
      </c>
      <c r="G49" s="379">
        <f t="shared" ref="G49:G72" si="25">+I$12*((D49+F49)/2)+E49</f>
        <v>3137051.7909092596</v>
      </c>
      <c r="H49" s="364">
        <f t="shared" ref="H49:H72" si="26">+I$13*((D49+F49)/2)+E49</f>
        <v>3137051.7909092596</v>
      </c>
      <c r="I49" s="52">
        <f t="shared" si="0"/>
        <v>0</v>
      </c>
      <c r="J49" s="52"/>
      <c r="K49" s="129"/>
      <c r="L49" s="54">
        <f t="shared" si="2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 ht="12.5">
      <c r="B50" s="7" t="str">
        <f t="shared" si="7"/>
        <v/>
      </c>
      <c r="C50" s="50">
        <f>IF(D11="","-",+C49+1)</f>
        <v>2049</v>
      </c>
      <c r="D50" s="55">
        <f>IF(F49+SUM(E$17:E49)=D$10,F49,D$10-SUM(E$17:E49))</f>
        <v>14427167.882711705</v>
      </c>
      <c r="E50" s="378">
        <f>IF(+I14&lt;F49,I14,D50)</f>
        <v>1332951.8409090908</v>
      </c>
      <c r="F50" s="55">
        <f t="shared" si="22"/>
        <v>13094216.041802615</v>
      </c>
      <c r="G50" s="379">
        <f t="shared" si="25"/>
        <v>2977727.8807324297</v>
      </c>
      <c r="H50" s="364">
        <f t="shared" si="26"/>
        <v>2977727.8807324297</v>
      </c>
      <c r="I50" s="52">
        <f t="shared" si="0"/>
        <v>0</v>
      </c>
      <c r="J50" s="52"/>
      <c r="K50" s="129"/>
      <c r="L50" s="54">
        <f t="shared" si="2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 ht="12.5">
      <c r="B51" s="7" t="str">
        <f t="shared" si="7"/>
        <v/>
      </c>
      <c r="C51" s="50">
        <f>IF(D11="","-",+C50+1)</f>
        <v>2050</v>
      </c>
      <c r="D51" s="55">
        <f>IF(F50+SUM(E$17:E50)=D$10,F50,D$10-SUM(E$17:E50))</f>
        <v>13094216.041802615</v>
      </c>
      <c r="E51" s="378">
        <f>IF(+I14&lt;F50,I14,D51)</f>
        <v>1332951.8409090908</v>
      </c>
      <c r="F51" s="55">
        <f t="shared" si="22"/>
        <v>11761264.200893525</v>
      </c>
      <c r="G51" s="379">
        <f t="shared" si="25"/>
        <v>2818403.9705555998</v>
      </c>
      <c r="H51" s="364">
        <f t="shared" si="26"/>
        <v>2818403.9705555998</v>
      </c>
      <c r="I51" s="52">
        <f t="shared" si="0"/>
        <v>0</v>
      </c>
      <c r="J51" s="52"/>
      <c r="K51" s="129"/>
      <c r="L51" s="54">
        <f t="shared" si="2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 ht="12.5">
      <c r="B52" s="7" t="str">
        <f t="shared" si="7"/>
        <v/>
      </c>
      <c r="C52" s="50">
        <f>IF(D11="","-",+C51+1)</f>
        <v>2051</v>
      </c>
      <c r="D52" s="55">
        <f>IF(F51+SUM(E$17:E51)=D$10,F51,D$10-SUM(E$17:E51))</f>
        <v>11761264.200893525</v>
      </c>
      <c r="E52" s="378">
        <f>IF(+I14&lt;F51,I14,D52)</f>
        <v>1332951.8409090908</v>
      </c>
      <c r="F52" s="55">
        <f t="shared" si="22"/>
        <v>10428312.359984435</v>
      </c>
      <c r="G52" s="379">
        <f t="shared" si="25"/>
        <v>2659080.0603787703</v>
      </c>
      <c r="H52" s="364">
        <f t="shared" si="26"/>
        <v>2659080.0603787703</v>
      </c>
      <c r="I52" s="52">
        <f t="shared" si="0"/>
        <v>0</v>
      </c>
      <c r="J52" s="52"/>
      <c r="K52" s="129"/>
      <c r="L52" s="54">
        <f t="shared" si="2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 ht="12.5">
      <c r="B53" s="7" t="str">
        <f t="shared" si="7"/>
        <v/>
      </c>
      <c r="C53" s="50">
        <f>IF(D11="","-",+C52+1)</f>
        <v>2052</v>
      </c>
      <c r="D53" s="55">
        <f>IF(F52+SUM(E$17:E52)=D$10,F52,D$10-SUM(E$17:E52))</f>
        <v>10428312.359984435</v>
      </c>
      <c r="E53" s="378">
        <f>IF(+I14&lt;F52,I14,D53)</f>
        <v>1332951.8409090908</v>
      </c>
      <c r="F53" s="55">
        <f t="shared" si="22"/>
        <v>9095360.5190753452</v>
      </c>
      <c r="G53" s="379">
        <f t="shared" si="25"/>
        <v>2499756.1502019409</v>
      </c>
      <c r="H53" s="364">
        <f t="shared" si="26"/>
        <v>2499756.1502019409</v>
      </c>
      <c r="I53" s="52">
        <f t="shared" si="0"/>
        <v>0</v>
      </c>
      <c r="J53" s="52"/>
      <c r="K53" s="129"/>
      <c r="L53" s="54">
        <f t="shared" si="2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 ht="12.5">
      <c r="B54" s="7" t="str">
        <f t="shared" si="7"/>
        <v/>
      </c>
      <c r="C54" s="50">
        <f>IF(D11="","-",+C53+1)</f>
        <v>2053</v>
      </c>
      <c r="D54" s="55">
        <f>IF(F53+SUM(E$17:E53)=D$10,F53,D$10-SUM(E$17:E53))</f>
        <v>9095360.5190753452</v>
      </c>
      <c r="E54" s="378">
        <f>IF(+I14&lt;F53,I14,D54)</f>
        <v>1332951.8409090908</v>
      </c>
      <c r="F54" s="55">
        <f t="shared" si="22"/>
        <v>7762408.6781662544</v>
      </c>
      <c r="G54" s="379">
        <f t="shared" si="25"/>
        <v>2340432.240025111</v>
      </c>
      <c r="H54" s="364">
        <f t="shared" si="26"/>
        <v>2340432.240025111</v>
      </c>
      <c r="I54" s="52">
        <f t="shared" si="0"/>
        <v>0</v>
      </c>
      <c r="J54" s="52"/>
      <c r="K54" s="129"/>
      <c r="L54" s="54">
        <f t="shared" si="2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 ht="12.5">
      <c r="B55" s="7" t="str">
        <f t="shared" si="7"/>
        <v/>
      </c>
      <c r="C55" s="50">
        <f>IF(D11="","-",+C54+1)</f>
        <v>2054</v>
      </c>
      <c r="D55" s="55">
        <f>IF(F54+SUM(E$17:E54)=D$10,F54,D$10-SUM(E$17:E54))</f>
        <v>7762408.6781662544</v>
      </c>
      <c r="E55" s="378">
        <f>IF(+I14&lt;F54,I14,D55)</f>
        <v>1332951.8409090908</v>
      </c>
      <c r="F55" s="55">
        <f t="shared" si="22"/>
        <v>6429456.8372571636</v>
      </c>
      <c r="G55" s="379">
        <f t="shared" si="25"/>
        <v>2181108.3298482811</v>
      </c>
      <c r="H55" s="364">
        <f t="shared" si="26"/>
        <v>2181108.3298482811</v>
      </c>
      <c r="I55" s="52">
        <f t="shared" si="0"/>
        <v>0</v>
      </c>
      <c r="J55" s="52"/>
      <c r="K55" s="129"/>
      <c r="L55" s="54">
        <f t="shared" si="2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 ht="12.5">
      <c r="B56" s="7" t="str">
        <f t="shared" si="7"/>
        <v/>
      </c>
      <c r="C56" s="50">
        <f>IF(D11="","-",+C55+1)</f>
        <v>2055</v>
      </c>
      <c r="D56" s="55">
        <f>IF(F55+SUM(E$17:E55)=D$10,F55,D$10-SUM(E$17:E55))</f>
        <v>6429456.8372571636</v>
      </c>
      <c r="E56" s="378">
        <f>IF(+I14&lt;F55,I14,D56)</f>
        <v>1332951.8409090908</v>
      </c>
      <c r="F56" s="55">
        <f t="shared" si="22"/>
        <v>5096504.9963480728</v>
      </c>
      <c r="G56" s="379">
        <f t="shared" si="25"/>
        <v>2021784.4196714512</v>
      </c>
      <c r="H56" s="364">
        <f t="shared" si="26"/>
        <v>2021784.4196714512</v>
      </c>
      <c r="I56" s="52">
        <f t="shared" si="0"/>
        <v>0</v>
      </c>
      <c r="J56" s="52"/>
      <c r="K56" s="129"/>
      <c r="L56" s="54">
        <f t="shared" si="2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 ht="12.5">
      <c r="B57" s="7" t="str">
        <f t="shared" si="7"/>
        <v/>
      </c>
      <c r="C57" s="50">
        <f>IF(D11="","-",+C56+1)</f>
        <v>2056</v>
      </c>
      <c r="D57" s="55">
        <f>IF(F56+SUM(E$17:E56)=D$10,F56,D$10-SUM(E$17:E56))</f>
        <v>5096504.9963480728</v>
      </c>
      <c r="E57" s="378">
        <f>IF(+I14&lt;F56,I14,D57)</f>
        <v>1332951.8409090908</v>
      </c>
      <c r="F57" s="55">
        <f t="shared" si="22"/>
        <v>3763553.155438982</v>
      </c>
      <c r="G57" s="379">
        <f t="shared" si="25"/>
        <v>1862460.5094946213</v>
      </c>
      <c r="H57" s="364">
        <f t="shared" si="26"/>
        <v>1862460.5094946213</v>
      </c>
      <c r="I57" s="52">
        <f t="shared" si="0"/>
        <v>0</v>
      </c>
      <c r="J57" s="52"/>
      <c r="K57" s="129"/>
      <c r="L57" s="54">
        <f t="shared" si="2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 ht="12.5">
      <c r="B58" s="7" t="str">
        <f t="shared" si="7"/>
        <v/>
      </c>
      <c r="C58" s="50">
        <f>IF(D11="","-",+C57+1)</f>
        <v>2057</v>
      </c>
      <c r="D58" s="55">
        <f>IF(F57+SUM(E$17:E57)=D$10,F57,D$10-SUM(E$17:E57))</f>
        <v>3763553.155438982</v>
      </c>
      <c r="E58" s="378">
        <f>IF(+I14&lt;F57,I14,D58)</f>
        <v>1332951.8409090908</v>
      </c>
      <c r="F58" s="55">
        <f t="shared" si="22"/>
        <v>2430601.3145298911</v>
      </c>
      <c r="G58" s="379">
        <f t="shared" si="25"/>
        <v>1703136.5993177916</v>
      </c>
      <c r="H58" s="364">
        <f t="shared" si="26"/>
        <v>1703136.5993177916</v>
      </c>
      <c r="I58" s="52">
        <f t="shared" si="0"/>
        <v>0</v>
      </c>
      <c r="J58" s="52"/>
      <c r="K58" s="129"/>
      <c r="L58" s="54">
        <f t="shared" si="2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 ht="12.5">
      <c r="B59" s="7" t="str">
        <f t="shared" si="7"/>
        <v/>
      </c>
      <c r="C59" s="50">
        <f>IF(D11="","-",+C58+1)</f>
        <v>2058</v>
      </c>
      <c r="D59" s="55">
        <f>IF(F58+SUM(E$17:E58)=D$10,F58,D$10-SUM(E$17:E58))</f>
        <v>2430601.3145298911</v>
      </c>
      <c r="E59" s="378">
        <f>IF(+I14&lt;F58,I14,D59)</f>
        <v>1332951.8409090908</v>
      </c>
      <c r="F59" s="55">
        <f t="shared" si="22"/>
        <v>1097649.4736208003</v>
      </c>
      <c r="G59" s="379">
        <f t="shared" si="25"/>
        <v>1543812.6891409617</v>
      </c>
      <c r="H59" s="364">
        <f t="shared" si="26"/>
        <v>1543812.6891409617</v>
      </c>
      <c r="I59" s="52">
        <f t="shared" si="0"/>
        <v>0</v>
      </c>
      <c r="J59" s="52"/>
      <c r="K59" s="129"/>
      <c r="L59" s="54">
        <f t="shared" si="2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 ht="12.5">
      <c r="B60" s="7" t="str">
        <f t="shared" si="7"/>
        <v/>
      </c>
      <c r="C60" s="50">
        <f>IF(D11="","-",+C59+1)</f>
        <v>2059</v>
      </c>
      <c r="D60" s="55">
        <f>IF(F59+SUM(E$17:E59)=D$10,F59,D$10-SUM(E$17:E59))</f>
        <v>1097649.4736208003</v>
      </c>
      <c r="E60" s="378">
        <f>IF(+I14&lt;F59,I14,D60)</f>
        <v>1097649.4736208003</v>
      </c>
      <c r="F60" s="55">
        <f t="shared" si="22"/>
        <v>0</v>
      </c>
      <c r="G60" s="379">
        <f t="shared" si="25"/>
        <v>1163248.9201925283</v>
      </c>
      <c r="H60" s="364">
        <f t="shared" si="26"/>
        <v>1163248.9201925283</v>
      </c>
      <c r="I60" s="52">
        <f t="shared" si="0"/>
        <v>0</v>
      </c>
      <c r="J60" s="52"/>
      <c r="K60" s="129"/>
      <c r="L60" s="54">
        <f t="shared" si="2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 ht="12.5">
      <c r="B61" s="7" t="str">
        <f t="shared" si="7"/>
        <v/>
      </c>
      <c r="C61" s="50">
        <f>IF(D11="","-",+C60+1)</f>
        <v>2060</v>
      </c>
      <c r="D61" s="55">
        <f>IF(F60+SUM(E$17:E60)=D$10,F60,D$10-SUM(E$17:E60))</f>
        <v>0</v>
      </c>
      <c r="E61" s="378">
        <f>IF(+I14&lt;F60,I14,D61)</f>
        <v>0</v>
      </c>
      <c r="F61" s="55">
        <f t="shared" si="22"/>
        <v>0</v>
      </c>
      <c r="G61" s="380">
        <f t="shared" si="25"/>
        <v>0</v>
      </c>
      <c r="H61" s="364">
        <f t="shared" si="26"/>
        <v>0</v>
      </c>
      <c r="I61" s="52">
        <f t="shared" si="0"/>
        <v>0</v>
      </c>
      <c r="J61" s="52"/>
      <c r="K61" s="129"/>
      <c r="L61" s="54">
        <f t="shared" si="2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 ht="12.5">
      <c r="B62" s="7" t="str">
        <f t="shared" si="7"/>
        <v/>
      </c>
      <c r="C62" s="50">
        <f>IF(D11="","-",+C61+1)</f>
        <v>2061</v>
      </c>
      <c r="D62" s="55">
        <f>IF(F61+SUM(E$17:E61)=D$10,F61,D$10-SUM(E$17:E61))</f>
        <v>0</v>
      </c>
      <c r="E62" s="378">
        <f>IF(+I14&lt;F61,I14,D62)</f>
        <v>0</v>
      </c>
      <c r="F62" s="55">
        <f t="shared" si="22"/>
        <v>0</v>
      </c>
      <c r="G62" s="380">
        <f t="shared" si="25"/>
        <v>0</v>
      </c>
      <c r="H62" s="364">
        <f t="shared" si="26"/>
        <v>0</v>
      </c>
      <c r="I62" s="52">
        <f t="shared" si="0"/>
        <v>0</v>
      </c>
      <c r="J62" s="52"/>
      <c r="K62" s="129"/>
      <c r="L62" s="54">
        <f t="shared" si="2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 ht="12.5">
      <c r="B63" s="7" t="str">
        <f t="shared" si="7"/>
        <v/>
      </c>
      <c r="C63" s="50">
        <f>IF(D11="","-",+C62+1)</f>
        <v>2062</v>
      </c>
      <c r="D63" s="55">
        <f>IF(F62+SUM(E$17:E62)=D$10,F62,D$10-SUM(E$17:E62))</f>
        <v>0</v>
      </c>
      <c r="E63" s="378">
        <f>IF(+I14&lt;F62,I14,D63)</f>
        <v>0</v>
      </c>
      <c r="F63" s="55">
        <f t="shared" si="22"/>
        <v>0</v>
      </c>
      <c r="G63" s="380">
        <f t="shared" si="25"/>
        <v>0</v>
      </c>
      <c r="H63" s="364">
        <f t="shared" si="26"/>
        <v>0</v>
      </c>
      <c r="I63" s="52">
        <f t="shared" si="0"/>
        <v>0</v>
      </c>
      <c r="J63" s="52"/>
      <c r="K63" s="129"/>
      <c r="L63" s="54">
        <f t="shared" si="2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 ht="12.5">
      <c r="B64" s="7" t="str">
        <f t="shared" si="7"/>
        <v/>
      </c>
      <c r="C64" s="50">
        <f>IF(D11="","-",+C63+1)</f>
        <v>2063</v>
      </c>
      <c r="D64" s="55">
        <f>IF(F63+SUM(E$17:E63)=D$10,F63,D$10-SUM(E$17:E63))</f>
        <v>0</v>
      </c>
      <c r="E64" s="378">
        <f>IF(+I14&lt;F63,I14,D64)</f>
        <v>0</v>
      </c>
      <c r="F64" s="55">
        <f t="shared" si="22"/>
        <v>0</v>
      </c>
      <c r="G64" s="380">
        <f t="shared" si="25"/>
        <v>0</v>
      </c>
      <c r="H64" s="364">
        <f t="shared" si="26"/>
        <v>0</v>
      </c>
      <c r="I64" s="52">
        <f t="shared" si="0"/>
        <v>0</v>
      </c>
      <c r="J64" s="52"/>
      <c r="K64" s="129"/>
      <c r="L64" s="54">
        <f t="shared" si="2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 ht="12.5">
      <c r="B65" s="7" t="str">
        <f t="shared" si="7"/>
        <v/>
      </c>
      <c r="C65" s="50">
        <f>IF(D11="","-",+C64+1)</f>
        <v>2064</v>
      </c>
      <c r="D65" s="55">
        <f>IF(F64+SUM(E$17:E64)=D$10,F64,D$10-SUM(E$17:E64))</f>
        <v>0</v>
      </c>
      <c r="E65" s="378">
        <f>IF(+I14&lt;F64,I14,D65)</f>
        <v>0</v>
      </c>
      <c r="F65" s="55">
        <f t="shared" si="22"/>
        <v>0</v>
      </c>
      <c r="G65" s="380">
        <f t="shared" si="25"/>
        <v>0</v>
      </c>
      <c r="H65" s="364">
        <f t="shared" si="26"/>
        <v>0</v>
      </c>
      <c r="I65" s="52">
        <f t="shared" si="0"/>
        <v>0</v>
      </c>
      <c r="J65" s="52"/>
      <c r="K65" s="129"/>
      <c r="L65" s="54">
        <f t="shared" si="2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 ht="12.5">
      <c r="B66" s="7" t="str">
        <f t="shared" si="7"/>
        <v/>
      </c>
      <c r="C66" s="50">
        <f>IF(D11="","-",+C65+1)</f>
        <v>2065</v>
      </c>
      <c r="D66" s="55">
        <f>IF(F65+SUM(E$17:E65)=D$10,F65,D$10-SUM(E$17:E65))</f>
        <v>0</v>
      </c>
      <c r="E66" s="378">
        <f>IF(+I14&lt;F65,I14,D66)</f>
        <v>0</v>
      </c>
      <c r="F66" s="55">
        <f t="shared" si="22"/>
        <v>0</v>
      </c>
      <c r="G66" s="380">
        <f t="shared" si="25"/>
        <v>0</v>
      </c>
      <c r="H66" s="364">
        <f t="shared" si="26"/>
        <v>0</v>
      </c>
      <c r="I66" s="52">
        <f t="shared" si="0"/>
        <v>0</v>
      </c>
      <c r="J66" s="52"/>
      <c r="K66" s="129"/>
      <c r="L66" s="54">
        <f t="shared" si="2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 ht="12.5">
      <c r="B67" s="7" t="str">
        <f t="shared" si="7"/>
        <v/>
      </c>
      <c r="C67" s="50">
        <f>IF(D11="","-",+C66+1)</f>
        <v>2066</v>
      </c>
      <c r="D67" s="55">
        <f>IF(F66+SUM(E$17:E66)=D$10,F66,D$10-SUM(E$17:E66))</f>
        <v>0</v>
      </c>
      <c r="E67" s="378">
        <f>IF(+I14&lt;F66,I14,D67)</f>
        <v>0</v>
      </c>
      <c r="F67" s="55">
        <f t="shared" si="22"/>
        <v>0</v>
      </c>
      <c r="G67" s="380">
        <f t="shared" si="25"/>
        <v>0</v>
      </c>
      <c r="H67" s="364">
        <f t="shared" si="26"/>
        <v>0</v>
      </c>
      <c r="I67" s="52">
        <f t="shared" si="0"/>
        <v>0</v>
      </c>
      <c r="J67" s="52"/>
      <c r="K67" s="129"/>
      <c r="L67" s="54">
        <f t="shared" si="2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 ht="12.5">
      <c r="B68" s="7" t="str">
        <f t="shared" si="7"/>
        <v/>
      </c>
      <c r="C68" s="50">
        <f>IF(D11="","-",+C67+1)</f>
        <v>2067</v>
      </c>
      <c r="D68" s="55">
        <f>IF(F67+SUM(E$17:E67)=D$10,F67,D$10-SUM(E$17:E67))</f>
        <v>0</v>
      </c>
      <c r="E68" s="378">
        <f>IF(+I14&lt;F67,I14,D68)</f>
        <v>0</v>
      </c>
      <c r="F68" s="55">
        <f t="shared" si="22"/>
        <v>0</v>
      </c>
      <c r="G68" s="380">
        <f t="shared" si="25"/>
        <v>0</v>
      </c>
      <c r="H68" s="364">
        <f t="shared" si="26"/>
        <v>0</v>
      </c>
      <c r="I68" s="52">
        <f t="shared" si="0"/>
        <v>0</v>
      </c>
      <c r="J68" s="52"/>
      <c r="K68" s="129"/>
      <c r="L68" s="54">
        <f t="shared" si="2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 ht="12.5">
      <c r="B69" s="7" t="str">
        <f t="shared" si="7"/>
        <v/>
      </c>
      <c r="C69" s="50">
        <f>IF(D11="","-",+C68+1)</f>
        <v>2068</v>
      </c>
      <c r="D69" s="55">
        <f>IF(F68+SUM(E$17:E68)=D$10,F68,D$10-SUM(E$17:E68))</f>
        <v>0</v>
      </c>
      <c r="E69" s="378">
        <f>IF(+I14&lt;F68,I14,D69)</f>
        <v>0</v>
      </c>
      <c r="F69" s="55">
        <f t="shared" si="22"/>
        <v>0</v>
      </c>
      <c r="G69" s="380">
        <f t="shared" si="25"/>
        <v>0</v>
      </c>
      <c r="H69" s="364">
        <f t="shared" si="26"/>
        <v>0</v>
      </c>
      <c r="I69" s="52">
        <f t="shared" si="0"/>
        <v>0</v>
      </c>
      <c r="J69" s="52"/>
      <c r="K69" s="129"/>
      <c r="L69" s="54">
        <f t="shared" si="2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 ht="12.5">
      <c r="B70" s="7" t="str">
        <f t="shared" si="7"/>
        <v/>
      </c>
      <c r="C70" s="50">
        <f>IF(D11="","-",+C69+1)</f>
        <v>2069</v>
      </c>
      <c r="D70" s="55">
        <f>IF(F69+SUM(E$17:E69)=D$10,F69,D$10-SUM(E$17:E69))</f>
        <v>0</v>
      </c>
      <c r="E70" s="378">
        <f>IF(+I14&lt;F69,I14,D70)</f>
        <v>0</v>
      </c>
      <c r="F70" s="55">
        <f t="shared" si="22"/>
        <v>0</v>
      </c>
      <c r="G70" s="380">
        <f t="shared" si="25"/>
        <v>0</v>
      </c>
      <c r="H70" s="364">
        <f t="shared" si="26"/>
        <v>0</v>
      </c>
      <c r="I70" s="52">
        <f t="shared" si="0"/>
        <v>0</v>
      </c>
      <c r="J70" s="52"/>
      <c r="K70" s="129"/>
      <c r="L70" s="54">
        <f t="shared" si="2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 ht="12.5">
      <c r="B71" s="7" t="str">
        <f t="shared" si="7"/>
        <v/>
      </c>
      <c r="C71" s="50">
        <f>IF(D11="","-",+C70+1)</f>
        <v>2070</v>
      </c>
      <c r="D71" s="55">
        <f>IF(F70+SUM(E$17:E70)=D$10,F70,D$10-SUM(E$17:E70))</f>
        <v>0</v>
      </c>
      <c r="E71" s="378">
        <f>IF(+I14&lt;F70,I14,D71)</f>
        <v>0</v>
      </c>
      <c r="F71" s="55">
        <f t="shared" si="22"/>
        <v>0</v>
      </c>
      <c r="G71" s="380">
        <f t="shared" si="25"/>
        <v>0</v>
      </c>
      <c r="H71" s="364">
        <f t="shared" si="26"/>
        <v>0</v>
      </c>
      <c r="I71" s="52">
        <f t="shared" si="0"/>
        <v>0</v>
      </c>
      <c r="J71" s="52"/>
      <c r="K71" s="129"/>
      <c r="L71" s="54">
        <f t="shared" si="2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" thickBot="1">
      <c r="B72" s="7" t="str">
        <f t="shared" si="7"/>
        <v/>
      </c>
      <c r="C72" s="59">
        <f>IF(D11="","-",+C71+1)</f>
        <v>2071</v>
      </c>
      <c r="D72" s="60">
        <f>IF(F71+SUM(E$17:E71)=D$10,F71,D$10-SUM(E$17:E71))</f>
        <v>0</v>
      </c>
      <c r="E72" s="381">
        <f>IF(+I14&lt;F71,I14,D72)</f>
        <v>0</v>
      </c>
      <c r="F72" s="60">
        <f t="shared" si="22"/>
        <v>0</v>
      </c>
      <c r="G72" s="382">
        <f t="shared" si="25"/>
        <v>0</v>
      </c>
      <c r="H72" s="362">
        <f t="shared" si="26"/>
        <v>0</v>
      </c>
      <c r="I72" s="63">
        <f t="shared" si="0"/>
        <v>0</v>
      </c>
      <c r="J72" s="52"/>
      <c r="K72" s="130"/>
      <c r="L72" s="64">
        <f t="shared" si="2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 ht="12.5">
      <c r="C73" s="12" t="s">
        <v>78</v>
      </c>
      <c r="D73" s="293"/>
      <c r="E73" s="293">
        <f>SUM(E17:E72)</f>
        <v>58649881.000000037</v>
      </c>
      <c r="F73" s="293"/>
      <c r="G73" s="293">
        <f>SUM(G17:G72)</f>
        <v>208082468.55062631</v>
      </c>
      <c r="H73" s="293">
        <f>SUM(H17:H72)</f>
        <v>208082468.55062631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 ht="13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61 of 77</v>
      </c>
    </row>
    <row r="84" spans="1:16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6960825.5877609951</v>
      </c>
      <c r="N87" s="387">
        <f>IF(J92&lt;D11,0,VLOOKUP(J92,C17:O72,11))</f>
        <v>6960825.5877609951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2226792.3675051439</v>
      </c>
      <c r="N88" s="390">
        <f>IF(J92&lt;D11,0,VLOOKUP(J92,C99:P154,7))</f>
        <v>2226792.3675051439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Messick 500/230 kV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-4734033.2202558517</v>
      </c>
      <c r="N89" s="392">
        <f>+N88-N87</f>
        <v>-4734033.2202558517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TP2011033</v>
      </c>
      <c r="E91" s="76" t="str">
        <f>E9</f>
        <v>SPP Project ID = 30495</v>
      </c>
      <c r="F91" s="76"/>
      <c r="G91" s="76"/>
      <c r="H91" s="76"/>
      <c r="I91" s="76"/>
      <c r="J91" s="76"/>
    </row>
    <row r="92" spans="1:16" ht="13">
      <c r="C92" s="34" t="s">
        <v>51</v>
      </c>
      <c r="D92" s="394">
        <v>24339700.42479435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</row>
    <row r="93" spans="1:16" ht="12.5">
      <c r="C93" s="34" t="s">
        <v>54</v>
      </c>
      <c r="D93" s="37">
        <f>D11</f>
        <v>2016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63">
        <f>D12</f>
        <v>6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553175.00965441705</v>
      </c>
      <c r="K96" s="293"/>
      <c r="L96" s="293"/>
      <c r="M96" s="293"/>
      <c r="N96" s="293"/>
      <c r="O96" s="293"/>
      <c r="P96" s="1"/>
    </row>
    <row r="97" spans="1:16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 ht="12.5">
      <c r="C99" s="50">
        <f>IF(D93= "","-",D93)</f>
        <v>2016</v>
      </c>
      <c r="D99" s="145">
        <v>0</v>
      </c>
      <c r="E99" s="446">
        <v>942654.85714285716</v>
      </c>
      <c r="F99" s="147">
        <v>58444601.142857142</v>
      </c>
      <c r="G99" s="447">
        <v>29222300.571428571</v>
      </c>
      <c r="H99" s="448">
        <v>4492330.3044337472</v>
      </c>
      <c r="I99" s="449">
        <v>4492330.3044337472</v>
      </c>
      <c r="J99" s="54">
        <f t="shared" ref="J99:J130" si="27">+I99-H99</f>
        <v>0</v>
      </c>
      <c r="K99" s="54"/>
      <c r="L99" s="112">
        <f t="shared" ref="L99:L104" si="28">+H99</f>
        <v>4492330.3044337472</v>
      </c>
      <c r="M99" s="53">
        <f t="shared" ref="M99:M130" si="29">IF(L99&lt;&gt;0,+H99-L99,0)</f>
        <v>0</v>
      </c>
      <c r="N99" s="112">
        <f t="shared" ref="N99:N104" si="30">+I99</f>
        <v>4492330.3044337472</v>
      </c>
      <c r="O99" s="53">
        <f t="shared" ref="O99:O130" si="31">IF(N99&lt;&gt;0,+I99-N99,0)</f>
        <v>0</v>
      </c>
      <c r="P99" s="53">
        <f t="shared" ref="P99:P130" si="32">+O99-M99</f>
        <v>0</v>
      </c>
    </row>
    <row r="100" spans="1:16" ht="12.5">
      <c r="B100" s="7" t="str">
        <f>IF(D100=F99,"","IU")</f>
        <v>IU</v>
      </c>
      <c r="C100" s="50">
        <f>IF(D93="","-",+C99+1)</f>
        <v>2017</v>
      </c>
      <c r="D100" s="429">
        <v>57706234.142857142</v>
      </c>
      <c r="E100" s="430">
        <v>1396402.1190476189</v>
      </c>
      <c r="F100" s="431">
        <v>56309832.023809522</v>
      </c>
      <c r="G100" s="431">
        <v>57008033.083333328</v>
      </c>
      <c r="H100" s="433">
        <v>7416711.841213882</v>
      </c>
      <c r="I100" s="434">
        <v>7416711.841213882</v>
      </c>
      <c r="J100" s="54">
        <f t="shared" si="27"/>
        <v>0</v>
      </c>
      <c r="K100" s="54"/>
      <c r="L100" s="450">
        <f t="shared" si="28"/>
        <v>7416711.841213882</v>
      </c>
      <c r="M100" s="54">
        <f t="shared" si="29"/>
        <v>0</v>
      </c>
      <c r="N100" s="450">
        <f t="shared" si="30"/>
        <v>7416711.841213882</v>
      </c>
      <c r="O100" s="54">
        <f t="shared" si="31"/>
        <v>0</v>
      </c>
      <c r="P100" s="54">
        <f t="shared" si="32"/>
        <v>0</v>
      </c>
    </row>
    <row r="101" spans="1:16" ht="12.5">
      <c r="B101" s="7" t="str">
        <f t="shared" ref="B101:B154" si="33">IF(D101=F100,"","IU")</f>
        <v>IU</v>
      </c>
      <c r="C101" s="50">
        <f>IF(D93="","-",+C100+1)</f>
        <v>2018</v>
      </c>
      <c r="D101" s="429">
        <v>56310824.023809522</v>
      </c>
      <c r="E101" s="430">
        <v>1363950.7209302327</v>
      </c>
      <c r="F101" s="431">
        <v>54946873.302879289</v>
      </c>
      <c r="G101" s="431">
        <v>55628848.663344406</v>
      </c>
      <c r="H101" s="433">
        <v>7318493.0853602551</v>
      </c>
      <c r="I101" s="434">
        <v>7318493.0853602551</v>
      </c>
      <c r="J101" s="54">
        <f t="shared" si="27"/>
        <v>0</v>
      </c>
      <c r="K101" s="54"/>
      <c r="L101" s="450">
        <f t="shared" si="28"/>
        <v>7318493.0853602551</v>
      </c>
      <c r="M101" s="54">
        <f t="shared" ref="M101" si="34">IF(L101&lt;&gt;0,+H101-L101,0)</f>
        <v>0</v>
      </c>
      <c r="N101" s="450">
        <f t="shared" si="30"/>
        <v>7318493.0853602551</v>
      </c>
      <c r="O101" s="54">
        <f t="shared" si="31"/>
        <v>0</v>
      </c>
      <c r="P101" s="54">
        <f t="shared" si="32"/>
        <v>0</v>
      </c>
    </row>
    <row r="102" spans="1:16" ht="12.5">
      <c r="B102" s="7" t="str">
        <f t="shared" si="33"/>
        <v/>
      </c>
      <c r="C102" s="50">
        <f>IF(D93="","-",+C101+1)</f>
        <v>2019</v>
      </c>
      <c r="D102" s="429">
        <v>54946873.302879289</v>
      </c>
      <c r="E102" s="430">
        <v>1363950.7209302327</v>
      </c>
      <c r="F102" s="431">
        <v>53582922.581949055</v>
      </c>
      <c r="G102" s="431">
        <v>54264897.942414172</v>
      </c>
      <c r="H102" s="433">
        <v>7172495.0547354436</v>
      </c>
      <c r="I102" s="434">
        <v>7172495.0547354436</v>
      </c>
      <c r="J102" s="54">
        <f t="shared" si="27"/>
        <v>0</v>
      </c>
      <c r="K102" s="54"/>
      <c r="L102" s="450">
        <f t="shared" si="28"/>
        <v>7172495.0547354436</v>
      </c>
      <c r="M102" s="54">
        <f t="shared" ref="M102" si="35">IF(L102&lt;&gt;0,+H102-L102,0)</f>
        <v>0</v>
      </c>
      <c r="N102" s="450">
        <f t="shared" si="30"/>
        <v>7172495.0547354436</v>
      </c>
      <c r="O102" s="54">
        <f t="shared" si="31"/>
        <v>0</v>
      </c>
      <c r="P102" s="54">
        <f t="shared" si="32"/>
        <v>0</v>
      </c>
    </row>
    <row r="103" spans="1:16" ht="12.5">
      <c r="B103" s="7" t="str">
        <f t="shared" si="33"/>
        <v/>
      </c>
      <c r="C103" s="50">
        <f>IF(D93="","-",+C102+1)</f>
        <v>2020</v>
      </c>
      <c r="D103" s="429">
        <v>53582922.581949055</v>
      </c>
      <c r="E103" s="430">
        <v>1396425.7380952381</v>
      </c>
      <c r="F103" s="431">
        <v>52186496.843853816</v>
      </c>
      <c r="G103" s="431">
        <v>52884709.712901436</v>
      </c>
      <c r="H103" s="433">
        <v>7085436.6426010244</v>
      </c>
      <c r="I103" s="434">
        <v>7085436.6426010244</v>
      </c>
      <c r="J103" s="54">
        <f t="shared" si="27"/>
        <v>0</v>
      </c>
      <c r="K103" s="54"/>
      <c r="L103" s="450">
        <f t="shared" si="28"/>
        <v>7085436.6426010244</v>
      </c>
      <c r="M103" s="54">
        <f t="shared" ref="M103" si="36">IF(L103&lt;&gt;0,+H103-L103,0)</f>
        <v>0</v>
      </c>
      <c r="N103" s="450">
        <f t="shared" si="30"/>
        <v>7085436.6426010244</v>
      </c>
      <c r="O103" s="54">
        <f t="shared" si="31"/>
        <v>0</v>
      </c>
      <c r="P103" s="54">
        <f t="shared" si="32"/>
        <v>0</v>
      </c>
    </row>
    <row r="104" spans="1:16" ht="12.5">
      <c r="B104" s="7" t="str">
        <f t="shared" si="33"/>
        <v/>
      </c>
      <c r="C104" s="50">
        <f>IF(D93="","-",+C103+1)</f>
        <v>2021</v>
      </c>
      <c r="D104" s="429">
        <v>52186496.843853816</v>
      </c>
      <c r="E104" s="430">
        <v>1430484.9024390243</v>
      </c>
      <c r="F104" s="431">
        <v>50756011.941414788</v>
      </c>
      <c r="G104" s="431">
        <v>51471254.392634302</v>
      </c>
      <c r="H104" s="433">
        <v>7273204.5252049714</v>
      </c>
      <c r="I104" s="434">
        <v>7273204.5252049714</v>
      </c>
      <c r="J104" s="54">
        <f t="shared" si="27"/>
        <v>0</v>
      </c>
      <c r="K104" s="54"/>
      <c r="L104" s="450">
        <f t="shared" si="28"/>
        <v>7273204.5252049714</v>
      </c>
      <c r="M104" s="54">
        <f t="shared" ref="M104" si="37">IF(L104&lt;&gt;0,+H104-L104,0)</f>
        <v>0</v>
      </c>
      <c r="N104" s="450">
        <f t="shared" si="30"/>
        <v>7273204.5252049714</v>
      </c>
      <c r="O104" s="54">
        <f t="shared" si="31"/>
        <v>0</v>
      </c>
      <c r="P104" s="54">
        <f t="shared" si="32"/>
        <v>0</v>
      </c>
    </row>
    <row r="105" spans="1:16" ht="12.5">
      <c r="B105" s="7" t="str">
        <f t="shared" si="33"/>
        <v/>
      </c>
      <c r="C105" s="50">
        <f>IF(D93="","-",+C104+1)</f>
        <v>2022</v>
      </c>
      <c r="D105" s="429">
        <v>50756011.941414788</v>
      </c>
      <c r="E105" s="430">
        <v>1396425.7380952381</v>
      </c>
      <c r="F105" s="431">
        <v>49359586.20331955</v>
      </c>
      <c r="G105" s="431">
        <v>50057799.072367169</v>
      </c>
      <c r="H105" s="433">
        <v>7276106.8445858909</v>
      </c>
      <c r="I105" s="434">
        <v>7276106.8445858909</v>
      </c>
      <c r="J105" s="54">
        <f t="shared" si="27"/>
        <v>0</v>
      </c>
      <c r="K105" s="54"/>
      <c r="L105" s="450">
        <f t="shared" ref="L105" si="38">+H105</f>
        <v>7276106.8445858909</v>
      </c>
      <c r="M105" s="54">
        <f t="shared" ref="M105" si="39">IF(L105&lt;&gt;0,+H105-L105,0)</f>
        <v>0</v>
      </c>
      <c r="N105" s="450">
        <f t="shared" ref="N105" si="40">+I105</f>
        <v>7276106.8445858909</v>
      </c>
      <c r="O105" s="54">
        <f t="shared" ref="O105" si="41">IF(N105&lt;&gt;0,+I105-N105,0)</f>
        <v>0</v>
      </c>
      <c r="P105" s="54">
        <f t="shared" ref="P105" si="42">+O105-M105</f>
        <v>0</v>
      </c>
    </row>
    <row r="106" spans="1:16" ht="12.5">
      <c r="B106" s="7" t="str">
        <f t="shared" si="33"/>
        <v>IU</v>
      </c>
      <c r="C106" s="50">
        <f>IF(D93="","-",+C105+1)</f>
        <v>2023</v>
      </c>
      <c r="D106" s="429">
        <v>49359585.873319551</v>
      </c>
      <c r="E106" s="430">
        <v>1332951.8334090908</v>
      </c>
      <c r="F106" s="431">
        <v>48026634.039910458</v>
      </c>
      <c r="G106" s="431">
        <v>48693109.956615001</v>
      </c>
      <c r="H106" s="433">
        <v>7339980.080494266</v>
      </c>
      <c r="I106" s="434">
        <v>7339980.080494266</v>
      </c>
      <c r="J106" s="54">
        <f t="shared" si="27"/>
        <v>0</v>
      </c>
      <c r="K106" s="54"/>
      <c r="L106" s="450">
        <f t="shared" ref="L106" si="43">+H106</f>
        <v>7339980.080494266</v>
      </c>
      <c r="M106" s="54">
        <f t="shared" ref="M106" si="44">IF(L106&lt;&gt;0,+H106-L106,0)</f>
        <v>0</v>
      </c>
      <c r="N106" s="450">
        <f t="shared" ref="N106" si="45">+I106</f>
        <v>7339980.080494266</v>
      </c>
      <c r="O106" s="54">
        <f t="shared" ref="O106" si="46">IF(N106&lt;&gt;0,+I106-N106,0)</f>
        <v>0</v>
      </c>
      <c r="P106" s="54">
        <f t="shared" ref="P106" si="47">+O106-M106</f>
        <v>0</v>
      </c>
    </row>
    <row r="107" spans="1:16" ht="12.5">
      <c r="B107" s="7" t="str">
        <f t="shared" si="33"/>
        <v>IU</v>
      </c>
      <c r="C107" s="50">
        <f>IF(D93="","-",+C106+1)</f>
        <v>2024</v>
      </c>
      <c r="D107" s="12">
        <f>IF(F106+SUM(E$99:E106)=D$92,F106,D$92-SUM(E$99:E106))</f>
        <v>13716453.794704817</v>
      </c>
      <c r="E107" s="378">
        <f>IF(+J96&lt;F106,J96,D107)</f>
        <v>553175.00965441705</v>
      </c>
      <c r="F107" s="55">
        <f t="shared" ref="F107:F130" si="48">+D107-E107</f>
        <v>13163278.7850504</v>
      </c>
      <c r="G107" s="55">
        <f t="shared" ref="G107:G130" si="49">+(F107+D107)/2</f>
        <v>13439866.289877608</v>
      </c>
      <c r="H107" s="380">
        <f t="shared" ref="H107:H154" si="50">+J$94*G107+E107</f>
        <v>2226792.3675051439</v>
      </c>
      <c r="I107" s="399">
        <f t="shared" ref="I107:I154" si="51">+J$95*G107+E107</f>
        <v>2226792.3675051439</v>
      </c>
      <c r="J107" s="54">
        <f t="shared" si="27"/>
        <v>0</v>
      </c>
      <c r="K107" s="54"/>
      <c r="L107" s="129"/>
      <c r="M107" s="54">
        <f t="shared" si="29"/>
        <v>0</v>
      </c>
      <c r="N107" s="129"/>
      <c r="O107" s="54">
        <f t="shared" si="31"/>
        <v>0</v>
      </c>
      <c r="P107" s="54">
        <f t="shared" si="32"/>
        <v>0</v>
      </c>
    </row>
    <row r="108" spans="1:16" ht="12.5">
      <c r="B108" s="7" t="str">
        <f t="shared" si="33"/>
        <v/>
      </c>
      <c r="C108" s="50">
        <f>IF(D93="","-",+C107+1)</f>
        <v>2025</v>
      </c>
      <c r="D108" s="12">
        <f>IF(F107+SUM(E$99:E107)=D$92,F107,D$92-SUM(E$99:E107))</f>
        <v>13163278.7850504</v>
      </c>
      <c r="E108" s="378">
        <f>IF(+J96&lt;F107,J96,D108)</f>
        <v>553175.00965441705</v>
      </c>
      <c r="F108" s="55">
        <f t="shared" si="48"/>
        <v>12610103.775395982</v>
      </c>
      <c r="G108" s="55">
        <f t="shared" si="49"/>
        <v>12886691.280223191</v>
      </c>
      <c r="H108" s="380">
        <f t="shared" si="50"/>
        <v>2157907.5082276259</v>
      </c>
      <c r="I108" s="399">
        <f t="shared" si="51"/>
        <v>2157907.5082276259</v>
      </c>
      <c r="J108" s="54">
        <f t="shared" si="27"/>
        <v>0</v>
      </c>
      <c r="K108" s="54"/>
      <c r="L108" s="129"/>
      <c r="M108" s="54">
        <f t="shared" si="29"/>
        <v>0</v>
      </c>
      <c r="N108" s="129"/>
      <c r="O108" s="54">
        <f t="shared" si="31"/>
        <v>0</v>
      </c>
      <c r="P108" s="54">
        <f t="shared" si="32"/>
        <v>0</v>
      </c>
    </row>
    <row r="109" spans="1:16" ht="12.5">
      <c r="B109" s="7" t="str">
        <f t="shared" si="33"/>
        <v/>
      </c>
      <c r="C109" s="50">
        <f>IF(D93="","-",+C108+1)</f>
        <v>2026</v>
      </c>
      <c r="D109" s="12">
        <f>IF(F108+SUM(E$99:E108)=D$92,F108,D$92-SUM(E$99:E108))</f>
        <v>12610103.775395982</v>
      </c>
      <c r="E109" s="378">
        <f>IF(+J96&lt;F108,J96,D109)</f>
        <v>553175.00965441705</v>
      </c>
      <c r="F109" s="55">
        <f t="shared" si="48"/>
        <v>12056928.765741564</v>
      </c>
      <c r="G109" s="55">
        <f t="shared" si="49"/>
        <v>12333516.270568773</v>
      </c>
      <c r="H109" s="380">
        <f t="shared" si="50"/>
        <v>2089022.6489501079</v>
      </c>
      <c r="I109" s="399">
        <f t="shared" si="51"/>
        <v>2089022.6489501079</v>
      </c>
      <c r="J109" s="54">
        <f t="shared" si="27"/>
        <v>0</v>
      </c>
      <c r="K109" s="54"/>
      <c r="L109" s="129"/>
      <c r="M109" s="54">
        <f t="shared" si="29"/>
        <v>0</v>
      </c>
      <c r="N109" s="129"/>
      <c r="O109" s="54">
        <f t="shared" si="31"/>
        <v>0</v>
      </c>
      <c r="P109" s="54">
        <f t="shared" si="32"/>
        <v>0</v>
      </c>
    </row>
    <row r="110" spans="1:16" ht="12.5">
      <c r="B110" s="7" t="str">
        <f t="shared" si="33"/>
        <v/>
      </c>
      <c r="C110" s="50">
        <f>IF(D93="","-",+C109+1)</f>
        <v>2027</v>
      </c>
      <c r="D110" s="12">
        <f>IF(F109+SUM(E$99:E109)=D$92,F109,D$92-SUM(E$99:E109))</f>
        <v>12056928.765741564</v>
      </c>
      <c r="E110" s="378">
        <f>IF(+J96&lt;F109,J96,D110)</f>
        <v>553175.00965441705</v>
      </c>
      <c r="F110" s="55">
        <f t="shared" si="48"/>
        <v>11503753.756087147</v>
      </c>
      <c r="G110" s="55">
        <f t="shared" si="49"/>
        <v>11780341.260914356</v>
      </c>
      <c r="H110" s="380">
        <f t="shared" si="50"/>
        <v>2020137.7896725899</v>
      </c>
      <c r="I110" s="399">
        <f t="shared" si="51"/>
        <v>2020137.7896725899</v>
      </c>
      <c r="J110" s="54">
        <f t="shared" si="27"/>
        <v>0</v>
      </c>
      <c r="K110" s="54"/>
      <c r="L110" s="129"/>
      <c r="M110" s="54">
        <f t="shared" si="29"/>
        <v>0</v>
      </c>
      <c r="N110" s="129"/>
      <c r="O110" s="54">
        <f t="shared" si="31"/>
        <v>0</v>
      </c>
      <c r="P110" s="54">
        <f t="shared" si="32"/>
        <v>0</v>
      </c>
    </row>
    <row r="111" spans="1:16" ht="12.5">
      <c r="B111" s="7" t="str">
        <f t="shared" si="33"/>
        <v/>
      </c>
      <c r="C111" s="50">
        <f>IF(D93="","-",+C110+1)</f>
        <v>2028</v>
      </c>
      <c r="D111" s="12">
        <f>IF(F110+SUM(E$99:E110)=D$92,F110,D$92-SUM(E$99:E110))</f>
        <v>11503753.756087147</v>
      </c>
      <c r="E111" s="378">
        <f>IF(+J96&lt;F110,J96,D111)</f>
        <v>553175.00965441705</v>
      </c>
      <c r="F111" s="55">
        <f t="shared" si="48"/>
        <v>10950578.746432729</v>
      </c>
      <c r="G111" s="55">
        <f t="shared" si="49"/>
        <v>11227166.251259938</v>
      </c>
      <c r="H111" s="380">
        <f t="shared" si="50"/>
        <v>1951252.9303950719</v>
      </c>
      <c r="I111" s="399">
        <f t="shared" si="51"/>
        <v>1951252.9303950719</v>
      </c>
      <c r="J111" s="54">
        <f t="shared" si="27"/>
        <v>0</v>
      </c>
      <c r="K111" s="54"/>
      <c r="L111" s="129"/>
      <c r="M111" s="54">
        <f t="shared" si="29"/>
        <v>0</v>
      </c>
      <c r="N111" s="129"/>
      <c r="O111" s="54">
        <f t="shared" si="31"/>
        <v>0</v>
      </c>
      <c r="P111" s="54">
        <f t="shared" si="32"/>
        <v>0</v>
      </c>
    </row>
    <row r="112" spans="1:16" ht="12.5">
      <c r="B112" s="7" t="str">
        <f t="shared" si="33"/>
        <v/>
      </c>
      <c r="C112" s="50">
        <f>IF(D93="","-",+C111+1)</f>
        <v>2029</v>
      </c>
      <c r="D112" s="12">
        <f>IF(F111+SUM(E$99:E111)=D$92,F111,D$92-SUM(E$99:E111))</f>
        <v>10950578.746432729</v>
      </c>
      <c r="E112" s="378">
        <f>IF(+J96&lt;F111,J96,D112)</f>
        <v>553175.00965441705</v>
      </c>
      <c r="F112" s="55">
        <f t="shared" si="48"/>
        <v>10397403.736778311</v>
      </c>
      <c r="G112" s="55">
        <f t="shared" si="49"/>
        <v>10673991.24160552</v>
      </c>
      <c r="H112" s="380">
        <f t="shared" si="50"/>
        <v>1882368.0711175539</v>
      </c>
      <c r="I112" s="399">
        <f t="shared" si="51"/>
        <v>1882368.0711175539</v>
      </c>
      <c r="J112" s="54">
        <f t="shared" si="27"/>
        <v>0</v>
      </c>
      <c r="K112" s="54"/>
      <c r="L112" s="129"/>
      <c r="M112" s="54">
        <f t="shared" si="29"/>
        <v>0</v>
      </c>
      <c r="N112" s="129"/>
      <c r="O112" s="54">
        <f t="shared" si="31"/>
        <v>0</v>
      </c>
      <c r="P112" s="54">
        <f t="shared" si="32"/>
        <v>0</v>
      </c>
    </row>
    <row r="113" spans="2:16" ht="12.5">
      <c r="B113" s="7" t="str">
        <f t="shared" si="33"/>
        <v/>
      </c>
      <c r="C113" s="50">
        <f>IF(D93="","-",+C112+1)</f>
        <v>2030</v>
      </c>
      <c r="D113" s="12">
        <f>IF(F112+SUM(E$99:E112)=D$92,F112,D$92-SUM(E$99:E112))</f>
        <v>10397403.736778311</v>
      </c>
      <c r="E113" s="378">
        <f>IF(+J96&lt;F112,J96,D113)</f>
        <v>553175.00965441705</v>
      </c>
      <c r="F113" s="55">
        <f t="shared" si="48"/>
        <v>9844228.7271238938</v>
      </c>
      <c r="G113" s="55">
        <f t="shared" si="49"/>
        <v>10120816.231951103</v>
      </c>
      <c r="H113" s="380">
        <f t="shared" si="50"/>
        <v>1813483.2118400359</v>
      </c>
      <c r="I113" s="399">
        <f t="shared" si="51"/>
        <v>1813483.2118400359</v>
      </c>
      <c r="J113" s="54">
        <f t="shared" si="27"/>
        <v>0</v>
      </c>
      <c r="K113" s="54"/>
      <c r="L113" s="129"/>
      <c r="M113" s="54">
        <f t="shared" si="29"/>
        <v>0</v>
      </c>
      <c r="N113" s="129"/>
      <c r="O113" s="54">
        <f t="shared" si="31"/>
        <v>0</v>
      </c>
      <c r="P113" s="54">
        <f t="shared" si="32"/>
        <v>0</v>
      </c>
    </row>
    <row r="114" spans="2:16" ht="12.5">
      <c r="B114" s="7" t="str">
        <f t="shared" si="33"/>
        <v/>
      </c>
      <c r="C114" s="50">
        <f>IF(D93="","-",+C113+1)</f>
        <v>2031</v>
      </c>
      <c r="D114" s="12">
        <f>IF(F113+SUM(E$99:E113)=D$92,F113,D$92-SUM(E$99:E113))</f>
        <v>9844228.7271238938</v>
      </c>
      <c r="E114" s="378">
        <f>IF(+J96&lt;F113,J96,D114)</f>
        <v>553175.00965441705</v>
      </c>
      <c r="F114" s="55">
        <f t="shared" si="48"/>
        <v>9291053.7174694762</v>
      </c>
      <c r="G114" s="55">
        <f t="shared" si="49"/>
        <v>9567641.222296685</v>
      </c>
      <c r="H114" s="380">
        <f t="shared" si="50"/>
        <v>1744598.3525625179</v>
      </c>
      <c r="I114" s="399">
        <f t="shared" si="51"/>
        <v>1744598.3525625179</v>
      </c>
      <c r="J114" s="54">
        <f t="shared" si="27"/>
        <v>0</v>
      </c>
      <c r="K114" s="54"/>
      <c r="L114" s="129"/>
      <c r="M114" s="54">
        <f t="shared" si="29"/>
        <v>0</v>
      </c>
      <c r="N114" s="129"/>
      <c r="O114" s="54">
        <f t="shared" si="31"/>
        <v>0</v>
      </c>
      <c r="P114" s="54">
        <f t="shared" si="32"/>
        <v>0</v>
      </c>
    </row>
    <row r="115" spans="2:16" ht="12.5">
      <c r="B115" s="7" t="str">
        <f t="shared" si="33"/>
        <v/>
      </c>
      <c r="C115" s="50">
        <f>IF(D93="","-",+C114+1)</f>
        <v>2032</v>
      </c>
      <c r="D115" s="12">
        <f>IF(F114+SUM(E$99:E114)=D$92,F114,D$92-SUM(E$99:E114))</f>
        <v>9291053.7174694762</v>
      </c>
      <c r="E115" s="378">
        <f>IF(+J96&lt;F114,J96,D115)</f>
        <v>553175.00965441705</v>
      </c>
      <c r="F115" s="55">
        <f t="shared" si="48"/>
        <v>8737878.7078150585</v>
      </c>
      <c r="G115" s="55">
        <f t="shared" si="49"/>
        <v>9014466.2126422673</v>
      </c>
      <c r="H115" s="380">
        <f t="shared" si="50"/>
        <v>1675713.4932849999</v>
      </c>
      <c r="I115" s="399">
        <f t="shared" si="51"/>
        <v>1675713.4932849999</v>
      </c>
      <c r="J115" s="54">
        <f t="shared" si="27"/>
        <v>0</v>
      </c>
      <c r="K115" s="54"/>
      <c r="L115" s="129"/>
      <c r="M115" s="54">
        <f t="shared" si="29"/>
        <v>0</v>
      </c>
      <c r="N115" s="129"/>
      <c r="O115" s="54">
        <f t="shared" si="31"/>
        <v>0</v>
      </c>
      <c r="P115" s="54">
        <f t="shared" si="32"/>
        <v>0</v>
      </c>
    </row>
    <row r="116" spans="2:16" ht="12.5">
      <c r="B116" s="7" t="str">
        <f t="shared" si="33"/>
        <v/>
      </c>
      <c r="C116" s="50">
        <f>IF(D93="","-",+C115+1)</f>
        <v>2033</v>
      </c>
      <c r="D116" s="12">
        <f>IF(F115+SUM(E$99:E115)=D$92,F115,D$92-SUM(E$99:E115))</f>
        <v>8737878.7078150585</v>
      </c>
      <c r="E116" s="378">
        <f>IF(+J96&lt;F115,J96,D116)</f>
        <v>553175.00965441705</v>
      </c>
      <c r="F116" s="55">
        <f t="shared" si="48"/>
        <v>8184703.6981606418</v>
      </c>
      <c r="G116" s="55">
        <f t="shared" si="49"/>
        <v>8461291.2029878497</v>
      </c>
      <c r="H116" s="380">
        <f t="shared" si="50"/>
        <v>1606828.6340074819</v>
      </c>
      <c r="I116" s="399">
        <f t="shared" si="51"/>
        <v>1606828.6340074819</v>
      </c>
      <c r="J116" s="54">
        <f t="shared" si="27"/>
        <v>0</v>
      </c>
      <c r="K116" s="54"/>
      <c r="L116" s="129"/>
      <c r="M116" s="54">
        <f t="shared" si="29"/>
        <v>0</v>
      </c>
      <c r="N116" s="129"/>
      <c r="O116" s="54">
        <f t="shared" si="31"/>
        <v>0</v>
      </c>
      <c r="P116" s="54">
        <f t="shared" si="32"/>
        <v>0</v>
      </c>
    </row>
    <row r="117" spans="2:16" ht="12.5">
      <c r="B117" s="7" t="str">
        <f t="shared" si="33"/>
        <v/>
      </c>
      <c r="C117" s="50">
        <f>IF(D93="","-",+C116+1)</f>
        <v>2034</v>
      </c>
      <c r="D117" s="12">
        <f>IF(F116+SUM(E$99:E116)=D$92,F116,D$92-SUM(E$99:E116))</f>
        <v>8184703.6981606418</v>
      </c>
      <c r="E117" s="378">
        <f>IF(+J96&lt;F116,J96,D117)</f>
        <v>553175.00965441705</v>
      </c>
      <c r="F117" s="55">
        <f t="shared" si="48"/>
        <v>7631528.6885062251</v>
      </c>
      <c r="G117" s="55">
        <f t="shared" si="49"/>
        <v>7908116.1933334339</v>
      </c>
      <c r="H117" s="380">
        <f t="shared" si="50"/>
        <v>1537943.7747299643</v>
      </c>
      <c r="I117" s="399">
        <f t="shared" si="51"/>
        <v>1537943.7747299643</v>
      </c>
      <c r="J117" s="54">
        <f t="shared" si="27"/>
        <v>0</v>
      </c>
      <c r="K117" s="54"/>
      <c r="L117" s="129"/>
      <c r="M117" s="54">
        <f t="shared" si="29"/>
        <v>0</v>
      </c>
      <c r="N117" s="129"/>
      <c r="O117" s="54">
        <f t="shared" si="31"/>
        <v>0</v>
      </c>
      <c r="P117" s="54">
        <f t="shared" si="32"/>
        <v>0</v>
      </c>
    </row>
    <row r="118" spans="2:16" ht="12.5">
      <c r="B118" s="7" t="str">
        <f t="shared" si="33"/>
        <v>IU</v>
      </c>
      <c r="C118" s="50">
        <f>IF(D93="","-",+C117+1)</f>
        <v>2035</v>
      </c>
      <c r="D118" s="12">
        <f>IF(F117+SUM(E$99:E117)=D$92,F117,D$92-SUM(E$99:E117))</f>
        <v>7631528.6885062233</v>
      </c>
      <c r="E118" s="378">
        <f>IF(+J96&lt;F117,J96,D118)</f>
        <v>553175.00965441705</v>
      </c>
      <c r="F118" s="55">
        <f t="shared" si="48"/>
        <v>7078353.6788518066</v>
      </c>
      <c r="G118" s="55">
        <f t="shared" si="49"/>
        <v>7354941.1836790144</v>
      </c>
      <c r="H118" s="380">
        <f t="shared" si="50"/>
        <v>1469058.9154524459</v>
      </c>
      <c r="I118" s="399">
        <f t="shared" si="51"/>
        <v>1469058.9154524459</v>
      </c>
      <c r="J118" s="54">
        <f t="shared" si="27"/>
        <v>0</v>
      </c>
      <c r="K118" s="54"/>
      <c r="L118" s="129"/>
      <c r="M118" s="54">
        <f t="shared" si="29"/>
        <v>0</v>
      </c>
      <c r="N118" s="129"/>
      <c r="O118" s="54">
        <f t="shared" si="31"/>
        <v>0</v>
      </c>
      <c r="P118" s="54">
        <f t="shared" si="32"/>
        <v>0</v>
      </c>
    </row>
    <row r="119" spans="2:16" ht="12.5">
      <c r="B119" s="7" t="str">
        <f t="shared" si="33"/>
        <v/>
      </c>
      <c r="C119" s="50">
        <f>IF(D93="","-",+C118+1)</f>
        <v>2036</v>
      </c>
      <c r="D119" s="12">
        <f>IF(F118+SUM(E$99:E118)=D$92,F118,D$92-SUM(E$99:E118))</f>
        <v>7078353.6788518066</v>
      </c>
      <c r="E119" s="378">
        <f>IF(+J96&lt;F118,J96,D119)</f>
        <v>553175.00965441705</v>
      </c>
      <c r="F119" s="55">
        <f t="shared" si="48"/>
        <v>6525178.6691973899</v>
      </c>
      <c r="G119" s="55">
        <f t="shared" si="49"/>
        <v>6801766.1740245987</v>
      </c>
      <c r="H119" s="380">
        <f t="shared" si="50"/>
        <v>1400174.0561749283</v>
      </c>
      <c r="I119" s="399">
        <f t="shared" si="51"/>
        <v>1400174.0561749283</v>
      </c>
      <c r="J119" s="54">
        <f t="shared" si="27"/>
        <v>0</v>
      </c>
      <c r="K119" s="54"/>
      <c r="L119" s="129"/>
      <c r="M119" s="54">
        <f t="shared" si="29"/>
        <v>0</v>
      </c>
      <c r="N119" s="129"/>
      <c r="O119" s="54">
        <f t="shared" si="31"/>
        <v>0</v>
      </c>
      <c r="P119" s="54">
        <f t="shared" si="32"/>
        <v>0</v>
      </c>
    </row>
    <row r="120" spans="2:16" ht="12.5">
      <c r="B120" s="7" t="str">
        <f t="shared" si="33"/>
        <v/>
      </c>
      <c r="C120" s="50">
        <f>IF(D93="","-",+C119+1)</f>
        <v>2037</v>
      </c>
      <c r="D120" s="12">
        <f>IF(F119+SUM(E$99:E119)=D$92,F119,D$92-SUM(E$99:E119))</f>
        <v>6525178.669197388</v>
      </c>
      <c r="E120" s="378">
        <f>IF(+J96&lt;F119,J96,D120)</f>
        <v>553175.00965441705</v>
      </c>
      <c r="F120" s="55">
        <f t="shared" si="48"/>
        <v>5972003.6595429713</v>
      </c>
      <c r="G120" s="55">
        <f t="shared" si="49"/>
        <v>6248591.1643701792</v>
      </c>
      <c r="H120" s="380">
        <f t="shared" si="50"/>
        <v>1331289.1968974101</v>
      </c>
      <c r="I120" s="399">
        <f t="shared" si="51"/>
        <v>1331289.1968974101</v>
      </c>
      <c r="J120" s="54">
        <f t="shared" si="27"/>
        <v>0</v>
      </c>
      <c r="K120" s="54"/>
      <c r="L120" s="129"/>
      <c r="M120" s="54">
        <f t="shared" si="29"/>
        <v>0</v>
      </c>
      <c r="N120" s="129"/>
      <c r="O120" s="54">
        <f t="shared" si="31"/>
        <v>0</v>
      </c>
      <c r="P120" s="54">
        <f t="shared" si="32"/>
        <v>0</v>
      </c>
    </row>
    <row r="121" spans="2:16" ht="12.5">
      <c r="B121" s="7" t="str">
        <f t="shared" si="33"/>
        <v/>
      </c>
      <c r="C121" s="50">
        <f>IF(D93="","-",+C120+1)</f>
        <v>2038</v>
      </c>
      <c r="D121" s="12">
        <f>IF(F120+SUM(E$99:E120)=D$92,F120,D$92-SUM(E$99:E120))</f>
        <v>5972003.6595429713</v>
      </c>
      <c r="E121" s="378">
        <f>IF(+J96&lt;F120,J96,D121)</f>
        <v>553175.00965441705</v>
      </c>
      <c r="F121" s="55">
        <f t="shared" si="48"/>
        <v>5418828.6498885546</v>
      </c>
      <c r="G121" s="55">
        <f t="shared" si="49"/>
        <v>5695416.1547157634</v>
      </c>
      <c r="H121" s="380">
        <f t="shared" si="50"/>
        <v>1262404.3376198923</v>
      </c>
      <c r="I121" s="399">
        <f t="shared" si="51"/>
        <v>1262404.3376198923</v>
      </c>
      <c r="J121" s="54">
        <f t="shared" si="27"/>
        <v>0</v>
      </c>
      <c r="K121" s="54"/>
      <c r="L121" s="129"/>
      <c r="M121" s="54">
        <f t="shared" si="29"/>
        <v>0</v>
      </c>
      <c r="N121" s="129"/>
      <c r="O121" s="54">
        <f t="shared" si="31"/>
        <v>0</v>
      </c>
      <c r="P121" s="54">
        <f t="shared" si="32"/>
        <v>0</v>
      </c>
    </row>
    <row r="122" spans="2:16" ht="12.5">
      <c r="B122" s="7" t="str">
        <f t="shared" si="33"/>
        <v/>
      </c>
      <c r="C122" s="50">
        <f>IF(D93="","-",+C121+1)</f>
        <v>2039</v>
      </c>
      <c r="D122" s="12">
        <f>IF(F121+SUM(E$99:E121)=D$92,F121,D$92-SUM(E$99:E121))</f>
        <v>5418828.6498885527</v>
      </c>
      <c r="E122" s="378">
        <f>IF(+J96&lt;F121,J96,D122)</f>
        <v>553175.00965441705</v>
      </c>
      <c r="F122" s="55">
        <f t="shared" si="48"/>
        <v>4865653.640234136</v>
      </c>
      <c r="G122" s="55">
        <f t="shared" si="49"/>
        <v>5142241.1450613439</v>
      </c>
      <c r="H122" s="380">
        <f t="shared" si="50"/>
        <v>1193519.4783423741</v>
      </c>
      <c r="I122" s="399">
        <f t="shared" si="51"/>
        <v>1193519.4783423741</v>
      </c>
      <c r="J122" s="54">
        <f t="shared" si="27"/>
        <v>0</v>
      </c>
      <c r="K122" s="54"/>
      <c r="L122" s="129"/>
      <c r="M122" s="54">
        <f t="shared" si="29"/>
        <v>0</v>
      </c>
      <c r="N122" s="129"/>
      <c r="O122" s="54">
        <f t="shared" si="31"/>
        <v>0</v>
      </c>
      <c r="P122" s="54">
        <f t="shared" si="32"/>
        <v>0</v>
      </c>
    </row>
    <row r="123" spans="2:16" ht="12.5">
      <c r="B123" s="7" t="str">
        <f t="shared" si="33"/>
        <v/>
      </c>
      <c r="C123" s="50">
        <f>IF(D93="","-",+C122+1)</f>
        <v>2040</v>
      </c>
      <c r="D123" s="12">
        <f>IF(F122+SUM(E$99:E122)=D$92,F122,D$92-SUM(E$99:E122))</f>
        <v>4865653.640234136</v>
      </c>
      <c r="E123" s="378">
        <f>IF(+J96&lt;F122,J96,D123)</f>
        <v>553175.00965441705</v>
      </c>
      <c r="F123" s="55">
        <f t="shared" si="48"/>
        <v>4312478.6305797193</v>
      </c>
      <c r="G123" s="55">
        <f t="shared" si="49"/>
        <v>4589066.1354069281</v>
      </c>
      <c r="H123" s="380">
        <f t="shared" si="50"/>
        <v>1124634.6190648563</v>
      </c>
      <c r="I123" s="399">
        <f t="shared" si="51"/>
        <v>1124634.6190648563</v>
      </c>
      <c r="J123" s="54">
        <f t="shared" si="27"/>
        <v>0</v>
      </c>
      <c r="K123" s="54"/>
      <c r="L123" s="129"/>
      <c r="M123" s="54">
        <f t="shared" si="29"/>
        <v>0</v>
      </c>
      <c r="N123" s="129"/>
      <c r="O123" s="54">
        <f t="shared" si="31"/>
        <v>0</v>
      </c>
      <c r="P123" s="54">
        <f t="shared" si="32"/>
        <v>0</v>
      </c>
    </row>
    <row r="124" spans="2:16" ht="12.5">
      <c r="B124" s="7" t="str">
        <f t="shared" si="33"/>
        <v/>
      </c>
      <c r="C124" s="50">
        <f>IF(D93="","-",+C123+1)</f>
        <v>2041</v>
      </c>
      <c r="D124" s="12">
        <f>IF(F123+SUM(E$99:E123)=D$92,F123,D$92-SUM(E$99:E123))</f>
        <v>4312478.6305797175</v>
      </c>
      <c r="E124" s="378">
        <f>IF(+J96&lt;F123,J96,D124)</f>
        <v>553175.00965441705</v>
      </c>
      <c r="F124" s="55">
        <f t="shared" si="48"/>
        <v>3759303.6209253003</v>
      </c>
      <c r="G124" s="55">
        <f t="shared" si="49"/>
        <v>4035891.1257525086</v>
      </c>
      <c r="H124" s="380">
        <f t="shared" si="50"/>
        <v>1055749.7597873381</v>
      </c>
      <c r="I124" s="399">
        <f t="shared" si="51"/>
        <v>1055749.7597873381</v>
      </c>
      <c r="J124" s="54">
        <f t="shared" si="27"/>
        <v>0</v>
      </c>
      <c r="K124" s="54"/>
      <c r="L124" s="129"/>
      <c r="M124" s="54">
        <f t="shared" si="29"/>
        <v>0</v>
      </c>
      <c r="N124" s="129"/>
      <c r="O124" s="54">
        <f t="shared" si="31"/>
        <v>0</v>
      </c>
      <c r="P124" s="54">
        <f t="shared" si="32"/>
        <v>0</v>
      </c>
    </row>
    <row r="125" spans="2:16" ht="12.5">
      <c r="B125" s="7" t="str">
        <f t="shared" si="33"/>
        <v/>
      </c>
      <c r="C125" s="50">
        <f>IF(D93="","-",+C124+1)</f>
        <v>2042</v>
      </c>
      <c r="D125" s="12">
        <f>IF(F124+SUM(E$99:E124)=D$92,F124,D$92-SUM(E$99:E124))</f>
        <v>3759303.6209253003</v>
      </c>
      <c r="E125" s="378">
        <f>IF(+J96&lt;F124,J96,D125)</f>
        <v>553175.00965441705</v>
      </c>
      <c r="F125" s="55">
        <f t="shared" si="48"/>
        <v>3206128.6112708831</v>
      </c>
      <c r="G125" s="55">
        <f t="shared" si="49"/>
        <v>3482716.1160980919</v>
      </c>
      <c r="H125" s="380">
        <f t="shared" si="50"/>
        <v>986864.90050982032</v>
      </c>
      <c r="I125" s="399">
        <f t="shared" si="51"/>
        <v>986864.90050982032</v>
      </c>
      <c r="J125" s="54">
        <f t="shared" si="27"/>
        <v>0</v>
      </c>
      <c r="K125" s="54"/>
      <c r="L125" s="129"/>
      <c r="M125" s="54">
        <f t="shared" si="29"/>
        <v>0</v>
      </c>
      <c r="N125" s="129"/>
      <c r="O125" s="54">
        <f t="shared" si="31"/>
        <v>0</v>
      </c>
      <c r="P125" s="54">
        <f t="shared" si="32"/>
        <v>0</v>
      </c>
    </row>
    <row r="126" spans="2:16" ht="12.5">
      <c r="B126" s="7" t="str">
        <f t="shared" si="33"/>
        <v/>
      </c>
      <c r="C126" s="50">
        <f>IF(D93="","-",+C125+1)</f>
        <v>2043</v>
      </c>
      <c r="D126" s="12">
        <f>IF(F125+SUM(E$99:E125)=D$92,F125,D$92-SUM(E$99:E125))</f>
        <v>3206128.6112708831</v>
      </c>
      <c r="E126" s="378">
        <f>IF(+J96&lt;F125,J96,D126)</f>
        <v>553175.00965441705</v>
      </c>
      <c r="F126" s="55">
        <f t="shared" si="48"/>
        <v>2652953.601616466</v>
      </c>
      <c r="G126" s="55">
        <f t="shared" si="49"/>
        <v>2929541.1064436743</v>
      </c>
      <c r="H126" s="380">
        <f t="shared" si="50"/>
        <v>917980.04123230232</v>
      </c>
      <c r="I126" s="399">
        <f t="shared" si="51"/>
        <v>917980.04123230232</v>
      </c>
      <c r="J126" s="54">
        <f t="shared" si="27"/>
        <v>0</v>
      </c>
      <c r="K126" s="54"/>
      <c r="L126" s="129"/>
      <c r="M126" s="54">
        <f t="shared" si="29"/>
        <v>0</v>
      </c>
      <c r="N126" s="129"/>
      <c r="O126" s="54">
        <f t="shared" si="31"/>
        <v>0</v>
      </c>
      <c r="P126" s="54">
        <f t="shared" si="32"/>
        <v>0</v>
      </c>
    </row>
    <row r="127" spans="2:16" ht="12.5">
      <c r="B127" s="7" t="str">
        <f t="shared" si="33"/>
        <v/>
      </c>
      <c r="C127" s="50">
        <f>IF(D93="","-",+C126+1)</f>
        <v>2044</v>
      </c>
      <c r="D127" s="12">
        <f>IF(F126+SUM(E$99:E126)=D$92,F126,D$92-SUM(E$99:E126))</f>
        <v>2652953.601616466</v>
      </c>
      <c r="E127" s="378">
        <f>IF(+J96&lt;F126,J96,D127)</f>
        <v>553175.00965441705</v>
      </c>
      <c r="F127" s="55">
        <f t="shared" si="48"/>
        <v>2099778.5919620488</v>
      </c>
      <c r="G127" s="55">
        <f t="shared" si="49"/>
        <v>2376366.0967892576</v>
      </c>
      <c r="H127" s="380">
        <f t="shared" si="50"/>
        <v>849095.18195478444</v>
      </c>
      <c r="I127" s="399">
        <f t="shared" si="51"/>
        <v>849095.18195478444</v>
      </c>
      <c r="J127" s="54">
        <f t="shared" si="27"/>
        <v>0</v>
      </c>
      <c r="K127" s="54"/>
      <c r="L127" s="129"/>
      <c r="M127" s="54">
        <f t="shared" si="29"/>
        <v>0</v>
      </c>
      <c r="N127" s="129"/>
      <c r="O127" s="54">
        <f t="shared" si="31"/>
        <v>0</v>
      </c>
      <c r="P127" s="54">
        <f t="shared" si="32"/>
        <v>0</v>
      </c>
    </row>
    <row r="128" spans="2:16" ht="12.5">
      <c r="B128" s="7" t="str">
        <f t="shared" si="33"/>
        <v/>
      </c>
      <c r="C128" s="50">
        <f>IF(D93="","-",+C127+1)</f>
        <v>2045</v>
      </c>
      <c r="D128" s="12">
        <f>IF(F127+SUM(E$99:E127)=D$92,F127,D$92-SUM(E$99:E127))</f>
        <v>2099778.5919620469</v>
      </c>
      <c r="E128" s="378">
        <f>IF(+J96&lt;F127,J96,D128)</f>
        <v>553175.00965441705</v>
      </c>
      <c r="F128" s="55">
        <f t="shared" si="48"/>
        <v>1546603.5823076298</v>
      </c>
      <c r="G128" s="55">
        <f t="shared" si="49"/>
        <v>1823191.0871348383</v>
      </c>
      <c r="H128" s="380">
        <f t="shared" si="50"/>
        <v>780210.32267726632</v>
      </c>
      <c r="I128" s="399">
        <f t="shared" si="51"/>
        <v>780210.32267726632</v>
      </c>
      <c r="J128" s="54">
        <f t="shared" si="27"/>
        <v>0</v>
      </c>
      <c r="K128" s="54"/>
      <c r="L128" s="129"/>
      <c r="M128" s="54">
        <f t="shared" si="29"/>
        <v>0</v>
      </c>
      <c r="N128" s="129"/>
      <c r="O128" s="54">
        <f t="shared" si="31"/>
        <v>0</v>
      </c>
      <c r="P128" s="54">
        <f t="shared" si="32"/>
        <v>0</v>
      </c>
    </row>
    <row r="129" spans="2:16" ht="12.5">
      <c r="B129" s="7" t="str">
        <f t="shared" si="33"/>
        <v/>
      </c>
      <c r="C129" s="50">
        <f>IF(D93="","-",+C128+1)</f>
        <v>2046</v>
      </c>
      <c r="D129" s="12">
        <f>IF(F128+SUM(E$99:E128)=D$92,F128,D$92-SUM(E$99:E128))</f>
        <v>1546603.5823076298</v>
      </c>
      <c r="E129" s="378">
        <f>IF(+J96&lt;F128,J96,D129)</f>
        <v>553175.00965441705</v>
      </c>
      <c r="F129" s="55">
        <f t="shared" si="48"/>
        <v>993428.5726532127</v>
      </c>
      <c r="G129" s="55">
        <f t="shared" si="49"/>
        <v>1270016.0774804212</v>
      </c>
      <c r="H129" s="380">
        <f t="shared" si="50"/>
        <v>711325.46339974832</v>
      </c>
      <c r="I129" s="399">
        <f t="shared" si="51"/>
        <v>711325.46339974832</v>
      </c>
      <c r="J129" s="54">
        <f t="shared" si="27"/>
        <v>0</v>
      </c>
      <c r="K129" s="54"/>
      <c r="L129" s="129"/>
      <c r="M129" s="54">
        <f t="shared" si="29"/>
        <v>0</v>
      </c>
      <c r="N129" s="129"/>
      <c r="O129" s="54">
        <f t="shared" si="31"/>
        <v>0</v>
      </c>
      <c r="P129" s="54">
        <f t="shared" si="32"/>
        <v>0</v>
      </c>
    </row>
    <row r="130" spans="2:16" ht="12.5">
      <c r="B130" s="7" t="str">
        <f t="shared" si="33"/>
        <v/>
      </c>
      <c r="C130" s="50">
        <f>IF(D93="","-",+C129+1)</f>
        <v>2047</v>
      </c>
      <c r="D130" s="12">
        <f>IF(F129+SUM(E$99:E129)=D$92,F129,D$92-SUM(E$99:E129))</f>
        <v>993428.5726532127</v>
      </c>
      <c r="E130" s="378">
        <f>IF(+J96&lt;F129,J96,D130)</f>
        <v>553175.00965441705</v>
      </c>
      <c r="F130" s="55">
        <f t="shared" si="48"/>
        <v>440253.56299879565</v>
      </c>
      <c r="G130" s="55">
        <f t="shared" si="49"/>
        <v>716841.06782600423</v>
      </c>
      <c r="H130" s="380">
        <f t="shared" si="50"/>
        <v>642440.60412223043</v>
      </c>
      <c r="I130" s="399">
        <f t="shared" si="51"/>
        <v>642440.60412223043</v>
      </c>
      <c r="J130" s="54">
        <f t="shared" si="27"/>
        <v>0</v>
      </c>
      <c r="K130" s="54"/>
      <c r="L130" s="129"/>
      <c r="M130" s="54">
        <f t="shared" si="29"/>
        <v>0</v>
      </c>
      <c r="N130" s="129"/>
      <c r="O130" s="54">
        <f t="shared" si="31"/>
        <v>0</v>
      </c>
      <c r="P130" s="54">
        <f t="shared" si="32"/>
        <v>0</v>
      </c>
    </row>
    <row r="131" spans="2:16" ht="12.5">
      <c r="B131" s="7" t="str">
        <f t="shared" si="33"/>
        <v/>
      </c>
      <c r="C131" s="50">
        <f>IF(D93="","-",+C130+1)</f>
        <v>2048</v>
      </c>
      <c r="D131" s="12">
        <f>IF(F130+SUM(E$99:E130)=D$92,F130,D$92-SUM(E$99:E130))</f>
        <v>440253.56299879565</v>
      </c>
      <c r="E131" s="378">
        <f>IF(+J96&lt;F130,J96,D131)</f>
        <v>440253.56299879565</v>
      </c>
      <c r="F131" s="55">
        <f t="shared" ref="F131:F154" si="52">+D131-E131</f>
        <v>0</v>
      </c>
      <c r="G131" s="55">
        <f t="shared" ref="G131:G154" si="53">+(F131+D131)/2</f>
        <v>220126.78149939782</v>
      </c>
      <c r="H131" s="380">
        <f t="shared" si="50"/>
        <v>467665.1454133229</v>
      </c>
      <c r="I131" s="399">
        <f t="shared" si="51"/>
        <v>467665.1454133229</v>
      </c>
      <c r="J131" s="54">
        <f t="shared" ref="J131:J154" si="54">+I541-H541</f>
        <v>0</v>
      </c>
      <c r="K131" s="54"/>
      <c r="L131" s="129"/>
      <c r="M131" s="54">
        <f t="shared" ref="M131:M154" si="55">IF(L541&lt;&gt;0,+H541-L541,0)</f>
        <v>0</v>
      </c>
      <c r="N131" s="129"/>
      <c r="O131" s="54">
        <f t="shared" ref="O131:O154" si="56">IF(N541&lt;&gt;0,+I541-N541,0)</f>
        <v>0</v>
      </c>
      <c r="P131" s="54">
        <f t="shared" ref="P131:P154" si="57">+O541-M541</f>
        <v>0</v>
      </c>
    </row>
    <row r="132" spans="2:16" ht="12.5">
      <c r="B132" s="7" t="str">
        <f t="shared" si="33"/>
        <v/>
      </c>
      <c r="C132" s="50">
        <f>IF(D93="","-",+C131+1)</f>
        <v>2049</v>
      </c>
      <c r="D132" s="12">
        <f>IF(F131+SUM(E$99:E131)=D$92,F131,D$92-SUM(E$99:E131))</f>
        <v>0</v>
      </c>
      <c r="E132" s="378">
        <f>IF(+J96&lt;F131,J96,D132)</f>
        <v>0</v>
      </c>
      <c r="F132" s="55">
        <f t="shared" si="52"/>
        <v>0</v>
      </c>
      <c r="G132" s="55">
        <f t="shared" si="53"/>
        <v>0</v>
      </c>
      <c r="H132" s="380">
        <f t="shared" si="50"/>
        <v>0</v>
      </c>
      <c r="I132" s="399">
        <f t="shared" si="51"/>
        <v>0</v>
      </c>
      <c r="J132" s="54">
        <f t="shared" si="54"/>
        <v>0</v>
      </c>
      <c r="K132" s="54"/>
      <c r="L132" s="129"/>
      <c r="M132" s="54">
        <f t="shared" si="55"/>
        <v>0</v>
      </c>
      <c r="N132" s="129"/>
      <c r="O132" s="54">
        <f t="shared" si="56"/>
        <v>0</v>
      </c>
      <c r="P132" s="54">
        <f t="shared" si="57"/>
        <v>0</v>
      </c>
    </row>
    <row r="133" spans="2:16" ht="12.5">
      <c r="B133" s="7" t="str">
        <f t="shared" si="33"/>
        <v/>
      </c>
      <c r="C133" s="50">
        <f>IF(D93="","-",+C132+1)</f>
        <v>2050</v>
      </c>
      <c r="D133" s="12">
        <f>IF(F132+SUM(E$99:E132)=D$92,F132,D$92-SUM(E$99:E132))</f>
        <v>0</v>
      </c>
      <c r="E133" s="378">
        <f>IF(+J96&lt;F132,J96,D133)</f>
        <v>0</v>
      </c>
      <c r="F133" s="55">
        <f t="shared" si="52"/>
        <v>0</v>
      </c>
      <c r="G133" s="55">
        <f t="shared" si="53"/>
        <v>0</v>
      </c>
      <c r="H133" s="380">
        <f t="shared" si="50"/>
        <v>0</v>
      </c>
      <c r="I133" s="399">
        <f t="shared" si="51"/>
        <v>0</v>
      </c>
      <c r="J133" s="54">
        <f t="shared" si="54"/>
        <v>0</v>
      </c>
      <c r="K133" s="54"/>
      <c r="L133" s="129"/>
      <c r="M133" s="54">
        <f t="shared" si="55"/>
        <v>0</v>
      </c>
      <c r="N133" s="129"/>
      <c r="O133" s="54">
        <f t="shared" si="56"/>
        <v>0</v>
      </c>
      <c r="P133" s="54">
        <f t="shared" si="57"/>
        <v>0</v>
      </c>
    </row>
    <row r="134" spans="2:16" ht="12.5">
      <c r="B134" s="7" t="str">
        <f t="shared" si="33"/>
        <v/>
      </c>
      <c r="C134" s="50">
        <f>IF(D93="","-",+C133+1)</f>
        <v>2051</v>
      </c>
      <c r="D134" s="12">
        <f>IF(F133+SUM(E$99:E133)=D$92,F133,D$92-SUM(E$99:E133))</f>
        <v>0</v>
      </c>
      <c r="E134" s="378">
        <f>IF(+J96&lt;F133,J96,D134)</f>
        <v>0</v>
      </c>
      <c r="F134" s="55">
        <f t="shared" si="52"/>
        <v>0</v>
      </c>
      <c r="G134" s="55">
        <f t="shared" si="53"/>
        <v>0</v>
      </c>
      <c r="H134" s="380">
        <f t="shared" si="50"/>
        <v>0</v>
      </c>
      <c r="I134" s="399">
        <f t="shared" si="51"/>
        <v>0</v>
      </c>
      <c r="J134" s="54">
        <f t="shared" si="54"/>
        <v>0</v>
      </c>
      <c r="K134" s="54"/>
      <c r="L134" s="129"/>
      <c r="M134" s="54">
        <f t="shared" si="55"/>
        <v>0</v>
      </c>
      <c r="N134" s="129"/>
      <c r="O134" s="54">
        <f t="shared" si="56"/>
        <v>0</v>
      </c>
      <c r="P134" s="54">
        <f t="shared" si="57"/>
        <v>0</v>
      </c>
    </row>
    <row r="135" spans="2:16" ht="12.5">
      <c r="B135" s="7" t="str">
        <f t="shared" si="33"/>
        <v/>
      </c>
      <c r="C135" s="50">
        <f>IF(D93="","-",+C134+1)</f>
        <v>2052</v>
      </c>
      <c r="D135" s="12">
        <f>IF(F134+SUM(E$99:E134)=D$92,F134,D$92-SUM(E$99:E134))</f>
        <v>0</v>
      </c>
      <c r="E135" s="378">
        <f>IF(+J96&lt;F134,J96,D135)</f>
        <v>0</v>
      </c>
      <c r="F135" s="55">
        <f t="shared" si="52"/>
        <v>0</v>
      </c>
      <c r="G135" s="55">
        <f t="shared" si="53"/>
        <v>0</v>
      </c>
      <c r="H135" s="380">
        <f t="shared" si="50"/>
        <v>0</v>
      </c>
      <c r="I135" s="399">
        <f t="shared" si="51"/>
        <v>0</v>
      </c>
      <c r="J135" s="54">
        <f t="shared" si="54"/>
        <v>0</v>
      </c>
      <c r="K135" s="54"/>
      <c r="L135" s="129"/>
      <c r="M135" s="54">
        <f t="shared" si="55"/>
        <v>0</v>
      </c>
      <c r="N135" s="129"/>
      <c r="O135" s="54">
        <f t="shared" si="56"/>
        <v>0</v>
      </c>
      <c r="P135" s="54">
        <f t="shared" si="57"/>
        <v>0</v>
      </c>
    </row>
    <row r="136" spans="2:16" ht="12.5">
      <c r="B136" s="7" t="str">
        <f t="shared" si="33"/>
        <v/>
      </c>
      <c r="C136" s="50">
        <f>IF(D93="","-",+C135+1)</f>
        <v>2053</v>
      </c>
      <c r="D136" s="12">
        <f>IF(F135+SUM(E$99:E135)=D$92,F135,D$92-SUM(E$99:E135))</f>
        <v>0</v>
      </c>
      <c r="E136" s="378">
        <f>IF(+J96&lt;F135,J96,D136)</f>
        <v>0</v>
      </c>
      <c r="F136" s="55">
        <f t="shared" si="52"/>
        <v>0</v>
      </c>
      <c r="G136" s="55">
        <f t="shared" si="53"/>
        <v>0</v>
      </c>
      <c r="H136" s="380">
        <f t="shared" si="50"/>
        <v>0</v>
      </c>
      <c r="I136" s="399">
        <f t="shared" si="51"/>
        <v>0</v>
      </c>
      <c r="J136" s="54">
        <f t="shared" si="54"/>
        <v>0</v>
      </c>
      <c r="K136" s="54"/>
      <c r="L136" s="129"/>
      <c r="M136" s="54">
        <f t="shared" si="55"/>
        <v>0</v>
      </c>
      <c r="N136" s="129"/>
      <c r="O136" s="54">
        <f t="shared" si="56"/>
        <v>0</v>
      </c>
      <c r="P136" s="54">
        <f t="shared" si="57"/>
        <v>0</v>
      </c>
    </row>
    <row r="137" spans="2:16" ht="12.5">
      <c r="B137" s="7" t="str">
        <f t="shared" si="33"/>
        <v/>
      </c>
      <c r="C137" s="50">
        <f>IF(D93="","-",+C136+1)</f>
        <v>2054</v>
      </c>
      <c r="D137" s="12">
        <f>IF(F136+SUM(E$99:E136)=D$92,F136,D$92-SUM(E$99:E136))</f>
        <v>0</v>
      </c>
      <c r="E137" s="378">
        <f>IF(+J96&lt;F136,J96,D137)</f>
        <v>0</v>
      </c>
      <c r="F137" s="55">
        <f t="shared" si="52"/>
        <v>0</v>
      </c>
      <c r="G137" s="55">
        <f t="shared" si="53"/>
        <v>0</v>
      </c>
      <c r="H137" s="380">
        <f t="shared" si="50"/>
        <v>0</v>
      </c>
      <c r="I137" s="399">
        <f t="shared" si="51"/>
        <v>0</v>
      </c>
      <c r="J137" s="54">
        <f t="shared" si="54"/>
        <v>0</v>
      </c>
      <c r="K137" s="54"/>
      <c r="L137" s="129"/>
      <c r="M137" s="54">
        <f t="shared" si="55"/>
        <v>0</v>
      </c>
      <c r="N137" s="129"/>
      <c r="O137" s="54">
        <f t="shared" si="56"/>
        <v>0</v>
      </c>
      <c r="P137" s="54">
        <f t="shared" si="57"/>
        <v>0</v>
      </c>
    </row>
    <row r="138" spans="2:16" ht="12.5">
      <c r="B138" s="7" t="str">
        <f t="shared" si="33"/>
        <v/>
      </c>
      <c r="C138" s="50">
        <f>IF(D93="","-",+C137+1)</f>
        <v>2055</v>
      </c>
      <c r="D138" s="12">
        <f>IF(F137+SUM(E$99:E137)=D$92,F137,D$92-SUM(E$99:E137))</f>
        <v>0</v>
      </c>
      <c r="E138" s="378">
        <f>IF(+J96&lt;F137,J96,D138)</f>
        <v>0</v>
      </c>
      <c r="F138" s="55">
        <f t="shared" si="52"/>
        <v>0</v>
      </c>
      <c r="G138" s="55">
        <f t="shared" si="53"/>
        <v>0</v>
      </c>
      <c r="H138" s="380">
        <f t="shared" si="50"/>
        <v>0</v>
      </c>
      <c r="I138" s="399">
        <f t="shared" si="51"/>
        <v>0</v>
      </c>
      <c r="J138" s="54">
        <f t="shared" si="54"/>
        <v>0</v>
      </c>
      <c r="K138" s="54"/>
      <c r="L138" s="129"/>
      <c r="M138" s="54">
        <f t="shared" si="55"/>
        <v>0</v>
      </c>
      <c r="N138" s="129"/>
      <c r="O138" s="54">
        <f t="shared" si="56"/>
        <v>0</v>
      </c>
      <c r="P138" s="54">
        <f t="shared" si="57"/>
        <v>0</v>
      </c>
    </row>
    <row r="139" spans="2:16" ht="12.5">
      <c r="B139" s="7" t="str">
        <f t="shared" si="33"/>
        <v/>
      </c>
      <c r="C139" s="50">
        <f>IF(D93="","-",+C138+1)</f>
        <v>2056</v>
      </c>
      <c r="D139" s="12">
        <f>IF(F138+SUM(E$99:E138)=D$92,F138,D$92-SUM(E$99:E138))</f>
        <v>0</v>
      </c>
      <c r="E139" s="378">
        <f>IF(+J96&lt;F138,J96,D139)</f>
        <v>0</v>
      </c>
      <c r="F139" s="55">
        <f t="shared" si="52"/>
        <v>0</v>
      </c>
      <c r="G139" s="55">
        <f t="shared" si="53"/>
        <v>0</v>
      </c>
      <c r="H139" s="380">
        <f t="shared" si="50"/>
        <v>0</v>
      </c>
      <c r="I139" s="399">
        <f t="shared" si="51"/>
        <v>0</v>
      </c>
      <c r="J139" s="54">
        <f t="shared" si="54"/>
        <v>0</v>
      </c>
      <c r="K139" s="54"/>
      <c r="L139" s="129"/>
      <c r="M139" s="54">
        <f t="shared" si="55"/>
        <v>0</v>
      </c>
      <c r="N139" s="129"/>
      <c r="O139" s="54">
        <f t="shared" si="56"/>
        <v>0</v>
      </c>
      <c r="P139" s="54">
        <f t="shared" si="57"/>
        <v>0</v>
      </c>
    </row>
    <row r="140" spans="2:16" ht="12.5">
      <c r="B140" s="7" t="str">
        <f t="shared" si="33"/>
        <v/>
      </c>
      <c r="C140" s="50">
        <f>IF(D93="","-",+C139+1)</f>
        <v>2057</v>
      </c>
      <c r="D140" s="12">
        <f>IF(F139+SUM(E$99:E139)=D$92,F139,D$92-SUM(E$99:E139))</f>
        <v>0</v>
      </c>
      <c r="E140" s="378">
        <f>IF(+J96&lt;F139,J96,D140)</f>
        <v>0</v>
      </c>
      <c r="F140" s="55">
        <f t="shared" si="52"/>
        <v>0</v>
      </c>
      <c r="G140" s="55">
        <f t="shared" si="53"/>
        <v>0</v>
      </c>
      <c r="H140" s="380">
        <f t="shared" si="50"/>
        <v>0</v>
      </c>
      <c r="I140" s="399">
        <f t="shared" si="51"/>
        <v>0</v>
      </c>
      <c r="J140" s="54">
        <f t="shared" si="54"/>
        <v>0</v>
      </c>
      <c r="K140" s="54"/>
      <c r="L140" s="129"/>
      <c r="M140" s="54">
        <f t="shared" si="55"/>
        <v>0</v>
      </c>
      <c r="N140" s="129"/>
      <c r="O140" s="54">
        <f t="shared" si="56"/>
        <v>0</v>
      </c>
      <c r="P140" s="54">
        <f t="shared" si="57"/>
        <v>0</v>
      </c>
    </row>
    <row r="141" spans="2:16" ht="12.5">
      <c r="B141" s="7" t="str">
        <f t="shared" si="33"/>
        <v/>
      </c>
      <c r="C141" s="50">
        <f>IF(D93="","-",+C140+1)</f>
        <v>2058</v>
      </c>
      <c r="D141" s="12">
        <f>IF(F140+SUM(E$99:E140)=D$92,F140,D$92-SUM(E$99:E140))</f>
        <v>0</v>
      </c>
      <c r="E141" s="378">
        <f>IF(+J96&lt;F140,J96,D141)</f>
        <v>0</v>
      </c>
      <c r="F141" s="55">
        <f t="shared" si="52"/>
        <v>0</v>
      </c>
      <c r="G141" s="55">
        <f t="shared" si="53"/>
        <v>0</v>
      </c>
      <c r="H141" s="380">
        <f t="shared" si="50"/>
        <v>0</v>
      </c>
      <c r="I141" s="399">
        <f t="shared" si="51"/>
        <v>0</v>
      </c>
      <c r="J141" s="54">
        <f t="shared" si="54"/>
        <v>0</v>
      </c>
      <c r="K141" s="54"/>
      <c r="L141" s="129"/>
      <c r="M141" s="54">
        <f t="shared" si="55"/>
        <v>0</v>
      </c>
      <c r="N141" s="129"/>
      <c r="O141" s="54">
        <f t="shared" si="56"/>
        <v>0</v>
      </c>
      <c r="P141" s="54">
        <f t="shared" si="57"/>
        <v>0</v>
      </c>
    </row>
    <row r="142" spans="2:16" ht="12.5">
      <c r="B142" s="7" t="str">
        <f t="shared" si="33"/>
        <v/>
      </c>
      <c r="C142" s="50">
        <f>IF(D93="","-",+C141+1)</f>
        <v>2059</v>
      </c>
      <c r="D142" s="12">
        <f>IF(F141+SUM(E$99:E141)=D$92,F141,D$92-SUM(E$99:E141))</f>
        <v>0</v>
      </c>
      <c r="E142" s="378">
        <f>IF(+J96&lt;F141,J96,D142)</f>
        <v>0</v>
      </c>
      <c r="F142" s="55">
        <f t="shared" si="52"/>
        <v>0</v>
      </c>
      <c r="G142" s="55">
        <f t="shared" si="53"/>
        <v>0</v>
      </c>
      <c r="H142" s="380">
        <f t="shared" si="50"/>
        <v>0</v>
      </c>
      <c r="I142" s="399">
        <f t="shared" si="51"/>
        <v>0</v>
      </c>
      <c r="J142" s="54">
        <f t="shared" si="54"/>
        <v>0</v>
      </c>
      <c r="K142" s="54"/>
      <c r="L142" s="129"/>
      <c r="M142" s="54">
        <f t="shared" si="55"/>
        <v>0</v>
      </c>
      <c r="N142" s="129"/>
      <c r="O142" s="54">
        <f t="shared" si="56"/>
        <v>0</v>
      </c>
      <c r="P142" s="54">
        <f t="shared" si="57"/>
        <v>0</v>
      </c>
    </row>
    <row r="143" spans="2:16" ht="12.5">
      <c r="B143" s="7" t="str">
        <f t="shared" si="33"/>
        <v/>
      </c>
      <c r="C143" s="50">
        <f>IF(D93="","-",+C142+1)</f>
        <v>2060</v>
      </c>
      <c r="D143" s="12">
        <f>IF(F142+SUM(E$99:E142)=D$92,F142,D$92-SUM(E$99:E142))</f>
        <v>0</v>
      </c>
      <c r="E143" s="378">
        <f>IF(+J96&lt;F142,J96,D143)</f>
        <v>0</v>
      </c>
      <c r="F143" s="55">
        <f t="shared" si="52"/>
        <v>0</v>
      </c>
      <c r="G143" s="55">
        <f t="shared" si="53"/>
        <v>0</v>
      </c>
      <c r="H143" s="380">
        <f t="shared" si="50"/>
        <v>0</v>
      </c>
      <c r="I143" s="399">
        <f t="shared" si="51"/>
        <v>0</v>
      </c>
      <c r="J143" s="54">
        <f t="shared" si="54"/>
        <v>0</v>
      </c>
      <c r="K143" s="54"/>
      <c r="L143" s="129"/>
      <c r="M143" s="54">
        <f t="shared" si="55"/>
        <v>0</v>
      </c>
      <c r="N143" s="129"/>
      <c r="O143" s="54">
        <f t="shared" si="56"/>
        <v>0</v>
      </c>
      <c r="P143" s="54">
        <f t="shared" si="57"/>
        <v>0</v>
      </c>
    </row>
    <row r="144" spans="2:16" ht="12.5">
      <c r="B144" s="7" t="str">
        <f t="shared" si="33"/>
        <v/>
      </c>
      <c r="C144" s="50">
        <f>IF(D93="","-",+C143+1)</f>
        <v>2061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52"/>
        <v>0</v>
      </c>
      <c r="G144" s="55">
        <f t="shared" si="53"/>
        <v>0</v>
      </c>
      <c r="H144" s="380">
        <f t="shared" si="50"/>
        <v>0</v>
      </c>
      <c r="I144" s="399">
        <f t="shared" si="51"/>
        <v>0</v>
      </c>
      <c r="J144" s="54">
        <f t="shared" si="54"/>
        <v>0</v>
      </c>
      <c r="K144" s="54"/>
      <c r="L144" s="129"/>
      <c r="M144" s="54">
        <f t="shared" si="55"/>
        <v>0</v>
      </c>
      <c r="N144" s="129"/>
      <c r="O144" s="54">
        <f t="shared" si="56"/>
        <v>0</v>
      </c>
      <c r="P144" s="54">
        <f t="shared" si="57"/>
        <v>0</v>
      </c>
    </row>
    <row r="145" spans="2:16" ht="12.5">
      <c r="B145" s="7" t="str">
        <f t="shared" si="33"/>
        <v/>
      </c>
      <c r="C145" s="50">
        <f>IF(D93="","-",+C144+1)</f>
        <v>2062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52"/>
        <v>0</v>
      </c>
      <c r="G145" s="55">
        <f t="shared" si="53"/>
        <v>0</v>
      </c>
      <c r="H145" s="380">
        <f t="shared" si="50"/>
        <v>0</v>
      </c>
      <c r="I145" s="399">
        <f t="shared" si="51"/>
        <v>0</v>
      </c>
      <c r="J145" s="54">
        <f t="shared" si="54"/>
        <v>0</v>
      </c>
      <c r="K145" s="54"/>
      <c r="L145" s="129"/>
      <c r="M145" s="54">
        <f t="shared" si="55"/>
        <v>0</v>
      </c>
      <c r="N145" s="129"/>
      <c r="O145" s="54">
        <f t="shared" si="56"/>
        <v>0</v>
      </c>
      <c r="P145" s="54">
        <f t="shared" si="57"/>
        <v>0</v>
      </c>
    </row>
    <row r="146" spans="2:16" ht="12.5">
      <c r="B146" s="7" t="str">
        <f t="shared" si="33"/>
        <v/>
      </c>
      <c r="C146" s="50">
        <f>IF(D93="","-",+C145+1)</f>
        <v>2063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52"/>
        <v>0</v>
      </c>
      <c r="G146" s="55">
        <f t="shared" si="53"/>
        <v>0</v>
      </c>
      <c r="H146" s="380">
        <f t="shared" si="50"/>
        <v>0</v>
      </c>
      <c r="I146" s="399">
        <f t="shared" si="51"/>
        <v>0</v>
      </c>
      <c r="J146" s="54">
        <f t="shared" si="54"/>
        <v>0</v>
      </c>
      <c r="K146" s="54"/>
      <c r="L146" s="129"/>
      <c r="M146" s="54">
        <f t="shared" si="55"/>
        <v>0</v>
      </c>
      <c r="N146" s="129"/>
      <c r="O146" s="54">
        <f t="shared" si="56"/>
        <v>0</v>
      </c>
      <c r="P146" s="54">
        <f t="shared" si="57"/>
        <v>0</v>
      </c>
    </row>
    <row r="147" spans="2:16" ht="12.5">
      <c r="B147" s="7" t="str">
        <f t="shared" si="33"/>
        <v/>
      </c>
      <c r="C147" s="50">
        <f>IF(D93="","-",+C146+1)</f>
        <v>2064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52"/>
        <v>0</v>
      </c>
      <c r="G147" s="55">
        <f t="shared" si="53"/>
        <v>0</v>
      </c>
      <c r="H147" s="380">
        <f t="shared" si="50"/>
        <v>0</v>
      </c>
      <c r="I147" s="399">
        <f t="shared" si="51"/>
        <v>0</v>
      </c>
      <c r="J147" s="54">
        <f t="shared" si="54"/>
        <v>0</v>
      </c>
      <c r="K147" s="54"/>
      <c r="L147" s="129"/>
      <c r="M147" s="54">
        <f t="shared" si="55"/>
        <v>0</v>
      </c>
      <c r="N147" s="129"/>
      <c r="O147" s="54">
        <f t="shared" si="56"/>
        <v>0</v>
      </c>
      <c r="P147" s="54">
        <f t="shared" si="57"/>
        <v>0</v>
      </c>
    </row>
    <row r="148" spans="2:16" ht="12.5">
      <c r="B148" s="7" t="str">
        <f t="shared" si="33"/>
        <v/>
      </c>
      <c r="C148" s="50">
        <f>IF(D93="","-",+C147+1)</f>
        <v>2065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52"/>
        <v>0</v>
      </c>
      <c r="G148" s="55">
        <f t="shared" si="53"/>
        <v>0</v>
      </c>
      <c r="H148" s="380">
        <f t="shared" si="50"/>
        <v>0</v>
      </c>
      <c r="I148" s="399">
        <f t="shared" si="51"/>
        <v>0</v>
      </c>
      <c r="J148" s="54">
        <f t="shared" si="54"/>
        <v>0</v>
      </c>
      <c r="K148" s="54"/>
      <c r="L148" s="129"/>
      <c r="M148" s="54">
        <f t="shared" si="55"/>
        <v>0</v>
      </c>
      <c r="N148" s="129"/>
      <c r="O148" s="54">
        <f t="shared" si="56"/>
        <v>0</v>
      </c>
      <c r="P148" s="54">
        <f t="shared" si="57"/>
        <v>0</v>
      </c>
    </row>
    <row r="149" spans="2:16" ht="12.5">
      <c r="B149" s="7" t="str">
        <f t="shared" si="33"/>
        <v/>
      </c>
      <c r="C149" s="50">
        <f>IF(D93="","-",+C148+1)</f>
        <v>2066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52"/>
        <v>0</v>
      </c>
      <c r="G149" s="55">
        <f t="shared" si="53"/>
        <v>0</v>
      </c>
      <c r="H149" s="380">
        <f t="shared" si="50"/>
        <v>0</v>
      </c>
      <c r="I149" s="399">
        <f t="shared" si="51"/>
        <v>0</v>
      </c>
      <c r="J149" s="54">
        <f t="shared" si="54"/>
        <v>0</v>
      </c>
      <c r="K149" s="54"/>
      <c r="L149" s="129"/>
      <c r="M149" s="54">
        <f t="shared" si="55"/>
        <v>0</v>
      </c>
      <c r="N149" s="129"/>
      <c r="O149" s="54">
        <f t="shared" si="56"/>
        <v>0</v>
      </c>
      <c r="P149" s="54">
        <f t="shared" si="57"/>
        <v>0</v>
      </c>
    </row>
    <row r="150" spans="2:16" ht="12.5">
      <c r="B150" s="7" t="str">
        <f t="shared" si="33"/>
        <v/>
      </c>
      <c r="C150" s="50">
        <f>IF(D93="","-",+C149+1)</f>
        <v>2067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52"/>
        <v>0</v>
      </c>
      <c r="G150" s="55">
        <f t="shared" si="53"/>
        <v>0</v>
      </c>
      <c r="H150" s="380">
        <f t="shared" si="50"/>
        <v>0</v>
      </c>
      <c r="I150" s="399">
        <f t="shared" si="51"/>
        <v>0</v>
      </c>
      <c r="J150" s="54">
        <f t="shared" si="54"/>
        <v>0</v>
      </c>
      <c r="K150" s="54"/>
      <c r="L150" s="129"/>
      <c r="M150" s="54">
        <f t="shared" si="55"/>
        <v>0</v>
      </c>
      <c r="N150" s="129"/>
      <c r="O150" s="54">
        <f t="shared" si="56"/>
        <v>0</v>
      </c>
      <c r="P150" s="54">
        <f t="shared" si="57"/>
        <v>0</v>
      </c>
    </row>
    <row r="151" spans="2:16" ht="12.5">
      <c r="B151" s="7" t="str">
        <f t="shared" si="33"/>
        <v/>
      </c>
      <c r="C151" s="50">
        <f>IF(D93="","-",+C150+1)</f>
        <v>2068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52"/>
        <v>0</v>
      </c>
      <c r="G151" s="55">
        <f t="shared" si="53"/>
        <v>0</v>
      </c>
      <c r="H151" s="380">
        <f t="shared" si="50"/>
        <v>0</v>
      </c>
      <c r="I151" s="399">
        <f t="shared" si="51"/>
        <v>0</v>
      </c>
      <c r="J151" s="54">
        <f t="shared" si="54"/>
        <v>0</v>
      </c>
      <c r="K151" s="54"/>
      <c r="L151" s="129"/>
      <c r="M151" s="54">
        <f t="shared" si="55"/>
        <v>0</v>
      </c>
      <c r="N151" s="129"/>
      <c r="O151" s="54">
        <f t="shared" si="56"/>
        <v>0</v>
      </c>
      <c r="P151" s="54">
        <f t="shared" si="57"/>
        <v>0</v>
      </c>
    </row>
    <row r="152" spans="2:16" ht="12.5">
      <c r="B152" s="7" t="str">
        <f t="shared" si="33"/>
        <v/>
      </c>
      <c r="C152" s="50">
        <f>IF(D93="","-",+C151+1)</f>
        <v>2069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52"/>
        <v>0</v>
      </c>
      <c r="G152" s="55">
        <f t="shared" si="53"/>
        <v>0</v>
      </c>
      <c r="H152" s="380">
        <f t="shared" si="50"/>
        <v>0</v>
      </c>
      <c r="I152" s="399">
        <f t="shared" si="51"/>
        <v>0</v>
      </c>
      <c r="J152" s="54">
        <f t="shared" si="54"/>
        <v>0</v>
      </c>
      <c r="K152" s="54"/>
      <c r="L152" s="129"/>
      <c r="M152" s="54">
        <f t="shared" si="55"/>
        <v>0</v>
      </c>
      <c r="N152" s="129"/>
      <c r="O152" s="54">
        <f t="shared" si="56"/>
        <v>0</v>
      </c>
      <c r="P152" s="54">
        <f t="shared" si="57"/>
        <v>0</v>
      </c>
    </row>
    <row r="153" spans="2:16" ht="12.5">
      <c r="B153" s="7" t="str">
        <f t="shared" si="33"/>
        <v/>
      </c>
      <c r="C153" s="50">
        <f>IF(D93="","-",+C152+1)</f>
        <v>2070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52"/>
        <v>0</v>
      </c>
      <c r="G153" s="55">
        <f t="shared" si="53"/>
        <v>0</v>
      </c>
      <c r="H153" s="380">
        <f t="shared" si="50"/>
        <v>0</v>
      </c>
      <c r="I153" s="399">
        <f t="shared" si="51"/>
        <v>0</v>
      </c>
      <c r="J153" s="54">
        <f t="shared" si="54"/>
        <v>0</v>
      </c>
      <c r="K153" s="54"/>
      <c r="L153" s="129"/>
      <c r="M153" s="54">
        <f t="shared" si="55"/>
        <v>0</v>
      </c>
      <c r="N153" s="129"/>
      <c r="O153" s="54">
        <f t="shared" si="56"/>
        <v>0</v>
      </c>
      <c r="P153" s="54">
        <f t="shared" si="57"/>
        <v>0</v>
      </c>
    </row>
    <row r="154" spans="2:16" ht="13" thickBot="1">
      <c r="B154" s="7" t="str">
        <f t="shared" si="33"/>
        <v/>
      </c>
      <c r="C154" s="59">
        <f>IF(D93="","-",+C153+1)</f>
        <v>2071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52"/>
        <v>0</v>
      </c>
      <c r="G154" s="60">
        <f t="shared" si="53"/>
        <v>0</v>
      </c>
      <c r="H154" s="382">
        <f t="shared" si="50"/>
        <v>0</v>
      </c>
      <c r="I154" s="400">
        <f t="shared" si="51"/>
        <v>0</v>
      </c>
      <c r="J154" s="64">
        <f t="shared" si="54"/>
        <v>0</v>
      </c>
      <c r="K154" s="54"/>
      <c r="L154" s="130"/>
      <c r="M154" s="64">
        <f t="shared" si="55"/>
        <v>0</v>
      </c>
      <c r="N154" s="130"/>
      <c r="O154" s="64">
        <f t="shared" si="56"/>
        <v>0</v>
      </c>
      <c r="P154" s="64">
        <f t="shared" si="57"/>
        <v>0</v>
      </c>
    </row>
    <row r="155" spans="2:16" ht="12.5">
      <c r="C155" s="12" t="s">
        <v>78</v>
      </c>
      <c r="D155" s="293"/>
      <c r="E155" s="293">
        <f>SUM(E99:E154)</f>
        <v>24339700.42479435</v>
      </c>
      <c r="F155" s="293"/>
      <c r="G155" s="293"/>
      <c r="H155" s="293">
        <f>SUM(H99:H154)</f>
        <v>90273219.183571309</v>
      </c>
      <c r="I155" s="293">
        <f>SUM(I99:I154)</f>
        <v>90273219.183571309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 ht="12.5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 ht="13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35" priority="1" stopIfTrue="1" operator="equal">
      <formula>$I$10</formula>
    </cfRule>
  </conditionalFormatting>
  <conditionalFormatting sqref="C99:C154">
    <cfRule type="cellIs" dxfId="34" priority="3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111"/>
  <dimension ref="A1:P162"/>
  <sheetViews>
    <sheetView topLeftCell="A71" zoomScaleNormal="100" zoomScaleSheetLayoutView="80" workbookViewId="0">
      <selection activeCell="D24" sqref="D24:H24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62 of 77</v>
      </c>
    </row>
    <row r="2" spans="1:16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152897.18174606739</v>
      </c>
      <c r="P5" s="1"/>
    </row>
    <row r="6" spans="1:16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152897.18174606739</v>
      </c>
      <c r="O6" s="1"/>
      <c r="P6" s="1"/>
    </row>
    <row r="7" spans="1:16" ht="13.5" thickBot="1">
      <c r="C7" s="25" t="s">
        <v>48</v>
      </c>
      <c r="D7" s="90" t="s">
        <v>385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410</v>
      </c>
      <c r="E9" s="436" t="s">
        <v>411</v>
      </c>
      <c r="F9" s="31"/>
      <c r="G9" s="31"/>
      <c r="H9" s="31"/>
      <c r="I9" s="32"/>
      <c r="J9" s="33"/>
      <c r="P9" s="1"/>
    </row>
    <row r="10" spans="1:16" ht="13">
      <c r="C10" s="34" t="s">
        <v>51</v>
      </c>
      <c r="D10" s="363">
        <v>1247291.6099999999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6" ht="12.5">
      <c r="C11" s="34" t="s">
        <v>54</v>
      </c>
      <c r="D11" s="37">
        <v>2017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3">
        <v>6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28347.536590909087</v>
      </c>
      <c r="J14" s="293"/>
      <c r="K14" s="293"/>
      <c r="L14" s="293"/>
      <c r="M14" s="293"/>
      <c r="N14" s="293"/>
      <c r="O14" s="1"/>
      <c r="P14" s="1"/>
    </row>
    <row r="15" spans="1:16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3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2017</v>
      </c>
      <c r="D17" s="145">
        <v>0</v>
      </c>
      <c r="E17" s="453">
        <v>13779.069767441859</v>
      </c>
      <c r="F17" s="147">
        <v>1171220.9302325582</v>
      </c>
      <c r="G17" s="454">
        <v>86331.834002984833</v>
      </c>
      <c r="H17" s="452">
        <v>86331.834002984833</v>
      </c>
      <c r="I17" s="52">
        <f t="shared" ref="I17:I72" si="0">H17-G17</f>
        <v>0</v>
      </c>
      <c r="J17" s="52"/>
      <c r="K17" s="112">
        <f t="shared" ref="K17:K22" si="1">+G17</f>
        <v>86331.834002984833</v>
      </c>
      <c r="L17" s="53">
        <f t="shared" ref="L17:L72" si="2">IF(K17&lt;&gt;0,+G17-K17,0)</f>
        <v>0</v>
      </c>
      <c r="M17" s="112">
        <f>+H17</f>
        <v>86331.834002984833</v>
      </c>
      <c r="N17" s="53">
        <f t="shared" ref="N17:N72" si="3">IF(M17&lt;&gt;0,+H17-M17,0)</f>
        <v>0</v>
      </c>
      <c r="O17" s="54">
        <f t="shared" ref="O17:O72" si="4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2018</v>
      </c>
      <c r="D18" s="431">
        <v>1171220.9302325582</v>
      </c>
      <c r="E18" s="430">
        <v>28902.439024390245</v>
      </c>
      <c r="F18" s="431">
        <v>1142318.491208168</v>
      </c>
      <c r="G18" s="430">
        <v>175921.04307589805</v>
      </c>
      <c r="H18" s="438">
        <v>175921.04307589805</v>
      </c>
      <c r="I18" s="52">
        <f t="shared" si="0"/>
        <v>0</v>
      </c>
      <c r="J18" s="52"/>
      <c r="K18" s="113">
        <f t="shared" si="1"/>
        <v>175921.04307589805</v>
      </c>
      <c r="L18" s="54">
        <f t="shared" si="2"/>
        <v>0</v>
      </c>
      <c r="M18" s="113">
        <f t="shared" ref="M18:M23" si="5">+G18</f>
        <v>175921.04307589805</v>
      </c>
      <c r="N18" s="54">
        <f t="shared" si="3"/>
        <v>0</v>
      </c>
      <c r="O18" s="54">
        <f t="shared" si="4"/>
        <v>0</v>
      </c>
      <c r="P18" s="1"/>
    </row>
    <row r="19" spans="2:16" ht="12.5">
      <c r="B19" s="7" t="str">
        <f>IF(D19=F18,"","IU")</f>
        <v/>
      </c>
      <c r="C19" s="50">
        <f>IF(D11="","-",+C18+1)</f>
        <v>2019</v>
      </c>
      <c r="D19" s="431">
        <v>1142318.491208168</v>
      </c>
      <c r="E19" s="430">
        <v>28902.439024390245</v>
      </c>
      <c r="F19" s="431">
        <v>1113416.0521837778</v>
      </c>
      <c r="G19" s="430">
        <v>172247.71363126423</v>
      </c>
      <c r="H19" s="438">
        <v>172247.71363126423</v>
      </c>
      <c r="I19" s="52">
        <f t="shared" si="0"/>
        <v>0</v>
      </c>
      <c r="J19" s="52"/>
      <c r="K19" s="113">
        <f t="shared" si="1"/>
        <v>172247.71363126423</v>
      </c>
      <c r="L19" s="54">
        <f t="shared" ref="L19" si="6">IF(K19&lt;&gt;0,+G19-K19,0)</f>
        <v>0</v>
      </c>
      <c r="M19" s="113">
        <f t="shared" si="5"/>
        <v>172247.71363126423</v>
      </c>
      <c r="N19" s="54">
        <f t="shared" si="3"/>
        <v>0</v>
      </c>
      <c r="O19" s="54">
        <f t="shared" si="4"/>
        <v>0</v>
      </c>
      <c r="P19" s="1"/>
    </row>
    <row r="20" spans="2:16" ht="12.5">
      <c r="B20" s="7" t="str">
        <f t="shared" ref="B20:B72" si="7">IF(D20=F19,"","IU")</f>
        <v>IU</v>
      </c>
      <c r="C20" s="50">
        <f>IF(D11="","-",+C19+1)</f>
        <v>2020</v>
      </c>
      <c r="D20" s="431">
        <v>1175708.0521837776</v>
      </c>
      <c r="E20" s="430">
        <v>30421.756097560974</v>
      </c>
      <c r="F20" s="431">
        <v>1145286.2960862166</v>
      </c>
      <c r="G20" s="430">
        <v>149181.76277171262</v>
      </c>
      <c r="H20" s="438">
        <v>149181.76277171262</v>
      </c>
      <c r="I20" s="52">
        <f t="shared" si="0"/>
        <v>0</v>
      </c>
      <c r="J20" s="52"/>
      <c r="K20" s="113">
        <f t="shared" si="1"/>
        <v>149181.76277171262</v>
      </c>
      <c r="L20" s="54">
        <f t="shared" ref="L20" si="8">IF(K20&lt;&gt;0,+G20-K20,0)</f>
        <v>0</v>
      </c>
      <c r="M20" s="113">
        <f t="shared" si="5"/>
        <v>149181.76277171262</v>
      </c>
      <c r="N20" s="54">
        <f t="shared" si="3"/>
        <v>0</v>
      </c>
      <c r="O20" s="54">
        <f t="shared" si="4"/>
        <v>0</v>
      </c>
      <c r="P20" s="1"/>
    </row>
    <row r="21" spans="2:16" ht="12.5">
      <c r="B21" s="7" t="str">
        <f t="shared" si="7"/>
        <v>IU</v>
      </c>
      <c r="C21" s="50">
        <f>IF(D11="","-",+C20+1)</f>
        <v>2021</v>
      </c>
      <c r="D21" s="431">
        <v>1146630.5955757231</v>
      </c>
      <c r="E21" s="430">
        <v>29697.428571428572</v>
      </c>
      <c r="F21" s="431">
        <v>1116933.1670042945</v>
      </c>
      <c r="G21" s="430">
        <v>149671.45198505887</v>
      </c>
      <c r="H21" s="438">
        <v>149671.45198505887</v>
      </c>
      <c r="I21" s="52">
        <f t="shared" si="0"/>
        <v>0</v>
      </c>
      <c r="J21" s="52"/>
      <c r="K21" s="113">
        <f t="shared" si="1"/>
        <v>149671.45198505887</v>
      </c>
      <c r="L21" s="54">
        <f t="shared" ref="L21" si="9">IF(K21&lt;&gt;0,+G21-K21,0)</f>
        <v>0</v>
      </c>
      <c r="M21" s="113">
        <f t="shared" si="5"/>
        <v>149671.45198505887</v>
      </c>
      <c r="N21" s="54">
        <f t="shared" si="3"/>
        <v>0</v>
      </c>
      <c r="O21" s="54">
        <f t="shared" si="4"/>
        <v>0</v>
      </c>
      <c r="P21" s="1"/>
    </row>
    <row r="22" spans="2:16" ht="12.5">
      <c r="B22" s="7" t="str">
        <f t="shared" si="7"/>
        <v>IU</v>
      </c>
      <c r="C22" s="50">
        <f>IF(D11="","-",+C21+1)</f>
        <v>2022</v>
      </c>
      <c r="D22" s="431">
        <v>1115588.8675147882</v>
      </c>
      <c r="E22" s="430">
        <v>29697.428571428572</v>
      </c>
      <c r="F22" s="431">
        <v>1085891.4389433595</v>
      </c>
      <c r="G22" s="430">
        <v>153469.16100420433</v>
      </c>
      <c r="H22" s="438">
        <v>153469.16100420433</v>
      </c>
      <c r="I22" s="52">
        <f t="shared" si="0"/>
        <v>0</v>
      </c>
      <c r="J22" s="52"/>
      <c r="K22" s="113">
        <f t="shared" si="1"/>
        <v>153469.16100420433</v>
      </c>
      <c r="L22" s="54">
        <f t="shared" ref="L22" si="10">IF(K22&lt;&gt;0,+G22-K22,0)</f>
        <v>0</v>
      </c>
      <c r="M22" s="113">
        <f t="shared" si="5"/>
        <v>153469.16100420433</v>
      </c>
      <c r="N22" s="54">
        <f t="shared" si="3"/>
        <v>0</v>
      </c>
      <c r="O22" s="54">
        <f t="shared" si="4"/>
        <v>0</v>
      </c>
      <c r="P22" s="1"/>
    </row>
    <row r="23" spans="2:16" ht="12.5">
      <c r="B23" s="7" t="str">
        <f t="shared" si="7"/>
        <v>IU</v>
      </c>
      <c r="C23" s="50">
        <f>IF(D11="","-",+C22+1)</f>
        <v>2023</v>
      </c>
      <c r="D23" s="431">
        <v>1085891.0489433594</v>
      </c>
      <c r="E23" s="430">
        <v>29697.419285714284</v>
      </c>
      <c r="F23" s="431">
        <v>1056193.629657645</v>
      </c>
      <c r="G23" s="430">
        <v>164998.75779973256</v>
      </c>
      <c r="H23" s="438">
        <v>164998.75779973256</v>
      </c>
      <c r="I23" s="52">
        <f t="shared" si="0"/>
        <v>0</v>
      </c>
      <c r="J23" s="52"/>
      <c r="K23" s="113">
        <f t="shared" ref="K23" si="11">+G23</f>
        <v>164998.75779973256</v>
      </c>
      <c r="L23" s="54">
        <f t="shared" ref="L23" si="12">IF(K23&lt;&gt;0,+G23-K23,0)</f>
        <v>0</v>
      </c>
      <c r="M23" s="113">
        <f t="shared" si="5"/>
        <v>164998.75779973256</v>
      </c>
      <c r="N23" s="54">
        <f t="shared" si="3"/>
        <v>0</v>
      </c>
      <c r="O23" s="54">
        <f t="shared" si="4"/>
        <v>0</v>
      </c>
      <c r="P23" s="1"/>
    </row>
    <row r="24" spans="2:16" ht="12.5">
      <c r="B24" s="7" t="str">
        <f t="shared" si="7"/>
        <v/>
      </c>
      <c r="C24" s="50">
        <f>IF(D11="","-",+C23+1)</f>
        <v>2024</v>
      </c>
      <c r="D24" s="431">
        <v>1056193.629657645</v>
      </c>
      <c r="E24" s="430">
        <v>28347.536590909087</v>
      </c>
      <c r="F24" s="431">
        <v>1027846.0930667359</v>
      </c>
      <c r="G24" s="430">
        <v>152897.18174606739</v>
      </c>
      <c r="H24" s="438">
        <v>152897.18174606739</v>
      </c>
      <c r="I24" s="52">
        <f t="shared" si="0"/>
        <v>0</v>
      </c>
      <c r="J24" s="52"/>
      <c r="K24" s="113">
        <f t="shared" ref="K24" si="13">+G24</f>
        <v>152897.18174606739</v>
      </c>
      <c r="L24" s="54">
        <f t="shared" ref="L24" si="14">IF(K24&lt;&gt;0,+G24-K24,0)</f>
        <v>0</v>
      </c>
      <c r="M24" s="113">
        <f t="shared" ref="M24" si="15">+G24</f>
        <v>152897.18174606739</v>
      </c>
      <c r="N24" s="54">
        <f t="shared" ref="N24" si="16">IF(M24&lt;&gt;0,+H24-M24,0)</f>
        <v>0</v>
      </c>
      <c r="O24" s="54">
        <f t="shared" ref="O24" si="17">+N24-L24</f>
        <v>0</v>
      </c>
      <c r="P24" s="1"/>
    </row>
    <row r="25" spans="2:16" ht="12.5">
      <c r="B25" s="7" t="str">
        <f t="shared" si="7"/>
        <v/>
      </c>
      <c r="C25" s="50">
        <f>IF(D11="","-",+C24+1)</f>
        <v>2025</v>
      </c>
      <c r="D25" s="55">
        <f>IF(F24+SUM(E$17:E24)=D$10,F24,D$10-SUM(E$17:E24))</f>
        <v>1027846.0930667359</v>
      </c>
      <c r="E25" s="378">
        <f>IF(+I14&lt;F24,I14,D25)</f>
        <v>28347.536590909087</v>
      </c>
      <c r="F25" s="55">
        <f t="shared" ref="F25:F72" si="18">+D25-E25</f>
        <v>999498.55647582677</v>
      </c>
      <c r="G25" s="379">
        <f t="shared" ref="G25:G48" si="19">+I$12*((D25+F25)/2)+E25</f>
        <v>149508.88200789821</v>
      </c>
      <c r="H25" s="364">
        <f t="shared" ref="H25:H48" si="20">+I$13*((D25+F25)/2)+E25</f>
        <v>149508.88200789821</v>
      </c>
      <c r="I25" s="52">
        <f t="shared" si="0"/>
        <v>0</v>
      </c>
      <c r="J25" s="52"/>
      <c r="K25" s="129"/>
      <c r="L25" s="54">
        <f t="shared" si="2"/>
        <v>0</v>
      </c>
      <c r="M25" s="129"/>
      <c r="N25" s="54">
        <f t="shared" si="3"/>
        <v>0</v>
      </c>
      <c r="O25" s="54">
        <f t="shared" si="4"/>
        <v>0</v>
      </c>
      <c r="P25" s="1"/>
    </row>
    <row r="26" spans="2:16" ht="12.5">
      <c r="B26" s="7" t="str">
        <f t="shared" si="7"/>
        <v/>
      </c>
      <c r="C26" s="50">
        <f>IF(D11="","-",+C25+1)</f>
        <v>2026</v>
      </c>
      <c r="D26" s="55">
        <f>IF(F25+SUM(E$17:E25)=D$10,F25,D$10-SUM(E$17:E25))</f>
        <v>999498.55647582677</v>
      </c>
      <c r="E26" s="378">
        <f>IF(+I14&lt;F25,I14,D26)</f>
        <v>28347.536590909087</v>
      </c>
      <c r="F26" s="55">
        <f t="shared" si="18"/>
        <v>971151.01988491765</v>
      </c>
      <c r="G26" s="379">
        <f t="shared" si="19"/>
        <v>146120.58226972903</v>
      </c>
      <c r="H26" s="364">
        <f t="shared" si="20"/>
        <v>146120.58226972903</v>
      </c>
      <c r="I26" s="52">
        <f t="shared" si="0"/>
        <v>0</v>
      </c>
      <c r="J26" s="52"/>
      <c r="K26" s="129"/>
      <c r="L26" s="54">
        <f t="shared" si="2"/>
        <v>0</v>
      </c>
      <c r="M26" s="129"/>
      <c r="N26" s="54">
        <f t="shared" si="3"/>
        <v>0</v>
      </c>
      <c r="O26" s="54">
        <f t="shared" si="4"/>
        <v>0</v>
      </c>
      <c r="P26" s="1"/>
    </row>
    <row r="27" spans="2:16" ht="12.5">
      <c r="B27" s="7" t="str">
        <f t="shared" si="7"/>
        <v/>
      </c>
      <c r="C27" s="50">
        <f>IF(D11="","-",+C26+1)</f>
        <v>2027</v>
      </c>
      <c r="D27" s="55">
        <f>IF(F26+SUM(E$17:E26)=D$10,F26,D$10-SUM(E$17:E26))</f>
        <v>971151.01988491765</v>
      </c>
      <c r="E27" s="378">
        <f>IF(+I14&lt;F26,I14,D27)</f>
        <v>28347.536590909087</v>
      </c>
      <c r="F27" s="55">
        <f t="shared" si="18"/>
        <v>942803.48329400853</v>
      </c>
      <c r="G27" s="379">
        <f t="shared" si="19"/>
        <v>142732.28253155985</v>
      </c>
      <c r="H27" s="364">
        <f t="shared" si="20"/>
        <v>142732.28253155985</v>
      </c>
      <c r="I27" s="52">
        <f t="shared" si="0"/>
        <v>0</v>
      </c>
      <c r="J27" s="52"/>
      <c r="K27" s="129"/>
      <c r="L27" s="54">
        <f t="shared" si="2"/>
        <v>0</v>
      </c>
      <c r="M27" s="129"/>
      <c r="N27" s="54">
        <f t="shared" si="3"/>
        <v>0</v>
      </c>
      <c r="O27" s="54">
        <f t="shared" si="4"/>
        <v>0</v>
      </c>
      <c r="P27" s="1"/>
    </row>
    <row r="28" spans="2:16" ht="12.5">
      <c r="B28" s="7" t="str">
        <f t="shared" si="7"/>
        <v/>
      </c>
      <c r="C28" s="50">
        <f>IF(D11="","-",+C27+1)</f>
        <v>2028</v>
      </c>
      <c r="D28" s="55">
        <f>IF(F27+SUM(E$17:E27)=D$10,F27,D$10-SUM(E$17:E27))</f>
        <v>942803.48329400853</v>
      </c>
      <c r="E28" s="378">
        <f>IF(+I14&lt;F27,I14,D28)</f>
        <v>28347.536590909087</v>
      </c>
      <c r="F28" s="55">
        <f t="shared" si="18"/>
        <v>914455.94670309941</v>
      </c>
      <c r="G28" s="379">
        <f t="shared" si="19"/>
        <v>139343.98279339066</v>
      </c>
      <c r="H28" s="364">
        <f t="shared" si="20"/>
        <v>139343.98279339066</v>
      </c>
      <c r="I28" s="52">
        <f t="shared" si="0"/>
        <v>0</v>
      </c>
      <c r="J28" s="52"/>
      <c r="K28" s="129"/>
      <c r="L28" s="54">
        <f t="shared" si="2"/>
        <v>0</v>
      </c>
      <c r="M28" s="129"/>
      <c r="N28" s="54">
        <f t="shared" si="3"/>
        <v>0</v>
      </c>
      <c r="O28" s="54">
        <f t="shared" si="4"/>
        <v>0</v>
      </c>
      <c r="P28" s="1"/>
    </row>
    <row r="29" spans="2:16" ht="12.5">
      <c r="B29" s="7" t="str">
        <f t="shared" si="7"/>
        <v/>
      </c>
      <c r="C29" s="50">
        <f>IF(D11="","-",+C28+1)</f>
        <v>2029</v>
      </c>
      <c r="D29" s="55">
        <f>IF(F28+SUM(E$17:E28)=D$10,F28,D$10-SUM(E$17:E28))</f>
        <v>914455.94670309941</v>
      </c>
      <c r="E29" s="378">
        <f>IF(+I14&lt;F28,I14,D29)</f>
        <v>28347.536590909087</v>
      </c>
      <c r="F29" s="55">
        <f t="shared" si="18"/>
        <v>886108.41011219029</v>
      </c>
      <c r="G29" s="379">
        <f t="shared" si="19"/>
        <v>135955.68305522148</v>
      </c>
      <c r="H29" s="364">
        <f t="shared" si="20"/>
        <v>135955.68305522148</v>
      </c>
      <c r="I29" s="52">
        <f t="shared" si="0"/>
        <v>0</v>
      </c>
      <c r="J29" s="52"/>
      <c r="K29" s="129"/>
      <c r="L29" s="54">
        <f t="shared" si="2"/>
        <v>0</v>
      </c>
      <c r="M29" s="129"/>
      <c r="N29" s="54">
        <f t="shared" si="3"/>
        <v>0</v>
      </c>
      <c r="O29" s="54">
        <f t="shared" si="4"/>
        <v>0</v>
      </c>
      <c r="P29" s="1"/>
    </row>
    <row r="30" spans="2:16" ht="12.5">
      <c r="B30" s="7" t="str">
        <f t="shared" si="7"/>
        <v/>
      </c>
      <c r="C30" s="50">
        <f>IF(D11="","-",+C29+1)</f>
        <v>2030</v>
      </c>
      <c r="D30" s="55">
        <f>IF(F29+SUM(E$17:E29)=D$10,F29,D$10-SUM(E$17:E29))</f>
        <v>886108.41011219029</v>
      </c>
      <c r="E30" s="378">
        <f>IF(+I14&lt;F29,I14,D30)</f>
        <v>28347.536590909087</v>
      </c>
      <c r="F30" s="55">
        <f t="shared" si="18"/>
        <v>857760.87352128117</v>
      </c>
      <c r="G30" s="379">
        <f t="shared" si="19"/>
        <v>132567.3833170523</v>
      </c>
      <c r="H30" s="364">
        <f t="shared" si="20"/>
        <v>132567.3833170523</v>
      </c>
      <c r="I30" s="52">
        <f t="shared" si="0"/>
        <v>0</v>
      </c>
      <c r="J30" s="52"/>
      <c r="K30" s="129"/>
      <c r="L30" s="54">
        <f t="shared" si="2"/>
        <v>0</v>
      </c>
      <c r="M30" s="129"/>
      <c r="N30" s="54">
        <f t="shared" si="3"/>
        <v>0</v>
      </c>
      <c r="O30" s="54">
        <f t="shared" si="4"/>
        <v>0</v>
      </c>
      <c r="P30" s="1"/>
    </row>
    <row r="31" spans="2:16" ht="12.5">
      <c r="B31" s="7" t="str">
        <f t="shared" si="7"/>
        <v/>
      </c>
      <c r="C31" s="50">
        <f>IF(D11="","-",+C30+1)</f>
        <v>2031</v>
      </c>
      <c r="D31" s="55">
        <f>IF(F30+SUM(E$17:E30)=D$10,F30,D$10-SUM(E$17:E30))</f>
        <v>857760.87352128117</v>
      </c>
      <c r="E31" s="378">
        <f>IF(+I14&lt;F30,I14,D31)</f>
        <v>28347.536590909087</v>
      </c>
      <c r="F31" s="55">
        <f t="shared" si="18"/>
        <v>829413.33693037205</v>
      </c>
      <c r="G31" s="379">
        <f t="shared" si="19"/>
        <v>129179.08357888312</v>
      </c>
      <c r="H31" s="364">
        <f t="shared" si="20"/>
        <v>129179.08357888312</v>
      </c>
      <c r="I31" s="52">
        <f t="shared" si="0"/>
        <v>0</v>
      </c>
      <c r="J31" s="52"/>
      <c r="K31" s="129"/>
      <c r="L31" s="54">
        <f t="shared" si="2"/>
        <v>0</v>
      </c>
      <c r="M31" s="129"/>
      <c r="N31" s="54">
        <f t="shared" si="3"/>
        <v>0</v>
      </c>
      <c r="O31" s="54">
        <f t="shared" si="4"/>
        <v>0</v>
      </c>
      <c r="P31" s="1"/>
    </row>
    <row r="32" spans="2:16" ht="12.5">
      <c r="B32" s="7" t="str">
        <f t="shared" si="7"/>
        <v/>
      </c>
      <c r="C32" s="50">
        <f>IF(D11="","-",+C31+1)</f>
        <v>2032</v>
      </c>
      <c r="D32" s="55">
        <f>IF(F31+SUM(E$17:E31)=D$10,F31,D$10-SUM(E$17:E31))</f>
        <v>829413.33693037205</v>
      </c>
      <c r="E32" s="378">
        <f>IF(+I14&lt;F31,I14,D32)</f>
        <v>28347.536590909087</v>
      </c>
      <c r="F32" s="55">
        <f t="shared" si="18"/>
        <v>801065.80033946293</v>
      </c>
      <c r="G32" s="379">
        <f t="shared" si="19"/>
        <v>125790.78384071394</v>
      </c>
      <c r="H32" s="364">
        <f t="shared" si="20"/>
        <v>125790.78384071394</v>
      </c>
      <c r="I32" s="52">
        <f t="shared" si="0"/>
        <v>0</v>
      </c>
      <c r="J32" s="52"/>
      <c r="K32" s="129"/>
      <c r="L32" s="54">
        <f t="shared" si="2"/>
        <v>0</v>
      </c>
      <c r="M32" s="129"/>
      <c r="N32" s="54">
        <f t="shared" si="3"/>
        <v>0</v>
      </c>
      <c r="O32" s="54">
        <f t="shared" si="4"/>
        <v>0</v>
      </c>
      <c r="P32" s="1"/>
    </row>
    <row r="33" spans="2:16" ht="12.5">
      <c r="B33" s="7" t="str">
        <f t="shared" si="7"/>
        <v/>
      </c>
      <c r="C33" s="50">
        <f>IF(D11="","-",+C32+1)</f>
        <v>2033</v>
      </c>
      <c r="D33" s="55">
        <f>IF(F32+SUM(E$17:E32)=D$10,F32,D$10-SUM(E$17:E32))</f>
        <v>801065.80033946293</v>
      </c>
      <c r="E33" s="378">
        <f>IF(+I14&lt;F32,I14,D33)</f>
        <v>28347.536590909087</v>
      </c>
      <c r="F33" s="55">
        <f t="shared" si="18"/>
        <v>772718.26374855381</v>
      </c>
      <c r="G33" s="379">
        <f t="shared" si="19"/>
        <v>122402.48410254475</v>
      </c>
      <c r="H33" s="364">
        <f t="shared" si="20"/>
        <v>122402.48410254475</v>
      </c>
      <c r="I33" s="52">
        <f t="shared" si="0"/>
        <v>0</v>
      </c>
      <c r="J33" s="52"/>
      <c r="K33" s="129"/>
      <c r="L33" s="54">
        <f t="shared" si="2"/>
        <v>0</v>
      </c>
      <c r="M33" s="129"/>
      <c r="N33" s="54">
        <f t="shared" si="3"/>
        <v>0</v>
      </c>
      <c r="O33" s="54">
        <f t="shared" si="4"/>
        <v>0</v>
      </c>
      <c r="P33" s="1"/>
    </row>
    <row r="34" spans="2:16" ht="12.5">
      <c r="B34" s="7" t="str">
        <f t="shared" si="7"/>
        <v/>
      </c>
      <c r="C34" s="50">
        <f>IF(D11="","-",+C33+1)</f>
        <v>2034</v>
      </c>
      <c r="D34" s="55">
        <f>IF(F33+SUM(E$17:E33)=D$10,F33,D$10-SUM(E$17:E33))</f>
        <v>772718.26374855381</v>
      </c>
      <c r="E34" s="378">
        <f>IF(+I14&lt;F33,I14,D34)</f>
        <v>28347.536590909087</v>
      </c>
      <c r="F34" s="55">
        <f t="shared" si="18"/>
        <v>744370.72715764469</v>
      </c>
      <c r="G34" s="379">
        <f t="shared" si="19"/>
        <v>119014.18436437557</v>
      </c>
      <c r="H34" s="364">
        <f t="shared" si="20"/>
        <v>119014.18436437557</v>
      </c>
      <c r="I34" s="52">
        <f t="shared" si="0"/>
        <v>0</v>
      </c>
      <c r="J34" s="52"/>
      <c r="K34" s="129"/>
      <c r="L34" s="54">
        <f t="shared" si="2"/>
        <v>0</v>
      </c>
      <c r="M34" s="129"/>
      <c r="N34" s="54">
        <f t="shared" si="3"/>
        <v>0</v>
      </c>
      <c r="O34" s="54">
        <f t="shared" si="4"/>
        <v>0</v>
      </c>
      <c r="P34" s="1"/>
    </row>
    <row r="35" spans="2:16" ht="12.5">
      <c r="B35" s="7" t="str">
        <f t="shared" si="7"/>
        <v/>
      </c>
      <c r="C35" s="50">
        <f>IF(D11="","-",+C34+1)</f>
        <v>2035</v>
      </c>
      <c r="D35" s="55">
        <f>IF(F34+SUM(E$17:E34)=D$10,F34,D$10-SUM(E$17:E34))</f>
        <v>744370.72715764469</v>
      </c>
      <c r="E35" s="378">
        <f>IF(+I14&lt;F34,I14,D35)</f>
        <v>28347.536590909087</v>
      </c>
      <c r="F35" s="55">
        <f t="shared" si="18"/>
        <v>716023.19056673557</v>
      </c>
      <c r="G35" s="379">
        <f t="shared" si="19"/>
        <v>115625.88462620639</v>
      </c>
      <c r="H35" s="364">
        <f t="shared" si="20"/>
        <v>115625.88462620639</v>
      </c>
      <c r="I35" s="52">
        <f t="shared" si="0"/>
        <v>0</v>
      </c>
      <c r="J35" s="52"/>
      <c r="K35" s="129"/>
      <c r="L35" s="54">
        <f t="shared" si="2"/>
        <v>0</v>
      </c>
      <c r="M35" s="129"/>
      <c r="N35" s="54">
        <f t="shared" si="3"/>
        <v>0</v>
      </c>
      <c r="O35" s="54">
        <f t="shared" si="4"/>
        <v>0</v>
      </c>
      <c r="P35" s="1"/>
    </row>
    <row r="36" spans="2:16" ht="12.5">
      <c r="B36" s="7" t="str">
        <f t="shared" si="7"/>
        <v/>
      </c>
      <c r="C36" s="50">
        <f>IF(D11="","-",+C35+1)</f>
        <v>2036</v>
      </c>
      <c r="D36" s="55">
        <f>IF(F35+SUM(E$17:E35)=D$10,F35,D$10-SUM(E$17:E35))</f>
        <v>716023.19056673557</v>
      </c>
      <c r="E36" s="378">
        <f>IF(+I14&lt;F35,I14,D36)</f>
        <v>28347.536590909087</v>
      </c>
      <c r="F36" s="55">
        <f t="shared" si="18"/>
        <v>687675.65397582646</v>
      </c>
      <c r="G36" s="379">
        <f t="shared" si="19"/>
        <v>112237.58488803721</v>
      </c>
      <c r="H36" s="364">
        <f t="shared" si="20"/>
        <v>112237.58488803721</v>
      </c>
      <c r="I36" s="52">
        <f t="shared" si="0"/>
        <v>0</v>
      </c>
      <c r="J36" s="52"/>
      <c r="K36" s="129"/>
      <c r="L36" s="54">
        <f t="shared" si="2"/>
        <v>0</v>
      </c>
      <c r="M36" s="129"/>
      <c r="N36" s="54">
        <f t="shared" si="3"/>
        <v>0</v>
      </c>
      <c r="O36" s="54">
        <f t="shared" si="4"/>
        <v>0</v>
      </c>
      <c r="P36" s="1"/>
    </row>
    <row r="37" spans="2:16" ht="12.5">
      <c r="B37" s="7" t="str">
        <f t="shared" si="7"/>
        <v/>
      </c>
      <c r="C37" s="50">
        <f>IF(D11="","-",+C36+1)</f>
        <v>2037</v>
      </c>
      <c r="D37" s="55">
        <f>IF(F36+SUM(E$17:E36)=D$10,F36,D$10-SUM(E$17:E36))</f>
        <v>687675.65397582646</v>
      </c>
      <c r="E37" s="378">
        <f>IF(+I14&lt;F36,I14,D37)</f>
        <v>28347.536590909087</v>
      </c>
      <c r="F37" s="55">
        <f t="shared" si="18"/>
        <v>659328.11738491734</v>
      </c>
      <c r="G37" s="379">
        <f t="shared" si="19"/>
        <v>108849.28514986804</v>
      </c>
      <c r="H37" s="364">
        <f t="shared" si="20"/>
        <v>108849.28514986804</v>
      </c>
      <c r="I37" s="52">
        <f t="shared" si="0"/>
        <v>0</v>
      </c>
      <c r="J37" s="52"/>
      <c r="K37" s="129"/>
      <c r="L37" s="54">
        <f t="shared" si="2"/>
        <v>0</v>
      </c>
      <c r="M37" s="129"/>
      <c r="N37" s="54">
        <f t="shared" si="3"/>
        <v>0</v>
      </c>
      <c r="O37" s="54">
        <f t="shared" si="4"/>
        <v>0</v>
      </c>
      <c r="P37" s="1"/>
    </row>
    <row r="38" spans="2:16" ht="12.5">
      <c r="B38" s="7" t="str">
        <f t="shared" si="7"/>
        <v/>
      </c>
      <c r="C38" s="50">
        <f>IF(D11="","-",+C37+1)</f>
        <v>2038</v>
      </c>
      <c r="D38" s="55">
        <f>IF(F37+SUM(E$17:E37)=D$10,F37,D$10-SUM(E$17:E37))</f>
        <v>659328.11738491734</v>
      </c>
      <c r="E38" s="378">
        <f>IF(+I14&lt;F37,I14,D38)</f>
        <v>28347.536590909087</v>
      </c>
      <c r="F38" s="55">
        <f t="shared" si="18"/>
        <v>630980.58079400822</v>
      </c>
      <c r="G38" s="379">
        <f t="shared" si="19"/>
        <v>105460.98541169886</v>
      </c>
      <c r="H38" s="364">
        <f t="shared" si="20"/>
        <v>105460.98541169886</v>
      </c>
      <c r="I38" s="52">
        <f t="shared" si="0"/>
        <v>0</v>
      </c>
      <c r="J38" s="52"/>
      <c r="K38" s="129"/>
      <c r="L38" s="54">
        <f t="shared" si="2"/>
        <v>0</v>
      </c>
      <c r="M38" s="129"/>
      <c r="N38" s="54">
        <f t="shared" si="3"/>
        <v>0</v>
      </c>
      <c r="O38" s="54">
        <f t="shared" si="4"/>
        <v>0</v>
      </c>
      <c r="P38" s="1"/>
    </row>
    <row r="39" spans="2:16" ht="12.5">
      <c r="B39" s="7" t="str">
        <f t="shared" si="7"/>
        <v/>
      </c>
      <c r="C39" s="50">
        <f>IF(D11="","-",+C38+1)</f>
        <v>2039</v>
      </c>
      <c r="D39" s="55">
        <f>IF(F38+SUM(E$17:E38)=D$10,F38,D$10-SUM(E$17:E38))</f>
        <v>630980.58079400822</v>
      </c>
      <c r="E39" s="378">
        <f>IF(+I14&lt;F38,I14,D39)</f>
        <v>28347.536590909087</v>
      </c>
      <c r="F39" s="55">
        <f t="shared" si="18"/>
        <v>602633.0442030991</v>
      </c>
      <c r="G39" s="379">
        <f t="shared" si="19"/>
        <v>102072.68567352968</v>
      </c>
      <c r="H39" s="364">
        <f t="shared" si="20"/>
        <v>102072.68567352968</v>
      </c>
      <c r="I39" s="52">
        <f t="shared" si="0"/>
        <v>0</v>
      </c>
      <c r="J39" s="52"/>
      <c r="K39" s="129"/>
      <c r="L39" s="54">
        <f t="shared" si="2"/>
        <v>0</v>
      </c>
      <c r="M39" s="129"/>
      <c r="N39" s="54">
        <f t="shared" si="3"/>
        <v>0</v>
      </c>
      <c r="O39" s="54">
        <f t="shared" si="4"/>
        <v>0</v>
      </c>
      <c r="P39" s="1"/>
    </row>
    <row r="40" spans="2:16" ht="12.5">
      <c r="B40" s="7" t="str">
        <f t="shared" si="7"/>
        <v/>
      </c>
      <c r="C40" s="50">
        <f>IF(D11="","-",+C39+1)</f>
        <v>2040</v>
      </c>
      <c r="D40" s="55">
        <f>IF(F39+SUM(E$17:E39)=D$10,F39,D$10-SUM(E$17:E39))</f>
        <v>602633.0442030991</v>
      </c>
      <c r="E40" s="378">
        <f>IF(+I14&lt;F39,I14,D40)</f>
        <v>28347.536590909087</v>
      </c>
      <c r="F40" s="55">
        <f t="shared" si="18"/>
        <v>574285.50761218998</v>
      </c>
      <c r="G40" s="379">
        <f t="shared" si="19"/>
        <v>98684.385935360493</v>
      </c>
      <c r="H40" s="364">
        <f t="shared" si="20"/>
        <v>98684.385935360493</v>
      </c>
      <c r="I40" s="52">
        <f t="shared" si="0"/>
        <v>0</v>
      </c>
      <c r="J40" s="52"/>
      <c r="K40" s="129"/>
      <c r="L40" s="54">
        <f t="shared" si="2"/>
        <v>0</v>
      </c>
      <c r="M40" s="129"/>
      <c r="N40" s="54">
        <f t="shared" si="3"/>
        <v>0</v>
      </c>
      <c r="O40" s="54">
        <f t="shared" si="4"/>
        <v>0</v>
      </c>
      <c r="P40" s="1"/>
    </row>
    <row r="41" spans="2:16" ht="12.5">
      <c r="B41" s="7" t="str">
        <f t="shared" si="7"/>
        <v/>
      </c>
      <c r="C41" s="50">
        <f>IF(D11="","-",+C40+1)</f>
        <v>2041</v>
      </c>
      <c r="D41" s="55">
        <f>IF(F40+SUM(E$17:E40)=D$10,F40,D$10-SUM(E$17:E40))</f>
        <v>574285.50761218998</v>
      </c>
      <c r="E41" s="378">
        <f>IF(+I14&lt;F40,I14,D41)</f>
        <v>28347.536590909087</v>
      </c>
      <c r="F41" s="55">
        <f t="shared" si="18"/>
        <v>545937.97102128086</v>
      </c>
      <c r="G41" s="379">
        <f t="shared" si="19"/>
        <v>95296.086197191311</v>
      </c>
      <c r="H41" s="364">
        <f t="shared" si="20"/>
        <v>95296.086197191311</v>
      </c>
      <c r="I41" s="52">
        <f t="shared" si="0"/>
        <v>0</v>
      </c>
      <c r="J41" s="52"/>
      <c r="K41" s="129"/>
      <c r="L41" s="54">
        <f t="shared" si="2"/>
        <v>0</v>
      </c>
      <c r="M41" s="129"/>
      <c r="N41" s="54">
        <f t="shared" si="3"/>
        <v>0</v>
      </c>
      <c r="O41" s="54">
        <f t="shared" si="4"/>
        <v>0</v>
      </c>
      <c r="P41" s="1"/>
    </row>
    <row r="42" spans="2:16" ht="12.5">
      <c r="B42" s="7" t="str">
        <f t="shared" si="7"/>
        <v/>
      </c>
      <c r="C42" s="50">
        <f>IF(D11="","-",+C41+1)</f>
        <v>2042</v>
      </c>
      <c r="D42" s="55">
        <f>IF(F41+SUM(E$17:E41)=D$10,F41,D$10-SUM(E$17:E41))</f>
        <v>545937.97102128086</v>
      </c>
      <c r="E42" s="378">
        <f>IF(+I14&lt;F41,I14,D42)</f>
        <v>28347.536590909087</v>
      </c>
      <c r="F42" s="55">
        <f t="shared" si="18"/>
        <v>517590.4344303718</v>
      </c>
      <c r="G42" s="379">
        <f t="shared" si="19"/>
        <v>91907.786459022114</v>
      </c>
      <c r="H42" s="364">
        <f t="shared" si="20"/>
        <v>91907.786459022114</v>
      </c>
      <c r="I42" s="52">
        <f t="shared" si="0"/>
        <v>0</v>
      </c>
      <c r="J42" s="52"/>
      <c r="K42" s="129"/>
      <c r="L42" s="54">
        <f t="shared" si="2"/>
        <v>0</v>
      </c>
      <c r="M42" s="129"/>
      <c r="N42" s="54">
        <f t="shared" si="3"/>
        <v>0</v>
      </c>
      <c r="O42" s="54">
        <f t="shared" si="4"/>
        <v>0</v>
      </c>
      <c r="P42" s="1"/>
    </row>
    <row r="43" spans="2:16" ht="12.5">
      <c r="B43" s="7" t="str">
        <f t="shared" si="7"/>
        <v/>
      </c>
      <c r="C43" s="50">
        <f>IF(D11="","-",+C42+1)</f>
        <v>2043</v>
      </c>
      <c r="D43" s="55">
        <f>IF(F42+SUM(E$17:E42)=D$10,F42,D$10-SUM(E$17:E42))</f>
        <v>517590.4344303718</v>
      </c>
      <c r="E43" s="378">
        <f>IF(+I14&lt;F42,I14,D43)</f>
        <v>28347.536590909087</v>
      </c>
      <c r="F43" s="55">
        <f t="shared" si="18"/>
        <v>489242.89783946273</v>
      </c>
      <c r="G43" s="379">
        <f t="shared" si="19"/>
        <v>88519.486720852947</v>
      </c>
      <c r="H43" s="364">
        <f t="shared" si="20"/>
        <v>88519.486720852947</v>
      </c>
      <c r="I43" s="52">
        <f t="shared" si="0"/>
        <v>0</v>
      </c>
      <c r="J43" s="52"/>
      <c r="K43" s="129"/>
      <c r="L43" s="54">
        <f t="shared" si="2"/>
        <v>0</v>
      </c>
      <c r="M43" s="129"/>
      <c r="N43" s="54">
        <f t="shared" si="3"/>
        <v>0</v>
      </c>
      <c r="O43" s="54">
        <f t="shared" si="4"/>
        <v>0</v>
      </c>
      <c r="P43" s="1"/>
    </row>
    <row r="44" spans="2:16" ht="12.5">
      <c r="B44" s="7" t="str">
        <f t="shared" si="7"/>
        <v/>
      </c>
      <c r="C44" s="50">
        <f>IF(D11="","-",+C43+1)</f>
        <v>2044</v>
      </c>
      <c r="D44" s="55">
        <f>IF(F43+SUM(E$17:E43)=D$10,F43,D$10-SUM(E$17:E43))</f>
        <v>489242.89783946273</v>
      </c>
      <c r="E44" s="378">
        <f>IF(+I14&lt;F43,I14,D44)</f>
        <v>28347.536590909087</v>
      </c>
      <c r="F44" s="55">
        <f t="shared" si="18"/>
        <v>460895.36124855367</v>
      </c>
      <c r="G44" s="379">
        <f t="shared" si="19"/>
        <v>85131.186982683779</v>
      </c>
      <c r="H44" s="364">
        <f t="shared" si="20"/>
        <v>85131.186982683779</v>
      </c>
      <c r="I44" s="52">
        <f t="shared" si="0"/>
        <v>0</v>
      </c>
      <c r="J44" s="52"/>
      <c r="K44" s="129"/>
      <c r="L44" s="54">
        <f t="shared" si="2"/>
        <v>0</v>
      </c>
      <c r="M44" s="129"/>
      <c r="N44" s="54">
        <f t="shared" si="3"/>
        <v>0</v>
      </c>
      <c r="O44" s="54">
        <f t="shared" si="4"/>
        <v>0</v>
      </c>
      <c r="P44" s="1"/>
    </row>
    <row r="45" spans="2:16" ht="12.5">
      <c r="B45" s="7" t="str">
        <f t="shared" si="7"/>
        <v/>
      </c>
      <c r="C45" s="50">
        <f>IF(D11="","-",+C44+1)</f>
        <v>2045</v>
      </c>
      <c r="D45" s="55">
        <f>IF(F44+SUM(E$17:E44)=D$10,F44,D$10-SUM(E$17:E44))</f>
        <v>460895.36124855367</v>
      </c>
      <c r="E45" s="378">
        <f>IF(+I14&lt;F44,I14,D45)</f>
        <v>28347.536590909087</v>
      </c>
      <c r="F45" s="55">
        <f t="shared" si="18"/>
        <v>432547.82465764461</v>
      </c>
      <c r="G45" s="379">
        <f t="shared" si="19"/>
        <v>81742.887244514612</v>
      </c>
      <c r="H45" s="364">
        <f t="shared" si="20"/>
        <v>81742.887244514612</v>
      </c>
      <c r="I45" s="52">
        <f t="shared" si="0"/>
        <v>0</v>
      </c>
      <c r="J45" s="52"/>
      <c r="K45" s="129"/>
      <c r="L45" s="54">
        <f t="shared" si="2"/>
        <v>0</v>
      </c>
      <c r="M45" s="129"/>
      <c r="N45" s="54">
        <f t="shared" si="3"/>
        <v>0</v>
      </c>
      <c r="O45" s="54">
        <f t="shared" si="4"/>
        <v>0</v>
      </c>
      <c r="P45" s="1"/>
    </row>
    <row r="46" spans="2:16" ht="12.5">
      <c r="B46" s="7" t="str">
        <f t="shared" si="7"/>
        <v/>
      </c>
      <c r="C46" s="50">
        <f>IF(D11="","-",+C45+1)</f>
        <v>2046</v>
      </c>
      <c r="D46" s="55">
        <f>IF(F45+SUM(E$17:E45)=D$10,F45,D$10-SUM(E$17:E45))</f>
        <v>432547.82465764461</v>
      </c>
      <c r="E46" s="378">
        <f>IF(+I14&lt;F45,I14,D46)</f>
        <v>28347.536590909087</v>
      </c>
      <c r="F46" s="55">
        <f t="shared" si="18"/>
        <v>404200.28806673555</v>
      </c>
      <c r="G46" s="379">
        <f t="shared" si="19"/>
        <v>78354.58750634543</v>
      </c>
      <c r="H46" s="364">
        <f t="shared" si="20"/>
        <v>78354.58750634543</v>
      </c>
      <c r="I46" s="52">
        <f t="shared" si="0"/>
        <v>0</v>
      </c>
      <c r="J46" s="52"/>
      <c r="K46" s="129"/>
      <c r="L46" s="54">
        <f t="shared" si="2"/>
        <v>0</v>
      </c>
      <c r="M46" s="129"/>
      <c r="N46" s="54">
        <f t="shared" si="3"/>
        <v>0</v>
      </c>
      <c r="O46" s="54">
        <f t="shared" si="4"/>
        <v>0</v>
      </c>
      <c r="P46" s="1"/>
    </row>
    <row r="47" spans="2:16" ht="12.5">
      <c r="B47" s="7" t="str">
        <f t="shared" si="7"/>
        <v/>
      </c>
      <c r="C47" s="50">
        <f>IF(D11="","-",+C46+1)</f>
        <v>2047</v>
      </c>
      <c r="D47" s="55">
        <f>IF(F46+SUM(E$17:E46)=D$10,F46,D$10-SUM(E$17:E46))</f>
        <v>404200.28806673555</v>
      </c>
      <c r="E47" s="378">
        <f>IF(+I14&lt;F46,I14,D47)</f>
        <v>28347.536590909087</v>
      </c>
      <c r="F47" s="55">
        <f t="shared" si="18"/>
        <v>375852.75147582649</v>
      </c>
      <c r="G47" s="379">
        <f t="shared" si="19"/>
        <v>74966.287768176262</v>
      </c>
      <c r="H47" s="364">
        <f t="shared" si="20"/>
        <v>74966.287768176262</v>
      </c>
      <c r="I47" s="52">
        <f t="shared" si="0"/>
        <v>0</v>
      </c>
      <c r="J47" s="52"/>
      <c r="K47" s="129"/>
      <c r="L47" s="54">
        <f t="shared" si="2"/>
        <v>0</v>
      </c>
      <c r="M47" s="129"/>
      <c r="N47" s="54">
        <f t="shared" si="3"/>
        <v>0</v>
      </c>
      <c r="O47" s="54">
        <f t="shared" si="4"/>
        <v>0</v>
      </c>
      <c r="P47" s="1"/>
    </row>
    <row r="48" spans="2:16" ht="12.5">
      <c r="B48" s="7" t="str">
        <f t="shared" si="7"/>
        <v/>
      </c>
      <c r="C48" s="50">
        <f>IF(D11="","-",+C47+1)</f>
        <v>2048</v>
      </c>
      <c r="D48" s="55">
        <f>IF(F47+SUM(E$17:E47)=D$10,F47,D$10-SUM(E$17:E47))</f>
        <v>375852.75147582649</v>
      </c>
      <c r="E48" s="378">
        <f>IF(+I14&lt;F47,I14,D48)</f>
        <v>28347.536590909087</v>
      </c>
      <c r="F48" s="55">
        <f t="shared" si="18"/>
        <v>347505.21488491743</v>
      </c>
      <c r="G48" s="379">
        <f t="shared" si="19"/>
        <v>71577.98803000708</v>
      </c>
      <c r="H48" s="364">
        <f t="shared" si="20"/>
        <v>71577.98803000708</v>
      </c>
      <c r="I48" s="52">
        <f t="shared" si="0"/>
        <v>0</v>
      </c>
      <c r="J48" s="52"/>
      <c r="K48" s="129"/>
      <c r="L48" s="54">
        <f t="shared" si="2"/>
        <v>0</v>
      </c>
      <c r="M48" s="129"/>
      <c r="N48" s="54">
        <f t="shared" si="3"/>
        <v>0</v>
      </c>
      <c r="O48" s="54">
        <f t="shared" si="4"/>
        <v>0</v>
      </c>
      <c r="P48" s="1"/>
    </row>
    <row r="49" spans="2:16" ht="12.5">
      <c r="B49" s="7" t="str">
        <f t="shared" si="7"/>
        <v/>
      </c>
      <c r="C49" s="50">
        <f>IF(D11="","-",+C48+1)</f>
        <v>2049</v>
      </c>
      <c r="D49" s="55">
        <f>IF(F48+SUM(E$17:E48)=D$10,F48,D$10-SUM(E$17:E48))</f>
        <v>347505.21488491743</v>
      </c>
      <c r="E49" s="378">
        <f>IF(+I14&lt;F48,I14,D49)</f>
        <v>28347.536590909087</v>
      </c>
      <c r="F49" s="55">
        <f t="shared" si="18"/>
        <v>319157.67829400836</v>
      </c>
      <c r="G49" s="379">
        <f t="shared" ref="G49:G72" si="21">+I$12*((D49+F49)/2)+E49</f>
        <v>68189.688291837912</v>
      </c>
      <c r="H49" s="364">
        <f t="shared" ref="H49:H72" si="22">+I$13*((D49+F49)/2)+E49</f>
        <v>68189.688291837912</v>
      </c>
      <c r="I49" s="52">
        <f t="shared" si="0"/>
        <v>0</v>
      </c>
      <c r="J49" s="52"/>
      <c r="K49" s="129"/>
      <c r="L49" s="54">
        <f t="shared" si="2"/>
        <v>0</v>
      </c>
      <c r="M49" s="129"/>
      <c r="N49" s="54">
        <f t="shared" si="3"/>
        <v>0</v>
      </c>
      <c r="O49" s="54">
        <f t="shared" si="4"/>
        <v>0</v>
      </c>
      <c r="P49" s="1"/>
    </row>
    <row r="50" spans="2:16" ht="12.5">
      <c r="B50" s="7" t="str">
        <f t="shared" si="7"/>
        <v/>
      </c>
      <c r="C50" s="50">
        <f>IF(D11="","-",+C49+1)</f>
        <v>2050</v>
      </c>
      <c r="D50" s="55">
        <f>IF(F49+SUM(E$17:E49)=D$10,F49,D$10-SUM(E$17:E49))</f>
        <v>319157.67829400836</v>
      </c>
      <c r="E50" s="378">
        <f>IF(+I14&lt;F49,I14,D50)</f>
        <v>28347.536590909087</v>
      </c>
      <c r="F50" s="55">
        <f t="shared" si="18"/>
        <v>290810.1417030993</v>
      </c>
      <c r="G50" s="379">
        <f t="shared" si="21"/>
        <v>64801.38855366873</v>
      </c>
      <c r="H50" s="364">
        <f t="shared" si="22"/>
        <v>64801.38855366873</v>
      </c>
      <c r="I50" s="52">
        <f t="shared" si="0"/>
        <v>0</v>
      </c>
      <c r="J50" s="52"/>
      <c r="K50" s="129"/>
      <c r="L50" s="54">
        <f t="shared" si="2"/>
        <v>0</v>
      </c>
      <c r="M50" s="129"/>
      <c r="N50" s="54">
        <f t="shared" si="3"/>
        <v>0</v>
      </c>
      <c r="O50" s="54">
        <f t="shared" si="4"/>
        <v>0</v>
      </c>
      <c r="P50" s="1"/>
    </row>
    <row r="51" spans="2:16" ht="12.5">
      <c r="B51" s="7" t="str">
        <f t="shared" si="7"/>
        <v/>
      </c>
      <c r="C51" s="50">
        <f>IF(D11="","-",+C50+1)</f>
        <v>2051</v>
      </c>
      <c r="D51" s="55">
        <f>IF(F50+SUM(E$17:E50)=D$10,F50,D$10-SUM(E$17:E50))</f>
        <v>290810.1417030993</v>
      </c>
      <c r="E51" s="378">
        <f>IF(+I14&lt;F50,I14,D51)</f>
        <v>28347.536590909087</v>
      </c>
      <c r="F51" s="55">
        <f t="shared" si="18"/>
        <v>262462.60511219024</v>
      </c>
      <c r="G51" s="379">
        <f t="shared" si="21"/>
        <v>61413.088815499563</v>
      </c>
      <c r="H51" s="364">
        <f t="shared" si="22"/>
        <v>61413.088815499563</v>
      </c>
      <c r="I51" s="52">
        <f t="shared" si="0"/>
        <v>0</v>
      </c>
      <c r="J51" s="52"/>
      <c r="K51" s="129"/>
      <c r="L51" s="54">
        <f t="shared" si="2"/>
        <v>0</v>
      </c>
      <c r="M51" s="129"/>
      <c r="N51" s="54">
        <f t="shared" si="3"/>
        <v>0</v>
      </c>
      <c r="O51" s="54">
        <f t="shared" si="4"/>
        <v>0</v>
      </c>
      <c r="P51" s="1"/>
    </row>
    <row r="52" spans="2:16" ht="12.5">
      <c r="B52" s="7" t="str">
        <f t="shared" si="7"/>
        <v/>
      </c>
      <c r="C52" s="50">
        <f>IF(D11="","-",+C51+1)</f>
        <v>2052</v>
      </c>
      <c r="D52" s="55">
        <f>IF(F51+SUM(E$17:E51)=D$10,F51,D$10-SUM(E$17:E51))</f>
        <v>262462.60511219024</v>
      </c>
      <c r="E52" s="378">
        <f>IF(+I14&lt;F51,I14,D52)</f>
        <v>28347.536590909087</v>
      </c>
      <c r="F52" s="55">
        <f t="shared" si="18"/>
        <v>234115.06852128115</v>
      </c>
      <c r="G52" s="379">
        <f t="shared" si="21"/>
        <v>58024.789077330381</v>
      </c>
      <c r="H52" s="364">
        <f t="shared" si="22"/>
        <v>58024.789077330381</v>
      </c>
      <c r="I52" s="52">
        <f t="shared" si="0"/>
        <v>0</v>
      </c>
      <c r="J52" s="52"/>
      <c r="K52" s="129"/>
      <c r="L52" s="54">
        <f t="shared" si="2"/>
        <v>0</v>
      </c>
      <c r="M52" s="129"/>
      <c r="N52" s="54">
        <f t="shared" si="3"/>
        <v>0</v>
      </c>
      <c r="O52" s="54">
        <f t="shared" si="4"/>
        <v>0</v>
      </c>
      <c r="P52" s="1"/>
    </row>
    <row r="53" spans="2:16" ht="12.5">
      <c r="B53" s="7" t="str">
        <f t="shared" si="7"/>
        <v/>
      </c>
      <c r="C53" s="50">
        <f>IF(D11="","-",+C52+1)</f>
        <v>2053</v>
      </c>
      <c r="D53" s="55">
        <f>IF(F52+SUM(E$17:E52)=D$10,F52,D$10-SUM(E$17:E52))</f>
        <v>234115.06852128115</v>
      </c>
      <c r="E53" s="378">
        <f>IF(+I14&lt;F52,I14,D53)</f>
        <v>28347.536590909087</v>
      </c>
      <c r="F53" s="55">
        <f t="shared" si="18"/>
        <v>205767.53193037206</v>
      </c>
      <c r="G53" s="379">
        <f t="shared" si="21"/>
        <v>54636.489339161199</v>
      </c>
      <c r="H53" s="364">
        <f t="shared" si="22"/>
        <v>54636.489339161199</v>
      </c>
      <c r="I53" s="52">
        <f t="shared" si="0"/>
        <v>0</v>
      </c>
      <c r="J53" s="52"/>
      <c r="K53" s="129"/>
      <c r="L53" s="54">
        <f t="shared" si="2"/>
        <v>0</v>
      </c>
      <c r="M53" s="129"/>
      <c r="N53" s="54">
        <f t="shared" si="3"/>
        <v>0</v>
      </c>
      <c r="O53" s="54">
        <f t="shared" si="4"/>
        <v>0</v>
      </c>
      <c r="P53" s="1"/>
    </row>
    <row r="54" spans="2:16" ht="12.5">
      <c r="B54" s="7" t="str">
        <f t="shared" si="7"/>
        <v/>
      </c>
      <c r="C54" s="50">
        <f>IF(D11="","-",+C53+1)</f>
        <v>2054</v>
      </c>
      <c r="D54" s="55">
        <f>IF(F53+SUM(E$17:E53)=D$10,F53,D$10-SUM(E$17:E53))</f>
        <v>205767.53193037206</v>
      </c>
      <c r="E54" s="378">
        <f>IF(+I14&lt;F53,I14,D54)</f>
        <v>28347.536590909087</v>
      </c>
      <c r="F54" s="55">
        <f t="shared" si="18"/>
        <v>177419.99533946297</v>
      </c>
      <c r="G54" s="379">
        <f t="shared" si="21"/>
        <v>51248.189600992016</v>
      </c>
      <c r="H54" s="364">
        <f t="shared" si="22"/>
        <v>51248.189600992016</v>
      </c>
      <c r="I54" s="52">
        <f t="shared" si="0"/>
        <v>0</v>
      </c>
      <c r="J54" s="52"/>
      <c r="K54" s="129"/>
      <c r="L54" s="54">
        <f t="shared" si="2"/>
        <v>0</v>
      </c>
      <c r="M54" s="129"/>
      <c r="N54" s="54">
        <f t="shared" si="3"/>
        <v>0</v>
      </c>
      <c r="O54" s="54">
        <f t="shared" si="4"/>
        <v>0</v>
      </c>
      <c r="P54" s="1"/>
    </row>
    <row r="55" spans="2:16" ht="12.5">
      <c r="B55" s="7" t="str">
        <f t="shared" si="7"/>
        <v/>
      </c>
      <c r="C55" s="50">
        <f>IF(D11="","-",+C54+1)</f>
        <v>2055</v>
      </c>
      <c r="D55" s="55">
        <f>IF(F54+SUM(E$17:E54)=D$10,F54,D$10-SUM(E$17:E54))</f>
        <v>177419.99533946297</v>
      </c>
      <c r="E55" s="378">
        <f>IF(+I14&lt;F54,I14,D55)</f>
        <v>28347.536590909087</v>
      </c>
      <c r="F55" s="55">
        <f t="shared" si="18"/>
        <v>149072.45874855388</v>
      </c>
      <c r="G55" s="379">
        <f t="shared" si="21"/>
        <v>47859.889862822849</v>
      </c>
      <c r="H55" s="364">
        <f t="shared" si="22"/>
        <v>47859.889862822849</v>
      </c>
      <c r="I55" s="52">
        <f t="shared" si="0"/>
        <v>0</v>
      </c>
      <c r="J55" s="52"/>
      <c r="K55" s="129"/>
      <c r="L55" s="54">
        <f t="shared" si="2"/>
        <v>0</v>
      </c>
      <c r="M55" s="129"/>
      <c r="N55" s="54">
        <f t="shared" si="3"/>
        <v>0</v>
      </c>
      <c r="O55" s="54">
        <f t="shared" si="4"/>
        <v>0</v>
      </c>
      <c r="P55" s="1"/>
    </row>
    <row r="56" spans="2:16" ht="12.5">
      <c r="B56" s="7" t="str">
        <f t="shared" si="7"/>
        <v/>
      </c>
      <c r="C56" s="50">
        <f>IF(D11="","-",+C55+1)</f>
        <v>2056</v>
      </c>
      <c r="D56" s="55">
        <f>IF(F55+SUM(E$17:E55)=D$10,F55,D$10-SUM(E$17:E55))</f>
        <v>149072.45874855388</v>
      </c>
      <c r="E56" s="378">
        <f>IF(+I14&lt;F55,I14,D56)</f>
        <v>28347.536590909087</v>
      </c>
      <c r="F56" s="55">
        <f t="shared" si="18"/>
        <v>120724.92215764479</v>
      </c>
      <c r="G56" s="379">
        <f t="shared" si="21"/>
        <v>44471.590124653667</v>
      </c>
      <c r="H56" s="364">
        <f t="shared" si="22"/>
        <v>44471.590124653667</v>
      </c>
      <c r="I56" s="52">
        <f t="shared" si="0"/>
        <v>0</v>
      </c>
      <c r="J56" s="52"/>
      <c r="K56" s="129"/>
      <c r="L56" s="54">
        <f t="shared" si="2"/>
        <v>0</v>
      </c>
      <c r="M56" s="129"/>
      <c r="N56" s="54">
        <f t="shared" si="3"/>
        <v>0</v>
      </c>
      <c r="O56" s="54">
        <f t="shared" si="4"/>
        <v>0</v>
      </c>
      <c r="P56" s="1"/>
    </row>
    <row r="57" spans="2:16" ht="12.5">
      <c r="B57" s="7" t="str">
        <f t="shared" si="7"/>
        <v/>
      </c>
      <c r="C57" s="50">
        <f>IF(D11="","-",+C56+1)</f>
        <v>2057</v>
      </c>
      <c r="D57" s="55">
        <f>IF(F56+SUM(E$17:E56)=D$10,F56,D$10-SUM(E$17:E56))</f>
        <v>120724.92215764479</v>
      </c>
      <c r="E57" s="378">
        <f>IF(+I14&lt;F56,I14,D57)</f>
        <v>28347.536590909087</v>
      </c>
      <c r="F57" s="55">
        <f t="shared" si="18"/>
        <v>92377.385566735698</v>
      </c>
      <c r="G57" s="379">
        <f t="shared" si="21"/>
        <v>41083.290386484485</v>
      </c>
      <c r="H57" s="364">
        <f t="shared" si="22"/>
        <v>41083.290386484485</v>
      </c>
      <c r="I57" s="52">
        <f t="shared" si="0"/>
        <v>0</v>
      </c>
      <c r="J57" s="52"/>
      <c r="K57" s="129"/>
      <c r="L57" s="54">
        <f t="shared" si="2"/>
        <v>0</v>
      </c>
      <c r="M57" s="129"/>
      <c r="N57" s="54">
        <f t="shared" si="3"/>
        <v>0</v>
      </c>
      <c r="O57" s="54">
        <f t="shared" si="4"/>
        <v>0</v>
      </c>
      <c r="P57" s="1"/>
    </row>
    <row r="58" spans="2:16" ht="12.5">
      <c r="B58" s="7" t="str">
        <f t="shared" si="7"/>
        <v/>
      </c>
      <c r="C58" s="50">
        <f>IF(D11="","-",+C57+1)</f>
        <v>2058</v>
      </c>
      <c r="D58" s="55">
        <f>IF(F57+SUM(E$17:E57)=D$10,F57,D$10-SUM(E$17:E57))</f>
        <v>92377.385566735698</v>
      </c>
      <c r="E58" s="378">
        <f>IF(+I14&lt;F57,I14,D58)</f>
        <v>28347.536590909087</v>
      </c>
      <c r="F58" s="55">
        <f t="shared" si="18"/>
        <v>64029.848975826608</v>
      </c>
      <c r="G58" s="379">
        <f t="shared" si="21"/>
        <v>37694.99064831531</v>
      </c>
      <c r="H58" s="364">
        <f t="shared" si="22"/>
        <v>37694.99064831531</v>
      </c>
      <c r="I58" s="52">
        <f t="shared" si="0"/>
        <v>0</v>
      </c>
      <c r="J58" s="52"/>
      <c r="K58" s="129"/>
      <c r="L58" s="54">
        <f t="shared" si="2"/>
        <v>0</v>
      </c>
      <c r="M58" s="129"/>
      <c r="N58" s="54">
        <f t="shared" si="3"/>
        <v>0</v>
      </c>
      <c r="O58" s="54">
        <f t="shared" si="4"/>
        <v>0</v>
      </c>
      <c r="P58" s="1"/>
    </row>
    <row r="59" spans="2:16" ht="12.5">
      <c r="B59" s="7" t="str">
        <f t="shared" si="7"/>
        <v/>
      </c>
      <c r="C59" s="50">
        <f>IF(D11="","-",+C58+1)</f>
        <v>2059</v>
      </c>
      <c r="D59" s="55">
        <f>IF(F58+SUM(E$17:E58)=D$10,F58,D$10-SUM(E$17:E58))</f>
        <v>64029.848975826608</v>
      </c>
      <c r="E59" s="378">
        <f>IF(+I14&lt;F58,I14,D59)</f>
        <v>28347.536590909087</v>
      </c>
      <c r="F59" s="55">
        <f t="shared" si="18"/>
        <v>35682.312384917517</v>
      </c>
      <c r="G59" s="379">
        <f t="shared" si="21"/>
        <v>34306.690910146135</v>
      </c>
      <c r="H59" s="364">
        <f t="shared" si="22"/>
        <v>34306.690910146135</v>
      </c>
      <c r="I59" s="52">
        <f t="shared" si="0"/>
        <v>0</v>
      </c>
      <c r="J59" s="52"/>
      <c r="K59" s="129"/>
      <c r="L59" s="54">
        <f t="shared" si="2"/>
        <v>0</v>
      </c>
      <c r="M59" s="129"/>
      <c r="N59" s="54">
        <f t="shared" si="3"/>
        <v>0</v>
      </c>
      <c r="O59" s="54">
        <f t="shared" si="4"/>
        <v>0</v>
      </c>
      <c r="P59" s="1"/>
    </row>
    <row r="60" spans="2:16" ht="12.5">
      <c r="B60" s="7" t="str">
        <f t="shared" si="7"/>
        <v/>
      </c>
      <c r="C60" s="50">
        <f>IF(D11="","-",+C59+1)</f>
        <v>2060</v>
      </c>
      <c r="D60" s="55">
        <f>IF(F59+SUM(E$17:E59)=D$10,F59,D$10-SUM(E$17:E59))</f>
        <v>35682.312384917517</v>
      </c>
      <c r="E60" s="378">
        <f>IF(+I14&lt;F59,I14,D60)</f>
        <v>28347.536590909087</v>
      </c>
      <c r="F60" s="55">
        <f t="shared" si="18"/>
        <v>7334.7757940084302</v>
      </c>
      <c r="G60" s="379">
        <f t="shared" si="21"/>
        <v>30918.391171976953</v>
      </c>
      <c r="H60" s="364">
        <f t="shared" si="22"/>
        <v>30918.391171976953</v>
      </c>
      <c r="I60" s="52">
        <f t="shared" si="0"/>
        <v>0</v>
      </c>
      <c r="J60" s="52"/>
      <c r="K60" s="129"/>
      <c r="L60" s="54">
        <f t="shared" si="2"/>
        <v>0</v>
      </c>
      <c r="M60" s="129"/>
      <c r="N60" s="54">
        <f t="shared" si="3"/>
        <v>0</v>
      </c>
      <c r="O60" s="54">
        <f t="shared" si="4"/>
        <v>0</v>
      </c>
      <c r="P60" s="1"/>
    </row>
    <row r="61" spans="2:16" ht="12.5">
      <c r="B61" s="7" t="str">
        <f t="shared" si="7"/>
        <v/>
      </c>
      <c r="C61" s="50">
        <f>IF(D11="","-",+C60+1)</f>
        <v>2061</v>
      </c>
      <c r="D61" s="55">
        <f>IF(F60+SUM(E$17:E60)=D$10,F60,D$10-SUM(E$17:E60))</f>
        <v>7334.7757940084302</v>
      </c>
      <c r="E61" s="378">
        <f>IF(+I14&lt;F60,I14,D61)</f>
        <v>7334.7757940084302</v>
      </c>
      <c r="F61" s="55">
        <f t="shared" si="18"/>
        <v>0</v>
      </c>
      <c r="G61" s="380">
        <f t="shared" si="21"/>
        <v>7773.1281500000696</v>
      </c>
      <c r="H61" s="364">
        <f t="shared" si="22"/>
        <v>7773.1281500000696</v>
      </c>
      <c r="I61" s="52">
        <f t="shared" si="0"/>
        <v>0</v>
      </c>
      <c r="J61" s="52"/>
      <c r="K61" s="129"/>
      <c r="L61" s="54">
        <f t="shared" si="2"/>
        <v>0</v>
      </c>
      <c r="M61" s="129"/>
      <c r="N61" s="54">
        <f t="shared" si="3"/>
        <v>0</v>
      </c>
      <c r="O61" s="54">
        <f t="shared" si="4"/>
        <v>0</v>
      </c>
      <c r="P61" s="1"/>
    </row>
    <row r="62" spans="2:16" ht="12.5">
      <c r="B62" s="7" t="str">
        <f t="shared" si="7"/>
        <v/>
      </c>
      <c r="C62" s="50">
        <f>IF(D11="","-",+C61+1)</f>
        <v>2062</v>
      </c>
      <c r="D62" s="55">
        <f>IF(F61+SUM(E$17:E61)=D$10,F61,D$10-SUM(E$17:E61))</f>
        <v>0</v>
      </c>
      <c r="E62" s="378">
        <f>IF(+I14&lt;F61,I14,D62)</f>
        <v>0</v>
      </c>
      <c r="F62" s="55">
        <f t="shared" si="18"/>
        <v>0</v>
      </c>
      <c r="G62" s="380">
        <f t="shared" si="21"/>
        <v>0</v>
      </c>
      <c r="H62" s="364">
        <f t="shared" si="22"/>
        <v>0</v>
      </c>
      <c r="I62" s="52">
        <f t="shared" si="0"/>
        <v>0</v>
      </c>
      <c r="J62" s="52"/>
      <c r="K62" s="129"/>
      <c r="L62" s="54">
        <f t="shared" si="2"/>
        <v>0</v>
      </c>
      <c r="M62" s="129"/>
      <c r="N62" s="54">
        <f t="shared" si="3"/>
        <v>0</v>
      </c>
      <c r="O62" s="54">
        <f t="shared" si="4"/>
        <v>0</v>
      </c>
      <c r="P62" s="1"/>
    </row>
    <row r="63" spans="2:16" ht="12.5">
      <c r="B63" s="7" t="str">
        <f t="shared" si="7"/>
        <v/>
      </c>
      <c r="C63" s="50">
        <f>IF(D11="","-",+C62+1)</f>
        <v>2063</v>
      </c>
      <c r="D63" s="55">
        <f>IF(F62+SUM(E$17:E62)=D$10,F62,D$10-SUM(E$17:E62))</f>
        <v>0</v>
      </c>
      <c r="E63" s="378">
        <f>IF(+I14&lt;F62,I14,D63)</f>
        <v>0</v>
      </c>
      <c r="F63" s="55">
        <f t="shared" si="18"/>
        <v>0</v>
      </c>
      <c r="G63" s="380">
        <f t="shared" si="21"/>
        <v>0</v>
      </c>
      <c r="H63" s="364">
        <f t="shared" si="22"/>
        <v>0</v>
      </c>
      <c r="I63" s="52">
        <f t="shared" si="0"/>
        <v>0</v>
      </c>
      <c r="J63" s="52"/>
      <c r="K63" s="129"/>
      <c r="L63" s="54">
        <f t="shared" si="2"/>
        <v>0</v>
      </c>
      <c r="M63" s="129"/>
      <c r="N63" s="54">
        <f t="shared" si="3"/>
        <v>0</v>
      </c>
      <c r="O63" s="54">
        <f t="shared" si="4"/>
        <v>0</v>
      </c>
      <c r="P63" s="1"/>
    </row>
    <row r="64" spans="2:16" ht="12.5">
      <c r="B64" s="7" t="str">
        <f t="shared" si="7"/>
        <v/>
      </c>
      <c r="C64" s="50">
        <f>IF(D11="","-",+C63+1)</f>
        <v>2064</v>
      </c>
      <c r="D64" s="55">
        <f>IF(F63+SUM(E$17:E63)=D$10,F63,D$10-SUM(E$17:E63))</f>
        <v>0</v>
      </c>
      <c r="E64" s="378">
        <f>IF(+I14&lt;F63,I14,D64)</f>
        <v>0</v>
      </c>
      <c r="F64" s="55">
        <f t="shared" si="18"/>
        <v>0</v>
      </c>
      <c r="G64" s="380">
        <f t="shared" si="21"/>
        <v>0</v>
      </c>
      <c r="H64" s="364">
        <f t="shared" si="22"/>
        <v>0</v>
      </c>
      <c r="I64" s="52">
        <f t="shared" si="0"/>
        <v>0</v>
      </c>
      <c r="J64" s="52"/>
      <c r="K64" s="129"/>
      <c r="L64" s="54">
        <f t="shared" si="2"/>
        <v>0</v>
      </c>
      <c r="M64" s="129"/>
      <c r="N64" s="54">
        <f t="shared" si="3"/>
        <v>0</v>
      </c>
      <c r="O64" s="54">
        <f t="shared" si="4"/>
        <v>0</v>
      </c>
      <c r="P64" s="1"/>
    </row>
    <row r="65" spans="2:16" ht="12.5">
      <c r="B65" s="7" t="str">
        <f t="shared" si="7"/>
        <v/>
      </c>
      <c r="C65" s="50">
        <f>IF(D11="","-",+C64+1)</f>
        <v>2065</v>
      </c>
      <c r="D65" s="55">
        <f>IF(F64+SUM(E$17:E64)=D$10,F64,D$10-SUM(E$17:E64))</f>
        <v>0</v>
      </c>
      <c r="E65" s="378">
        <f>IF(+I14&lt;F64,I14,D65)</f>
        <v>0</v>
      </c>
      <c r="F65" s="55">
        <f t="shared" si="18"/>
        <v>0</v>
      </c>
      <c r="G65" s="380">
        <f t="shared" si="21"/>
        <v>0</v>
      </c>
      <c r="H65" s="364">
        <f t="shared" si="22"/>
        <v>0</v>
      </c>
      <c r="I65" s="52">
        <f t="shared" si="0"/>
        <v>0</v>
      </c>
      <c r="J65" s="52"/>
      <c r="K65" s="129"/>
      <c r="L65" s="54">
        <f t="shared" si="2"/>
        <v>0</v>
      </c>
      <c r="M65" s="129"/>
      <c r="N65" s="54">
        <f t="shared" si="3"/>
        <v>0</v>
      </c>
      <c r="O65" s="54">
        <f t="shared" si="4"/>
        <v>0</v>
      </c>
      <c r="P65" s="1"/>
    </row>
    <row r="66" spans="2:16" ht="12.5">
      <c r="B66" s="7" t="str">
        <f t="shared" si="7"/>
        <v/>
      </c>
      <c r="C66" s="50">
        <f>IF(D11="","-",+C65+1)</f>
        <v>2066</v>
      </c>
      <c r="D66" s="55">
        <f>IF(F65+SUM(E$17:E65)=D$10,F65,D$10-SUM(E$17:E65))</f>
        <v>0</v>
      </c>
      <c r="E66" s="378">
        <f>IF(+I14&lt;F65,I14,D66)</f>
        <v>0</v>
      </c>
      <c r="F66" s="55">
        <f t="shared" si="18"/>
        <v>0</v>
      </c>
      <c r="G66" s="380">
        <f t="shared" si="21"/>
        <v>0</v>
      </c>
      <c r="H66" s="364">
        <f t="shared" si="22"/>
        <v>0</v>
      </c>
      <c r="I66" s="52">
        <f t="shared" si="0"/>
        <v>0</v>
      </c>
      <c r="J66" s="52"/>
      <c r="K66" s="129"/>
      <c r="L66" s="54">
        <f t="shared" si="2"/>
        <v>0</v>
      </c>
      <c r="M66" s="129"/>
      <c r="N66" s="54">
        <f t="shared" si="3"/>
        <v>0</v>
      </c>
      <c r="O66" s="54">
        <f t="shared" si="4"/>
        <v>0</v>
      </c>
      <c r="P66" s="1"/>
    </row>
    <row r="67" spans="2:16" ht="12.5">
      <c r="B67" s="7" t="str">
        <f t="shared" si="7"/>
        <v/>
      </c>
      <c r="C67" s="50">
        <f>IF(D11="","-",+C66+1)</f>
        <v>2067</v>
      </c>
      <c r="D67" s="55">
        <f>IF(F66+SUM(E$17:E66)=D$10,F66,D$10-SUM(E$17:E66))</f>
        <v>0</v>
      </c>
      <c r="E67" s="378">
        <f>IF(+I14&lt;F66,I14,D67)</f>
        <v>0</v>
      </c>
      <c r="F67" s="55">
        <f t="shared" si="18"/>
        <v>0</v>
      </c>
      <c r="G67" s="380">
        <f t="shared" si="21"/>
        <v>0</v>
      </c>
      <c r="H67" s="364">
        <f t="shared" si="22"/>
        <v>0</v>
      </c>
      <c r="I67" s="52">
        <f t="shared" si="0"/>
        <v>0</v>
      </c>
      <c r="J67" s="52"/>
      <c r="K67" s="129"/>
      <c r="L67" s="54">
        <f t="shared" si="2"/>
        <v>0</v>
      </c>
      <c r="M67" s="129"/>
      <c r="N67" s="54">
        <f t="shared" si="3"/>
        <v>0</v>
      </c>
      <c r="O67" s="54">
        <f t="shared" si="4"/>
        <v>0</v>
      </c>
      <c r="P67" s="1"/>
    </row>
    <row r="68" spans="2:16" ht="12.5">
      <c r="B68" s="7" t="str">
        <f t="shared" si="7"/>
        <v/>
      </c>
      <c r="C68" s="50">
        <f>IF(D11="","-",+C67+1)</f>
        <v>2068</v>
      </c>
      <c r="D68" s="55">
        <f>IF(F67+SUM(E$17:E67)=D$10,F67,D$10-SUM(E$17:E67))</f>
        <v>0</v>
      </c>
      <c r="E68" s="378">
        <f>IF(+I14&lt;F67,I14,D68)</f>
        <v>0</v>
      </c>
      <c r="F68" s="55">
        <f t="shared" si="18"/>
        <v>0</v>
      </c>
      <c r="G68" s="380">
        <f t="shared" si="21"/>
        <v>0</v>
      </c>
      <c r="H68" s="364">
        <f t="shared" si="22"/>
        <v>0</v>
      </c>
      <c r="I68" s="52">
        <f t="shared" si="0"/>
        <v>0</v>
      </c>
      <c r="J68" s="52"/>
      <c r="K68" s="129"/>
      <c r="L68" s="54">
        <f t="shared" si="2"/>
        <v>0</v>
      </c>
      <c r="M68" s="129"/>
      <c r="N68" s="54">
        <f t="shared" si="3"/>
        <v>0</v>
      </c>
      <c r="O68" s="54">
        <f t="shared" si="4"/>
        <v>0</v>
      </c>
      <c r="P68" s="1"/>
    </row>
    <row r="69" spans="2:16" ht="12.5">
      <c r="B69" s="7" t="str">
        <f t="shared" si="7"/>
        <v/>
      </c>
      <c r="C69" s="50">
        <f>IF(D11="","-",+C68+1)</f>
        <v>2069</v>
      </c>
      <c r="D69" s="55">
        <f>IF(F68+SUM(E$17:E68)=D$10,F68,D$10-SUM(E$17:E68))</f>
        <v>0</v>
      </c>
      <c r="E69" s="378">
        <f>IF(+I14&lt;F68,I14,D69)</f>
        <v>0</v>
      </c>
      <c r="F69" s="55">
        <f t="shared" si="18"/>
        <v>0</v>
      </c>
      <c r="G69" s="380">
        <f t="shared" si="21"/>
        <v>0</v>
      </c>
      <c r="H69" s="364">
        <f t="shared" si="22"/>
        <v>0</v>
      </c>
      <c r="I69" s="52">
        <f t="shared" si="0"/>
        <v>0</v>
      </c>
      <c r="J69" s="52"/>
      <c r="K69" s="129"/>
      <c r="L69" s="54">
        <f t="shared" si="2"/>
        <v>0</v>
      </c>
      <c r="M69" s="129"/>
      <c r="N69" s="54">
        <f t="shared" si="3"/>
        <v>0</v>
      </c>
      <c r="O69" s="54">
        <f t="shared" si="4"/>
        <v>0</v>
      </c>
      <c r="P69" s="1"/>
    </row>
    <row r="70" spans="2:16" ht="12.5">
      <c r="B70" s="7" t="str">
        <f t="shared" si="7"/>
        <v/>
      </c>
      <c r="C70" s="50">
        <f>IF(D11="","-",+C69+1)</f>
        <v>2070</v>
      </c>
      <c r="D70" s="55">
        <f>IF(F69+SUM(E$17:E69)=D$10,F69,D$10-SUM(E$17:E69))</f>
        <v>0</v>
      </c>
      <c r="E70" s="378">
        <f>IF(+I14&lt;F69,I14,D70)</f>
        <v>0</v>
      </c>
      <c r="F70" s="55">
        <f t="shared" si="18"/>
        <v>0</v>
      </c>
      <c r="G70" s="380">
        <f t="shared" si="21"/>
        <v>0</v>
      </c>
      <c r="H70" s="364">
        <f t="shared" si="22"/>
        <v>0</v>
      </c>
      <c r="I70" s="52">
        <f t="shared" si="0"/>
        <v>0</v>
      </c>
      <c r="J70" s="52"/>
      <c r="K70" s="129"/>
      <c r="L70" s="54">
        <f t="shared" si="2"/>
        <v>0</v>
      </c>
      <c r="M70" s="129"/>
      <c r="N70" s="54">
        <f t="shared" si="3"/>
        <v>0</v>
      </c>
      <c r="O70" s="54">
        <f t="shared" si="4"/>
        <v>0</v>
      </c>
      <c r="P70" s="1"/>
    </row>
    <row r="71" spans="2:16" ht="12.5">
      <c r="B71" s="7" t="str">
        <f t="shared" si="7"/>
        <v/>
      </c>
      <c r="C71" s="50">
        <f>IF(D11="","-",+C70+1)</f>
        <v>2071</v>
      </c>
      <c r="D71" s="55">
        <f>IF(F70+SUM(E$17:E70)=D$10,F70,D$10-SUM(E$17:E70))</f>
        <v>0</v>
      </c>
      <c r="E71" s="378">
        <f>IF(+I14&lt;F70,I14,D71)</f>
        <v>0</v>
      </c>
      <c r="F71" s="55">
        <f t="shared" si="18"/>
        <v>0</v>
      </c>
      <c r="G71" s="380">
        <f t="shared" si="21"/>
        <v>0</v>
      </c>
      <c r="H71" s="364">
        <f t="shared" si="22"/>
        <v>0</v>
      </c>
      <c r="I71" s="52">
        <f t="shared" si="0"/>
        <v>0</v>
      </c>
      <c r="J71" s="52"/>
      <c r="K71" s="129"/>
      <c r="L71" s="54">
        <f t="shared" si="2"/>
        <v>0</v>
      </c>
      <c r="M71" s="129"/>
      <c r="N71" s="54">
        <f t="shared" si="3"/>
        <v>0</v>
      </c>
      <c r="O71" s="54">
        <f t="shared" si="4"/>
        <v>0</v>
      </c>
      <c r="P71" s="1"/>
    </row>
    <row r="72" spans="2:16" ht="13" thickBot="1">
      <c r="B72" s="7" t="str">
        <f t="shared" si="7"/>
        <v/>
      </c>
      <c r="C72" s="59">
        <f>IF(D11="","-",+C71+1)</f>
        <v>2072</v>
      </c>
      <c r="D72" s="60">
        <f>IF(F71+SUM(E$17:E71)=D$10,F71,D$10-SUM(E$17:E71))</f>
        <v>0</v>
      </c>
      <c r="E72" s="381">
        <f>IF(+I14&lt;F71,I14,D72)</f>
        <v>0</v>
      </c>
      <c r="F72" s="60">
        <f t="shared" si="18"/>
        <v>0</v>
      </c>
      <c r="G72" s="382">
        <f t="shared" si="21"/>
        <v>0</v>
      </c>
      <c r="H72" s="362">
        <f t="shared" si="22"/>
        <v>0</v>
      </c>
      <c r="I72" s="63">
        <f t="shared" si="0"/>
        <v>0</v>
      </c>
      <c r="J72" s="52"/>
      <c r="K72" s="130"/>
      <c r="L72" s="64">
        <f t="shared" si="2"/>
        <v>0</v>
      </c>
      <c r="M72" s="130"/>
      <c r="N72" s="64">
        <f t="shared" si="3"/>
        <v>0</v>
      </c>
      <c r="O72" s="64">
        <f t="shared" si="4"/>
        <v>0</v>
      </c>
      <c r="P72" s="1"/>
    </row>
    <row r="73" spans="2:16" ht="12.5">
      <c r="C73" s="12" t="s">
        <v>78</v>
      </c>
      <c r="D73" s="293"/>
      <c r="E73" s="293">
        <f>SUM(E17:E72)</f>
        <v>1247291.6100000001</v>
      </c>
      <c r="F73" s="293"/>
      <c r="G73" s="293">
        <f>SUM(G17:G72)</f>
        <v>4460182.9514046777</v>
      </c>
      <c r="H73" s="293">
        <f>SUM(H17:H72)</f>
        <v>4460182.9514046777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 ht="13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62 of 77</v>
      </c>
    </row>
    <row r="84" spans="1:16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152897.18174606739</v>
      </c>
      <c r="N87" s="387">
        <f>IF(J92&lt;D11,0,VLOOKUP(J92,C17:O72,11))</f>
        <v>152897.18174606739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158034.00889636643</v>
      </c>
      <c r="N88" s="390">
        <f>IF(J92&lt;D11,0,VLOOKUP(J92,C99:P154,7))</f>
        <v>158034.00889636643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Letourneau 69 kV Capacitor Bank Addition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5136.8271502990392</v>
      </c>
      <c r="N89" s="392">
        <f>+N88-N87</f>
        <v>5136.8271502990392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TP2015106</v>
      </c>
      <c r="E91" s="76" t="str">
        <f>E9</f>
        <v xml:space="preserve">  SPP Project ID = 30598</v>
      </c>
      <c r="F91" s="76"/>
      <c r="G91" s="76"/>
      <c r="H91" s="76"/>
      <c r="I91" s="76"/>
      <c r="J91" s="76"/>
    </row>
    <row r="92" spans="1:16" ht="13">
      <c r="C92" s="34" t="s">
        <v>51</v>
      </c>
      <c r="D92" s="394">
        <f>D10</f>
        <v>1247291.6099999999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</row>
    <row r="93" spans="1:16" ht="12.5">
      <c r="C93" s="34" t="s">
        <v>54</v>
      </c>
      <c r="D93" s="88">
        <f>IF(D11=I10,"",D11)</f>
        <v>2017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4">
        <f>IF(D11=I10,"",D12)</f>
        <v>6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28347.536590909087</v>
      </c>
      <c r="K96" s="293"/>
      <c r="L96" s="293"/>
      <c r="M96" s="293"/>
      <c r="N96" s="293"/>
      <c r="O96" s="293"/>
      <c r="P96" s="1"/>
    </row>
    <row r="97" spans="1:16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5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 ht="12.5">
      <c r="C99" s="50">
        <f>IF(D93= "","-",D93)</f>
        <v>2017</v>
      </c>
      <c r="D99" s="145">
        <v>0</v>
      </c>
      <c r="E99" s="446">
        <v>14811.392857142857</v>
      </c>
      <c r="F99" s="147">
        <v>1229345.607142857</v>
      </c>
      <c r="G99" s="447">
        <v>614672.80357142852</v>
      </c>
      <c r="H99" s="448">
        <v>89476.594305664243</v>
      </c>
      <c r="I99" s="449">
        <v>89476.594305664243</v>
      </c>
      <c r="J99" s="54">
        <f t="shared" ref="J99:J130" si="23">+I99-H99</f>
        <v>0</v>
      </c>
      <c r="K99" s="54"/>
      <c r="L99" s="112">
        <f t="shared" ref="L99:L104" si="24">+H99</f>
        <v>89476.594305664243</v>
      </c>
      <c r="M99" s="53">
        <f t="shared" ref="M99:M130" si="25">IF(L99&lt;&gt;0,+H99-L99,0)</f>
        <v>0</v>
      </c>
      <c r="N99" s="112">
        <f t="shared" ref="N99:N104" si="26">+I99</f>
        <v>89476.594305664243</v>
      </c>
      <c r="O99" s="53">
        <f t="shared" ref="O99:O130" si="27">IF(N99&lt;&gt;0,+I99-N99,0)</f>
        <v>0</v>
      </c>
      <c r="P99" s="53">
        <f t="shared" ref="P99:P130" si="28">+O99-M99</f>
        <v>0</v>
      </c>
    </row>
    <row r="100" spans="1:16" ht="12.5">
      <c r="B100" s="7" t="str">
        <f>IF(D100=F99,"","IU")</f>
        <v>IU</v>
      </c>
      <c r="C100" s="50">
        <f>IF(D93="","-",+C99+1)</f>
        <v>2018</v>
      </c>
      <c r="D100" s="429">
        <v>1232480.607142857</v>
      </c>
      <c r="E100" s="430">
        <v>29697.428571428572</v>
      </c>
      <c r="F100" s="431">
        <v>1202783.1785714284</v>
      </c>
      <c r="G100" s="431">
        <v>1217631.8928571427</v>
      </c>
      <c r="H100" s="433">
        <v>158284.94029757322</v>
      </c>
      <c r="I100" s="434">
        <v>158284.94029757322</v>
      </c>
      <c r="J100" s="54">
        <f t="shared" si="23"/>
        <v>0</v>
      </c>
      <c r="K100" s="54"/>
      <c r="L100" s="450">
        <f t="shared" si="24"/>
        <v>158284.94029757322</v>
      </c>
      <c r="M100" s="54">
        <f t="shared" si="25"/>
        <v>0</v>
      </c>
      <c r="N100" s="450">
        <f t="shared" si="26"/>
        <v>158284.94029757322</v>
      </c>
      <c r="O100" s="54">
        <f t="shared" si="27"/>
        <v>0</v>
      </c>
      <c r="P100" s="54">
        <f t="shared" si="28"/>
        <v>0</v>
      </c>
    </row>
    <row r="101" spans="1:16" ht="12.5">
      <c r="B101" s="7" t="str">
        <f t="shared" ref="B101:B154" si="29">IF(D101=F100,"","IU")</f>
        <v/>
      </c>
      <c r="C101" s="50">
        <f>IF(D93="","-",+C100+1)</f>
        <v>2019</v>
      </c>
      <c r="D101" s="429">
        <v>1202783.1785714284</v>
      </c>
      <c r="E101" s="430">
        <v>29006.79069767442</v>
      </c>
      <c r="F101" s="431">
        <v>1173776.3878737539</v>
      </c>
      <c r="G101" s="431">
        <v>1188279.783222591</v>
      </c>
      <c r="H101" s="433">
        <v>156200.90813870312</v>
      </c>
      <c r="I101" s="434">
        <v>156200.90813870312</v>
      </c>
      <c r="J101" s="54">
        <f t="shared" si="23"/>
        <v>0</v>
      </c>
      <c r="K101" s="54"/>
      <c r="L101" s="450">
        <f t="shared" si="24"/>
        <v>156200.90813870312</v>
      </c>
      <c r="M101" s="54">
        <f t="shared" ref="M101" si="30">IF(L101&lt;&gt;0,+H101-L101,0)</f>
        <v>0</v>
      </c>
      <c r="N101" s="450">
        <f t="shared" si="26"/>
        <v>156200.90813870312</v>
      </c>
      <c r="O101" s="54">
        <f t="shared" si="27"/>
        <v>0</v>
      </c>
      <c r="P101" s="54">
        <f t="shared" si="28"/>
        <v>0</v>
      </c>
    </row>
    <row r="102" spans="1:16" ht="12.5">
      <c r="B102" s="7" t="str">
        <f t="shared" si="29"/>
        <v/>
      </c>
      <c r="C102" s="50">
        <f>IF(D93="","-",+C101+1)</f>
        <v>2020</v>
      </c>
      <c r="D102" s="429">
        <v>1173776.3878737539</v>
      </c>
      <c r="E102" s="430">
        <v>29697.428571428572</v>
      </c>
      <c r="F102" s="431">
        <v>1144078.9593023253</v>
      </c>
      <c r="G102" s="431">
        <v>1158927.6735880396</v>
      </c>
      <c r="H102" s="433">
        <v>154367.72001045776</v>
      </c>
      <c r="I102" s="434">
        <v>154367.72001045776</v>
      </c>
      <c r="J102" s="54">
        <f t="shared" si="23"/>
        <v>0</v>
      </c>
      <c r="K102" s="54"/>
      <c r="L102" s="450">
        <f t="shared" si="24"/>
        <v>154367.72001045776</v>
      </c>
      <c r="M102" s="54">
        <f t="shared" ref="M102" si="31">IF(L102&lt;&gt;0,+H102-L102,0)</f>
        <v>0</v>
      </c>
      <c r="N102" s="450">
        <f t="shared" si="26"/>
        <v>154367.72001045776</v>
      </c>
      <c r="O102" s="54">
        <f t="shared" si="27"/>
        <v>0</v>
      </c>
      <c r="P102" s="54">
        <f t="shared" si="28"/>
        <v>0</v>
      </c>
    </row>
    <row r="103" spans="1:16" ht="12.5">
      <c r="B103" s="7" t="str">
        <f t="shared" si="29"/>
        <v/>
      </c>
      <c r="C103" s="50">
        <f>IF(D93="","-",+C102+1)</f>
        <v>2021</v>
      </c>
      <c r="D103" s="429">
        <v>1144078.9593023253</v>
      </c>
      <c r="E103" s="430">
        <v>30421.756097560974</v>
      </c>
      <c r="F103" s="431">
        <v>1113657.2032047643</v>
      </c>
      <c r="G103" s="431">
        <v>1128868.0812535449</v>
      </c>
      <c r="H103" s="433">
        <v>158564.34301687434</v>
      </c>
      <c r="I103" s="434">
        <v>158564.34301687434</v>
      </c>
      <c r="J103" s="54">
        <f t="shared" si="23"/>
        <v>0</v>
      </c>
      <c r="K103" s="54"/>
      <c r="L103" s="450">
        <f t="shared" si="24"/>
        <v>158564.34301687434</v>
      </c>
      <c r="M103" s="54">
        <f t="shared" ref="M103" si="32">IF(L103&lt;&gt;0,+H103-L103,0)</f>
        <v>0</v>
      </c>
      <c r="N103" s="450">
        <f t="shared" si="26"/>
        <v>158564.34301687434</v>
      </c>
      <c r="O103" s="54">
        <f t="shared" si="27"/>
        <v>0</v>
      </c>
      <c r="P103" s="54">
        <f t="shared" si="28"/>
        <v>0</v>
      </c>
    </row>
    <row r="104" spans="1:16" ht="12.5">
      <c r="B104" s="7" t="str">
        <f t="shared" si="29"/>
        <v/>
      </c>
      <c r="C104" s="50">
        <f>IF(D93="","-",+C103+1)</f>
        <v>2022</v>
      </c>
      <c r="D104" s="429">
        <v>1113657.2032047643</v>
      </c>
      <c r="E104" s="430">
        <v>29697.428571428572</v>
      </c>
      <c r="F104" s="431">
        <v>1083959.7746333356</v>
      </c>
      <c r="G104" s="431">
        <v>1098808.48891905</v>
      </c>
      <c r="H104" s="433">
        <v>158761.1035965512</v>
      </c>
      <c r="I104" s="434">
        <v>158761.1035965512</v>
      </c>
      <c r="J104" s="54">
        <f t="shared" si="23"/>
        <v>0</v>
      </c>
      <c r="K104" s="54"/>
      <c r="L104" s="450">
        <f t="shared" si="24"/>
        <v>158761.1035965512</v>
      </c>
      <c r="M104" s="54">
        <f t="shared" ref="M104" si="33">IF(L104&lt;&gt;0,+H104-L104,0)</f>
        <v>0</v>
      </c>
      <c r="N104" s="450">
        <f t="shared" si="26"/>
        <v>158761.1035965512</v>
      </c>
      <c r="O104" s="54">
        <f t="shared" ref="O104" si="34">IF(N104&lt;&gt;0,+I104-N104,0)</f>
        <v>0</v>
      </c>
      <c r="P104" s="54">
        <f t="shared" ref="P104" si="35">+O104-M104</f>
        <v>0</v>
      </c>
    </row>
    <row r="105" spans="1:16" ht="12.5">
      <c r="B105" s="7" t="str">
        <f t="shared" si="29"/>
        <v>IU</v>
      </c>
      <c r="C105" s="50">
        <f>IF(D93="","-",+C104+1)</f>
        <v>2023</v>
      </c>
      <c r="D105" s="429">
        <v>1083959.384633336</v>
      </c>
      <c r="E105" s="430">
        <v>28347.536590909087</v>
      </c>
      <c r="F105" s="431">
        <v>1055611.8480424269</v>
      </c>
      <c r="G105" s="431">
        <v>1069785.6163378814</v>
      </c>
      <c r="H105" s="433">
        <v>160321.6992885223</v>
      </c>
      <c r="I105" s="434">
        <v>160321.6992885223</v>
      </c>
      <c r="J105" s="54">
        <f t="shared" si="23"/>
        <v>0</v>
      </c>
      <c r="K105" s="54"/>
      <c r="L105" s="450">
        <f t="shared" ref="L105" si="36">+H105</f>
        <v>160321.6992885223</v>
      </c>
      <c r="M105" s="54">
        <f t="shared" ref="M105" si="37">IF(L105&lt;&gt;0,+H105-L105,0)</f>
        <v>0</v>
      </c>
      <c r="N105" s="450">
        <f t="shared" ref="N105" si="38">+I105</f>
        <v>160321.6992885223</v>
      </c>
      <c r="O105" s="54">
        <f t="shared" ref="O105" si="39">IF(N105&lt;&gt;0,+I105-N105,0)</f>
        <v>0</v>
      </c>
      <c r="P105" s="54">
        <f t="shared" ref="P105" si="40">+O105-M105</f>
        <v>0</v>
      </c>
    </row>
    <row r="106" spans="1:16" ht="12.5">
      <c r="B106" s="7" t="str">
        <f t="shared" si="29"/>
        <v/>
      </c>
      <c r="C106" s="50">
        <f>IF(D93="","-",+C105+1)</f>
        <v>2024</v>
      </c>
      <c r="D106" s="12">
        <f>IF(F105+SUM(E$99:E105)=D$92,F105,D$92-SUM(E$99:E105))</f>
        <v>1055611.8480424269</v>
      </c>
      <c r="E106" s="378">
        <f>IF(+J96&lt;F105,J96,D106)</f>
        <v>28347.536590909087</v>
      </c>
      <c r="F106" s="55">
        <f t="shared" ref="F106:F130" si="41">+D106-E106</f>
        <v>1027264.3114515177</v>
      </c>
      <c r="G106" s="55">
        <f t="shared" ref="G106:G130" si="42">+(F106+D106)/2</f>
        <v>1041438.0797469723</v>
      </c>
      <c r="H106" s="380">
        <f t="shared" ref="H106:H154" si="43">+J$94*G106+E106</f>
        <v>158034.00889636643</v>
      </c>
      <c r="I106" s="399">
        <f t="shared" ref="I106:I154" si="44">+J$95*G106+E106</f>
        <v>158034.00889636643</v>
      </c>
      <c r="J106" s="54">
        <f t="shared" si="23"/>
        <v>0</v>
      </c>
      <c r="K106" s="54"/>
      <c r="L106" s="129"/>
      <c r="M106" s="54">
        <f t="shared" si="25"/>
        <v>0</v>
      </c>
      <c r="N106" s="129"/>
      <c r="O106" s="54">
        <f t="shared" si="27"/>
        <v>0</v>
      </c>
      <c r="P106" s="54">
        <f t="shared" si="28"/>
        <v>0</v>
      </c>
    </row>
    <row r="107" spans="1:16" ht="12.5">
      <c r="B107" s="7" t="str">
        <f t="shared" si="29"/>
        <v/>
      </c>
      <c r="C107" s="50">
        <f>IF(D93="","-",+C106+1)</f>
        <v>2025</v>
      </c>
      <c r="D107" s="12">
        <f>IF(F106+SUM(E$99:E106)=D$92,F106,D$92-SUM(E$99:E106))</f>
        <v>1027264.3114515177</v>
      </c>
      <c r="E107" s="378">
        <f>IF(+J96&lt;F106,J96,D107)</f>
        <v>28347.536590909087</v>
      </c>
      <c r="F107" s="55">
        <f t="shared" si="41"/>
        <v>998916.77486060862</v>
      </c>
      <c r="G107" s="55">
        <f t="shared" si="42"/>
        <v>1013090.5431560632</v>
      </c>
      <c r="H107" s="380">
        <f t="shared" si="43"/>
        <v>154503.99391946249</v>
      </c>
      <c r="I107" s="399">
        <f t="shared" si="44"/>
        <v>154503.99391946249</v>
      </c>
      <c r="J107" s="54">
        <f t="shared" si="23"/>
        <v>0</v>
      </c>
      <c r="K107" s="54"/>
      <c r="L107" s="129"/>
      <c r="M107" s="54">
        <f t="shared" si="25"/>
        <v>0</v>
      </c>
      <c r="N107" s="129"/>
      <c r="O107" s="54">
        <f t="shared" si="27"/>
        <v>0</v>
      </c>
      <c r="P107" s="54">
        <f t="shared" si="28"/>
        <v>0</v>
      </c>
    </row>
    <row r="108" spans="1:16" ht="12.5">
      <c r="B108" s="7" t="str">
        <f t="shared" si="29"/>
        <v/>
      </c>
      <c r="C108" s="50">
        <f>IF(D93="","-",+C107+1)</f>
        <v>2026</v>
      </c>
      <c r="D108" s="12">
        <f>IF(F107+SUM(E$99:E107)=D$92,F107,D$92-SUM(E$99:E107))</f>
        <v>998916.77486060862</v>
      </c>
      <c r="E108" s="378">
        <f>IF(+J96&lt;F107,J96,D108)</f>
        <v>28347.536590909087</v>
      </c>
      <c r="F108" s="55">
        <f t="shared" si="41"/>
        <v>970569.2382696995</v>
      </c>
      <c r="G108" s="55">
        <f t="shared" si="42"/>
        <v>984743.00656515406</v>
      </c>
      <c r="H108" s="380">
        <f t="shared" si="43"/>
        <v>150973.97894255858</v>
      </c>
      <c r="I108" s="399">
        <f t="shared" si="44"/>
        <v>150973.97894255858</v>
      </c>
      <c r="J108" s="54">
        <f t="shared" si="23"/>
        <v>0</v>
      </c>
      <c r="K108" s="54"/>
      <c r="L108" s="129"/>
      <c r="M108" s="54">
        <f t="shared" si="25"/>
        <v>0</v>
      </c>
      <c r="N108" s="129"/>
      <c r="O108" s="54">
        <f t="shared" si="27"/>
        <v>0</v>
      </c>
      <c r="P108" s="54">
        <f t="shared" si="28"/>
        <v>0</v>
      </c>
    </row>
    <row r="109" spans="1:16" ht="12.5">
      <c r="B109" s="7" t="str">
        <f t="shared" si="29"/>
        <v/>
      </c>
      <c r="C109" s="50">
        <f>IF(D93="","-",+C108+1)</f>
        <v>2027</v>
      </c>
      <c r="D109" s="12">
        <f>IF(F108+SUM(E$99:E108)=D$92,F108,D$92-SUM(E$99:E108))</f>
        <v>970569.2382696995</v>
      </c>
      <c r="E109" s="378">
        <f>IF(+J96&lt;F108,J96,D109)</f>
        <v>28347.536590909087</v>
      </c>
      <c r="F109" s="55">
        <f t="shared" si="41"/>
        <v>942221.70167879038</v>
      </c>
      <c r="G109" s="55">
        <f t="shared" si="42"/>
        <v>956395.46997424494</v>
      </c>
      <c r="H109" s="380">
        <f t="shared" si="43"/>
        <v>147443.96396565466</v>
      </c>
      <c r="I109" s="399">
        <f t="shared" si="44"/>
        <v>147443.96396565466</v>
      </c>
      <c r="J109" s="54">
        <f t="shared" si="23"/>
        <v>0</v>
      </c>
      <c r="K109" s="54"/>
      <c r="L109" s="129"/>
      <c r="M109" s="54">
        <f t="shared" si="25"/>
        <v>0</v>
      </c>
      <c r="N109" s="129"/>
      <c r="O109" s="54">
        <f t="shared" si="27"/>
        <v>0</v>
      </c>
      <c r="P109" s="54">
        <f t="shared" si="28"/>
        <v>0</v>
      </c>
    </row>
    <row r="110" spans="1:16" ht="12.5">
      <c r="B110" s="7" t="str">
        <f t="shared" si="29"/>
        <v/>
      </c>
      <c r="C110" s="50">
        <f>IF(D93="","-",+C109+1)</f>
        <v>2028</v>
      </c>
      <c r="D110" s="12">
        <f>IF(F109+SUM(E$99:E109)=D$92,F109,D$92-SUM(E$99:E109))</f>
        <v>942221.70167879038</v>
      </c>
      <c r="E110" s="378">
        <f>IF(+J96&lt;F109,J96,D110)</f>
        <v>28347.536590909087</v>
      </c>
      <c r="F110" s="55">
        <f t="shared" si="41"/>
        <v>913874.16508788127</v>
      </c>
      <c r="G110" s="55">
        <f t="shared" si="42"/>
        <v>928047.93338333583</v>
      </c>
      <c r="H110" s="380">
        <f t="shared" si="43"/>
        <v>143913.94898875072</v>
      </c>
      <c r="I110" s="399">
        <f t="shared" si="44"/>
        <v>143913.94898875072</v>
      </c>
      <c r="J110" s="54">
        <f t="shared" si="23"/>
        <v>0</v>
      </c>
      <c r="K110" s="54"/>
      <c r="L110" s="129"/>
      <c r="M110" s="54">
        <f t="shared" si="25"/>
        <v>0</v>
      </c>
      <c r="N110" s="129"/>
      <c r="O110" s="54">
        <f t="shared" si="27"/>
        <v>0</v>
      </c>
      <c r="P110" s="54">
        <f t="shared" si="28"/>
        <v>0</v>
      </c>
    </row>
    <row r="111" spans="1:16" ht="12.5">
      <c r="B111" s="7" t="str">
        <f t="shared" si="29"/>
        <v/>
      </c>
      <c r="C111" s="50">
        <f>IF(D93="","-",+C110+1)</f>
        <v>2029</v>
      </c>
      <c r="D111" s="12">
        <f>IF(F110+SUM(E$99:E110)=D$92,F110,D$92-SUM(E$99:E110))</f>
        <v>913874.16508788127</v>
      </c>
      <c r="E111" s="378">
        <f>IF(+J96&lt;F110,J96,D111)</f>
        <v>28347.536590909087</v>
      </c>
      <c r="F111" s="55">
        <f t="shared" si="41"/>
        <v>885526.62849697215</v>
      </c>
      <c r="G111" s="55">
        <f t="shared" si="42"/>
        <v>899700.39679242671</v>
      </c>
      <c r="H111" s="380">
        <f t="shared" si="43"/>
        <v>140383.93401184681</v>
      </c>
      <c r="I111" s="399">
        <f t="shared" si="44"/>
        <v>140383.93401184681</v>
      </c>
      <c r="J111" s="54">
        <f t="shared" si="23"/>
        <v>0</v>
      </c>
      <c r="K111" s="54"/>
      <c r="L111" s="129"/>
      <c r="M111" s="54">
        <f t="shared" si="25"/>
        <v>0</v>
      </c>
      <c r="N111" s="129"/>
      <c r="O111" s="54">
        <f t="shared" si="27"/>
        <v>0</v>
      </c>
      <c r="P111" s="54">
        <f t="shared" si="28"/>
        <v>0</v>
      </c>
    </row>
    <row r="112" spans="1:16" ht="12.5">
      <c r="B112" s="7" t="str">
        <f t="shared" si="29"/>
        <v/>
      </c>
      <c r="C112" s="50">
        <f>IF(D93="","-",+C111+1)</f>
        <v>2030</v>
      </c>
      <c r="D112" s="12">
        <f>IF(F111+SUM(E$99:E111)=D$92,F111,D$92-SUM(E$99:E111))</f>
        <v>885526.62849697215</v>
      </c>
      <c r="E112" s="378">
        <f>IF(+J96&lt;F111,J96,D112)</f>
        <v>28347.536590909087</v>
      </c>
      <c r="F112" s="55">
        <f t="shared" si="41"/>
        <v>857179.09190606303</v>
      </c>
      <c r="G112" s="55">
        <f t="shared" si="42"/>
        <v>871352.86020151759</v>
      </c>
      <c r="H112" s="380">
        <f t="shared" si="43"/>
        <v>136853.9190349429</v>
      </c>
      <c r="I112" s="399">
        <f t="shared" si="44"/>
        <v>136853.9190349429</v>
      </c>
      <c r="J112" s="54">
        <f t="shared" si="23"/>
        <v>0</v>
      </c>
      <c r="K112" s="54"/>
      <c r="L112" s="129"/>
      <c r="M112" s="54">
        <f t="shared" si="25"/>
        <v>0</v>
      </c>
      <c r="N112" s="129"/>
      <c r="O112" s="54">
        <f t="shared" si="27"/>
        <v>0</v>
      </c>
      <c r="P112" s="54">
        <f t="shared" si="28"/>
        <v>0</v>
      </c>
    </row>
    <row r="113" spans="2:16" ht="12.5">
      <c r="B113" s="7" t="str">
        <f t="shared" si="29"/>
        <v/>
      </c>
      <c r="C113" s="50">
        <f>IF(D93="","-",+C112+1)</f>
        <v>2031</v>
      </c>
      <c r="D113" s="12">
        <f>IF(F112+SUM(E$99:E112)=D$92,F112,D$92-SUM(E$99:E112))</f>
        <v>857179.09190606303</v>
      </c>
      <c r="E113" s="378">
        <f>IF(+J96&lt;F112,J96,D113)</f>
        <v>28347.536590909087</v>
      </c>
      <c r="F113" s="55">
        <f t="shared" si="41"/>
        <v>828831.55531515391</v>
      </c>
      <c r="G113" s="55">
        <f t="shared" si="42"/>
        <v>843005.32361060847</v>
      </c>
      <c r="H113" s="380">
        <f t="shared" si="43"/>
        <v>133323.90405803896</v>
      </c>
      <c r="I113" s="399">
        <f t="shared" si="44"/>
        <v>133323.90405803896</v>
      </c>
      <c r="J113" s="54">
        <f t="shared" si="23"/>
        <v>0</v>
      </c>
      <c r="K113" s="54"/>
      <c r="L113" s="129"/>
      <c r="M113" s="54">
        <f t="shared" si="25"/>
        <v>0</v>
      </c>
      <c r="N113" s="129"/>
      <c r="O113" s="54">
        <f t="shared" si="27"/>
        <v>0</v>
      </c>
      <c r="P113" s="54">
        <f t="shared" si="28"/>
        <v>0</v>
      </c>
    </row>
    <row r="114" spans="2:16" ht="12.5">
      <c r="B114" s="7" t="str">
        <f t="shared" si="29"/>
        <v/>
      </c>
      <c r="C114" s="50">
        <f>IF(D93="","-",+C113+1)</f>
        <v>2032</v>
      </c>
      <c r="D114" s="12">
        <f>IF(F113+SUM(E$99:E113)=D$92,F113,D$92-SUM(E$99:E113))</f>
        <v>828831.55531515391</v>
      </c>
      <c r="E114" s="378">
        <f>IF(+J96&lt;F113,J96,D114)</f>
        <v>28347.536590909087</v>
      </c>
      <c r="F114" s="55">
        <f t="shared" si="41"/>
        <v>800484.01872424479</v>
      </c>
      <c r="G114" s="55">
        <f t="shared" si="42"/>
        <v>814657.78701969935</v>
      </c>
      <c r="H114" s="380">
        <f t="shared" si="43"/>
        <v>129793.88908113504</v>
      </c>
      <c r="I114" s="399">
        <f t="shared" si="44"/>
        <v>129793.88908113504</v>
      </c>
      <c r="J114" s="54">
        <f t="shared" si="23"/>
        <v>0</v>
      </c>
      <c r="K114" s="54"/>
      <c r="L114" s="129"/>
      <c r="M114" s="54">
        <f t="shared" si="25"/>
        <v>0</v>
      </c>
      <c r="N114" s="129"/>
      <c r="O114" s="54">
        <f t="shared" si="27"/>
        <v>0</v>
      </c>
      <c r="P114" s="54">
        <f t="shared" si="28"/>
        <v>0</v>
      </c>
    </row>
    <row r="115" spans="2:16" ht="12.5">
      <c r="B115" s="7" t="str">
        <f t="shared" si="29"/>
        <v/>
      </c>
      <c r="C115" s="50">
        <f>IF(D93="","-",+C114+1)</f>
        <v>2033</v>
      </c>
      <c r="D115" s="12">
        <f>IF(F114+SUM(E$99:E114)=D$92,F114,D$92-SUM(E$99:E114))</f>
        <v>800484.01872424479</v>
      </c>
      <c r="E115" s="378">
        <f>IF(+J96&lt;F114,J96,D115)</f>
        <v>28347.536590909087</v>
      </c>
      <c r="F115" s="55">
        <f t="shared" si="41"/>
        <v>772136.48213333567</v>
      </c>
      <c r="G115" s="55">
        <f t="shared" si="42"/>
        <v>786310.25042879023</v>
      </c>
      <c r="H115" s="380">
        <f t="shared" si="43"/>
        <v>126263.87410423113</v>
      </c>
      <c r="I115" s="399">
        <f t="shared" si="44"/>
        <v>126263.87410423113</v>
      </c>
      <c r="J115" s="54">
        <f t="shared" si="23"/>
        <v>0</v>
      </c>
      <c r="K115" s="54"/>
      <c r="L115" s="129"/>
      <c r="M115" s="54">
        <f t="shared" si="25"/>
        <v>0</v>
      </c>
      <c r="N115" s="129"/>
      <c r="O115" s="54">
        <f t="shared" si="27"/>
        <v>0</v>
      </c>
      <c r="P115" s="54">
        <f t="shared" si="28"/>
        <v>0</v>
      </c>
    </row>
    <row r="116" spans="2:16" ht="12.5">
      <c r="B116" s="7" t="str">
        <f t="shared" si="29"/>
        <v/>
      </c>
      <c r="C116" s="50">
        <f>IF(D93="","-",+C115+1)</f>
        <v>2034</v>
      </c>
      <c r="D116" s="12">
        <f>IF(F115+SUM(E$99:E115)=D$92,F115,D$92-SUM(E$99:E115))</f>
        <v>772136.48213333567</v>
      </c>
      <c r="E116" s="378">
        <f>IF(+J96&lt;F115,J96,D116)</f>
        <v>28347.536590909087</v>
      </c>
      <c r="F116" s="55">
        <f t="shared" si="41"/>
        <v>743788.94554242655</v>
      </c>
      <c r="G116" s="55">
        <f t="shared" si="42"/>
        <v>757962.71383788111</v>
      </c>
      <c r="H116" s="380">
        <f t="shared" si="43"/>
        <v>122733.8591273272</v>
      </c>
      <c r="I116" s="399">
        <f t="shared" si="44"/>
        <v>122733.8591273272</v>
      </c>
      <c r="J116" s="54">
        <f t="shared" si="23"/>
        <v>0</v>
      </c>
      <c r="K116" s="54"/>
      <c r="L116" s="129"/>
      <c r="M116" s="54">
        <f t="shared" si="25"/>
        <v>0</v>
      </c>
      <c r="N116" s="129"/>
      <c r="O116" s="54">
        <f t="shared" si="27"/>
        <v>0</v>
      </c>
      <c r="P116" s="54">
        <f t="shared" si="28"/>
        <v>0</v>
      </c>
    </row>
    <row r="117" spans="2:16" ht="12.5">
      <c r="B117" s="7" t="str">
        <f t="shared" si="29"/>
        <v/>
      </c>
      <c r="C117" s="50">
        <f>IF(D93="","-",+C116+1)</f>
        <v>2035</v>
      </c>
      <c r="D117" s="12">
        <f>IF(F116+SUM(E$99:E116)=D$92,F116,D$92-SUM(E$99:E116))</f>
        <v>743788.94554242655</v>
      </c>
      <c r="E117" s="378">
        <f>IF(+J96&lt;F116,J96,D117)</f>
        <v>28347.536590909087</v>
      </c>
      <c r="F117" s="55">
        <f t="shared" si="41"/>
        <v>715441.40895151743</v>
      </c>
      <c r="G117" s="55">
        <f t="shared" si="42"/>
        <v>729615.17724697199</v>
      </c>
      <c r="H117" s="380">
        <f t="shared" si="43"/>
        <v>119203.84415042328</v>
      </c>
      <c r="I117" s="399">
        <f t="shared" si="44"/>
        <v>119203.84415042328</v>
      </c>
      <c r="J117" s="54">
        <f t="shared" si="23"/>
        <v>0</v>
      </c>
      <c r="K117" s="54"/>
      <c r="L117" s="129"/>
      <c r="M117" s="54">
        <f t="shared" si="25"/>
        <v>0</v>
      </c>
      <c r="N117" s="129"/>
      <c r="O117" s="54">
        <f t="shared" si="27"/>
        <v>0</v>
      </c>
      <c r="P117" s="54">
        <f t="shared" si="28"/>
        <v>0</v>
      </c>
    </row>
    <row r="118" spans="2:16" ht="12.5">
      <c r="B118" s="7" t="str">
        <f t="shared" si="29"/>
        <v/>
      </c>
      <c r="C118" s="50">
        <f>IF(D93="","-",+C117+1)</f>
        <v>2036</v>
      </c>
      <c r="D118" s="12">
        <f>IF(F117+SUM(E$99:E117)=D$92,F117,D$92-SUM(E$99:E117))</f>
        <v>715441.40895151743</v>
      </c>
      <c r="E118" s="378">
        <f>IF(+J96&lt;F117,J96,D118)</f>
        <v>28347.536590909087</v>
      </c>
      <c r="F118" s="55">
        <f t="shared" si="41"/>
        <v>687093.87236060831</v>
      </c>
      <c r="G118" s="55">
        <f t="shared" si="42"/>
        <v>701267.64065606287</v>
      </c>
      <c r="H118" s="380">
        <f t="shared" si="43"/>
        <v>115673.82917351936</v>
      </c>
      <c r="I118" s="399">
        <f t="shared" si="44"/>
        <v>115673.82917351936</v>
      </c>
      <c r="J118" s="54">
        <f t="shared" si="23"/>
        <v>0</v>
      </c>
      <c r="K118" s="54"/>
      <c r="L118" s="129"/>
      <c r="M118" s="54">
        <f t="shared" si="25"/>
        <v>0</v>
      </c>
      <c r="N118" s="129"/>
      <c r="O118" s="54">
        <f t="shared" si="27"/>
        <v>0</v>
      </c>
      <c r="P118" s="54">
        <f t="shared" si="28"/>
        <v>0</v>
      </c>
    </row>
    <row r="119" spans="2:16" ht="12.5">
      <c r="B119" s="7" t="str">
        <f t="shared" si="29"/>
        <v/>
      </c>
      <c r="C119" s="50">
        <f>IF(D93="","-",+C118+1)</f>
        <v>2037</v>
      </c>
      <c r="D119" s="12">
        <f>IF(F118+SUM(E$99:E118)=D$92,F118,D$92-SUM(E$99:E118))</f>
        <v>687093.87236060831</v>
      </c>
      <c r="E119" s="378">
        <f>IF(+J96&lt;F118,J96,D119)</f>
        <v>28347.536590909087</v>
      </c>
      <c r="F119" s="55">
        <f t="shared" si="41"/>
        <v>658746.33576969919</v>
      </c>
      <c r="G119" s="55">
        <f t="shared" si="42"/>
        <v>672920.10406515375</v>
      </c>
      <c r="H119" s="380">
        <f t="shared" si="43"/>
        <v>112143.81419661544</v>
      </c>
      <c r="I119" s="399">
        <f t="shared" si="44"/>
        <v>112143.81419661544</v>
      </c>
      <c r="J119" s="54">
        <f t="shared" si="23"/>
        <v>0</v>
      </c>
      <c r="K119" s="54"/>
      <c r="L119" s="129"/>
      <c r="M119" s="54">
        <f t="shared" si="25"/>
        <v>0</v>
      </c>
      <c r="N119" s="129"/>
      <c r="O119" s="54">
        <f t="shared" si="27"/>
        <v>0</v>
      </c>
      <c r="P119" s="54">
        <f t="shared" si="28"/>
        <v>0</v>
      </c>
    </row>
    <row r="120" spans="2:16" ht="12.5">
      <c r="B120" s="7" t="str">
        <f t="shared" si="29"/>
        <v/>
      </c>
      <c r="C120" s="50">
        <f>IF(D93="","-",+C119+1)</f>
        <v>2038</v>
      </c>
      <c r="D120" s="12">
        <f>IF(F119+SUM(E$99:E119)=D$92,F119,D$92-SUM(E$99:E119))</f>
        <v>658746.33576969919</v>
      </c>
      <c r="E120" s="378">
        <f>IF(+J96&lt;F119,J96,D120)</f>
        <v>28347.536590909087</v>
      </c>
      <c r="F120" s="55">
        <f t="shared" si="41"/>
        <v>630398.79917879007</v>
      </c>
      <c r="G120" s="55">
        <f t="shared" si="42"/>
        <v>644572.56747424463</v>
      </c>
      <c r="H120" s="380">
        <f t="shared" si="43"/>
        <v>108613.79921971151</v>
      </c>
      <c r="I120" s="399">
        <f t="shared" si="44"/>
        <v>108613.79921971151</v>
      </c>
      <c r="J120" s="54">
        <f t="shared" si="23"/>
        <v>0</v>
      </c>
      <c r="K120" s="54"/>
      <c r="L120" s="129"/>
      <c r="M120" s="54">
        <f t="shared" si="25"/>
        <v>0</v>
      </c>
      <c r="N120" s="129"/>
      <c r="O120" s="54">
        <f t="shared" si="27"/>
        <v>0</v>
      </c>
      <c r="P120" s="54">
        <f t="shared" si="28"/>
        <v>0</v>
      </c>
    </row>
    <row r="121" spans="2:16" ht="12.5">
      <c r="B121" s="7" t="str">
        <f t="shared" si="29"/>
        <v/>
      </c>
      <c r="C121" s="50">
        <f>IF(D93="","-",+C120+1)</f>
        <v>2039</v>
      </c>
      <c r="D121" s="12">
        <f>IF(F120+SUM(E$99:E120)=D$92,F120,D$92-SUM(E$99:E120))</f>
        <v>630398.79917879007</v>
      </c>
      <c r="E121" s="378">
        <f>IF(+J96&lt;F120,J96,D121)</f>
        <v>28347.536590909087</v>
      </c>
      <c r="F121" s="55">
        <f t="shared" si="41"/>
        <v>602051.26258788095</v>
      </c>
      <c r="G121" s="55">
        <f t="shared" si="42"/>
        <v>616225.03088333551</v>
      </c>
      <c r="H121" s="380">
        <f t="shared" si="43"/>
        <v>105083.78424280758</v>
      </c>
      <c r="I121" s="399">
        <f t="shared" si="44"/>
        <v>105083.78424280758</v>
      </c>
      <c r="J121" s="54">
        <f t="shared" si="23"/>
        <v>0</v>
      </c>
      <c r="K121" s="54"/>
      <c r="L121" s="129"/>
      <c r="M121" s="54">
        <f t="shared" si="25"/>
        <v>0</v>
      </c>
      <c r="N121" s="129"/>
      <c r="O121" s="54">
        <f t="shared" si="27"/>
        <v>0</v>
      </c>
      <c r="P121" s="54">
        <f t="shared" si="28"/>
        <v>0</v>
      </c>
    </row>
    <row r="122" spans="2:16" ht="12.5">
      <c r="B122" s="7" t="str">
        <f t="shared" si="29"/>
        <v/>
      </c>
      <c r="C122" s="50">
        <f>IF(D93="","-",+C121+1)</f>
        <v>2040</v>
      </c>
      <c r="D122" s="12">
        <f>IF(F121+SUM(E$99:E121)=D$92,F121,D$92-SUM(E$99:E121))</f>
        <v>602051.26258788095</v>
      </c>
      <c r="E122" s="378">
        <f>IF(+J96&lt;F121,J96,D122)</f>
        <v>28347.536590909087</v>
      </c>
      <c r="F122" s="55">
        <f t="shared" si="41"/>
        <v>573703.72599697183</v>
      </c>
      <c r="G122" s="55">
        <f t="shared" si="42"/>
        <v>587877.49429242639</v>
      </c>
      <c r="H122" s="380">
        <f t="shared" si="43"/>
        <v>101553.76926590367</v>
      </c>
      <c r="I122" s="399">
        <f t="shared" si="44"/>
        <v>101553.76926590367</v>
      </c>
      <c r="J122" s="54">
        <f t="shared" si="23"/>
        <v>0</v>
      </c>
      <c r="K122" s="54"/>
      <c r="L122" s="129"/>
      <c r="M122" s="54">
        <f t="shared" si="25"/>
        <v>0</v>
      </c>
      <c r="N122" s="129"/>
      <c r="O122" s="54">
        <f t="shared" si="27"/>
        <v>0</v>
      </c>
      <c r="P122" s="54">
        <f t="shared" si="28"/>
        <v>0</v>
      </c>
    </row>
    <row r="123" spans="2:16" ht="12.5">
      <c r="B123" s="7" t="str">
        <f t="shared" si="29"/>
        <v/>
      </c>
      <c r="C123" s="50">
        <f>IF(D93="","-",+C122+1)</f>
        <v>2041</v>
      </c>
      <c r="D123" s="12">
        <f>IF(F122+SUM(E$99:E122)=D$92,F122,D$92-SUM(E$99:E122))</f>
        <v>573703.72599697183</v>
      </c>
      <c r="E123" s="378">
        <f>IF(+J96&lt;F122,J96,D123)</f>
        <v>28347.536590909087</v>
      </c>
      <c r="F123" s="55">
        <f t="shared" si="41"/>
        <v>545356.18940606271</v>
      </c>
      <c r="G123" s="55">
        <f t="shared" si="42"/>
        <v>559529.95770151727</v>
      </c>
      <c r="H123" s="380">
        <f t="shared" si="43"/>
        <v>98023.754288999742</v>
      </c>
      <c r="I123" s="399">
        <f t="shared" si="44"/>
        <v>98023.754288999742</v>
      </c>
      <c r="J123" s="54">
        <f t="shared" si="23"/>
        <v>0</v>
      </c>
      <c r="K123" s="54"/>
      <c r="L123" s="129"/>
      <c r="M123" s="54">
        <f t="shared" si="25"/>
        <v>0</v>
      </c>
      <c r="N123" s="129"/>
      <c r="O123" s="54">
        <f t="shared" si="27"/>
        <v>0</v>
      </c>
      <c r="P123" s="54">
        <f t="shared" si="28"/>
        <v>0</v>
      </c>
    </row>
    <row r="124" spans="2:16" ht="12.5">
      <c r="B124" s="7" t="str">
        <f t="shared" si="29"/>
        <v/>
      </c>
      <c r="C124" s="50">
        <f>IF(D93="","-",+C123+1)</f>
        <v>2042</v>
      </c>
      <c r="D124" s="12">
        <f>IF(F123+SUM(E$99:E123)=D$92,F123,D$92-SUM(E$99:E123))</f>
        <v>545356.18940606271</v>
      </c>
      <c r="E124" s="378">
        <f>IF(+J96&lt;F123,J96,D124)</f>
        <v>28347.536590909087</v>
      </c>
      <c r="F124" s="55">
        <f t="shared" si="41"/>
        <v>517008.65281515365</v>
      </c>
      <c r="G124" s="55">
        <f t="shared" si="42"/>
        <v>531182.42111060815</v>
      </c>
      <c r="H124" s="380">
        <f t="shared" si="43"/>
        <v>94493.739312095815</v>
      </c>
      <c r="I124" s="399">
        <f t="shared" si="44"/>
        <v>94493.739312095815</v>
      </c>
      <c r="J124" s="54">
        <f t="shared" si="23"/>
        <v>0</v>
      </c>
      <c r="K124" s="54"/>
      <c r="L124" s="129"/>
      <c r="M124" s="54">
        <f t="shared" si="25"/>
        <v>0</v>
      </c>
      <c r="N124" s="129"/>
      <c r="O124" s="54">
        <f t="shared" si="27"/>
        <v>0</v>
      </c>
      <c r="P124" s="54">
        <f t="shared" si="28"/>
        <v>0</v>
      </c>
    </row>
    <row r="125" spans="2:16" ht="12.5">
      <c r="B125" s="7" t="str">
        <f t="shared" si="29"/>
        <v/>
      </c>
      <c r="C125" s="50">
        <f>IF(D93="","-",+C124+1)</f>
        <v>2043</v>
      </c>
      <c r="D125" s="12">
        <f>IF(F124+SUM(E$99:E124)=D$92,F124,D$92-SUM(E$99:E124))</f>
        <v>517008.65281515365</v>
      </c>
      <c r="E125" s="378">
        <f>IF(+J96&lt;F124,J96,D125)</f>
        <v>28347.536590909087</v>
      </c>
      <c r="F125" s="55">
        <f t="shared" si="41"/>
        <v>488661.11622424459</v>
      </c>
      <c r="G125" s="55">
        <f t="shared" si="42"/>
        <v>502834.88451969915</v>
      </c>
      <c r="H125" s="380">
        <f t="shared" si="43"/>
        <v>90963.724335191902</v>
      </c>
      <c r="I125" s="399">
        <f t="shared" si="44"/>
        <v>90963.724335191902</v>
      </c>
      <c r="J125" s="54">
        <f t="shared" si="23"/>
        <v>0</v>
      </c>
      <c r="K125" s="54"/>
      <c r="L125" s="129"/>
      <c r="M125" s="54">
        <f t="shared" si="25"/>
        <v>0</v>
      </c>
      <c r="N125" s="129"/>
      <c r="O125" s="54">
        <f t="shared" si="27"/>
        <v>0</v>
      </c>
      <c r="P125" s="54">
        <f t="shared" si="28"/>
        <v>0</v>
      </c>
    </row>
    <row r="126" spans="2:16" ht="12.5">
      <c r="B126" s="7" t="str">
        <f t="shared" si="29"/>
        <v/>
      </c>
      <c r="C126" s="50">
        <f>IF(D93="","-",+C125+1)</f>
        <v>2044</v>
      </c>
      <c r="D126" s="12">
        <f>IF(F125+SUM(E$99:E125)=D$92,F125,D$92-SUM(E$99:E125))</f>
        <v>488661.11622424459</v>
      </c>
      <c r="E126" s="378">
        <f>IF(+J96&lt;F125,J96,D126)</f>
        <v>28347.536590909087</v>
      </c>
      <c r="F126" s="55">
        <f t="shared" si="41"/>
        <v>460313.57963333552</v>
      </c>
      <c r="G126" s="55">
        <f t="shared" si="42"/>
        <v>474487.34792879003</v>
      </c>
      <c r="H126" s="380">
        <f t="shared" si="43"/>
        <v>87433.70935828799</v>
      </c>
      <c r="I126" s="399">
        <f t="shared" si="44"/>
        <v>87433.70935828799</v>
      </c>
      <c r="J126" s="54">
        <f t="shared" si="23"/>
        <v>0</v>
      </c>
      <c r="K126" s="54"/>
      <c r="L126" s="129"/>
      <c r="M126" s="54">
        <f t="shared" si="25"/>
        <v>0</v>
      </c>
      <c r="N126" s="129"/>
      <c r="O126" s="54">
        <f t="shared" si="27"/>
        <v>0</v>
      </c>
      <c r="P126" s="54">
        <f t="shared" si="28"/>
        <v>0</v>
      </c>
    </row>
    <row r="127" spans="2:16" ht="12.5">
      <c r="B127" s="7" t="str">
        <f t="shared" si="29"/>
        <v/>
      </c>
      <c r="C127" s="50">
        <f>IF(D93="","-",+C126+1)</f>
        <v>2045</v>
      </c>
      <c r="D127" s="12">
        <f>IF(F126+SUM(E$99:E126)=D$92,F126,D$92-SUM(E$99:E126))</f>
        <v>460313.57963333552</v>
      </c>
      <c r="E127" s="378">
        <f>IF(+J96&lt;F126,J96,D127)</f>
        <v>28347.536590909087</v>
      </c>
      <c r="F127" s="55">
        <f t="shared" si="41"/>
        <v>431966.04304242646</v>
      </c>
      <c r="G127" s="55">
        <f t="shared" si="42"/>
        <v>446139.81133788102</v>
      </c>
      <c r="H127" s="380">
        <f t="shared" si="43"/>
        <v>83903.694381384077</v>
      </c>
      <c r="I127" s="399">
        <f t="shared" si="44"/>
        <v>83903.694381384077</v>
      </c>
      <c r="J127" s="54">
        <f t="shared" si="23"/>
        <v>0</v>
      </c>
      <c r="K127" s="54"/>
      <c r="L127" s="129"/>
      <c r="M127" s="54">
        <f t="shared" si="25"/>
        <v>0</v>
      </c>
      <c r="N127" s="129"/>
      <c r="O127" s="54">
        <f t="shared" si="27"/>
        <v>0</v>
      </c>
      <c r="P127" s="54">
        <f t="shared" si="28"/>
        <v>0</v>
      </c>
    </row>
    <row r="128" spans="2:16" ht="12.5">
      <c r="B128" s="7" t="str">
        <f t="shared" si="29"/>
        <v/>
      </c>
      <c r="C128" s="50">
        <f>IF(D93="","-",+C127+1)</f>
        <v>2046</v>
      </c>
      <c r="D128" s="12">
        <f>IF(F127+SUM(E$99:E127)=D$92,F127,D$92-SUM(E$99:E127))</f>
        <v>431966.04304242646</v>
      </c>
      <c r="E128" s="378">
        <f>IF(+J96&lt;F127,J96,D128)</f>
        <v>28347.536590909087</v>
      </c>
      <c r="F128" s="55">
        <f t="shared" si="41"/>
        <v>403618.5064515174</v>
      </c>
      <c r="G128" s="55">
        <f t="shared" si="42"/>
        <v>417792.2747469719</v>
      </c>
      <c r="H128" s="380">
        <f t="shared" si="43"/>
        <v>80373.67940448015</v>
      </c>
      <c r="I128" s="399">
        <f t="shared" si="44"/>
        <v>80373.67940448015</v>
      </c>
      <c r="J128" s="54">
        <f t="shared" si="23"/>
        <v>0</v>
      </c>
      <c r="K128" s="54"/>
      <c r="L128" s="129"/>
      <c r="M128" s="54">
        <f t="shared" si="25"/>
        <v>0</v>
      </c>
      <c r="N128" s="129"/>
      <c r="O128" s="54">
        <f t="shared" si="27"/>
        <v>0</v>
      </c>
      <c r="P128" s="54">
        <f t="shared" si="28"/>
        <v>0</v>
      </c>
    </row>
    <row r="129" spans="2:16" ht="12.5">
      <c r="B129" s="7" t="str">
        <f t="shared" si="29"/>
        <v/>
      </c>
      <c r="C129" s="50">
        <f>IF(D93="","-",+C128+1)</f>
        <v>2047</v>
      </c>
      <c r="D129" s="12">
        <f>IF(F128+SUM(E$99:E128)=D$92,F128,D$92-SUM(E$99:E128))</f>
        <v>403618.5064515174</v>
      </c>
      <c r="E129" s="378">
        <f>IF(+J96&lt;F128,J96,D129)</f>
        <v>28347.536590909087</v>
      </c>
      <c r="F129" s="55">
        <f t="shared" si="41"/>
        <v>375270.96986060834</v>
      </c>
      <c r="G129" s="55">
        <f t="shared" si="42"/>
        <v>389444.7381560629</v>
      </c>
      <c r="H129" s="380">
        <f t="shared" si="43"/>
        <v>76843.664427576252</v>
      </c>
      <c r="I129" s="399">
        <f t="shared" si="44"/>
        <v>76843.664427576252</v>
      </c>
      <c r="J129" s="54">
        <f t="shared" si="23"/>
        <v>0</v>
      </c>
      <c r="K129" s="54"/>
      <c r="L129" s="129"/>
      <c r="M129" s="54">
        <f t="shared" si="25"/>
        <v>0</v>
      </c>
      <c r="N129" s="129"/>
      <c r="O129" s="54">
        <f t="shared" si="27"/>
        <v>0</v>
      </c>
      <c r="P129" s="54">
        <f t="shared" si="28"/>
        <v>0</v>
      </c>
    </row>
    <row r="130" spans="2:16" ht="12.5">
      <c r="B130" s="7" t="str">
        <f t="shared" si="29"/>
        <v/>
      </c>
      <c r="C130" s="50">
        <f>IF(D93="","-",+C129+1)</f>
        <v>2048</v>
      </c>
      <c r="D130" s="12">
        <f>IF(F129+SUM(E$99:E129)=D$92,F129,D$92-SUM(E$99:E129))</f>
        <v>375270.96986060834</v>
      </c>
      <c r="E130" s="378">
        <f>IF(+J96&lt;F129,J96,D130)</f>
        <v>28347.536590909087</v>
      </c>
      <c r="F130" s="55">
        <f t="shared" si="41"/>
        <v>346923.43326969928</v>
      </c>
      <c r="G130" s="55">
        <f t="shared" si="42"/>
        <v>361097.20156515378</v>
      </c>
      <c r="H130" s="380">
        <f t="shared" si="43"/>
        <v>73313.649450672325</v>
      </c>
      <c r="I130" s="399">
        <f t="shared" si="44"/>
        <v>73313.649450672325</v>
      </c>
      <c r="J130" s="54">
        <f t="shared" si="23"/>
        <v>0</v>
      </c>
      <c r="K130" s="54"/>
      <c r="L130" s="129"/>
      <c r="M130" s="54">
        <f t="shared" si="25"/>
        <v>0</v>
      </c>
      <c r="N130" s="129"/>
      <c r="O130" s="54">
        <f t="shared" si="27"/>
        <v>0</v>
      </c>
      <c r="P130" s="54">
        <f t="shared" si="28"/>
        <v>0</v>
      </c>
    </row>
    <row r="131" spans="2:16" ht="12.5">
      <c r="B131" s="7" t="str">
        <f t="shared" si="29"/>
        <v/>
      </c>
      <c r="C131" s="50">
        <f>IF(D93="","-",+C130+1)</f>
        <v>2049</v>
      </c>
      <c r="D131" s="12">
        <f>IF(F130+SUM(E$99:E130)=D$92,F130,D$92-SUM(E$99:E130))</f>
        <v>346923.43326969928</v>
      </c>
      <c r="E131" s="378">
        <f>IF(+J96&lt;F130,J96,D131)</f>
        <v>28347.536590909087</v>
      </c>
      <c r="F131" s="55">
        <f t="shared" ref="F131:F154" si="45">+D131-E131</f>
        <v>318575.89667879022</v>
      </c>
      <c r="G131" s="55">
        <f t="shared" ref="G131:G154" si="46">+(F131+D131)/2</f>
        <v>332749.66497424478</v>
      </c>
      <c r="H131" s="380">
        <f t="shared" si="43"/>
        <v>69783.634473768412</v>
      </c>
      <c r="I131" s="399">
        <f t="shared" si="44"/>
        <v>69783.634473768412</v>
      </c>
      <c r="J131" s="54">
        <f t="shared" ref="J131:J154" si="47">+I541-H541</f>
        <v>0</v>
      </c>
      <c r="K131" s="54"/>
      <c r="L131" s="129"/>
      <c r="M131" s="54">
        <f t="shared" ref="M131:M154" si="48">IF(L541&lt;&gt;0,+H541-L541,0)</f>
        <v>0</v>
      </c>
      <c r="N131" s="129"/>
      <c r="O131" s="54">
        <f t="shared" ref="O131:O154" si="49">IF(N541&lt;&gt;0,+I541-N541,0)</f>
        <v>0</v>
      </c>
      <c r="P131" s="54">
        <f t="shared" ref="P131:P154" si="50">+O541-M541</f>
        <v>0</v>
      </c>
    </row>
    <row r="132" spans="2:16" ht="12.5">
      <c r="B132" s="7" t="str">
        <f t="shared" si="29"/>
        <v/>
      </c>
      <c r="C132" s="50">
        <f>IF(D93="","-",+C131+1)</f>
        <v>2050</v>
      </c>
      <c r="D132" s="12">
        <f>IF(F131+SUM(E$99:E131)=D$92,F131,D$92-SUM(E$99:E131))</f>
        <v>318575.89667879022</v>
      </c>
      <c r="E132" s="378">
        <f>IF(+J96&lt;F131,J96,D132)</f>
        <v>28347.536590909087</v>
      </c>
      <c r="F132" s="55">
        <f t="shared" si="45"/>
        <v>290228.36008788116</v>
      </c>
      <c r="G132" s="55">
        <f t="shared" si="46"/>
        <v>304402.12838333566</v>
      </c>
      <c r="H132" s="380">
        <f t="shared" si="43"/>
        <v>66253.6194968645</v>
      </c>
      <c r="I132" s="399">
        <f t="shared" si="44"/>
        <v>66253.6194968645</v>
      </c>
      <c r="J132" s="54">
        <f t="shared" si="47"/>
        <v>0</v>
      </c>
      <c r="K132" s="54"/>
      <c r="L132" s="129"/>
      <c r="M132" s="54">
        <f t="shared" si="48"/>
        <v>0</v>
      </c>
      <c r="N132" s="129"/>
      <c r="O132" s="54">
        <f t="shared" si="49"/>
        <v>0</v>
      </c>
      <c r="P132" s="54">
        <f t="shared" si="50"/>
        <v>0</v>
      </c>
    </row>
    <row r="133" spans="2:16" ht="12.5">
      <c r="B133" s="7" t="str">
        <f t="shared" si="29"/>
        <v/>
      </c>
      <c r="C133" s="50">
        <f>IF(D93="","-",+C132+1)</f>
        <v>2051</v>
      </c>
      <c r="D133" s="12">
        <f>IF(F132+SUM(E$99:E132)=D$92,F132,D$92-SUM(E$99:E132))</f>
        <v>290228.36008788116</v>
      </c>
      <c r="E133" s="378">
        <f>IF(+J96&lt;F132,J96,D133)</f>
        <v>28347.536590909087</v>
      </c>
      <c r="F133" s="55">
        <f t="shared" si="45"/>
        <v>261880.82349697207</v>
      </c>
      <c r="G133" s="55">
        <f t="shared" si="46"/>
        <v>276054.5917924266</v>
      </c>
      <c r="H133" s="380">
        <f t="shared" si="43"/>
        <v>62723.604519960572</v>
      </c>
      <c r="I133" s="399">
        <f t="shared" si="44"/>
        <v>62723.604519960572</v>
      </c>
      <c r="J133" s="54">
        <f t="shared" si="47"/>
        <v>0</v>
      </c>
      <c r="K133" s="54"/>
      <c r="L133" s="129"/>
      <c r="M133" s="54">
        <f t="shared" si="48"/>
        <v>0</v>
      </c>
      <c r="N133" s="129"/>
      <c r="O133" s="54">
        <f t="shared" si="49"/>
        <v>0</v>
      </c>
      <c r="P133" s="54">
        <f t="shared" si="50"/>
        <v>0</v>
      </c>
    </row>
    <row r="134" spans="2:16" ht="12.5">
      <c r="B134" s="7" t="str">
        <f t="shared" si="29"/>
        <v/>
      </c>
      <c r="C134" s="50">
        <f>IF(D93="","-",+C133+1)</f>
        <v>2052</v>
      </c>
      <c r="D134" s="12">
        <f>IF(F133+SUM(E$99:E133)=D$92,F133,D$92-SUM(E$99:E133))</f>
        <v>261880.82349697207</v>
      </c>
      <c r="E134" s="378">
        <f>IF(+J96&lt;F133,J96,D134)</f>
        <v>28347.536590909087</v>
      </c>
      <c r="F134" s="55">
        <f t="shared" si="45"/>
        <v>233533.28690606297</v>
      </c>
      <c r="G134" s="55">
        <f t="shared" si="46"/>
        <v>247707.05520151753</v>
      </c>
      <c r="H134" s="380">
        <f t="shared" si="43"/>
        <v>59193.58954305666</v>
      </c>
      <c r="I134" s="399">
        <f t="shared" si="44"/>
        <v>59193.58954305666</v>
      </c>
      <c r="J134" s="54">
        <f t="shared" si="47"/>
        <v>0</v>
      </c>
      <c r="K134" s="54"/>
      <c r="L134" s="129"/>
      <c r="M134" s="54">
        <f t="shared" si="48"/>
        <v>0</v>
      </c>
      <c r="N134" s="129"/>
      <c r="O134" s="54">
        <f t="shared" si="49"/>
        <v>0</v>
      </c>
      <c r="P134" s="54">
        <f t="shared" si="50"/>
        <v>0</v>
      </c>
    </row>
    <row r="135" spans="2:16" ht="12.5">
      <c r="B135" s="7" t="str">
        <f t="shared" si="29"/>
        <v/>
      </c>
      <c r="C135" s="50">
        <f>IF(D93="","-",+C134+1)</f>
        <v>2053</v>
      </c>
      <c r="D135" s="12">
        <f>IF(F134+SUM(E$99:E134)=D$92,F134,D$92-SUM(E$99:E134))</f>
        <v>233533.28690606297</v>
      </c>
      <c r="E135" s="378">
        <f>IF(+J96&lt;F134,J96,D135)</f>
        <v>28347.536590909087</v>
      </c>
      <c r="F135" s="55">
        <f t="shared" si="45"/>
        <v>205185.75031515388</v>
      </c>
      <c r="G135" s="55">
        <f t="shared" si="46"/>
        <v>219359.51861060841</v>
      </c>
      <c r="H135" s="380">
        <f t="shared" si="43"/>
        <v>55663.57456615274</v>
      </c>
      <c r="I135" s="399">
        <f t="shared" si="44"/>
        <v>55663.57456615274</v>
      </c>
      <c r="J135" s="54">
        <f t="shared" si="47"/>
        <v>0</v>
      </c>
      <c r="K135" s="54"/>
      <c r="L135" s="129"/>
      <c r="M135" s="54">
        <f t="shared" si="48"/>
        <v>0</v>
      </c>
      <c r="N135" s="129"/>
      <c r="O135" s="54">
        <f t="shared" si="49"/>
        <v>0</v>
      </c>
      <c r="P135" s="54">
        <f t="shared" si="50"/>
        <v>0</v>
      </c>
    </row>
    <row r="136" spans="2:16" ht="12.5">
      <c r="B136" s="7" t="str">
        <f t="shared" si="29"/>
        <v/>
      </c>
      <c r="C136" s="50">
        <f>IF(D93="","-",+C135+1)</f>
        <v>2054</v>
      </c>
      <c r="D136" s="12">
        <f>IF(F135+SUM(E$99:E135)=D$92,F135,D$92-SUM(E$99:E135))</f>
        <v>205185.75031515388</v>
      </c>
      <c r="E136" s="378">
        <f>IF(+J96&lt;F135,J96,D136)</f>
        <v>28347.536590909087</v>
      </c>
      <c r="F136" s="55">
        <f t="shared" si="45"/>
        <v>176838.21372424479</v>
      </c>
      <c r="G136" s="55">
        <f t="shared" si="46"/>
        <v>191011.98201969935</v>
      </c>
      <c r="H136" s="380">
        <f t="shared" si="43"/>
        <v>52133.55958924882</v>
      </c>
      <c r="I136" s="399">
        <f t="shared" si="44"/>
        <v>52133.55958924882</v>
      </c>
      <c r="J136" s="54">
        <f t="shared" si="47"/>
        <v>0</v>
      </c>
      <c r="K136" s="54"/>
      <c r="L136" s="129"/>
      <c r="M136" s="54">
        <f t="shared" si="48"/>
        <v>0</v>
      </c>
      <c r="N136" s="129"/>
      <c r="O136" s="54">
        <f t="shared" si="49"/>
        <v>0</v>
      </c>
      <c r="P136" s="54">
        <f t="shared" si="50"/>
        <v>0</v>
      </c>
    </row>
    <row r="137" spans="2:16" ht="12.5">
      <c r="B137" s="7" t="str">
        <f t="shared" si="29"/>
        <v/>
      </c>
      <c r="C137" s="50">
        <f>IF(D93="","-",+C136+1)</f>
        <v>2055</v>
      </c>
      <c r="D137" s="12">
        <f>IF(F136+SUM(E$99:E136)=D$92,F136,D$92-SUM(E$99:E136))</f>
        <v>176838.21372424479</v>
      </c>
      <c r="E137" s="378">
        <f>IF(+J96&lt;F136,J96,D137)</f>
        <v>28347.536590909087</v>
      </c>
      <c r="F137" s="55">
        <f t="shared" si="45"/>
        <v>148490.6771333357</v>
      </c>
      <c r="G137" s="55">
        <f t="shared" si="46"/>
        <v>162664.44542879023</v>
      </c>
      <c r="H137" s="380">
        <f t="shared" si="43"/>
        <v>48603.5446123449</v>
      </c>
      <c r="I137" s="399">
        <f t="shared" si="44"/>
        <v>48603.5446123449</v>
      </c>
      <c r="J137" s="54">
        <f t="shared" si="47"/>
        <v>0</v>
      </c>
      <c r="K137" s="54"/>
      <c r="L137" s="129"/>
      <c r="M137" s="54">
        <f t="shared" si="48"/>
        <v>0</v>
      </c>
      <c r="N137" s="129"/>
      <c r="O137" s="54">
        <f t="shared" si="49"/>
        <v>0</v>
      </c>
      <c r="P137" s="54">
        <f t="shared" si="50"/>
        <v>0</v>
      </c>
    </row>
    <row r="138" spans="2:16" ht="12.5">
      <c r="B138" s="7" t="str">
        <f t="shared" si="29"/>
        <v/>
      </c>
      <c r="C138" s="50">
        <f>IF(D93="","-",+C137+1)</f>
        <v>2056</v>
      </c>
      <c r="D138" s="12">
        <f>IF(F137+SUM(E$99:E137)=D$92,F137,D$92-SUM(E$99:E137))</f>
        <v>148490.6771333357</v>
      </c>
      <c r="E138" s="378">
        <f>IF(+J96&lt;F137,J96,D138)</f>
        <v>28347.536590909087</v>
      </c>
      <c r="F138" s="55">
        <f t="shared" si="45"/>
        <v>120143.14054242661</v>
      </c>
      <c r="G138" s="55">
        <f t="shared" si="46"/>
        <v>134316.90883788117</v>
      </c>
      <c r="H138" s="380">
        <f t="shared" si="43"/>
        <v>45073.52963544098</v>
      </c>
      <c r="I138" s="399">
        <f t="shared" si="44"/>
        <v>45073.52963544098</v>
      </c>
      <c r="J138" s="54">
        <f t="shared" si="47"/>
        <v>0</v>
      </c>
      <c r="K138" s="54"/>
      <c r="L138" s="129"/>
      <c r="M138" s="54">
        <f t="shared" si="48"/>
        <v>0</v>
      </c>
      <c r="N138" s="129"/>
      <c r="O138" s="54">
        <f t="shared" si="49"/>
        <v>0</v>
      </c>
      <c r="P138" s="54">
        <f t="shared" si="50"/>
        <v>0</v>
      </c>
    </row>
    <row r="139" spans="2:16" ht="12.5">
      <c r="B139" s="7" t="str">
        <f t="shared" si="29"/>
        <v/>
      </c>
      <c r="C139" s="50">
        <f>IF(D93="","-",+C138+1)</f>
        <v>2057</v>
      </c>
      <c r="D139" s="12">
        <f>IF(F138+SUM(E$99:E138)=D$92,F138,D$92-SUM(E$99:E138))</f>
        <v>120143.14054242661</v>
      </c>
      <c r="E139" s="378">
        <f>IF(+J96&lt;F138,J96,D139)</f>
        <v>28347.536590909087</v>
      </c>
      <c r="F139" s="55">
        <f t="shared" si="45"/>
        <v>91795.603951517522</v>
      </c>
      <c r="G139" s="55">
        <f t="shared" si="46"/>
        <v>105969.37224697207</v>
      </c>
      <c r="H139" s="380">
        <f t="shared" si="43"/>
        <v>41543.514658537068</v>
      </c>
      <c r="I139" s="399">
        <f t="shared" si="44"/>
        <v>41543.514658537068</v>
      </c>
      <c r="J139" s="54">
        <f t="shared" si="47"/>
        <v>0</v>
      </c>
      <c r="K139" s="54"/>
      <c r="L139" s="129"/>
      <c r="M139" s="54">
        <f t="shared" si="48"/>
        <v>0</v>
      </c>
      <c r="N139" s="129"/>
      <c r="O139" s="54">
        <f t="shared" si="49"/>
        <v>0</v>
      </c>
      <c r="P139" s="54">
        <f t="shared" si="50"/>
        <v>0</v>
      </c>
    </row>
    <row r="140" spans="2:16" ht="12.5">
      <c r="B140" s="7" t="str">
        <f t="shared" si="29"/>
        <v/>
      </c>
      <c r="C140" s="50">
        <f>IF(D93="","-",+C139+1)</f>
        <v>2058</v>
      </c>
      <c r="D140" s="12">
        <f>IF(F139+SUM(E$99:E139)=D$92,F139,D$92-SUM(E$99:E139))</f>
        <v>91795.603951517522</v>
      </c>
      <c r="E140" s="378">
        <f>IF(+J96&lt;F139,J96,D140)</f>
        <v>28347.536590909087</v>
      </c>
      <c r="F140" s="55">
        <f t="shared" si="45"/>
        <v>63448.067360608431</v>
      </c>
      <c r="G140" s="55">
        <f t="shared" si="46"/>
        <v>77621.835656062976</v>
      </c>
      <c r="H140" s="380">
        <f t="shared" si="43"/>
        <v>38013.49968163314</v>
      </c>
      <c r="I140" s="399">
        <f t="shared" si="44"/>
        <v>38013.49968163314</v>
      </c>
      <c r="J140" s="54">
        <f t="shared" si="47"/>
        <v>0</v>
      </c>
      <c r="K140" s="54"/>
      <c r="L140" s="129"/>
      <c r="M140" s="54">
        <f t="shared" si="48"/>
        <v>0</v>
      </c>
      <c r="N140" s="129"/>
      <c r="O140" s="54">
        <f t="shared" si="49"/>
        <v>0</v>
      </c>
      <c r="P140" s="54">
        <f t="shared" si="50"/>
        <v>0</v>
      </c>
    </row>
    <row r="141" spans="2:16" ht="12.5">
      <c r="B141" s="7" t="str">
        <f t="shared" si="29"/>
        <v/>
      </c>
      <c r="C141" s="50">
        <f>IF(D93="","-",+C140+1)</f>
        <v>2059</v>
      </c>
      <c r="D141" s="12">
        <f>IF(F140+SUM(E$99:E140)=D$92,F140,D$92-SUM(E$99:E140))</f>
        <v>63448.067360608431</v>
      </c>
      <c r="E141" s="378">
        <f>IF(+J96&lt;F140,J96,D141)</f>
        <v>28347.536590909087</v>
      </c>
      <c r="F141" s="55">
        <f t="shared" si="45"/>
        <v>35100.53076969934</v>
      </c>
      <c r="G141" s="55">
        <f t="shared" si="46"/>
        <v>49274.299065153886</v>
      </c>
      <c r="H141" s="380">
        <f t="shared" si="43"/>
        <v>34483.484704729228</v>
      </c>
      <c r="I141" s="399">
        <f t="shared" si="44"/>
        <v>34483.484704729228</v>
      </c>
      <c r="J141" s="54">
        <f t="shared" si="47"/>
        <v>0</v>
      </c>
      <c r="K141" s="54"/>
      <c r="L141" s="129"/>
      <c r="M141" s="54">
        <f t="shared" si="48"/>
        <v>0</v>
      </c>
      <c r="N141" s="129"/>
      <c r="O141" s="54">
        <f t="shared" si="49"/>
        <v>0</v>
      </c>
      <c r="P141" s="54">
        <f t="shared" si="50"/>
        <v>0</v>
      </c>
    </row>
    <row r="142" spans="2:16" ht="12.5">
      <c r="B142" s="7" t="str">
        <f t="shared" si="29"/>
        <v/>
      </c>
      <c r="C142" s="50">
        <f>IF(D93="","-",+C141+1)</f>
        <v>2060</v>
      </c>
      <c r="D142" s="12">
        <f>IF(F141+SUM(E$99:E141)=D$92,F141,D$92-SUM(E$99:E141))</f>
        <v>35100.53076969934</v>
      </c>
      <c r="E142" s="378">
        <f>IF(+J96&lt;F141,J96,D142)</f>
        <v>28347.536590909087</v>
      </c>
      <c r="F142" s="55">
        <f t="shared" si="45"/>
        <v>6752.9941787902535</v>
      </c>
      <c r="G142" s="55">
        <f t="shared" si="46"/>
        <v>20926.762474244795</v>
      </c>
      <c r="H142" s="380">
        <f t="shared" si="43"/>
        <v>30953.469727825308</v>
      </c>
      <c r="I142" s="399">
        <f t="shared" si="44"/>
        <v>30953.469727825308</v>
      </c>
      <c r="J142" s="54">
        <f t="shared" si="47"/>
        <v>0</v>
      </c>
      <c r="K142" s="54"/>
      <c r="L142" s="129"/>
      <c r="M142" s="54">
        <f t="shared" si="48"/>
        <v>0</v>
      </c>
      <c r="N142" s="129"/>
      <c r="O142" s="54">
        <f t="shared" si="49"/>
        <v>0</v>
      </c>
      <c r="P142" s="54">
        <f t="shared" si="50"/>
        <v>0</v>
      </c>
    </row>
    <row r="143" spans="2:16" ht="12.5">
      <c r="B143" s="7" t="str">
        <f t="shared" si="29"/>
        <v/>
      </c>
      <c r="C143" s="50">
        <f>IF(D93="","-",+C142+1)</f>
        <v>2061</v>
      </c>
      <c r="D143" s="12">
        <f>IF(F142+SUM(E$99:E142)=D$92,F142,D$92-SUM(E$99:E142))</f>
        <v>6752.9941787902535</v>
      </c>
      <c r="E143" s="378">
        <f>IF(+J96&lt;F142,J96,D143)</f>
        <v>6752.9941787902535</v>
      </c>
      <c r="F143" s="55">
        <f t="shared" si="45"/>
        <v>0</v>
      </c>
      <c r="G143" s="55">
        <f t="shared" si="46"/>
        <v>3376.4970893951267</v>
      </c>
      <c r="H143" s="380">
        <f t="shared" si="43"/>
        <v>7173.457003022384</v>
      </c>
      <c r="I143" s="399">
        <f t="shared" si="44"/>
        <v>7173.457003022384</v>
      </c>
      <c r="J143" s="54">
        <f t="shared" si="47"/>
        <v>0</v>
      </c>
      <c r="K143" s="54"/>
      <c r="L143" s="129"/>
      <c r="M143" s="54">
        <f t="shared" si="48"/>
        <v>0</v>
      </c>
      <c r="N143" s="129"/>
      <c r="O143" s="54">
        <f t="shared" si="49"/>
        <v>0</v>
      </c>
      <c r="P143" s="54">
        <f t="shared" si="50"/>
        <v>0</v>
      </c>
    </row>
    <row r="144" spans="2:16" ht="12.5">
      <c r="B144" s="7" t="str">
        <f t="shared" si="29"/>
        <v/>
      </c>
      <c r="C144" s="50">
        <f>IF(D93="","-",+C143+1)</f>
        <v>2062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45"/>
        <v>0</v>
      </c>
      <c r="G144" s="55">
        <f t="shared" si="46"/>
        <v>0</v>
      </c>
      <c r="H144" s="380">
        <f t="shared" si="43"/>
        <v>0</v>
      </c>
      <c r="I144" s="399">
        <f t="shared" si="44"/>
        <v>0</v>
      </c>
      <c r="J144" s="54">
        <f t="shared" si="47"/>
        <v>0</v>
      </c>
      <c r="K144" s="54"/>
      <c r="L144" s="129"/>
      <c r="M144" s="54">
        <f t="shared" si="48"/>
        <v>0</v>
      </c>
      <c r="N144" s="129"/>
      <c r="O144" s="54">
        <f t="shared" si="49"/>
        <v>0</v>
      </c>
      <c r="P144" s="54">
        <f t="shared" si="50"/>
        <v>0</v>
      </c>
    </row>
    <row r="145" spans="2:16" ht="12.5">
      <c r="B145" s="7" t="str">
        <f t="shared" si="29"/>
        <v/>
      </c>
      <c r="C145" s="50">
        <f>IF(D93="","-",+C144+1)</f>
        <v>2063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45"/>
        <v>0</v>
      </c>
      <c r="G145" s="55">
        <f t="shared" si="46"/>
        <v>0</v>
      </c>
      <c r="H145" s="380">
        <f t="shared" si="43"/>
        <v>0</v>
      </c>
      <c r="I145" s="399">
        <f t="shared" si="44"/>
        <v>0</v>
      </c>
      <c r="J145" s="54">
        <f t="shared" si="47"/>
        <v>0</v>
      </c>
      <c r="K145" s="54"/>
      <c r="L145" s="129"/>
      <c r="M145" s="54">
        <f t="shared" si="48"/>
        <v>0</v>
      </c>
      <c r="N145" s="129"/>
      <c r="O145" s="54">
        <f t="shared" si="49"/>
        <v>0</v>
      </c>
      <c r="P145" s="54">
        <f t="shared" si="50"/>
        <v>0</v>
      </c>
    </row>
    <row r="146" spans="2:16" ht="12.5">
      <c r="B146" s="7" t="str">
        <f t="shared" si="29"/>
        <v/>
      </c>
      <c r="C146" s="50">
        <f>IF(D93="","-",+C145+1)</f>
        <v>2064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45"/>
        <v>0</v>
      </c>
      <c r="G146" s="55">
        <f t="shared" si="46"/>
        <v>0</v>
      </c>
      <c r="H146" s="380">
        <f t="shared" si="43"/>
        <v>0</v>
      </c>
      <c r="I146" s="399">
        <f t="shared" si="44"/>
        <v>0</v>
      </c>
      <c r="J146" s="54">
        <f t="shared" si="47"/>
        <v>0</v>
      </c>
      <c r="K146" s="54"/>
      <c r="L146" s="129"/>
      <c r="M146" s="54">
        <f t="shared" si="48"/>
        <v>0</v>
      </c>
      <c r="N146" s="129"/>
      <c r="O146" s="54">
        <f t="shared" si="49"/>
        <v>0</v>
      </c>
      <c r="P146" s="54">
        <f t="shared" si="50"/>
        <v>0</v>
      </c>
    </row>
    <row r="147" spans="2:16" ht="12.5">
      <c r="B147" s="7" t="str">
        <f t="shared" si="29"/>
        <v/>
      </c>
      <c r="C147" s="50">
        <f>IF(D93="","-",+C146+1)</f>
        <v>2065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45"/>
        <v>0</v>
      </c>
      <c r="G147" s="55">
        <f t="shared" si="46"/>
        <v>0</v>
      </c>
      <c r="H147" s="380">
        <f t="shared" si="43"/>
        <v>0</v>
      </c>
      <c r="I147" s="399">
        <f t="shared" si="44"/>
        <v>0</v>
      </c>
      <c r="J147" s="54">
        <f t="shared" si="47"/>
        <v>0</v>
      </c>
      <c r="K147" s="54"/>
      <c r="L147" s="129"/>
      <c r="M147" s="54">
        <f t="shared" si="48"/>
        <v>0</v>
      </c>
      <c r="N147" s="129"/>
      <c r="O147" s="54">
        <f t="shared" si="49"/>
        <v>0</v>
      </c>
      <c r="P147" s="54">
        <f t="shared" si="50"/>
        <v>0</v>
      </c>
    </row>
    <row r="148" spans="2:16" ht="12.5">
      <c r="B148" s="7" t="str">
        <f t="shared" si="29"/>
        <v/>
      </c>
      <c r="C148" s="50">
        <f>IF(D93="","-",+C147+1)</f>
        <v>2066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45"/>
        <v>0</v>
      </c>
      <c r="G148" s="55">
        <f t="shared" si="46"/>
        <v>0</v>
      </c>
      <c r="H148" s="380">
        <f t="shared" si="43"/>
        <v>0</v>
      </c>
      <c r="I148" s="399">
        <f t="shared" si="44"/>
        <v>0</v>
      </c>
      <c r="J148" s="54">
        <f t="shared" si="47"/>
        <v>0</v>
      </c>
      <c r="K148" s="54"/>
      <c r="L148" s="129"/>
      <c r="M148" s="54">
        <f t="shared" si="48"/>
        <v>0</v>
      </c>
      <c r="N148" s="129"/>
      <c r="O148" s="54">
        <f t="shared" si="49"/>
        <v>0</v>
      </c>
      <c r="P148" s="54">
        <f t="shared" si="50"/>
        <v>0</v>
      </c>
    </row>
    <row r="149" spans="2:16" ht="12.5">
      <c r="B149" s="7" t="str">
        <f t="shared" si="29"/>
        <v/>
      </c>
      <c r="C149" s="50">
        <f>IF(D93="","-",+C148+1)</f>
        <v>2067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45"/>
        <v>0</v>
      </c>
      <c r="G149" s="55">
        <f t="shared" si="46"/>
        <v>0</v>
      </c>
      <c r="H149" s="380">
        <f t="shared" si="43"/>
        <v>0</v>
      </c>
      <c r="I149" s="399">
        <f t="shared" si="44"/>
        <v>0</v>
      </c>
      <c r="J149" s="54">
        <f t="shared" si="47"/>
        <v>0</v>
      </c>
      <c r="K149" s="54"/>
      <c r="L149" s="129"/>
      <c r="M149" s="54">
        <f t="shared" si="48"/>
        <v>0</v>
      </c>
      <c r="N149" s="129"/>
      <c r="O149" s="54">
        <f t="shared" si="49"/>
        <v>0</v>
      </c>
      <c r="P149" s="54">
        <f t="shared" si="50"/>
        <v>0</v>
      </c>
    </row>
    <row r="150" spans="2:16" ht="12.5">
      <c r="B150" s="7" t="str">
        <f t="shared" si="29"/>
        <v/>
      </c>
      <c r="C150" s="50">
        <f>IF(D93="","-",+C149+1)</f>
        <v>2068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45"/>
        <v>0</v>
      </c>
      <c r="G150" s="55">
        <f t="shared" si="46"/>
        <v>0</v>
      </c>
      <c r="H150" s="380">
        <f t="shared" si="43"/>
        <v>0</v>
      </c>
      <c r="I150" s="399">
        <f t="shared" si="44"/>
        <v>0</v>
      </c>
      <c r="J150" s="54">
        <f t="shared" si="47"/>
        <v>0</v>
      </c>
      <c r="K150" s="54"/>
      <c r="L150" s="129"/>
      <c r="M150" s="54">
        <f t="shared" si="48"/>
        <v>0</v>
      </c>
      <c r="N150" s="129"/>
      <c r="O150" s="54">
        <f t="shared" si="49"/>
        <v>0</v>
      </c>
      <c r="P150" s="54">
        <f t="shared" si="50"/>
        <v>0</v>
      </c>
    </row>
    <row r="151" spans="2:16" ht="12.5">
      <c r="B151" s="7" t="str">
        <f t="shared" si="29"/>
        <v/>
      </c>
      <c r="C151" s="50">
        <f>IF(D93="","-",+C150+1)</f>
        <v>2069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45"/>
        <v>0</v>
      </c>
      <c r="G151" s="55">
        <f t="shared" si="46"/>
        <v>0</v>
      </c>
      <c r="H151" s="380">
        <f t="shared" si="43"/>
        <v>0</v>
      </c>
      <c r="I151" s="399">
        <f t="shared" si="44"/>
        <v>0</v>
      </c>
      <c r="J151" s="54">
        <f t="shared" si="47"/>
        <v>0</v>
      </c>
      <c r="K151" s="54"/>
      <c r="L151" s="129"/>
      <c r="M151" s="54">
        <f t="shared" si="48"/>
        <v>0</v>
      </c>
      <c r="N151" s="129"/>
      <c r="O151" s="54">
        <f t="shared" si="49"/>
        <v>0</v>
      </c>
      <c r="P151" s="54">
        <f t="shared" si="50"/>
        <v>0</v>
      </c>
    </row>
    <row r="152" spans="2:16" ht="12.5">
      <c r="B152" s="7" t="str">
        <f t="shared" si="29"/>
        <v/>
      </c>
      <c r="C152" s="50">
        <f>IF(D93="","-",+C151+1)</f>
        <v>2070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45"/>
        <v>0</v>
      </c>
      <c r="G152" s="55">
        <f t="shared" si="46"/>
        <v>0</v>
      </c>
      <c r="H152" s="380">
        <f t="shared" si="43"/>
        <v>0</v>
      </c>
      <c r="I152" s="399">
        <f t="shared" si="44"/>
        <v>0</v>
      </c>
      <c r="J152" s="54">
        <f t="shared" si="47"/>
        <v>0</v>
      </c>
      <c r="K152" s="54"/>
      <c r="L152" s="129"/>
      <c r="M152" s="54">
        <f t="shared" si="48"/>
        <v>0</v>
      </c>
      <c r="N152" s="129"/>
      <c r="O152" s="54">
        <f t="shared" si="49"/>
        <v>0</v>
      </c>
      <c r="P152" s="54">
        <f t="shared" si="50"/>
        <v>0</v>
      </c>
    </row>
    <row r="153" spans="2:16" ht="12.5">
      <c r="B153" s="7" t="str">
        <f t="shared" si="29"/>
        <v/>
      </c>
      <c r="C153" s="50">
        <f>IF(D93="","-",+C152+1)</f>
        <v>2071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45"/>
        <v>0</v>
      </c>
      <c r="G153" s="55">
        <f t="shared" si="46"/>
        <v>0</v>
      </c>
      <c r="H153" s="380">
        <f t="shared" si="43"/>
        <v>0</v>
      </c>
      <c r="I153" s="399">
        <f t="shared" si="44"/>
        <v>0</v>
      </c>
      <c r="J153" s="54">
        <f t="shared" si="47"/>
        <v>0</v>
      </c>
      <c r="K153" s="54"/>
      <c r="L153" s="129"/>
      <c r="M153" s="54">
        <f t="shared" si="48"/>
        <v>0</v>
      </c>
      <c r="N153" s="129"/>
      <c r="O153" s="54">
        <f t="shared" si="49"/>
        <v>0</v>
      </c>
      <c r="P153" s="54">
        <f t="shared" si="50"/>
        <v>0</v>
      </c>
    </row>
    <row r="154" spans="2:16" ht="13" thickBot="1">
      <c r="B154" s="7" t="str">
        <f t="shared" si="29"/>
        <v/>
      </c>
      <c r="C154" s="59">
        <f>IF(D93="","-",+C153+1)</f>
        <v>2072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45"/>
        <v>0</v>
      </c>
      <c r="G154" s="60">
        <f t="shared" si="46"/>
        <v>0</v>
      </c>
      <c r="H154" s="382">
        <f t="shared" si="43"/>
        <v>0</v>
      </c>
      <c r="I154" s="400">
        <f t="shared" si="44"/>
        <v>0</v>
      </c>
      <c r="J154" s="64">
        <f t="shared" si="47"/>
        <v>0</v>
      </c>
      <c r="K154" s="54"/>
      <c r="L154" s="130"/>
      <c r="M154" s="64">
        <f t="shared" si="48"/>
        <v>0</v>
      </c>
      <c r="N154" s="130"/>
      <c r="O154" s="64">
        <f t="shared" si="49"/>
        <v>0</v>
      </c>
      <c r="P154" s="64">
        <f t="shared" si="50"/>
        <v>0</v>
      </c>
    </row>
    <row r="155" spans="2:16" ht="12.5">
      <c r="C155" s="12" t="s">
        <v>78</v>
      </c>
      <c r="D155" s="293"/>
      <c r="E155" s="293">
        <f>SUM(E99:E154)</f>
        <v>1247291.6100000001</v>
      </c>
      <c r="F155" s="293"/>
      <c r="G155" s="293"/>
      <c r="H155" s="293">
        <f>SUM(H99:H154)</f>
        <v>4539419.1202049153</v>
      </c>
      <c r="I155" s="293">
        <f>SUM(I99:I154)</f>
        <v>4539419.1202049153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 ht="12.5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 ht="13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33" priority="1" stopIfTrue="1" operator="equal">
      <formula>$I$10</formula>
    </cfRule>
  </conditionalFormatting>
  <conditionalFormatting sqref="C99:C154">
    <cfRule type="cellIs" dxfId="32" priority="3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12"/>
  <dimension ref="A1:P162"/>
  <sheetViews>
    <sheetView topLeftCell="A85" zoomScaleNormal="100" zoomScaleSheetLayoutView="80" workbookViewId="0">
      <selection activeCell="D24" sqref="D24:H24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63 of 77</v>
      </c>
    </row>
    <row r="2" spans="1:16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569634.67373494396</v>
      </c>
      <c r="P5" s="1"/>
    </row>
    <row r="6" spans="1:16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569634.67373494396</v>
      </c>
      <c r="O6" s="1"/>
      <c r="P6" s="1"/>
    </row>
    <row r="7" spans="1:16" ht="13.5" thickBot="1">
      <c r="C7" s="25" t="s">
        <v>48</v>
      </c>
      <c r="D7" s="90" t="s">
        <v>386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412</v>
      </c>
      <c r="E9" s="436" t="s">
        <v>413</v>
      </c>
      <c r="F9" s="31"/>
      <c r="G9" s="31"/>
      <c r="H9" s="31"/>
      <c r="I9" s="32"/>
      <c r="J9" s="33"/>
      <c r="P9" s="1"/>
    </row>
    <row r="10" spans="1:16" ht="13">
      <c r="C10" s="34" t="s">
        <v>51</v>
      </c>
      <c r="D10" s="363">
        <v>4648771.29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6" ht="12.5">
      <c r="C11" s="34" t="s">
        <v>54</v>
      </c>
      <c r="D11" s="37">
        <v>2017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3">
        <v>12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105653.89295454546</v>
      </c>
      <c r="J14" s="293"/>
      <c r="K14" s="293"/>
      <c r="L14" s="293"/>
      <c r="M14" s="293"/>
      <c r="N14" s="293"/>
      <c r="O14" s="1"/>
      <c r="P14" s="1"/>
    </row>
    <row r="15" spans="1:16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3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2017</v>
      </c>
      <c r="D17" s="145">
        <v>0</v>
      </c>
      <c r="E17" s="453">
        <v>0</v>
      </c>
      <c r="F17" s="147">
        <v>5508000</v>
      </c>
      <c r="G17" s="454">
        <v>341200.03757960664</v>
      </c>
      <c r="H17" s="452">
        <v>341200.03757960664</v>
      </c>
      <c r="I17" s="52">
        <f t="shared" ref="I17:I72" si="0">H17-G17</f>
        <v>0</v>
      </c>
      <c r="J17" s="52"/>
      <c r="K17" s="112">
        <f t="shared" ref="K17:K22" si="1">+G17</f>
        <v>341200.03757960664</v>
      </c>
      <c r="L17" s="53">
        <f t="shared" ref="L17:L72" si="2">IF(K17&lt;&gt;0,+G17-K17,0)</f>
        <v>0</v>
      </c>
      <c r="M17" s="112">
        <f t="shared" ref="M17:M22" si="3">+H17</f>
        <v>341200.03757960664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2018</v>
      </c>
      <c r="D18" s="431">
        <v>5508000</v>
      </c>
      <c r="E18" s="430">
        <v>134341.46341463414</v>
      </c>
      <c r="F18" s="431">
        <v>5373658.5365853654</v>
      </c>
      <c r="G18" s="430">
        <v>825838.75669079332</v>
      </c>
      <c r="H18" s="438">
        <v>825838.75669079332</v>
      </c>
      <c r="I18" s="52">
        <f t="shared" si="0"/>
        <v>0</v>
      </c>
      <c r="J18" s="52"/>
      <c r="K18" s="113">
        <f t="shared" si="1"/>
        <v>825838.75669079332</v>
      </c>
      <c r="L18" s="54">
        <f t="shared" si="2"/>
        <v>0</v>
      </c>
      <c r="M18" s="113">
        <f t="shared" si="3"/>
        <v>825838.75669079332</v>
      </c>
      <c r="N18" s="54">
        <f t="shared" si="4"/>
        <v>0</v>
      </c>
      <c r="O18" s="54">
        <f t="shared" si="5"/>
        <v>0</v>
      </c>
      <c r="P18" s="1"/>
    </row>
    <row r="19" spans="2:16" ht="12.5">
      <c r="B19" s="7" t="str">
        <f>IF(D19=F18,"","IU")</f>
        <v/>
      </c>
      <c r="C19" s="50">
        <f>IF(D11="","-",+C18+1)</f>
        <v>2019</v>
      </c>
      <c r="D19" s="431">
        <v>5373658.5365853654</v>
      </c>
      <c r="E19" s="430">
        <v>134341.46341463414</v>
      </c>
      <c r="F19" s="431">
        <v>5239317.0731707308</v>
      </c>
      <c r="G19" s="430">
        <v>808764.74944940675</v>
      </c>
      <c r="H19" s="438">
        <v>808764.74944940675</v>
      </c>
      <c r="I19" s="52">
        <f t="shared" si="0"/>
        <v>0</v>
      </c>
      <c r="J19" s="52"/>
      <c r="K19" s="113">
        <f t="shared" si="1"/>
        <v>808764.74944940675</v>
      </c>
      <c r="L19" s="54">
        <f t="shared" ref="L19" si="6">IF(K19&lt;&gt;0,+G19-K19,0)</f>
        <v>0</v>
      </c>
      <c r="M19" s="113">
        <f t="shared" si="3"/>
        <v>808764.74944940675</v>
      </c>
      <c r="N19" s="54">
        <f t="shared" si="4"/>
        <v>0</v>
      </c>
      <c r="O19" s="54">
        <f t="shared" si="5"/>
        <v>0</v>
      </c>
      <c r="P19" s="1"/>
    </row>
    <row r="20" spans="2:16" ht="12.5">
      <c r="B20" s="7" t="str">
        <f t="shared" ref="B20:B72" si="7">IF(D20=F19,"","IU")</f>
        <v>IU</v>
      </c>
      <c r="C20" s="50">
        <f>IF(D11="","-",+C19+1)</f>
        <v>2020</v>
      </c>
      <c r="D20" s="431">
        <v>4380853.0731707318</v>
      </c>
      <c r="E20" s="430">
        <v>113403.31707317074</v>
      </c>
      <c r="F20" s="431">
        <v>4267449.7560975607</v>
      </c>
      <c r="G20" s="430">
        <v>555917.3208188233</v>
      </c>
      <c r="H20" s="438">
        <v>555917.3208188233</v>
      </c>
      <c r="I20" s="52">
        <f t="shared" si="0"/>
        <v>0</v>
      </c>
      <c r="J20" s="52"/>
      <c r="K20" s="113">
        <f t="shared" si="1"/>
        <v>555917.3208188233</v>
      </c>
      <c r="L20" s="54">
        <f t="shared" ref="L20" si="8">IF(K20&lt;&gt;0,+G20-K20,0)</f>
        <v>0</v>
      </c>
      <c r="M20" s="113">
        <f t="shared" si="3"/>
        <v>555917.3208188233</v>
      </c>
      <c r="N20" s="54">
        <f t="shared" si="4"/>
        <v>0</v>
      </c>
      <c r="O20" s="54">
        <f t="shared" si="5"/>
        <v>0</v>
      </c>
      <c r="P20" s="1"/>
    </row>
    <row r="21" spans="2:16" ht="12.5">
      <c r="B21" s="7" t="str">
        <f t="shared" si="7"/>
        <v>IU</v>
      </c>
      <c r="C21" s="50">
        <f>IF(D11="","-",+C20+1)</f>
        <v>2021</v>
      </c>
      <c r="D21" s="431">
        <v>4272933.1962563815</v>
      </c>
      <c r="E21" s="430">
        <v>110685.02380952382</v>
      </c>
      <c r="F21" s="431">
        <v>4162248.1724468577</v>
      </c>
      <c r="G21" s="430">
        <v>557768.80548021838</v>
      </c>
      <c r="H21" s="438">
        <v>557768.80548021838</v>
      </c>
      <c r="I21" s="52">
        <f t="shared" si="0"/>
        <v>0</v>
      </c>
      <c r="J21" s="52"/>
      <c r="K21" s="113">
        <f t="shared" si="1"/>
        <v>557768.80548021838</v>
      </c>
      <c r="L21" s="54">
        <f t="shared" ref="L21" si="9">IF(K21&lt;&gt;0,+G21-K21,0)</f>
        <v>0</v>
      </c>
      <c r="M21" s="113">
        <f t="shared" si="3"/>
        <v>557768.80548021838</v>
      </c>
      <c r="N21" s="54">
        <f t="shared" si="4"/>
        <v>0</v>
      </c>
      <c r="O21" s="54">
        <f t="shared" si="5"/>
        <v>0</v>
      </c>
      <c r="P21" s="1"/>
    </row>
    <row r="22" spans="2:16" ht="12.5">
      <c r="B22" s="7" t="str">
        <f t="shared" si="7"/>
        <v>IU</v>
      </c>
      <c r="C22" s="50">
        <f>IF(D11="","-",+C21+1)</f>
        <v>2022</v>
      </c>
      <c r="D22" s="431">
        <v>4155999.7322880374</v>
      </c>
      <c r="E22" s="430">
        <v>110685.02380952382</v>
      </c>
      <c r="F22" s="431">
        <v>4045314.7084785136</v>
      </c>
      <c r="G22" s="430">
        <v>571779.72158256301</v>
      </c>
      <c r="H22" s="438">
        <v>571779.72158256301</v>
      </c>
      <c r="I22" s="52">
        <f t="shared" si="0"/>
        <v>0</v>
      </c>
      <c r="J22" s="52"/>
      <c r="K22" s="113">
        <f t="shared" si="1"/>
        <v>571779.72158256301</v>
      </c>
      <c r="L22" s="54">
        <f t="shared" ref="L22" si="10">IF(K22&lt;&gt;0,+G22-K22,0)</f>
        <v>0</v>
      </c>
      <c r="M22" s="113">
        <f t="shared" si="3"/>
        <v>571779.72158256301</v>
      </c>
      <c r="N22" s="54">
        <f t="shared" si="4"/>
        <v>0</v>
      </c>
      <c r="O22" s="54">
        <f t="shared" si="5"/>
        <v>0</v>
      </c>
      <c r="P22" s="1"/>
    </row>
    <row r="23" spans="2:16" ht="12.5">
      <c r="B23" s="7" t="str">
        <f t="shared" si="7"/>
        <v>IU</v>
      </c>
      <c r="C23" s="50">
        <f>IF(D11="","-",+C22+1)</f>
        <v>2023</v>
      </c>
      <c r="D23" s="431">
        <v>4045314.9984785132</v>
      </c>
      <c r="E23" s="430">
        <v>110685.03071428572</v>
      </c>
      <c r="F23" s="431">
        <v>3934629.9677642277</v>
      </c>
      <c r="G23" s="430">
        <v>614725.43863410503</v>
      </c>
      <c r="H23" s="438">
        <v>614725.43863410503</v>
      </c>
      <c r="I23" s="52">
        <f t="shared" si="0"/>
        <v>0</v>
      </c>
      <c r="J23" s="52"/>
      <c r="K23" s="113">
        <f t="shared" ref="K23" si="11">+G23</f>
        <v>614725.43863410503</v>
      </c>
      <c r="L23" s="54">
        <f t="shared" ref="L23" si="12">IF(K23&lt;&gt;0,+G23-K23,0)</f>
        <v>0</v>
      </c>
      <c r="M23" s="113">
        <f t="shared" ref="M23" si="13">+H23</f>
        <v>614725.43863410503</v>
      </c>
      <c r="N23" s="54">
        <f t="shared" si="4"/>
        <v>0</v>
      </c>
      <c r="O23" s="54">
        <f t="shared" si="5"/>
        <v>0</v>
      </c>
      <c r="P23" s="1"/>
    </row>
    <row r="24" spans="2:16" ht="12.5">
      <c r="B24" s="7" t="str">
        <f t="shared" si="7"/>
        <v/>
      </c>
      <c r="C24" s="50">
        <f>IF(D11="","-",+C23+1)</f>
        <v>2024</v>
      </c>
      <c r="D24" s="431">
        <v>3934629.9677642277</v>
      </c>
      <c r="E24" s="430">
        <v>105653.89295454546</v>
      </c>
      <c r="F24" s="431">
        <v>3828976.0748096821</v>
      </c>
      <c r="G24" s="430">
        <v>569634.67373494396</v>
      </c>
      <c r="H24" s="438">
        <v>569634.67373494396</v>
      </c>
      <c r="I24" s="52">
        <f t="shared" si="0"/>
        <v>0</v>
      </c>
      <c r="J24" s="52"/>
      <c r="K24" s="113">
        <f t="shared" ref="K24" si="14">+G24</f>
        <v>569634.67373494396</v>
      </c>
      <c r="L24" s="54">
        <f t="shared" ref="L24" si="15">IF(K24&lt;&gt;0,+G24-K24,0)</f>
        <v>0</v>
      </c>
      <c r="M24" s="113">
        <f t="shared" ref="M24" si="16">+H24</f>
        <v>569634.67373494396</v>
      </c>
      <c r="N24" s="54">
        <f t="shared" ref="N24" si="17">IF(M24&lt;&gt;0,+H24-M24,0)</f>
        <v>0</v>
      </c>
      <c r="O24" s="54">
        <f t="shared" ref="O24" si="18">+N24-L24</f>
        <v>0</v>
      </c>
      <c r="P24" s="1"/>
    </row>
    <row r="25" spans="2:16" ht="12.5">
      <c r="B25" s="7" t="str">
        <f t="shared" si="7"/>
        <v/>
      </c>
      <c r="C25" s="50">
        <f>IF(D11="","-",+C24+1)</f>
        <v>2025</v>
      </c>
      <c r="D25" s="55">
        <f>IF(F24+SUM(E$17:E24)=D$10,F24,D$10-SUM(E$17:E24))</f>
        <v>3828976.0748096821</v>
      </c>
      <c r="E25" s="378">
        <f>IF(+I14&lt;F24,I14,D25)</f>
        <v>105653.89295454546</v>
      </c>
      <c r="F25" s="55">
        <f t="shared" ref="F25:F72" si="19">+D25-E25</f>
        <v>3723322.1818551365</v>
      </c>
      <c r="G25" s="379">
        <f t="shared" ref="G25:G48" si="20">+I$12*((D25+F25)/2)+E25</f>
        <v>557006.1669620045</v>
      </c>
      <c r="H25" s="364">
        <f t="shared" ref="H25:H48" si="21">+I$13*((D25+F25)/2)+E25</f>
        <v>557006.1669620045</v>
      </c>
      <c r="I25" s="52">
        <f t="shared" si="0"/>
        <v>0</v>
      </c>
      <c r="J25" s="52"/>
      <c r="K25" s="129"/>
      <c r="L25" s="54">
        <f t="shared" si="2"/>
        <v>0</v>
      </c>
      <c r="M25" s="129"/>
      <c r="N25" s="54">
        <f t="shared" si="4"/>
        <v>0</v>
      </c>
      <c r="O25" s="54">
        <f t="shared" si="5"/>
        <v>0</v>
      </c>
      <c r="P25" s="1"/>
    </row>
    <row r="26" spans="2:16" ht="12.5">
      <c r="B26" s="7" t="str">
        <f t="shared" si="7"/>
        <v/>
      </c>
      <c r="C26" s="50">
        <f>IF(D11="","-",+C25+1)</f>
        <v>2026</v>
      </c>
      <c r="D26" s="55">
        <f>IF(F25+SUM(E$17:E25)=D$10,F25,D$10-SUM(E$17:E25))</f>
        <v>3723322.1818551365</v>
      </c>
      <c r="E26" s="378">
        <f>IF(+I14&lt;F25,I14,D26)</f>
        <v>105653.89295454546</v>
      </c>
      <c r="F26" s="55">
        <f t="shared" si="19"/>
        <v>3617668.288900591</v>
      </c>
      <c r="G26" s="379">
        <f t="shared" si="20"/>
        <v>544377.66018906527</v>
      </c>
      <c r="H26" s="364">
        <f t="shared" si="21"/>
        <v>544377.66018906527</v>
      </c>
      <c r="I26" s="52">
        <f t="shared" si="0"/>
        <v>0</v>
      </c>
      <c r="J26" s="52"/>
      <c r="K26" s="129"/>
      <c r="L26" s="54">
        <f t="shared" si="2"/>
        <v>0</v>
      </c>
      <c r="M26" s="129"/>
      <c r="N26" s="54">
        <f t="shared" si="4"/>
        <v>0</v>
      </c>
      <c r="O26" s="54">
        <f t="shared" si="5"/>
        <v>0</v>
      </c>
      <c r="P26" s="1"/>
    </row>
    <row r="27" spans="2:16" ht="12.5">
      <c r="B27" s="7" t="str">
        <f t="shared" si="7"/>
        <v/>
      </c>
      <c r="C27" s="50">
        <f>IF(D11="","-",+C26+1)</f>
        <v>2027</v>
      </c>
      <c r="D27" s="55">
        <f>IF(F26+SUM(E$17:E26)=D$10,F26,D$10-SUM(E$17:E26))</f>
        <v>3617668.288900591</v>
      </c>
      <c r="E27" s="378">
        <f>IF(+I14&lt;F26,I14,D27)</f>
        <v>105653.89295454546</v>
      </c>
      <c r="F27" s="55">
        <f t="shared" si="19"/>
        <v>3512014.3959460454</v>
      </c>
      <c r="G27" s="379">
        <f t="shared" si="20"/>
        <v>531749.1534161258</v>
      </c>
      <c r="H27" s="364">
        <f t="shared" si="21"/>
        <v>531749.1534161258</v>
      </c>
      <c r="I27" s="52">
        <f t="shared" si="0"/>
        <v>0</v>
      </c>
      <c r="J27" s="52"/>
      <c r="K27" s="129"/>
      <c r="L27" s="54">
        <f t="shared" si="2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7"/>
        <v/>
      </c>
      <c r="C28" s="50">
        <f>IF(D11="","-",+C27+1)</f>
        <v>2028</v>
      </c>
      <c r="D28" s="55">
        <f>IF(F27+SUM(E$17:E27)=D$10,F27,D$10-SUM(E$17:E27))</f>
        <v>3512014.3959460454</v>
      </c>
      <c r="E28" s="378">
        <f>IF(+I14&lt;F27,I14,D28)</f>
        <v>105653.89295454546</v>
      </c>
      <c r="F28" s="55">
        <f t="shared" si="19"/>
        <v>3406360.5029914998</v>
      </c>
      <c r="G28" s="379">
        <f t="shared" si="20"/>
        <v>519120.64664318657</v>
      </c>
      <c r="H28" s="364">
        <f t="shared" si="21"/>
        <v>519120.64664318657</v>
      </c>
      <c r="I28" s="52">
        <f t="shared" si="0"/>
        <v>0</v>
      </c>
      <c r="J28" s="52"/>
      <c r="K28" s="129"/>
      <c r="L28" s="54">
        <f t="shared" si="2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7"/>
        <v/>
      </c>
      <c r="C29" s="50">
        <f>IF(D11="","-",+C28+1)</f>
        <v>2029</v>
      </c>
      <c r="D29" s="55">
        <f>IF(F28+SUM(E$17:E28)=D$10,F28,D$10-SUM(E$17:E28))</f>
        <v>3406360.5029914998</v>
      </c>
      <c r="E29" s="378">
        <f>IF(+I14&lt;F28,I14,D29)</f>
        <v>105653.89295454546</v>
      </c>
      <c r="F29" s="55">
        <f t="shared" si="19"/>
        <v>3300706.6100369543</v>
      </c>
      <c r="G29" s="379">
        <f t="shared" si="20"/>
        <v>506492.13987024716</v>
      </c>
      <c r="H29" s="364">
        <f t="shared" si="21"/>
        <v>506492.13987024716</v>
      </c>
      <c r="I29" s="52">
        <f t="shared" si="0"/>
        <v>0</v>
      </c>
      <c r="J29" s="52"/>
      <c r="K29" s="129"/>
      <c r="L29" s="54">
        <f t="shared" si="2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7"/>
        <v/>
      </c>
      <c r="C30" s="50">
        <f>IF(D11="","-",+C29+1)</f>
        <v>2030</v>
      </c>
      <c r="D30" s="55">
        <f>IF(F29+SUM(E$17:E29)=D$10,F29,D$10-SUM(E$17:E29))</f>
        <v>3300706.6100369543</v>
      </c>
      <c r="E30" s="378">
        <f>IF(+I14&lt;F29,I14,D30)</f>
        <v>105653.89295454546</v>
      </c>
      <c r="F30" s="55">
        <f t="shared" si="19"/>
        <v>3195052.7170824087</v>
      </c>
      <c r="G30" s="379">
        <f t="shared" si="20"/>
        <v>493863.63309730787</v>
      </c>
      <c r="H30" s="364">
        <f t="shared" si="21"/>
        <v>493863.63309730787</v>
      </c>
      <c r="I30" s="52">
        <f t="shared" si="0"/>
        <v>0</v>
      </c>
      <c r="J30" s="52"/>
      <c r="K30" s="129"/>
      <c r="L30" s="54">
        <f t="shared" si="2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7"/>
        <v/>
      </c>
      <c r="C31" s="50">
        <f>IF(D11="","-",+C30+1)</f>
        <v>2031</v>
      </c>
      <c r="D31" s="55">
        <f>IF(F30+SUM(E$17:E30)=D$10,F30,D$10-SUM(E$17:E30))</f>
        <v>3195052.7170824087</v>
      </c>
      <c r="E31" s="378">
        <f>IF(+I14&lt;F30,I14,D31)</f>
        <v>105653.89295454546</v>
      </c>
      <c r="F31" s="55">
        <f t="shared" si="19"/>
        <v>3089398.8241278632</v>
      </c>
      <c r="G31" s="379">
        <f t="shared" si="20"/>
        <v>481235.12632436847</v>
      </c>
      <c r="H31" s="364">
        <f t="shared" si="21"/>
        <v>481235.12632436847</v>
      </c>
      <c r="I31" s="52">
        <f t="shared" si="0"/>
        <v>0</v>
      </c>
      <c r="J31" s="52"/>
      <c r="K31" s="129"/>
      <c r="L31" s="54">
        <f t="shared" si="2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7"/>
        <v/>
      </c>
      <c r="C32" s="50">
        <f>IF(D11="","-",+C31+1)</f>
        <v>2032</v>
      </c>
      <c r="D32" s="55">
        <f>IF(F31+SUM(E$17:E31)=D$10,F31,D$10-SUM(E$17:E31))</f>
        <v>3089398.8241278632</v>
      </c>
      <c r="E32" s="378">
        <f>IF(+I14&lt;F31,I14,D32)</f>
        <v>105653.89295454546</v>
      </c>
      <c r="F32" s="55">
        <f t="shared" si="19"/>
        <v>2983744.9311733176</v>
      </c>
      <c r="G32" s="379">
        <f t="shared" si="20"/>
        <v>468606.61955142918</v>
      </c>
      <c r="H32" s="364">
        <f t="shared" si="21"/>
        <v>468606.61955142918</v>
      </c>
      <c r="I32" s="52">
        <f t="shared" si="0"/>
        <v>0</v>
      </c>
      <c r="J32" s="52"/>
      <c r="K32" s="129"/>
      <c r="L32" s="54">
        <f t="shared" si="2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7"/>
        <v/>
      </c>
      <c r="C33" s="50">
        <f>IF(D11="","-",+C32+1)</f>
        <v>2033</v>
      </c>
      <c r="D33" s="55">
        <f>IF(F32+SUM(E$17:E32)=D$10,F32,D$10-SUM(E$17:E32))</f>
        <v>2983744.9311733176</v>
      </c>
      <c r="E33" s="378">
        <f>IF(+I14&lt;F32,I14,D33)</f>
        <v>105653.89295454546</v>
      </c>
      <c r="F33" s="55">
        <f t="shared" si="19"/>
        <v>2878091.038218772</v>
      </c>
      <c r="G33" s="379">
        <f t="shared" si="20"/>
        <v>455978.11277848983</v>
      </c>
      <c r="H33" s="364">
        <f t="shared" si="21"/>
        <v>455978.11277848983</v>
      </c>
      <c r="I33" s="52">
        <f t="shared" si="0"/>
        <v>0</v>
      </c>
      <c r="J33" s="52"/>
      <c r="K33" s="129"/>
      <c r="L33" s="54">
        <f t="shared" si="2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7"/>
        <v/>
      </c>
      <c r="C34" s="50">
        <f>IF(D11="","-",+C33+1)</f>
        <v>2034</v>
      </c>
      <c r="D34" s="55">
        <f>IF(F33+SUM(E$17:E33)=D$10,F33,D$10-SUM(E$17:E33))</f>
        <v>2878091.038218772</v>
      </c>
      <c r="E34" s="378">
        <f>IF(+I14&lt;F33,I14,D34)</f>
        <v>105653.89295454546</v>
      </c>
      <c r="F34" s="55">
        <f t="shared" si="19"/>
        <v>2772437.1452642265</v>
      </c>
      <c r="G34" s="379">
        <f t="shared" si="20"/>
        <v>443349.60600555054</v>
      </c>
      <c r="H34" s="364">
        <f t="shared" si="21"/>
        <v>443349.60600555054</v>
      </c>
      <c r="I34" s="52">
        <f t="shared" si="0"/>
        <v>0</v>
      </c>
      <c r="J34" s="52"/>
      <c r="K34" s="129"/>
      <c r="L34" s="54">
        <f t="shared" si="2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7"/>
        <v/>
      </c>
      <c r="C35" s="50">
        <f>IF(D11="","-",+C34+1)</f>
        <v>2035</v>
      </c>
      <c r="D35" s="55">
        <f>IF(F34+SUM(E$17:E34)=D$10,F34,D$10-SUM(E$17:E34))</f>
        <v>2772437.1452642265</v>
      </c>
      <c r="E35" s="378">
        <f>IF(+I14&lt;F34,I14,D35)</f>
        <v>105653.89295454546</v>
      </c>
      <c r="F35" s="55">
        <f t="shared" si="19"/>
        <v>2666783.2523096809</v>
      </c>
      <c r="G35" s="379">
        <f t="shared" si="20"/>
        <v>430721.09923261113</v>
      </c>
      <c r="H35" s="364">
        <f t="shared" si="21"/>
        <v>430721.09923261113</v>
      </c>
      <c r="I35" s="52">
        <f t="shared" si="0"/>
        <v>0</v>
      </c>
      <c r="J35" s="52"/>
      <c r="K35" s="129"/>
      <c r="L35" s="54">
        <f t="shared" si="2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7"/>
        <v/>
      </c>
      <c r="C36" s="50">
        <f>IF(D11="","-",+C35+1)</f>
        <v>2036</v>
      </c>
      <c r="D36" s="55">
        <f>IF(F35+SUM(E$17:E35)=D$10,F35,D$10-SUM(E$17:E35))</f>
        <v>2666783.2523096809</v>
      </c>
      <c r="E36" s="378">
        <f>IF(+I14&lt;F35,I14,D36)</f>
        <v>105653.89295454546</v>
      </c>
      <c r="F36" s="55">
        <f t="shared" si="19"/>
        <v>2561129.3593551354</v>
      </c>
      <c r="G36" s="379">
        <f t="shared" si="20"/>
        <v>418092.59245967184</v>
      </c>
      <c r="H36" s="364">
        <f t="shared" si="21"/>
        <v>418092.59245967184</v>
      </c>
      <c r="I36" s="52">
        <f t="shared" si="0"/>
        <v>0</v>
      </c>
      <c r="J36" s="52"/>
      <c r="K36" s="129"/>
      <c r="L36" s="54">
        <f t="shared" si="2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7"/>
        <v/>
      </c>
      <c r="C37" s="50">
        <f>IF(D11="","-",+C36+1)</f>
        <v>2037</v>
      </c>
      <c r="D37" s="55">
        <f>IF(F36+SUM(E$17:E36)=D$10,F36,D$10-SUM(E$17:E36))</f>
        <v>2561129.3593551354</v>
      </c>
      <c r="E37" s="378">
        <f>IF(+I14&lt;F36,I14,D37)</f>
        <v>105653.89295454546</v>
      </c>
      <c r="F37" s="55">
        <f t="shared" si="19"/>
        <v>2455475.4664005898</v>
      </c>
      <c r="G37" s="379">
        <f t="shared" si="20"/>
        <v>405464.08568673249</v>
      </c>
      <c r="H37" s="364">
        <f t="shared" si="21"/>
        <v>405464.08568673249</v>
      </c>
      <c r="I37" s="52">
        <f t="shared" si="0"/>
        <v>0</v>
      </c>
      <c r="J37" s="52"/>
      <c r="K37" s="129"/>
      <c r="L37" s="54">
        <f t="shared" si="2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7"/>
        <v/>
      </c>
      <c r="C38" s="50">
        <f>IF(D11="","-",+C37+1)</f>
        <v>2038</v>
      </c>
      <c r="D38" s="55">
        <f>IF(F37+SUM(E$17:E37)=D$10,F37,D$10-SUM(E$17:E37))</f>
        <v>2455475.4664005898</v>
      </c>
      <c r="E38" s="378">
        <f>IF(+I14&lt;F37,I14,D38)</f>
        <v>105653.89295454546</v>
      </c>
      <c r="F38" s="55">
        <f t="shared" si="19"/>
        <v>2349821.5734460442</v>
      </c>
      <c r="G38" s="379">
        <f t="shared" si="20"/>
        <v>392835.5789137932</v>
      </c>
      <c r="H38" s="364">
        <f t="shared" si="21"/>
        <v>392835.5789137932</v>
      </c>
      <c r="I38" s="52">
        <f t="shared" si="0"/>
        <v>0</v>
      </c>
      <c r="J38" s="52"/>
      <c r="K38" s="129"/>
      <c r="L38" s="54">
        <f t="shared" si="2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7"/>
        <v/>
      </c>
      <c r="C39" s="50">
        <f>IF(D11="","-",+C38+1)</f>
        <v>2039</v>
      </c>
      <c r="D39" s="55">
        <f>IF(F38+SUM(E$17:E38)=D$10,F38,D$10-SUM(E$17:E38))</f>
        <v>2349821.5734460442</v>
      </c>
      <c r="E39" s="378">
        <f>IF(+I14&lt;F38,I14,D39)</f>
        <v>105653.89295454546</v>
      </c>
      <c r="F39" s="55">
        <f t="shared" si="19"/>
        <v>2244167.6804914987</v>
      </c>
      <c r="G39" s="379">
        <f t="shared" si="20"/>
        <v>380207.07214085379</v>
      </c>
      <c r="H39" s="364">
        <f t="shared" si="21"/>
        <v>380207.07214085379</v>
      </c>
      <c r="I39" s="52">
        <f t="shared" si="0"/>
        <v>0</v>
      </c>
      <c r="J39" s="52"/>
      <c r="K39" s="129"/>
      <c r="L39" s="54">
        <f t="shared" si="2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7"/>
        <v/>
      </c>
      <c r="C40" s="50">
        <f>IF(D11="","-",+C39+1)</f>
        <v>2040</v>
      </c>
      <c r="D40" s="55">
        <f>IF(F39+SUM(E$17:E39)=D$10,F39,D$10-SUM(E$17:E39))</f>
        <v>2244167.6804914987</v>
      </c>
      <c r="E40" s="378">
        <f>IF(+I14&lt;F39,I14,D40)</f>
        <v>105653.89295454546</v>
      </c>
      <c r="F40" s="55">
        <f t="shared" si="19"/>
        <v>2138513.7875369531</v>
      </c>
      <c r="G40" s="379">
        <f t="shared" si="20"/>
        <v>367578.56536791456</v>
      </c>
      <c r="H40" s="364">
        <f t="shared" si="21"/>
        <v>367578.56536791456</v>
      </c>
      <c r="I40" s="52">
        <f t="shared" si="0"/>
        <v>0</v>
      </c>
      <c r="J40" s="52"/>
      <c r="K40" s="129"/>
      <c r="L40" s="54">
        <f t="shared" si="2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7"/>
        <v/>
      </c>
      <c r="C41" s="50">
        <f>IF(D11="","-",+C40+1)</f>
        <v>2041</v>
      </c>
      <c r="D41" s="55">
        <f>IF(F40+SUM(E$17:E40)=D$10,F40,D$10-SUM(E$17:E40))</f>
        <v>2138513.7875369531</v>
      </c>
      <c r="E41" s="378">
        <f>IF(+I14&lt;F40,I14,D41)</f>
        <v>105653.89295454546</v>
      </c>
      <c r="F41" s="55">
        <f t="shared" si="19"/>
        <v>2032859.8945824075</v>
      </c>
      <c r="G41" s="379">
        <f t="shared" si="20"/>
        <v>354950.05859497515</v>
      </c>
      <c r="H41" s="364">
        <f t="shared" si="21"/>
        <v>354950.05859497515</v>
      </c>
      <c r="I41" s="52">
        <f t="shared" si="0"/>
        <v>0</v>
      </c>
      <c r="J41" s="52"/>
      <c r="K41" s="129"/>
      <c r="L41" s="54">
        <f t="shared" si="2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7"/>
        <v/>
      </c>
      <c r="C42" s="50">
        <f>IF(D11="","-",+C41+1)</f>
        <v>2042</v>
      </c>
      <c r="D42" s="55">
        <f>IF(F41+SUM(E$17:E41)=D$10,F41,D$10-SUM(E$17:E41))</f>
        <v>2032859.8945824075</v>
      </c>
      <c r="E42" s="378">
        <f>IF(+I14&lt;F41,I14,D42)</f>
        <v>105653.89295454546</v>
      </c>
      <c r="F42" s="55">
        <f t="shared" si="19"/>
        <v>1927206.001627862</v>
      </c>
      <c r="G42" s="379">
        <f t="shared" si="20"/>
        <v>342321.55182203586</v>
      </c>
      <c r="H42" s="364">
        <f t="shared" si="21"/>
        <v>342321.55182203586</v>
      </c>
      <c r="I42" s="52">
        <f t="shared" si="0"/>
        <v>0</v>
      </c>
      <c r="J42" s="52"/>
      <c r="K42" s="129"/>
      <c r="L42" s="54">
        <f t="shared" si="2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7"/>
        <v/>
      </c>
      <c r="C43" s="50">
        <f>IF(D11="","-",+C42+1)</f>
        <v>2043</v>
      </c>
      <c r="D43" s="55">
        <f>IF(F42+SUM(E$17:E42)=D$10,F42,D$10-SUM(E$17:E42))</f>
        <v>1927206.001627862</v>
      </c>
      <c r="E43" s="378">
        <f>IF(+I14&lt;F42,I14,D43)</f>
        <v>105653.89295454546</v>
      </c>
      <c r="F43" s="55">
        <f t="shared" si="19"/>
        <v>1821552.1086733164</v>
      </c>
      <c r="G43" s="379">
        <f t="shared" si="20"/>
        <v>329693.04504909652</v>
      </c>
      <c r="H43" s="364">
        <f t="shared" si="21"/>
        <v>329693.04504909652</v>
      </c>
      <c r="I43" s="52">
        <f t="shared" si="0"/>
        <v>0</v>
      </c>
      <c r="J43" s="52"/>
      <c r="K43" s="129"/>
      <c r="L43" s="54">
        <f t="shared" si="2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7"/>
        <v/>
      </c>
      <c r="C44" s="50">
        <f>IF(D11="","-",+C43+1)</f>
        <v>2044</v>
      </c>
      <c r="D44" s="55">
        <f>IF(F43+SUM(E$17:E43)=D$10,F43,D$10-SUM(E$17:E43))</f>
        <v>1821552.1086733164</v>
      </c>
      <c r="E44" s="378">
        <f>IF(+I14&lt;F43,I14,D44)</f>
        <v>105653.89295454546</v>
      </c>
      <c r="F44" s="55">
        <f t="shared" si="19"/>
        <v>1715898.2157187709</v>
      </c>
      <c r="G44" s="379">
        <f t="shared" si="20"/>
        <v>317064.53827615717</v>
      </c>
      <c r="H44" s="364">
        <f t="shared" si="21"/>
        <v>317064.53827615717</v>
      </c>
      <c r="I44" s="52">
        <f t="shared" si="0"/>
        <v>0</v>
      </c>
      <c r="J44" s="52"/>
      <c r="K44" s="129"/>
      <c r="L44" s="54">
        <f t="shared" si="2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7"/>
        <v/>
      </c>
      <c r="C45" s="50">
        <f>IF(D11="","-",+C44+1)</f>
        <v>2045</v>
      </c>
      <c r="D45" s="55">
        <f>IF(F44+SUM(E$17:E44)=D$10,F44,D$10-SUM(E$17:E44))</f>
        <v>1715898.2157187709</v>
      </c>
      <c r="E45" s="378">
        <f>IF(+I14&lt;F44,I14,D45)</f>
        <v>105653.89295454546</v>
      </c>
      <c r="F45" s="55">
        <f t="shared" si="19"/>
        <v>1610244.3227642253</v>
      </c>
      <c r="G45" s="379">
        <f t="shared" si="20"/>
        <v>304436.03150321782</v>
      </c>
      <c r="H45" s="364">
        <f t="shared" si="21"/>
        <v>304436.03150321782</v>
      </c>
      <c r="I45" s="52">
        <f t="shared" si="0"/>
        <v>0</v>
      </c>
      <c r="J45" s="52"/>
      <c r="K45" s="129"/>
      <c r="L45" s="54">
        <f t="shared" si="2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7"/>
        <v/>
      </c>
      <c r="C46" s="50">
        <f>IF(D11="","-",+C45+1)</f>
        <v>2046</v>
      </c>
      <c r="D46" s="55">
        <f>IF(F45+SUM(E$17:E45)=D$10,F45,D$10-SUM(E$17:E45))</f>
        <v>1610244.3227642253</v>
      </c>
      <c r="E46" s="378">
        <f>IF(+I14&lt;F45,I14,D46)</f>
        <v>105653.89295454546</v>
      </c>
      <c r="F46" s="55">
        <f t="shared" si="19"/>
        <v>1504590.4298096797</v>
      </c>
      <c r="G46" s="379">
        <f t="shared" si="20"/>
        <v>291807.52473027847</v>
      </c>
      <c r="H46" s="364">
        <f t="shared" si="21"/>
        <v>291807.52473027847</v>
      </c>
      <c r="I46" s="52">
        <f t="shared" si="0"/>
        <v>0</v>
      </c>
      <c r="J46" s="52"/>
      <c r="K46" s="129"/>
      <c r="L46" s="54">
        <f t="shared" si="2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7"/>
        <v/>
      </c>
      <c r="C47" s="50">
        <f>IF(D11="","-",+C46+1)</f>
        <v>2047</v>
      </c>
      <c r="D47" s="55">
        <f>IF(F46+SUM(E$17:E46)=D$10,F46,D$10-SUM(E$17:E46))</f>
        <v>1504590.4298096797</v>
      </c>
      <c r="E47" s="378">
        <f>IF(+I14&lt;F46,I14,D47)</f>
        <v>105653.89295454546</v>
      </c>
      <c r="F47" s="55">
        <f t="shared" si="19"/>
        <v>1398936.5368551342</v>
      </c>
      <c r="G47" s="379">
        <f t="shared" si="20"/>
        <v>279179.01795733918</v>
      </c>
      <c r="H47" s="364">
        <f t="shared" si="21"/>
        <v>279179.01795733918</v>
      </c>
      <c r="I47" s="52">
        <f t="shared" si="0"/>
        <v>0</v>
      </c>
      <c r="J47" s="52"/>
      <c r="K47" s="129"/>
      <c r="L47" s="54">
        <f t="shared" si="2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7"/>
        <v/>
      </c>
      <c r="C48" s="50">
        <f>IF(D11="","-",+C47+1)</f>
        <v>2048</v>
      </c>
      <c r="D48" s="55">
        <f>IF(F47+SUM(E$17:E47)=D$10,F47,D$10-SUM(E$17:E47))</f>
        <v>1398936.5368551342</v>
      </c>
      <c r="E48" s="378">
        <f>IF(+I14&lt;F47,I14,D48)</f>
        <v>105653.89295454546</v>
      </c>
      <c r="F48" s="55">
        <f t="shared" si="19"/>
        <v>1293282.6439005886</v>
      </c>
      <c r="G48" s="379">
        <f t="shared" si="20"/>
        <v>266550.51118439983</v>
      </c>
      <c r="H48" s="364">
        <f t="shared" si="21"/>
        <v>266550.51118439983</v>
      </c>
      <c r="I48" s="52">
        <f t="shared" si="0"/>
        <v>0</v>
      </c>
      <c r="J48" s="52"/>
      <c r="K48" s="129"/>
      <c r="L48" s="54">
        <f t="shared" si="2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 ht="12.5">
      <c r="B49" s="7" t="str">
        <f t="shared" si="7"/>
        <v/>
      </c>
      <c r="C49" s="50">
        <f>IF(D11="","-",+C48+1)</f>
        <v>2049</v>
      </c>
      <c r="D49" s="55">
        <f>IF(F48+SUM(E$17:E48)=D$10,F48,D$10-SUM(E$17:E48))</f>
        <v>1293282.6439005886</v>
      </c>
      <c r="E49" s="378">
        <f>IF(+I14&lt;F48,I14,D49)</f>
        <v>105653.89295454546</v>
      </c>
      <c r="F49" s="55">
        <f t="shared" si="19"/>
        <v>1187628.7509460431</v>
      </c>
      <c r="G49" s="379">
        <f t="shared" ref="G49:G72" si="22">+I$12*((D49+F49)/2)+E49</f>
        <v>253922.00441146048</v>
      </c>
      <c r="H49" s="364">
        <f t="shared" ref="H49:H72" si="23">+I$13*((D49+F49)/2)+E49</f>
        <v>253922.00441146048</v>
      </c>
      <c r="I49" s="52">
        <f t="shared" si="0"/>
        <v>0</v>
      </c>
      <c r="J49" s="52"/>
      <c r="K49" s="129"/>
      <c r="L49" s="54">
        <f t="shared" si="2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 ht="12.5">
      <c r="B50" s="7" t="str">
        <f t="shared" si="7"/>
        <v/>
      </c>
      <c r="C50" s="50">
        <f>IF(D11="","-",+C49+1)</f>
        <v>2050</v>
      </c>
      <c r="D50" s="55">
        <f>IF(F49+SUM(E$17:E49)=D$10,F49,D$10-SUM(E$17:E49))</f>
        <v>1187628.7509460431</v>
      </c>
      <c r="E50" s="378">
        <f>IF(+I14&lt;F49,I14,D50)</f>
        <v>105653.89295454546</v>
      </c>
      <c r="F50" s="55">
        <f t="shared" si="19"/>
        <v>1081974.8579914975</v>
      </c>
      <c r="G50" s="379">
        <f t="shared" si="22"/>
        <v>241293.49763852113</v>
      </c>
      <c r="H50" s="364">
        <f t="shared" si="23"/>
        <v>241293.49763852113</v>
      </c>
      <c r="I50" s="52">
        <f t="shared" si="0"/>
        <v>0</v>
      </c>
      <c r="J50" s="52"/>
      <c r="K50" s="129"/>
      <c r="L50" s="54">
        <f t="shared" si="2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 ht="12.5">
      <c r="B51" s="7" t="str">
        <f t="shared" si="7"/>
        <v/>
      </c>
      <c r="C51" s="50">
        <f>IF(D11="","-",+C50+1)</f>
        <v>2051</v>
      </c>
      <c r="D51" s="55">
        <f>IF(F50+SUM(E$17:E50)=D$10,F50,D$10-SUM(E$17:E50))</f>
        <v>1081974.8579914975</v>
      </c>
      <c r="E51" s="378">
        <f>IF(+I14&lt;F50,I14,D51)</f>
        <v>105653.89295454546</v>
      </c>
      <c r="F51" s="55">
        <f t="shared" si="19"/>
        <v>976320.96503695205</v>
      </c>
      <c r="G51" s="379">
        <f t="shared" si="22"/>
        <v>228664.99086558181</v>
      </c>
      <c r="H51" s="364">
        <f t="shared" si="23"/>
        <v>228664.99086558181</v>
      </c>
      <c r="I51" s="52">
        <f t="shared" si="0"/>
        <v>0</v>
      </c>
      <c r="J51" s="52"/>
      <c r="K51" s="129"/>
      <c r="L51" s="54">
        <f t="shared" si="2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 ht="12.5">
      <c r="B52" s="7" t="str">
        <f t="shared" si="7"/>
        <v/>
      </c>
      <c r="C52" s="50">
        <f>IF(D11="","-",+C51+1)</f>
        <v>2052</v>
      </c>
      <c r="D52" s="55">
        <f>IF(F51+SUM(E$17:E51)=D$10,F51,D$10-SUM(E$17:E51))</f>
        <v>976320.96503695205</v>
      </c>
      <c r="E52" s="378">
        <f>IF(+I14&lt;F51,I14,D52)</f>
        <v>105653.89295454546</v>
      </c>
      <c r="F52" s="55">
        <f t="shared" si="19"/>
        <v>870667.07208240661</v>
      </c>
      <c r="G52" s="379">
        <f t="shared" si="22"/>
        <v>216036.48409264249</v>
      </c>
      <c r="H52" s="364">
        <f t="shared" si="23"/>
        <v>216036.48409264249</v>
      </c>
      <c r="I52" s="52">
        <f t="shared" si="0"/>
        <v>0</v>
      </c>
      <c r="J52" s="52"/>
      <c r="K52" s="129"/>
      <c r="L52" s="54">
        <f t="shared" si="2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 ht="12.5">
      <c r="B53" s="7" t="str">
        <f t="shared" si="7"/>
        <v/>
      </c>
      <c r="C53" s="50">
        <f>IF(D11="","-",+C52+1)</f>
        <v>2053</v>
      </c>
      <c r="D53" s="55">
        <f>IF(F52+SUM(E$17:E52)=D$10,F52,D$10-SUM(E$17:E52))</f>
        <v>870667.07208240661</v>
      </c>
      <c r="E53" s="378">
        <f>IF(+I14&lt;F52,I14,D53)</f>
        <v>105653.89295454546</v>
      </c>
      <c r="F53" s="55">
        <f t="shared" si="19"/>
        <v>765013.17912786116</v>
      </c>
      <c r="G53" s="379">
        <f t="shared" si="22"/>
        <v>203407.97731970318</v>
      </c>
      <c r="H53" s="364">
        <f t="shared" si="23"/>
        <v>203407.97731970318</v>
      </c>
      <c r="I53" s="52">
        <f t="shared" si="0"/>
        <v>0</v>
      </c>
      <c r="J53" s="52"/>
      <c r="K53" s="129"/>
      <c r="L53" s="54">
        <f t="shared" si="2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 ht="12.5">
      <c r="B54" s="7" t="str">
        <f t="shared" si="7"/>
        <v/>
      </c>
      <c r="C54" s="50">
        <f>IF(D11="","-",+C53+1)</f>
        <v>2054</v>
      </c>
      <c r="D54" s="55">
        <f>IF(F53+SUM(E$17:E53)=D$10,F53,D$10-SUM(E$17:E53))</f>
        <v>765013.17912786116</v>
      </c>
      <c r="E54" s="378">
        <f>IF(+I14&lt;F53,I14,D54)</f>
        <v>105653.89295454546</v>
      </c>
      <c r="F54" s="55">
        <f t="shared" si="19"/>
        <v>659359.28617331572</v>
      </c>
      <c r="G54" s="379">
        <f t="shared" si="22"/>
        <v>190779.47054676386</v>
      </c>
      <c r="H54" s="364">
        <f t="shared" si="23"/>
        <v>190779.47054676386</v>
      </c>
      <c r="I54" s="52">
        <f t="shared" si="0"/>
        <v>0</v>
      </c>
      <c r="J54" s="52"/>
      <c r="K54" s="129"/>
      <c r="L54" s="54">
        <f t="shared" si="2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 ht="12.5">
      <c r="B55" s="7" t="str">
        <f t="shared" si="7"/>
        <v/>
      </c>
      <c r="C55" s="50">
        <f>IF(D11="","-",+C54+1)</f>
        <v>2055</v>
      </c>
      <c r="D55" s="55">
        <f>IF(F54+SUM(E$17:E54)=D$10,F54,D$10-SUM(E$17:E54))</f>
        <v>659359.28617331572</v>
      </c>
      <c r="E55" s="378">
        <f>IF(+I14&lt;F54,I14,D55)</f>
        <v>105653.89295454546</v>
      </c>
      <c r="F55" s="55">
        <f t="shared" si="19"/>
        <v>553705.39321877027</v>
      </c>
      <c r="G55" s="379">
        <f t="shared" si="22"/>
        <v>178150.96377382454</v>
      </c>
      <c r="H55" s="364">
        <f t="shared" si="23"/>
        <v>178150.96377382454</v>
      </c>
      <c r="I55" s="52">
        <f t="shared" si="0"/>
        <v>0</v>
      </c>
      <c r="J55" s="52"/>
      <c r="K55" s="129"/>
      <c r="L55" s="54">
        <f t="shared" si="2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 ht="12.5">
      <c r="B56" s="7" t="str">
        <f t="shared" si="7"/>
        <v/>
      </c>
      <c r="C56" s="50">
        <f>IF(D11="","-",+C55+1)</f>
        <v>2056</v>
      </c>
      <c r="D56" s="55">
        <f>IF(F55+SUM(E$17:E55)=D$10,F55,D$10-SUM(E$17:E55))</f>
        <v>553705.39321877027</v>
      </c>
      <c r="E56" s="378">
        <f>IF(+I14&lt;F55,I14,D56)</f>
        <v>105653.89295454546</v>
      </c>
      <c r="F56" s="55">
        <f t="shared" si="19"/>
        <v>448051.50026422483</v>
      </c>
      <c r="G56" s="379">
        <f t="shared" si="22"/>
        <v>165522.45700088522</v>
      </c>
      <c r="H56" s="364">
        <f t="shared" si="23"/>
        <v>165522.45700088522</v>
      </c>
      <c r="I56" s="52">
        <f t="shared" si="0"/>
        <v>0</v>
      </c>
      <c r="J56" s="52"/>
      <c r="K56" s="129"/>
      <c r="L56" s="54">
        <f t="shared" si="2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 ht="12.5">
      <c r="B57" s="7" t="str">
        <f t="shared" si="7"/>
        <v/>
      </c>
      <c r="C57" s="50">
        <f>IF(D11="","-",+C56+1)</f>
        <v>2057</v>
      </c>
      <c r="D57" s="55">
        <f>IF(F56+SUM(E$17:E56)=D$10,F56,D$10-SUM(E$17:E56))</f>
        <v>448051.50026422483</v>
      </c>
      <c r="E57" s="378">
        <f>IF(+I14&lt;F56,I14,D57)</f>
        <v>105653.89295454546</v>
      </c>
      <c r="F57" s="55">
        <f t="shared" si="19"/>
        <v>342397.60730967938</v>
      </c>
      <c r="G57" s="379">
        <f t="shared" si="22"/>
        <v>152893.9502279459</v>
      </c>
      <c r="H57" s="364">
        <f t="shared" si="23"/>
        <v>152893.9502279459</v>
      </c>
      <c r="I57" s="52">
        <f t="shared" si="0"/>
        <v>0</v>
      </c>
      <c r="J57" s="52"/>
      <c r="K57" s="129"/>
      <c r="L57" s="54">
        <f t="shared" si="2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 ht="12.5">
      <c r="B58" s="7" t="str">
        <f t="shared" si="7"/>
        <v/>
      </c>
      <c r="C58" s="50">
        <f>IF(D11="","-",+C57+1)</f>
        <v>2058</v>
      </c>
      <c r="D58" s="55">
        <f>IF(F57+SUM(E$17:E57)=D$10,F57,D$10-SUM(E$17:E57))</f>
        <v>342397.60730967938</v>
      </c>
      <c r="E58" s="378">
        <f>IF(+I14&lt;F57,I14,D58)</f>
        <v>105653.89295454546</v>
      </c>
      <c r="F58" s="55">
        <f t="shared" si="19"/>
        <v>236743.71435513394</v>
      </c>
      <c r="G58" s="379">
        <f t="shared" si="22"/>
        <v>140265.44345500658</v>
      </c>
      <c r="H58" s="364">
        <f t="shared" si="23"/>
        <v>140265.44345500658</v>
      </c>
      <c r="I58" s="52">
        <f t="shared" si="0"/>
        <v>0</v>
      </c>
      <c r="J58" s="52"/>
      <c r="K58" s="129"/>
      <c r="L58" s="54">
        <f t="shared" si="2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 ht="12.5">
      <c r="B59" s="7" t="str">
        <f t="shared" si="7"/>
        <v/>
      </c>
      <c r="C59" s="50">
        <f>IF(D11="","-",+C58+1)</f>
        <v>2059</v>
      </c>
      <c r="D59" s="55">
        <f>IF(F58+SUM(E$17:E58)=D$10,F58,D$10-SUM(E$17:E58))</f>
        <v>236743.71435513394</v>
      </c>
      <c r="E59" s="378">
        <f>IF(+I14&lt;F58,I14,D59)</f>
        <v>105653.89295454546</v>
      </c>
      <c r="F59" s="55">
        <f t="shared" si="19"/>
        <v>131089.82140058849</v>
      </c>
      <c r="G59" s="379">
        <f t="shared" si="22"/>
        <v>127636.93668206726</v>
      </c>
      <c r="H59" s="364">
        <f t="shared" si="23"/>
        <v>127636.93668206726</v>
      </c>
      <c r="I59" s="52">
        <f t="shared" si="0"/>
        <v>0</v>
      </c>
      <c r="J59" s="52"/>
      <c r="K59" s="129"/>
      <c r="L59" s="54">
        <f t="shared" si="2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 ht="12.5">
      <c r="B60" s="7" t="str">
        <f t="shared" si="7"/>
        <v/>
      </c>
      <c r="C60" s="50">
        <f>IF(D11="","-",+C59+1)</f>
        <v>2060</v>
      </c>
      <c r="D60" s="55">
        <f>IF(F59+SUM(E$17:E59)=D$10,F59,D$10-SUM(E$17:E59))</f>
        <v>131089.82140058849</v>
      </c>
      <c r="E60" s="378">
        <f>IF(+I14&lt;F59,I14,D60)</f>
        <v>105653.89295454546</v>
      </c>
      <c r="F60" s="55">
        <f t="shared" si="19"/>
        <v>25435.928446043035</v>
      </c>
      <c r="G60" s="379">
        <f t="shared" si="22"/>
        <v>115008.42990912794</v>
      </c>
      <c r="H60" s="364">
        <f t="shared" si="23"/>
        <v>115008.42990912794</v>
      </c>
      <c r="I60" s="52">
        <f t="shared" si="0"/>
        <v>0</v>
      </c>
      <c r="J60" s="52"/>
      <c r="K60" s="129"/>
      <c r="L60" s="54">
        <f t="shared" si="2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 ht="12.5">
      <c r="B61" s="7" t="str">
        <f t="shared" si="7"/>
        <v/>
      </c>
      <c r="C61" s="50">
        <f>IF(D11="","-",+C60+1)</f>
        <v>2061</v>
      </c>
      <c r="D61" s="55">
        <f>IF(F60+SUM(E$17:E60)=D$10,F60,D$10-SUM(E$17:E60))</f>
        <v>25435.928446043035</v>
      </c>
      <c r="E61" s="378">
        <f>IF(+I14&lt;F60,I14,D61)</f>
        <v>25435.928446043035</v>
      </c>
      <c r="F61" s="55">
        <f t="shared" si="19"/>
        <v>0</v>
      </c>
      <c r="G61" s="380">
        <f t="shared" si="22"/>
        <v>26956.070230099442</v>
      </c>
      <c r="H61" s="364">
        <f t="shared" si="23"/>
        <v>26956.070230099442</v>
      </c>
      <c r="I61" s="52">
        <f t="shared" si="0"/>
        <v>0</v>
      </c>
      <c r="J61" s="52"/>
      <c r="K61" s="129"/>
      <c r="L61" s="54">
        <f t="shared" si="2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 ht="12.5">
      <c r="B62" s="7" t="str">
        <f t="shared" si="7"/>
        <v/>
      </c>
      <c r="C62" s="50">
        <f>IF(D11="","-",+C61+1)</f>
        <v>2062</v>
      </c>
      <c r="D62" s="55">
        <f>IF(F61+SUM(E$17:E61)=D$10,F61,D$10-SUM(E$17:E61))</f>
        <v>0</v>
      </c>
      <c r="E62" s="378">
        <f>IF(+I14&lt;F61,I14,D62)</f>
        <v>0</v>
      </c>
      <c r="F62" s="55">
        <f t="shared" si="19"/>
        <v>0</v>
      </c>
      <c r="G62" s="380">
        <f t="shared" si="22"/>
        <v>0</v>
      </c>
      <c r="H62" s="364">
        <f t="shared" si="23"/>
        <v>0</v>
      </c>
      <c r="I62" s="52">
        <f t="shared" si="0"/>
        <v>0</v>
      </c>
      <c r="J62" s="52"/>
      <c r="K62" s="129"/>
      <c r="L62" s="54">
        <f t="shared" si="2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 ht="12.5">
      <c r="B63" s="7" t="str">
        <f t="shared" si="7"/>
        <v/>
      </c>
      <c r="C63" s="50">
        <f>IF(D11="","-",+C62+1)</f>
        <v>2063</v>
      </c>
      <c r="D63" s="55">
        <f>IF(F62+SUM(E$17:E62)=D$10,F62,D$10-SUM(E$17:E62))</f>
        <v>0</v>
      </c>
      <c r="E63" s="378">
        <f>IF(+I14&lt;F62,I14,D63)</f>
        <v>0</v>
      </c>
      <c r="F63" s="55">
        <f t="shared" si="19"/>
        <v>0</v>
      </c>
      <c r="G63" s="380">
        <f t="shared" si="22"/>
        <v>0</v>
      </c>
      <c r="H63" s="364">
        <f t="shared" si="23"/>
        <v>0</v>
      </c>
      <c r="I63" s="52">
        <f t="shared" si="0"/>
        <v>0</v>
      </c>
      <c r="J63" s="52"/>
      <c r="K63" s="129"/>
      <c r="L63" s="54">
        <f t="shared" si="2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 ht="12.5">
      <c r="B64" s="7" t="str">
        <f t="shared" si="7"/>
        <v/>
      </c>
      <c r="C64" s="50">
        <f>IF(D11="","-",+C63+1)</f>
        <v>2064</v>
      </c>
      <c r="D64" s="55">
        <f>IF(F63+SUM(E$17:E63)=D$10,F63,D$10-SUM(E$17:E63))</f>
        <v>0</v>
      </c>
      <c r="E64" s="378">
        <f>IF(+I14&lt;F63,I14,D64)</f>
        <v>0</v>
      </c>
      <c r="F64" s="55">
        <f t="shared" si="19"/>
        <v>0</v>
      </c>
      <c r="G64" s="380">
        <f t="shared" si="22"/>
        <v>0</v>
      </c>
      <c r="H64" s="364">
        <f t="shared" si="23"/>
        <v>0</v>
      </c>
      <c r="I64" s="52">
        <f t="shared" si="0"/>
        <v>0</v>
      </c>
      <c r="J64" s="52"/>
      <c r="K64" s="129"/>
      <c r="L64" s="54">
        <f t="shared" si="2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 ht="12.5">
      <c r="B65" s="7" t="str">
        <f t="shared" si="7"/>
        <v/>
      </c>
      <c r="C65" s="50">
        <f>IF(D11="","-",+C64+1)</f>
        <v>2065</v>
      </c>
      <c r="D65" s="55">
        <f>IF(F64+SUM(E$17:E64)=D$10,F64,D$10-SUM(E$17:E64))</f>
        <v>0</v>
      </c>
      <c r="E65" s="378">
        <f>IF(+I14&lt;F64,I14,D65)</f>
        <v>0</v>
      </c>
      <c r="F65" s="55">
        <f t="shared" si="19"/>
        <v>0</v>
      </c>
      <c r="G65" s="380">
        <f t="shared" si="22"/>
        <v>0</v>
      </c>
      <c r="H65" s="364">
        <f t="shared" si="23"/>
        <v>0</v>
      </c>
      <c r="I65" s="52">
        <f t="shared" si="0"/>
        <v>0</v>
      </c>
      <c r="J65" s="52"/>
      <c r="K65" s="129"/>
      <c r="L65" s="54">
        <f t="shared" si="2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 ht="12.5">
      <c r="B66" s="7" t="str">
        <f t="shared" si="7"/>
        <v/>
      </c>
      <c r="C66" s="50">
        <f>IF(D11="","-",+C65+1)</f>
        <v>2066</v>
      </c>
      <c r="D66" s="55">
        <f>IF(F65+SUM(E$17:E65)=D$10,F65,D$10-SUM(E$17:E65))</f>
        <v>0</v>
      </c>
      <c r="E66" s="378">
        <f>IF(+I14&lt;F65,I14,D66)</f>
        <v>0</v>
      </c>
      <c r="F66" s="55">
        <f t="shared" si="19"/>
        <v>0</v>
      </c>
      <c r="G66" s="380">
        <f t="shared" si="22"/>
        <v>0</v>
      </c>
      <c r="H66" s="364">
        <f t="shared" si="23"/>
        <v>0</v>
      </c>
      <c r="I66" s="52">
        <f t="shared" si="0"/>
        <v>0</v>
      </c>
      <c r="J66" s="52"/>
      <c r="K66" s="129"/>
      <c r="L66" s="54">
        <f t="shared" si="2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 ht="12.5">
      <c r="B67" s="7" t="str">
        <f t="shared" si="7"/>
        <v/>
      </c>
      <c r="C67" s="50">
        <f>IF(D11="","-",+C66+1)</f>
        <v>2067</v>
      </c>
      <c r="D67" s="55">
        <f>IF(F66+SUM(E$17:E66)=D$10,F66,D$10-SUM(E$17:E66))</f>
        <v>0</v>
      </c>
      <c r="E67" s="378">
        <f>IF(+I14&lt;F66,I14,D67)</f>
        <v>0</v>
      </c>
      <c r="F67" s="55">
        <f t="shared" si="19"/>
        <v>0</v>
      </c>
      <c r="G67" s="380">
        <f t="shared" si="22"/>
        <v>0</v>
      </c>
      <c r="H67" s="364">
        <f t="shared" si="23"/>
        <v>0</v>
      </c>
      <c r="I67" s="52">
        <f t="shared" si="0"/>
        <v>0</v>
      </c>
      <c r="J67" s="52"/>
      <c r="K67" s="129"/>
      <c r="L67" s="54">
        <f t="shared" si="2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 ht="12.5">
      <c r="B68" s="7" t="str">
        <f t="shared" si="7"/>
        <v/>
      </c>
      <c r="C68" s="50">
        <f>IF(D11="","-",+C67+1)</f>
        <v>2068</v>
      </c>
      <c r="D68" s="55">
        <f>IF(F67+SUM(E$17:E67)=D$10,F67,D$10-SUM(E$17:E67))</f>
        <v>0</v>
      </c>
      <c r="E68" s="378">
        <f>IF(+I14&lt;F67,I14,D68)</f>
        <v>0</v>
      </c>
      <c r="F68" s="55">
        <f t="shared" si="19"/>
        <v>0</v>
      </c>
      <c r="G68" s="380">
        <f t="shared" si="22"/>
        <v>0</v>
      </c>
      <c r="H68" s="364">
        <f t="shared" si="23"/>
        <v>0</v>
      </c>
      <c r="I68" s="52">
        <f t="shared" si="0"/>
        <v>0</v>
      </c>
      <c r="J68" s="52"/>
      <c r="K68" s="129"/>
      <c r="L68" s="54">
        <f t="shared" si="2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 ht="12.5">
      <c r="B69" s="7" t="str">
        <f t="shared" si="7"/>
        <v/>
      </c>
      <c r="C69" s="50">
        <f>IF(D11="","-",+C68+1)</f>
        <v>2069</v>
      </c>
      <c r="D69" s="55">
        <f>IF(F68+SUM(E$17:E68)=D$10,F68,D$10-SUM(E$17:E68))</f>
        <v>0</v>
      </c>
      <c r="E69" s="378">
        <f>IF(+I14&lt;F68,I14,D69)</f>
        <v>0</v>
      </c>
      <c r="F69" s="55">
        <f t="shared" si="19"/>
        <v>0</v>
      </c>
      <c r="G69" s="380">
        <f t="shared" si="22"/>
        <v>0</v>
      </c>
      <c r="H69" s="364">
        <f t="shared" si="23"/>
        <v>0</v>
      </c>
      <c r="I69" s="52">
        <f t="shared" si="0"/>
        <v>0</v>
      </c>
      <c r="J69" s="52"/>
      <c r="K69" s="129"/>
      <c r="L69" s="54">
        <f t="shared" si="2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 ht="12.5">
      <c r="B70" s="7" t="str">
        <f t="shared" si="7"/>
        <v/>
      </c>
      <c r="C70" s="50">
        <f>IF(D11="","-",+C69+1)</f>
        <v>2070</v>
      </c>
      <c r="D70" s="55">
        <f>IF(F69+SUM(E$17:E69)=D$10,F69,D$10-SUM(E$17:E69))</f>
        <v>0</v>
      </c>
      <c r="E70" s="378">
        <f>IF(+I14&lt;F69,I14,D70)</f>
        <v>0</v>
      </c>
      <c r="F70" s="55">
        <f t="shared" si="19"/>
        <v>0</v>
      </c>
      <c r="G70" s="380">
        <f t="shared" si="22"/>
        <v>0</v>
      </c>
      <c r="H70" s="364">
        <f t="shared" si="23"/>
        <v>0</v>
      </c>
      <c r="I70" s="52">
        <f t="shared" si="0"/>
        <v>0</v>
      </c>
      <c r="J70" s="52"/>
      <c r="K70" s="129"/>
      <c r="L70" s="54">
        <f t="shared" si="2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 ht="12.5">
      <c r="B71" s="7" t="str">
        <f t="shared" si="7"/>
        <v/>
      </c>
      <c r="C71" s="50">
        <f>IF(D11="","-",+C70+1)</f>
        <v>2071</v>
      </c>
      <c r="D71" s="55">
        <f>IF(F70+SUM(E$17:E70)=D$10,F70,D$10-SUM(E$17:E70))</f>
        <v>0</v>
      </c>
      <c r="E71" s="378">
        <f>IF(+I14&lt;F70,I14,D71)</f>
        <v>0</v>
      </c>
      <c r="F71" s="55">
        <f t="shared" si="19"/>
        <v>0</v>
      </c>
      <c r="G71" s="380">
        <f t="shared" si="22"/>
        <v>0</v>
      </c>
      <c r="H71" s="364">
        <f t="shared" si="23"/>
        <v>0</v>
      </c>
      <c r="I71" s="52">
        <f t="shared" si="0"/>
        <v>0</v>
      </c>
      <c r="J71" s="52"/>
      <c r="K71" s="129"/>
      <c r="L71" s="54">
        <f t="shared" si="2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" thickBot="1">
      <c r="B72" s="7" t="str">
        <f t="shared" si="7"/>
        <v/>
      </c>
      <c r="C72" s="59">
        <f>IF(D11="","-",+C71+1)</f>
        <v>2072</v>
      </c>
      <c r="D72" s="60">
        <f>IF(F71+SUM(E$17:E71)=D$10,F71,D$10-SUM(E$17:E71))</f>
        <v>0</v>
      </c>
      <c r="E72" s="381">
        <f>IF(+I14&lt;F71,I14,D72)</f>
        <v>0</v>
      </c>
      <c r="F72" s="60">
        <f t="shared" si="19"/>
        <v>0</v>
      </c>
      <c r="G72" s="382">
        <f t="shared" si="22"/>
        <v>0</v>
      </c>
      <c r="H72" s="362">
        <f t="shared" si="23"/>
        <v>0</v>
      </c>
      <c r="I72" s="63">
        <f t="shared" si="0"/>
        <v>0</v>
      </c>
      <c r="J72" s="52"/>
      <c r="K72" s="130"/>
      <c r="L72" s="64">
        <f t="shared" si="2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 ht="12.5">
      <c r="C73" s="12" t="s">
        <v>78</v>
      </c>
      <c r="D73" s="293"/>
      <c r="E73" s="293">
        <f>SUM(E17:E72)</f>
        <v>4648771.2899999991</v>
      </c>
      <c r="F73" s="293"/>
      <c r="G73" s="293">
        <f>SUM(G17:G72)</f>
        <v>16968848.317880943</v>
      </c>
      <c r="H73" s="293">
        <f>SUM(H17:H72)</f>
        <v>16968848.317880943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 ht="13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63 of 77</v>
      </c>
    </row>
    <row r="84" spans="1:16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569634.67373494396</v>
      </c>
      <c r="N87" s="387">
        <f>IF(J92&lt;D11,0,VLOOKUP(J92,C17:O72,11))</f>
        <v>569634.67373494396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595879.41914164997</v>
      </c>
      <c r="N88" s="390">
        <f>IF(J92&lt;D11,0,VLOOKUP(J92,C99:P154,7))</f>
        <v>595879.41914164997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Brooks Street - Edwards Street 69 kV Line Rebuild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26244.745406706003</v>
      </c>
      <c r="N89" s="392">
        <f>+N88-N87</f>
        <v>26244.745406706003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TP2014138</v>
      </c>
      <c r="E91" s="76" t="str">
        <f>E9</f>
        <v xml:space="preserve">  SPP Project ID = 30895</v>
      </c>
      <c r="F91" s="76"/>
      <c r="G91" s="76"/>
      <c r="H91" s="76"/>
      <c r="I91" s="76"/>
      <c r="J91" s="76"/>
    </row>
    <row r="92" spans="1:16" ht="13">
      <c r="C92" s="34" t="s">
        <v>51</v>
      </c>
      <c r="D92" s="394">
        <f>D10</f>
        <v>4648771.29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</row>
    <row r="93" spans="1:16" ht="12.5">
      <c r="C93" s="34" t="s">
        <v>54</v>
      </c>
      <c r="D93" s="88">
        <f>IF(D11=I10,"",D11)</f>
        <v>2017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4">
        <f>IF(D11=I10,"",D12)</f>
        <v>12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105653.89295454546</v>
      </c>
      <c r="K96" s="293"/>
      <c r="L96" s="293"/>
      <c r="M96" s="293"/>
      <c r="N96" s="293"/>
      <c r="O96" s="293"/>
      <c r="P96" s="1"/>
    </row>
    <row r="97" spans="1:16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5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 ht="12.5">
      <c r="C99" s="50">
        <f>IF(D93= "","-",D93)</f>
        <v>2017</v>
      </c>
      <c r="D99" s="145">
        <v>0</v>
      </c>
      <c r="E99" s="446">
        <v>0</v>
      </c>
      <c r="F99" s="147">
        <v>3816677</v>
      </c>
      <c r="G99" s="447">
        <v>1908338.5</v>
      </c>
      <c r="H99" s="448">
        <v>231808.65934946379</v>
      </c>
      <c r="I99" s="449">
        <v>231808.65934946379</v>
      </c>
      <c r="J99" s="54">
        <f t="shared" ref="J99:J130" si="24">+I99-H99</f>
        <v>0</v>
      </c>
      <c r="K99" s="54"/>
      <c r="L99" s="112">
        <f t="shared" ref="L99:L104" si="25">+H99</f>
        <v>231808.65934946379</v>
      </c>
      <c r="M99" s="53">
        <f t="shared" ref="M99:M130" si="26">IF(L99&lt;&gt;0,+H99-L99,0)</f>
        <v>0</v>
      </c>
      <c r="N99" s="112">
        <f t="shared" ref="N99:N104" si="27">+I99</f>
        <v>231808.65934946379</v>
      </c>
      <c r="O99" s="53">
        <f t="shared" ref="O99:O130" si="28">IF(N99&lt;&gt;0,+I99-N99,0)</f>
        <v>0</v>
      </c>
      <c r="P99" s="53">
        <f t="shared" ref="P99:P130" si="29">+O99-M99</f>
        <v>0</v>
      </c>
    </row>
    <row r="100" spans="1:16" ht="12.5">
      <c r="B100" s="7" t="str">
        <f>IF(D100=F99,"","IU")</f>
        <v>IU</v>
      </c>
      <c r="C100" s="50">
        <f>IF(D93="","-",+C99+1)</f>
        <v>2018</v>
      </c>
      <c r="D100" s="429">
        <v>4649536</v>
      </c>
      <c r="E100" s="430">
        <v>110703.23809523809</v>
      </c>
      <c r="F100" s="431">
        <v>4538832.7619047621</v>
      </c>
      <c r="G100" s="431">
        <v>4594184.3809523806</v>
      </c>
      <c r="H100" s="433">
        <v>595870.17682545946</v>
      </c>
      <c r="I100" s="434">
        <v>595870.17682545946</v>
      </c>
      <c r="J100" s="54">
        <f t="shared" si="24"/>
        <v>0</v>
      </c>
      <c r="K100" s="54"/>
      <c r="L100" s="450">
        <f t="shared" si="25"/>
        <v>595870.17682545946</v>
      </c>
      <c r="M100" s="54">
        <f t="shared" si="26"/>
        <v>0</v>
      </c>
      <c r="N100" s="450">
        <f t="shared" si="27"/>
        <v>595870.17682545946</v>
      </c>
      <c r="O100" s="54">
        <f t="shared" si="28"/>
        <v>0</v>
      </c>
      <c r="P100" s="54">
        <f t="shared" si="29"/>
        <v>0</v>
      </c>
    </row>
    <row r="101" spans="1:16" ht="12.5">
      <c r="B101" s="7" t="str">
        <f t="shared" ref="B101:B154" si="30">IF(D101=F100,"","IU")</f>
        <v>IU</v>
      </c>
      <c r="C101" s="50">
        <f>IF(D93="","-",+C100+1)</f>
        <v>2019</v>
      </c>
      <c r="D101" s="429">
        <v>4538067.7619047621</v>
      </c>
      <c r="E101" s="430">
        <v>108110.95348837209</v>
      </c>
      <c r="F101" s="431">
        <v>4429956.8084163899</v>
      </c>
      <c r="G101" s="431">
        <v>4484012.285160576</v>
      </c>
      <c r="H101" s="433">
        <v>588082.07919327903</v>
      </c>
      <c r="I101" s="434">
        <v>588082.07919327903</v>
      </c>
      <c r="J101" s="54">
        <f t="shared" si="24"/>
        <v>0</v>
      </c>
      <c r="K101" s="54"/>
      <c r="L101" s="450">
        <f t="shared" si="25"/>
        <v>588082.07919327903</v>
      </c>
      <c r="M101" s="54">
        <f t="shared" ref="M101" si="31">IF(L101&lt;&gt;0,+H101-L101,0)</f>
        <v>0</v>
      </c>
      <c r="N101" s="450">
        <f t="shared" si="27"/>
        <v>588082.07919327903</v>
      </c>
      <c r="O101" s="54">
        <f t="shared" si="28"/>
        <v>0</v>
      </c>
      <c r="P101" s="54">
        <f t="shared" si="29"/>
        <v>0</v>
      </c>
    </row>
    <row r="102" spans="1:16" ht="12.5">
      <c r="B102" s="7" t="str">
        <f t="shared" si="30"/>
        <v/>
      </c>
      <c r="C102" s="50">
        <f>IF(D93="","-",+C101+1)</f>
        <v>2020</v>
      </c>
      <c r="D102" s="429">
        <v>4429956.8084163899</v>
      </c>
      <c r="E102" s="430">
        <v>110685.02380952382</v>
      </c>
      <c r="F102" s="431">
        <v>4319271.7846068656</v>
      </c>
      <c r="G102" s="431">
        <v>4374614.2965116277</v>
      </c>
      <c r="H102" s="433">
        <v>581279.04939779744</v>
      </c>
      <c r="I102" s="434">
        <v>581279.04939779744</v>
      </c>
      <c r="J102" s="54">
        <f t="shared" si="24"/>
        <v>0</v>
      </c>
      <c r="K102" s="54"/>
      <c r="L102" s="450">
        <f t="shared" si="25"/>
        <v>581279.04939779744</v>
      </c>
      <c r="M102" s="54">
        <f t="shared" ref="M102" si="32">IF(L102&lt;&gt;0,+H102-L102,0)</f>
        <v>0</v>
      </c>
      <c r="N102" s="450">
        <f t="shared" si="27"/>
        <v>581279.04939779744</v>
      </c>
      <c r="O102" s="54">
        <f t="shared" si="28"/>
        <v>0</v>
      </c>
      <c r="P102" s="54">
        <f t="shared" si="29"/>
        <v>0</v>
      </c>
    </row>
    <row r="103" spans="1:16" ht="12.5">
      <c r="B103" s="7" t="str">
        <f t="shared" si="30"/>
        <v/>
      </c>
      <c r="C103" s="50">
        <f>IF(D93="","-",+C102+1)</f>
        <v>2021</v>
      </c>
      <c r="D103" s="429">
        <v>4319271.7846068656</v>
      </c>
      <c r="E103" s="430">
        <v>113384.65853658537</v>
      </c>
      <c r="F103" s="431">
        <v>4205887.1260702806</v>
      </c>
      <c r="G103" s="431">
        <v>4262579.4553385731</v>
      </c>
      <c r="H103" s="433">
        <v>597248.06775766809</v>
      </c>
      <c r="I103" s="434">
        <v>597248.06775766809</v>
      </c>
      <c r="J103" s="54">
        <f t="shared" si="24"/>
        <v>0</v>
      </c>
      <c r="K103" s="54"/>
      <c r="L103" s="450">
        <f t="shared" si="25"/>
        <v>597248.06775766809</v>
      </c>
      <c r="M103" s="54">
        <f t="shared" ref="M103" si="33">IF(L103&lt;&gt;0,+H103-L103,0)</f>
        <v>0</v>
      </c>
      <c r="N103" s="450">
        <f t="shared" si="27"/>
        <v>597248.06775766809</v>
      </c>
      <c r="O103" s="54">
        <f t="shared" si="28"/>
        <v>0</v>
      </c>
      <c r="P103" s="54">
        <f t="shared" si="29"/>
        <v>0</v>
      </c>
    </row>
    <row r="104" spans="1:16" ht="12.5">
      <c r="B104" s="7" t="str">
        <f t="shared" si="30"/>
        <v/>
      </c>
      <c r="C104" s="50">
        <f>IF(D93="","-",+C103+1)</f>
        <v>2022</v>
      </c>
      <c r="D104" s="429">
        <v>4205887.1260702806</v>
      </c>
      <c r="E104" s="430">
        <v>110685.02380952382</v>
      </c>
      <c r="F104" s="431">
        <v>4095202.1022607568</v>
      </c>
      <c r="G104" s="431">
        <v>4150544.6141655184</v>
      </c>
      <c r="H104" s="433">
        <v>598199.04164070182</v>
      </c>
      <c r="I104" s="434">
        <v>598199.04164070182</v>
      </c>
      <c r="J104" s="54">
        <f t="shared" si="24"/>
        <v>0</v>
      </c>
      <c r="K104" s="54"/>
      <c r="L104" s="450">
        <f t="shared" si="25"/>
        <v>598199.04164070182</v>
      </c>
      <c r="M104" s="54">
        <f t="shared" ref="M104" si="34">IF(L104&lt;&gt;0,+H104-L104,0)</f>
        <v>0</v>
      </c>
      <c r="N104" s="450">
        <f t="shared" si="27"/>
        <v>598199.04164070182</v>
      </c>
      <c r="O104" s="54">
        <f t="shared" ref="O104" si="35">IF(N104&lt;&gt;0,+I104-N104,0)</f>
        <v>0</v>
      </c>
      <c r="P104" s="54">
        <f t="shared" ref="P104" si="36">+O104-M104</f>
        <v>0</v>
      </c>
    </row>
    <row r="105" spans="1:16" ht="12.5">
      <c r="B105" s="7" t="str">
        <f t="shared" si="30"/>
        <v>IU</v>
      </c>
      <c r="C105" s="50">
        <f>IF(D93="","-",+C104+1)</f>
        <v>2023</v>
      </c>
      <c r="D105" s="429">
        <v>4095202.3922607568</v>
      </c>
      <c r="E105" s="430">
        <v>105653.89295454546</v>
      </c>
      <c r="F105" s="431">
        <v>3989548.4993062112</v>
      </c>
      <c r="G105" s="431">
        <v>4042375.4457834838</v>
      </c>
      <c r="H105" s="433">
        <v>604341.76706610853</v>
      </c>
      <c r="I105" s="434">
        <v>604341.76706610853</v>
      </c>
      <c r="J105" s="54">
        <f t="shared" si="24"/>
        <v>0</v>
      </c>
      <c r="K105" s="54"/>
      <c r="L105" s="450">
        <f t="shared" ref="L105" si="37">+H105</f>
        <v>604341.76706610853</v>
      </c>
      <c r="M105" s="54">
        <f t="shared" ref="M105" si="38">IF(L105&lt;&gt;0,+H105-L105,0)</f>
        <v>0</v>
      </c>
      <c r="N105" s="450">
        <f t="shared" ref="N105" si="39">+I105</f>
        <v>604341.76706610853</v>
      </c>
      <c r="O105" s="54">
        <f t="shared" ref="O105" si="40">IF(N105&lt;&gt;0,+I105-N105,0)</f>
        <v>0</v>
      </c>
      <c r="P105" s="54">
        <f t="shared" ref="P105" si="41">+O105-M105</f>
        <v>0</v>
      </c>
    </row>
    <row r="106" spans="1:16" ht="12.5">
      <c r="B106" s="7" t="str">
        <f t="shared" si="30"/>
        <v/>
      </c>
      <c r="C106" s="50">
        <f>IF(D93="","-",+C105+1)</f>
        <v>2024</v>
      </c>
      <c r="D106" s="12">
        <f>IF(F105+SUM(E$99:E105)=D$92,F105,D$92-SUM(E$99:E105))</f>
        <v>3989548.4993062112</v>
      </c>
      <c r="E106" s="378">
        <f>IF(+J96&lt;F105,J96,D106)</f>
        <v>105653.89295454546</v>
      </c>
      <c r="F106" s="55">
        <f t="shared" ref="F106:F130" si="42">+D106-E106</f>
        <v>3883894.6063516657</v>
      </c>
      <c r="G106" s="55">
        <f t="shared" ref="G106:G130" si="43">+(F106+D106)/2</f>
        <v>3936721.5528289387</v>
      </c>
      <c r="H106" s="380">
        <f t="shared" ref="H106:H154" si="44">+J$94*G106+E106</f>
        <v>595879.41914164997</v>
      </c>
      <c r="I106" s="399">
        <f t="shared" ref="I106:I154" si="45">+J$95*G106+E106</f>
        <v>595879.41914164997</v>
      </c>
      <c r="J106" s="54">
        <f t="shared" si="24"/>
        <v>0</v>
      </c>
      <c r="K106" s="54"/>
      <c r="L106" s="129"/>
      <c r="M106" s="54">
        <f t="shared" si="26"/>
        <v>0</v>
      </c>
      <c r="N106" s="129"/>
      <c r="O106" s="54">
        <f t="shared" si="28"/>
        <v>0</v>
      </c>
      <c r="P106" s="54">
        <f t="shared" si="29"/>
        <v>0</v>
      </c>
    </row>
    <row r="107" spans="1:16" ht="12.5">
      <c r="B107" s="7" t="str">
        <f t="shared" si="30"/>
        <v/>
      </c>
      <c r="C107" s="50">
        <f>IF(D93="","-",+C106+1)</f>
        <v>2025</v>
      </c>
      <c r="D107" s="12">
        <f>IF(F106+SUM(E$99:E106)=D$92,F106,D$92-SUM(E$99:E106))</f>
        <v>3883894.6063516657</v>
      </c>
      <c r="E107" s="378">
        <f>IF(+J96&lt;F106,J96,D107)</f>
        <v>105653.89295454546</v>
      </c>
      <c r="F107" s="55">
        <f t="shared" si="42"/>
        <v>3778240.7133971201</v>
      </c>
      <c r="G107" s="55">
        <f t="shared" si="43"/>
        <v>3831067.6598743927</v>
      </c>
      <c r="H107" s="380">
        <f t="shared" si="44"/>
        <v>582722.72655562265</v>
      </c>
      <c r="I107" s="399">
        <f t="shared" si="45"/>
        <v>582722.72655562265</v>
      </c>
      <c r="J107" s="54">
        <f t="shared" si="24"/>
        <v>0</v>
      </c>
      <c r="K107" s="54"/>
      <c r="L107" s="129"/>
      <c r="M107" s="54">
        <f t="shared" si="26"/>
        <v>0</v>
      </c>
      <c r="N107" s="129"/>
      <c r="O107" s="54">
        <f t="shared" si="28"/>
        <v>0</v>
      </c>
      <c r="P107" s="54">
        <f t="shared" si="29"/>
        <v>0</v>
      </c>
    </row>
    <row r="108" spans="1:16" ht="12.5">
      <c r="B108" s="7" t="str">
        <f t="shared" si="30"/>
        <v/>
      </c>
      <c r="C108" s="50">
        <f>IF(D93="","-",+C107+1)</f>
        <v>2026</v>
      </c>
      <c r="D108" s="12">
        <f>IF(F107+SUM(E$99:E107)=D$92,F107,D$92-SUM(E$99:E107))</f>
        <v>3778240.7133971201</v>
      </c>
      <c r="E108" s="378">
        <f>IF(+J96&lt;F107,J96,D108)</f>
        <v>105653.89295454546</v>
      </c>
      <c r="F108" s="55">
        <f t="shared" si="42"/>
        <v>3672586.8204425746</v>
      </c>
      <c r="G108" s="55">
        <f t="shared" si="43"/>
        <v>3725413.7669198476</v>
      </c>
      <c r="H108" s="380">
        <f t="shared" si="44"/>
        <v>569566.03396959545</v>
      </c>
      <c r="I108" s="399">
        <f t="shared" si="45"/>
        <v>569566.03396959545</v>
      </c>
      <c r="J108" s="54">
        <f t="shared" si="24"/>
        <v>0</v>
      </c>
      <c r="K108" s="54"/>
      <c r="L108" s="129"/>
      <c r="M108" s="54">
        <f t="shared" si="26"/>
        <v>0</v>
      </c>
      <c r="N108" s="129"/>
      <c r="O108" s="54">
        <f t="shared" si="28"/>
        <v>0</v>
      </c>
      <c r="P108" s="54">
        <f t="shared" si="29"/>
        <v>0</v>
      </c>
    </row>
    <row r="109" spans="1:16" ht="12.5">
      <c r="B109" s="7" t="str">
        <f t="shared" si="30"/>
        <v/>
      </c>
      <c r="C109" s="50">
        <f>IF(D93="","-",+C108+1)</f>
        <v>2027</v>
      </c>
      <c r="D109" s="12">
        <f>IF(F108+SUM(E$99:E108)=D$92,F108,D$92-SUM(E$99:E108))</f>
        <v>3672586.8204425746</v>
      </c>
      <c r="E109" s="378">
        <f>IF(+J96&lt;F108,J96,D109)</f>
        <v>105653.89295454546</v>
      </c>
      <c r="F109" s="55">
        <f t="shared" si="42"/>
        <v>3566932.927488029</v>
      </c>
      <c r="G109" s="55">
        <f t="shared" si="43"/>
        <v>3619759.8739653016</v>
      </c>
      <c r="H109" s="380">
        <f t="shared" si="44"/>
        <v>556409.34138356824</v>
      </c>
      <c r="I109" s="399">
        <f t="shared" si="45"/>
        <v>556409.34138356824</v>
      </c>
      <c r="J109" s="54">
        <f t="shared" si="24"/>
        <v>0</v>
      </c>
      <c r="K109" s="54"/>
      <c r="L109" s="129"/>
      <c r="M109" s="54">
        <f t="shared" si="26"/>
        <v>0</v>
      </c>
      <c r="N109" s="129"/>
      <c r="O109" s="54">
        <f t="shared" si="28"/>
        <v>0</v>
      </c>
      <c r="P109" s="54">
        <f t="shared" si="29"/>
        <v>0</v>
      </c>
    </row>
    <row r="110" spans="1:16" ht="12.5">
      <c r="B110" s="7" t="str">
        <f t="shared" si="30"/>
        <v/>
      </c>
      <c r="C110" s="50">
        <f>IF(D93="","-",+C109+1)</f>
        <v>2028</v>
      </c>
      <c r="D110" s="12">
        <f>IF(F109+SUM(E$99:E109)=D$92,F109,D$92-SUM(E$99:E109))</f>
        <v>3566932.927488029</v>
      </c>
      <c r="E110" s="378">
        <f>IF(+J96&lt;F109,J96,D110)</f>
        <v>105653.89295454546</v>
      </c>
      <c r="F110" s="55">
        <f t="shared" si="42"/>
        <v>3461279.0345334834</v>
      </c>
      <c r="G110" s="55">
        <f t="shared" si="43"/>
        <v>3514105.9810107565</v>
      </c>
      <c r="H110" s="380">
        <f t="shared" si="44"/>
        <v>543252.64879754104</v>
      </c>
      <c r="I110" s="399">
        <f t="shared" si="45"/>
        <v>543252.64879754104</v>
      </c>
      <c r="J110" s="54">
        <f t="shared" si="24"/>
        <v>0</v>
      </c>
      <c r="K110" s="54"/>
      <c r="L110" s="129"/>
      <c r="M110" s="54">
        <f t="shared" si="26"/>
        <v>0</v>
      </c>
      <c r="N110" s="129"/>
      <c r="O110" s="54">
        <f t="shared" si="28"/>
        <v>0</v>
      </c>
      <c r="P110" s="54">
        <f t="shared" si="29"/>
        <v>0</v>
      </c>
    </row>
    <row r="111" spans="1:16" ht="12.5">
      <c r="B111" s="7" t="str">
        <f t="shared" si="30"/>
        <v/>
      </c>
      <c r="C111" s="50">
        <f>IF(D93="","-",+C110+1)</f>
        <v>2029</v>
      </c>
      <c r="D111" s="12">
        <f>IF(F110+SUM(E$99:E110)=D$92,F110,D$92-SUM(E$99:E110))</f>
        <v>3461279.0345334834</v>
      </c>
      <c r="E111" s="378">
        <f>IF(+J96&lt;F110,J96,D111)</f>
        <v>105653.89295454546</v>
      </c>
      <c r="F111" s="55">
        <f t="shared" si="42"/>
        <v>3355625.1415789379</v>
      </c>
      <c r="G111" s="55">
        <f t="shared" si="43"/>
        <v>3408452.0880562104</v>
      </c>
      <c r="H111" s="380">
        <f t="shared" si="44"/>
        <v>530095.95621151372</v>
      </c>
      <c r="I111" s="399">
        <f t="shared" si="45"/>
        <v>530095.95621151372</v>
      </c>
      <c r="J111" s="54">
        <f t="shared" si="24"/>
        <v>0</v>
      </c>
      <c r="K111" s="54"/>
      <c r="L111" s="129"/>
      <c r="M111" s="54">
        <f t="shared" si="26"/>
        <v>0</v>
      </c>
      <c r="N111" s="129"/>
      <c r="O111" s="54">
        <f t="shared" si="28"/>
        <v>0</v>
      </c>
      <c r="P111" s="54">
        <f t="shared" si="29"/>
        <v>0</v>
      </c>
    </row>
    <row r="112" spans="1:16" ht="12.5">
      <c r="B112" s="7" t="str">
        <f t="shared" si="30"/>
        <v/>
      </c>
      <c r="C112" s="50">
        <f>IF(D93="","-",+C111+1)</f>
        <v>2030</v>
      </c>
      <c r="D112" s="12">
        <f>IF(F111+SUM(E$99:E111)=D$92,F111,D$92-SUM(E$99:E111))</f>
        <v>3355625.1415789379</v>
      </c>
      <c r="E112" s="378">
        <f>IF(+J96&lt;F111,J96,D112)</f>
        <v>105653.89295454546</v>
      </c>
      <c r="F112" s="55">
        <f t="shared" si="42"/>
        <v>3249971.2486243923</v>
      </c>
      <c r="G112" s="55">
        <f t="shared" si="43"/>
        <v>3302798.1951016653</v>
      </c>
      <c r="H112" s="380">
        <f t="shared" si="44"/>
        <v>516939.26362548652</v>
      </c>
      <c r="I112" s="399">
        <f t="shared" si="45"/>
        <v>516939.26362548652</v>
      </c>
      <c r="J112" s="54">
        <f t="shared" si="24"/>
        <v>0</v>
      </c>
      <c r="K112" s="54"/>
      <c r="L112" s="129"/>
      <c r="M112" s="54">
        <f t="shared" si="26"/>
        <v>0</v>
      </c>
      <c r="N112" s="129"/>
      <c r="O112" s="54">
        <f t="shared" si="28"/>
        <v>0</v>
      </c>
      <c r="P112" s="54">
        <f t="shared" si="29"/>
        <v>0</v>
      </c>
    </row>
    <row r="113" spans="2:16" ht="12.5">
      <c r="B113" s="7" t="str">
        <f t="shared" si="30"/>
        <v/>
      </c>
      <c r="C113" s="50">
        <f>IF(D93="","-",+C112+1)</f>
        <v>2031</v>
      </c>
      <c r="D113" s="12">
        <f>IF(F112+SUM(E$99:E112)=D$92,F112,D$92-SUM(E$99:E112))</f>
        <v>3249971.2486243923</v>
      </c>
      <c r="E113" s="378">
        <f>IF(+J96&lt;F112,J96,D113)</f>
        <v>105653.89295454546</v>
      </c>
      <c r="F113" s="55">
        <f t="shared" si="42"/>
        <v>3144317.3556698468</v>
      </c>
      <c r="G113" s="55">
        <f t="shared" si="43"/>
        <v>3197144.3021471193</v>
      </c>
      <c r="H113" s="380">
        <f t="shared" si="44"/>
        <v>503782.57103945926</v>
      </c>
      <c r="I113" s="399">
        <f t="shared" si="45"/>
        <v>503782.57103945926</v>
      </c>
      <c r="J113" s="54">
        <f t="shared" si="24"/>
        <v>0</v>
      </c>
      <c r="K113" s="54"/>
      <c r="L113" s="129"/>
      <c r="M113" s="54">
        <f t="shared" si="26"/>
        <v>0</v>
      </c>
      <c r="N113" s="129"/>
      <c r="O113" s="54">
        <f t="shared" si="28"/>
        <v>0</v>
      </c>
      <c r="P113" s="54">
        <f t="shared" si="29"/>
        <v>0</v>
      </c>
    </row>
    <row r="114" spans="2:16" ht="12.5">
      <c r="B114" s="7" t="str">
        <f t="shared" si="30"/>
        <v/>
      </c>
      <c r="C114" s="50">
        <f>IF(D93="","-",+C113+1)</f>
        <v>2032</v>
      </c>
      <c r="D114" s="12">
        <f>IF(F113+SUM(E$99:E113)=D$92,F113,D$92-SUM(E$99:E113))</f>
        <v>3144317.3556698468</v>
      </c>
      <c r="E114" s="378">
        <f>IF(+J96&lt;F113,J96,D114)</f>
        <v>105653.89295454546</v>
      </c>
      <c r="F114" s="55">
        <f t="shared" si="42"/>
        <v>3038663.4627153012</v>
      </c>
      <c r="G114" s="55">
        <f t="shared" si="43"/>
        <v>3091490.4091925742</v>
      </c>
      <c r="H114" s="380">
        <f t="shared" si="44"/>
        <v>490625.87845343206</v>
      </c>
      <c r="I114" s="399">
        <f t="shared" si="45"/>
        <v>490625.87845343206</v>
      </c>
      <c r="J114" s="54">
        <f t="shared" si="24"/>
        <v>0</v>
      </c>
      <c r="K114" s="54"/>
      <c r="L114" s="129"/>
      <c r="M114" s="54">
        <f t="shared" si="26"/>
        <v>0</v>
      </c>
      <c r="N114" s="129"/>
      <c r="O114" s="54">
        <f t="shared" si="28"/>
        <v>0</v>
      </c>
      <c r="P114" s="54">
        <f t="shared" si="29"/>
        <v>0</v>
      </c>
    </row>
    <row r="115" spans="2:16" ht="12.5">
      <c r="B115" s="7" t="str">
        <f t="shared" si="30"/>
        <v/>
      </c>
      <c r="C115" s="50">
        <f>IF(D93="","-",+C114+1)</f>
        <v>2033</v>
      </c>
      <c r="D115" s="12">
        <f>IF(F114+SUM(E$99:E114)=D$92,F114,D$92-SUM(E$99:E114))</f>
        <v>3038663.4627153012</v>
      </c>
      <c r="E115" s="378">
        <f>IF(+J96&lt;F114,J96,D115)</f>
        <v>105653.89295454546</v>
      </c>
      <c r="F115" s="55">
        <f t="shared" si="42"/>
        <v>2933009.5697607556</v>
      </c>
      <c r="G115" s="55">
        <f t="shared" si="43"/>
        <v>2985836.5162380282</v>
      </c>
      <c r="H115" s="380">
        <f t="shared" si="44"/>
        <v>477469.1858674048</v>
      </c>
      <c r="I115" s="399">
        <f t="shared" si="45"/>
        <v>477469.1858674048</v>
      </c>
      <c r="J115" s="54">
        <f t="shared" si="24"/>
        <v>0</v>
      </c>
      <c r="K115" s="54"/>
      <c r="L115" s="129"/>
      <c r="M115" s="54">
        <f t="shared" si="26"/>
        <v>0</v>
      </c>
      <c r="N115" s="129"/>
      <c r="O115" s="54">
        <f t="shared" si="28"/>
        <v>0</v>
      </c>
      <c r="P115" s="54">
        <f t="shared" si="29"/>
        <v>0</v>
      </c>
    </row>
    <row r="116" spans="2:16" ht="12.5">
      <c r="B116" s="7" t="str">
        <f t="shared" si="30"/>
        <v/>
      </c>
      <c r="C116" s="50">
        <f>IF(D93="","-",+C115+1)</f>
        <v>2034</v>
      </c>
      <c r="D116" s="12">
        <f>IF(F115+SUM(E$99:E115)=D$92,F115,D$92-SUM(E$99:E115))</f>
        <v>2933009.5697607556</v>
      </c>
      <c r="E116" s="378">
        <f>IF(+J96&lt;F115,J96,D116)</f>
        <v>105653.89295454546</v>
      </c>
      <c r="F116" s="55">
        <f t="shared" si="42"/>
        <v>2827355.6768062101</v>
      </c>
      <c r="G116" s="55">
        <f t="shared" si="43"/>
        <v>2880182.6232834831</v>
      </c>
      <c r="H116" s="380">
        <f t="shared" si="44"/>
        <v>464312.4932813776</v>
      </c>
      <c r="I116" s="399">
        <f t="shared" si="45"/>
        <v>464312.4932813776</v>
      </c>
      <c r="J116" s="54">
        <f t="shared" si="24"/>
        <v>0</v>
      </c>
      <c r="K116" s="54"/>
      <c r="L116" s="129"/>
      <c r="M116" s="54">
        <f t="shared" si="26"/>
        <v>0</v>
      </c>
      <c r="N116" s="129"/>
      <c r="O116" s="54">
        <f t="shared" si="28"/>
        <v>0</v>
      </c>
      <c r="P116" s="54">
        <f t="shared" si="29"/>
        <v>0</v>
      </c>
    </row>
    <row r="117" spans="2:16" ht="12.5">
      <c r="B117" s="7" t="str">
        <f t="shared" si="30"/>
        <v/>
      </c>
      <c r="C117" s="50">
        <f>IF(D93="","-",+C116+1)</f>
        <v>2035</v>
      </c>
      <c r="D117" s="12">
        <f>IF(F116+SUM(E$99:E116)=D$92,F116,D$92-SUM(E$99:E116))</f>
        <v>2827355.6768062101</v>
      </c>
      <c r="E117" s="378">
        <f>IF(+J96&lt;F116,J96,D117)</f>
        <v>105653.89295454546</v>
      </c>
      <c r="F117" s="55">
        <f t="shared" si="42"/>
        <v>2721701.7838516645</v>
      </c>
      <c r="G117" s="55">
        <f t="shared" si="43"/>
        <v>2774528.7303289371</v>
      </c>
      <c r="H117" s="380">
        <f t="shared" si="44"/>
        <v>451155.80069535034</v>
      </c>
      <c r="I117" s="399">
        <f t="shared" si="45"/>
        <v>451155.80069535034</v>
      </c>
      <c r="J117" s="54">
        <f t="shared" si="24"/>
        <v>0</v>
      </c>
      <c r="K117" s="54"/>
      <c r="L117" s="129"/>
      <c r="M117" s="54">
        <f t="shared" si="26"/>
        <v>0</v>
      </c>
      <c r="N117" s="129"/>
      <c r="O117" s="54">
        <f t="shared" si="28"/>
        <v>0</v>
      </c>
      <c r="P117" s="54">
        <f t="shared" si="29"/>
        <v>0</v>
      </c>
    </row>
    <row r="118" spans="2:16" ht="12.5">
      <c r="B118" s="7" t="str">
        <f t="shared" si="30"/>
        <v/>
      </c>
      <c r="C118" s="50">
        <f>IF(D93="","-",+C117+1)</f>
        <v>2036</v>
      </c>
      <c r="D118" s="12">
        <f>IF(F117+SUM(E$99:E117)=D$92,F117,D$92-SUM(E$99:E117))</f>
        <v>2721701.7838516645</v>
      </c>
      <c r="E118" s="378">
        <f>IF(+J96&lt;F117,J96,D118)</f>
        <v>105653.89295454546</v>
      </c>
      <c r="F118" s="55">
        <f t="shared" si="42"/>
        <v>2616047.890897119</v>
      </c>
      <c r="G118" s="55">
        <f t="shared" si="43"/>
        <v>2668874.837374392</v>
      </c>
      <c r="H118" s="380">
        <f t="shared" si="44"/>
        <v>437999.10810932313</v>
      </c>
      <c r="I118" s="399">
        <f t="shared" si="45"/>
        <v>437999.10810932313</v>
      </c>
      <c r="J118" s="54">
        <f t="shared" si="24"/>
        <v>0</v>
      </c>
      <c r="K118" s="54"/>
      <c r="L118" s="129"/>
      <c r="M118" s="54">
        <f t="shared" si="26"/>
        <v>0</v>
      </c>
      <c r="N118" s="129"/>
      <c r="O118" s="54">
        <f t="shared" si="28"/>
        <v>0</v>
      </c>
      <c r="P118" s="54">
        <f t="shared" si="29"/>
        <v>0</v>
      </c>
    </row>
    <row r="119" spans="2:16" ht="12.5">
      <c r="B119" s="7" t="str">
        <f t="shared" si="30"/>
        <v/>
      </c>
      <c r="C119" s="50">
        <f>IF(D93="","-",+C118+1)</f>
        <v>2037</v>
      </c>
      <c r="D119" s="12">
        <f>IF(F118+SUM(E$99:E118)=D$92,F118,D$92-SUM(E$99:E118))</f>
        <v>2616047.890897119</v>
      </c>
      <c r="E119" s="378">
        <f>IF(+J96&lt;F118,J96,D119)</f>
        <v>105653.89295454546</v>
      </c>
      <c r="F119" s="55">
        <f t="shared" si="42"/>
        <v>2510393.9979425734</v>
      </c>
      <c r="G119" s="55">
        <f t="shared" si="43"/>
        <v>2563220.9444198459</v>
      </c>
      <c r="H119" s="380">
        <f t="shared" si="44"/>
        <v>424842.41552329587</v>
      </c>
      <c r="I119" s="399">
        <f t="shared" si="45"/>
        <v>424842.41552329587</v>
      </c>
      <c r="J119" s="54">
        <f t="shared" si="24"/>
        <v>0</v>
      </c>
      <c r="K119" s="54"/>
      <c r="L119" s="129"/>
      <c r="M119" s="54">
        <f t="shared" si="26"/>
        <v>0</v>
      </c>
      <c r="N119" s="129"/>
      <c r="O119" s="54">
        <f t="shared" si="28"/>
        <v>0</v>
      </c>
      <c r="P119" s="54">
        <f t="shared" si="29"/>
        <v>0</v>
      </c>
    </row>
    <row r="120" spans="2:16" ht="12.5">
      <c r="B120" s="7" t="str">
        <f t="shared" si="30"/>
        <v/>
      </c>
      <c r="C120" s="50">
        <f>IF(D93="","-",+C119+1)</f>
        <v>2038</v>
      </c>
      <c r="D120" s="12">
        <f>IF(F119+SUM(E$99:E119)=D$92,F119,D$92-SUM(E$99:E119))</f>
        <v>2510393.9979425734</v>
      </c>
      <c r="E120" s="378">
        <f>IF(+J96&lt;F119,J96,D120)</f>
        <v>105653.89295454546</v>
      </c>
      <c r="F120" s="55">
        <f t="shared" si="42"/>
        <v>2404740.1049880278</v>
      </c>
      <c r="G120" s="55">
        <f t="shared" si="43"/>
        <v>2457567.0514653008</v>
      </c>
      <c r="H120" s="380">
        <f t="shared" si="44"/>
        <v>411685.72293726867</v>
      </c>
      <c r="I120" s="399">
        <f t="shared" si="45"/>
        <v>411685.72293726867</v>
      </c>
      <c r="J120" s="54">
        <f t="shared" si="24"/>
        <v>0</v>
      </c>
      <c r="K120" s="54"/>
      <c r="L120" s="129"/>
      <c r="M120" s="54">
        <f t="shared" si="26"/>
        <v>0</v>
      </c>
      <c r="N120" s="129"/>
      <c r="O120" s="54">
        <f t="shared" si="28"/>
        <v>0</v>
      </c>
      <c r="P120" s="54">
        <f t="shared" si="29"/>
        <v>0</v>
      </c>
    </row>
    <row r="121" spans="2:16" ht="12.5">
      <c r="B121" s="7" t="str">
        <f t="shared" si="30"/>
        <v/>
      </c>
      <c r="C121" s="50">
        <f>IF(D93="","-",+C120+1)</f>
        <v>2039</v>
      </c>
      <c r="D121" s="12">
        <f>IF(F120+SUM(E$99:E120)=D$92,F120,D$92-SUM(E$99:E120))</f>
        <v>2404740.1049880278</v>
      </c>
      <c r="E121" s="378">
        <f>IF(+J96&lt;F120,J96,D121)</f>
        <v>105653.89295454546</v>
      </c>
      <c r="F121" s="55">
        <f t="shared" si="42"/>
        <v>2299086.2120334823</v>
      </c>
      <c r="G121" s="55">
        <f t="shared" si="43"/>
        <v>2351913.1585107548</v>
      </c>
      <c r="H121" s="380">
        <f t="shared" si="44"/>
        <v>398529.03035124141</v>
      </c>
      <c r="I121" s="399">
        <f t="shared" si="45"/>
        <v>398529.03035124141</v>
      </c>
      <c r="J121" s="54">
        <f t="shared" si="24"/>
        <v>0</v>
      </c>
      <c r="K121" s="54"/>
      <c r="L121" s="129"/>
      <c r="M121" s="54">
        <f t="shared" si="26"/>
        <v>0</v>
      </c>
      <c r="N121" s="129"/>
      <c r="O121" s="54">
        <f t="shared" si="28"/>
        <v>0</v>
      </c>
      <c r="P121" s="54">
        <f t="shared" si="29"/>
        <v>0</v>
      </c>
    </row>
    <row r="122" spans="2:16" ht="12.5">
      <c r="B122" s="7" t="str">
        <f t="shared" si="30"/>
        <v/>
      </c>
      <c r="C122" s="50">
        <f>IF(D93="","-",+C121+1)</f>
        <v>2040</v>
      </c>
      <c r="D122" s="12">
        <f>IF(F121+SUM(E$99:E121)=D$92,F121,D$92-SUM(E$99:E121))</f>
        <v>2299086.2120334823</v>
      </c>
      <c r="E122" s="378">
        <f>IF(+J96&lt;F121,J96,D122)</f>
        <v>105653.89295454546</v>
      </c>
      <c r="F122" s="55">
        <f t="shared" si="42"/>
        <v>2193432.3190789367</v>
      </c>
      <c r="G122" s="55">
        <f t="shared" si="43"/>
        <v>2246259.2655562097</v>
      </c>
      <c r="H122" s="380">
        <f t="shared" si="44"/>
        <v>385372.33776521421</v>
      </c>
      <c r="I122" s="399">
        <f t="shared" si="45"/>
        <v>385372.33776521421</v>
      </c>
      <c r="J122" s="54">
        <f t="shared" si="24"/>
        <v>0</v>
      </c>
      <c r="K122" s="54"/>
      <c r="L122" s="129"/>
      <c r="M122" s="54">
        <f t="shared" si="26"/>
        <v>0</v>
      </c>
      <c r="N122" s="129"/>
      <c r="O122" s="54">
        <f t="shared" si="28"/>
        <v>0</v>
      </c>
      <c r="P122" s="54">
        <f t="shared" si="29"/>
        <v>0</v>
      </c>
    </row>
    <row r="123" spans="2:16" ht="12.5">
      <c r="B123" s="7" t="str">
        <f t="shared" si="30"/>
        <v/>
      </c>
      <c r="C123" s="50">
        <f>IF(D93="","-",+C122+1)</f>
        <v>2041</v>
      </c>
      <c r="D123" s="12">
        <f>IF(F122+SUM(E$99:E122)=D$92,F122,D$92-SUM(E$99:E122))</f>
        <v>2193432.3190789367</v>
      </c>
      <c r="E123" s="378">
        <f>IF(+J96&lt;F122,J96,D123)</f>
        <v>105653.89295454546</v>
      </c>
      <c r="F123" s="55">
        <f t="shared" si="42"/>
        <v>2087778.4261243911</v>
      </c>
      <c r="G123" s="55">
        <f t="shared" si="43"/>
        <v>2140605.3726016637</v>
      </c>
      <c r="H123" s="380">
        <f t="shared" si="44"/>
        <v>372215.64517918695</v>
      </c>
      <c r="I123" s="399">
        <f t="shared" si="45"/>
        <v>372215.64517918695</v>
      </c>
      <c r="J123" s="54">
        <f t="shared" si="24"/>
        <v>0</v>
      </c>
      <c r="K123" s="54"/>
      <c r="L123" s="129"/>
      <c r="M123" s="54">
        <f t="shared" si="26"/>
        <v>0</v>
      </c>
      <c r="N123" s="129"/>
      <c r="O123" s="54">
        <f t="shared" si="28"/>
        <v>0</v>
      </c>
      <c r="P123" s="54">
        <f t="shared" si="29"/>
        <v>0</v>
      </c>
    </row>
    <row r="124" spans="2:16" ht="12.5">
      <c r="B124" s="7" t="str">
        <f t="shared" si="30"/>
        <v/>
      </c>
      <c r="C124" s="50">
        <f>IF(D93="","-",+C123+1)</f>
        <v>2042</v>
      </c>
      <c r="D124" s="12">
        <f>IF(F123+SUM(E$99:E123)=D$92,F123,D$92-SUM(E$99:E123))</f>
        <v>2087778.4261243911</v>
      </c>
      <c r="E124" s="378">
        <f>IF(+J96&lt;F123,J96,D124)</f>
        <v>105653.89295454546</v>
      </c>
      <c r="F124" s="55">
        <f t="shared" si="42"/>
        <v>1982124.5331698456</v>
      </c>
      <c r="G124" s="55">
        <f t="shared" si="43"/>
        <v>2034951.4796471184</v>
      </c>
      <c r="H124" s="380">
        <f t="shared" si="44"/>
        <v>359058.95259315975</v>
      </c>
      <c r="I124" s="399">
        <f t="shared" si="45"/>
        <v>359058.95259315975</v>
      </c>
      <c r="J124" s="54">
        <f t="shared" si="24"/>
        <v>0</v>
      </c>
      <c r="K124" s="54"/>
      <c r="L124" s="129"/>
      <c r="M124" s="54">
        <f t="shared" si="26"/>
        <v>0</v>
      </c>
      <c r="N124" s="129"/>
      <c r="O124" s="54">
        <f t="shared" si="28"/>
        <v>0</v>
      </c>
      <c r="P124" s="54">
        <f t="shared" si="29"/>
        <v>0</v>
      </c>
    </row>
    <row r="125" spans="2:16" ht="12.5">
      <c r="B125" s="7" t="str">
        <f t="shared" si="30"/>
        <v/>
      </c>
      <c r="C125" s="50">
        <f>IF(D93="","-",+C124+1)</f>
        <v>2043</v>
      </c>
      <c r="D125" s="12">
        <f>IF(F124+SUM(E$99:E124)=D$92,F124,D$92-SUM(E$99:E124))</f>
        <v>1982124.5331698456</v>
      </c>
      <c r="E125" s="378">
        <f>IF(+J96&lt;F124,J96,D125)</f>
        <v>105653.89295454546</v>
      </c>
      <c r="F125" s="55">
        <f t="shared" si="42"/>
        <v>1876470.6402153</v>
      </c>
      <c r="G125" s="55">
        <f t="shared" si="43"/>
        <v>1929297.5866925728</v>
      </c>
      <c r="H125" s="380">
        <f t="shared" si="44"/>
        <v>345902.26000713249</v>
      </c>
      <c r="I125" s="399">
        <f t="shared" si="45"/>
        <v>345902.26000713249</v>
      </c>
      <c r="J125" s="54">
        <f t="shared" si="24"/>
        <v>0</v>
      </c>
      <c r="K125" s="54"/>
      <c r="L125" s="129"/>
      <c r="M125" s="54">
        <f t="shared" si="26"/>
        <v>0</v>
      </c>
      <c r="N125" s="129"/>
      <c r="O125" s="54">
        <f t="shared" si="28"/>
        <v>0</v>
      </c>
      <c r="P125" s="54">
        <f t="shared" si="29"/>
        <v>0</v>
      </c>
    </row>
    <row r="126" spans="2:16" ht="12.5">
      <c r="B126" s="7" t="str">
        <f t="shared" si="30"/>
        <v/>
      </c>
      <c r="C126" s="50">
        <f>IF(D93="","-",+C125+1)</f>
        <v>2044</v>
      </c>
      <c r="D126" s="12">
        <f>IF(F125+SUM(E$99:E125)=D$92,F125,D$92-SUM(E$99:E125))</f>
        <v>1876470.6402153</v>
      </c>
      <c r="E126" s="378">
        <f>IF(+J96&lt;F125,J96,D126)</f>
        <v>105653.89295454546</v>
      </c>
      <c r="F126" s="55">
        <f t="shared" si="42"/>
        <v>1770816.7472607545</v>
      </c>
      <c r="G126" s="55">
        <f t="shared" si="43"/>
        <v>1823643.6937380272</v>
      </c>
      <c r="H126" s="380">
        <f t="shared" si="44"/>
        <v>332745.56742110528</v>
      </c>
      <c r="I126" s="399">
        <f t="shared" si="45"/>
        <v>332745.56742110528</v>
      </c>
      <c r="J126" s="54">
        <f t="shared" si="24"/>
        <v>0</v>
      </c>
      <c r="K126" s="54"/>
      <c r="L126" s="129"/>
      <c r="M126" s="54">
        <f t="shared" si="26"/>
        <v>0</v>
      </c>
      <c r="N126" s="129"/>
      <c r="O126" s="54">
        <f t="shared" si="28"/>
        <v>0</v>
      </c>
      <c r="P126" s="54">
        <f t="shared" si="29"/>
        <v>0</v>
      </c>
    </row>
    <row r="127" spans="2:16" ht="12.5">
      <c r="B127" s="7" t="str">
        <f t="shared" si="30"/>
        <v/>
      </c>
      <c r="C127" s="50">
        <f>IF(D93="","-",+C126+1)</f>
        <v>2045</v>
      </c>
      <c r="D127" s="12">
        <f>IF(F126+SUM(E$99:E126)=D$92,F126,D$92-SUM(E$99:E126))</f>
        <v>1770816.7472607545</v>
      </c>
      <c r="E127" s="378">
        <f>IF(+J96&lt;F126,J96,D127)</f>
        <v>105653.89295454546</v>
      </c>
      <c r="F127" s="55">
        <f t="shared" si="42"/>
        <v>1665162.8543062089</v>
      </c>
      <c r="G127" s="55">
        <f t="shared" si="43"/>
        <v>1717989.8007834817</v>
      </c>
      <c r="H127" s="380">
        <f t="shared" si="44"/>
        <v>319588.87483507802</v>
      </c>
      <c r="I127" s="399">
        <f t="shared" si="45"/>
        <v>319588.87483507802</v>
      </c>
      <c r="J127" s="54">
        <f t="shared" si="24"/>
        <v>0</v>
      </c>
      <c r="K127" s="54"/>
      <c r="L127" s="129"/>
      <c r="M127" s="54">
        <f t="shared" si="26"/>
        <v>0</v>
      </c>
      <c r="N127" s="129"/>
      <c r="O127" s="54">
        <f t="shared" si="28"/>
        <v>0</v>
      </c>
      <c r="P127" s="54">
        <f t="shared" si="29"/>
        <v>0</v>
      </c>
    </row>
    <row r="128" spans="2:16" ht="12.5">
      <c r="B128" s="7" t="str">
        <f t="shared" si="30"/>
        <v/>
      </c>
      <c r="C128" s="50">
        <f>IF(D93="","-",+C127+1)</f>
        <v>2046</v>
      </c>
      <c r="D128" s="12">
        <f>IF(F127+SUM(E$99:E127)=D$92,F127,D$92-SUM(E$99:E127))</f>
        <v>1665162.8543062089</v>
      </c>
      <c r="E128" s="378">
        <f>IF(+J96&lt;F127,J96,D128)</f>
        <v>105653.89295454546</v>
      </c>
      <c r="F128" s="55">
        <f t="shared" si="42"/>
        <v>1559508.9613516633</v>
      </c>
      <c r="G128" s="55">
        <f t="shared" si="43"/>
        <v>1612335.9078289361</v>
      </c>
      <c r="H128" s="380">
        <f t="shared" si="44"/>
        <v>306432.18224905082</v>
      </c>
      <c r="I128" s="399">
        <f t="shared" si="45"/>
        <v>306432.18224905082</v>
      </c>
      <c r="J128" s="54">
        <f t="shared" si="24"/>
        <v>0</v>
      </c>
      <c r="K128" s="54"/>
      <c r="L128" s="129"/>
      <c r="M128" s="54">
        <f t="shared" si="26"/>
        <v>0</v>
      </c>
      <c r="N128" s="129"/>
      <c r="O128" s="54">
        <f t="shared" si="28"/>
        <v>0</v>
      </c>
      <c r="P128" s="54">
        <f t="shared" si="29"/>
        <v>0</v>
      </c>
    </row>
    <row r="129" spans="2:16" ht="12.5">
      <c r="B129" s="7" t="str">
        <f t="shared" si="30"/>
        <v/>
      </c>
      <c r="C129" s="50">
        <f>IF(D93="","-",+C128+1)</f>
        <v>2047</v>
      </c>
      <c r="D129" s="12">
        <f>IF(F128+SUM(E$99:E128)=D$92,F128,D$92-SUM(E$99:E128))</f>
        <v>1559508.9613516633</v>
      </c>
      <c r="E129" s="378">
        <f>IF(+J96&lt;F128,J96,D129)</f>
        <v>105653.89295454546</v>
      </c>
      <c r="F129" s="55">
        <f t="shared" si="42"/>
        <v>1453855.0683971178</v>
      </c>
      <c r="G129" s="55">
        <f t="shared" si="43"/>
        <v>1506682.0148743906</v>
      </c>
      <c r="H129" s="380">
        <f t="shared" si="44"/>
        <v>293275.48966302356</v>
      </c>
      <c r="I129" s="399">
        <f t="shared" si="45"/>
        <v>293275.48966302356</v>
      </c>
      <c r="J129" s="54">
        <f t="shared" si="24"/>
        <v>0</v>
      </c>
      <c r="K129" s="54"/>
      <c r="L129" s="129"/>
      <c r="M129" s="54">
        <f t="shared" si="26"/>
        <v>0</v>
      </c>
      <c r="N129" s="129"/>
      <c r="O129" s="54">
        <f t="shared" si="28"/>
        <v>0</v>
      </c>
      <c r="P129" s="54">
        <f t="shared" si="29"/>
        <v>0</v>
      </c>
    </row>
    <row r="130" spans="2:16" ht="12.5">
      <c r="B130" s="7" t="str">
        <f t="shared" si="30"/>
        <v/>
      </c>
      <c r="C130" s="50">
        <f>IF(D93="","-",+C129+1)</f>
        <v>2048</v>
      </c>
      <c r="D130" s="12">
        <f>IF(F129+SUM(E$99:E129)=D$92,F129,D$92-SUM(E$99:E129))</f>
        <v>1453855.0683971178</v>
      </c>
      <c r="E130" s="378">
        <f>IF(+J96&lt;F129,J96,D130)</f>
        <v>105653.89295454546</v>
      </c>
      <c r="F130" s="55">
        <f t="shared" si="42"/>
        <v>1348201.1754425722</v>
      </c>
      <c r="G130" s="55">
        <f t="shared" si="43"/>
        <v>1401028.121919845</v>
      </c>
      <c r="H130" s="380">
        <f t="shared" si="44"/>
        <v>280118.79707699636</v>
      </c>
      <c r="I130" s="399">
        <f t="shared" si="45"/>
        <v>280118.79707699636</v>
      </c>
      <c r="J130" s="54">
        <f t="shared" si="24"/>
        <v>0</v>
      </c>
      <c r="K130" s="54"/>
      <c r="L130" s="129"/>
      <c r="M130" s="54">
        <f t="shared" si="26"/>
        <v>0</v>
      </c>
      <c r="N130" s="129"/>
      <c r="O130" s="54">
        <f t="shared" si="28"/>
        <v>0</v>
      </c>
      <c r="P130" s="54">
        <f t="shared" si="29"/>
        <v>0</v>
      </c>
    </row>
    <row r="131" spans="2:16" ht="12.5">
      <c r="B131" s="7" t="str">
        <f t="shared" si="30"/>
        <v/>
      </c>
      <c r="C131" s="50">
        <f>IF(D93="","-",+C130+1)</f>
        <v>2049</v>
      </c>
      <c r="D131" s="12">
        <f>IF(F130+SUM(E$99:E130)=D$92,F130,D$92-SUM(E$99:E130))</f>
        <v>1348201.1754425722</v>
      </c>
      <c r="E131" s="378">
        <f>IF(+J96&lt;F130,J96,D131)</f>
        <v>105653.89295454546</v>
      </c>
      <c r="F131" s="55">
        <f t="shared" ref="F131:F154" si="46">+D131-E131</f>
        <v>1242547.2824880267</v>
      </c>
      <c r="G131" s="55">
        <f t="shared" ref="G131:G154" si="47">+(F131+D131)/2</f>
        <v>1295374.2289652994</v>
      </c>
      <c r="H131" s="380">
        <f t="shared" si="44"/>
        <v>266962.1044909691</v>
      </c>
      <c r="I131" s="399">
        <f t="shared" si="45"/>
        <v>266962.1044909691</v>
      </c>
      <c r="J131" s="54">
        <f t="shared" ref="J131:J154" si="48">+I541-H541</f>
        <v>0</v>
      </c>
      <c r="K131" s="54"/>
      <c r="L131" s="129"/>
      <c r="M131" s="54">
        <f t="shared" ref="M131:M154" si="49">IF(L541&lt;&gt;0,+H541-L541,0)</f>
        <v>0</v>
      </c>
      <c r="N131" s="129"/>
      <c r="O131" s="54">
        <f t="shared" ref="O131:O154" si="50">IF(N541&lt;&gt;0,+I541-N541,0)</f>
        <v>0</v>
      </c>
      <c r="P131" s="54">
        <f t="shared" ref="P131:P154" si="51">+O541-M541</f>
        <v>0</v>
      </c>
    </row>
    <row r="132" spans="2:16" ht="12.5">
      <c r="B132" s="7" t="str">
        <f t="shared" si="30"/>
        <v/>
      </c>
      <c r="C132" s="50">
        <f>IF(D93="","-",+C131+1)</f>
        <v>2050</v>
      </c>
      <c r="D132" s="12">
        <f>IF(F131+SUM(E$99:E131)=D$92,F131,D$92-SUM(E$99:E131))</f>
        <v>1242547.2824880267</v>
      </c>
      <c r="E132" s="378">
        <f>IF(+J96&lt;F131,J96,D132)</f>
        <v>105653.89295454546</v>
      </c>
      <c r="F132" s="55">
        <f t="shared" si="46"/>
        <v>1136893.3895334811</v>
      </c>
      <c r="G132" s="55">
        <f t="shared" si="47"/>
        <v>1189720.3360107539</v>
      </c>
      <c r="H132" s="380">
        <f t="shared" si="44"/>
        <v>253805.4119049419</v>
      </c>
      <c r="I132" s="399">
        <f t="shared" si="45"/>
        <v>253805.4119049419</v>
      </c>
      <c r="J132" s="54">
        <f t="shared" si="48"/>
        <v>0</v>
      </c>
      <c r="K132" s="54"/>
      <c r="L132" s="129"/>
      <c r="M132" s="54">
        <f t="shared" si="49"/>
        <v>0</v>
      </c>
      <c r="N132" s="129"/>
      <c r="O132" s="54">
        <f t="shared" si="50"/>
        <v>0</v>
      </c>
      <c r="P132" s="54">
        <f t="shared" si="51"/>
        <v>0</v>
      </c>
    </row>
    <row r="133" spans="2:16" ht="12.5">
      <c r="B133" s="7" t="str">
        <f t="shared" si="30"/>
        <v/>
      </c>
      <c r="C133" s="50">
        <f>IF(D93="","-",+C132+1)</f>
        <v>2051</v>
      </c>
      <c r="D133" s="12">
        <f>IF(F132+SUM(E$99:E132)=D$92,F132,D$92-SUM(E$99:E132))</f>
        <v>1136893.3895334811</v>
      </c>
      <c r="E133" s="378">
        <f>IF(+J96&lt;F132,J96,D133)</f>
        <v>105653.89295454546</v>
      </c>
      <c r="F133" s="55">
        <f t="shared" si="46"/>
        <v>1031239.4965789357</v>
      </c>
      <c r="G133" s="55">
        <f t="shared" si="47"/>
        <v>1084066.4430562083</v>
      </c>
      <c r="H133" s="380">
        <f t="shared" si="44"/>
        <v>240648.71931891463</v>
      </c>
      <c r="I133" s="399">
        <f t="shared" si="45"/>
        <v>240648.71931891463</v>
      </c>
      <c r="J133" s="54">
        <f t="shared" si="48"/>
        <v>0</v>
      </c>
      <c r="K133" s="54"/>
      <c r="L133" s="129"/>
      <c r="M133" s="54">
        <f t="shared" si="49"/>
        <v>0</v>
      </c>
      <c r="N133" s="129"/>
      <c r="O133" s="54">
        <f t="shared" si="50"/>
        <v>0</v>
      </c>
      <c r="P133" s="54">
        <f t="shared" si="51"/>
        <v>0</v>
      </c>
    </row>
    <row r="134" spans="2:16" ht="12.5">
      <c r="B134" s="7" t="str">
        <f t="shared" si="30"/>
        <v/>
      </c>
      <c r="C134" s="50">
        <f>IF(D93="","-",+C133+1)</f>
        <v>2052</v>
      </c>
      <c r="D134" s="12">
        <f>IF(F133+SUM(E$99:E133)=D$92,F133,D$92-SUM(E$99:E133))</f>
        <v>1031239.4965789357</v>
      </c>
      <c r="E134" s="378">
        <f>IF(+J96&lt;F133,J96,D134)</f>
        <v>105653.89295454546</v>
      </c>
      <c r="F134" s="55">
        <f t="shared" si="46"/>
        <v>925585.60362439021</v>
      </c>
      <c r="G134" s="55">
        <f t="shared" si="47"/>
        <v>978412.55010166299</v>
      </c>
      <c r="H134" s="380">
        <f t="shared" si="44"/>
        <v>227492.02673288743</v>
      </c>
      <c r="I134" s="399">
        <f t="shared" si="45"/>
        <v>227492.02673288743</v>
      </c>
      <c r="J134" s="54">
        <f t="shared" si="48"/>
        <v>0</v>
      </c>
      <c r="K134" s="54"/>
      <c r="L134" s="129"/>
      <c r="M134" s="54">
        <f t="shared" si="49"/>
        <v>0</v>
      </c>
      <c r="N134" s="129"/>
      <c r="O134" s="54">
        <f t="shared" si="50"/>
        <v>0</v>
      </c>
      <c r="P134" s="54">
        <f t="shared" si="51"/>
        <v>0</v>
      </c>
    </row>
    <row r="135" spans="2:16" ht="12.5">
      <c r="B135" s="7" t="str">
        <f t="shared" si="30"/>
        <v/>
      </c>
      <c r="C135" s="50">
        <f>IF(D93="","-",+C134+1)</f>
        <v>2053</v>
      </c>
      <c r="D135" s="12">
        <f>IF(F134+SUM(E$99:E134)=D$92,F134,D$92-SUM(E$99:E134))</f>
        <v>925585.60362439021</v>
      </c>
      <c r="E135" s="378">
        <f>IF(+J96&lt;F134,J96,D135)</f>
        <v>105653.89295454546</v>
      </c>
      <c r="F135" s="55">
        <f t="shared" si="46"/>
        <v>819931.71066984476</v>
      </c>
      <c r="G135" s="55">
        <f t="shared" si="47"/>
        <v>872758.65714711742</v>
      </c>
      <c r="H135" s="380">
        <f t="shared" si="44"/>
        <v>214335.33414686023</v>
      </c>
      <c r="I135" s="399">
        <f t="shared" si="45"/>
        <v>214335.33414686023</v>
      </c>
      <c r="J135" s="54">
        <f t="shared" si="48"/>
        <v>0</v>
      </c>
      <c r="K135" s="54"/>
      <c r="L135" s="129"/>
      <c r="M135" s="54">
        <f t="shared" si="49"/>
        <v>0</v>
      </c>
      <c r="N135" s="129"/>
      <c r="O135" s="54">
        <f t="shared" si="50"/>
        <v>0</v>
      </c>
      <c r="P135" s="54">
        <f t="shared" si="51"/>
        <v>0</v>
      </c>
    </row>
    <row r="136" spans="2:16" ht="12.5">
      <c r="B136" s="7" t="str">
        <f t="shared" si="30"/>
        <v/>
      </c>
      <c r="C136" s="50">
        <f>IF(D93="","-",+C135+1)</f>
        <v>2054</v>
      </c>
      <c r="D136" s="12">
        <f>IF(F135+SUM(E$99:E135)=D$92,F135,D$92-SUM(E$99:E135))</f>
        <v>819931.71066984476</v>
      </c>
      <c r="E136" s="378">
        <f>IF(+J96&lt;F135,J96,D136)</f>
        <v>105653.89295454546</v>
      </c>
      <c r="F136" s="55">
        <f t="shared" si="46"/>
        <v>714277.81771529932</v>
      </c>
      <c r="G136" s="55">
        <f t="shared" si="47"/>
        <v>767104.7641925721</v>
      </c>
      <c r="H136" s="380">
        <f t="shared" si="44"/>
        <v>201178.64156083303</v>
      </c>
      <c r="I136" s="399">
        <f t="shared" si="45"/>
        <v>201178.64156083303</v>
      </c>
      <c r="J136" s="54">
        <f t="shared" si="48"/>
        <v>0</v>
      </c>
      <c r="K136" s="54"/>
      <c r="L136" s="129"/>
      <c r="M136" s="54">
        <f t="shared" si="49"/>
        <v>0</v>
      </c>
      <c r="N136" s="129"/>
      <c r="O136" s="54">
        <f t="shared" si="50"/>
        <v>0</v>
      </c>
      <c r="P136" s="54">
        <f t="shared" si="51"/>
        <v>0</v>
      </c>
    </row>
    <row r="137" spans="2:16" ht="12.5">
      <c r="B137" s="7" t="str">
        <f t="shared" si="30"/>
        <v/>
      </c>
      <c r="C137" s="50">
        <f>IF(D93="","-",+C136+1)</f>
        <v>2055</v>
      </c>
      <c r="D137" s="12">
        <f>IF(F136+SUM(E$99:E136)=D$92,F136,D$92-SUM(E$99:E136))</f>
        <v>714277.81771529932</v>
      </c>
      <c r="E137" s="378">
        <f>IF(+J96&lt;F136,J96,D137)</f>
        <v>105653.89295454546</v>
      </c>
      <c r="F137" s="55">
        <f t="shared" si="46"/>
        <v>608623.92476075387</v>
      </c>
      <c r="G137" s="55">
        <f t="shared" si="47"/>
        <v>661450.87123802654</v>
      </c>
      <c r="H137" s="380">
        <f t="shared" si="44"/>
        <v>188021.94897480577</v>
      </c>
      <c r="I137" s="399">
        <f t="shared" si="45"/>
        <v>188021.94897480577</v>
      </c>
      <c r="J137" s="54">
        <f t="shared" si="48"/>
        <v>0</v>
      </c>
      <c r="K137" s="54"/>
      <c r="L137" s="129"/>
      <c r="M137" s="54">
        <f t="shared" si="49"/>
        <v>0</v>
      </c>
      <c r="N137" s="129"/>
      <c r="O137" s="54">
        <f t="shared" si="50"/>
        <v>0</v>
      </c>
      <c r="P137" s="54">
        <f t="shared" si="51"/>
        <v>0</v>
      </c>
    </row>
    <row r="138" spans="2:16" ht="12.5">
      <c r="B138" s="7" t="str">
        <f t="shared" si="30"/>
        <v/>
      </c>
      <c r="C138" s="50">
        <f>IF(D93="","-",+C137+1)</f>
        <v>2056</v>
      </c>
      <c r="D138" s="12">
        <f>IF(F137+SUM(E$99:E137)=D$92,F137,D$92-SUM(E$99:E137))</f>
        <v>608623.92476075387</v>
      </c>
      <c r="E138" s="378">
        <f>IF(+J96&lt;F137,J96,D138)</f>
        <v>105653.89295454546</v>
      </c>
      <c r="F138" s="55">
        <f t="shared" si="46"/>
        <v>502970.03180620843</v>
      </c>
      <c r="G138" s="55">
        <f t="shared" si="47"/>
        <v>555796.97828348121</v>
      </c>
      <c r="H138" s="380">
        <f t="shared" si="44"/>
        <v>174865.25638877857</v>
      </c>
      <c r="I138" s="399">
        <f t="shared" si="45"/>
        <v>174865.25638877857</v>
      </c>
      <c r="J138" s="54">
        <f t="shared" si="48"/>
        <v>0</v>
      </c>
      <c r="K138" s="54"/>
      <c r="L138" s="129"/>
      <c r="M138" s="54">
        <f t="shared" si="49"/>
        <v>0</v>
      </c>
      <c r="N138" s="129"/>
      <c r="O138" s="54">
        <f t="shared" si="50"/>
        <v>0</v>
      </c>
      <c r="P138" s="54">
        <f t="shared" si="51"/>
        <v>0</v>
      </c>
    </row>
    <row r="139" spans="2:16" ht="12.5">
      <c r="B139" s="7" t="str">
        <f t="shared" si="30"/>
        <v/>
      </c>
      <c r="C139" s="50">
        <f>IF(D93="","-",+C138+1)</f>
        <v>2057</v>
      </c>
      <c r="D139" s="12">
        <f>IF(F138+SUM(E$99:E138)=D$92,F138,D$92-SUM(E$99:E138))</f>
        <v>502970.03180620843</v>
      </c>
      <c r="E139" s="378">
        <f>IF(+J96&lt;F138,J96,D139)</f>
        <v>105653.89295454546</v>
      </c>
      <c r="F139" s="55">
        <f t="shared" si="46"/>
        <v>397316.13885166298</v>
      </c>
      <c r="G139" s="55">
        <f t="shared" si="47"/>
        <v>450143.0853289357</v>
      </c>
      <c r="H139" s="380">
        <f t="shared" si="44"/>
        <v>161708.56380275136</v>
      </c>
      <c r="I139" s="399">
        <f t="shared" si="45"/>
        <v>161708.56380275136</v>
      </c>
      <c r="J139" s="54">
        <f t="shared" si="48"/>
        <v>0</v>
      </c>
      <c r="K139" s="54"/>
      <c r="L139" s="129"/>
      <c r="M139" s="54">
        <f t="shared" si="49"/>
        <v>0</v>
      </c>
      <c r="N139" s="129"/>
      <c r="O139" s="54">
        <f t="shared" si="50"/>
        <v>0</v>
      </c>
      <c r="P139" s="54">
        <f t="shared" si="51"/>
        <v>0</v>
      </c>
    </row>
    <row r="140" spans="2:16" ht="12.5">
      <c r="B140" s="7" t="str">
        <f t="shared" si="30"/>
        <v/>
      </c>
      <c r="C140" s="50">
        <f>IF(D93="","-",+C139+1)</f>
        <v>2058</v>
      </c>
      <c r="D140" s="12">
        <f>IF(F139+SUM(E$99:E139)=D$92,F139,D$92-SUM(E$99:E139))</f>
        <v>397316.13885166298</v>
      </c>
      <c r="E140" s="378">
        <f>IF(+J96&lt;F139,J96,D140)</f>
        <v>105653.89295454546</v>
      </c>
      <c r="F140" s="55">
        <f t="shared" si="46"/>
        <v>291662.24589711754</v>
      </c>
      <c r="G140" s="55">
        <f t="shared" si="47"/>
        <v>344489.19237439026</v>
      </c>
      <c r="H140" s="380">
        <f t="shared" si="44"/>
        <v>148551.87121672413</v>
      </c>
      <c r="I140" s="399">
        <f t="shared" si="45"/>
        <v>148551.87121672413</v>
      </c>
      <c r="J140" s="54">
        <f t="shared" si="48"/>
        <v>0</v>
      </c>
      <c r="K140" s="54"/>
      <c r="L140" s="129"/>
      <c r="M140" s="54">
        <f t="shared" si="49"/>
        <v>0</v>
      </c>
      <c r="N140" s="129"/>
      <c r="O140" s="54">
        <f t="shared" si="50"/>
        <v>0</v>
      </c>
      <c r="P140" s="54">
        <f t="shared" si="51"/>
        <v>0</v>
      </c>
    </row>
    <row r="141" spans="2:16" ht="12.5">
      <c r="B141" s="7" t="str">
        <f t="shared" si="30"/>
        <v/>
      </c>
      <c r="C141" s="50">
        <f>IF(D93="","-",+C140+1)</f>
        <v>2059</v>
      </c>
      <c r="D141" s="12">
        <f>IF(F140+SUM(E$99:E140)=D$92,F140,D$92-SUM(E$99:E140))</f>
        <v>291662.24589711754</v>
      </c>
      <c r="E141" s="378">
        <f>IF(+J96&lt;F140,J96,D141)</f>
        <v>105653.89295454546</v>
      </c>
      <c r="F141" s="55">
        <f t="shared" si="46"/>
        <v>186008.35294257209</v>
      </c>
      <c r="G141" s="55">
        <f t="shared" si="47"/>
        <v>238835.29941984481</v>
      </c>
      <c r="H141" s="380">
        <f t="shared" si="44"/>
        <v>135395.17863069693</v>
      </c>
      <c r="I141" s="399">
        <f t="shared" si="45"/>
        <v>135395.17863069693</v>
      </c>
      <c r="J141" s="54">
        <f t="shared" si="48"/>
        <v>0</v>
      </c>
      <c r="K141" s="54"/>
      <c r="L141" s="129"/>
      <c r="M141" s="54">
        <f t="shared" si="49"/>
        <v>0</v>
      </c>
      <c r="N141" s="129"/>
      <c r="O141" s="54">
        <f t="shared" si="50"/>
        <v>0</v>
      </c>
      <c r="P141" s="54">
        <f t="shared" si="51"/>
        <v>0</v>
      </c>
    </row>
    <row r="142" spans="2:16" ht="12.5">
      <c r="B142" s="7" t="str">
        <f t="shared" si="30"/>
        <v/>
      </c>
      <c r="C142" s="50">
        <f>IF(D93="","-",+C141+1)</f>
        <v>2060</v>
      </c>
      <c r="D142" s="12">
        <f>IF(F141+SUM(E$99:E141)=D$92,F141,D$92-SUM(E$99:E141))</f>
        <v>186008.35294257209</v>
      </c>
      <c r="E142" s="378">
        <f>IF(+J96&lt;F141,J96,D142)</f>
        <v>105653.89295454546</v>
      </c>
      <c r="F142" s="55">
        <f t="shared" si="46"/>
        <v>80354.459988026632</v>
      </c>
      <c r="G142" s="55">
        <f t="shared" si="47"/>
        <v>133181.40646529937</v>
      </c>
      <c r="H142" s="380">
        <f t="shared" si="44"/>
        <v>122238.48604466971</v>
      </c>
      <c r="I142" s="399">
        <f t="shared" si="45"/>
        <v>122238.48604466971</v>
      </c>
      <c r="J142" s="54">
        <f t="shared" si="48"/>
        <v>0</v>
      </c>
      <c r="K142" s="54"/>
      <c r="L142" s="129"/>
      <c r="M142" s="54">
        <f t="shared" si="49"/>
        <v>0</v>
      </c>
      <c r="N142" s="129"/>
      <c r="O142" s="54">
        <f t="shared" si="50"/>
        <v>0</v>
      </c>
      <c r="P142" s="54">
        <f t="shared" si="51"/>
        <v>0</v>
      </c>
    </row>
    <row r="143" spans="2:16" ht="12.5">
      <c r="B143" s="7" t="str">
        <f t="shared" si="30"/>
        <v/>
      </c>
      <c r="C143" s="50">
        <f>IF(D93="","-",+C142+1)</f>
        <v>2061</v>
      </c>
      <c r="D143" s="12">
        <f>IF(F142+SUM(E$99:E142)=D$92,F142,D$92-SUM(E$99:E142))</f>
        <v>80354.459988026632</v>
      </c>
      <c r="E143" s="378">
        <f>IF(+J96&lt;F142,J96,D143)</f>
        <v>80354.459988026632</v>
      </c>
      <c r="F143" s="55">
        <f t="shared" si="46"/>
        <v>0</v>
      </c>
      <c r="G143" s="55">
        <f t="shared" si="47"/>
        <v>40177.229994013316</v>
      </c>
      <c r="H143" s="380">
        <f t="shared" si="44"/>
        <v>85357.583386581959</v>
      </c>
      <c r="I143" s="399">
        <f t="shared" si="45"/>
        <v>85357.583386581959</v>
      </c>
      <c r="J143" s="54">
        <f t="shared" si="48"/>
        <v>0</v>
      </c>
      <c r="K143" s="54"/>
      <c r="L143" s="129"/>
      <c r="M143" s="54">
        <f t="shared" si="49"/>
        <v>0</v>
      </c>
      <c r="N143" s="129"/>
      <c r="O143" s="54">
        <f t="shared" si="50"/>
        <v>0</v>
      </c>
      <c r="P143" s="54">
        <f t="shared" si="51"/>
        <v>0</v>
      </c>
    </row>
    <row r="144" spans="2:16" ht="12.5">
      <c r="B144" s="7" t="str">
        <f t="shared" si="30"/>
        <v/>
      </c>
      <c r="C144" s="50">
        <f>IF(D93="","-",+C143+1)</f>
        <v>2062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46"/>
        <v>0</v>
      </c>
      <c r="G144" s="55">
        <f t="shared" si="47"/>
        <v>0</v>
      </c>
      <c r="H144" s="380">
        <f t="shared" si="44"/>
        <v>0</v>
      </c>
      <c r="I144" s="399">
        <f t="shared" si="45"/>
        <v>0</v>
      </c>
      <c r="J144" s="54">
        <f t="shared" si="48"/>
        <v>0</v>
      </c>
      <c r="K144" s="54"/>
      <c r="L144" s="129"/>
      <c r="M144" s="54">
        <f t="shared" si="49"/>
        <v>0</v>
      </c>
      <c r="N144" s="129"/>
      <c r="O144" s="54">
        <f t="shared" si="50"/>
        <v>0</v>
      </c>
      <c r="P144" s="54">
        <f t="shared" si="51"/>
        <v>0</v>
      </c>
    </row>
    <row r="145" spans="2:16" ht="12.5">
      <c r="B145" s="7" t="str">
        <f t="shared" si="30"/>
        <v/>
      </c>
      <c r="C145" s="50">
        <f>IF(D93="","-",+C144+1)</f>
        <v>2063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46"/>
        <v>0</v>
      </c>
      <c r="G145" s="55">
        <f t="shared" si="47"/>
        <v>0</v>
      </c>
      <c r="H145" s="380">
        <f t="shared" si="44"/>
        <v>0</v>
      </c>
      <c r="I145" s="399">
        <f t="shared" si="45"/>
        <v>0</v>
      </c>
      <c r="J145" s="54">
        <f t="shared" si="48"/>
        <v>0</v>
      </c>
      <c r="K145" s="54"/>
      <c r="L145" s="129"/>
      <c r="M145" s="54">
        <f t="shared" si="49"/>
        <v>0</v>
      </c>
      <c r="N145" s="129"/>
      <c r="O145" s="54">
        <f t="shared" si="50"/>
        <v>0</v>
      </c>
      <c r="P145" s="54">
        <f t="shared" si="51"/>
        <v>0</v>
      </c>
    </row>
    <row r="146" spans="2:16" ht="12.5">
      <c r="B146" s="7" t="str">
        <f t="shared" si="30"/>
        <v/>
      </c>
      <c r="C146" s="50">
        <f>IF(D93="","-",+C145+1)</f>
        <v>2064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46"/>
        <v>0</v>
      </c>
      <c r="G146" s="55">
        <f t="shared" si="47"/>
        <v>0</v>
      </c>
      <c r="H146" s="380">
        <f t="shared" si="44"/>
        <v>0</v>
      </c>
      <c r="I146" s="399">
        <f t="shared" si="45"/>
        <v>0</v>
      </c>
      <c r="J146" s="54">
        <f t="shared" si="48"/>
        <v>0</v>
      </c>
      <c r="K146" s="54"/>
      <c r="L146" s="129"/>
      <c r="M146" s="54">
        <f t="shared" si="49"/>
        <v>0</v>
      </c>
      <c r="N146" s="129"/>
      <c r="O146" s="54">
        <f t="shared" si="50"/>
        <v>0</v>
      </c>
      <c r="P146" s="54">
        <f t="shared" si="51"/>
        <v>0</v>
      </c>
    </row>
    <row r="147" spans="2:16" ht="12.5">
      <c r="B147" s="7" t="str">
        <f t="shared" si="30"/>
        <v/>
      </c>
      <c r="C147" s="50">
        <f>IF(D93="","-",+C146+1)</f>
        <v>2065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46"/>
        <v>0</v>
      </c>
      <c r="G147" s="55">
        <f t="shared" si="47"/>
        <v>0</v>
      </c>
      <c r="H147" s="380">
        <f t="shared" si="44"/>
        <v>0</v>
      </c>
      <c r="I147" s="399">
        <f t="shared" si="45"/>
        <v>0</v>
      </c>
      <c r="J147" s="54">
        <f t="shared" si="48"/>
        <v>0</v>
      </c>
      <c r="K147" s="54"/>
      <c r="L147" s="129"/>
      <c r="M147" s="54">
        <f t="shared" si="49"/>
        <v>0</v>
      </c>
      <c r="N147" s="129"/>
      <c r="O147" s="54">
        <f t="shared" si="50"/>
        <v>0</v>
      </c>
      <c r="P147" s="54">
        <f t="shared" si="51"/>
        <v>0</v>
      </c>
    </row>
    <row r="148" spans="2:16" ht="12.5">
      <c r="B148" s="7" t="str">
        <f t="shared" si="30"/>
        <v/>
      </c>
      <c r="C148" s="50">
        <f>IF(D93="","-",+C147+1)</f>
        <v>2066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46"/>
        <v>0</v>
      </c>
      <c r="G148" s="55">
        <f t="shared" si="47"/>
        <v>0</v>
      </c>
      <c r="H148" s="380">
        <f t="shared" si="44"/>
        <v>0</v>
      </c>
      <c r="I148" s="399">
        <f t="shared" si="45"/>
        <v>0</v>
      </c>
      <c r="J148" s="54">
        <f t="shared" si="48"/>
        <v>0</v>
      </c>
      <c r="K148" s="54"/>
      <c r="L148" s="129"/>
      <c r="M148" s="54">
        <f t="shared" si="49"/>
        <v>0</v>
      </c>
      <c r="N148" s="129"/>
      <c r="O148" s="54">
        <f t="shared" si="50"/>
        <v>0</v>
      </c>
      <c r="P148" s="54">
        <f t="shared" si="51"/>
        <v>0</v>
      </c>
    </row>
    <row r="149" spans="2:16" ht="12.5">
      <c r="B149" s="7" t="str">
        <f t="shared" si="30"/>
        <v/>
      </c>
      <c r="C149" s="50">
        <f>IF(D93="","-",+C148+1)</f>
        <v>2067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46"/>
        <v>0</v>
      </c>
      <c r="G149" s="55">
        <f t="shared" si="47"/>
        <v>0</v>
      </c>
      <c r="H149" s="380">
        <f t="shared" si="44"/>
        <v>0</v>
      </c>
      <c r="I149" s="399">
        <f t="shared" si="45"/>
        <v>0</v>
      </c>
      <c r="J149" s="54">
        <f t="shared" si="48"/>
        <v>0</v>
      </c>
      <c r="K149" s="54"/>
      <c r="L149" s="129"/>
      <c r="M149" s="54">
        <f t="shared" si="49"/>
        <v>0</v>
      </c>
      <c r="N149" s="129"/>
      <c r="O149" s="54">
        <f t="shared" si="50"/>
        <v>0</v>
      </c>
      <c r="P149" s="54">
        <f t="shared" si="51"/>
        <v>0</v>
      </c>
    </row>
    <row r="150" spans="2:16" ht="12.5">
      <c r="B150" s="7" t="str">
        <f t="shared" si="30"/>
        <v/>
      </c>
      <c r="C150" s="50">
        <f>IF(D93="","-",+C149+1)</f>
        <v>2068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46"/>
        <v>0</v>
      </c>
      <c r="G150" s="55">
        <f t="shared" si="47"/>
        <v>0</v>
      </c>
      <c r="H150" s="380">
        <f t="shared" si="44"/>
        <v>0</v>
      </c>
      <c r="I150" s="399">
        <f t="shared" si="45"/>
        <v>0</v>
      </c>
      <c r="J150" s="54">
        <f t="shared" si="48"/>
        <v>0</v>
      </c>
      <c r="K150" s="54"/>
      <c r="L150" s="129"/>
      <c r="M150" s="54">
        <f t="shared" si="49"/>
        <v>0</v>
      </c>
      <c r="N150" s="129"/>
      <c r="O150" s="54">
        <f t="shared" si="50"/>
        <v>0</v>
      </c>
      <c r="P150" s="54">
        <f t="shared" si="51"/>
        <v>0</v>
      </c>
    </row>
    <row r="151" spans="2:16" ht="12.5">
      <c r="B151" s="7" t="str">
        <f t="shared" si="30"/>
        <v/>
      </c>
      <c r="C151" s="50">
        <f>IF(D93="","-",+C150+1)</f>
        <v>2069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46"/>
        <v>0</v>
      </c>
      <c r="G151" s="55">
        <f t="shared" si="47"/>
        <v>0</v>
      </c>
      <c r="H151" s="380">
        <f t="shared" si="44"/>
        <v>0</v>
      </c>
      <c r="I151" s="399">
        <f t="shared" si="45"/>
        <v>0</v>
      </c>
      <c r="J151" s="54">
        <f t="shared" si="48"/>
        <v>0</v>
      </c>
      <c r="K151" s="54"/>
      <c r="L151" s="129"/>
      <c r="M151" s="54">
        <f t="shared" si="49"/>
        <v>0</v>
      </c>
      <c r="N151" s="129"/>
      <c r="O151" s="54">
        <f t="shared" si="50"/>
        <v>0</v>
      </c>
      <c r="P151" s="54">
        <f t="shared" si="51"/>
        <v>0</v>
      </c>
    </row>
    <row r="152" spans="2:16" ht="12.5">
      <c r="B152" s="7" t="str">
        <f t="shared" si="30"/>
        <v/>
      </c>
      <c r="C152" s="50">
        <f>IF(D93="","-",+C151+1)</f>
        <v>2070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46"/>
        <v>0</v>
      </c>
      <c r="G152" s="55">
        <f t="shared" si="47"/>
        <v>0</v>
      </c>
      <c r="H152" s="380">
        <f t="shared" si="44"/>
        <v>0</v>
      </c>
      <c r="I152" s="399">
        <f t="shared" si="45"/>
        <v>0</v>
      </c>
      <c r="J152" s="54">
        <f t="shared" si="48"/>
        <v>0</v>
      </c>
      <c r="K152" s="54"/>
      <c r="L152" s="129"/>
      <c r="M152" s="54">
        <f t="shared" si="49"/>
        <v>0</v>
      </c>
      <c r="N152" s="129"/>
      <c r="O152" s="54">
        <f t="shared" si="50"/>
        <v>0</v>
      </c>
      <c r="P152" s="54">
        <f t="shared" si="51"/>
        <v>0</v>
      </c>
    </row>
    <row r="153" spans="2:16" ht="12.5">
      <c r="B153" s="7" t="str">
        <f t="shared" si="30"/>
        <v/>
      </c>
      <c r="C153" s="50">
        <f>IF(D93="","-",+C152+1)</f>
        <v>2071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46"/>
        <v>0</v>
      </c>
      <c r="G153" s="55">
        <f t="shared" si="47"/>
        <v>0</v>
      </c>
      <c r="H153" s="380">
        <f t="shared" si="44"/>
        <v>0</v>
      </c>
      <c r="I153" s="399">
        <f t="shared" si="45"/>
        <v>0</v>
      </c>
      <c r="J153" s="54">
        <f t="shared" si="48"/>
        <v>0</v>
      </c>
      <c r="K153" s="54"/>
      <c r="L153" s="129"/>
      <c r="M153" s="54">
        <f t="shared" si="49"/>
        <v>0</v>
      </c>
      <c r="N153" s="129"/>
      <c r="O153" s="54">
        <f t="shared" si="50"/>
        <v>0</v>
      </c>
      <c r="P153" s="54">
        <f t="shared" si="51"/>
        <v>0</v>
      </c>
    </row>
    <row r="154" spans="2:16" ht="13" thickBot="1">
      <c r="B154" s="7" t="str">
        <f t="shared" si="30"/>
        <v/>
      </c>
      <c r="C154" s="59">
        <f>IF(D93="","-",+C153+1)</f>
        <v>2072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46"/>
        <v>0</v>
      </c>
      <c r="G154" s="60">
        <f t="shared" si="47"/>
        <v>0</v>
      </c>
      <c r="H154" s="382">
        <f t="shared" si="44"/>
        <v>0</v>
      </c>
      <c r="I154" s="400">
        <f t="shared" si="45"/>
        <v>0</v>
      </c>
      <c r="J154" s="64">
        <f t="shared" si="48"/>
        <v>0</v>
      </c>
      <c r="K154" s="54"/>
      <c r="L154" s="130"/>
      <c r="M154" s="64">
        <f t="shared" si="49"/>
        <v>0</v>
      </c>
      <c r="N154" s="130"/>
      <c r="O154" s="64">
        <f t="shared" si="50"/>
        <v>0</v>
      </c>
      <c r="P154" s="64">
        <f t="shared" si="51"/>
        <v>0</v>
      </c>
    </row>
    <row r="155" spans="2:16" ht="12.5">
      <c r="C155" s="12" t="s">
        <v>78</v>
      </c>
      <c r="D155" s="293"/>
      <c r="E155" s="293">
        <f>SUM(E99:E154)</f>
        <v>4648771.2899999991</v>
      </c>
      <c r="F155" s="293"/>
      <c r="G155" s="293"/>
      <c r="H155" s="293">
        <f>SUM(H99:H154)</f>
        <v>17167367.670563973</v>
      </c>
      <c r="I155" s="293">
        <f>SUM(I99:I154)</f>
        <v>17167367.670563973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 ht="12.5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 ht="13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31" priority="1" stopIfTrue="1" operator="equal">
      <formula>$I$10</formula>
    </cfRule>
  </conditionalFormatting>
  <conditionalFormatting sqref="C99:C154">
    <cfRule type="cellIs" dxfId="30" priority="3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3"/>
  <dimension ref="A1:P162"/>
  <sheetViews>
    <sheetView topLeftCell="A74" zoomScaleNormal="100" zoomScaleSheetLayoutView="80" workbookViewId="0">
      <selection activeCell="D24" sqref="D24:H24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64 of 77</v>
      </c>
    </row>
    <row r="2" spans="1:16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2128591.689881511</v>
      </c>
      <c r="P5" s="1"/>
    </row>
    <row r="6" spans="1:16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2128591.689881511</v>
      </c>
      <c r="O6" s="1"/>
      <c r="P6" s="1"/>
    </row>
    <row r="7" spans="1:16" ht="13.5" thickBot="1">
      <c r="C7" s="25" t="s">
        <v>48</v>
      </c>
      <c r="D7" s="90" t="s">
        <v>387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414</v>
      </c>
      <c r="E9" s="436" t="s">
        <v>415</v>
      </c>
      <c r="F9" s="31"/>
      <c r="G9" s="31"/>
      <c r="H9" s="31"/>
      <c r="I9" s="32"/>
      <c r="J9" s="33"/>
      <c r="P9" s="1"/>
    </row>
    <row r="10" spans="1:16" ht="13">
      <c r="C10" s="34" t="s">
        <v>51</v>
      </c>
      <c r="D10" s="363">
        <v>17159057.350000001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6" ht="12.5">
      <c r="C11" s="34" t="s">
        <v>54</v>
      </c>
      <c r="D11" s="37">
        <v>2017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3">
        <v>4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389978.57613636367</v>
      </c>
      <c r="J14" s="293"/>
      <c r="K14" s="293"/>
      <c r="L14" s="293"/>
      <c r="M14" s="293"/>
      <c r="N14" s="293"/>
      <c r="O14" s="1"/>
      <c r="P14" s="1"/>
    </row>
    <row r="15" spans="1:16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3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2017</v>
      </c>
      <c r="D17" s="145" t="s">
        <v>440</v>
      </c>
      <c r="E17" s="453" t="s">
        <v>440</v>
      </c>
      <c r="F17" s="147">
        <v>12938000</v>
      </c>
      <c r="G17" s="454">
        <v>801461</v>
      </c>
      <c r="H17" s="452">
        <v>801461</v>
      </c>
      <c r="I17" s="52">
        <f t="shared" ref="I17:I72" si="0">H17-G17</f>
        <v>0</v>
      </c>
      <c r="J17" s="52"/>
      <c r="K17" s="112">
        <f t="shared" ref="K17:K22" si="1">+G17</f>
        <v>801461</v>
      </c>
      <c r="L17" s="53">
        <f t="shared" ref="L17:L72" si="2">IF(K17&lt;&gt;0,+G17-K17,0)</f>
        <v>0</v>
      </c>
      <c r="M17" s="112">
        <f t="shared" ref="M17:M22" si="3">+H17</f>
        <v>801461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2018</v>
      </c>
      <c r="D18" s="431">
        <v>15870000</v>
      </c>
      <c r="E18" s="430">
        <v>387073.1707317073</v>
      </c>
      <c r="F18" s="431">
        <v>15482926.829268293</v>
      </c>
      <c r="G18" s="430">
        <v>2379459.1627964582</v>
      </c>
      <c r="H18" s="438">
        <v>2379459.1627964582</v>
      </c>
      <c r="I18" s="52">
        <f t="shared" si="0"/>
        <v>0</v>
      </c>
      <c r="J18" s="52"/>
      <c r="K18" s="113">
        <f t="shared" si="1"/>
        <v>2379459.1627964582</v>
      </c>
      <c r="L18" s="54">
        <f t="shared" si="2"/>
        <v>0</v>
      </c>
      <c r="M18" s="113">
        <f t="shared" si="3"/>
        <v>2379459.1627964582</v>
      </c>
      <c r="N18" s="54">
        <f t="shared" si="4"/>
        <v>0</v>
      </c>
      <c r="O18" s="54">
        <f t="shared" si="5"/>
        <v>0</v>
      </c>
      <c r="P18" s="1"/>
    </row>
    <row r="19" spans="2:16" ht="12.5">
      <c r="B19" s="7" t="str">
        <f>IF(D19=F18,"","IU")</f>
        <v/>
      </c>
      <c r="C19" s="50">
        <f>IF(D11="","-",+C18+1)</f>
        <v>2019</v>
      </c>
      <c r="D19" s="431">
        <v>15482926.829268293</v>
      </c>
      <c r="E19" s="430">
        <v>387073.1707317073</v>
      </c>
      <c r="F19" s="431">
        <v>15095853.658536587</v>
      </c>
      <c r="G19" s="430">
        <v>2330264.4469430079</v>
      </c>
      <c r="H19" s="438">
        <v>2330264.4469430079</v>
      </c>
      <c r="I19" s="52">
        <f t="shared" si="0"/>
        <v>0</v>
      </c>
      <c r="J19" s="52"/>
      <c r="K19" s="113">
        <f t="shared" si="1"/>
        <v>2330264.4469430079</v>
      </c>
      <c r="L19" s="54">
        <f t="shared" ref="L19" si="6">IF(K19&lt;&gt;0,+G19-K19,0)</f>
        <v>0</v>
      </c>
      <c r="M19" s="113">
        <f t="shared" si="3"/>
        <v>2330264.4469430079</v>
      </c>
      <c r="N19" s="54">
        <f t="shared" si="4"/>
        <v>0</v>
      </c>
      <c r="O19" s="54">
        <f t="shared" si="5"/>
        <v>0</v>
      </c>
      <c r="P19" s="1"/>
    </row>
    <row r="20" spans="2:16" ht="12.5">
      <c r="B20" s="7" t="str">
        <f t="shared" ref="B20:B72" si="7">IF(D20=F19,"","IU")</f>
        <v>IU</v>
      </c>
      <c r="C20" s="50">
        <f>IF(D11="","-",+C19+1)</f>
        <v>2020</v>
      </c>
      <c r="D20" s="431">
        <v>16384910.658536585</v>
      </c>
      <c r="E20" s="430">
        <v>418513.58536585368</v>
      </c>
      <c r="F20" s="431">
        <v>15966397.073170731</v>
      </c>
      <c r="G20" s="430">
        <v>2073856.4882897006</v>
      </c>
      <c r="H20" s="438">
        <v>2073856.4882897006</v>
      </c>
      <c r="I20" s="52">
        <f t="shared" si="0"/>
        <v>0</v>
      </c>
      <c r="J20" s="52"/>
      <c r="K20" s="113">
        <f t="shared" si="1"/>
        <v>2073856.4882897006</v>
      </c>
      <c r="L20" s="54">
        <f t="shared" ref="L20" si="8">IF(K20&lt;&gt;0,+G20-K20,0)</f>
        <v>0</v>
      </c>
      <c r="M20" s="113">
        <f t="shared" si="3"/>
        <v>2073856.4882897006</v>
      </c>
      <c r="N20" s="54">
        <f t="shared" si="4"/>
        <v>0</v>
      </c>
      <c r="O20" s="54">
        <f t="shared" si="5"/>
        <v>0</v>
      </c>
      <c r="P20" s="1"/>
    </row>
    <row r="21" spans="2:16" ht="12.5">
      <c r="B21" s="7" t="str">
        <f t="shared" si="7"/>
        <v>IU</v>
      </c>
      <c r="C21" s="50">
        <f>IF(D11="","-",+C20+1)</f>
        <v>2021</v>
      </c>
      <c r="D21" s="431">
        <v>15984400.476460578</v>
      </c>
      <c r="E21" s="430">
        <v>408548.97619047621</v>
      </c>
      <c r="F21" s="431">
        <v>15575851.500270102</v>
      </c>
      <c r="G21" s="430">
        <v>2081314.0523024015</v>
      </c>
      <c r="H21" s="438">
        <v>2081314.0523024015</v>
      </c>
      <c r="I21" s="52">
        <f t="shared" si="0"/>
        <v>0</v>
      </c>
      <c r="J21" s="52"/>
      <c r="K21" s="113">
        <f t="shared" si="1"/>
        <v>2081314.0523024015</v>
      </c>
      <c r="L21" s="54">
        <f t="shared" ref="L21" si="9">IF(K21&lt;&gt;0,+G21-K21,0)</f>
        <v>0</v>
      </c>
      <c r="M21" s="113">
        <f t="shared" si="3"/>
        <v>2081314.0523024015</v>
      </c>
      <c r="N21" s="54">
        <f t="shared" si="4"/>
        <v>0</v>
      </c>
      <c r="O21" s="54">
        <f t="shared" si="5"/>
        <v>0</v>
      </c>
      <c r="P21" s="1"/>
    </row>
    <row r="22" spans="2:16" ht="12.5">
      <c r="B22" s="7" t="str">
        <f t="shared" si="7"/>
        <v>IU</v>
      </c>
      <c r="C22" s="50">
        <f>IF(D11="","-",+C21+1)</f>
        <v>2022</v>
      </c>
      <c r="D22" s="431">
        <v>15557848.096980255</v>
      </c>
      <c r="E22" s="430">
        <v>408548.97619047621</v>
      </c>
      <c r="F22" s="431">
        <v>15149299.120789779</v>
      </c>
      <c r="G22" s="430">
        <v>2134967.6945692962</v>
      </c>
      <c r="H22" s="438">
        <v>2134967.6945692962</v>
      </c>
      <c r="I22" s="52">
        <f t="shared" si="0"/>
        <v>0</v>
      </c>
      <c r="J22" s="52"/>
      <c r="K22" s="113">
        <f t="shared" si="1"/>
        <v>2134967.6945692962</v>
      </c>
      <c r="L22" s="54">
        <f t="shared" ref="L22" si="10">IF(K22&lt;&gt;0,+G22-K22,0)</f>
        <v>0</v>
      </c>
      <c r="M22" s="113">
        <f t="shared" si="3"/>
        <v>2134967.6945692962</v>
      </c>
      <c r="N22" s="54">
        <f t="shared" si="4"/>
        <v>0</v>
      </c>
      <c r="O22" s="54">
        <f t="shared" si="5"/>
        <v>0</v>
      </c>
      <c r="P22" s="1"/>
    </row>
    <row r="23" spans="2:16" ht="12.5">
      <c r="B23" s="7" t="str">
        <f t="shared" si="7"/>
        <v>IU</v>
      </c>
      <c r="C23" s="50">
        <f>IF(D11="","-",+C22+1)</f>
        <v>2023</v>
      </c>
      <c r="D23" s="431">
        <v>15149299.470789781</v>
      </c>
      <c r="E23" s="430">
        <v>408548.98452380957</v>
      </c>
      <c r="F23" s="431">
        <v>14740750.48626597</v>
      </c>
      <c r="G23" s="430">
        <v>2296505.9863365302</v>
      </c>
      <c r="H23" s="438">
        <v>2296505.9863365302</v>
      </c>
      <c r="I23" s="52">
        <f t="shared" si="0"/>
        <v>0</v>
      </c>
      <c r="J23" s="52"/>
      <c r="K23" s="113">
        <f t="shared" ref="K23" si="11">+G23</f>
        <v>2296505.9863365302</v>
      </c>
      <c r="L23" s="54">
        <f t="shared" ref="L23" si="12">IF(K23&lt;&gt;0,+G23-K23,0)</f>
        <v>0</v>
      </c>
      <c r="M23" s="113">
        <f t="shared" ref="M23" si="13">+H23</f>
        <v>2296505.9863365302</v>
      </c>
      <c r="N23" s="54">
        <f t="shared" si="4"/>
        <v>0</v>
      </c>
      <c r="O23" s="54">
        <f t="shared" si="5"/>
        <v>0</v>
      </c>
      <c r="P23" s="1"/>
    </row>
    <row r="24" spans="2:16" ht="12.5">
      <c r="B24" s="7" t="str">
        <f t="shared" si="7"/>
        <v/>
      </c>
      <c r="C24" s="50">
        <f>IF(D11="","-",+C23+1)</f>
        <v>2024</v>
      </c>
      <c r="D24" s="431">
        <v>14740750.48626597</v>
      </c>
      <c r="E24" s="430">
        <v>389978.57613636367</v>
      </c>
      <c r="F24" s="431">
        <v>14350771.910129607</v>
      </c>
      <c r="G24" s="430">
        <v>2128591.689881511</v>
      </c>
      <c r="H24" s="438">
        <v>2128591.689881511</v>
      </c>
      <c r="I24" s="52">
        <f t="shared" si="0"/>
        <v>0</v>
      </c>
      <c r="J24" s="52"/>
      <c r="K24" s="113">
        <f t="shared" ref="K24" si="14">+G24</f>
        <v>2128591.689881511</v>
      </c>
      <c r="L24" s="54">
        <f t="shared" ref="L24" si="15">IF(K24&lt;&gt;0,+G24-K24,0)</f>
        <v>0</v>
      </c>
      <c r="M24" s="113">
        <f t="shared" ref="M24" si="16">+H24</f>
        <v>2128591.689881511</v>
      </c>
      <c r="N24" s="54">
        <f t="shared" ref="N24" si="17">IF(M24&lt;&gt;0,+H24-M24,0)</f>
        <v>0</v>
      </c>
      <c r="O24" s="54">
        <f t="shared" ref="O24" si="18">+N24-L24</f>
        <v>0</v>
      </c>
      <c r="P24" s="1"/>
    </row>
    <row r="25" spans="2:16" ht="12.5">
      <c r="B25" s="7" t="str">
        <f t="shared" si="7"/>
        <v/>
      </c>
      <c r="C25" s="50">
        <f>IF(D11="","-",+C24+1)</f>
        <v>2025</v>
      </c>
      <c r="D25" s="55">
        <f>IF(F24+SUM(E$17:E24)=D$10,F24,D$10-SUM(E$17:E24))</f>
        <v>14350771.910129607</v>
      </c>
      <c r="E25" s="378">
        <f>IF(+I14&lt;F24,I14,D25)</f>
        <v>389978.57613636367</v>
      </c>
      <c r="F25" s="55">
        <f t="shared" ref="F25:F72" si="19">+D25-E25</f>
        <v>13960793.333993243</v>
      </c>
      <c r="G25" s="379">
        <f t="shared" ref="G25:G48" si="20">+I$12*((D25+F25)/2)+E25</f>
        <v>2081978.6692694065</v>
      </c>
      <c r="H25" s="364">
        <f t="shared" ref="H25:H48" si="21">+I$13*((D25+F25)/2)+E25</f>
        <v>2081978.6692694065</v>
      </c>
      <c r="I25" s="52">
        <f t="shared" si="0"/>
        <v>0</v>
      </c>
      <c r="J25" s="52"/>
      <c r="K25" s="129"/>
      <c r="L25" s="54">
        <f t="shared" si="2"/>
        <v>0</v>
      </c>
      <c r="M25" s="129"/>
      <c r="N25" s="54">
        <f t="shared" si="4"/>
        <v>0</v>
      </c>
      <c r="O25" s="54">
        <f t="shared" si="5"/>
        <v>0</v>
      </c>
      <c r="P25" s="1"/>
    </row>
    <row r="26" spans="2:16" ht="12.5">
      <c r="B26" s="7" t="str">
        <f t="shared" si="7"/>
        <v/>
      </c>
      <c r="C26" s="50">
        <f>IF(D11="","-",+C25+1)</f>
        <v>2026</v>
      </c>
      <c r="D26" s="55">
        <f>IF(F25+SUM(E$17:E25)=D$10,F25,D$10-SUM(E$17:E25))</f>
        <v>13960793.333993243</v>
      </c>
      <c r="E26" s="378">
        <f>IF(+I14&lt;F25,I14,D26)</f>
        <v>389978.57613636367</v>
      </c>
      <c r="F26" s="55">
        <f t="shared" si="19"/>
        <v>13570814.757856879</v>
      </c>
      <c r="G26" s="379">
        <f t="shared" si="20"/>
        <v>2035365.6486573024</v>
      </c>
      <c r="H26" s="364">
        <f t="shared" si="21"/>
        <v>2035365.6486573024</v>
      </c>
      <c r="I26" s="52">
        <f t="shared" si="0"/>
        <v>0</v>
      </c>
      <c r="J26" s="52"/>
      <c r="K26" s="129"/>
      <c r="L26" s="54">
        <f t="shared" si="2"/>
        <v>0</v>
      </c>
      <c r="M26" s="129"/>
      <c r="N26" s="54">
        <f t="shared" si="4"/>
        <v>0</v>
      </c>
      <c r="O26" s="54">
        <f t="shared" si="5"/>
        <v>0</v>
      </c>
      <c r="P26" s="1"/>
    </row>
    <row r="27" spans="2:16" ht="12.5">
      <c r="B27" s="7" t="str">
        <f t="shared" si="7"/>
        <v/>
      </c>
      <c r="C27" s="50">
        <f>IF(D11="","-",+C26+1)</f>
        <v>2027</v>
      </c>
      <c r="D27" s="55">
        <f>IF(F26+SUM(E$17:E26)=D$10,F26,D$10-SUM(E$17:E26))</f>
        <v>13570814.757856879</v>
      </c>
      <c r="E27" s="378">
        <f>IF(+I14&lt;F26,I14,D27)</f>
        <v>389978.57613636367</v>
      </c>
      <c r="F27" s="55">
        <f t="shared" si="19"/>
        <v>13180836.181720516</v>
      </c>
      <c r="G27" s="379">
        <f t="shared" si="20"/>
        <v>1988752.6280451978</v>
      </c>
      <c r="H27" s="364">
        <f t="shared" si="21"/>
        <v>1988752.6280451978</v>
      </c>
      <c r="I27" s="52">
        <f t="shared" si="0"/>
        <v>0</v>
      </c>
      <c r="J27" s="52"/>
      <c r="K27" s="129"/>
      <c r="L27" s="54">
        <f t="shared" si="2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7"/>
        <v/>
      </c>
      <c r="C28" s="50">
        <f>IF(D11="","-",+C27+1)</f>
        <v>2028</v>
      </c>
      <c r="D28" s="55">
        <f>IF(F27+SUM(E$17:E27)=D$10,F27,D$10-SUM(E$17:E27))</f>
        <v>13180836.181720516</v>
      </c>
      <c r="E28" s="378">
        <f>IF(+I14&lt;F27,I14,D28)</f>
        <v>389978.57613636367</v>
      </c>
      <c r="F28" s="55">
        <f t="shared" si="19"/>
        <v>12790857.605584152</v>
      </c>
      <c r="G28" s="379">
        <f t="shared" si="20"/>
        <v>1942139.6074330935</v>
      </c>
      <c r="H28" s="364">
        <f t="shared" si="21"/>
        <v>1942139.6074330935</v>
      </c>
      <c r="I28" s="52">
        <f t="shared" si="0"/>
        <v>0</v>
      </c>
      <c r="J28" s="52"/>
      <c r="K28" s="129"/>
      <c r="L28" s="54">
        <f t="shared" si="2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7"/>
        <v/>
      </c>
      <c r="C29" s="50">
        <f>IF(D11="","-",+C28+1)</f>
        <v>2029</v>
      </c>
      <c r="D29" s="55">
        <f>IF(F28+SUM(E$17:E28)=D$10,F28,D$10-SUM(E$17:E28))</f>
        <v>12790857.605584152</v>
      </c>
      <c r="E29" s="378">
        <f>IF(+I14&lt;F28,I14,D29)</f>
        <v>389978.57613636367</v>
      </c>
      <c r="F29" s="55">
        <f t="shared" si="19"/>
        <v>12400879.029447788</v>
      </c>
      <c r="G29" s="379">
        <f t="shared" si="20"/>
        <v>1895526.5868209889</v>
      </c>
      <c r="H29" s="364">
        <f t="shared" si="21"/>
        <v>1895526.5868209889</v>
      </c>
      <c r="I29" s="52">
        <f t="shared" si="0"/>
        <v>0</v>
      </c>
      <c r="J29" s="52"/>
      <c r="K29" s="129"/>
      <c r="L29" s="54">
        <f t="shared" si="2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7"/>
        <v/>
      </c>
      <c r="C30" s="50">
        <f>IF(D11="","-",+C29+1)</f>
        <v>2030</v>
      </c>
      <c r="D30" s="55">
        <f>IF(F29+SUM(E$17:E29)=D$10,F29,D$10-SUM(E$17:E29))</f>
        <v>12400879.029447788</v>
      </c>
      <c r="E30" s="378">
        <f>IF(+I14&lt;F29,I14,D30)</f>
        <v>389978.57613636367</v>
      </c>
      <c r="F30" s="55">
        <f t="shared" si="19"/>
        <v>12010900.453311425</v>
      </c>
      <c r="G30" s="379">
        <f t="shared" si="20"/>
        <v>1848913.5662088846</v>
      </c>
      <c r="H30" s="364">
        <f t="shared" si="21"/>
        <v>1848913.5662088846</v>
      </c>
      <c r="I30" s="52">
        <f t="shared" si="0"/>
        <v>0</v>
      </c>
      <c r="J30" s="52"/>
      <c r="K30" s="129"/>
      <c r="L30" s="54">
        <f t="shared" si="2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7"/>
        <v/>
      </c>
      <c r="C31" s="50">
        <f>IF(D11="","-",+C30+1)</f>
        <v>2031</v>
      </c>
      <c r="D31" s="55">
        <f>IF(F30+SUM(E$17:E30)=D$10,F30,D$10-SUM(E$17:E30))</f>
        <v>12010900.453311425</v>
      </c>
      <c r="E31" s="378">
        <f>IF(+I14&lt;F30,I14,D31)</f>
        <v>389978.57613636367</v>
      </c>
      <c r="F31" s="55">
        <f t="shared" si="19"/>
        <v>11620921.877175061</v>
      </c>
      <c r="G31" s="379">
        <f t="shared" si="20"/>
        <v>1802300.54559678</v>
      </c>
      <c r="H31" s="364">
        <f t="shared" si="21"/>
        <v>1802300.54559678</v>
      </c>
      <c r="I31" s="52">
        <f t="shared" si="0"/>
        <v>0</v>
      </c>
      <c r="J31" s="52"/>
      <c r="K31" s="129"/>
      <c r="L31" s="54">
        <f t="shared" si="2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7"/>
        <v/>
      </c>
      <c r="C32" s="50">
        <f>IF(D11="","-",+C31+1)</f>
        <v>2032</v>
      </c>
      <c r="D32" s="55">
        <f>IF(F31+SUM(E$17:E31)=D$10,F31,D$10-SUM(E$17:E31))</f>
        <v>11620921.877175061</v>
      </c>
      <c r="E32" s="378">
        <f>IF(+I14&lt;F31,I14,D32)</f>
        <v>389978.57613636367</v>
      </c>
      <c r="F32" s="55">
        <f t="shared" si="19"/>
        <v>11230943.301038697</v>
      </c>
      <c r="G32" s="379">
        <f t="shared" si="20"/>
        <v>1755687.5249846759</v>
      </c>
      <c r="H32" s="364">
        <f t="shared" si="21"/>
        <v>1755687.5249846759</v>
      </c>
      <c r="I32" s="52">
        <f t="shared" si="0"/>
        <v>0</v>
      </c>
      <c r="J32" s="52"/>
      <c r="K32" s="129"/>
      <c r="L32" s="54">
        <f t="shared" si="2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7"/>
        <v/>
      </c>
      <c r="C33" s="50">
        <f>IF(D11="","-",+C32+1)</f>
        <v>2033</v>
      </c>
      <c r="D33" s="55">
        <f>IF(F32+SUM(E$17:E32)=D$10,F32,D$10-SUM(E$17:E32))</f>
        <v>11230943.301038697</v>
      </c>
      <c r="E33" s="378">
        <f>IF(+I14&lt;F32,I14,D33)</f>
        <v>389978.57613636367</v>
      </c>
      <c r="F33" s="55">
        <f t="shared" si="19"/>
        <v>10840964.724902334</v>
      </c>
      <c r="G33" s="379">
        <f t="shared" si="20"/>
        <v>1709074.5043725711</v>
      </c>
      <c r="H33" s="364">
        <f t="shared" si="21"/>
        <v>1709074.5043725711</v>
      </c>
      <c r="I33" s="52">
        <f t="shared" si="0"/>
        <v>0</v>
      </c>
      <c r="J33" s="52"/>
      <c r="K33" s="129"/>
      <c r="L33" s="54">
        <f t="shared" si="2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7"/>
        <v/>
      </c>
      <c r="C34" s="50">
        <f>IF(D11="","-",+C33+1)</f>
        <v>2034</v>
      </c>
      <c r="D34" s="55">
        <f>IF(F33+SUM(E$17:E33)=D$10,F33,D$10-SUM(E$17:E33))</f>
        <v>10840964.724902334</v>
      </c>
      <c r="E34" s="378">
        <f>IF(+I14&lt;F33,I14,D34)</f>
        <v>389978.57613636367</v>
      </c>
      <c r="F34" s="55">
        <f t="shared" si="19"/>
        <v>10450986.14876597</v>
      </c>
      <c r="G34" s="379">
        <f t="shared" si="20"/>
        <v>1662461.483760467</v>
      </c>
      <c r="H34" s="364">
        <f t="shared" si="21"/>
        <v>1662461.483760467</v>
      </c>
      <c r="I34" s="52">
        <f t="shared" si="0"/>
        <v>0</v>
      </c>
      <c r="J34" s="52"/>
      <c r="K34" s="129"/>
      <c r="L34" s="54">
        <f t="shared" si="2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7"/>
        <v/>
      </c>
      <c r="C35" s="50">
        <f>IF(D11="","-",+C34+1)</f>
        <v>2035</v>
      </c>
      <c r="D35" s="55">
        <f>IF(F34+SUM(E$17:E34)=D$10,F34,D$10-SUM(E$17:E34))</f>
        <v>10450986.14876597</v>
      </c>
      <c r="E35" s="378">
        <f>IF(+I14&lt;F34,I14,D35)</f>
        <v>389978.57613636367</v>
      </c>
      <c r="F35" s="55">
        <f t="shared" si="19"/>
        <v>10061007.572629606</v>
      </c>
      <c r="G35" s="379">
        <f t="shared" si="20"/>
        <v>1615848.4631483622</v>
      </c>
      <c r="H35" s="364">
        <f t="shared" si="21"/>
        <v>1615848.4631483622</v>
      </c>
      <c r="I35" s="52">
        <f t="shared" si="0"/>
        <v>0</v>
      </c>
      <c r="J35" s="52"/>
      <c r="K35" s="129"/>
      <c r="L35" s="54">
        <f t="shared" si="2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7"/>
        <v/>
      </c>
      <c r="C36" s="50">
        <f>IF(D11="","-",+C35+1)</f>
        <v>2036</v>
      </c>
      <c r="D36" s="55">
        <f>IF(F35+SUM(E$17:E35)=D$10,F35,D$10-SUM(E$17:E35))</f>
        <v>10061007.572629606</v>
      </c>
      <c r="E36" s="378">
        <f>IF(+I14&lt;F35,I14,D36)</f>
        <v>389978.57613636367</v>
      </c>
      <c r="F36" s="55">
        <f t="shared" si="19"/>
        <v>9671028.9964932427</v>
      </c>
      <c r="G36" s="379">
        <f t="shared" si="20"/>
        <v>1569235.4425362581</v>
      </c>
      <c r="H36" s="364">
        <f t="shared" si="21"/>
        <v>1569235.4425362581</v>
      </c>
      <c r="I36" s="52">
        <f t="shared" si="0"/>
        <v>0</v>
      </c>
      <c r="J36" s="52"/>
      <c r="K36" s="129"/>
      <c r="L36" s="54">
        <f t="shared" si="2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7"/>
        <v/>
      </c>
      <c r="C37" s="50">
        <f>IF(D11="","-",+C36+1)</f>
        <v>2037</v>
      </c>
      <c r="D37" s="55">
        <f>IF(F36+SUM(E$17:E36)=D$10,F36,D$10-SUM(E$17:E36))</f>
        <v>9671028.9964932427</v>
      </c>
      <c r="E37" s="378">
        <f>IF(+I14&lt;F36,I14,D37)</f>
        <v>389978.57613636367</v>
      </c>
      <c r="F37" s="55">
        <f t="shared" si="19"/>
        <v>9281050.420356879</v>
      </c>
      <c r="G37" s="379">
        <f t="shared" si="20"/>
        <v>1522622.4219241536</v>
      </c>
      <c r="H37" s="364">
        <f t="shared" si="21"/>
        <v>1522622.4219241536</v>
      </c>
      <c r="I37" s="52">
        <f t="shared" si="0"/>
        <v>0</v>
      </c>
      <c r="J37" s="52"/>
      <c r="K37" s="129"/>
      <c r="L37" s="54">
        <f t="shared" si="2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7"/>
        <v/>
      </c>
      <c r="C38" s="50">
        <f>IF(D11="","-",+C37+1)</f>
        <v>2038</v>
      </c>
      <c r="D38" s="55">
        <f>IF(F37+SUM(E$17:E37)=D$10,F37,D$10-SUM(E$17:E37))</f>
        <v>9281050.420356879</v>
      </c>
      <c r="E38" s="378">
        <f>IF(+I14&lt;F37,I14,D38)</f>
        <v>389978.57613636367</v>
      </c>
      <c r="F38" s="55">
        <f t="shared" si="19"/>
        <v>8891071.8442205153</v>
      </c>
      <c r="G38" s="379">
        <f t="shared" si="20"/>
        <v>1476009.4013120492</v>
      </c>
      <c r="H38" s="364">
        <f t="shared" si="21"/>
        <v>1476009.4013120492</v>
      </c>
      <c r="I38" s="52">
        <f t="shared" si="0"/>
        <v>0</v>
      </c>
      <c r="J38" s="52"/>
      <c r="K38" s="129"/>
      <c r="L38" s="54">
        <f t="shared" si="2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7"/>
        <v/>
      </c>
      <c r="C39" s="50">
        <f>IF(D11="","-",+C38+1)</f>
        <v>2039</v>
      </c>
      <c r="D39" s="55">
        <f>IF(F38+SUM(E$17:E38)=D$10,F38,D$10-SUM(E$17:E38))</f>
        <v>8891071.8442205153</v>
      </c>
      <c r="E39" s="378">
        <f>IF(+I14&lt;F38,I14,D39)</f>
        <v>389978.57613636367</v>
      </c>
      <c r="F39" s="55">
        <f t="shared" si="19"/>
        <v>8501093.2680841517</v>
      </c>
      <c r="G39" s="379">
        <f t="shared" si="20"/>
        <v>1429396.3806999447</v>
      </c>
      <c r="H39" s="364">
        <f t="shared" si="21"/>
        <v>1429396.3806999447</v>
      </c>
      <c r="I39" s="52">
        <f t="shared" si="0"/>
        <v>0</v>
      </c>
      <c r="J39" s="52"/>
      <c r="K39" s="129"/>
      <c r="L39" s="54">
        <f t="shared" si="2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7"/>
        <v/>
      </c>
      <c r="C40" s="50">
        <f>IF(D11="","-",+C39+1)</f>
        <v>2040</v>
      </c>
      <c r="D40" s="55">
        <f>IF(F39+SUM(E$17:E39)=D$10,F39,D$10-SUM(E$17:E39))</f>
        <v>8501093.2680841517</v>
      </c>
      <c r="E40" s="378">
        <f>IF(+I14&lt;F39,I14,D40)</f>
        <v>389978.57613636367</v>
      </c>
      <c r="F40" s="55">
        <f t="shared" si="19"/>
        <v>8111114.691947788</v>
      </c>
      <c r="G40" s="379">
        <f t="shared" si="20"/>
        <v>1382783.3600878404</v>
      </c>
      <c r="H40" s="364">
        <f t="shared" si="21"/>
        <v>1382783.3600878404</v>
      </c>
      <c r="I40" s="52">
        <f t="shared" si="0"/>
        <v>0</v>
      </c>
      <c r="J40" s="52"/>
      <c r="K40" s="129"/>
      <c r="L40" s="54">
        <f t="shared" si="2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7"/>
        <v/>
      </c>
      <c r="C41" s="50">
        <f>IF(D11="","-",+C40+1)</f>
        <v>2041</v>
      </c>
      <c r="D41" s="55">
        <f>IF(F40+SUM(E$17:E40)=D$10,F40,D$10-SUM(E$17:E40))</f>
        <v>8111114.691947788</v>
      </c>
      <c r="E41" s="378">
        <f>IF(+I14&lt;F40,I14,D41)</f>
        <v>389978.57613636367</v>
      </c>
      <c r="F41" s="55">
        <f t="shared" si="19"/>
        <v>7721136.1158114243</v>
      </c>
      <c r="G41" s="379">
        <f t="shared" si="20"/>
        <v>1336170.339475736</v>
      </c>
      <c r="H41" s="364">
        <f t="shared" si="21"/>
        <v>1336170.339475736</v>
      </c>
      <c r="I41" s="52">
        <f t="shared" si="0"/>
        <v>0</v>
      </c>
      <c r="J41" s="52"/>
      <c r="K41" s="129"/>
      <c r="L41" s="54">
        <f t="shared" si="2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7"/>
        <v/>
      </c>
      <c r="C42" s="50">
        <f>IF(D11="","-",+C41+1)</f>
        <v>2042</v>
      </c>
      <c r="D42" s="55">
        <f>IF(F41+SUM(E$17:E41)=D$10,F41,D$10-SUM(E$17:E41))</f>
        <v>7721136.1158114243</v>
      </c>
      <c r="E42" s="378">
        <f>IF(+I14&lt;F41,I14,D42)</f>
        <v>389978.57613636367</v>
      </c>
      <c r="F42" s="55">
        <f t="shared" si="19"/>
        <v>7331157.5396750607</v>
      </c>
      <c r="G42" s="379">
        <f t="shared" si="20"/>
        <v>1289557.3188636315</v>
      </c>
      <c r="H42" s="364">
        <f t="shared" si="21"/>
        <v>1289557.3188636315</v>
      </c>
      <c r="I42" s="52">
        <f t="shared" si="0"/>
        <v>0</v>
      </c>
      <c r="J42" s="52"/>
      <c r="K42" s="129"/>
      <c r="L42" s="54">
        <f t="shared" si="2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7"/>
        <v/>
      </c>
      <c r="C43" s="50">
        <f>IF(D11="","-",+C42+1)</f>
        <v>2043</v>
      </c>
      <c r="D43" s="55">
        <f>IF(F42+SUM(E$17:E42)=D$10,F42,D$10-SUM(E$17:E42))</f>
        <v>7331157.5396750607</v>
      </c>
      <c r="E43" s="378">
        <f>IF(+I14&lt;F42,I14,D43)</f>
        <v>389978.57613636367</v>
      </c>
      <c r="F43" s="55">
        <f t="shared" si="19"/>
        <v>6941178.963538697</v>
      </c>
      <c r="G43" s="379">
        <f t="shared" si="20"/>
        <v>1242944.2982515269</v>
      </c>
      <c r="H43" s="364">
        <f t="shared" si="21"/>
        <v>1242944.2982515269</v>
      </c>
      <c r="I43" s="52">
        <f t="shared" si="0"/>
        <v>0</v>
      </c>
      <c r="J43" s="52"/>
      <c r="K43" s="129"/>
      <c r="L43" s="54">
        <f t="shared" si="2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7"/>
        <v/>
      </c>
      <c r="C44" s="50">
        <f>IF(D11="","-",+C43+1)</f>
        <v>2044</v>
      </c>
      <c r="D44" s="55">
        <f>IF(F43+SUM(E$17:E43)=D$10,F43,D$10-SUM(E$17:E43))</f>
        <v>6941178.963538697</v>
      </c>
      <c r="E44" s="378">
        <f>IF(+I14&lt;F43,I14,D44)</f>
        <v>389978.57613636367</v>
      </c>
      <c r="F44" s="55">
        <f t="shared" si="19"/>
        <v>6551200.3874023333</v>
      </c>
      <c r="G44" s="379">
        <f t="shared" si="20"/>
        <v>1196331.2776394226</v>
      </c>
      <c r="H44" s="364">
        <f t="shared" si="21"/>
        <v>1196331.2776394226</v>
      </c>
      <c r="I44" s="52">
        <f t="shared" si="0"/>
        <v>0</v>
      </c>
      <c r="J44" s="52"/>
      <c r="K44" s="129"/>
      <c r="L44" s="54">
        <f t="shared" si="2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7"/>
        <v/>
      </c>
      <c r="C45" s="50">
        <f>IF(D11="","-",+C44+1)</f>
        <v>2045</v>
      </c>
      <c r="D45" s="55">
        <f>IF(F44+SUM(E$17:E44)=D$10,F44,D$10-SUM(E$17:E44))</f>
        <v>6551200.3874023333</v>
      </c>
      <c r="E45" s="378">
        <f>IF(+I14&lt;F44,I14,D45)</f>
        <v>389978.57613636367</v>
      </c>
      <c r="F45" s="55">
        <f t="shared" si="19"/>
        <v>6161221.8112659696</v>
      </c>
      <c r="G45" s="379">
        <f t="shared" si="20"/>
        <v>1149718.2570273182</v>
      </c>
      <c r="H45" s="364">
        <f t="shared" si="21"/>
        <v>1149718.2570273182</v>
      </c>
      <c r="I45" s="52">
        <f t="shared" si="0"/>
        <v>0</v>
      </c>
      <c r="J45" s="52"/>
      <c r="K45" s="129"/>
      <c r="L45" s="54">
        <f t="shared" si="2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7"/>
        <v/>
      </c>
      <c r="C46" s="50">
        <f>IF(D11="","-",+C45+1)</f>
        <v>2046</v>
      </c>
      <c r="D46" s="55">
        <f>IF(F45+SUM(E$17:E45)=D$10,F45,D$10-SUM(E$17:E45))</f>
        <v>6161221.8112659696</v>
      </c>
      <c r="E46" s="378">
        <f>IF(+I14&lt;F45,I14,D46)</f>
        <v>389978.57613636367</v>
      </c>
      <c r="F46" s="55">
        <f t="shared" si="19"/>
        <v>5771243.235129606</v>
      </c>
      <c r="G46" s="379">
        <f t="shared" si="20"/>
        <v>1103105.2364152139</v>
      </c>
      <c r="H46" s="364">
        <f t="shared" si="21"/>
        <v>1103105.2364152139</v>
      </c>
      <c r="I46" s="52">
        <f t="shared" si="0"/>
        <v>0</v>
      </c>
      <c r="J46" s="52"/>
      <c r="K46" s="129"/>
      <c r="L46" s="54">
        <f t="shared" si="2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7"/>
        <v/>
      </c>
      <c r="C47" s="50">
        <f>IF(D11="","-",+C46+1)</f>
        <v>2047</v>
      </c>
      <c r="D47" s="55">
        <f>IF(F46+SUM(E$17:E46)=D$10,F46,D$10-SUM(E$17:E46))</f>
        <v>5771243.235129606</v>
      </c>
      <c r="E47" s="378">
        <f>IF(+I14&lt;F46,I14,D47)</f>
        <v>389978.57613636367</v>
      </c>
      <c r="F47" s="55">
        <f t="shared" si="19"/>
        <v>5381264.6589932423</v>
      </c>
      <c r="G47" s="379">
        <f t="shared" si="20"/>
        <v>1056492.2158031093</v>
      </c>
      <c r="H47" s="364">
        <f t="shared" si="21"/>
        <v>1056492.2158031093</v>
      </c>
      <c r="I47" s="52">
        <f t="shared" si="0"/>
        <v>0</v>
      </c>
      <c r="J47" s="52"/>
      <c r="K47" s="129"/>
      <c r="L47" s="54">
        <f t="shared" si="2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7"/>
        <v/>
      </c>
      <c r="C48" s="50">
        <f>IF(D11="","-",+C47+1)</f>
        <v>2048</v>
      </c>
      <c r="D48" s="55">
        <f>IF(F47+SUM(E$17:E47)=D$10,F47,D$10-SUM(E$17:E47))</f>
        <v>5381264.6589932423</v>
      </c>
      <c r="E48" s="378">
        <f>IF(+I14&lt;F47,I14,D48)</f>
        <v>389978.57613636367</v>
      </c>
      <c r="F48" s="55">
        <f t="shared" si="19"/>
        <v>4991286.0828568786</v>
      </c>
      <c r="G48" s="379">
        <f t="shared" si="20"/>
        <v>1009879.1951910049</v>
      </c>
      <c r="H48" s="364">
        <f t="shared" si="21"/>
        <v>1009879.1951910049</v>
      </c>
      <c r="I48" s="52">
        <f t="shared" si="0"/>
        <v>0</v>
      </c>
      <c r="J48" s="52"/>
      <c r="K48" s="129"/>
      <c r="L48" s="54">
        <f t="shared" si="2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 ht="12.5">
      <c r="B49" s="7" t="str">
        <f t="shared" si="7"/>
        <v/>
      </c>
      <c r="C49" s="50">
        <f>IF(D11="","-",+C48+1)</f>
        <v>2049</v>
      </c>
      <c r="D49" s="55">
        <f>IF(F48+SUM(E$17:E48)=D$10,F48,D$10-SUM(E$17:E48))</f>
        <v>4991286.0828568786</v>
      </c>
      <c r="E49" s="378">
        <f>IF(+I14&lt;F48,I14,D49)</f>
        <v>389978.57613636367</v>
      </c>
      <c r="F49" s="55">
        <f t="shared" si="19"/>
        <v>4601307.506720515</v>
      </c>
      <c r="G49" s="379">
        <f t="shared" ref="G49:G72" si="22">+I$12*((D49+F49)/2)+E49</f>
        <v>963266.17457890045</v>
      </c>
      <c r="H49" s="364">
        <f t="shared" ref="H49:H72" si="23">+I$13*((D49+F49)/2)+E49</f>
        <v>963266.17457890045</v>
      </c>
      <c r="I49" s="52">
        <f t="shared" si="0"/>
        <v>0</v>
      </c>
      <c r="J49" s="52"/>
      <c r="K49" s="129"/>
      <c r="L49" s="54">
        <f t="shared" si="2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 ht="12.5">
      <c r="B50" s="7" t="str">
        <f t="shared" si="7"/>
        <v/>
      </c>
      <c r="C50" s="50">
        <f>IF(D11="","-",+C49+1)</f>
        <v>2050</v>
      </c>
      <c r="D50" s="55">
        <f>IF(F49+SUM(E$17:E49)=D$10,F49,D$10-SUM(E$17:E49))</f>
        <v>4601307.506720515</v>
      </c>
      <c r="E50" s="378">
        <f>IF(+I14&lt;F49,I14,D50)</f>
        <v>389978.57613636367</v>
      </c>
      <c r="F50" s="55">
        <f t="shared" si="19"/>
        <v>4211328.9305841513</v>
      </c>
      <c r="G50" s="379">
        <f t="shared" si="22"/>
        <v>916653.153966796</v>
      </c>
      <c r="H50" s="364">
        <f t="shared" si="23"/>
        <v>916653.153966796</v>
      </c>
      <c r="I50" s="52">
        <f t="shared" si="0"/>
        <v>0</v>
      </c>
      <c r="J50" s="52"/>
      <c r="K50" s="129"/>
      <c r="L50" s="54">
        <f t="shared" si="2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 ht="12.5">
      <c r="B51" s="7" t="str">
        <f t="shared" si="7"/>
        <v/>
      </c>
      <c r="C51" s="50">
        <f>IF(D11="","-",+C50+1)</f>
        <v>2051</v>
      </c>
      <c r="D51" s="55">
        <f>IF(F50+SUM(E$17:E50)=D$10,F50,D$10-SUM(E$17:E50))</f>
        <v>4211328.9305841513</v>
      </c>
      <c r="E51" s="378">
        <f>IF(+I14&lt;F50,I14,D51)</f>
        <v>389978.57613636367</v>
      </c>
      <c r="F51" s="55">
        <f t="shared" si="19"/>
        <v>3821350.3544477876</v>
      </c>
      <c r="G51" s="379">
        <f t="shared" si="22"/>
        <v>870040.13335469156</v>
      </c>
      <c r="H51" s="364">
        <f t="shared" si="23"/>
        <v>870040.13335469156</v>
      </c>
      <c r="I51" s="52">
        <f t="shared" si="0"/>
        <v>0</v>
      </c>
      <c r="J51" s="52"/>
      <c r="K51" s="129"/>
      <c r="L51" s="54">
        <f t="shared" si="2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 ht="12.5">
      <c r="B52" s="7" t="str">
        <f t="shared" si="7"/>
        <v/>
      </c>
      <c r="C52" s="50">
        <f>IF(D11="","-",+C51+1)</f>
        <v>2052</v>
      </c>
      <c r="D52" s="55">
        <f>IF(F51+SUM(E$17:E51)=D$10,F51,D$10-SUM(E$17:E51))</f>
        <v>3821350.3544477876</v>
      </c>
      <c r="E52" s="378">
        <f>IF(+I14&lt;F51,I14,D52)</f>
        <v>389978.57613636367</v>
      </c>
      <c r="F52" s="55">
        <f t="shared" si="19"/>
        <v>3431371.778311424</v>
      </c>
      <c r="G52" s="379">
        <f t="shared" si="22"/>
        <v>823427.11274258723</v>
      </c>
      <c r="H52" s="364">
        <f t="shared" si="23"/>
        <v>823427.11274258723</v>
      </c>
      <c r="I52" s="52">
        <f t="shared" si="0"/>
        <v>0</v>
      </c>
      <c r="J52" s="52"/>
      <c r="K52" s="129"/>
      <c r="L52" s="54">
        <f t="shared" si="2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 ht="12.5">
      <c r="B53" s="7" t="str">
        <f t="shared" si="7"/>
        <v/>
      </c>
      <c r="C53" s="50">
        <f>IF(D11="","-",+C52+1)</f>
        <v>2053</v>
      </c>
      <c r="D53" s="55">
        <f>IF(F52+SUM(E$17:E52)=D$10,F52,D$10-SUM(E$17:E52))</f>
        <v>3431371.778311424</v>
      </c>
      <c r="E53" s="378">
        <f>IF(+I14&lt;F52,I14,D53)</f>
        <v>389978.57613636367</v>
      </c>
      <c r="F53" s="55">
        <f t="shared" si="19"/>
        <v>3041393.2021750603</v>
      </c>
      <c r="G53" s="379">
        <f t="shared" si="22"/>
        <v>776814.09213048278</v>
      </c>
      <c r="H53" s="364">
        <f t="shared" si="23"/>
        <v>776814.09213048278</v>
      </c>
      <c r="I53" s="52">
        <f t="shared" si="0"/>
        <v>0</v>
      </c>
      <c r="J53" s="52"/>
      <c r="K53" s="129"/>
      <c r="L53" s="54">
        <f t="shared" si="2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 ht="12.5">
      <c r="B54" s="7" t="str">
        <f t="shared" si="7"/>
        <v/>
      </c>
      <c r="C54" s="50">
        <f>IF(D11="","-",+C53+1)</f>
        <v>2054</v>
      </c>
      <c r="D54" s="55">
        <f>IF(F53+SUM(E$17:E53)=D$10,F53,D$10-SUM(E$17:E53))</f>
        <v>3041393.2021750603</v>
      </c>
      <c r="E54" s="378">
        <f>IF(+I14&lt;F53,I14,D54)</f>
        <v>389978.57613636367</v>
      </c>
      <c r="F54" s="55">
        <f t="shared" si="19"/>
        <v>2651414.6260386966</v>
      </c>
      <c r="G54" s="379">
        <f t="shared" si="22"/>
        <v>730201.07151837833</v>
      </c>
      <c r="H54" s="364">
        <f t="shared" si="23"/>
        <v>730201.07151837833</v>
      </c>
      <c r="I54" s="52">
        <f t="shared" si="0"/>
        <v>0</v>
      </c>
      <c r="J54" s="52"/>
      <c r="K54" s="129"/>
      <c r="L54" s="54">
        <f t="shared" si="2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 ht="12.5">
      <c r="B55" s="7" t="str">
        <f t="shared" si="7"/>
        <v/>
      </c>
      <c r="C55" s="50">
        <f>IF(D11="","-",+C54+1)</f>
        <v>2055</v>
      </c>
      <c r="D55" s="55">
        <f>IF(F54+SUM(E$17:E54)=D$10,F54,D$10-SUM(E$17:E54))</f>
        <v>2651414.6260386966</v>
      </c>
      <c r="E55" s="378">
        <f>IF(+I14&lt;F54,I14,D55)</f>
        <v>389978.57613636367</v>
      </c>
      <c r="F55" s="55">
        <f t="shared" si="19"/>
        <v>2261436.0499023329</v>
      </c>
      <c r="G55" s="379">
        <f t="shared" si="22"/>
        <v>683588.05090627389</v>
      </c>
      <c r="H55" s="364">
        <f t="shared" si="23"/>
        <v>683588.05090627389</v>
      </c>
      <c r="I55" s="52">
        <f t="shared" si="0"/>
        <v>0</v>
      </c>
      <c r="J55" s="52"/>
      <c r="K55" s="129"/>
      <c r="L55" s="54">
        <f t="shared" si="2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 ht="12.5">
      <c r="B56" s="7" t="str">
        <f t="shared" si="7"/>
        <v/>
      </c>
      <c r="C56" s="50">
        <f>IF(D11="","-",+C55+1)</f>
        <v>2056</v>
      </c>
      <c r="D56" s="55">
        <f>IF(F55+SUM(E$17:E55)=D$10,F55,D$10-SUM(E$17:E55))</f>
        <v>2261436.0499023329</v>
      </c>
      <c r="E56" s="378">
        <f>IF(+I14&lt;F55,I14,D56)</f>
        <v>389978.57613636367</v>
      </c>
      <c r="F56" s="55">
        <f t="shared" si="19"/>
        <v>1871457.4737659693</v>
      </c>
      <c r="G56" s="379">
        <f t="shared" si="22"/>
        <v>636975.03029416944</v>
      </c>
      <c r="H56" s="364">
        <f t="shared" si="23"/>
        <v>636975.03029416944</v>
      </c>
      <c r="I56" s="52">
        <f t="shared" si="0"/>
        <v>0</v>
      </c>
      <c r="J56" s="52"/>
      <c r="K56" s="129"/>
      <c r="L56" s="54">
        <f t="shared" si="2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 ht="12.5">
      <c r="B57" s="7" t="str">
        <f t="shared" si="7"/>
        <v/>
      </c>
      <c r="C57" s="50">
        <f>IF(D11="","-",+C56+1)</f>
        <v>2057</v>
      </c>
      <c r="D57" s="55">
        <f>IF(F56+SUM(E$17:E56)=D$10,F56,D$10-SUM(E$17:E56))</f>
        <v>1871457.4737659693</v>
      </c>
      <c r="E57" s="378">
        <f>IF(+I14&lt;F56,I14,D57)</f>
        <v>389978.57613636367</v>
      </c>
      <c r="F57" s="55">
        <f t="shared" si="19"/>
        <v>1481478.8976296056</v>
      </c>
      <c r="G57" s="379">
        <f t="shared" si="22"/>
        <v>590362.00968206511</v>
      </c>
      <c r="H57" s="364">
        <f t="shared" si="23"/>
        <v>590362.00968206511</v>
      </c>
      <c r="I57" s="52">
        <f t="shared" si="0"/>
        <v>0</v>
      </c>
      <c r="J57" s="52"/>
      <c r="K57" s="129"/>
      <c r="L57" s="54">
        <f t="shared" si="2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 ht="12.5">
      <c r="B58" s="7" t="str">
        <f t="shared" si="7"/>
        <v/>
      </c>
      <c r="C58" s="50">
        <f>IF(D11="","-",+C57+1)</f>
        <v>2058</v>
      </c>
      <c r="D58" s="55">
        <f>IF(F57+SUM(E$17:E57)=D$10,F57,D$10-SUM(E$17:E57))</f>
        <v>1481478.8976296056</v>
      </c>
      <c r="E58" s="378">
        <f>IF(+I14&lt;F57,I14,D58)</f>
        <v>389978.57613636367</v>
      </c>
      <c r="F58" s="55">
        <f t="shared" si="19"/>
        <v>1091500.3214932419</v>
      </c>
      <c r="G58" s="379">
        <f t="shared" si="22"/>
        <v>543748.98906996066</v>
      </c>
      <c r="H58" s="364">
        <f t="shared" si="23"/>
        <v>543748.98906996066</v>
      </c>
      <c r="I58" s="52">
        <f t="shared" si="0"/>
        <v>0</v>
      </c>
      <c r="J58" s="52"/>
      <c r="K58" s="129"/>
      <c r="L58" s="54">
        <f t="shared" si="2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 ht="12.5">
      <c r="B59" s="7" t="str">
        <f t="shared" si="7"/>
        <v/>
      </c>
      <c r="C59" s="50">
        <f>IF(D11="","-",+C58+1)</f>
        <v>2059</v>
      </c>
      <c r="D59" s="55">
        <f>IF(F58+SUM(E$17:E58)=D$10,F58,D$10-SUM(E$17:E58))</f>
        <v>1091500.3214932419</v>
      </c>
      <c r="E59" s="378">
        <f>IF(+I14&lt;F58,I14,D59)</f>
        <v>389978.57613636367</v>
      </c>
      <c r="F59" s="55">
        <f t="shared" si="19"/>
        <v>701521.74535687827</v>
      </c>
      <c r="G59" s="379">
        <f t="shared" si="22"/>
        <v>497135.96845785622</v>
      </c>
      <c r="H59" s="364">
        <f t="shared" si="23"/>
        <v>497135.96845785622</v>
      </c>
      <c r="I59" s="52">
        <f t="shared" si="0"/>
        <v>0</v>
      </c>
      <c r="J59" s="52"/>
      <c r="K59" s="129"/>
      <c r="L59" s="54">
        <f t="shared" si="2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 ht="12.5">
      <c r="B60" s="7" t="str">
        <f t="shared" si="7"/>
        <v/>
      </c>
      <c r="C60" s="50">
        <f>IF(D11="","-",+C59+1)</f>
        <v>2060</v>
      </c>
      <c r="D60" s="55">
        <f>IF(F59+SUM(E$17:E59)=D$10,F59,D$10-SUM(E$17:E59))</f>
        <v>701521.74535687827</v>
      </c>
      <c r="E60" s="378">
        <f>IF(+I14&lt;F59,I14,D60)</f>
        <v>389978.57613636367</v>
      </c>
      <c r="F60" s="55">
        <f t="shared" si="19"/>
        <v>311543.1692205146</v>
      </c>
      <c r="G60" s="379">
        <f t="shared" si="22"/>
        <v>450522.94784575177</v>
      </c>
      <c r="H60" s="364">
        <f t="shared" si="23"/>
        <v>450522.94784575177</v>
      </c>
      <c r="I60" s="52">
        <f t="shared" si="0"/>
        <v>0</v>
      </c>
      <c r="J60" s="52"/>
      <c r="K60" s="129"/>
      <c r="L60" s="54">
        <f t="shared" si="2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 ht="12.5">
      <c r="B61" s="7" t="str">
        <f t="shared" si="7"/>
        <v/>
      </c>
      <c r="C61" s="50">
        <f>IF(D11="","-",+C60+1)</f>
        <v>2061</v>
      </c>
      <c r="D61" s="55">
        <f>IF(F60+SUM(E$17:E60)=D$10,F60,D$10-SUM(E$17:E60))</f>
        <v>311543.1692205146</v>
      </c>
      <c r="E61" s="378">
        <f>IF(+I14&lt;F60,I14,D61)</f>
        <v>311543.1692205146</v>
      </c>
      <c r="F61" s="55">
        <f t="shared" si="19"/>
        <v>0</v>
      </c>
      <c r="G61" s="380">
        <f t="shared" si="22"/>
        <v>330162.09992218256</v>
      </c>
      <c r="H61" s="364">
        <f t="shared" si="23"/>
        <v>330162.09992218256</v>
      </c>
      <c r="I61" s="52">
        <f t="shared" si="0"/>
        <v>0</v>
      </c>
      <c r="J61" s="52"/>
      <c r="K61" s="129"/>
      <c r="L61" s="54">
        <f t="shared" si="2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 ht="12.5">
      <c r="B62" s="7" t="str">
        <f t="shared" si="7"/>
        <v/>
      </c>
      <c r="C62" s="50">
        <f>IF(D11="","-",+C61+1)</f>
        <v>2062</v>
      </c>
      <c r="D62" s="55">
        <f>IF(F61+SUM(E$17:E61)=D$10,F61,D$10-SUM(E$17:E61))</f>
        <v>0</v>
      </c>
      <c r="E62" s="378">
        <f>IF(+I14&lt;F61,I14,D62)</f>
        <v>0</v>
      </c>
      <c r="F62" s="55">
        <f t="shared" si="19"/>
        <v>0</v>
      </c>
      <c r="G62" s="380">
        <f t="shared" si="22"/>
        <v>0</v>
      </c>
      <c r="H62" s="364">
        <f t="shared" si="23"/>
        <v>0</v>
      </c>
      <c r="I62" s="52">
        <f t="shared" si="0"/>
        <v>0</v>
      </c>
      <c r="J62" s="52"/>
      <c r="K62" s="129"/>
      <c r="L62" s="54">
        <f t="shared" si="2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 ht="12.5">
      <c r="B63" s="7" t="str">
        <f t="shared" si="7"/>
        <v/>
      </c>
      <c r="C63" s="50">
        <f>IF(D11="","-",+C62+1)</f>
        <v>2063</v>
      </c>
      <c r="D63" s="55">
        <f>IF(F62+SUM(E$17:E62)=D$10,F62,D$10-SUM(E$17:E62))</f>
        <v>0</v>
      </c>
      <c r="E63" s="378">
        <f>IF(+I14&lt;F62,I14,D63)</f>
        <v>0</v>
      </c>
      <c r="F63" s="55">
        <f t="shared" si="19"/>
        <v>0</v>
      </c>
      <c r="G63" s="380">
        <f t="shared" si="22"/>
        <v>0</v>
      </c>
      <c r="H63" s="364">
        <f t="shared" si="23"/>
        <v>0</v>
      </c>
      <c r="I63" s="52">
        <f t="shared" si="0"/>
        <v>0</v>
      </c>
      <c r="J63" s="52"/>
      <c r="K63" s="129"/>
      <c r="L63" s="54">
        <f t="shared" si="2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 ht="12.5">
      <c r="B64" s="7" t="str">
        <f t="shared" si="7"/>
        <v/>
      </c>
      <c r="C64" s="50">
        <f>IF(D11="","-",+C63+1)</f>
        <v>2064</v>
      </c>
      <c r="D64" s="55">
        <f>IF(F63+SUM(E$17:E63)=D$10,F63,D$10-SUM(E$17:E63))</f>
        <v>0</v>
      </c>
      <c r="E64" s="378">
        <f>IF(+I14&lt;F63,I14,D64)</f>
        <v>0</v>
      </c>
      <c r="F64" s="55">
        <f t="shared" si="19"/>
        <v>0</v>
      </c>
      <c r="G64" s="380">
        <f t="shared" si="22"/>
        <v>0</v>
      </c>
      <c r="H64" s="364">
        <f t="shared" si="23"/>
        <v>0</v>
      </c>
      <c r="I64" s="52">
        <f t="shared" si="0"/>
        <v>0</v>
      </c>
      <c r="J64" s="52"/>
      <c r="K64" s="129"/>
      <c r="L64" s="54">
        <f t="shared" si="2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 ht="12.5">
      <c r="B65" s="7" t="str">
        <f t="shared" si="7"/>
        <v/>
      </c>
      <c r="C65" s="50">
        <f>IF(D11="","-",+C64+1)</f>
        <v>2065</v>
      </c>
      <c r="D65" s="55">
        <f>IF(F64+SUM(E$17:E64)=D$10,F64,D$10-SUM(E$17:E64))</f>
        <v>0</v>
      </c>
      <c r="E65" s="378">
        <f>IF(+I14&lt;F64,I14,D65)</f>
        <v>0</v>
      </c>
      <c r="F65" s="55">
        <f t="shared" si="19"/>
        <v>0</v>
      </c>
      <c r="G65" s="380">
        <f t="shared" si="22"/>
        <v>0</v>
      </c>
      <c r="H65" s="364">
        <f t="shared" si="23"/>
        <v>0</v>
      </c>
      <c r="I65" s="52">
        <f t="shared" si="0"/>
        <v>0</v>
      </c>
      <c r="J65" s="52"/>
      <c r="K65" s="129"/>
      <c r="L65" s="54">
        <f t="shared" si="2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 ht="12.5">
      <c r="B66" s="7" t="str">
        <f t="shared" si="7"/>
        <v/>
      </c>
      <c r="C66" s="50">
        <f>IF(D11="","-",+C65+1)</f>
        <v>2066</v>
      </c>
      <c r="D66" s="55">
        <f>IF(F65+SUM(E$17:E65)=D$10,F65,D$10-SUM(E$17:E65))</f>
        <v>0</v>
      </c>
      <c r="E66" s="378">
        <f>IF(+I14&lt;F65,I14,D66)</f>
        <v>0</v>
      </c>
      <c r="F66" s="55">
        <f t="shared" si="19"/>
        <v>0</v>
      </c>
      <c r="G66" s="380">
        <f t="shared" si="22"/>
        <v>0</v>
      </c>
      <c r="H66" s="364">
        <f t="shared" si="23"/>
        <v>0</v>
      </c>
      <c r="I66" s="52">
        <f t="shared" si="0"/>
        <v>0</v>
      </c>
      <c r="J66" s="52"/>
      <c r="K66" s="129"/>
      <c r="L66" s="54">
        <f t="shared" si="2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 ht="12.5">
      <c r="B67" s="7" t="str">
        <f t="shared" si="7"/>
        <v/>
      </c>
      <c r="C67" s="50">
        <f>IF(D11="","-",+C66+1)</f>
        <v>2067</v>
      </c>
      <c r="D67" s="55">
        <f>IF(F66+SUM(E$17:E66)=D$10,F66,D$10-SUM(E$17:E66))</f>
        <v>0</v>
      </c>
      <c r="E67" s="378">
        <f>IF(+I14&lt;F66,I14,D67)</f>
        <v>0</v>
      </c>
      <c r="F67" s="55">
        <f t="shared" si="19"/>
        <v>0</v>
      </c>
      <c r="G67" s="380">
        <f t="shared" si="22"/>
        <v>0</v>
      </c>
      <c r="H67" s="364">
        <f t="shared" si="23"/>
        <v>0</v>
      </c>
      <c r="I67" s="52">
        <f t="shared" si="0"/>
        <v>0</v>
      </c>
      <c r="J67" s="52"/>
      <c r="K67" s="129"/>
      <c r="L67" s="54">
        <f t="shared" si="2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 ht="12.5">
      <c r="B68" s="7" t="str">
        <f t="shared" si="7"/>
        <v/>
      </c>
      <c r="C68" s="50">
        <f>IF(D11="","-",+C67+1)</f>
        <v>2068</v>
      </c>
      <c r="D68" s="55">
        <f>IF(F67+SUM(E$17:E67)=D$10,F67,D$10-SUM(E$17:E67))</f>
        <v>0</v>
      </c>
      <c r="E68" s="378">
        <f>IF(+I14&lt;F67,I14,D68)</f>
        <v>0</v>
      </c>
      <c r="F68" s="55">
        <f t="shared" si="19"/>
        <v>0</v>
      </c>
      <c r="G68" s="380">
        <f t="shared" si="22"/>
        <v>0</v>
      </c>
      <c r="H68" s="364">
        <f t="shared" si="23"/>
        <v>0</v>
      </c>
      <c r="I68" s="52">
        <f t="shared" si="0"/>
        <v>0</v>
      </c>
      <c r="J68" s="52"/>
      <c r="K68" s="129"/>
      <c r="L68" s="54">
        <f t="shared" si="2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 ht="12.5">
      <c r="B69" s="7" t="str">
        <f t="shared" si="7"/>
        <v/>
      </c>
      <c r="C69" s="50">
        <f>IF(D11="","-",+C68+1)</f>
        <v>2069</v>
      </c>
      <c r="D69" s="55">
        <f>IF(F68+SUM(E$17:E68)=D$10,F68,D$10-SUM(E$17:E68))</f>
        <v>0</v>
      </c>
      <c r="E69" s="378">
        <f>IF(+I14&lt;F68,I14,D69)</f>
        <v>0</v>
      </c>
      <c r="F69" s="55">
        <f t="shared" si="19"/>
        <v>0</v>
      </c>
      <c r="G69" s="380">
        <f t="shared" si="22"/>
        <v>0</v>
      </c>
      <c r="H69" s="364">
        <f t="shared" si="23"/>
        <v>0</v>
      </c>
      <c r="I69" s="52">
        <f t="shared" si="0"/>
        <v>0</v>
      </c>
      <c r="J69" s="52"/>
      <c r="K69" s="129"/>
      <c r="L69" s="54">
        <f t="shared" si="2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 ht="12.5">
      <c r="B70" s="7" t="str">
        <f t="shared" si="7"/>
        <v/>
      </c>
      <c r="C70" s="50">
        <f>IF(D11="","-",+C69+1)</f>
        <v>2070</v>
      </c>
      <c r="D70" s="55">
        <f>IF(F69+SUM(E$17:E69)=D$10,F69,D$10-SUM(E$17:E69))</f>
        <v>0</v>
      </c>
      <c r="E70" s="378">
        <f>IF(+I14&lt;F69,I14,D70)</f>
        <v>0</v>
      </c>
      <c r="F70" s="55">
        <f t="shared" si="19"/>
        <v>0</v>
      </c>
      <c r="G70" s="380">
        <f t="shared" si="22"/>
        <v>0</v>
      </c>
      <c r="H70" s="364">
        <f t="shared" si="23"/>
        <v>0</v>
      </c>
      <c r="I70" s="52">
        <f t="shared" si="0"/>
        <v>0</v>
      </c>
      <c r="J70" s="52"/>
      <c r="K70" s="129"/>
      <c r="L70" s="54">
        <f t="shared" si="2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 ht="12.5">
      <c r="B71" s="7" t="str">
        <f t="shared" si="7"/>
        <v/>
      </c>
      <c r="C71" s="50">
        <f>IF(D11="","-",+C70+1)</f>
        <v>2071</v>
      </c>
      <c r="D71" s="55">
        <f>IF(F70+SUM(E$17:E70)=D$10,F70,D$10-SUM(E$17:E70))</f>
        <v>0</v>
      </c>
      <c r="E71" s="378">
        <f>IF(+I14&lt;F70,I14,D71)</f>
        <v>0</v>
      </c>
      <c r="F71" s="55">
        <f t="shared" si="19"/>
        <v>0</v>
      </c>
      <c r="G71" s="380">
        <f t="shared" si="22"/>
        <v>0</v>
      </c>
      <c r="H71" s="364">
        <f t="shared" si="23"/>
        <v>0</v>
      </c>
      <c r="I71" s="52">
        <f t="shared" si="0"/>
        <v>0</v>
      </c>
      <c r="J71" s="52"/>
      <c r="K71" s="129"/>
      <c r="L71" s="54">
        <f t="shared" si="2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" thickBot="1">
      <c r="B72" s="7" t="str">
        <f t="shared" si="7"/>
        <v/>
      </c>
      <c r="C72" s="59">
        <f>IF(D11="","-",+C71+1)</f>
        <v>2072</v>
      </c>
      <c r="D72" s="60">
        <f>IF(F71+SUM(E$17:E71)=D$10,F71,D$10-SUM(E$17:E71))</f>
        <v>0</v>
      </c>
      <c r="E72" s="381">
        <f>IF(+I14&lt;F71,I14,D72)</f>
        <v>0</v>
      </c>
      <c r="F72" s="60">
        <f t="shared" si="19"/>
        <v>0</v>
      </c>
      <c r="G72" s="382">
        <f t="shared" si="22"/>
        <v>0</v>
      </c>
      <c r="H72" s="362">
        <f t="shared" si="23"/>
        <v>0</v>
      </c>
      <c r="I72" s="63">
        <f t="shared" si="0"/>
        <v>0</v>
      </c>
      <c r="J72" s="52"/>
      <c r="K72" s="130"/>
      <c r="L72" s="64">
        <f t="shared" si="2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 ht="12.5">
      <c r="C73" s="12" t="s">
        <v>78</v>
      </c>
      <c r="D73" s="293"/>
      <c r="E73" s="293">
        <f>SUM(E17:E72)</f>
        <v>17159057.350000001</v>
      </c>
      <c r="F73" s="293"/>
      <c r="G73" s="293">
        <f>SUM(G17:G72)</f>
        <v>62141611.729113936</v>
      </c>
      <c r="H73" s="293">
        <f>SUM(H17:H72)</f>
        <v>62141611.729113936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 ht="13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64 of 77</v>
      </c>
    </row>
    <row r="84" spans="1:16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2128591.689881511</v>
      </c>
      <c r="N87" s="387">
        <f>IF(J92&lt;D11,0,VLOOKUP(J92,C17:O72,11))</f>
        <v>2128591.689881511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2174114.4867150653</v>
      </c>
      <c r="N88" s="390">
        <f>IF(J92&lt;D11,0,VLOOKUP(J92,C99:P154,7))</f>
        <v>2174114.4867150653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Hallsville - Marshall New 69 kV Circuit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45522.796833554283</v>
      </c>
      <c r="N89" s="392">
        <f>+N88-N87</f>
        <v>45522.796833554283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TP2013167</v>
      </c>
      <c r="E91" s="76" t="str">
        <f>E9</f>
        <v xml:space="preserve">  SPP Project ID = 30576</v>
      </c>
      <c r="F91" s="76"/>
      <c r="G91" s="76"/>
      <c r="H91" s="76"/>
      <c r="I91" s="76"/>
      <c r="J91" s="76"/>
    </row>
    <row r="92" spans="1:16" ht="13">
      <c r="C92" s="34" t="s">
        <v>51</v>
      </c>
      <c r="D92" s="394">
        <f>D10</f>
        <v>17159057.350000001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</row>
    <row r="93" spans="1:16" ht="12.5">
      <c r="C93" s="34" t="s">
        <v>54</v>
      </c>
      <c r="D93" s="88">
        <f>IF(D11=I10,"",D11)</f>
        <v>2017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4">
        <f>IF(D11=I10,"",D12)</f>
        <v>4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389978.57613636367</v>
      </c>
      <c r="K96" s="293"/>
      <c r="L96" s="293"/>
      <c r="M96" s="293"/>
      <c r="N96" s="293"/>
      <c r="O96" s="293"/>
      <c r="P96" s="1"/>
    </row>
    <row r="97" spans="1:16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5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 ht="12.5">
      <c r="C99" s="50">
        <f>IF(D93= "","-",D93)</f>
        <v>2017</v>
      </c>
      <c r="D99" s="145">
        <v>0</v>
      </c>
      <c r="E99" s="446">
        <v>203503.39285714287</v>
      </c>
      <c r="F99" s="147">
        <v>16890781.607142858</v>
      </c>
      <c r="G99" s="447">
        <v>8445390.8035714291</v>
      </c>
      <c r="H99" s="448">
        <v>1229377.3244778609</v>
      </c>
      <c r="I99" s="449">
        <v>1229377.3244778609</v>
      </c>
      <c r="J99" s="54">
        <f t="shared" ref="J99:J130" si="24">+I99-H99</f>
        <v>0</v>
      </c>
      <c r="K99" s="54"/>
      <c r="L99" s="112">
        <f t="shared" ref="L99:L104" si="25">+H99</f>
        <v>1229377.3244778609</v>
      </c>
      <c r="M99" s="53">
        <f t="shared" ref="M99:M130" si="26">IF(L99&lt;&gt;0,+H99-L99,0)</f>
        <v>0</v>
      </c>
      <c r="N99" s="112">
        <f t="shared" ref="N99:N104" si="27">+I99</f>
        <v>1229377.3244778609</v>
      </c>
      <c r="O99" s="53">
        <f t="shared" ref="O99:O130" si="28">IF(N99&lt;&gt;0,+I99-N99,0)</f>
        <v>0</v>
      </c>
      <c r="P99" s="53">
        <f t="shared" ref="P99:P130" si="29">+O99-M99</f>
        <v>0</v>
      </c>
    </row>
    <row r="100" spans="1:16" ht="12.5">
      <c r="B100" s="7" t="str">
        <f>IF(D100=F99,"","IU")</f>
        <v>IU</v>
      </c>
      <c r="C100" s="50">
        <f>IF(D93="","-",+C99+1)</f>
        <v>2018</v>
      </c>
      <c r="D100" s="429">
        <v>16955553.607142858</v>
      </c>
      <c r="E100" s="430">
        <v>408548.97619047621</v>
      </c>
      <c r="F100" s="431">
        <v>16547004.630952382</v>
      </c>
      <c r="G100" s="431">
        <v>16751279.119047619</v>
      </c>
      <c r="H100" s="433">
        <v>2177560.8695091857</v>
      </c>
      <c r="I100" s="434">
        <v>2177560.8695091857</v>
      </c>
      <c r="J100" s="54">
        <f t="shared" si="24"/>
        <v>0</v>
      </c>
      <c r="K100" s="54"/>
      <c r="L100" s="450">
        <f t="shared" si="25"/>
        <v>2177560.8695091857</v>
      </c>
      <c r="M100" s="54">
        <f t="shared" si="26"/>
        <v>0</v>
      </c>
      <c r="N100" s="450">
        <f t="shared" si="27"/>
        <v>2177560.8695091857</v>
      </c>
      <c r="O100" s="54">
        <f t="shared" si="28"/>
        <v>0</v>
      </c>
      <c r="P100" s="54">
        <f t="shared" si="29"/>
        <v>0</v>
      </c>
    </row>
    <row r="101" spans="1:16" ht="12.5">
      <c r="B101" s="7" t="str">
        <f t="shared" ref="B101:B154" si="30">IF(D101=F100,"","IU")</f>
        <v/>
      </c>
      <c r="C101" s="50">
        <f>IF(D93="","-",+C100+1)</f>
        <v>2019</v>
      </c>
      <c r="D101" s="429">
        <v>16547004.630952382</v>
      </c>
      <c r="E101" s="430">
        <v>399047.83720930235</v>
      </c>
      <c r="F101" s="431">
        <v>16147956.79374308</v>
      </c>
      <c r="G101" s="431">
        <v>16347480.712347731</v>
      </c>
      <c r="H101" s="433">
        <v>2148891.1072448152</v>
      </c>
      <c r="I101" s="434">
        <v>2148891.1072448152</v>
      </c>
      <c r="J101" s="54">
        <f t="shared" si="24"/>
        <v>0</v>
      </c>
      <c r="K101" s="54"/>
      <c r="L101" s="450">
        <f t="shared" si="25"/>
        <v>2148891.1072448152</v>
      </c>
      <c r="M101" s="54">
        <f t="shared" ref="M101" si="31">IF(L101&lt;&gt;0,+H101-L101,0)</f>
        <v>0</v>
      </c>
      <c r="N101" s="450">
        <f t="shared" si="27"/>
        <v>2148891.1072448152</v>
      </c>
      <c r="O101" s="54">
        <f t="shared" si="28"/>
        <v>0</v>
      </c>
      <c r="P101" s="54">
        <f t="shared" si="29"/>
        <v>0</v>
      </c>
    </row>
    <row r="102" spans="1:16" ht="12.5">
      <c r="B102" s="7" t="str">
        <f t="shared" si="30"/>
        <v/>
      </c>
      <c r="C102" s="50">
        <f>IF(D93="","-",+C101+1)</f>
        <v>2020</v>
      </c>
      <c r="D102" s="429">
        <v>16147956.79374308</v>
      </c>
      <c r="E102" s="430">
        <v>408548.97619047621</v>
      </c>
      <c r="F102" s="431">
        <v>15739407.817552604</v>
      </c>
      <c r="G102" s="431">
        <v>15943682.305647843</v>
      </c>
      <c r="H102" s="433">
        <v>2123671.9859832102</v>
      </c>
      <c r="I102" s="434">
        <v>2123671.9859832102</v>
      </c>
      <c r="J102" s="54">
        <f t="shared" si="24"/>
        <v>0</v>
      </c>
      <c r="K102" s="54"/>
      <c r="L102" s="450">
        <f t="shared" si="25"/>
        <v>2123671.9859832102</v>
      </c>
      <c r="M102" s="54">
        <f t="shared" ref="M102" si="32">IF(L102&lt;&gt;0,+H102-L102,0)</f>
        <v>0</v>
      </c>
      <c r="N102" s="450">
        <f t="shared" si="27"/>
        <v>2123671.9859832102</v>
      </c>
      <c r="O102" s="54">
        <f t="shared" si="28"/>
        <v>0</v>
      </c>
      <c r="P102" s="54">
        <f t="shared" si="29"/>
        <v>0</v>
      </c>
    </row>
    <row r="103" spans="1:16" ht="12.5">
      <c r="B103" s="7" t="str">
        <f t="shared" si="30"/>
        <v/>
      </c>
      <c r="C103" s="50">
        <f>IF(D93="","-",+C102+1)</f>
        <v>2021</v>
      </c>
      <c r="D103" s="429">
        <v>15739407.817552604</v>
      </c>
      <c r="E103" s="430">
        <v>418513.58536585368</v>
      </c>
      <c r="F103" s="431">
        <v>15320894.23218675</v>
      </c>
      <c r="G103" s="431">
        <v>15530151.024869677</v>
      </c>
      <c r="H103" s="433">
        <v>2181406.6643911372</v>
      </c>
      <c r="I103" s="434">
        <v>2181406.6643911372</v>
      </c>
      <c r="J103" s="54">
        <f t="shared" si="24"/>
        <v>0</v>
      </c>
      <c r="K103" s="54"/>
      <c r="L103" s="450">
        <f t="shared" si="25"/>
        <v>2181406.6643911372</v>
      </c>
      <c r="M103" s="54">
        <f t="shared" ref="M103" si="33">IF(L103&lt;&gt;0,+H103-L103,0)</f>
        <v>0</v>
      </c>
      <c r="N103" s="450">
        <f t="shared" si="27"/>
        <v>2181406.6643911372</v>
      </c>
      <c r="O103" s="54">
        <f t="shared" si="28"/>
        <v>0</v>
      </c>
      <c r="P103" s="54">
        <f t="shared" si="29"/>
        <v>0</v>
      </c>
    </row>
    <row r="104" spans="1:16" ht="12.5">
      <c r="B104" s="7" t="str">
        <f t="shared" si="30"/>
        <v/>
      </c>
      <c r="C104" s="50">
        <f>IF(D93="","-",+C103+1)</f>
        <v>2022</v>
      </c>
      <c r="D104" s="429">
        <v>15320894.23218675</v>
      </c>
      <c r="E104" s="430">
        <v>408548.97619047621</v>
      </c>
      <c r="F104" s="431">
        <v>14912345.255996274</v>
      </c>
      <c r="G104" s="431">
        <v>15116619.744091511</v>
      </c>
      <c r="H104" s="433">
        <v>2184114.5254237889</v>
      </c>
      <c r="I104" s="434">
        <v>2184114.5254237889</v>
      </c>
      <c r="J104" s="54">
        <f t="shared" si="24"/>
        <v>0</v>
      </c>
      <c r="K104" s="54"/>
      <c r="L104" s="450">
        <f t="shared" si="25"/>
        <v>2184114.5254237889</v>
      </c>
      <c r="M104" s="54">
        <f t="shared" ref="M104" si="34">IF(L104&lt;&gt;0,+H104-L104,0)</f>
        <v>0</v>
      </c>
      <c r="N104" s="450">
        <f t="shared" si="27"/>
        <v>2184114.5254237889</v>
      </c>
      <c r="O104" s="54">
        <f t="shared" ref="O104" si="35">IF(N104&lt;&gt;0,+I104-N104,0)</f>
        <v>0</v>
      </c>
      <c r="P104" s="54">
        <f t="shared" ref="P104" si="36">+O104-M104</f>
        <v>0</v>
      </c>
    </row>
    <row r="105" spans="1:16" ht="12.5">
      <c r="B105" s="7" t="str">
        <f t="shared" si="30"/>
        <v>IU</v>
      </c>
      <c r="C105" s="50">
        <f>IF(D93="","-",+C104+1)</f>
        <v>2023</v>
      </c>
      <c r="D105" s="429">
        <v>14912345.605996273</v>
      </c>
      <c r="E105" s="430">
        <v>389978.57613636367</v>
      </c>
      <c r="F105" s="431">
        <v>14522367.02985991</v>
      </c>
      <c r="G105" s="431">
        <v>14717356.317928091</v>
      </c>
      <c r="H105" s="433">
        <v>2205586.0656350143</v>
      </c>
      <c r="I105" s="434">
        <v>2205586.0656350143</v>
      </c>
      <c r="J105" s="54">
        <f t="shared" si="24"/>
        <v>0</v>
      </c>
      <c r="K105" s="54"/>
      <c r="L105" s="450">
        <f t="shared" ref="L105" si="37">+H105</f>
        <v>2205586.0656350143</v>
      </c>
      <c r="M105" s="54">
        <f t="shared" ref="M105" si="38">IF(L105&lt;&gt;0,+H105-L105,0)</f>
        <v>0</v>
      </c>
      <c r="N105" s="450">
        <f t="shared" ref="N105" si="39">+I105</f>
        <v>2205586.0656350143</v>
      </c>
      <c r="O105" s="54">
        <f t="shared" ref="O105" si="40">IF(N105&lt;&gt;0,+I105-N105,0)</f>
        <v>0</v>
      </c>
      <c r="P105" s="54">
        <f t="shared" ref="P105" si="41">+O105-M105</f>
        <v>0</v>
      </c>
    </row>
    <row r="106" spans="1:16" ht="12.5">
      <c r="B106" s="7" t="str">
        <f t="shared" si="30"/>
        <v/>
      </c>
      <c r="C106" s="50">
        <f>IF(D93="","-",+C105+1)</f>
        <v>2024</v>
      </c>
      <c r="D106" s="12">
        <f>IF(F105+SUM(E$99:E105)=D$92,F105,D$92-SUM(E$99:E105))</f>
        <v>14522367.02985991</v>
      </c>
      <c r="E106" s="378">
        <f>IF(+J96&lt;F105,J96,D106)</f>
        <v>389978.57613636367</v>
      </c>
      <c r="F106" s="55">
        <f t="shared" ref="F106:F130" si="42">+D106-E106</f>
        <v>14132388.453723546</v>
      </c>
      <c r="G106" s="55">
        <f t="shared" ref="G106:G130" si="43">+(F106+D106)/2</f>
        <v>14327377.741791729</v>
      </c>
      <c r="H106" s="380">
        <f t="shared" ref="H106:H154" si="44">+J$94*G106+E106</f>
        <v>2174114.4867150653</v>
      </c>
      <c r="I106" s="399">
        <f t="shared" ref="I106:I154" si="45">+J$95*G106+E106</f>
        <v>2174114.4867150653</v>
      </c>
      <c r="J106" s="54">
        <f t="shared" si="24"/>
        <v>0</v>
      </c>
      <c r="K106" s="54"/>
      <c r="L106" s="129"/>
      <c r="M106" s="54">
        <f t="shared" si="26"/>
        <v>0</v>
      </c>
      <c r="N106" s="129"/>
      <c r="O106" s="54">
        <f t="shared" si="28"/>
        <v>0</v>
      </c>
      <c r="P106" s="54">
        <f t="shared" si="29"/>
        <v>0</v>
      </c>
    </row>
    <row r="107" spans="1:16" ht="12.5">
      <c r="B107" s="7" t="str">
        <f t="shared" si="30"/>
        <v/>
      </c>
      <c r="C107" s="50">
        <f>IF(D93="","-",+C106+1)</f>
        <v>2025</v>
      </c>
      <c r="D107" s="12">
        <f>IF(F106+SUM(E$99:E106)=D$92,F106,D$92-SUM(E$99:E106))</f>
        <v>14132388.453723546</v>
      </c>
      <c r="E107" s="378">
        <f>IF(+J96&lt;F106,J96,D107)</f>
        <v>389978.57613636367</v>
      </c>
      <c r="F107" s="55">
        <f t="shared" si="42"/>
        <v>13742409.877587182</v>
      </c>
      <c r="G107" s="55">
        <f t="shared" si="43"/>
        <v>13937399.165655363</v>
      </c>
      <c r="H107" s="380">
        <f t="shared" si="44"/>
        <v>2125551.8819886101</v>
      </c>
      <c r="I107" s="399">
        <f t="shared" si="45"/>
        <v>2125551.8819886101</v>
      </c>
      <c r="J107" s="54">
        <f t="shared" si="24"/>
        <v>0</v>
      </c>
      <c r="K107" s="54"/>
      <c r="L107" s="129"/>
      <c r="M107" s="54">
        <f t="shared" si="26"/>
        <v>0</v>
      </c>
      <c r="N107" s="129"/>
      <c r="O107" s="54">
        <f t="shared" si="28"/>
        <v>0</v>
      </c>
      <c r="P107" s="54">
        <f t="shared" si="29"/>
        <v>0</v>
      </c>
    </row>
    <row r="108" spans="1:16" ht="12.5">
      <c r="B108" s="7" t="str">
        <f t="shared" si="30"/>
        <v/>
      </c>
      <c r="C108" s="50">
        <f>IF(D93="","-",+C107+1)</f>
        <v>2026</v>
      </c>
      <c r="D108" s="12">
        <f>IF(F107+SUM(E$99:E107)=D$92,F107,D$92-SUM(E$99:E107))</f>
        <v>13742409.877587182</v>
      </c>
      <c r="E108" s="378">
        <f>IF(+J96&lt;F107,J96,D108)</f>
        <v>389978.57613636367</v>
      </c>
      <c r="F108" s="55">
        <f t="shared" si="42"/>
        <v>13352431.301450819</v>
      </c>
      <c r="G108" s="55">
        <f t="shared" si="43"/>
        <v>13547420.589519002</v>
      </c>
      <c r="H108" s="380">
        <f t="shared" si="44"/>
        <v>2076989.2772621559</v>
      </c>
      <c r="I108" s="399">
        <f t="shared" si="45"/>
        <v>2076989.2772621559</v>
      </c>
      <c r="J108" s="54">
        <f t="shared" si="24"/>
        <v>0</v>
      </c>
      <c r="K108" s="54"/>
      <c r="L108" s="129"/>
      <c r="M108" s="54">
        <f t="shared" si="26"/>
        <v>0</v>
      </c>
      <c r="N108" s="129"/>
      <c r="O108" s="54">
        <f t="shared" si="28"/>
        <v>0</v>
      </c>
      <c r="P108" s="54">
        <f t="shared" si="29"/>
        <v>0</v>
      </c>
    </row>
    <row r="109" spans="1:16" ht="12.5">
      <c r="B109" s="7" t="str">
        <f t="shared" si="30"/>
        <v/>
      </c>
      <c r="C109" s="50">
        <f>IF(D93="","-",+C108+1)</f>
        <v>2027</v>
      </c>
      <c r="D109" s="12">
        <f>IF(F108+SUM(E$99:E108)=D$92,F108,D$92-SUM(E$99:E108))</f>
        <v>13352431.301450819</v>
      </c>
      <c r="E109" s="378">
        <f>IF(+J96&lt;F108,J96,D109)</f>
        <v>389978.57613636367</v>
      </c>
      <c r="F109" s="55">
        <f t="shared" si="42"/>
        <v>12962452.725314455</v>
      </c>
      <c r="G109" s="55">
        <f t="shared" si="43"/>
        <v>13157442.013382636</v>
      </c>
      <c r="H109" s="380">
        <f t="shared" si="44"/>
        <v>2028426.672535701</v>
      </c>
      <c r="I109" s="399">
        <f t="shared" si="45"/>
        <v>2028426.672535701</v>
      </c>
      <c r="J109" s="54">
        <f t="shared" si="24"/>
        <v>0</v>
      </c>
      <c r="K109" s="54"/>
      <c r="L109" s="129"/>
      <c r="M109" s="54">
        <f t="shared" si="26"/>
        <v>0</v>
      </c>
      <c r="N109" s="129"/>
      <c r="O109" s="54">
        <f t="shared" si="28"/>
        <v>0</v>
      </c>
      <c r="P109" s="54">
        <f t="shared" si="29"/>
        <v>0</v>
      </c>
    </row>
    <row r="110" spans="1:16" ht="12.5">
      <c r="B110" s="7" t="str">
        <f t="shared" si="30"/>
        <v/>
      </c>
      <c r="C110" s="50">
        <f>IF(D93="","-",+C109+1)</f>
        <v>2028</v>
      </c>
      <c r="D110" s="12">
        <f>IF(F109+SUM(E$99:E109)=D$92,F109,D$92-SUM(E$99:E109))</f>
        <v>12962452.725314455</v>
      </c>
      <c r="E110" s="378">
        <f>IF(+J96&lt;F109,J96,D110)</f>
        <v>389978.57613636367</v>
      </c>
      <c r="F110" s="55">
        <f t="shared" si="42"/>
        <v>12572474.149178091</v>
      </c>
      <c r="G110" s="55">
        <f t="shared" si="43"/>
        <v>12767463.437246274</v>
      </c>
      <c r="H110" s="380">
        <f t="shared" si="44"/>
        <v>1979864.0678092465</v>
      </c>
      <c r="I110" s="399">
        <f t="shared" si="45"/>
        <v>1979864.0678092465</v>
      </c>
      <c r="J110" s="54">
        <f t="shared" si="24"/>
        <v>0</v>
      </c>
      <c r="K110" s="54"/>
      <c r="L110" s="129"/>
      <c r="M110" s="54">
        <f t="shared" si="26"/>
        <v>0</v>
      </c>
      <c r="N110" s="129"/>
      <c r="O110" s="54">
        <f t="shared" si="28"/>
        <v>0</v>
      </c>
      <c r="P110" s="54">
        <f t="shared" si="29"/>
        <v>0</v>
      </c>
    </row>
    <row r="111" spans="1:16" ht="12.5">
      <c r="B111" s="7" t="str">
        <f t="shared" si="30"/>
        <v/>
      </c>
      <c r="C111" s="50">
        <f>IF(D93="","-",+C110+1)</f>
        <v>2029</v>
      </c>
      <c r="D111" s="12">
        <f>IF(F110+SUM(E$99:E110)=D$92,F110,D$92-SUM(E$99:E110))</f>
        <v>12572474.149178091</v>
      </c>
      <c r="E111" s="378">
        <f>IF(+J96&lt;F110,J96,D111)</f>
        <v>389978.57613636367</v>
      </c>
      <c r="F111" s="55">
        <f t="shared" si="42"/>
        <v>12182495.573041728</v>
      </c>
      <c r="G111" s="55">
        <f t="shared" si="43"/>
        <v>12377484.861109909</v>
      </c>
      <c r="H111" s="380">
        <f t="shared" si="44"/>
        <v>1931301.4630827918</v>
      </c>
      <c r="I111" s="399">
        <f t="shared" si="45"/>
        <v>1931301.4630827918</v>
      </c>
      <c r="J111" s="54">
        <f t="shared" si="24"/>
        <v>0</v>
      </c>
      <c r="K111" s="54"/>
      <c r="L111" s="129"/>
      <c r="M111" s="54">
        <f t="shared" si="26"/>
        <v>0</v>
      </c>
      <c r="N111" s="129"/>
      <c r="O111" s="54">
        <f t="shared" si="28"/>
        <v>0</v>
      </c>
      <c r="P111" s="54">
        <f t="shared" si="29"/>
        <v>0</v>
      </c>
    </row>
    <row r="112" spans="1:16" ht="12.5">
      <c r="B112" s="7" t="str">
        <f t="shared" si="30"/>
        <v/>
      </c>
      <c r="C112" s="50">
        <f>IF(D93="","-",+C111+1)</f>
        <v>2030</v>
      </c>
      <c r="D112" s="12">
        <f>IF(F111+SUM(E$99:E111)=D$92,F111,D$92-SUM(E$99:E111))</f>
        <v>12182495.573041728</v>
      </c>
      <c r="E112" s="378">
        <f>IF(+J96&lt;F111,J96,D112)</f>
        <v>389978.57613636367</v>
      </c>
      <c r="F112" s="55">
        <f t="shared" si="42"/>
        <v>11792516.996905364</v>
      </c>
      <c r="G112" s="55">
        <f t="shared" si="43"/>
        <v>11987506.284973547</v>
      </c>
      <c r="H112" s="380">
        <f t="shared" si="44"/>
        <v>1882738.8583563373</v>
      </c>
      <c r="I112" s="399">
        <f t="shared" si="45"/>
        <v>1882738.8583563373</v>
      </c>
      <c r="J112" s="54">
        <f t="shared" si="24"/>
        <v>0</v>
      </c>
      <c r="K112" s="54"/>
      <c r="L112" s="129"/>
      <c r="M112" s="54">
        <f t="shared" si="26"/>
        <v>0</v>
      </c>
      <c r="N112" s="129"/>
      <c r="O112" s="54">
        <f t="shared" si="28"/>
        <v>0</v>
      </c>
      <c r="P112" s="54">
        <f t="shared" si="29"/>
        <v>0</v>
      </c>
    </row>
    <row r="113" spans="2:16" ht="12.5">
      <c r="B113" s="7" t="str">
        <f t="shared" si="30"/>
        <v/>
      </c>
      <c r="C113" s="50">
        <f>IF(D93="","-",+C112+1)</f>
        <v>2031</v>
      </c>
      <c r="D113" s="12">
        <f>IF(F112+SUM(E$99:E112)=D$92,F112,D$92-SUM(E$99:E112))</f>
        <v>11792516.996905364</v>
      </c>
      <c r="E113" s="378">
        <f>IF(+J96&lt;F112,J96,D113)</f>
        <v>389978.57613636367</v>
      </c>
      <c r="F113" s="55">
        <f t="shared" si="42"/>
        <v>11402538.420769</v>
      </c>
      <c r="G113" s="55">
        <f t="shared" si="43"/>
        <v>11597527.708837181</v>
      </c>
      <c r="H113" s="380">
        <f t="shared" si="44"/>
        <v>1834176.2536298824</v>
      </c>
      <c r="I113" s="399">
        <f t="shared" si="45"/>
        <v>1834176.2536298824</v>
      </c>
      <c r="J113" s="54">
        <f t="shared" si="24"/>
        <v>0</v>
      </c>
      <c r="K113" s="54"/>
      <c r="L113" s="129"/>
      <c r="M113" s="54">
        <f t="shared" si="26"/>
        <v>0</v>
      </c>
      <c r="N113" s="129"/>
      <c r="O113" s="54">
        <f t="shared" si="28"/>
        <v>0</v>
      </c>
      <c r="P113" s="54">
        <f t="shared" si="29"/>
        <v>0</v>
      </c>
    </row>
    <row r="114" spans="2:16" ht="12.5">
      <c r="B114" s="7" t="str">
        <f t="shared" si="30"/>
        <v/>
      </c>
      <c r="C114" s="50">
        <f>IF(D93="","-",+C113+1)</f>
        <v>2032</v>
      </c>
      <c r="D114" s="12">
        <f>IF(F113+SUM(E$99:E113)=D$92,F113,D$92-SUM(E$99:E113))</f>
        <v>11402538.420769</v>
      </c>
      <c r="E114" s="378">
        <f>IF(+J96&lt;F113,J96,D114)</f>
        <v>389978.57613636367</v>
      </c>
      <c r="F114" s="55">
        <f t="shared" si="42"/>
        <v>11012559.844632637</v>
      </c>
      <c r="G114" s="55">
        <f t="shared" si="43"/>
        <v>11207549.13270082</v>
      </c>
      <c r="H114" s="380">
        <f t="shared" si="44"/>
        <v>1785613.6489034279</v>
      </c>
      <c r="I114" s="399">
        <f t="shared" si="45"/>
        <v>1785613.6489034279</v>
      </c>
      <c r="J114" s="54">
        <f t="shared" si="24"/>
        <v>0</v>
      </c>
      <c r="K114" s="54"/>
      <c r="L114" s="129"/>
      <c r="M114" s="54">
        <f t="shared" si="26"/>
        <v>0</v>
      </c>
      <c r="N114" s="129"/>
      <c r="O114" s="54">
        <f t="shared" si="28"/>
        <v>0</v>
      </c>
      <c r="P114" s="54">
        <f t="shared" si="29"/>
        <v>0</v>
      </c>
    </row>
    <row r="115" spans="2:16" ht="12.5">
      <c r="B115" s="7" t="str">
        <f t="shared" si="30"/>
        <v/>
      </c>
      <c r="C115" s="50">
        <f>IF(D93="","-",+C114+1)</f>
        <v>2033</v>
      </c>
      <c r="D115" s="12">
        <f>IF(F114+SUM(E$99:E114)=D$92,F114,D$92-SUM(E$99:E114))</f>
        <v>11012559.844632637</v>
      </c>
      <c r="E115" s="378">
        <f>IF(+J96&lt;F114,J96,D115)</f>
        <v>389978.57613636367</v>
      </c>
      <c r="F115" s="55">
        <f t="shared" si="42"/>
        <v>10622581.268496273</v>
      </c>
      <c r="G115" s="55">
        <f t="shared" si="43"/>
        <v>10817570.556564454</v>
      </c>
      <c r="H115" s="380">
        <f t="shared" si="44"/>
        <v>1737051.0441769729</v>
      </c>
      <c r="I115" s="399">
        <f t="shared" si="45"/>
        <v>1737051.0441769729</v>
      </c>
      <c r="J115" s="54">
        <f t="shared" si="24"/>
        <v>0</v>
      </c>
      <c r="K115" s="54"/>
      <c r="L115" s="129"/>
      <c r="M115" s="54">
        <f t="shared" si="26"/>
        <v>0</v>
      </c>
      <c r="N115" s="129"/>
      <c r="O115" s="54">
        <f t="shared" si="28"/>
        <v>0</v>
      </c>
      <c r="P115" s="54">
        <f t="shared" si="29"/>
        <v>0</v>
      </c>
    </row>
    <row r="116" spans="2:16" ht="12.5">
      <c r="B116" s="7" t="str">
        <f t="shared" si="30"/>
        <v/>
      </c>
      <c r="C116" s="50">
        <f>IF(D93="","-",+C115+1)</f>
        <v>2034</v>
      </c>
      <c r="D116" s="12">
        <f>IF(F115+SUM(E$99:E115)=D$92,F115,D$92-SUM(E$99:E115))</f>
        <v>10622581.268496273</v>
      </c>
      <c r="E116" s="378">
        <f>IF(+J96&lt;F115,J96,D116)</f>
        <v>389978.57613636367</v>
      </c>
      <c r="F116" s="55">
        <f t="shared" si="42"/>
        <v>10232602.692359909</v>
      </c>
      <c r="G116" s="55">
        <f t="shared" si="43"/>
        <v>10427591.980428092</v>
      </c>
      <c r="H116" s="380">
        <f t="shared" si="44"/>
        <v>1688488.4394505185</v>
      </c>
      <c r="I116" s="399">
        <f t="shared" si="45"/>
        <v>1688488.4394505185</v>
      </c>
      <c r="J116" s="54">
        <f t="shared" si="24"/>
        <v>0</v>
      </c>
      <c r="K116" s="54"/>
      <c r="L116" s="129"/>
      <c r="M116" s="54">
        <f t="shared" si="26"/>
        <v>0</v>
      </c>
      <c r="N116" s="129"/>
      <c r="O116" s="54">
        <f t="shared" si="28"/>
        <v>0</v>
      </c>
      <c r="P116" s="54">
        <f t="shared" si="29"/>
        <v>0</v>
      </c>
    </row>
    <row r="117" spans="2:16" ht="12.5">
      <c r="B117" s="7" t="str">
        <f t="shared" si="30"/>
        <v/>
      </c>
      <c r="C117" s="50">
        <f>IF(D93="","-",+C116+1)</f>
        <v>2035</v>
      </c>
      <c r="D117" s="12">
        <f>IF(F116+SUM(E$99:E116)=D$92,F116,D$92-SUM(E$99:E116))</f>
        <v>10232602.692359909</v>
      </c>
      <c r="E117" s="378">
        <f>IF(+J96&lt;F116,J96,D117)</f>
        <v>389978.57613636367</v>
      </c>
      <c r="F117" s="55">
        <f t="shared" si="42"/>
        <v>9842624.1162235457</v>
      </c>
      <c r="G117" s="55">
        <f t="shared" si="43"/>
        <v>10037613.404291727</v>
      </c>
      <c r="H117" s="380">
        <f t="shared" si="44"/>
        <v>1639925.8347240635</v>
      </c>
      <c r="I117" s="399">
        <f t="shared" si="45"/>
        <v>1639925.8347240635</v>
      </c>
      <c r="J117" s="54">
        <f t="shared" si="24"/>
        <v>0</v>
      </c>
      <c r="K117" s="54"/>
      <c r="L117" s="129"/>
      <c r="M117" s="54">
        <f t="shared" si="26"/>
        <v>0</v>
      </c>
      <c r="N117" s="129"/>
      <c r="O117" s="54">
        <f t="shared" si="28"/>
        <v>0</v>
      </c>
      <c r="P117" s="54">
        <f t="shared" si="29"/>
        <v>0</v>
      </c>
    </row>
    <row r="118" spans="2:16" ht="12.5">
      <c r="B118" s="7" t="str">
        <f t="shared" si="30"/>
        <v/>
      </c>
      <c r="C118" s="50">
        <f>IF(D93="","-",+C117+1)</f>
        <v>2036</v>
      </c>
      <c r="D118" s="12">
        <f>IF(F117+SUM(E$99:E117)=D$92,F117,D$92-SUM(E$99:E117))</f>
        <v>9842624.1162235457</v>
      </c>
      <c r="E118" s="378">
        <f>IF(+J96&lt;F117,J96,D118)</f>
        <v>389978.57613636367</v>
      </c>
      <c r="F118" s="55">
        <f t="shared" si="42"/>
        <v>9452645.5400871821</v>
      </c>
      <c r="G118" s="55">
        <f t="shared" si="43"/>
        <v>9647634.8281553648</v>
      </c>
      <c r="H118" s="380">
        <f t="shared" si="44"/>
        <v>1591363.229997609</v>
      </c>
      <c r="I118" s="399">
        <f t="shared" si="45"/>
        <v>1591363.229997609</v>
      </c>
      <c r="J118" s="54">
        <f t="shared" si="24"/>
        <v>0</v>
      </c>
      <c r="K118" s="54"/>
      <c r="L118" s="129"/>
      <c r="M118" s="54">
        <f t="shared" si="26"/>
        <v>0</v>
      </c>
      <c r="N118" s="129"/>
      <c r="O118" s="54">
        <f t="shared" si="28"/>
        <v>0</v>
      </c>
      <c r="P118" s="54">
        <f t="shared" si="29"/>
        <v>0</v>
      </c>
    </row>
    <row r="119" spans="2:16" ht="12.5">
      <c r="B119" s="7" t="str">
        <f t="shared" si="30"/>
        <v/>
      </c>
      <c r="C119" s="50">
        <f>IF(D93="","-",+C118+1)</f>
        <v>2037</v>
      </c>
      <c r="D119" s="12">
        <f>IF(F118+SUM(E$99:E118)=D$92,F118,D$92-SUM(E$99:E118))</f>
        <v>9452645.5400871821</v>
      </c>
      <c r="E119" s="378">
        <f>IF(+J96&lt;F118,J96,D119)</f>
        <v>389978.57613636367</v>
      </c>
      <c r="F119" s="55">
        <f t="shared" si="42"/>
        <v>9062666.9639508184</v>
      </c>
      <c r="G119" s="55">
        <f t="shared" si="43"/>
        <v>9257656.2520189993</v>
      </c>
      <c r="H119" s="380">
        <f t="shared" si="44"/>
        <v>1542800.6252711541</v>
      </c>
      <c r="I119" s="399">
        <f t="shared" si="45"/>
        <v>1542800.6252711541</v>
      </c>
      <c r="J119" s="54">
        <f t="shared" si="24"/>
        <v>0</v>
      </c>
      <c r="K119" s="54"/>
      <c r="L119" s="129"/>
      <c r="M119" s="54">
        <f t="shared" si="26"/>
        <v>0</v>
      </c>
      <c r="N119" s="129"/>
      <c r="O119" s="54">
        <f t="shared" si="28"/>
        <v>0</v>
      </c>
      <c r="P119" s="54">
        <f t="shared" si="29"/>
        <v>0</v>
      </c>
    </row>
    <row r="120" spans="2:16" ht="12.5">
      <c r="B120" s="7" t="str">
        <f t="shared" si="30"/>
        <v/>
      </c>
      <c r="C120" s="50">
        <f>IF(D93="","-",+C119+1)</f>
        <v>2038</v>
      </c>
      <c r="D120" s="12">
        <f>IF(F119+SUM(E$99:E119)=D$92,F119,D$92-SUM(E$99:E119))</f>
        <v>9062666.9639508184</v>
      </c>
      <c r="E120" s="378">
        <f>IF(+J96&lt;F119,J96,D120)</f>
        <v>389978.57613636367</v>
      </c>
      <c r="F120" s="55">
        <f t="shared" si="42"/>
        <v>8672688.3878144547</v>
      </c>
      <c r="G120" s="55">
        <f t="shared" si="43"/>
        <v>8867677.6758826375</v>
      </c>
      <c r="H120" s="380">
        <f t="shared" si="44"/>
        <v>1494238.0205446996</v>
      </c>
      <c r="I120" s="399">
        <f t="shared" si="45"/>
        <v>1494238.0205446996</v>
      </c>
      <c r="J120" s="54">
        <f t="shared" si="24"/>
        <v>0</v>
      </c>
      <c r="K120" s="54"/>
      <c r="L120" s="129"/>
      <c r="M120" s="54">
        <f t="shared" si="26"/>
        <v>0</v>
      </c>
      <c r="N120" s="129"/>
      <c r="O120" s="54">
        <f t="shared" si="28"/>
        <v>0</v>
      </c>
      <c r="P120" s="54">
        <f t="shared" si="29"/>
        <v>0</v>
      </c>
    </row>
    <row r="121" spans="2:16" ht="12.5">
      <c r="B121" s="7" t="str">
        <f t="shared" si="30"/>
        <v/>
      </c>
      <c r="C121" s="50">
        <f>IF(D93="","-",+C120+1)</f>
        <v>2039</v>
      </c>
      <c r="D121" s="12">
        <f>IF(F120+SUM(E$99:E120)=D$92,F120,D$92-SUM(E$99:E120))</f>
        <v>8672688.3878144547</v>
      </c>
      <c r="E121" s="378">
        <f>IF(+J96&lt;F120,J96,D121)</f>
        <v>389978.57613636367</v>
      </c>
      <c r="F121" s="55">
        <f t="shared" si="42"/>
        <v>8282709.8116780911</v>
      </c>
      <c r="G121" s="55">
        <f t="shared" si="43"/>
        <v>8477699.099746272</v>
      </c>
      <c r="H121" s="380">
        <f t="shared" si="44"/>
        <v>1445675.4158182447</v>
      </c>
      <c r="I121" s="399">
        <f t="shared" si="45"/>
        <v>1445675.4158182447</v>
      </c>
      <c r="J121" s="54">
        <f t="shared" si="24"/>
        <v>0</v>
      </c>
      <c r="K121" s="54"/>
      <c r="L121" s="129"/>
      <c r="M121" s="54">
        <f t="shared" si="26"/>
        <v>0</v>
      </c>
      <c r="N121" s="129"/>
      <c r="O121" s="54">
        <f t="shared" si="28"/>
        <v>0</v>
      </c>
      <c r="P121" s="54">
        <f t="shared" si="29"/>
        <v>0</v>
      </c>
    </row>
    <row r="122" spans="2:16" ht="12.5">
      <c r="B122" s="7" t="str">
        <f t="shared" si="30"/>
        <v/>
      </c>
      <c r="C122" s="50">
        <f>IF(D93="","-",+C121+1)</f>
        <v>2040</v>
      </c>
      <c r="D122" s="12">
        <f>IF(F121+SUM(E$99:E121)=D$92,F121,D$92-SUM(E$99:E121))</f>
        <v>8282709.8116780911</v>
      </c>
      <c r="E122" s="378">
        <f>IF(+J96&lt;F121,J96,D122)</f>
        <v>389978.57613636367</v>
      </c>
      <c r="F122" s="55">
        <f t="shared" si="42"/>
        <v>7892731.2355417274</v>
      </c>
      <c r="G122" s="55">
        <f t="shared" si="43"/>
        <v>8087720.5236099092</v>
      </c>
      <c r="H122" s="380">
        <f t="shared" si="44"/>
        <v>1397112.8110917902</v>
      </c>
      <c r="I122" s="399">
        <f t="shared" si="45"/>
        <v>1397112.8110917902</v>
      </c>
      <c r="J122" s="54">
        <f t="shared" si="24"/>
        <v>0</v>
      </c>
      <c r="K122" s="54"/>
      <c r="L122" s="129"/>
      <c r="M122" s="54">
        <f t="shared" si="26"/>
        <v>0</v>
      </c>
      <c r="N122" s="129"/>
      <c r="O122" s="54">
        <f t="shared" si="28"/>
        <v>0</v>
      </c>
      <c r="P122" s="54">
        <f t="shared" si="29"/>
        <v>0</v>
      </c>
    </row>
    <row r="123" spans="2:16" ht="12.5">
      <c r="B123" s="7" t="str">
        <f t="shared" si="30"/>
        <v/>
      </c>
      <c r="C123" s="50">
        <f>IF(D93="","-",+C122+1)</f>
        <v>2041</v>
      </c>
      <c r="D123" s="12">
        <f>IF(F122+SUM(E$99:E122)=D$92,F122,D$92-SUM(E$99:E122))</f>
        <v>7892731.2355417274</v>
      </c>
      <c r="E123" s="378">
        <f>IF(+J96&lt;F122,J96,D123)</f>
        <v>389978.57613636367</v>
      </c>
      <c r="F123" s="55">
        <f t="shared" si="42"/>
        <v>7502752.6594053637</v>
      </c>
      <c r="G123" s="55">
        <f t="shared" si="43"/>
        <v>7697741.9474735456</v>
      </c>
      <c r="H123" s="380">
        <f t="shared" si="44"/>
        <v>1348550.2063653355</v>
      </c>
      <c r="I123" s="399">
        <f t="shared" si="45"/>
        <v>1348550.2063653355</v>
      </c>
      <c r="J123" s="54">
        <f t="shared" si="24"/>
        <v>0</v>
      </c>
      <c r="K123" s="54"/>
      <c r="L123" s="129"/>
      <c r="M123" s="54">
        <f t="shared" si="26"/>
        <v>0</v>
      </c>
      <c r="N123" s="129"/>
      <c r="O123" s="54">
        <f t="shared" si="28"/>
        <v>0</v>
      </c>
      <c r="P123" s="54">
        <f t="shared" si="29"/>
        <v>0</v>
      </c>
    </row>
    <row r="124" spans="2:16" ht="12.5">
      <c r="B124" s="7" t="str">
        <f t="shared" si="30"/>
        <v/>
      </c>
      <c r="C124" s="50">
        <f>IF(D93="","-",+C123+1)</f>
        <v>2042</v>
      </c>
      <c r="D124" s="12">
        <f>IF(F123+SUM(E$99:E123)=D$92,F123,D$92-SUM(E$99:E123))</f>
        <v>7502752.6594053637</v>
      </c>
      <c r="E124" s="378">
        <f>IF(+J96&lt;F123,J96,D124)</f>
        <v>389978.57613636367</v>
      </c>
      <c r="F124" s="55">
        <f t="shared" si="42"/>
        <v>7112774.0832690001</v>
      </c>
      <c r="G124" s="55">
        <f t="shared" si="43"/>
        <v>7307763.3713371819</v>
      </c>
      <c r="H124" s="380">
        <f t="shared" si="44"/>
        <v>1299987.6016388808</v>
      </c>
      <c r="I124" s="399">
        <f t="shared" si="45"/>
        <v>1299987.6016388808</v>
      </c>
      <c r="J124" s="54">
        <f t="shared" si="24"/>
        <v>0</v>
      </c>
      <c r="K124" s="54"/>
      <c r="L124" s="129"/>
      <c r="M124" s="54">
        <f t="shared" si="26"/>
        <v>0</v>
      </c>
      <c r="N124" s="129"/>
      <c r="O124" s="54">
        <f t="shared" si="28"/>
        <v>0</v>
      </c>
      <c r="P124" s="54">
        <f t="shared" si="29"/>
        <v>0</v>
      </c>
    </row>
    <row r="125" spans="2:16" ht="12.5">
      <c r="B125" s="7" t="str">
        <f t="shared" si="30"/>
        <v/>
      </c>
      <c r="C125" s="50">
        <f>IF(D93="","-",+C124+1)</f>
        <v>2043</v>
      </c>
      <c r="D125" s="12">
        <f>IF(F124+SUM(E$99:E124)=D$92,F124,D$92-SUM(E$99:E124))</f>
        <v>7112774.0832690001</v>
      </c>
      <c r="E125" s="378">
        <f>IF(+J96&lt;F124,J96,D125)</f>
        <v>389978.57613636367</v>
      </c>
      <c r="F125" s="55">
        <f t="shared" si="42"/>
        <v>6722795.5071326364</v>
      </c>
      <c r="G125" s="55">
        <f t="shared" si="43"/>
        <v>6917784.7952008182</v>
      </c>
      <c r="H125" s="380">
        <f t="shared" si="44"/>
        <v>1251424.9969124261</v>
      </c>
      <c r="I125" s="399">
        <f t="shared" si="45"/>
        <v>1251424.9969124261</v>
      </c>
      <c r="J125" s="54">
        <f t="shared" si="24"/>
        <v>0</v>
      </c>
      <c r="K125" s="54"/>
      <c r="L125" s="129"/>
      <c r="M125" s="54">
        <f t="shared" si="26"/>
        <v>0</v>
      </c>
      <c r="N125" s="129"/>
      <c r="O125" s="54">
        <f t="shared" si="28"/>
        <v>0</v>
      </c>
      <c r="P125" s="54">
        <f t="shared" si="29"/>
        <v>0</v>
      </c>
    </row>
    <row r="126" spans="2:16" ht="12.5">
      <c r="B126" s="7" t="str">
        <f t="shared" si="30"/>
        <v/>
      </c>
      <c r="C126" s="50">
        <f>IF(D93="","-",+C125+1)</f>
        <v>2044</v>
      </c>
      <c r="D126" s="12">
        <f>IF(F125+SUM(E$99:E125)=D$92,F125,D$92-SUM(E$99:E125))</f>
        <v>6722795.5071326364</v>
      </c>
      <c r="E126" s="378">
        <f>IF(+J96&lt;F125,J96,D126)</f>
        <v>389978.57613636367</v>
      </c>
      <c r="F126" s="55">
        <f t="shared" si="42"/>
        <v>6332816.9309962727</v>
      </c>
      <c r="G126" s="55">
        <f t="shared" si="43"/>
        <v>6527806.2190644545</v>
      </c>
      <c r="H126" s="380">
        <f t="shared" si="44"/>
        <v>1202862.3921859714</v>
      </c>
      <c r="I126" s="399">
        <f t="shared" si="45"/>
        <v>1202862.3921859714</v>
      </c>
      <c r="J126" s="54">
        <f t="shared" si="24"/>
        <v>0</v>
      </c>
      <c r="K126" s="54"/>
      <c r="L126" s="129"/>
      <c r="M126" s="54">
        <f t="shared" si="26"/>
        <v>0</v>
      </c>
      <c r="N126" s="129"/>
      <c r="O126" s="54">
        <f t="shared" si="28"/>
        <v>0</v>
      </c>
      <c r="P126" s="54">
        <f t="shared" si="29"/>
        <v>0</v>
      </c>
    </row>
    <row r="127" spans="2:16" ht="12.5">
      <c r="B127" s="7" t="str">
        <f t="shared" si="30"/>
        <v/>
      </c>
      <c r="C127" s="50">
        <f>IF(D93="","-",+C126+1)</f>
        <v>2045</v>
      </c>
      <c r="D127" s="12">
        <f>IF(F126+SUM(E$99:E126)=D$92,F126,D$92-SUM(E$99:E126))</f>
        <v>6332816.9309962727</v>
      </c>
      <c r="E127" s="378">
        <f>IF(+J96&lt;F126,J96,D127)</f>
        <v>389978.57613636367</v>
      </c>
      <c r="F127" s="55">
        <f t="shared" si="42"/>
        <v>5942838.354859909</v>
      </c>
      <c r="G127" s="55">
        <f t="shared" si="43"/>
        <v>6137827.6429280909</v>
      </c>
      <c r="H127" s="380">
        <f t="shared" si="44"/>
        <v>1154299.7874595169</v>
      </c>
      <c r="I127" s="399">
        <f t="shared" si="45"/>
        <v>1154299.7874595169</v>
      </c>
      <c r="J127" s="54">
        <f t="shared" si="24"/>
        <v>0</v>
      </c>
      <c r="K127" s="54"/>
      <c r="L127" s="129"/>
      <c r="M127" s="54">
        <f t="shared" si="26"/>
        <v>0</v>
      </c>
      <c r="N127" s="129"/>
      <c r="O127" s="54">
        <f t="shared" si="28"/>
        <v>0</v>
      </c>
      <c r="P127" s="54">
        <f t="shared" si="29"/>
        <v>0</v>
      </c>
    </row>
    <row r="128" spans="2:16" ht="12.5">
      <c r="B128" s="7" t="str">
        <f t="shared" si="30"/>
        <v/>
      </c>
      <c r="C128" s="50">
        <f>IF(D93="","-",+C127+1)</f>
        <v>2046</v>
      </c>
      <c r="D128" s="12">
        <f>IF(F127+SUM(E$99:E127)=D$92,F127,D$92-SUM(E$99:E127))</f>
        <v>5942838.354859909</v>
      </c>
      <c r="E128" s="378">
        <f>IF(+J96&lt;F127,J96,D128)</f>
        <v>389978.57613636367</v>
      </c>
      <c r="F128" s="55">
        <f t="shared" si="42"/>
        <v>5552859.7787235454</v>
      </c>
      <c r="G128" s="55">
        <f t="shared" si="43"/>
        <v>5747849.0667917272</v>
      </c>
      <c r="H128" s="380">
        <f t="shared" si="44"/>
        <v>1105737.1827330622</v>
      </c>
      <c r="I128" s="399">
        <f t="shared" si="45"/>
        <v>1105737.1827330622</v>
      </c>
      <c r="J128" s="54">
        <f t="shared" si="24"/>
        <v>0</v>
      </c>
      <c r="K128" s="54"/>
      <c r="L128" s="129"/>
      <c r="M128" s="54">
        <f t="shared" si="26"/>
        <v>0</v>
      </c>
      <c r="N128" s="129"/>
      <c r="O128" s="54">
        <f t="shared" si="28"/>
        <v>0</v>
      </c>
      <c r="P128" s="54">
        <f t="shared" si="29"/>
        <v>0</v>
      </c>
    </row>
    <row r="129" spans="2:16" ht="12.5">
      <c r="B129" s="7" t="str">
        <f t="shared" si="30"/>
        <v/>
      </c>
      <c r="C129" s="50">
        <f>IF(D93="","-",+C128+1)</f>
        <v>2047</v>
      </c>
      <c r="D129" s="12">
        <f>IF(F128+SUM(E$99:E128)=D$92,F128,D$92-SUM(E$99:E128))</f>
        <v>5552859.7787235454</v>
      </c>
      <c r="E129" s="378">
        <f>IF(+J96&lt;F128,J96,D129)</f>
        <v>389978.57613636367</v>
      </c>
      <c r="F129" s="55">
        <f t="shared" si="42"/>
        <v>5162881.2025871817</v>
      </c>
      <c r="G129" s="55">
        <f t="shared" si="43"/>
        <v>5357870.4906553635</v>
      </c>
      <c r="H129" s="380">
        <f t="shared" si="44"/>
        <v>1057174.5780066075</v>
      </c>
      <c r="I129" s="399">
        <f t="shared" si="45"/>
        <v>1057174.5780066075</v>
      </c>
      <c r="J129" s="54">
        <f t="shared" si="24"/>
        <v>0</v>
      </c>
      <c r="K129" s="54"/>
      <c r="L129" s="129"/>
      <c r="M129" s="54">
        <f t="shared" si="26"/>
        <v>0</v>
      </c>
      <c r="N129" s="129"/>
      <c r="O129" s="54">
        <f t="shared" si="28"/>
        <v>0</v>
      </c>
      <c r="P129" s="54">
        <f t="shared" si="29"/>
        <v>0</v>
      </c>
    </row>
    <row r="130" spans="2:16" ht="12.5">
      <c r="B130" s="7" t="str">
        <f t="shared" si="30"/>
        <v/>
      </c>
      <c r="C130" s="50">
        <f>IF(D93="","-",+C129+1)</f>
        <v>2048</v>
      </c>
      <c r="D130" s="12">
        <f>IF(F129+SUM(E$99:E129)=D$92,F129,D$92-SUM(E$99:E129))</f>
        <v>5162881.2025871817</v>
      </c>
      <c r="E130" s="378">
        <f>IF(+J96&lt;F129,J96,D130)</f>
        <v>389978.57613636367</v>
      </c>
      <c r="F130" s="55">
        <f t="shared" si="42"/>
        <v>4772902.626450818</v>
      </c>
      <c r="G130" s="55">
        <f t="shared" si="43"/>
        <v>4967891.9145189999</v>
      </c>
      <c r="H130" s="380">
        <f t="shared" si="44"/>
        <v>1008611.9732801527</v>
      </c>
      <c r="I130" s="399">
        <f t="shared" si="45"/>
        <v>1008611.9732801527</v>
      </c>
      <c r="J130" s="54">
        <f t="shared" si="24"/>
        <v>0</v>
      </c>
      <c r="K130" s="54"/>
      <c r="L130" s="129"/>
      <c r="M130" s="54">
        <f t="shared" si="26"/>
        <v>0</v>
      </c>
      <c r="N130" s="129"/>
      <c r="O130" s="54">
        <f t="shared" si="28"/>
        <v>0</v>
      </c>
      <c r="P130" s="54">
        <f t="shared" si="29"/>
        <v>0</v>
      </c>
    </row>
    <row r="131" spans="2:16" ht="12.5">
      <c r="B131" s="7" t="str">
        <f t="shared" si="30"/>
        <v/>
      </c>
      <c r="C131" s="50">
        <f>IF(D93="","-",+C130+1)</f>
        <v>2049</v>
      </c>
      <c r="D131" s="12">
        <f>IF(F130+SUM(E$99:E130)=D$92,F130,D$92-SUM(E$99:E130))</f>
        <v>4772902.626450818</v>
      </c>
      <c r="E131" s="378">
        <f>IF(+J96&lt;F130,J96,D131)</f>
        <v>389978.57613636367</v>
      </c>
      <c r="F131" s="55">
        <f t="shared" ref="F131:F154" si="46">+D131-E131</f>
        <v>4382924.0503144544</v>
      </c>
      <c r="G131" s="55">
        <f t="shared" ref="G131:G154" si="47">+(F131+D131)/2</f>
        <v>4577913.3383826362</v>
      </c>
      <c r="H131" s="380">
        <f t="shared" si="44"/>
        <v>960049.36855369795</v>
      </c>
      <c r="I131" s="399">
        <f t="shared" si="45"/>
        <v>960049.36855369795</v>
      </c>
      <c r="J131" s="54">
        <f t="shared" ref="J131:J154" si="48">+I541-H541</f>
        <v>0</v>
      </c>
      <c r="K131" s="54"/>
      <c r="L131" s="129"/>
      <c r="M131" s="54">
        <f t="shared" ref="M131:M154" si="49">IF(L541&lt;&gt;0,+H541-L541,0)</f>
        <v>0</v>
      </c>
      <c r="N131" s="129"/>
      <c r="O131" s="54">
        <f t="shared" ref="O131:O154" si="50">IF(N541&lt;&gt;0,+I541-N541,0)</f>
        <v>0</v>
      </c>
      <c r="P131" s="54">
        <f t="shared" ref="P131:P154" si="51">+O541-M541</f>
        <v>0</v>
      </c>
    </row>
    <row r="132" spans="2:16" ht="12.5">
      <c r="B132" s="7" t="str">
        <f t="shared" si="30"/>
        <v/>
      </c>
      <c r="C132" s="50">
        <f>IF(D93="","-",+C131+1)</f>
        <v>2050</v>
      </c>
      <c r="D132" s="12">
        <f>IF(F131+SUM(E$99:E131)=D$92,F131,D$92-SUM(E$99:E131))</f>
        <v>4382924.0503144544</v>
      </c>
      <c r="E132" s="378">
        <f>IF(+J96&lt;F131,J96,D132)</f>
        <v>389978.57613636367</v>
      </c>
      <c r="F132" s="55">
        <f t="shared" si="46"/>
        <v>3992945.4741780907</v>
      </c>
      <c r="G132" s="55">
        <f t="shared" si="47"/>
        <v>4187934.7622462725</v>
      </c>
      <c r="H132" s="380">
        <f t="shared" si="44"/>
        <v>911486.76382724335</v>
      </c>
      <c r="I132" s="399">
        <f t="shared" si="45"/>
        <v>911486.76382724335</v>
      </c>
      <c r="J132" s="54">
        <f t="shared" si="48"/>
        <v>0</v>
      </c>
      <c r="K132" s="54"/>
      <c r="L132" s="129"/>
      <c r="M132" s="54">
        <f t="shared" si="49"/>
        <v>0</v>
      </c>
      <c r="N132" s="129"/>
      <c r="O132" s="54">
        <f t="shared" si="50"/>
        <v>0</v>
      </c>
      <c r="P132" s="54">
        <f t="shared" si="51"/>
        <v>0</v>
      </c>
    </row>
    <row r="133" spans="2:16" ht="12.5">
      <c r="B133" s="7" t="str">
        <f t="shared" si="30"/>
        <v/>
      </c>
      <c r="C133" s="50">
        <f>IF(D93="","-",+C132+1)</f>
        <v>2051</v>
      </c>
      <c r="D133" s="12">
        <f>IF(F132+SUM(E$99:E132)=D$92,F132,D$92-SUM(E$99:E132))</f>
        <v>3992945.4741780907</v>
      </c>
      <c r="E133" s="378">
        <f>IF(+J96&lt;F132,J96,D133)</f>
        <v>389978.57613636367</v>
      </c>
      <c r="F133" s="55">
        <f t="shared" si="46"/>
        <v>3602966.898041727</v>
      </c>
      <c r="G133" s="55">
        <f t="shared" si="47"/>
        <v>3797956.1861099089</v>
      </c>
      <c r="H133" s="380">
        <f t="shared" si="44"/>
        <v>862924.15910078865</v>
      </c>
      <c r="I133" s="399">
        <f t="shared" si="45"/>
        <v>862924.15910078865</v>
      </c>
      <c r="J133" s="54">
        <f t="shared" si="48"/>
        <v>0</v>
      </c>
      <c r="K133" s="54"/>
      <c r="L133" s="129"/>
      <c r="M133" s="54">
        <f t="shared" si="49"/>
        <v>0</v>
      </c>
      <c r="N133" s="129"/>
      <c r="O133" s="54">
        <f t="shared" si="50"/>
        <v>0</v>
      </c>
      <c r="P133" s="54">
        <f t="shared" si="51"/>
        <v>0</v>
      </c>
    </row>
    <row r="134" spans="2:16" ht="12.5">
      <c r="B134" s="7" t="str">
        <f t="shared" si="30"/>
        <v/>
      </c>
      <c r="C134" s="50">
        <f>IF(D93="","-",+C133+1)</f>
        <v>2052</v>
      </c>
      <c r="D134" s="12">
        <f>IF(F133+SUM(E$99:E133)=D$92,F133,D$92-SUM(E$99:E133))</f>
        <v>3602966.898041727</v>
      </c>
      <c r="E134" s="378">
        <f>IF(+J96&lt;F133,J96,D134)</f>
        <v>389978.57613636367</v>
      </c>
      <c r="F134" s="55">
        <f t="shared" si="46"/>
        <v>3212988.3219053634</v>
      </c>
      <c r="G134" s="55">
        <f t="shared" si="47"/>
        <v>3407977.6099735452</v>
      </c>
      <c r="H134" s="380">
        <f t="shared" si="44"/>
        <v>814361.55437433394</v>
      </c>
      <c r="I134" s="399">
        <f t="shared" si="45"/>
        <v>814361.55437433394</v>
      </c>
      <c r="J134" s="54">
        <f t="shared" si="48"/>
        <v>0</v>
      </c>
      <c r="K134" s="54"/>
      <c r="L134" s="129"/>
      <c r="M134" s="54">
        <f t="shared" si="49"/>
        <v>0</v>
      </c>
      <c r="N134" s="129"/>
      <c r="O134" s="54">
        <f t="shared" si="50"/>
        <v>0</v>
      </c>
      <c r="P134" s="54">
        <f t="shared" si="51"/>
        <v>0</v>
      </c>
    </row>
    <row r="135" spans="2:16" ht="12.5">
      <c r="B135" s="7" t="str">
        <f t="shared" si="30"/>
        <v/>
      </c>
      <c r="C135" s="50">
        <f>IF(D93="","-",+C134+1)</f>
        <v>2053</v>
      </c>
      <c r="D135" s="12">
        <f>IF(F134+SUM(E$99:E134)=D$92,F134,D$92-SUM(E$99:E134))</f>
        <v>3212988.3219053634</v>
      </c>
      <c r="E135" s="378">
        <f>IF(+J96&lt;F134,J96,D135)</f>
        <v>389978.57613636367</v>
      </c>
      <c r="F135" s="55">
        <f t="shared" si="46"/>
        <v>2823009.7457689997</v>
      </c>
      <c r="G135" s="55">
        <f t="shared" si="47"/>
        <v>3017999.0338371815</v>
      </c>
      <c r="H135" s="380">
        <f t="shared" si="44"/>
        <v>765798.94964787923</v>
      </c>
      <c r="I135" s="399">
        <f t="shared" si="45"/>
        <v>765798.94964787923</v>
      </c>
      <c r="J135" s="54">
        <f t="shared" si="48"/>
        <v>0</v>
      </c>
      <c r="K135" s="54"/>
      <c r="L135" s="129"/>
      <c r="M135" s="54">
        <f t="shared" si="49"/>
        <v>0</v>
      </c>
      <c r="N135" s="129"/>
      <c r="O135" s="54">
        <f t="shared" si="50"/>
        <v>0</v>
      </c>
      <c r="P135" s="54">
        <f t="shared" si="51"/>
        <v>0</v>
      </c>
    </row>
    <row r="136" spans="2:16" ht="12.5">
      <c r="B136" s="7" t="str">
        <f t="shared" si="30"/>
        <v/>
      </c>
      <c r="C136" s="50">
        <f>IF(D93="","-",+C135+1)</f>
        <v>2054</v>
      </c>
      <c r="D136" s="12">
        <f>IF(F135+SUM(E$99:E135)=D$92,F135,D$92-SUM(E$99:E135))</f>
        <v>2823009.7457689997</v>
      </c>
      <c r="E136" s="378">
        <f>IF(+J96&lt;F135,J96,D136)</f>
        <v>389978.57613636367</v>
      </c>
      <c r="F136" s="55">
        <f t="shared" si="46"/>
        <v>2433031.169632636</v>
      </c>
      <c r="G136" s="55">
        <f t="shared" si="47"/>
        <v>2628020.4577008178</v>
      </c>
      <c r="H136" s="380">
        <f t="shared" si="44"/>
        <v>717236.34492142452</v>
      </c>
      <c r="I136" s="399">
        <f t="shared" si="45"/>
        <v>717236.34492142452</v>
      </c>
      <c r="J136" s="54">
        <f t="shared" si="48"/>
        <v>0</v>
      </c>
      <c r="K136" s="54"/>
      <c r="L136" s="129"/>
      <c r="M136" s="54">
        <f t="shared" si="49"/>
        <v>0</v>
      </c>
      <c r="N136" s="129"/>
      <c r="O136" s="54">
        <f t="shared" si="50"/>
        <v>0</v>
      </c>
      <c r="P136" s="54">
        <f t="shared" si="51"/>
        <v>0</v>
      </c>
    </row>
    <row r="137" spans="2:16" ht="12.5">
      <c r="B137" s="7" t="str">
        <f t="shared" si="30"/>
        <v/>
      </c>
      <c r="C137" s="50">
        <f>IF(D93="","-",+C136+1)</f>
        <v>2055</v>
      </c>
      <c r="D137" s="12">
        <f>IF(F136+SUM(E$99:E136)=D$92,F136,D$92-SUM(E$99:E136))</f>
        <v>2433031.169632636</v>
      </c>
      <c r="E137" s="378">
        <f>IF(+J96&lt;F136,J96,D137)</f>
        <v>389978.57613636367</v>
      </c>
      <c r="F137" s="55">
        <f t="shared" si="46"/>
        <v>2043052.5934962723</v>
      </c>
      <c r="G137" s="55">
        <f t="shared" si="47"/>
        <v>2238041.8815644542</v>
      </c>
      <c r="H137" s="380">
        <f t="shared" si="44"/>
        <v>668673.74019496981</v>
      </c>
      <c r="I137" s="399">
        <f t="shared" si="45"/>
        <v>668673.74019496981</v>
      </c>
      <c r="J137" s="54">
        <f t="shared" si="48"/>
        <v>0</v>
      </c>
      <c r="K137" s="54"/>
      <c r="L137" s="129"/>
      <c r="M137" s="54">
        <f t="shared" si="49"/>
        <v>0</v>
      </c>
      <c r="N137" s="129"/>
      <c r="O137" s="54">
        <f t="shared" si="50"/>
        <v>0</v>
      </c>
      <c r="P137" s="54">
        <f t="shared" si="51"/>
        <v>0</v>
      </c>
    </row>
    <row r="138" spans="2:16" ht="12.5">
      <c r="B138" s="7" t="str">
        <f t="shared" si="30"/>
        <v/>
      </c>
      <c r="C138" s="50">
        <f>IF(D93="","-",+C137+1)</f>
        <v>2056</v>
      </c>
      <c r="D138" s="12">
        <f>IF(F137+SUM(E$99:E137)=D$92,F137,D$92-SUM(E$99:E137))</f>
        <v>2043052.5934962723</v>
      </c>
      <c r="E138" s="378">
        <f>IF(+J96&lt;F137,J96,D138)</f>
        <v>389978.57613636367</v>
      </c>
      <c r="F138" s="55">
        <f t="shared" si="46"/>
        <v>1653074.0173599087</v>
      </c>
      <c r="G138" s="55">
        <f t="shared" si="47"/>
        <v>1848063.3054280905</v>
      </c>
      <c r="H138" s="380">
        <f t="shared" si="44"/>
        <v>620111.1354685151</v>
      </c>
      <c r="I138" s="399">
        <f t="shared" si="45"/>
        <v>620111.1354685151</v>
      </c>
      <c r="J138" s="54">
        <f t="shared" si="48"/>
        <v>0</v>
      </c>
      <c r="K138" s="54"/>
      <c r="L138" s="129"/>
      <c r="M138" s="54">
        <f t="shared" si="49"/>
        <v>0</v>
      </c>
      <c r="N138" s="129"/>
      <c r="O138" s="54">
        <f t="shared" si="50"/>
        <v>0</v>
      </c>
      <c r="P138" s="54">
        <f t="shared" si="51"/>
        <v>0</v>
      </c>
    </row>
    <row r="139" spans="2:16" ht="12.5">
      <c r="B139" s="7" t="str">
        <f t="shared" si="30"/>
        <v/>
      </c>
      <c r="C139" s="50">
        <f>IF(D93="","-",+C138+1)</f>
        <v>2057</v>
      </c>
      <c r="D139" s="12">
        <f>IF(F138+SUM(E$99:E138)=D$92,F138,D$92-SUM(E$99:E138))</f>
        <v>1653074.0173599087</v>
      </c>
      <c r="E139" s="378">
        <f>IF(+J96&lt;F138,J96,D139)</f>
        <v>389978.57613636367</v>
      </c>
      <c r="F139" s="55">
        <f t="shared" si="46"/>
        <v>1263095.441223545</v>
      </c>
      <c r="G139" s="55">
        <f t="shared" si="47"/>
        <v>1458084.7292917268</v>
      </c>
      <c r="H139" s="380">
        <f t="shared" si="44"/>
        <v>571548.53074206039</v>
      </c>
      <c r="I139" s="399">
        <f t="shared" si="45"/>
        <v>571548.53074206039</v>
      </c>
      <c r="J139" s="54">
        <f t="shared" si="48"/>
        <v>0</v>
      </c>
      <c r="K139" s="54"/>
      <c r="L139" s="129"/>
      <c r="M139" s="54">
        <f t="shared" si="49"/>
        <v>0</v>
      </c>
      <c r="N139" s="129"/>
      <c r="O139" s="54">
        <f t="shared" si="50"/>
        <v>0</v>
      </c>
      <c r="P139" s="54">
        <f t="shared" si="51"/>
        <v>0</v>
      </c>
    </row>
    <row r="140" spans="2:16" ht="12.5">
      <c r="B140" s="7" t="str">
        <f t="shared" si="30"/>
        <v/>
      </c>
      <c r="C140" s="50">
        <f>IF(D93="","-",+C139+1)</f>
        <v>2058</v>
      </c>
      <c r="D140" s="12">
        <f>IF(F139+SUM(E$99:E139)=D$92,F139,D$92-SUM(E$99:E139))</f>
        <v>1263095.441223545</v>
      </c>
      <c r="E140" s="378">
        <f>IF(+J96&lt;F139,J96,D140)</f>
        <v>389978.57613636367</v>
      </c>
      <c r="F140" s="55">
        <f t="shared" si="46"/>
        <v>873116.86508718133</v>
      </c>
      <c r="G140" s="55">
        <f t="shared" si="47"/>
        <v>1068106.1531553632</v>
      </c>
      <c r="H140" s="380">
        <f t="shared" si="44"/>
        <v>522985.9260156058</v>
      </c>
      <c r="I140" s="399">
        <f t="shared" si="45"/>
        <v>522985.9260156058</v>
      </c>
      <c r="J140" s="54">
        <f t="shared" si="48"/>
        <v>0</v>
      </c>
      <c r="K140" s="54"/>
      <c r="L140" s="129"/>
      <c r="M140" s="54">
        <f t="shared" si="49"/>
        <v>0</v>
      </c>
      <c r="N140" s="129"/>
      <c r="O140" s="54">
        <f t="shared" si="50"/>
        <v>0</v>
      </c>
      <c r="P140" s="54">
        <f t="shared" si="51"/>
        <v>0</v>
      </c>
    </row>
    <row r="141" spans="2:16" ht="12.5">
      <c r="B141" s="7" t="str">
        <f t="shared" si="30"/>
        <v/>
      </c>
      <c r="C141" s="50">
        <f>IF(D93="","-",+C140+1)</f>
        <v>2059</v>
      </c>
      <c r="D141" s="12">
        <f>IF(F140+SUM(E$99:E140)=D$92,F140,D$92-SUM(E$99:E140))</f>
        <v>873116.86508718133</v>
      </c>
      <c r="E141" s="378">
        <f>IF(+J96&lt;F140,J96,D141)</f>
        <v>389978.57613636367</v>
      </c>
      <c r="F141" s="55">
        <f t="shared" si="46"/>
        <v>483138.28895081766</v>
      </c>
      <c r="G141" s="55">
        <f t="shared" si="47"/>
        <v>678127.57701899949</v>
      </c>
      <c r="H141" s="380">
        <f t="shared" si="44"/>
        <v>474423.32128915109</v>
      </c>
      <c r="I141" s="399">
        <f t="shared" si="45"/>
        <v>474423.32128915109</v>
      </c>
      <c r="J141" s="54">
        <f t="shared" si="48"/>
        <v>0</v>
      </c>
      <c r="K141" s="54"/>
      <c r="L141" s="129"/>
      <c r="M141" s="54">
        <f t="shared" si="49"/>
        <v>0</v>
      </c>
      <c r="N141" s="129"/>
      <c r="O141" s="54">
        <f t="shared" si="50"/>
        <v>0</v>
      </c>
      <c r="P141" s="54">
        <f t="shared" si="51"/>
        <v>0</v>
      </c>
    </row>
    <row r="142" spans="2:16" ht="12.5">
      <c r="B142" s="7" t="str">
        <f t="shared" si="30"/>
        <v/>
      </c>
      <c r="C142" s="50">
        <f>IF(D93="","-",+C141+1)</f>
        <v>2060</v>
      </c>
      <c r="D142" s="12">
        <f>IF(F141+SUM(E$99:E141)=D$92,F141,D$92-SUM(E$99:E141))</f>
        <v>483138.28895081766</v>
      </c>
      <c r="E142" s="378">
        <f>IF(+J96&lt;F141,J96,D142)</f>
        <v>389978.57613636367</v>
      </c>
      <c r="F142" s="55">
        <f t="shared" si="46"/>
        <v>93159.712814453989</v>
      </c>
      <c r="G142" s="55">
        <f t="shared" si="47"/>
        <v>288149.00088263582</v>
      </c>
      <c r="H142" s="380">
        <f t="shared" si="44"/>
        <v>425860.71656269638</v>
      </c>
      <c r="I142" s="399">
        <f t="shared" si="45"/>
        <v>425860.71656269638</v>
      </c>
      <c r="J142" s="54">
        <f t="shared" si="48"/>
        <v>0</v>
      </c>
      <c r="K142" s="54"/>
      <c r="L142" s="129"/>
      <c r="M142" s="54">
        <f t="shared" si="49"/>
        <v>0</v>
      </c>
      <c r="N142" s="129"/>
      <c r="O142" s="54">
        <f t="shared" si="50"/>
        <v>0</v>
      </c>
      <c r="P142" s="54">
        <f t="shared" si="51"/>
        <v>0</v>
      </c>
    </row>
    <row r="143" spans="2:16" ht="12.5">
      <c r="B143" s="7" t="str">
        <f t="shared" si="30"/>
        <v/>
      </c>
      <c r="C143" s="50">
        <f>IF(D93="","-",+C142+1)</f>
        <v>2061</v>
      </c>
      <c r="D143" s="12">
        <f>IF(F142+SUM(E$99:E142)=D$92,F142,D$92-SUM(E$99:E142))</f>
        <v>93159.712814453989</v>
      </c>
      <c r="E143" s="378">
        <f>IF(+J96&lt;F142,J96,D143)</f>
        <v>93159.712814453989</v>
      </c>
      <c r="F143" s="55">
        <f t="shared" si="46"/>
        <v>0</v>
      </c>
      <c r="G143" s="55">
        <f t="shared" si="47"/>
        <v>46579.856407226995</v>
      </c>
      <c r="H143" s="380">
        <f t="shared" si="44"/>
        <v>98960.131846006683</v>
      </c>
      <c r="I143" s="399">
        <f t="shared" si="45"/>
        <v>98960.131846006683</v>
      </c>
      <c r="J143" s="54">
        <f t="shared" si="48"/>
        <v>0</v>
      </c>
      <c r="K143" s="54"/>
      <c r="L143" s="129"/>
      <c r="M143" s="54">
        <f t="shared" si="49"/>
        <v>0</v>
      </c>
      <c r="N143" s="129"/>
      <c r="O143" s="54">
        <f t="shared" si="50"/>
        <v>0</v>
      </c>
      <c r="P143" s="54">
        <f t="shared" si="51"/>
        <v>0</v>
      </c>
    </row>
    <row r="144" spans="2:16" ht="12.5">
      <c r="B144" s="7" t="str">
        <f t="shared" si="30"/>
        <v/>
      </c>
      <c r="C144" s="50">
        <f>IF(D93="","-",+C143+1)</f>
        <v>2062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46"/>
        <v>0</v>
      </c>
      <c r="G144" s="55">
        <f t="shared" si="47"/>
        <v>0</v>
      </c>
      <c r="H144" s="380">
        <f t="shared" si="44"/>
        <v>0</v>
      </c>
      <c r="I144" s="399">
        <f t="shared" si="45"/>
        <v>0</v>
      </c>
      <c r="J144" s="54">
        <f t="shared" si="48"/>
        <v>0</v>
      </c>
      <c r="K144" s="54"/>
      <c r="L144" s="129"/>
      <c r="M144" s="54">
        <f t="shared" si="49"/>
        <v>0</v>
      </c>
      <c r="N144" s="129"/>
      <c r="O144" s="54">
        <f t="shared" si="50"/>
        <v>0</v>
      </c>
      <c r="P144" s="54">
        <f t="shared" si="51"/>
        <v>0</v>
      </c>
    </row>
    <row r="145" spans="2:16" ht="12.5">
      <c r="B145" s="7" t="str">
        <f t="shared" si="30"/>
        <v/>
      </c>
      <c r="C145" s="50">
        <f>IF(D93="","-",+C144+1)</f>
        <v>2063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46"/>
        <v>0</v>
      </c>
      <c r="G145" s="55">
        <f t="shared" si="47"/>
        <v>0</v>
      </c>
      <c r="H145" s="380">
        <f t="shared" si="44"/>
        <v>0</v>
      </c>
      <c r="I145" s="399">
        <f t="shared" si="45"/>
        <v>0</v>
      </c>
      <c r="J145" s="54">
        <f t="shared" si="48"/>
        <v>0</v>
      </c>
      <c r="K145" s="54"/>
      <c r="L145" s="129"/>
      <c r="M145" s="54">
        <f t="shared" si="49"/>
        <v>0</v>
      </c>
      <c r="N145" s="129"/>
      <c r="O145" s="54">
        <f t="shared" si="50"/>
        <v>0</v>
      </c>
      <c r="P145" s="54">
        <f t="shared" si="51"/>
        <v>0</v>
      </c>
    </row>
    <row r="146" spans="2:16" ht="12.5">
      <c r="B146" s="7" t="str">
        <f t="shared" si="30"/>
        <v/>
      </c>
      <c r="C146" s="50">
        <f>IF(D93="","-",+C145+1)</f>
        <v>2064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46"/>
        <v>0</v>
      </c>
      <c r="G146" s="55">
        <f t="shared" si="47"/>
        <v>0</v>
      </c>
      <c r="H146" s="380">
        <f t="shared" si="44"/>
        <v>0</v>
      </c>
      <c r="I146" s="399">
        <f t="shared" si="45"/>
        <v>0</v>
      </c>
      <c r="J146" s="54">
        <f t="shared" si="48"/>
        <v>0</v>
      </c>
      <c r="K146" s="54"/>
      <c r="L146" s="129"/>
      <c r="M146" s="54">
        <f t="shared" si="49"/>
        <v>0</v>
      </c>
      <c r="N146" s="129"/>
      <c r="O146" s="54">
        <f t="shared" si="50"/>
        <v>0</v>
      </c>
      <c r="P146" s="54">
        <f t="shared" si="51"/>
        <v>0</v>
      </c>
    </row>
    <row r="147" spans="2:16" ht="12.5">
      <c r="B147" s="7" t="str">
        <f t="shared" si="30"/>
        <v/>
      </c>
      <c r="C147" s="50">
        <f>IF(D93="","-",+C146+1)</f>
        <v>2065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46"/>
        <v>0</v>
      </c>
      <c r="G147" s="55">
        <f t="shared" si="47"/>
        <v>0</v>
      </c>
      <c r="H147" s="380">
        <f t="shared" si="44"/>
        <v>0</v>
      </c>
      <c r="I147" s="399">
        <f t="shared" si="45"/>
        <v>0</v>
      </c>
      <c r="J147" s="54">
        <f t="shared" si="48"/>
        <v>0</v>
      </c>
      <c r="K147" s="54"/>
      <c r="L147" s="129"/>
      <c r="M147" s="54">
        <f t="shared" si="49"/>
        <v>0</v>
      </c>
      <c r="N147" s="129"/>
      <c r="O147" s="54">
        <f t="shared" si="50"/>
        <v>0</v>
      </c>
      <c r="P147" s="54">
        <f t="shared" si="51"/>
        <v>0</v>
      </c>
    </row>
    <row r="148" spans="2:16" ht="12.5">
      <c r="B148" s="7" t="str">
        <f t="shared" si="30"/>
        <v/>
      </c>
      <c r="C148" s="50">
        <f>IF(D93="","-",+C147+1)</f>
        <v>2066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46"/>
        <v>0</v>
      </c>
      <c r="G148" s="55">
        <f t="shared" si="47"/>
        <v>0</v>
      </c>
      <c r="H148" s="380">
        <f t="shared" si="44"/>
        <v>0</v>
      </c>
      <c r="I148" s="399">
        <f t="shared" si="45"/>
        <v>0</v>
      </c>
      <c r="J148" s="54">
        <f t="shared" si="48"/>
        <v>0</v>
      </c>
      <c r="K148" s="54"/>
      <c r="L148" s="129"/>
      <c r="M148" s="54">
        <f t="shared" si="49"/>
        <v>0</v>
      </c>
      <c r="N148" s="129"/>
      <c r="O148" s="54">
        <f t="shared" si="50"/>
        <v>0</v>
      </c>
      <c r="P148" s="54">
        <f t="shared" si="51"/>
        <v>0</v>
      </c>
    </row>
    <row r="149" spans="2:16" ht="12.5">
      <c r="B149" s="7" t="str">
        <f t="shared" si="30"/>
        <v/>
      </c>
      <c r="C149" s="50">
        <f>IF(D93="","-",+C148+1)</f>
        <v>2067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46"/>
        <v>0</v>
      </c>
      <c r="G149" s="55">
        <f t="shared" si="47"/>
        <v>0</v>
      </c>
      <c r="H149" s="380">
        <f t="shared" si="44"/>
        <v>0</v>
      </c>
      <c r="I149" s="399">
        <f t="shared" si="45"/>
        <v>0</v>
      </c>
      <c r="J149" s="54">
        <f t="shared" si="48"/>
        <v>0</v>
      </c>
      <c r="K149" s="54"/>
      <c r="L149" s="129"/>
      <c r="M149" s="54">
        <f t="shared" si="49"/>
        <v>0</v>
      </c>
      <c r="N149" s="129"/>
      <c r="O149" s="54">
        <f t="shared" si="50"/>
        <v>0</v>
      </c>
      <c r="P149" s="54">
        <f t="shared" si="51"/>
        <v>0</v>
      </c>
    </row>
    <row r="150" spans="2:16" ht="12.5">
      <c r="B150" s="7" t="str">
        <f t="shared" si="30"/>
        <v/>
      </c>
      <c r="C150" s="50">
        <f>IF(D93="","-",+C149+1)</f>
        <v>2068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46"/>
        <v>0</v>
      </c>
      <c r="G150" s="55">
        <f t="shared" si="47"/>
        <v>0</v>
      </c>
      <c r="H150" s="380">
        <f t="shared" si="44"/>
        <v>0</v>
      </c>
      <c r="I150" s="399">
        <f t="shared" si="45"/>
        <v>0</v>
      </c>
      <c r="J150" s="54">
        <f t="shared" si="48"/>
        <v>0</v>
      </c>
      <c r="K150" s="54"/>
      <c r="L150" s="129"/>
      <c r="M150" s="54">
        <f t="shared" si="49"/>
        <v>0</v>
      </c>
      <c r="N150" s="129"/>
      <c r="O150" s="54">
        <f t="shared" si="50"/>
        <v>0</v>
      </c>
      <c r="P150" s="54">
        <f t="shared" si="51"/>
        <v>0</v>
      </c>
    </row>
    <row r="151" spans="2:16" ht="12.5">
      <c r="B151" s="7" t="str">
        <f t="shared" si="30"/>
        <v/>
      </c>
      <c r="C151" s="50">
        <f>IF(D93="","-",+C150+1)</f>
        <v>2069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46"/>
        <v>0</v>
      </c>
      <c r="G151" s="55">
        <f t="shared" si="47"/>
        <v>0</v>
      </c>
      <c r="H151" s="380">
        <f t="shared" si="44"/>
        <v>0</v>
      </c>
      <c r="I151" s="399">
        <f t="shared" si="45"/>
        <v>0</v>
      </c>
      <c r="J151" s="54">
        <f t="shared" si="48"/>
        <v>0</v>
      </c>
      <c r="K151" s="54"/>
      <c r="L151" s="129"/>
      <c r="M151" s="54">
        <f t="shared" si="49"/>
        <v>0</v>
      </c>
      <c r="N151" s="129"/>
      <c r="O151" s="54">
        <f t="shared" si="50"/>
        <v>0</v>
      </c>
      <c r="P151" s="54">
        <f t="shared" si="51"/>
        <v>0</v>
      </c>
    </row>
    <row r="152" spans="2:16" ht="12.5">
      <c r="B152" s="7" t="str">
        <f t="shared" si="30"/>
        <v/>
      </c>
      <c r="C152" s="50">
        <f>IF(D93="","-",+C151+1)</f>
        <v>2070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46"/>
        <v>0</v>
      </c>
      <c r="G152" s="55">
        <f t="shared" si="47"/>
        <v>0</v>
      </c>
      <c r="H152" s="380">
        <f t="shared" si="44"/>
        <v>0</v>
      </c>
      <c r="I152" s="399">
        <f t="shared" si="45"/>
        <v>0</v>
      </c>
      <c r="J152" s="54">
        <f t="shared" si="48"/>
        <v>0</v>
      </c>
      <c r="K152" s="54"/>
      <c r="L152" s="129"/>
      <c r="M152" s="54">
        <f t="shared" si="49"/>
        <v>0</v>
      </c>
      <c r="N152" s="129"/>
      <c r="O152" s="54">
        <f t="shared" si="50"/>
        <v>0</v>
      </c>
      <c r="P152" s="54">
        <f t="shared" si="51"/>
        <v>0</v>
      </c>
    </row>
    <row r="153" spans="2:16" ht="12.5">
      <c r="B153" s="7" t="str">
        <f t="shared" si="30"/>
        <v/>
      </c>
      <c r="C153" s="50">
        <f>IF(D93="","-",+C152+1)</f>
        <v>2071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46"/>
        <v>0</v>
      </c>
      <c r="G153" s="55">
        <f t="shared" si="47"/>
        <v>0</v>
      </c>
      <c r="H153" s="380">
        <f t="shared" si="44"/>
        <v>0</v>
      </c>
      <c r="I153" s="399">
        <f t="shared" si="45"/>
        <v>0</v>
      </c>
      <c r="J153" s="54">
        <f t="shared" si="48"/>
        <v>0</v>
      </c>
      <c r="K153" s="54"/>
      <c r="L153" s="129"/>
      <c r="M153" s="54">
        <f t="shared" si="49"/>
        <v>0</v>
      </c>
      <c r="N153" s="129"/>
      <c r="O153" s="54">
        <f t="shared" si="50"/>
        <v>0</v>
      </c>
      <c r="P153" s="54">
        <f t="shared" si="51"/>
        <v>0</v>
      </c>
    </row>
    <row r="154" spans="2:16" ht="13" thickBot="1">
      <c r="B154" s="7" t="str">
        <f t="shared" si="30"/>
        <v/>
      </c>
      <c r="C154" s="59">
        <f>IF(D93="","-",+C153+1)</f>
        <v>2072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46"/>
        <v>0</v>
      </c>
      <c r="G154" s="60">
        <f t="shared" si="47"/>
        <v>0</v>
      </c>
      <c r="H154" s="382">
        <f t="shared" si="44"/>
        <v>0</v>
      </c>
      <c r="I154" s="400">
        <f t="shared" si="45"/>
        <v>0</v>
      </c>
      <c r="J154" s="64">
        <f t="shared" si="48"/>
        <v>0</v>
      </c>
      <c r="K154" s="54"/>
      <c r="L154" s="130"/>
      <c r="M154" s="64">
        <f t="shared" si="49"/>
        <v>0</v>
      </c>
      <c r="N154" s="130"/>
      <c r="O154" s="64">
        <f t="shared" si="50"/>
        <v>0</v>
      </c>
      <c r="P154" s="64">
        <f t="shared" si="51"/>
        <v>0</v>
      </c>
    </row>
    <row r="155" spans="2:16" ht="12.5">
      <c r="C155" s="12" t="s">
        <v>78</v>
      </c>
      <c r="D155" s="293"/>
      <c r="E155" s="293">
        <f>SUM(E99:E154)</f>
        <v>17159057.350000001</v>
      </c>
      <c r="F155" s="293"/>
      <c r="G155" s="293"/>
      <c r="H155" s="293">
        <f>SUM(H99:H154)</f>
        <v>62449109.935149603</v>
      </c>
      <c r="I155" s="293">
        <f>SUM(I99:I154)</f>
        <v>62449109.935149603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 ht="12.5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 ht="13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29" priority="1" stopIfTrue="1" operator="equal">
      <formula>$I$10</formula>
    </cfRule>
  </conditionalFormatting>
  <conditionalFormatting sqref="C99:C154">
    <cfRule type="cellIs" dxfId="28" priority="3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14"/>
  <dimension ref="A1:P162"/>
  <sheetViews>
    <sheetView topLeftCell="A77" zoomScaleNormal="100" zoomScaleSheetLayoutView="80" workbookViewId="0">
      <selection activeCell="D24" sqref="D24:H24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65 of 77</v>
      </c>
    </row>
    <row r="2" spans="1:16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298050.82617309887</v>
      </c>
      <c r="P5" s="1"/>
    </row>
    <row r="6" spans="1:16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298050.82617309887</v>
      </c>
      <c r="O6" s="1"/>
      <c r="P6" s="1"/>
    </row>
    <row r="7" spans="1:16" ht="13.5" thickBot="1">
      <c r="C7" s="25" t="s">
        <v>48</v>
      </c>
      <c r="D7" s="90" t="s">
        <v>388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416</v>
      </c>
      <c r="E9" s="436" t="s">
        <v>417</v>
      </c>
      <c r="F9" s="31"/>
      <c r="G9" s="31"/>
      <c r="H9" s="31"/>
      <c r="I9" s="32"/>
      <c r="J9" s="33"/>
      <c r="P9" s="1"/>
    </row>
    <row r="10" spans="1:16" ht="13">
      <c r="C10" s="34" t="s">
        <v>51</v>
      </c>
      <c r="D10" s="363">
        <v>2385215.9000000004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6" ht="12.5">
      <c r="C11" s="34" t="s">
        <v>54</v>
      </c>
      <c r="D11" s="37">
        <v>2017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3">
        <v>11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54209.452272727278</v>
      </c>
      <c r="J14" s="293"/>
      <c r="K14" s="293"/>
      <c r="L14" s="293"/>
      <c r="M14" s="293"/>
      <c r="N14" s="293"/>
      <c r="O14" s="1"/>
      <c r="P14" s="1"/>
    </row>
    <row r="15" spans="1:16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3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2017</v>
      </c>
      <c r="D17" s="145" t="s">
        <v>440</v>
      </c>
      <c r="E17" s="453" t="s">
        <v>440</v>
      </c>
      <c r="F17" s="147">
        <v>1835000</v>
      </c>
      <c r="G17" s="454">
        <v>113671</v>
      </c>
      <c r="H17" s="452">
        <v>113671</v>
      </c>
      <c r="I17" s="52">
        <f t="shared" ref="I17:I72" si="0">H17-G17</f>
        <v>0</v>
      </c>
      <c r="J17" s="52"/>
      <c r="K17" s="112">
        <f t="shared" ref="K17:K22" si="1">+G17</f>
        <v>113671</v>
      </c>
      <c r="L17" s="53">
        <f t="shared" ref="L17:L72" si="2">IF(K17&lt;&gt;0,+G17-K17,0)</f>
        <v>0</v>
      </c>
      <c r="M17" s="112">
        <f t="shared" ref="M17:M22" si="3">+H17</f>
        <v>113671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2018</v>
      </c>
      <c r="D18" s="431">
        <v>1835000</v>
      </c>
      <c r="E18" s="430">
        <v>44756.097560975613</v>
      </c>
      <c r="F18" s="431">
        <v>1790243.9024390243</v>
      </c>
      <c r="G18" s="430">
        <v>275129.65114880283</v>
      </c>
      <c r="H18" s="438">
        <v>275129.65114880283</v>
      </c>
      <c r="I18" s="52">
        <f t="shared" si="0"/>
        <v>0</v>
      </c>
      <c r="J18" s="52"/>
      <c r="K18" s="113">
        <f t="shared" si="1"/>
        <v>275129.65114880283</v>
      </c>
      <c r="L18" s="54">
        <f t="shared" si="2"/>
        <v>0</v>
      </c>
      <c r="M18" s="113">
        <f t="shared" si="3"/>
        <v>275129.65114880283</v>
      </c>
      <c r="N18" s="54">
        <f t="shared" si="4"/>
        <v>0</v>
      </c>
      <c r="O18" s="54">
        <f t="shared" si="5"/>
        <v>0</v>
      </c>
      <c r="P18" s="1"/>
    </row>
    <row r="19" spans="2:16" ht="12.5">
      <c r="B19" s="7" t="str">
        <f>IF(D19=F18,"","IU")</f>
        <v/>
      </c>
      <c r="C19" s="50">
        <f>IF(D11="","-",+C18+1)</f>
        <v>2019</v>
      </c>
      <c r="D19" s="431">
        <v>1790243.9024390243</v>
      </c>
      <c r="E19" s="430">
        <v>44756.097560975613</v>
      </c>
      <c r="F19" s="431">
        <v>1745487.8048780486</v>
      </c>
      <c r="G19" s="430">
        <v>269441.41525774536</v>
      </c>
      <c r="H19" s="438">
        <v>269441.41525774536</v>
      </c>
      <c r="I19" s="52">
        <f t="shared" si="0"/>
        <v>0</v>
      </c>
      <c r="J19" s="52"/>
      <c r="K19" s="113">
        <f t="shared" si="1"/>
        <v>269441.41525774536</v>
      </c>
      <c r="L19" s="54">
        <f t="shared" ref="L19" si="6">IF(K19&lt;&gt;0,+G19-K19,0)</f>
        <v>0</v>
      </c>
      <c r="M19" s="113">
        <f t="shared" si="3"/>
        <v>269441.41525774536</v>
      </c>
      <c r="N19" s="54">
        <f t="shared" si="4"/>
        <v>0</v>
      </c>
      <c r="O19" s="54">
        <f t="shared" si="5"/>
        <v>0</v>
      </c>
      <c r="P19" s="1"/>
    </row>
    <row r="20" spans="2:16" ht="12.5">
      <c r="B20" s="7" t="str">
        <f t="shared" ref="B20:B72" si="7">IF(D20=F19,"","IU")</f>
        <v>IU</v>
      </c>
      <c r="C20" s="50">
        <f>IF(D11="","-",+C19+1)</f>
        <v>2020</v>
      </c>
      <c r="D20" s="431">
        <v>2295703.8048780486</v>
      </c>
      <c r="E20" s="430">
        <v>58176</v>
      </c>
      <c r="F20" s="431">
        <v>2237527.8048780486</v>
      </c>
      <c r="G20" s="430">
        <v>290131.16035245545</v>
      </c>
      <c r="H20" s="438">
        <v>290131.16035245545</v>
      </c>
      <c r="I20" s="52">
        <f t="shared" si="0"/>
        <v>0</v>
      </c>
      <c r="J20" s="52"/>
      <c r="K20" s="113">
        <f t="shared" si="1"/>
        <v>290131.16035245545</v>
      </c>
      <c r="L20" s="54">
        <f t="shared" ref="L20" si="8">IF(K20&lt;&gt;0,+G20-K20,0)</f>
        <v>0</v>
      </c>
      <c r="M20" s="113">
        <f t="shared" si="3"/>
        <v>290131.16035245545</v>
      </c>
      <c r="N20" s="54">
        <f t="shared" si="4"/>
        <v>0</v>
      </c>
      <c r="O20" s="54">
        <f t="shared" si="5"/>
        <v>0</v>
      </c>
      <c r="P20" s="1"/>
    </row>
    <row r="21" spans="2:16" ht="12.5">
      <c r="B21" s="7" t="str">
        <f t="shared" si="7"/>
        <v>IU</v>
      </c>
      <c r="C21" s="50">
        <f>IF(D11="","-",+C20+1)</f>
        <v>2021</v>
      </c>
      <c r="D21" s="431">
        <v>2239609.4838343733</v>
      </c>
      <c r="E21" s="430">
        <v>56790.857142857145</v>
      </c>
      <c r="F21" s="431">
        <v>2182818.626691516</v>
      </c>
      <c r="G21" s="430">
        <v>291189.59706285701</v>
      </c>
      <c r="H21" s="438">
        <v>291189.59706285701</v>
      </c>
      <c r="I21" s="52">
        <f t="shared" si="0"/>
        <v>0</v>
      </c>
      <c r="J21" s="52"/>
      <c r="K21" s="113">
        <f t="shared" si="1"/>
        <v>291189.59706285701</v>
      </c>
      <c r="L21" s="54">
        <f t="shared" ref="L21" si="9">IF(K21&lt;&gt;0,+G21-K21,0)</f>
        <v>0</v>
      </c>
      <c r="M21" s="113">
        <f t="shared" si="3"/>
        <v>291189.59706285701</v>
      </c>
      <c r="N21" s="54">
        <f t="shared" si="4"/>
        <v>0</v>
      </c>
      <c r="O21" s="54">
        <f t="shared" si="5"/>
        <v>0</v>
      </c>
      <c r="P21" s="1"/>
    </row>
    <row r="22" spans="2:16" ht="12.5">
      <c r="B22" s="7" t="str">
        <f t="shared" si="7"/>
        <v>IU</v>
      </c>
      <c r="C22" s="50">
        <f>IF(D11="","-",+C21+1)</f>
        <v>2022</v>
      </c>
      <c r="D22" s="431">
        <v>2180736.9477351918</v>
      </c>
      <c r="E22" s="430">
        <v>56790.857142857145</v>
      </c>
      <c r="F22" s="431">
        <v>2123946.0905923345</v>
      </c>
      <c r="G22" s="430">
        <v>298808.95544916228</v>
      </c>
      <c r="H22" s="438">
        <v>298808.95544916228</v>
      </c>
      <c r="I22" s="52">
        <f t="shared" si="0"/>
        <v>0</v>
      </c>
      <c r="J22" s="52"/>
      <c r="K22" s="113">
        <f t="shared" si="1"/>
        <v>298808.95544916228</v>
      </c>
      <c r="L22" s="54">
        <f t="shared" ref="L22" si="10">IF(K22&lt;&gt;0,+G22-K22,0)</f>
        <v>0</v>
      </c>
      <c r="M22" s="113">
        <f t="shared" si="3"/>
        <v>298808.95544916228</v>
      </c>
      <c r="N22" s="54">
        <f t="shared" si="4"/>
        <v>0</v>
      </c>
      <c r="O22" s="54">
        <f t="shared" si="5"/>
        <v>0</v>
      </c>
      <c r="P22" s="1"/>
    </row>
    <row r="23" spans="2:16" ht="12.5">
      <c r="B23" s="7" t="str">
        <f t="shared" si="7"/>
        <v>IU</v>
      </c>
      <c r="C23" s="50">
        <f>IF(D11="","-",+C22+1)</f>
        <v>2023</v>
      </c>
      <c r="D23" s="431">
        <v>2123945.9905923349</v>
      </c>
      <c r="E23" s="430">
        <v>56790.854761904768</v>
      </c>
      <c r="F23" s="431">
        <v>2067155.1358304301</v>
      </c>
      <c r="G23" s="430">
        <v>321515.02646129701</v>
      </c>
      <c r="H23" s="438">
        <v>321515.02646129701</v>
      </c>
      <c r="I23" s="52">
        <f t="shared" si="0"/>
        <v>0</v>
      </c>
      <c r="J23" s="52"/>
      <c r="K23" s="113">
        <f t="shared" ref="K23" si="11">+G23</f>
        <v>321515.02646129701</v>
      </c>
      <c r="L23" s="54">
        <f t="shared" ref="L23" si="12">IF(K23&lt;&gt;0,+G23-K23,0)</f>
        <v>0</v>
      </c>
      <c r="M23" s="113">
        <f t="shared" ref="M23" si="13">+H23</f>
        <v>321515.02646129701</v>
      </c>
      <c r="N23" s="54">
        <f t="shared" si="4"/>
        <v>0</v>
      </c>
      <c r="O23" s="54">
        <f t="shared" si="5"/>
        <v>0</v>
      </c>
      <c r="P23" s="1"/>
    </row>
    <row r="24" spans="2:16" ht="12.5">
      <c r="B24" s="7" t="str">
        <f t="shared" si="7"/>
        <v/>
      </c>
      <c r="C24" s="50">
        <f>IF(D11="","-",+C23+1)</f>
        <v>2024</v>
      </c>
      <c r="D24" s="431">
        <v>2067155.1358304301</v>
      </c>
      <c r="E24" s="430">
        <v>54209.452272727278</v>
      </c>
      <c r="F24" s="431">
        <v>2012945.6835577027</v>
      </c>
      <c r="G24" s="430">
        <v>298050.82617309887</v>
      </c>
      <c r="H24" s="438">
        <v>298050.82617309887</v>
      </c>
      <c r="I24" s="52">
        <f t="shared" si="0"/>
        <v>0</v>
      </c>
      <c r="J24" s="52"/>
      <c r="K24" s="113">
        <f t="shared" ref="K24" si="14">+G24</f>
        <v>298050.82617309887</v>
      </c>
      <c r="L24" s="54">
        <f t="shared" ref="L24" si="15">IF(K24&lt;&gt;0,+G24-K24,0)</f>
        <v>0</v>
      </c>
      <c r="M24" s="113">
        <f t="shared" ref="M24" si="16">+H24</f>
        <v>298050.82617309887</v>
      </c>
      <c r="N24" s="54">
        <f t="shared" ref="N24" si="17">IF(M24&lt;&gt;0,+H24-M24,0)</f>
        <v>0</v>
      </c>
      <c r="O24" s="54">
        <f t="shared" ref="O24" si="18">+N24-L24</f>
        <v>0</v>
      </c>
      <c r="P24" s="1"/>
    </row>
    <row r="25" spans="2:16" ht="12.5">
      <c r="B25" s="7" t="str">
        <f t="shared" si="7"/>
        <v/>
      </c>
      <c r="C25" s="50">
        <f>IF(D11="","-",+C24+1)</f>
        <v>2025</v>
      </c>
      <c r="D25" s="55">
        <f>IF(F24+SUM(E$17:E24)=D$10,F24,D$10-SUM(E$17:E24))</f>
        <v>2012945.6835577027</v>
      </c>
      <c r="E25" s="378">
        <f>IF(+I14&lt;F24,I14,D25)</f>
        <v>54209.452272727278</v>
      </c>
      <c r="F25" s="55">
        <f t="shared" ref="F25:F72" si="19">+D25-E25</f>
        <v>1958736.2312849753</v>
      </c>
      <c r="G25" s="379">
        <f t="shared" ref="G25:G48" si="20">+I$12*((D25+F25)/2)+E25</f>
        <v>291571.32583440345</v>
      </c>
      <c r="H25" s="364">
        <f t="shared" ref="H25:H48" si="21">+I$13*((D25+F25)/2)+E25</f>
        <v>291571.32583440345</v>
      </c>
      <c r="I25" s="52">
        <f t="shared" si="0"/>
        <v>0</v>
      </c>
      <c r="J25" s="52"/>
      <c r="K25" s="129"/>
      <c r="L25" s="54">
        <f t="shared" si="2"/>
        <v>0</v>
      </c>
      <c r="M25" s="129"/>
      <c r="N25" s="54">
        <f t="shared" si="4"/>
        <v>0</v>
      </c>
      <c r="O25" s="54">
        <f t="shared" si="5"/>
        <v>0</v>
      </c>
      <c r="P25" s="1"/>
    </row>
    <row r="26" spans="2:16" ht="12.5">
      <c r="B26" s="7" t="str">
        <f t="shared" si="7"/>
        <v/>
      </c>
      <c r="C26" s="50">
        <f>IF(D11="","-",+C25+1)</f>
        <v>2026</v>
      </c>
      <c r="D26" s="55">
        <f>IF(F25+SUM(E$17:E25)=D$10,F25,D$10-SUM(E$17:E25))</f>
        <v>1958736.2312849753</v>
      </c>
      <c r="E26" s="378">
        <f>IF(+I14&lt;F25,I14,D26)</f>
        <v>54209.452272727278</v>
      </c>
      <c r="F26" s="55">
        <f t="shared" si="19"/>
        <v>1904526.7790122479</v>
      </c>
      <c r="G26" s="379">
        <f t="shared" si="20"/>
        <v>285091.82549570804</v>
      </c>
      <c r="H26" s="364">
        <f t="shared" si="21"/>
        <v>285091.82549570804</v>
      </c>
      <c r="I26" s="52">
        <f t="shared" si="0"/>
        <v>0</v>
      </c>
      <c r="J26" s="52"/>
      <c r="K26" s="129"/>
      <c r="L26" s="54">
        <f t="shared" si="2"/>
        <v>0</v>
      </c>
      <c r="M26" s="129"/>
      <c r="N26" s="54">
        <f t="shared" si="4"/>
        <v>0</v>
      </c>
      <c r="O26" s="54">
        <f t="shared" si="5"/>
        <v>0</v>
      </c>
      <c r="P26" s="1"/>
    </row>
    <row r="27" spans="2:16" ht="12.5">
      <c r="B27" s="7" t="str">
        <f t="shared" si="7"/>
        <v/>
      </c>
      <c r="C27" s="50">
        <f>IF(D11="","-",+C26+1)</f>
        <v>2027</v>
      </c>
      <c r="D27" s="55">
        <f>IF(F26+SUM(E$17:E26)=D$10,F26,D$10-SUM(E$17:E26))</f>
        <v>1904526.7790122479</v>
      </c>
      <c r="E27" s="378">
        <f>IF(+I14&lt;F26,I14,D27)</f>
        <v>54209.452272727278</v>
      </c>
      <c r="F27" s="55">
        <f t="shared" si="19"/>
        <v>1850317.3267395205</v>
      </c>
      <c r="G27" s="379">
        <f t="shared" si="20"/>
        <v>278612.32515701262</v>
      </c>
      <c r="H27" s="364">
        <f t="shared" si="21"/>
        <v>278612.32515701262</v>
      </c>
      <c r="I27" s="52">
        <f t="shared" si="0"/>
        <v>0</v>
      </c>
      <c r="J27" s="52"/>
      <c r="K27" s="129"/>
      <c r="L27" s="54">
        <f t="shared" si="2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7"/>
        <v/>
      </c>
      <c r="C28" s="50">
        <f>IF(D11="","-",+C27+1)</f>
        <v>2028</v>
      </c>
      <c r="D28" s="55">
        <f>IF(F27+SUM(E$17:E27)=D$10,F27,D$10-SUM(E$17:E27))</f>
        <v>1850317.3267395205</v>
      </c>
      <c r="E28" s="378">
        <f>IF(+I14&lt;F27,I14,D28)</f>
        <v>54209.452272727278</v>
      </c>
      <c r="F28" s="55">
        <f t="shared" si="19"/>
        <v>1796107.8744667931</v>
      </c>
      <c r="G28" s="379">
        <f t="shared" si="20"/>
        <v>272132.82481831714</v>
      </c>
      <c r="H28" s="364">
        <f t="shared" si="21"/>
        <v>272132.82481831714</v>
      </c>
      <c r="I28" s="52">
        <f t="shared" si="0"/>
        <v>0</v>
      </c>
      <c r="J28" s="52"/>
      <c r="K28" s="129"/>
      <c r="L28" s="54">
        <f t="shared" si="2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7"/>
        <v/>
      </c>
      <c r="C29" s="50">
        <f>IF(D11="","-",+C28+1)</f>
        <v>2029</v>
      </c>
      <c r="D29" s="55">
        <f>IF(F28+SUM(E$17:E28)=D$10,F28,D$10-SUM(E$17:E28))</f>
        <v>1796107.8744667931</v>
      </c>
      <c r="E29" s="378">
        <f>IF(+I14&lt;F28,I14,D29)</f>
        <v>54209.452272727278</v>
      </c>
      <c r="F29" s="55">
        <f t="shared" si="19"/>
        <v>1741898.4221940658</v>
      </c>
      <c r="G29" s="379">
        <f t="shared" si="20"/>
        <v>265653.32447962172</v>
      </c>
      <c r="H29" s="364">
        <f t="shared" si="21"/>
        <v>265653.32447962172</v>
      </c>
      <c r="I29" s="52">
        <f t="shared" si="0"/>
        <v>0</v>
      </c>
      <c r="J29" s="52"/>
      <c r="K29" s="129"/>
      <c r="L29" s="54">
        <f t="shared" si="2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7"/>
        <v/>
      </c>
      <c r="C30" s="50">
        <f>IF(D11="","-",+C29+1)</f>
        <v>2030</v>
      </c>
      <c r="D30" s="55">
        <f>IF(F29+SUM(E$17:E29)=D$10,F29,D$10-SUM(E$17:E29))</f>
        <v>1741898.4221940658</v>
      </c>
      <c r="E30" s="378">
        <f>IF(+I14&lt;F29,I14,D30)</f>
        <v>54209.452272727278</v>
      </c>
      <c r="F30" s="55">
        <f t="shared" si="19"/>
        <v>1687688.9699213384</v>
      </c>
      <c r="G30" s="379">
        <f t="shared" si="20"/>
        <v>259173.82414092624</v>
      </c>
      <c r="H30" s="364">
        <f t="shared" si="21"/>
        <v>259173.82414092624</v>
      </c>
      <c r="I30" s="52">
        <f t="shared" si="0"/>
        <v>0</v>
      </c>
      <c r="J30" s="52"/>
      <c r="K30" s="129"/>
      <c r="L30" s="54">
        <f t="shared" si="2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7"/>
        <v/>
      </c>
      <c r="C31" s="50">
        <f>IF(D11="","-",+C30+1)</f>
        <v>2031</v>
      </c>
      <c r="D31" s="55">
        <f>IF(F30+SUM(E$17:E30)=D$10,F30,D$10-SUM(E$17:E30))</f>
        <v>1687688.9699213384</v>
      </c>
      <c r="E31" s="378">
        <f>IF(+I14&lt;F30,I14,D31)</f>
        <v>54209.452272727278</v>
      </c>
      <c r="F31" s="55">
        <f t="shared" si="19"/>
        <v>1633479.517648611</v>
      </c>
      <c r="G31" s="379">
        <f t="shared" si="20"/>
        <v>252694.32380223085</v>
      </c>
      <c r="H31" s="364">
        <f t="shared" si="21"/>
        <v>252694.32380223085</v>
      </c>
      <c r="I31" s="52">
        <f t="shared" si="0"/>
        <v>0</v>
      </c>
      <c r="J31" s="52"/>
      <c r="K31" s="129"/>
      <c r="L31" s="54">
        <f t="shared" si="2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7"/>
        <v/>
      </c>
      <c r="C32" s="50">
        <f>IF(D11="","-",+C31+1)</f>
        <v>2032</v>
      </c>
      <c r="D32" s="55">
        <f>IF(F31+SUM(E$17:E31)=D$10,F31,D$10-SUM(E$17:E31))</f>
        <v>1633479.517648611</v>
      </c>
      <c r="E32" s="378">
        <f>IF(+I14&lt;F31,I14,D32)</f>
        <v>54209.452272727278</v>
      </c>
      <c r="F32" s="55">
        <f t="shared" si="19"/>
        <v>1579270.0653758836</v>
      </c>
      <c r="G32" s="379">
        <f t="shared" si="20"/>
        <v>246214.82346353537</v>
      </c>
      <c r="H32" s="364">
        <f t="shared" si="21"/>
        <v>246214.82346353537</v>
      </c>
      <c r="I32" s="52">
        <f t="shared" si="0"/>
        <v>0</v>
      </c>
      <c r="J32" s="52"/>
      <c r="K32" s="129"/>
      <c r="L32" s="54">
        <f t="shared" si="2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7"/>
        <v/>
      </c>
      <c r="C33" s="50">
        <f>IF(D11="","-",+C32+1)</f>
        <v>2033</v>
      </c>
      <c r="D33" s="55">
        <f>IF(F32+SUM(E$17:E32)=D$10,F32,D$10-SUM(E$17:E32))</f>
        <v>1579270.0653758836</v>
      </c>
      <c r="E33" s="378">
        <f>IF(+I14&lt;F32,I14,D33)</f>
        <v>54209.452272727278</v>
      </c>
      <c r="F33" s="55">
        <f t="shared" si="19"/>
        <v>1525060.6131031562</v>
      </c>
      <c r="G33" s="379">
        <f t="shared" si="20"/>
        <v>239735.32312483998</v>
      </c>
      <c r="H33" s="364">
        <f t="shared" si="21"/>
        <v>239735.32312483998</v>
      </c>
      <c r="I33" s="52">
        <f t="shared" si="0"/>
        <v>0</v>
      </c>
      <c r="J33" s="52"/>
      <c r="K33" s="129"/>
      <c r="L33" s="54">
        <f t="shared" si="2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7"/>
        <v/>
      </c>
      <c r="C34" s="50">
        <f>IF(D11="","-",+C33+1)</f>
        <v>2034</v>
      </c>
      <c r="D34" s="55">
        <f>IF(F33+SUM(E$17:E33)=D$10,F33,D$10-SUM(E$17:E33))</f>
        <v>1525060.6131031562</v>
      </c>
      <c r="E34" s="378">
        <f>IF(+I14&lt;F33,I14,D34)</f>
        <v>54209.452272727278</v>
      </c>
      <c r="F34" s="55">
        <f t="shared" si="19"/>
        <v>1470851.1608304288</v>
      </c>
      <c r="G34" s="379">
        <f t="shared" si="20"/>
        <v>233255.8227861445</v>
      </c>
      <c r="H34" s="364">
        <f t="shared" si="21"/>
        <v>233255.8227861445</v>
      </c>
      <c r="I34" s="52">
        <f t="shared" si="0"/>
        <v>0</v>
      </c>
      <c r="J34" s="52"/>
      <c r="K34" s="129"/>
      <c r="L34" s="54">
        <f t="shared" si="2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7"/>
        <v/>
      </c>
      <c r="C35" s="50">
        <f>IF(D11="","-",+C34+1)</f>
        <v>2035</v>
      </c>
      <c r="D35" s="55">
        <f>IF(F34+SUM(E$17:E34)=D$10,F34,D$10-SUM(E$17:E34))</f>
        <v>1470851.1608304288</v>
      </c>
      <c r="E35" s="378">
        <f>IF(+I14&lt;F34,I14,D35)</f>
        <v>54209.452272727278</v>
      </c>
      <c r="F35" s="55">
        <f t="shared" si="19"/>
        <v>1416641.7085577014</v>
      </c>
      <c r="G35" s="379">
        <f t="shared" si="20"/>
        <v>226776.32244744909</v>
      </c>
      <c r="H35" s="364">
        <f t="shared" si="21"/>
        <v>226776.32244744909</v>
      </c>
      <c r="I35" s="52">
        <f t="shared" si="0"/>
        <v>0</v>
      </c>
      <c r="J35" s="52"/>
      <c r="K35" s="129"/>
      <c r="L35" s="54">
        <f t="shared" si="2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7"/>
        <v/>
      </c>
      <c r="C36" s="50">
        <f>IF(D11="","-",+C35+1)</f>
        <v>2036</v>
      </c>
      <c r="D36" s="55">
        <f>IF(F35+SUM(E$17:E35)=D$10,F35,D$10-SUM(E$17:E35))</f>
        <v>1416641.7085577014</v>
      </c>
      <c r="E36" s="378">
        <f>IF(+I14&lt;F35,I14,D36)</f>
        <v>54209.452272727278</v>
      </c>
      <c r="F36" s="55">
        <f t="shared" si="19"/>
        <v>1362432.256284974</v>
      </c>
      <c r="G36" s="379">
        <f t="shared" si="20"/>
        <v>220296.82210875364</v>
      </c>
      <c r="H36" s="364">
        <f t="shared" si="21"/>
        <v>220296.82210875364</v>
      </c>
      <c r="I36" s="52">
        <f t="shared" si="0"/>
        <v>0</v>
      </c>
      <c r="J36" s="52"/>
      <c r="K36" s="129"/>
      <c r="L36" s="54">
        <f t="shared" si="2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7"/>
        <v/>
      </c>
      <c r="C37" s="50">
        <f>IF(D11="","-",+C36+1)</f>
        <v>2037</v>
      </c>
      <c r="D37" s="55">
        <f>IF(F36+SUM(E$17:E36)=D$10,F36,D$10-SUM(E$17:E36))</f>
        <v>1362432.256284974</v>
      </c>
      <c r="E37" s="378">
        <f>IF(+I14&lt;F36,I14,D37)</f>
        <v>54209.452272727278</v>
      </c>
      <c r="F37" s="55">
        <f t="shared" si="19"/>
        <v>1308222.8040122467</v>
      </c>
      <c r="G37" s="379">
        <f t="shared" si="20"/>
        <v>213817.32177005822</v>
      </c>
      <c r="H37" s="364">
        <f t="shared" si="21"/>
        <v>213817.32177005822</v>
      </c>
      <c r="I37" s="52">
        <f t="shared" si="0"/>
        <v>0</v>
      </c>
      <c r="J37" s="52"/>
      <c r="K37" s="129"/>
      <c r="L37" s="54">
        <f t="shared" si="2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7"/>
        <v/>
      </c>
      <c r="C38" s="50">
        <f>IF(D11="","-",+C37+1)</f>
        <v>2038</v>
      </c>
      <c r="D38" s="55">
        <f>IF(F37+SUM(E$17:E37)=D$10,F37,D$10-SUM(E$17:E37))</f>
        <v>1308222.8040122467</v>
      </c>
      <c r="E38" s="378">
        <f>IF(+I14&lt;F37,I14,D38)</f>
        <v>54209.452272727278</v>
      </c>
      <c r="F38" s="55">
        <f t="shared" si="19"/>
        <v>1254013.3517395193</v>
      </c>
      <c r="G38" s="379">
        <f t="shared" si="20"/>
        <v>207337.82143136277</v>
      </c>
      <c r="H38" s="364">
        <f t="shared" si="21"/>
        <v>207337.82143136277</v>
      </c>
      <c r="I38" s="52">
        <f t="shared" si="0"/>
        <v>0</v>
      </c>
      <c r="J38" s="52"/>
      <c r="K38" s="129"/>
      <c r="L38" s="54">
        <f t="shared" si="2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7"/>
        <v/>
      </c>
      <c r="C39" s="50">
        <f>IF(D11="","-",+C38+1)</f>
        <v>2039</v>
      </c>
      <c r="D39" s="55">
        <f>IF(F38+SUM(E$17:E38)=D$10,F38,D$10-SUM(E$17:E38))</f>
        <v>1254013.3517395193</v>
      </c>
      <c r="E39" s="378">
        <f>IF(+I14&lt;F38,I14,D39)</f>
        <v>54209.452272727278</v>
      </c>
      <c r="F39" s="55">
        <f t="shared" si="19"/>
        <v>1199803.8994667919</v>
      </c>
      <c r="G39" s="379">
        <f t="shared" si="20"/>
        <v>200858.32109266735</v>
      </c>
      <c r="H39" s="364">
        <f t="shared" si="21"/>
        <v>200858.32109266735</v>
      </c>
      <c r="I39" s="52">
        <f t="shared" si="0"/>
        <v>0</v>
      </c>
      <c r="J39" s="52"/>
      <c r="K39" s="129"/>
      <c r="L39" s="54">
        <f t="shared" si="2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7"/>
        <v/>
      </c>
      <c r="C40" s="50">
        <f>IF(D11="","-",+C39+1)</f>
        <v>2040</v>
      </c>
      <c r="D40" s="55">
        <f>IF(F39+SUM(E$17:E39)=D$10,F39,D$10-SUM(E$17:E39))</f>
        <v>1199803.8994667919</v>
      </c>
      <c r="E40" s="378">
        <f>IF(+I14&lt;F39,I14,D40)</f>
        <v>54209.452272727278</v>
      </c>
      <c r="F40" s="55">
        <f t="shared" si="19"/>
        <v>1145594.4471940645</v>
      </c>
      <c r="G40" s="379">
        <f t="shared" si="20"/>
        <v>194378.82075397187</v>
      </c>
      <c r="H40" s="364">
        <f t="shared" si="21"/>
        <v>194378.82075397187</v>
      </c>
      <c r="I40" s="52">
        <f t="shared" si="0"/>
        <v>0</v>
      </c>
      <c r="J40" s="52"/>
      <c r="K40" s="129"/>
      <c r="L40" s="54">
        <f t="shared" si="2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7"/>
        <v/>
      </c>
      <c r="C41" s="50">
        <f>IF(D11="","-",+C40+1)</f>
        <v>2041</v>
      </c>
      <c r="D41" s="55">
        <f>IF(F40+SUM(E$17:E40)=D$10,F40,D$10-SUM(E$17:E40))</f>
        <v>1145594.4471940645</v>
      </c>
      <c r="E41" s="378">
        <f>IF(+I14&lt;F40,I14,D41)</f>
        <v>54209.452272727278</v>
      </c>
      <c r="F41" s="55">
        <f t="shared" si="19"/>
        <v>1091384.9949213371</v>
      </c>
      <c r="G41" s="379">
        <f t="shared" si="20"/>
        <v>187899.32041527648</v>
      </c>
      <c r="H41" s="364">
        <f t="shared" si="21"/>
        <v>187899.32041527648</v>
      </c>
      <c r="I41" s="52">
        <f t="shared" si="0"/>
        <v>0</v>
      </c>
      <c r="J41" s="52"/>
      <c r="K41" s="129"/>
      <c r="L41" s="54">
        <f t="shared" si="2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7"/>
        <v/>
      </c>
      <c r="C42" s="50">
        <f>IF(D11="","-",+C41+1)</f>
        <v>2042</v>
      </c>
      <c r="D42" s="55">
        <f>IF(F41+SUM(E$17:E41)=D$10,F41,D$10-SUM(E$17:E41))</f>
        <v>1091384.9949213371</v>
      </c>
      <c r="E42" s="378">
        <f>IF(+I14&lt;F41,I14,D42)</f>
        <v>54209.452272727278</v>
      </c>
      <c r="F42" s="55">
        <f t="shared" si="19"/>
        <v>1037175.5426486098</v>
      </c>
      <c r="G42" s="379">
        <f t="shared" si="20"/>
        <v>181419.82007658103</v>
      </c>
      <c r="H42" s="364">
        <f t="shared" si="21"/>
        <v>181419.82007658103</v>
      </c>
      <c r="I42" s="52">
        <f t="shared" si="0"/>
        <v>0</v>
      </c>
      <c r="J42" s="52"/>
      <c r="K42" s="129"/>
      <c r="L42" s="54">
        <f t="shared" si="2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7"/>
        <v/>
      </c>
      <c r="C43" s="50">
        <f>IF(D11="","-",+C42+1)</f>
        <v>2043</v>
      </c>
      <c r="D43" s="55">
        <f>IF(F42+SUM(E$17:E42)=D$10,F42,D$10-SUM(E$17:E42))</f>
        <v>1037175.5426486098</v>
      </c>
      <c r="E43" s="378">
        <f>IF(+I14&lt;F42,I14,D43)</f>
        <v>54209.452272727278</v>
      </c>
      <c r="F43" s="55">
        <f t="shared" si="19"/>
        <v>982966.09037588257</v>
      </c>
      <c r="G43" s="379">
        <f t="shared" si="20"/>
        <v>174940.31973788561</v>
      </c>
      <c r="H43" s="364">
        <f t="shared" si="21"/>
        <v>174940.31973788561</v>
      </c>
      <c r="I43" s="52">
        <f t="shared" si="0"/>
        <v>0</v>
      </c>
      <c r="J43" s="52"/>
      <c r="K43" s="129"/>
      <c r="L43" s="54">
        <f t="shared" si="2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7"/>
        <v/>
      </c>
      <c r="C44" s="50">
        <f>IF(D11="","-",+C43+1)</f>
        <v>2044</v>
      </c>
      <c r="D44" s="55">
        <f>IF(F43+SUM(E$17:E43)=D$10,F43,D$10-SUM(E$17:E43))</f>
        <v>982966.09037588257</v>
      </c>
      <c r="E44" s="378">
        <f>IF(+I14&lt;F43,I14,D44)</f>
        <v>54209.452272727278</v>
      </c>
      <c r="F44" s="55">
        <f t="shared" si="19"/>
        <v>928756.6381031553</v>
      </c>
      <c r="G44" s="379">
        <f t="shared" si="20"/>
        <v>168460.81939919019</v>
      </c>
      <c r="H44" s="364">
        <f t="shared" si="21"/>
        <v>168460.81939919019</v>
      </c>
      <c r="I44" s="52">
        <f t="shared" si="0"/>
        <v>0</v>
      </c>
      <c r="J44" s="52"/>
      <c r="K44" s="129"/>
      <c r="L44" s="54">
        <f t="shared" si="2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7"/>
        <v/>
      </c>
      <c r="C45" s="50">
        <f>IF(D11="","-",+C44+1)</f>
        <v>2045</v>
      </c>
      <c r="D45" s="55">
        <f>IF(F44+SUM(E$17:E44)=D$10,F44,D$10-SUM(E$17:E44))</f>
        <v>928756.6381031553</v>
      </c>
      <c r="E45" s="378">
        <f>IF(+I14&lt;F44,I14,D45)</f>
        <v>54209.452272727278</v>
      </c>
      <c r="F45" s="55">
        <f t="shared" si="19"/>
        <v>874547.18583042803</v>
      </c>
      <c r="G45" s="379">
        <f t="shared" si="20"/>
        <v>161981.31906049474</v>
      </c>
      <c r="H45" s="364">
        <f t="shared" si="21"/>
        <v>161981.31906049474</v>
      </c>
      <c r="I45" s="52">
        <f t="shared" si="0"/>
        <v>0</v>
      </c>
      <c r="J45" s="52"/>
      <c r="K45" s="129"/>
      <c r="L45" s="54">
        <f t="shared" si="2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7"/>
        <v/>
      </c>
      <c r="C46" s="50">
        <f>IF(D11="","-",+C45+1)</f>
        <v>2046</v>
      </c>
      <c r="D46" s="55">
        <f>IF(F45+SUM(E$17:E45)=D$10,F45,D$10-SUM(E$17:E45))</f>
        <v>874547.18583042803</v>
      </c>
      <c r="E46" s="378">
        <f>IF(+I14&lt;F45,I14,D46)</f>
        <v>54209.452272727278</v>
      </c>
      <c r="F46" s="55">
        <f t="shared" si="19"/>
        <v>820337.73355770076</v>
      </c>
      <c r="G46" s="379">
        <f t="shared" si="20"/>
        <v>155501.81872179935</v>
      </c>
      <c r="H46" s="364">
        <f t="shared" si="21"/>
        <v>155501.81872179935</v>
      </c>
      <c r="I46" s="52">
        <f t="shared" si="0"/>
        <v>0</v>
      </c>
      <c r="J46" s="52"/>
      <c r="K46" s="129"/>
      <c r="L46" s="54">
        <f t="shared" si="2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7"/>
        <v/>
      </c>
      <c r="C47" s="50">
        <f>IF(D11="","-",+C46+1)</f>
        <v>2047</v>
      </c>
      <c r="D47" s="55">
        <f>IF(F46+SUM(E$17:E46)=D$10,F46,D$10-SUM(E$17:E46))</f>
        <v>820337.73355770076</v>
      </c>
      <c r="E47" s="378">
        <f>IF(+I14&lt;F46,I14,D47)</f>
        <v>54209.452272727278</v>
      </c>
      <c r="F47" s="55">
        <f t="shared" si="19"/>
        <v>766128.28128497349</v>
      </c>
      <c r="G47" s="379">
        <f t="shared" si="20"/>
        <v>149022.31838310391</v>
      </c>
      <c r="H47" s="364">
        <f t="shared" si="21"/>
        <v>149022.31838310391</v>
      </c>
      <c r="I47" s="52">
        <f t="shared" si="0"/>
        <v>0</v>
      </c>
      <c r="J47" s="52"/>
      <c r="K47" s="129"/>
      <c r="L47" s="54">
        <f t="shared" si="2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7"/>
        <v/>
      </c>
      <c r="C48" s="50">
        <f>IF(D11="","-",+C47+1)</f>
        <v>2048</v>
      </c>
      <c r="D48" s="55">
        <f>IF(F47+SUM(E$17:E47)=D$10,F47,D$10-SUM(E$17:E47))</f>
        <v>766128.28128497349</v>
      </c>
      <c r="E48" s="378">
        <f>IF(+I14&lt;F47,I14,D48)</f>
        <v>54209.452272727278</v>
      </c>
      <c r="F48" s="55">
        <f t="shared" si="19"/>
        <v>711918.82901224622</v>
      </c>
      <c r="G48" s="379">
        <f t="shared" si="20"/>
        <v>142542.81804440849</v>
      </c>
      <c r="H48" s="364">
        <f t="shared" si="21"/>
        <v>142542.81804440849</v>
      </c>
      <c r="I48" s="52">
        <f t="shared" si="0"/>
        <v>0</v>
      </c>
      <c r="J48" s="52"/>
      <c r="K48" s="129"/>
      <c r="L48" s="54">
        <f t="shared" si="2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 ht="12.5">
      <c r="B49" s="7" t="str">
        <f t="shared" si="7"/>
        <v/>
      </c>
      <c r="C49" s="50">
        <f>IF(D11="","-",+C48+1)</f>
        <v>2049</v>
      </c>
      <c r="D49" s="55">
        <f>IF(F48+SUM(E$17:E48)=D$10,F48,D$10-SUM(E$17:E48))</f>
        <v>711918.82901224622</v>
      </c>
      <c r="E49" s="378">
        <f>IF(+I14&lt;F48,I14,D49)</f>
        <v>54209.452272727278</v>
      </c>
      <c r="F49" s="55">
        <f t="shared" si="19"/>
        <v>657709.37673951895</v>
      </c>
      <c r="G49" s="379">
        <f t="shared" ref="G49:G72" si="22">+I$12*((D49+F49)/2)+E49</f>
        <v>136063.31770571307</v>
      </c>
      <c r="H49" s="364">
        <f t="shared" ref="H49:H72" si="23">+I$13*((D49+F49)/2)+E49</f>
        <v>136063.31770571307</v>
      </c>
      <c r="I49" s="52">
        <f t="shared" si="0"/>
        <v>0</v>
      </c>
      <c r="J49" s="52"/>
      <c r="K49" s="129"/>
      <c r="L49" s="54">
        <f t="shared" si="2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 ht="12.5">
      <c r="B50" s="7" t="str">
        <f t="shared" si="7"/>
        <v/>
      </c>
      <c r="C50" s="50">
        <f>IF(D11="","-",+C49+1)</f>
        <v>2050</v>
      </c>
      <c r="D50" s="55">
        <f>IF(F49+SUM(E$17:E49)=D$10,F49,D$10-SUM(E$17:E49))</f>
        <v>657709.37673951895</v>
      </c>
      <c r="E50" s="378">
        <f>IF(+I14&lt;F49,I14,D50)</f>
        <v>54209.452272727278</v>
      </c>
      <c r="F50" s="55">
        <f t="shared" si="19"/>
        <v>603499.92446679168</v>
      </c>
      <c r="G50" s="379">
        <f t="shared" si="22"/>
        <v>129583.81736701765</v>
      </c>
      <c r="H50" s="364">
        <f t="shared" si="23"/>
        <v>129583.81736701765</v>
      </c>
      <c r="I50" s="52">
        <f t="shared" si="0"/>
        <v>0</v>
      </c>
      <c r="J50" s="52"/>
      <c r="K50" s="129"/>
      <c r="L50" s="54">
        <f t="shared" si="2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 ht="12.5">
      <c r="B51" s="7" t="str">
        <f t="shared" si="7"/>
        <v/>
      </c>
      <c r="C51" s="50">
        <f>IF(D11="","-",+C50+1)</f>
        <v>2051</v>
      </c>
      <c r="D51" s="55">
        <f>IF(F50+SUM(E$17:E50)=D$10,F50,D$10-SUM(E$17:E50))</f>
        <v>603499.92446679168</v>
      </c>
      <c r="E51" s="378">
        <f>IF(+I14&lt;F50,I14,D51)</f>
        <v>54209.452272727278</v>
      </c>
      <c r="F51" s="55">
        <f t="shared" si="19"/>
        <v>549290.47219406441</v>
      </c>
      <c r="G51" s="379">
        <f t="shared" si="22"/>
        <v>123104.31702832223</v>
      </c>
      <c r="H51" s="364">
        <f t="shared" si="23"/>
        <v>123104.31702832223</v>
      </c>
      <c r="I51" s="52">
        <f t="shared" si="0"/>
        <v>0</v>
      </c>
      <c r="J51" s="52"/>
      <c r="K51" s="129"/>
      <c r="L51" s="54">
        <f t="shared" si="2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 ht="12.5">
      <c r="B52" s="7" t="str">
        <f t="shared" si="7"/>
        <v/>
      </c>
      <c r="C52" s="50">
        <f>IF(D11="","-",+C51+1)</f>
        <v>2052</v>
      </c>
      <c r="D52" s="55">
        <f>IF(F51+SUM(E$17:E51)=D$10,F51,D$10-SUM(E$17:E51))</f>
        <v>549290.47219406441</v>
      </c>
      <c r="E52" s="378">
        <f>IF(+I14&lt;F51,I14,D52)</f>
        <v>54209.452272727278</v>
      </c>
      <c r="F52" s="55">
        <f t="shared" si="19"/>
        <v>495081.01992133714</v>
      </c>
      <c r="G52" s="379">
        <f t="shared" si="22"/>
        <v>116624.81668962681</v>
      </c>
      <c r="H52" s="364">
        <f t="shared" si="23"/>
        <v>116624.81668962681</v>
      </c>
      <c r="I52" s="52">
        <f t="shared" si="0"/>
        <v>0</v>
      </c>
      <c r="J52" s="52"/>
      <c r="K52" s="129"/>
      <c r="L52" s="54">
        <f t="shared" si="2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 ht="12.5">
      <c r="B53" s="7" t="str">
        <f t="shared" si="7"/>
        <v/>
      </c>
      <c r="C53" s="50">
        <f>IF(D11="","-",+C52+1)</f>
        <v>2053</v>
      </c>
      <c r="D53" s="55">
        <f>IF(F52+SUM(E$17:E52)=D$10,F52,D$10-SUM(E$17:E52))</f>
        <v>495081.01992133714</v>
      </c>
      <c r="E53" s="378">
        <f>IF(+I14&lt;F52,I14,D53)</f>
        <v>54209.452272727278</v>
      </c>
      <c r="F53" s="55">
        <f t="shared" si="19"/>
        <v>440871.56764860987</v>
      </c>
      <c r="G53" s="379">
        <f t="shared" si="22"/>
        <v>110145.31635093137</v>
      </c>
      <c r="H53" s="364">
        <f t="shared" si="23"/>
        <v>110145.31635093137</v>
      </c>
      <c r="I53" s="52">
        <f t="shared" si="0"/>
        <v>0</v>
      </c>
      <c r="J53" s="52"/>
      <c r="K53" s="129"/>
      <c r="L53" s="54">
        <f t="shared" si="2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 ht="12.5">
      <c r="B54" s="7" t="str">
        <f t="shared" si="7"/>
        <v/>
      </c>
      <c r="C54" s="50">
        <f>IF(D11="","-",+C53+1)</f>
        <v>2054</v>
      </c>
      <c r="D54" s="55">
        <f>IF(F53+SUM(E$17:E53)=D$10,F53,D$10-SUM(E$17:E53))</f>
        <v>440871.56764860987</v>
      </c>
      <c r="E54" s="378">
        <f>IF(+I14&lt;F53,I14,D54)</f>
        <v>54209.452272727278</v>
      </c>
      <c r="F54" s="55">
        <f t="shared" si="19"/>
        <v>386662.1153758826</v>
      </c>
      <c r="G54" s="379">
        <f t="shared" si="22"/>
        <v>103665.81601223595</v>
      </c>
      <c r="H54" s="364">
        <f t="shared" si="23"/>
        <v>103665.81601223595</v>
      </c>
      <c r="I54" s="52">
        <f t="shared" si="0"/>
        <v>0</v>
      </c>
      <c r="J54" s="52"/>
      <c r="K54" s="129"/>
      <c r="L54" s="54">
        <f t="shared" si="2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 ht="12.5">
      <c r="B55" s="7" t="str">
        <f t="shared" si="7"/>
        <v/>
      </c>
      <c r="C55" s="50">
        <f>IF(D11="","-",+C54+1)</f>
        <v>2055</v>
      </c>
      <c r="D55" s="55">
        <f>IF(F54+SUM(E$17:E54)=D$10,F54,D$10-SUM(E$17:E54))</f>
        <v>386662.1153758826</v>
      </c>
      <c r="E55" s="378">
        <f>IF(+I14&lt;F54,I14,D55)</f>
        <v>54209.452272727278</v>
      </c>
      <c r="F55" s="55">
        <f t="shared" si="19"/>
        <v>332452.66310315533</v>
      </c>
      <c r="G55" s="379">
        <f t="shared" si="22"/>
        <v>97186.315673540521</v>
      </c>
      <c r="H55" s="364">
        <f t="shared" si="23"/>
        <v>97186.315673540521</v>
      </c>
      <c r="I55" s="52">
        <f t="shared" si="0"/>
        <v>0</v>
      </c>
      <c r="J55" s="52"/>
      <c r="K55" s="129"/>
      <c r="L55" s="54">
        <f t="shared" si="2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 ht="12.5">
      <c r="B56" s="7" t="str">
        <f t="shared" si="7"/>
        <v/>
      </c>
      <c r="C56" s="50">
        <f>IF(D11="","-",+C55+1)</f>
        <v>2056</v>
      </c>
      <c r="D56" s="55">
        <f>IF(F55+SUM(E$17:E55)=D$10,F55,D$10-SUM(E$17:E55))</f>
        <v>332452.66310315533</v>
      </c>
      <c r="E56" s="378">
        <f>IF(+I14&lt;F55,I14,D56)</f>
        <v>54209.452272727278</v>
      </c>
      <c r="F56" s="55">
        <f t="shared" si="19"/>
        <v>278243.21083042806</v>
      </c>
      <c r="G56" s="379">
        <f t="shared" si="22"/>
        <v>90706.815334845101</v>
      </c>
      <c r="H56" s="364">
        <f t="shared" si="23"/>
        <v>90706.815334845101</v>
      </c>
      <c r="I56" s="52">
        <f t="shared" si="0"/>
        <v>0</v>
      </c>
      <c r="J56" s="52"/>
      <c r="K56" s="129"/>
      <c r="L56" s="54">
        <f t="shared" si="2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 ht="12.5">
      <c r="B57" s="7" t="str">
        <f t="shared" si="7"/>
        <v/>
      </c>
      <c r="C57" s="50">
        <f>IF(D11="","-",+C56+1)</f>
        <v>2057</v>
      </c>
      <c r="D57" s="55">
        <f>IF(F56+SUM(E$17:E56)=D$10,F56,D$10-SUM(E$17:E56))</f>
        <v>278243.21083042806</v>
      </c>
      <c r="E57" s="378">
        <f>IF(+I14&lt;F56,I14,D57)</f>
        <v>54209.452272727278</v>
      </c>
      <c r="F57" s="55">
        <f t="shared" si="19"/>
        <v>224033.75855770078</v>
      </c>
      <c r="G57" s="379">
        <f t="shared" si="22"/>
        <v>84227.314996149682</v>
      </c>
      <c r="H57" s="364">
        <f t="shared" si="23"/>
        <v>84227.314996149682</v>
      </c>
      <c r="I57" s="52">
        <f t="shared" si="0"/>
        <v>0</v>
      </c>
      <c r="J57" s="52"/>
      <c r="K57" s="129"/>
      <c r="L57" s="54">
        <f t="shared" si="2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 ht="12.5">
      <c r="B58" s="7" t="str">
        <f t="shared" si="7"/>
        <v/>
      </c>
      <c r="C58" s="50">
        <f>IF(D11="","-",+C57+1)</f>
        <v>2058</v>
      </c>
      <c r="D58" s="55">
        <f>IF(F57+SUM(E$17:E57)=D$10,F57,D$10-SUM(E$17:E57))</f>
        <v>224033.75855770078</v>
      </c>
      <c r="E58" s="378">
        <f>IF(+I14&lt;F57,I14,D58)</f>
        <v>54209.452272727278</v>
      </c>
      <c r="F58" s="55">
        <f t="shared" si="19"/>
        <v>169824.30628497351</v>
      </c>
      <c r="G58" s="379">
        <f t="shared" si="22"/>
        <v>77747.814657454262</v>
      </c>
      <c r="H58" s="364">
        <f t="shared" si="23"/>
        <v>77747.814657454262</v>
      </c>
      <c r="I58" s="52">
        <f t="shared" si="0"/>
        <v>0</v>
      </c>
      <c r="J58" s="52"/>
      <c r="K58" s="129"/>
      <c r="L58" s="54">
        <f t="shared" si="2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 ht="12.5">
      <c r="B59" s="7" t="str">
        <f t="shared" si="7"/>
        <v/>
      </c>
      <c r="C59" s="50">
        <f>IF(D11="","-",+C58+1)</f>
        <v>2059</v>
      </c>
      <c r="D59" s="55">
        <f>IF(F58+SUM(E$17:E58)=D$10,F58,D$10-SUM(E$17:E58))</f>
        <v>169824.30628497351</v>
      </c>
      <c r="E59" s="378">
        <f>IF(+I14&lt;F58,I14,D59)</f>
        <v>54209.452272727278</v>
      </c>
      <c r="F59" s="55">
        <f t="shared" si="19"/>
        <v>115614.85401224624</v>
      </c>
      <c r="G59" s="379">
        <f t="shared" si="22"/>
        <v>71268.314318758843</v>
      </c>
      <c r="H59" s="364">
        <f t="shared" si="23"/>
        <v>71268.314318758843</v>
      </c>
      <c r="I59" s="52">
        <f t="shared" si="0"/>
        <v>0</v>
      </c>
      <c r="J59" s="52"/>
      <c r="K59" s="129"/>
      <c r="L59" s="54">
        <f t="shared" si="2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 ht="12.5">
      <c r="B60" s="7" t="str">
        <f t="shared" si="7"/>
        <v/>
      </c>
      <c r="C60" s="50">
        <f>IF(D11="","-",+C59+1)</f>
        <v>2060</v>
      </c>
      <c r="D60" s="55">
        <f>IF(F59+SUM(E$17:E59)=D$10,F59,D$10-SUM(E$17:E59))</f>
        <v>115614.85401224624</v>
      </c>
      <c r="E60" s="378">
        <f>IF(+I14&lt;F59,I14,D60)</f>
        <v>54209.452272727278</v>
      </c>
      <c r="F60" s="55">
        <f t="shared" si="19"/>
        <v>61405.401739518966</v>
      </c>
      <c r="G60" s="379">
        <f t="shared" si="22"/>
        <v>64788.813980063409</v>
      </c>
      <c r="H60" s="364">
        <f t="shared" si="23"/>
        <v>64788.813980063409</v>
      </c>
      <c r="I60" s="52">
        <f t="shared" si="0"/>
        <v>0</v>
      </c>
      <c r="J60" s="52"/>
      <c r="K60" s="129"/>
      <c r="L60" s="54">
        <f t="shared" si="2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 ht="12.5">
      <c r="B61" s="7" t="str">
        <f t="shared" si="7"/>
        <v/>
      </c>
      <c r="C61" s="50">
        <f>IF(D11="","-",+C60+1)</f>
        <v>2061</v>
      </c>
      <c r="D61" s="55">
        <f>IF(F60+SUM(E$17:E60)=D$10,F60,D$10-SUM(E$17:E60))</f>
        <v>61405.401739518966</v>
      </c>
      <c r="E61" s="378">
        <f>IF(+I14&lt;F60,I14,D61)</f>
        <v>54209.452272727278</v>
      </c>
      <c r="F61" s="55">
        <f t="shared" si="19"/>
        <v>7195.9494667916879</v>
      </c>
      <c r="G61" s="380">
        <f t="shared" si="22"/>
        <v>58309.313641367989</v>
      </c>
      <c r="H61" s="364">
        <f t="shared" si="23"/>
        <v>58309.313641367989</v>
      </c>
      <c r="I61" s="52">
        <f t="shared" si="0"/>
        <v>0</v>
      </c>
      <c r="J61" s="52"/>
      <c r="K61" s="129"/>
      <c r="L61" s="54">
        <f t="shared" si="2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 ht="12.5">
      <c r="B62" s="7" t="str">
        <f t="shared" si="7"/>
        <v/>
      </c>
      <c r="C62" s="50">
        <f>IF(D11="","-",+C61+1)</f>
        <v>2062</v>
      </c>
      <c r="D62" s="55">
        <f>IF(F61+SUM(E$17:E61)=D$10,F61,D$10-SUM(E$17:E61))</f>
        <v>7195.9494667916879</v>
      </c>
      <c r="E62" s="378">
        <f>IF(+I14&lt;F61,I14,D62)</f>
        <v>7195.9494667916879</v>
      </c>
      <c r="F62" s="55">
        <f t="shared" si="19"/>
        <v>0</v>
      </c>
      <c r="G62" s="380">
        <f t="shared" si="22"/>
        <v>7626.0050664381861</v>
      </c>
      <c r="H62" s="364">
        <f t="shared" si="23"/>
        <v>7626.0050664381861</v>
      </c>
      <c r="I62" s="52">
        <f t="shared" si="0"/>
        <v>0</v>
      </c>
      <c r="J62" s="52"/>
      <c r="K62" s="129"/>
      <c r="L62" s="54">
        <f t="shared" si="2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 ht="12.5">
      <c r="B63" s="7" t="str">
        <f t="shared" si="7"/>
        <v/>
      </c>
      <c r="C63" s="50">
        <f>IF(D11="","-",+C62+1)</f>
        <v>2063</v>
      </c>
      <c r="D63" s="55">
        <f>IF(F62+SUM(E$17:E62)=D$10,F62,D$10-SUM(E$17:E62))</f>
        <v>0</v>
      </c>
      <c r="E63" s="378">
        <f>IF(+I14&lt;F62,I14,D63)</f>
        <v>0</v>
      </c>
      <c r="F63" s="55">
        <f t="shared" si="19"/>
        <v>0</v>
      </c>
      <c r="G63" s="380">
        <f t="shared" si="22"/>
        <v>0</v>
      </c>
      <c r="H63" s="364">
        <f t="shared" si="23"/>
        <v>0</v>
      </c>
      <c r="I63" s="52">
        <f t="shared" si="0"/>
        <v>0</v>
      </c>
      <c r="J63" s="52"/>
      <c r="K63" s="129"/>
      <c r="L63" s="54">
        <f t="shared" si="2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 ht="12.5">
      <c r="B64" s="7" t="str">
        <f t="shared" si="7"/>
        <v/>
      </c>
      <c r="C64" s="50">
        <f>IF(D11="","-",+C63+1)</f>
        <v>2064</v>
      </c>
      <c r="D64" s="55">
        <f>IF(F63+SUM(E$17:E63)=D$10,F63,D$10-SUM(E$17:E63))</f>
        <v>0</v>
      </c>
      <c r="E64" s="378">
        <f>IF(+I14&lt;F63,I14,D64)</f>
        <v>0</v>
      </c>
      <c r="F64" s="55">
        <f t="shared" si="19"/>
        <v>0</v>
      </c>
      <c r="G64" s="380">
        <f t="shared" si="22"/>
        <v>0</v>
      </c>
      <c r="H64" s="364">
        <f t="shared" si="23"/>
        <v>0</v>
      </c>
      <c r="I64" s="52">
        <f t="shared" si="0"/>
        <v>0</v>
      </c>
      <c r="J64" s="52"/>
      <c r="K64" s="129"/>
      <c r="L64" s="54">
        <f t="shared" si="2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 ht="12.5">
      <c r="B65" s="7" t="str">
        <f t="shared" si="7"/>
        <v/>
      </c>
      <c r="C65" s="50">
        <f>IF(D11="","-",+C64+1)</f>
        <v>2065</v>
      </c>
      <c r="D65" s="55">
        <f>IF(F64+SUM(E$17:E64)=D$10,F64,D$10-SUM(E$17:E64))</f>
        <v>0</v>
      </c>
      <c r="E65" s="378">
        <f>IF(+I14&lt;F64,I14,D65)</f>
        <v>0</v>
      </c>
      <c r="F65" s="55">
        <f t="shared" si="19"/>
        <v>0</v>
      </c>
      <c r="G65" s="380">
        <f t="shared" si="22"/>
        <v>0</v>
      </c>
      <c r="H65" s="364">
        <f t="shared" si="23"/>
        <v>0</v>
      </c>
      <c r="I65" s="52">
        <f t="shared" si="0"/>
        <v>0</v>
      </c>
      <c r="J65" s="52"/>
      <c r="K65" s="129"/>
      <c r="L65" s="54">
        <f t="shared" si="2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 ht="12.5">
      <c r="B66" s="7" t="str">
        <f t="shared" si="7"/>
        <v/>
      </c>
      <c r="C66" s="50">
        <f>IF(D11="","-",+C65+1)</f>
        <v>2066</v>
      </c>
      <c r="D66" s="55">
        <f>IF(F65+SUM(E$17:E65)=D$10,F65,D$10-SUM(E$17:E65))</f>
        <v>0</v>
      </c>
      <c r="E66" s="378">
        <f>IF(+I14&lt;F65,I14,D66)</f>
        <v>0</v>
      </c>
      <c r="F66" s="55">
        <f t="shared" si="19"/>
        <v>0</v>
      </c>
      <c r="G66" s="380">
        <f t="shared" si="22"/>
        <v>0</v>
      </c>
      <c r="H66" s="364">
        <f t="shared" si="23"/>
        <v>0</v>
      </c>
      <c r="I66" s="52">
        <f t="shared" si="0"/>
        <v>0</v>
      </c>
      <c r="J66" s="52"/>
      <c r="K66" s="129"/>
      <c r="L66" s="54">
        <f t="shared" si="2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 ht="12.5">
      <c r="B67" s="7" t="str">
        <f t="shared" si="7"/>
        <v/>
      </c>
      <c r="C67" s="50">
        <f>IF(D11="","-",+C66+1)</f>
        <v>2067</v>
      </c>
      <c r="D67" s="55">
        <f>IF(F66+SUM(E$17:E66)=D$10,F66,D$10-SUM(E$17:E66))</f>
        <v>0</v>
      </c>
      <c r="E67" s="378">
        <f>IF(+I14&lt;F66,I14,D67)</f>
        <v>0</v>
      </c>
      <c r="F67" s="55">
        <f t="shared" si="19"/>
        <v>0</v>
      </c>
      <c r="G67" s="380">
        <f t="shared" si="22"/>
        <v>0</v>
      </c>
      <c r="H67" s="364">
        <f t="shared" si="23"/>
        <v>0</v>
      </c>
      <c r="I67" s="52">
        <f t="shared" si="0"/>
        <v>0</v>
      </c>
      <c r="J67" s="52"/>
      <c r="K67" s="129"/>
      <c r="L67" s="54">
        <f t="shared" si="2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 ht="12.5">
      <c r="B68" s="7" t="str">
        <f t="shared" si="7"/>
        <v/>
      </c>
      <c r="C68" s="50">
        <f>IF(D11="","-",+C67+1)</f>
        <v>2068</v>
      </c>
      <c r="D68" s="55">
        <f>IF(F67+SUM(E$17:E67)=D$10,F67,D$10-SUM(E$17:E67))</f>
        <v>0</v>
      </c>
      <c r="E68" s="378">
        <f>IF(+I14&lt;F67,I14,D68)</f>
        <v>0</v>
      </c>
      <c r="F68" s="55">
        <f t="shared" si="19"/>
        <v>0</v>
      </c>
      <c r="G68" s="380">
        <f t="shared" si="22"/>
        <v>0</v>
      </c>
      <c r="H68" s="364">
        <f t="shared" si="23"/>
        <v>0</v>
      </c>
      <c r="I68" s="52">
        <f t="shared" si="0"/>
        <v>0</v>
      </c>
      <c r="J68" s="52"/>
      <c r="K68" s="129"/>
      <c r="L68" s="54">
        <f t="shared" si="2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 ht="12.5">
      <c r="B69" s="7" t="str">
        <f t="shared" si="7"/>
        <v/>
      </c>
      <c r="C69" s="50">
        <f>IF(D11="","-",+C68+1)</f>
        <v>2069</v>
      </c>
      <c r="D69" s="55">
        <f>IF(F68+SUM(E$17:E68)=D$10,F68,D$10-SUM(E$17:E68))</f>
        <v>0</v>
      </c>
      <c r="E69" s="378">
        <f>IF(+I14&lt;F68,I14,D69)</f>
        <v>0</v>
      </c>
      <c r="F69" s="55">
        <f t="shared" si="19"/>
        <v>0</v>
      </c>
      <c r="G69" s="380">
        <f t="shared" si="22"/>
        <v>0</v>
      </c>
      <c r="H69" s="364">
        <f t="shared" si="23"/>
        <v>0</v>
      </c>
      <c r="I69" s="52">
        <f t="shared" si="0"/>
        <v>0</v>
      </c>
      <c r="J69" s="52"/>
      <c r="K69" s="129"/>
      <c r="L69" s="54">
        <f t="shared" si="2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 ht="12.5">
      <c r="B70" s="7" t="str">
        <f t="shared" si="7"/>
        <v/>
      </c>
      <c r="C70" s="50">
        <f>IF(D11="","-",+C69+1)</f>
        <v>2070</v>
      </c>
      <c r="D70" s="55">
        <f>IF(F69+SUM(E$17:E69)=D$10,F69,D$10-SUM(E$17:E69))</f>
        <v>0</v>
      </c>
      <c r="E70" s="378">
        <f>IF(+I14&lt;F69,I14,D70)</f>
        <v>0</v>
      </c>
      <c r="F70" s="55">
        <f t="shared" si="19"/>
        <v>0</v>
      </c>
      <c r="G70" s="380">
        <f t="shared" si="22"/>
        <v>0</v>
      </c>
      <c r="H70" s="364">
        <f t="shared" si="23"/>
        <v>0</v>
      </c>
      <c r="I70" s="52">
        <f t="shared" si="0"/>
        <v>0</v>
      </c>
      <c r="J70" s="52"/>
      <c r="K70" s="129"/>
      <c r="L70" s="54">
        <f t="shared" si="2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 ht="12.5">
      <c r="B71" s="7" t="str">
        <f t="shared" si="7"/>
        <v/>
      </c>
      <c r="C71" s="50">
        <f>IF(D11="","-",+C70+1)</f>
        <v>2071</v>
      </c>
      <c r="D71" s="55">
        <f>IF(F70+SUM(E$17:E70)=D$10,F70,D$10-SUM(E$17:E70))</f>
        <v>0</v>
      </c>
      <c r="E71" s="378">
        <f>IF(+I14&lt;F70,I14,D71)</f>
        <v>0</v>
      </c>
      <c r="F71" s="55">
        <f t="shared" si="19"/>
        <v>0</v>
      </c>
      <c r="G71" s="380">
        <f t="shared" si="22"/>
        <v>0</v>
      </c>
      <c r="H71" s="364">
        <f t="shared" si="23"/>
        <v>0</v>
      </c>
      <c r="I71" s="52">
        <f t="shared" si="0"/>
        <v>0</v>
      </c>
      <c r="J71" s="52"/>
      <c r="K71" s="129"/>
      <c r="L71" s="54">
        <f t="shared" si="2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" thickBot="1">
      <c r="B72" s="7" t="str">
        <f t="shared" si="7"/>
        <v/>
      </c>
      <c r="C72" s="59">
        <f>IF(D11="","-",+C71+1)</f>
        <v>2072</v>
      </c>
      <c r="D72" s="60">
        <f>IF(F71+SUM(E$17:E71)=D$10,F71,D$10-SUM(E$17:E71))</f>
        <v>0</v>
      </c>
      <c r="E72" s="381">
        <f>IF(+I14&lt;F71,I14,D72)</f>
        <v>0</v>
      </c>
      <c r="F72" s="60">
        <f t="shared" si="19"/>
        <v>0</v>
      </c>
      <c r="G72" s="382">
        <f t="shared" si="22"/>
        <v>0</v>
      </c>
      <c r="H72" s="362">
        <f t="shared" si="23"/>
        <v>0</v>
      </c>
      <c r="I72" s="63">
        <f t="shared" si="0"/>
        <v>0</v>
      </c>
      <c r="J72" s="52"/>
      <c r="K72" s="130"/>
      <c r="L72" s="64">
        <f t="shared" si="2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 ht="12.5">
      <c r="C73" s="12" t="s">
        <v>78</v>
      </c>
      <c r="D73" s="293"/>
      <c r="E73" s="293">
        <f>SUM(E17:E72)</f>
        <v>2385215.8999999994</v>
      </c>
      <c r="F73" s="293"/>
      <c r="G73" s="293">
        <f>SUM(G17:G72)</f>
        <v>8638355.4672736265</v>
      </c>
      <c r="H73" s="293">
        <f>SUM(H17:H72)</f>
        <v>8638355.4672736265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 ht="13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65 of 77</v>
      </c>
    </row>
    <row r="84" spans="1:16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298050.82617309887</v>
      </c>
      <c r="N87" s="387">
        <f>IF(J92&lt;D11,0,VLOOKUP(J92,C17:O72,11))</f>
        <v>298050.82617309887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305152.78791095637</v>
      </c>
      <c r="N88" s="390">
        <f>IF(J92&lt;D11,0,VLOOKUP(J92,C99:P154,7))</f>
        <v>305152.78791095637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Daingerfield - Jenkins Rebuild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7101.9617378574912</v>
      </c>
      <c r="N89" s="392">
        <f>+N88-N87</f>
        <v>7101.9617378574912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TP2013166</v>
      </c>
      <c r="E91" s="76" t="str">
        <f>E9</f>
        <v xml:space="preserve">  SPP Project ID = 30574</v>
      </c>
      <c r="F91" s="76"/>
      <c r="G91" s="76"/>
      <c r="H91" s="76"/>
      <c r="I91" s="76"/>
      <c r="J91" s="76"/>
    </row>
    <row r="92" spans="1:16" ht="13">
      <c r="C92" s="34" t="s">
        <v>51</v>
      </c>
      <c r="D92" s="394">
        <f>D10</f>
        <v>2385215.9000000004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</row>
    <row r="93" spans="1:16" ht="12.5">
      <c r="C93" s="34" t="s">
        <v>54</v>
      </c>
      <c r="D93" s="88">
        <f>IF(D11=I10,"",D11)</f>
        <v>2017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4">
        <f>IF(D11=I10,"",D12)</f>
        <v>11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54209.452272727278</v>
      </c>
      <c r="K96" s="293"/>
      <c r="L96" s="293"/>
      <c r="M96" s="293"/>
      <c r="N96" s="293"/>
      <c r="O96" s="293"/>
      <c r="P96" s="1"/>
    </row>
    <row r="97" spans="1:16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5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 ht="12.5">
      <c r="C99" s="50">
        <f>IF(D93= "","-",D93)</f>
        <v>2017</v>
      </c>
      <c r="D99" s="145">
        <v>0</v>
      </c>
      <c r="E99" s="446">
        <v>4700.2321428571431</v>
      </c>
      <c r="F99" s="147">
        <v>2364216.7678571427</v>
      </c>
      <c r="G99" s="447">
        <v>1182108.3839285714</v>
      </c>
      <c r="H99" s="448">
        <v>148292.66067911699</v>
      </c>
      <c r="I99" s="449">
        <v>148292.66067911699</v>
      </c>
      <c r="J99" s="54">
        <f t="shared" ref="J99:J130" si="24">+I99-H99</f>
        <v>0</v>
      </c>
      <c r="K99" s="54"/>
      <c r="L99" s="112">
        <f t="shared" ref="L99:L104" si="25">+H99</f>
        <v>148292.66067911699</v>
      </c>
      <c r="M99" s="53">
        <f t="shared" ref="M99:M130" si="26">IF(L99&lt;&gt;0,+H99-L99,0)</f>
        <v>0</v>
      </c>
      <c r="N99" s="112">
        <f t="shared" ref="N99:N104" si="27">+I99</f>
        <v>148292.66067911699</v>
      </c>
      <c r="O99" s="53">
        <f t="shared" ref="O99:O130" si="28">IF(N99&lt;&gt;0,+I99-N99,0)</f>
        <v>0</v>
      </c>
      <c r="P99" s="53">
        <f t="shared" ref="P99:P130" si="29">+O99-M99</f>
        <v>0</v>
      </c>
    </row>
    <row r="100" spans="1:16" ht="12.5">
      <c r="B100" s="7" t="str">
        <f>IF(D100=F99,"","IU")</f>
        <v>IU</v>
      </c>
      <c r="C100" s="50">
        <f>IF(D93="","-",+C99+1)</f>
        <v>2018</v>
      </c>
      <c r="D100" s="429">
        <v>2380515.7678571427</v>
      </c>
      <c r="E100" s="430">
        <v>56790.857142857145</v>
      </c>
      <c r="F100" s="431">
        <v>2323724.9107142854</v>
      </c>
      <c r="G100" s="431">
        <v>2352120.3392857141</v>
      </c>
      <c r="H100" s="433">
        <v>305185.55137142731</v>
      </c>
      <c r="I100" s="434">
        <v>305185.55137142731</v>
      </c>
      <c r="J100" s="54">
        <f t="shared" si="24"/>
        <v>0</v>
      </c>
      <c r="K100" s="54"/>
      <c r="L100" s="450">
        <f t="shared" si="25"/>
        <v>305185.55137142731</v>
      </c>
      <c r="M100" s="54">
        <f t="shared" si="26"/>
        <v>0</v>
      </c>
      <c r="N100" s="450">
        <f t="shared" si="27"/>
        <v>305185.55137142731</v>
      </c>
      <c r="O100" s="54">
        <f t="shared" si="28"/>
        <v>0</v>
      </c>
      <c r="P100" s="54">
        <f t="shared" si="29"/>
        <v>0</v>
      </c>
    </row>
    <row r="101" spans="1:16" ht="12.5">
      <c r="B101" s="7" t="str">
        <f t="shared" ref="B101:B154" si="30">IF(D101=F100,"","IU")</f>
        <v/>
      </c>
      <c r="C101" s="50">
        <f>IF(D93="","-",+C100+1)</f>
        <v>2019</v>
      </c>
      <c r="D101" s="429">
        <v>2323724.9107142854</v>
      </c>
      <c r="E101" s="430">
        <v>55470.139534883718</v>
      </c>
      <c r="F101" s="431">
        <v>2268254.7711794018</v>
      </c>
      <c r="G101" s="431">
        <v>2295989.8409468438</v>
      </c>
      <c r="H101" s="433">
        <v>301234.14696485514</v>
      </c>
      <c r="I101" s="434">
        <v>301234.14696485514</v>
      </c>
      <c r="J101" s="54">
        <f t="shared" si="24"/>
        <v>0</v>
      </c>
      <c r="K101" s="54"/>
      <c r="L101" s="450">
        <f t="shared" si="25"/>
        <v>301234.14696485514</v>
      </c>
      <c r="M101" s="54">
        <f t="shared" ref="M101" si="31">IF(L101&lt;&gt;0,+H101-L101,0)</f>
        <v>0</v>
      </c>
      <c r="N101" s="450">
        <f t="shared" si="27"/>
        <v>301234.14696485514</v>
      </c>
      <c r="O101" s="54">
        <f t="shared" si="28"/>
        <v>0</v>
      </c>
      <c r="P101" s="54">
        <f t="shared" si="29"/>
        <v>0</v>
      </c>
    </row>
    <row r="102" spans="1:16" ht="12.5">
      <c r="B102" s="7" t="str">
        <f t="shared" si="30"/>
        <v/>
      </c>
      <c r="C102" s="50">
        <f>IF(D93="","-",+C101+1)</f>
        <v>2020</v>
      </c>
      <c r="D102" s="429">
        <v>2268254.7711794018</v>
      </c>
      <c r="E102" s="430">
        <v>56790.857142857145</v>
      </c>
      <c r="F102" s="431">
        <v>2211463.9140365445</v>
      </c>
      <c r="G102" s="431">
        <v>2239859.3426079731</v>
      </c>
      <c r="H102" s="433">
        <v>297741.11088977935</v>
      </c>
      <c r="I102" s="434">
        <v>297741.11088977935</v>
      </c>
      <c r="J102" s="54">
        <f t="shared" si="24"/>
        <v>0</v>
      </c>
      <c r="K102" s="54"/>
      <c r="L102" s="450">
        <f t="shared" si="25"/>
        <v>297741.11088977935</v>
      </c>
      <c r="M102" s="54">
        <f t="shared" ref="M102" si="32">IF(L102&lt;&gt;0,+H102-L102,0)</f>
        <v>0</v>
      </c>
      <c r="N102" s="450">
        <f t="shared" si="27"/>
        <v>297741.11088977935</v>
      </c>
      <c r="O102" s="54">
        <f t="shared" si="28"/>
        <v>0</v>
      </c>
      <c r="P102" s="54">
        <f t="shared" si="29"/>
        <v>0</v>
      </c>
    </row>
    <row r="103" spans="1:16" ht="12.5">
      <c r="B103" s="7" t="str">
        <f t="shared" si="30"/>
        <v/>
      </c>
      <c r="C103" s="50">
        <f>IF(D93="","-",+C102+1)</f>
        <v>2021</v>
      </c>
      <c r="D103" s="429">
        <v>2211463.9140365445</v>
      </c>
      <c r="E103" s="430">
        <v>58176</v>
      </c>
      <c r="F103" s="431">
        <v>2153287.9140365445</v>
      </c>
      <c r="G103" s="431">
        <v>2182375.9140365445</v>
      </c>
      <c r="H103" s="433">
        <v>305906.71353430621</v>
      </c>
      <c r="I103" s="434">
        <v>305906.71353430621</v>
      </c>
      <c r="J103" s="54">
        <f t="shared" si="24"/>
        <v>0</v>
      </c>
      <c r="K103" s="54"/>
      <c r="L103" s="450">
        <f t="shared" si="25"/>
        <v>305906.71353430621</v>
      </c>
      <c r="M103" s="54">
        <f t="shared" ref="M103" si="33">IF(L103&lt;&gt;0,+H103-L103,0)</f>
        <v>0</v>
      </c>
      <c r="N103" s="450">
        <f t="shared" si="27"/>
        <v>305906.71353430621</v>
      </c>
      <c r="O103" s="54">
        <f t="shared" si="28"/>
        <v>0</v>
      </c>
      <c r="P103" s="54">
        <f t="shared" si="29"/>
        <v>0</v>
      </c>
    </row>
    <row r="104" spans="1:16" ht="12.5">
      <c r="B104" s="7" t="str">
        <f t="shared" si="30"/>
        <v/>
      </c>
      <c r="C104" s="50">
        <f>IF(D93="","-",+C103+1)</f>
        <v>2022</v>
      </c>
      <c r="D104" s="429">
        <v>2153287.9140365445</v>
      </c>
      <c r="E104" s="430">
        <v>56790.857142857145</v>
      </c>
      <c r="F104" s="431">
        <v>2096497.0568936875</v>
      </c>
      <c r="G104" s="431">
        <v>2124892.4854651159</v>
      </c>
      <c r="H104" s="433">
        <v>306376.14518261742</v>
      </c>
      <c r="I104" s="434">
        <v>306376.14518261742</v>
      </c>
      <c r="J104" s="54">
        <f t="shared" si="24"/>
        <v>0</v>
      </c>
      <c r="K104" s="54"/>
      <c r="L104" s="450">
        <f t="shared" si="25"/>
        <v>306376.14518261742</v>
      </c>
      <c r="M104" s="54">
        <f t="shared" ref="M104" si="34">IF(L104&lt;&gt;0,+H104-L104,0)</f>
        <v>0</v>
      </c>
      <c r="N104" s="450">
        <f t="shared" si="27"/>
        <v>306376.14518261742</v>
      </c>
      <c r="O104" s="54">
        <f t="shared" ref="O104" si="35">IF(N104&lt;&gt;0,+I104-N104,0)</f>
        <v>0</v>
      </c>
      <c r="P104" s="54">
        <f t="shared" ref="P104" si="36">+O104-M104</f>
        <v>0</v>
      </c>
    </row>
    <row r="105" spans="1:16" ht="12.5">
      <c r="B105" s="7" t="str">
        <f t="shared" si="30"/>
        <v>IU</v>
      </c>
      <c r="C105" s="50">
        <f>IF(D93="","-",+C104+1)</f>
        <v>2023</v>
      </c>
      <c r="D105" s="429">
        <v>2096496.9568936881</v>
      </c>
      <c r="E105" s="430">
        <v>54209.452272727278</v>
      </c>
      <c r="F105" s="431">
        <v>2042287.5046209607</v>
      </c>
      <c r="G105" s="431">
        <v>2069392.2307573245</v>
      </c>
      <c r="H105" s="433">
        <v>309500.14115116693</v>
      </c>
      <c r="I105" s="434">
        <v>309500.14115116693</v>
      </c>
      <c r="J105" s="54">
        <f t="shared" si="24"/>
        <v>0</v>
      </c>
      <c r="K105" s="54"/>
      <c r="L105" s="450">
        <f t="shared" ref="L105" si="37">+H105</f>
        <v>309500.14115116693</v>
      </c>
      <c r="M105" s="54">
        <f t="shared" ref="M105" si="38">IF(L105&lt;&gt;0,+H105-L105,0)</f>
        <v>0</v>
      </c>
      <c r="N105" s="450">
        <f t="shared" ref="N105" si="39">+I105</f>
        <v>309500.14115116693</v>
      </c>
      <c r="O105" s="54">
        <f t="shared" si="28"/>
        <v>0</v>
      </c>
      <c r="P105" s="54">
        <f t="shared" si="29"/>
        <v>0</v>
      </c>
    </row>
    <row r="106" spans="1:16" ht="12.5">
      <c r="B106" s="7" t="str">
        <f t="shared" si="30"/>
        <v/>
      </c>
      <c r="C106" s="50">
        <f>IF(D93="","-",+C105+1)</f>
        <v>2024</v>
      </c>
      <c r="D106" s="12">
        <f>IF(F105+SUM(E$99:E105)=D$92,F105,D$92-SUM(E$99:E105))</f>
        <v>2042287.5046209607</v>
      </c>
      <c r="E106" s="378">
        <f>IF(+J96&lt;F105,J96,D106)</f>
        <v>54209.452272727278</v>
      </c>
      <c r="F106" s="55">
        <f t="shared" ref="F106:F130" si="40">+D106-E106</f>
        <v>1988078.0523482333</v>
      </c>
      <c r="G106" s="55">
        <f t="shared" ref="G106:G130" si="41">+(F106+D106)/2</f>
        <v>2015182.7784845969</v>
      </c>
      <c r="H106" s="380">
        <f t="shared" ref="H106:H154" si="42">+J$94*G106+E106</f>
        <v>305152.78791095637</v>
      </c>
      <c r="I106" s="399">
        <f t="shared" ref="I106:I154" si="43">+J$95*G106+E106</f>
        <v>305152.78791095637</v>
      </c>
      <c r="J106" s="54">
        <f t="shared" si="24"/>
        <v>0</v>
      </c>
      <c r="K106" s="54"/>
      <c r="L106" s="129"/>
      <c r="M106" s="54">
        <f t="shared" si="26"/>
        <v>0</v>
      </c>
      <c r="N106" s="129"/>
      <c r="O106" s="54">
        <f t="shared" si="28"/>
        <v>0</v>
      </c>
      <c r="P106" s="54">
        <f t="shared" si="29"/>
        <v>0</v>
      </c>
    </row>
    <row r="107" spans="1:16" ht="12.5">
      <c r="B107" s="7" t="str">
        <f t="shared" si="30"/>
        <v/>
      </c>
      <c r="C107" s="50">
        <f>IF(D93="","-",+C106+1)</f>
        <v>2025</v>
      </c>
      <c r="D107" s="12">
        <f>IF(F106+SUM(E$99:E106)=D$92,F106,D$92-SUM(E$99:E106))</f>
        <v>1988078.0523482333</v>
      </c>
      <c r="E107" s="378">
        <f>IF(+J96&lt;F106,J96,D107)</f>
        <v>54209.452272727278</v>
      </c>
      <c r="F107" s="55">
        <f t="shared" si="40"/>
        <v>1933868.6000755059</v>
      </c>
      <c r="G107" s="55">
        <f t="shared" si="41"/>
        <v>1960973.3262118697</v>
      </c>
      <c r="H107" s="380">
        <f t="shared" si="42"/>
        <v>298402.28323134151</v>
      </c>
      <c r="I107" s="399">
        <f t="shared" si="43"/>
        <v>298402.28323134151</v>
      </c>
      <c r="J107" s="54">
        <f t="shared" si="24"/>
        <v>0</v>
      </c>
      <c r="K107" s="54"/>
      <c r="L107" s="129"/>
      <c r="M107" s="54">
        <f t="shared" si="26"/>
        <v>0</v>
      </c>
      <c r="N107" s="129"/>
      <c r="O107" s="54">
        <f t="shared" si="28"/>
        <v>0</v>
      </c>
      <c r="P107" s="54">
        <f t="shared" si="29"/>
        <v>0</v>
      </c>
    </row>
    <row r="108" spans="1:16" ht="12.5">
      <c r="B108" s="7" t="str">
        <f t="shared" si="30"/>
        <v/>
      </c>
      <c r="C108" s="50">
        <f>IF(D93="","-",+C107+1)</f>
        <v>2026</v>
      </c>
      <c r="D108" s="12">
        <f>IF(F107+SUM(E$99:E107)=D$92,F107,D$92-SUM(E$99:E107))</f>
        <v>1933868.6000755059</v>
      </c>
      <c r="E108" s="378">
        <f>IF(+J96&lt;F107,J96,D108)</f>
        <v>54209.452272727278</v>
      </c>
      <c r="F108" s="55">
        <f t="shared" si="40"/>
        <v>1879659.1478027785</v>
      </c>
      <c r="G108" s="55">
        <f t="shared" si="41"/>
        <v>1906763.8739391421</v>
      </c>
      <c r="H108" s="380">
        <f t="shared" si="42"/>
        <v>291651.7785517266</v>
      </c>
      <c r="I108" s="399">
        <f t="shared" si="43"/>
        <v>291651.7785517266</v>
      </c>
      <c r="J108" s="54">
        <f t="shared" si="24"/>
        <v>0</v>
      </c>
      <c r="K108" s="54"/>
      <c r="L108" s="129"/>
      <c r="M108" s="54">
        <f t="shared" si="26"/>
        <v>0</v>
      </c>
      <c r="N108" s="129"/>
      <c r="O108" s="54">
        <f t="shared" si="28"/>
        <v>0</v>
      </c>
      <c r="P108" s="54">
        <f t="shared" si="29"/>
        <v>0</v>
      </c>
    </row>
    <row r="109" spans="1:16" ht="12.5">
      <c r="B109" s="7" t="str">
        <f t="shared" si="30"/>
        <v/>
      </c>
      <c r="C109" s="50">
        <f>IF(D93="","-",+C108+1)</f>
        <v>2027</v>
      </c>
      <c r="D109" s="12">
        <f>IF(F108+SUM(E$99:E108)=D$92,F108,D$92-SUM(E$99:E108))</f>
        <v>1879659.1478027785</v>
      </c>
      <c r="E109" s="378">
        <f>IF(+J96&lt;F108,J96,D109)</f>
        <v>54209.452272727278</v>
      </c>
      <c r="F109" s="55">
        <f t="shared" si="40"/>
        <v>1825449.6955300511</v>
      </c>
      <c r="G109" s="55">
        <f t="shared" si="41"/>
        <v>1852554.4216664149</v>
      </c>
      <c r="H109" s="380">
        <f t="shared" si="42"/>
        <v>284901.27387211175</v>
      </c>
      <c r="I109" s="399">
        <f t="shared" si="43"/>
        <v>284901.27387211175</v>
      </c>
      <c r="J109" s="54">
        <f t="shared" si="24"/>
        <v>0</v>
      </c>
      <c r="K109" s="54"/>
      <c r="L109" s="129"/>
      <c r="M109" s="54">
        <f t="shared" si="26"/>
        <v>0</v>
      </c>
      <c r="N109" s="129"/>
      <c r="O109" s="54">
        <f t="shared" si="28"/>
        <v>0</v>
      </c>
      <c r="P109" s="54">
        <f t="shared" si="29"/>
        <v>0</v>
      </c>
    </row>
    <row r="110" spans="1:16" ht="12.5">
      <c r="B110" s="7" t="str">
        <f t="shared" si="30"/>
        <v/>
      </c>
      <c r="C110" s="50">
        <f>IF(D93="","-",+C109+1)</f>
        <v>2028</v>
      </c>
      <c r="D110" s="12">
        <f>IF(F109+SUM(E$99:E109)=D$92,F109,D$92-SUM(E$99:E109))</f>
        <v>1825449.6955300511</v>
      </c>
      <c r="E110" s="378">
        <f>IF(+J96&lt;F109,J96,D110)</f>
        <v>54209.452272727278</v>
      </c>
      <c r="F110" s="55">
        <f t="shared" si="40"/>
        <v>1771240.2432573237</v>
      </c>
      <c r="G110" s="55">
        <f t="shared" si="41"/>
        <v>1798344.9693936873</v>
      </c>
      <c r="H110" s="380">
        <f t="shared" si="42"/>
        <v>278150.76919249684</v>
      </c>
      <c r="I110" s="399">
        <f t="shared" si="43"/>
        <v>278150.76919249684</v>
      </c>
      <c r="J110" s="54">
        <f t="shared" si="24"/>
        <v>0</v>
      </c>
      <c r="K110" s="54"/>
      <c r="L110" s="129"/>
      <c r="M110" s="54">
        <f t="shared" si="26"/>
        <v>0</v>
      </c>
      <c r="N110" s="129"/>
      <c r="O110" s="54">
        <f t="shared" si="28"/>
        <v>0</v>
      </c>
      <c r="P110" s="54">
        <f t="shared" si="29"/>
        <v>0</v>
      </c>
    </row>
    <row r="111" spans="1:16" ht="12.5">
      <c r="B111" s="7" t="str">
        <f t="shared" si="30"/>
        <v/>
      </c>
      <c r="C111" s="50">
        <f>IF(D93="","-",+C110+1)</f>
        <v>2029</v>
      </c>
      <c r="D111" s="12">
        <f>IF(F110+SUM(E$99:E110)=D$92,F110,D$92-SUM(E$99:E110))</f>
        <v>1771240.2432573237</v>
      </c>
      <c r="E111" s="378">
        <f>IF(+J96&lt;F110,J96,D111)</f>
        <v>54209.452272727278</v>
      </c>
      <c r="F111" s="55">
        <f t="shared" si="40"/>
        <v>1717030.7909845964</v>
      </c>
      <c r="G111" s="55">
        <f t="shared" si="41"/>
        <v>1744135.5171209602</v>
      </c>
      <c r="H111" s="380">
        <f t="shared" si="42"/>
        <v>271400.26451288199</v>
      </c>
      <c r="I111" s="399">
        <f t="shared" si="43"/>
        <v>271400.26451288199</v>
      </c>
      <c r="J111" s="54">
        <f t="shared" si="24"/>
        <v>0</v>
      </c>
      <c r="K111" s="54"/>
      <c r="L111" s="129"/>
      <c r="M111" s="54">
        <f t="shared" si="26"/>
        <v>0</v>
      </c>
      <c r="N111" s="129"/>
      <c r="O111" s="54">
        <f t="shared" si="28"/>
        <v>0</v>
      </c>
      <c r="P111" s="54">
        <f t="shared" si="29"/>
        <v>0</v>
      </c>
    </row>
    <row r="112" spans="1:16" ht="12.5">
      <c r="B112" s="7" t="str">
        <f t="shared" si="30"/>
        <v/>
      </c>
      <c r="C112" s="50">
        <f>IF(D93="","-",+C111+1)</f>
        <v>2030</v>
      </c>
      <c r="D112" s="12">
        <f>IF(F111+SUM(E$99:E111)=D$92,F111,D$92-SUM(E$99:E111))</f>
        <v>1717030.7909845964</v>
      </c>
      <c r="E112" s="378">
        <f>IF(+J96&lt;F111,J96,D112)</f>
        <v>54209.452272727278</v>
      </c>
      <c r="F112" s="55">
        <f t="shared" si="40"/>
        <v>1662821.338711869</v>
      </c>
      <c r="G112" s="55">
        <f t="shared" si="41"/>
        <v>1689926.0648482325</v>
      </c>
      <c r="H112" s="380">
        <f t="shared" si="42"/>
        <v>264649.75983326708</v>
      </c>
      <c r="I112" s="399">
        <f t="shared" si="43"/>
        <v>264649.75983326708</v>
      </c>
      <c r="J112" s="54">
        <f t="shared" si="24"/>
        <v>0</v>
      </c>
      <c r="K112" s="54"/>
      <c r="L112" s="129"/>
      <c r="M112" s="54">
        <f t="shared" si="26"/>
        <v>0</v>
      </c>
      <c r="N112" s="129"/>
      <c r="O112" s="54">
        <f t="shared" si="28"/>
        <v>0</v>
      </c>
      <c r="P112" s="54">
        <f t="shared" si="29"/>
        <v>0</v>
      </c>
    </row>
    <row r="113" spans="2:16" ht="12.5">
      <c r="B113" s="7" t="str">
        <f t="shared" si="30"/>
        <v/>
      </c>
      <c r="C113" s="50">
        <f>IF(D93="","-",+C112+1)</f>
        <v>2031</v>
      </c>
      <c r="D113" s="12">
        <f>IF(F112+SUM(E$99:E112)=D$92,F112,D$92-SUM(E$99:E112))</f>
        <v>1662821.338711869</v>
      </c>
      <c r="E113" s="378">
        <f>IF(+J96&lt;F112,J96,D113)</f>
        <v>54209.452272727278</v>
      </c>
      <c r="F113" s="55">
        <f t="shared" si="40"/>
        <v>1608611.8864391416</v>
      </c>
      <c r="G113" s="55">
        <f t="shared" si="41"/>
        <v>1635716.6125755054</v>
      </c>
      <c r="H113" s="380">
        <f t="shared" si="42"/>
        <v>257899.25515365219</v>
      </c>
      <c r="I113" s="399">
        <f t="shared" si="43"/>
        <v>257899.25515365219</v>
      </c>
      <c r="J113" s="54">
        <f t="shared" si="24"/>
        <v>0</v>
      </c>
      <c r="K113" s="54"/>
      <c r="L113" s="129"/>
      <c r="M113" s="54">
        <f t="shared" si="26"/>
        <v>0</v>
      </c>
      <c r="N113" s="129"/>
      <c r="O113" s="54">
        <f t="shared" si="28"/>
        <v>0</v>
      </c>
      <c r="P113" s="54">
        <f t="shared" si="29"/>
        <v>0</v>
      </c>
    </row>
    <row r="114" spans="2:16" ht="12.5">
      <c r="B114" s="7" t="str">
        <f t="shared" si="30"/>
        <v/>
      </c>
      <c r="C114" s="50">
        <f>IF(D93="","-",+C113+1)</f>
        <v>2032</v>
      </c>
      <c r="D114" s="12">
        <f>IF(F113+SUM(E$99:E113)=D$92,F113,D$92-SUM(E$99:E113))</f>
        <v>1608611.8864391416</v>
      </c>
      <c r="E114" s="378">
        <f>IF(+J96&lt;F113,J96,D114)</f>
        <v>54209.452272727278</v>
      </c>
      <c r="F114" s="55">
        <f t="shared" si="40"/>
        <v>1554402.4341664142</v>
      </c>
      <c r="G114" s="55">
        <f t="shared" si="41"/>
        <v>1581507.1603027778</v>
      </c>
      <c r="H114" s="380">
        <f t="shared" si="42"/>
        <v>251148.75047403731</v>
      </c>
      <c r="I114" s="399">
        <f t="shared" si="43"/>
        <v>251148.75047403731</v>
      </c>
      <c r="J114" s="54">
        <f t="shared" si="24"/>
        <v>0</v>
      </c>
      <c r="K114" s="54"/>
      <c r="L114" s="129"/>
      <c r="M114" s="54">
        <f t="shared" si="26"/>
        <v>0</v>
      </c>
      <c r="N114" s="129"/>
      <c r="O114" s="54">
        <f t="shared" si="28"/>
        <v>0</v>
      </c>
      <c r="P114" s="54">
        <f t="shared" si="29"/>
        <v>0</v>
      </c>
    </row>
    <row r="115" spans="2:16" ht="12.5">
      <c r="B115" s="7" t="str">
        <f t="shared" si="30"/>
        <v/>
      </c>
      <c r="C115" s="50">
        <f>IF(D93="","-",+C114+1)</f>
        <v>2033</v>
      </c>
      <c r="D115" s="12">
        <f>IF(F114+SUM(E$99:E114)=D$92,F114,D$92-SUM(E$99:E114))</f>
        <v>1554402.4341664142</v>
      </c>
      <c r="E115" s="378">
        <f>IF(+J96&lt;F114,J96,D115)</f>
        <v>54209.452272727278</v>
      </c>
      <c r="F115" s="55">
        <f t="shared" si="40"/>
        <v>1500192.9818936868</v>
      </c>
      <c r="G115" s="55">
        <f t="shared" si="41"/>
        <v>1527297.7080300506</v>
      </c>
      <c r="H115" s="380">
        <f t="shared" si="42"/>
        <v>244398.24579442246</v>
      </c>
      <c r="I115" s="399">
        <f t="shared" si="43"/>
        <v>244398.24579442246</v>
      </c>
      <c r="J115" s="54">
        <f t="shared" si="24"/>
        <v>0</v>
      </c>
      <c r="K115" s="54"/>
      <c r="L115" s="129"/>
      <c r="M115" s="54">
        <f t="shared" si="26"/>
        <v>0</v>
      </c>
      <c r="N115" s="129"/>
      <c r="O115" s="54">
        <f t="shared" si="28"/>
        <v>0</v>
      </c>
      <c r="P115" s="54">
        <f t="shared" si="29"/>
        <v>0</v>
      </c>
    </row>
    <row r="116" spans="2:16" ht="12.5">
      <c r="B116" s="7" t="str">
        <f t="shared" si="30"/>
        <v/>
      </c>
      <c r="C116" s="50">
        <f>IF(D93="","-",+C115+1)</f>
        <v>2034</v>
      </c>
      <c r="D116" s="12">
        <f>IF(F115+SUM(E$99:E115)=D$92,F115,D$92-SUM(E$99:E115))</f>
        <v>1500192.9818936868</v>
      </c>
      <c r="E116" s="378">
        <f>IF(+J96&lt;F115,J96,D116)</f>
        <v>54209.452272727278</v>
      </c>
      <c r="F116" s="55">
        <f t="shared" si="40"/>
        <v>1445983.5296209594</v>
      </c>
      <c r="G116" s="55">
        <f t="shared" si="41"/>
        <v>1473088.255757323</v>
      </c>
      <c r="H116" s="380">
        <f t="shared" si="42"/>
        <v>237647.74111480755</v>
      </c>
      <c r="I116" s="399">
        <f t="shared" si="43"/>
        <v>237647.74111480755</v>
      </c>
      <c r="J116" s="54">
        <f t="shared" si="24"/>
        <v>0</v>
      </c>
      <c r="K116" s="54"/>
      <c r="L116" s="129"/>
      <c r="M116" s="54">
        <f t="shared" si="26"/>
        <v>0</v>
      </c>
      <c r="N116" s="129"/>
      <c r="O116" s="54">
        <f t="shared" si="28"/>
        <v>0</v>
      </c>
      <c r="P116" s="54">
        <f t="shared" si="29"/>
        <v>0</v>
      </c>
    </row>
    <row r="117" spans="2:16" ht="12.5">
      <c r="B117" s="7" t="str">
        <f t="shared" si="30"/>
        <v/>
      </c>
      <c r="C117" s="50">
        <f>IF(D93="","-",+C116+1)</f>
        <v>2035</v>
      </c>
      <c r="D117" s="12">
        <f>IF(F116+SUM(E$99:E116)=D$92,F116,D$92-SUM(E$99:E116))</f>
        <v>1445983.5296209594</v>
      </c>
      <c r="E117" s="378">
        <f>IF(+J96&lt;F116,J96,D117)</f>
        <v>54209.452272727278</v>
      </c>
      <c r="F117" s="55">
        <f t="shared" si="40"/>
        <v>1391774.077348232</v>
      </c>
      <c r="G117" s="55">
        <f t="shared" si="41"/>
        <v>1418878.8034845958</v>
      </c>
      <c r="H117" s="380">
        <f t="shared" si="42"/>
        <v>230897.2364351927</v>
      </c>
      <c r="I117" s="399">
        <f t="shared" si="43"/>
        <v>230897.2364351927</v>
      </c>
      <c r="J117" s="54">
        <f t="shared" si="24"/>
        <v>0</v>
      </c>
      <c r="K117" s="54"/>
      <c r="L117" s="129"/>
      <c r="M117" s="54">
        <f t="shared" si="26"/>
        <v>0</v>
      </c>
      <c r="N117" s="129"/>
      <c r="O117" s="54">
        <f t="shared" si="28"/>
        <v>0</v>
      </c>
      <c r="P117" s="54">
        <f t="shared" si="29"/>
        <v>0</v>
      </c>
    </row>
    <row r="118" spans="2:16" ht="12.5">
      <c r="B118" s="7" t="str">
        <f t="shared" si="30"/>
        <v/>
      </c>
      <c r="C118" s="50">
        <f>IF(D93="","-",+C117+1)</f>
        <v>2036</v>
      </c>
      <c r="D118" s="12">
        <f>IF(F117+SUM(E$99:E117)=D$92,F117,D$92-SUM(E$99:E117))</f>
        <v>1391774.077348232</v>
      </c>
      <c r="E118" s="378">
        <f>IF(+J96&lt;F117,J96,D118)</f>
        <v>54209.452272727278</v>
      </c>
      <c r="F118" s="55">
        <f t="shared" si="40"/>
        <v>1337564.6250755046</v>
      </c>
      <c r="G118" s="55">
        <f t="shared" si="41"/>
        <v>1364669.3512118682</v>
      </c>
      <c r="H118" s="380">
        <f t="shared" si="42"/>
        <v>224146.73175557778</v>
      </c>
      <c r="I118" s="399">
        <f t="shared" si="43"/>
        <v>224146.73175557778</v>
      </c>
      <c r="J118" s="54">
        <f t="shared" si="24"/>
        <v>0</v>
      </c>
      <c r="K118" s="54"/>
      <c r="L118" s="129"/>
      <c r="M118" s="54">
        <f t="shared" si="26"/>
        <v>0</v>
      </c>
      <c r="N118" s="129"/>
      <c r="O118" s="54">
        <f t="shared" si="28"/>
        <v>0</v>
      </c>
      <c r="P118" s="54">
        <f t="shared" si="29"/>
        <v>0</v>
      </c>
    </row>
    <row r="119" spans="2:16" ht="12.5">
      <c r="B119" s="7" t="str">
        <f t="shared" si="30"/>
        <v/>
      </c>
      <c r="C119" s="50">
        <f>IF(D93="","-",+C118+1)</f>
        <v>2037</v>
      </c>
      <c r="D119" s="12">
        <f>IF(F118+SUM(E$99:E118)=D$92,F118,D$92-SUM(E$99:E118))</f>
        <v>1337564.6250755046</v>
      </c>
      <c r="E119" s="378">
        <f>IF(+J96&lt;F118,J96,D119)</f>
        <v>54209.452272727278</v>
      </c>
      <c r="F119" s="55">
        <f t="shared" si="40"/>
        <v>1283355.1728027773</v>
      </c>
      <c r="G119" s="55">
        <f t="shared" si="41"/>
        <v>1310459.8989391411</v>
      </c>
      <c r="H119" s="380">
        <f t="shared" si="42"/>
        <v>217396.22707596293</v>
      </c>
      <c r="I119" s="399">
        <f t="shared" si="43"/>
        <v>217396.22707596293</v>
      </c>
      <c r="J119" s="54">
        <f t="shared" si="24"/>
        <v>0</v>
      </c>
      <c r="K119" s="54"/>
      <c r="L119" s="129"/>
      <c r="M119" s="54">
        <f t="shared" si="26"/>
        <v>0</v>
      </c>
      <c r="N119" s="129"/>
      <c r="O119" s="54">
        <f t="shared" si="28"/>
        <v>0</v>
      </c>
      <c r="P119" s="54">
        <f t="shared" si="29"/>
        <v>0</v>
      </c>
    </row>
    <row r="120" spans="2:16" ht="12.5">
      <c r="B120" s="7" t="str">
        <f t="shared" si="30"/>
        <v/>
      </c>
      <c r="C120" s="50">
        <f>IF(D93="","-",+C119+1)</f>
        <v>2038</v>
      </c>
      <c r="D120" s="12">
        <f>IF(F119+SUM(E$99:E119)=D$92,F119,D$92-SUM(E$99:E119))</f>
        <v>1283355.1728027773</v>
      </c>
      <c r="E120" s="378">
        <f>IF(+J96&lt;F119,J96,D120)</f>
        <v>54209.452272727278</v>
      </c>
      <c r="F120" s="55">
        <f t="shared" si="40"/>
        <v>1229145.7205300499</v>
      </c>
      <c r="G120" s="55">
        <f t="shared" si="41"/>
        <v>1256250.4466664135</v>
      </c>
      <c r="H120" s="380">
        <f t="shared" si="42"/>
        <v>210645.72239634802</v>
      </c>
      <c r="I120" s="399">
        <f t="shared" si="43"/>
        <v>210645.72239634802</v>
      </c>
      <c r="J120" s="54">
        <f t="shared" si="24"/>
        <v>0</v>
      </c>
      <c r="K120" s="54"/>
      <c r="L120" s="129"/>
      <c r="M120" s="54">
        <f t="shared" si="26"/>
        <v>0</v>
      </c>
      <c r="N120" s="129"/>
      <c r="O120" s="54">
        <f t="shared" si="28"/>
        <v>0</v>
      </c>
      <c r="P120" s="54">
        <f t="shared" si="29"/>
        <v>0</v>
      </c>
    </row>
    <row r="121" spans="2:16" ht="12.5">
      <c r="B121" s="7" t="str">
        <f t="shared" si="30"/>
        <v/>
      </c>
      <c r="C121" s="50">
        <f>IF(D93="","-",+C120+1)</f>
        <v>2039</v>
      </c>
      <c r="D121" s="12">
        <f>IF(F120+SUM(E$99:E120)=D$92,F120,D$92-SUM(E$99:E120))</f>
        <v>1229145.7205300499</v>
      </c>
      <c r="E121" s="378">
        <f>IF(+J96&lt;F120,J96,D121)</f>
        <v>54209.452272727278</v>
      </c>
      <c r="F121" s="55">
        <f t="shared" si="40"/>
        <v>1174936.2682573225</v>
      </c>
      <c r="G121" s="55">
        <f t="shared" si="41"/>
        <v>1202040.9943936863</v>
      </c>
      <c r="H121" s="380">
        <f t="shared" si="42"/>
        <v>203895.21771673317</v>
      </c>
      <c r="I121" s="399">
        <f t="shared" si="43"/>
        <v>203895.21771673317</v>
      </c>
      <c r="J121" s="54">
        <f t="shared" si="24"/>
        <v>0</v>
      </c>
      <c r="K121" s="54"/>
      <c r="L121" s="129"/>
      <c r="M121" s="54">
        <f t="shared" si="26"/>
        <v>0</v>
      </c>
      <c r="N121" s="129"/>
      <c r="O121" s="54">
        <f t="shared" si="28"/>
        <v>0</v>
      </c>
      <c r="P121" s="54">
        <f t="shared" si="29"/>
        <v>0</v>
      </c>
    </row>
    <row r="122" spans="2:16" ht="12.5">
      <c r="B122" s="7" t="str">
        <f t="shared" si="30"/>
        <v/>
      </c>
      <c r="C122" s="50">
        <f>IF(D93="","-",+C121+1)</f>
        <v>2040</v>
      </c>
      <c r="D122" s="12">
        <f>IF(F121+SUM(E$99:E121)=D$92,F121,D$92-SUM(E$99:E121))</f>
        <v>1174936.2682573225</v>
      </c>
      <c r="E122" s="378">
        <f>IF(+J96&lt;F121,J96,D122)</f>
        <v>54209.452272727278</v>
      </c>
      <c r="F122" s="55">
        <f t="shared" si="40"/>
        <v>1120726.8159845951</v>
      </c>
      <c r="G122" s="55">
        <f t="shared" si="41"/>
        <v>1147831.5421209587</v>
      </c>
      <c r="H122" s="380">
        <f t="shared" si="42"/>
        <v>197144.71303711826</v>
      </c>
      <c r="I122" s="399">
        <f t="shared" si="43"/>
        <v>197144.71303711826</v>
      </c>
      <c r="J122" s="54">
        <f t="shared" si="24"/>
        <v>0</v>
      </c>
      <c r="K122" s="54"/>
      <c r="L122" s="129"/>
      <c r="M122" s="54">
        <f t="shared" si="26"/>
        <v>0</v>
      </c>
      <c r="N122" s="129"/>
      <c r="O122" s="54">
        <f t="shared" si="28"/>
        <v>0</v>
      </c>
      <c r="P122" s="54">
        <f t="shared" si="29"/>
        <v>0</v>
      </c>
    </row>
    <row r="123" spans="2:16" ht="12.5">
      <c r="B123" s="7" t="str">
        <f t="shared" si="30"/>
        <v/>
      </c>
      <c r="C123" s="50">
        <f>IF(D93="","-",+C122+1)</f>
        <v>2041</v>
      </c>
      <c r="D123" s="12">
        <f>IF(F122+SUM(E$99:E122)=D$92,F122,D$92-SUM(E$99:E122))</f>
        <v>1120726.8159845951</v>
      </c>
      <c r="E123" s="378">
        <f>IF(+J96&lt;F122,J96,D123)</f>
        <v>54209.452272727278</v>
      </c>
      <c r="F123" s="55">
        <f t="shared" si="40"/>
        <v>1066517.3637118677</v>
      </c>
      <c r="G123" s="55">
        <f t="shared" si="41"/>
        <v>1093622.0898482315</v>
      </c>
      <c r="H123" s="380">
        <f t="shared" si="42"/>
        <v>190394.2083575034</v>
      </c>
      <c r="I123" s="399">
        <f t="shared" si="43"/>
        <v>190394.2083575034</v>
      </c>
      <c r="J123" s="54">
        <f t="shared" si="24"/>
        <v>0</v>
      </c>
      <c r="K123" s="54"/>
      <c r="L123" s="129"/>
      <c r="M123" s="54">
        <f t="shared" si="26"/>
        <v>0</v>
      </c>
      <c r="N123" s="129"/>
      <c r="O123" s="54">
        <f t="shared" si="28"/>
        <v>0</v>
      </c>
      <c r="P123" s="54">
        <f t="shared" si="29"/>
        <v>0</v>
      </c>
    </row>
    <row r="124" spans="2:16" ht="12.5">
      <c r="B124" s="7" t="str">
        <f t="shared" si="30"/>
        <v/>
      </c>
      <c r="C124" s="50">
        <f>IF(D93="","-",+C123+1)</f>
        <v>2042</v>
      </c>
      <c r="D124" s="12">
        <f>IF(F123+SUM(E$99:E123)=D$92,F123,D$92-SUM(E$99:E123))</f>
        <v>1066517.3637118677</v>
      </c>
      <c r="E124" s="378">
        <f>IF(+J96&lt;F123,J96,D124)</f>
        <v>54209.452272727278</v>
      </c>
      <c r="F124" s="55">
        <f t="shared" si="40"/>
        <v>1012307.9114391404</v>
      </c>
      <c r="G124" s="55">
        <f t="shared" si="41"/>
        <v>1039412.6375755041</v>
      </c>
      <c r="H124" s="380">
        <f t="shared" si="42"/>
        <v>183643.70367788852</v>
      </c>
      <c r="I124" s="399">
        <f t="shared" si="43"/>
        <v>183643.70367788852</v>
      </c>
      <c r="J124" s="54">
        <f t="shared" si="24"/>
        <v>0</v>
      </c>
      <c r="K124" s="54"/>
      <c r="L124" s="129"/>
      <c r="M124" s="54">
        <f t="shared" si="26"/>
        <v>0</v>
      </c>
      <c r="N124" s="129"/>
      <c r="O124" s="54">
        <f t="shared" si="28"/>
        <v>0</v>
      </c>
      <c r="P124" s="54">
        <f t="shared" si="29"/>
        <v>0</v>
      </c>
    </row>
    <row r="125" spans="2:16" ht="12.5">
      <c r="B125" s="7" t="str">
        <f t="shared" si="30"/>
        <v/>
      </c>
      <c r="C125" s="50">
        <f>IF(D93="","-",+C124+1)</f>
        <v>2043</v>
      </c>
      <c r="D125" s="12">
        <f>IF(F124+SUM(E$99:E124)=D$92,F124,D$92-SUM(E$99:E124))</f>
        <v>1012307.9114391404</v>
      </c>
      <c r="E125" s="378">
        <f>IF(+J96&lt;F124,J96,D125)</f>
        <v>54209.452272727278</v>
      </c>
      <c r="F125" s="55">
        <f t="shared" si="40"/>
        <v>958098.45916641317</v>
      </c>
      <c r="G125" s="55">
        <f t="shared" si="41"/>
        <v>985203.18530277675</v>
      </c>
      <c r="H125" s="380">
        <f t="shared" si="42"/>
        <v>176893.19899827364</v>
      </c>
      <c r="I125" s="399">
        <f t="shared" si="43"/>
        <v>176893.19899827364</v>
      </c>
      <c r="J125" s="54">
        <f t="shared" si="24"/>
        <v>0</v>
      </c>
      <c r="K125" s="54"/>
      <c r="L125" s="129"/>
      <c r="M125" s="54">
        <f t="shared" si="26"/>
        <v>0</v>
      </c>
      <c r="N125" s="129"/>
      <c r="O125" s="54">
        <f t="shared" si="28"/>
        <v>0</v>
      </c>
      <c r="P125" s="54">
        <f t="shared" si="29"/>
        <v>0</v>
      </c>
    </row>
    <row r="126" spans="2:16" ht="12.5">
      <c r="B126" s="7" t="str">
        <f t="shared" si="30"/>
        <v/>
      </c>
      <c r="C126" s="50">
        <f>IF(D93="","-",+C125+1)</f>
        <v>2044</v>
      </c>
      <c r="D126" s="12">
        <f>IF(F125+SUM(E$99:E125)=D$92,F125,D$92-SUM(E$99:E125))</f>
        <v>958098.45916641317</v>
      </c>
      <c r="E126" s="378">
        <f>IF(+J96&lt;F125,J96,D126)</f>
        <v>54209.452272727278</v>
      </c>
      <c r="F126" s="55">
        <f t="shared" si="40"/>
        <v>903889.0068936859</v>
      </c>
      <c r="G126" s="55">
        <f t="shared" si="41"/>
        <v>930993.7330300496</v>
      </c>
      <c r="H126" s="380">
        <f t="shared" si="42"/>
        <v>170142.69431865879</v>
      </c>
      <c r="I126" s="399">
        <f t="shared" si="43"/>
        <v>170142.69431865879</v>
      </c>
      <c r="J126" s="54">
        <f t="shared" si="24"/>
        <v>0</v>
      </c>
      <c r="K126" s="54"/>
      <c r="L126" s="129"/>
      <c r="M126" s="54">
        <f t="shared" si="26"/>
        <v>0</v>
      </c>
      <c r="N126" s="129"/>
      <c r="O126" s="54">
        <f t="shared" si="28"/>
        <v>0</v>
      </c>
      <c r="P126" s="54">
        <f t="shared" si="29"/>
        <v>0</v>
      </c>
    </row>
    <row r="127" spans="2:16" ht="12.5">
      <c r="B127" s="7" t="str">
        <f t="shared" si="30"/>
        <v/>
      </c>
      <c r="C127" s="50">
        <f>IF(D93="","-",+C126+1)</f>
        <v>2045</v>
      </c>
      <c r="D127" s="12">
        <f>IF(F126+SUM(E$99:E126)=D$92,F126,D$92-SUM(E$99:E126))</f>
        <v>903889.0068936859</v>
      </c>
      <c r="E127" s="378">
        <f>IF(+J96&lt;F126,J96,D127)</f>
        <v>54209.452272727278</v>
      </c>
      <c r="F127" s="55">
        <f t="shared" si="40"/>
        <v>849679.55462095863</v>
      </c>
      <c r="G127" s="55">
        <f t="shared" si="41"/>
        <v>876784.28075732221</v>
      </c>
      <c r="H127" s="380">
        <f t="shared" si="42"/>
        <v>163392.18963904391</v>
      </c>
      <c r="I127" s="399">
        <f t="shared" si="43"/>
        <v>163392.18963904391</v>
      </c>
      <c r="J127" s="54">
        <f t="shared" si="24"/>
        <v>0</v>
      </c>
      <c r="K127" s="54"/>
      <c r="L127" s="129"/>
      <c r="M127" s="54">
        <f t="shared" si="26"/>
        <v>0</v>
      </c>
      <c r="N127" s="129"/>
      <c r="O127" s="54">
        <f t="shared" si="28"/>
        <v>0</v>
      </c>
      <c r="P127" s="54">
        <f t="shared" si="29"/>
        <v>0</v>
      </c>
    </row>
    <row r="128" spans="2:16" ht="12.5">
      <c r="B128" s="7" t="str">
        <f t="shared" si="30"/>
        <v/>
      </c>
      <c r="C128" s="50">
        <f>IF(D93="","-",+C127+1)</f>
        <v>2046</v>
      </c>
      <c r="D128" s="12">
        <f>IF(F127+SUM(E$99:E127)=D$92,F127,D$92-SUM(E$99:E127))</f>
        <v>849679.55462095863</v>
      </c>
      <c r="E128" s="378">
        <f>IF(+J96&lt;F127,J96,D128)</f>
        <v>54209.452272727278</v>
      </c>
      <c r="F128" s="55">
        <f t="shared" si="40"/>
        <v>795470.10234823136</v>
      </c>
      <c r="G128" s="55">
        <f t="shared" si="41"/>
        <v>822574.82848459505</v>
      </c>
      <c r="H128" s="380">
        <f t="shared" si="42"/>
        <v>156641.68495942905</v>
      </c>
      <c r="I128" s="399">
        <f t="shared" si="43"/>
        <v>156641.68495942905</v>
      </c>
      <c r="J128" s="54">
        <f t="shared" si="24"/>
        <v>0</v>
      </c>
      <c r="K128" s="54"/>
      <c r="L128" s="129"/>
      <c r="M128" s="54">
        <f t="shared" si="26"/>
        <v>0</v>
      </c>
      <c r="N128" s="129"/>
      <c r="O128" s="54">
        <f t="shared" si="28"/>
        <v>0</v>
      </c>
      <c r="P128" s="54">
        <f t="shared" si="29"/>
        <v>0</v>
      </c>
    </row>
    <row r="129" spans="2:16" ht="12.5">
      <c r="B129" s="7" t="str">
        <f t="shared" si="30"/>
        <v/>
      </c>
      <c r="C129" s="50">
        <f>IF(D93="","-",+C128+1)</f>
        <v>2047</v>
      </c>
      <c r="D129" s="12">
        <f>IF(F128+SUM(E$99:E128)=D$92,F128,D$92-SUM(E$99:E128))</f>
        <v>795470.10234823136</v>
      </c>
      <c r="E129" s="378">
        <f>IF(+J96&lt;F128,J96,D129)</f>
        <v>54209.452272727278</v>
      </c>
      <c r="F129" s="55">
        <f t="shared" si="40"/>
        <v>741260.65007550409</v>
      </c>
      <c r="G129" s="55">
        <f t="shared" si="41"/>
        <v>768365.37621186767</v>
      </c>
      <c r="H129" s="380">
        <f t="shared" si="42"/>
        <v>149891.18027981417</v>
      </c>
      <c r="I129" s="399">
        <f t="shared" si="43"/>
        <v>149891.18027981417</v>
      </c>
      <c r="J129" s="54">
        <f t="shared" si="24"/>
        <v>0</v>
      </c>
      <c r="K129" s="54"/>
      <c r="L129" s="129"/>
      <c r="M129" s="54">
        <f t="shared" si="26"/>
        <v>0</v>
      </c>
      <c r="N129" s="129"/>
      <c r="O129" s="54">
        <f t="shared" si="28"/>
        <v>0</v>
      </c>
      <c r="P129" s="54">
        <f t="shared" si="29"/>
        <v>0</v>
      </c>
    </row>
    <row r="130" spans="2:16" ht="12.5">
      <c r="B130" s="7" t="str">
        <f t="shared" si="30"/>
        <v/>
      </c>
      <c r="C130" s="50">
        <f>IF(D93="","-",+C129+1)</f>
        <v>2048</v>
      </c>
      <c r="D130" s="12">
        <f>IF(F129+SUM(E$99:E129)=D$92,F129,D$92-SUM(E$99:E129))</f>
        <v>741260.65007550409</v>
      </c>
      <c r="E130" s="378">
        <f>IF(+J96&lt;F129,J96,D130)</f>
        <v>54209.452272727278</v>
      </c>
      <c r="F130" s="55">
        <f t="shared" si="40"/>
        <v>687051.19780277682</v>
      </c>
      <c r="G130" s="55">
        <f t="shared" si="41"/>
        <v>714155.92393914051</v>
      </c>
      <c r="H130" s="380">
        <f t="shared" si="42"/>
        <v>143140.67560019932</v>
      </c>
      <c r="I130" s="399">
        <f t="shared" si="43"/>
        <v>143140.67560019932</v>
      </c>
      <c r="J130" s="54">
        <f t="shared" si="24"/>
        <v>0</v>
      </c>
      <c r="K130" s="54"/>
      <c r="L130" s="129"/>
      <c r="M130" s="54">
        <f t="shared" si="26"/>
        <v>0</v>
      </c>
      <c r="N130" s="129"/>
      <c r="O130" s="54">
        <f t="shared" si="28"/>
        <v>0</v>
      </c>
      <c r="P130" s="54">
        <f t="shared" si="29"/>
        <v>0</v>
      </c>
    </row>
    <row r="131" spans="2:16" ht="12.5">
      <c r="B131" s="7" t="str">
        <f t="shared" si="30"/>
        <v/>
      </c>
      <c r="C131" s="50">
        <f>IF(D93="","-",+C130+1)</f>
        <v>2049</v>
      </c>
      <c r="D131" s="12">
        <f>IF(F130+SUM(E$99:E130)=D$92,F130,D$92-SUM(E$99:E130))</f>
        <v>687051.19780277682</v>
      </c>
      <c r="E131" s="378">
        <f>IF(+J96&lt;F130,J96,D131)</f>
        <v>54209.452272727278</v>
      </c>
      <c r="F131" s="55">
        <f t="shared" ref="F131:F154" si="44">+D131-E131</f>
        <v>632841.74553004955</v>
      </c>
      <c r="G131" s="55">
        <f t="shared" ref="G131:G154" si="45">+(F131+D131)/2</f>
        <v>659946.47166641313</v>
      </c>
      <c r="H131" s="380">
        <f t="shared" si="42"/>
        <v>136390.17092058444</v>
      </c>
      <c r="I131" s="399">
        <f t="shared" si="43"/>
        <v>136390.17092058444</v>
      </c>
      <c r="J131" s="54">
        <f t="shared" ref="J131:J154" si="46">+I541-H541</f>
        <v>0</v>
      </c>
      <c r="K131" s="54"/>
      <c r="L131" s="129"/>
      <c r="M131" s="54">
        <f t="shared" ref="M131:M154" si="47">IF(L541&lt;&gt;0,+H541-L541,0)</f>
        <v>0</v>
      </c>
      <c r="N131" s="129"/>
      <c r="O131" s="54">
        <f t="shared" ref="O131:O154" si="48">IF(N541&lt;&gt;0,+I541-N541,0)</f>
        <v>0</v>
      </c>
      <c r="P131" s="54">
        <f t="shared" ref="P131:P154" si="49">+O541-M541</f>
        <v>0</v>
      </c>
    </row>
    <row r="132" spans="2:16" ht="12.5">
      <c r="B132" s="7" t="str">
        <f t="shared" si="30"/>
        <v/>
      </c>
      <c r="C132" s="50">
        <f>IF(D93="","-",+C131+1)</f>
        <v>2050</v>
      </c>
      <c r="D132" s="12">
        <f>IF(F131+SUM(E$99:E131)=D$92,F131,D$92-SUM(E$99:E131))</f>
        <v>632841.74553004955</v>
      </c>
      <c r="E132" s="378">
        <f>IF(+J96&lt;F131,J96,D132)</f>
        <v>54209.452272727278</v>
      </c>
      <c r="F132" s="55">
        <f t="shared" si="44"/>
        <v>578632.29325732228</v>
      </c>
      <c r="G132" s="55">
        <f t="shared" si="45"/>
        <v>605737.01939368597</v>
      </c>
      <c r="H132" s="380">
        <f t="shared" si="42"/>
        <v>129639.66624096959</v>
      </c>
      <c r="I132" s="399">
        <f t="shared" si="43"/>
        <v>129639.66624096959</v>
      </c>
      <c r="J132" s="54">
        <f t="shared" si="46"/>
        <v>0</v>
      </c>
      <c r="K132" s="54"/>
      <c r="L132" s="129"/>
      <c r="M132" s="54">
        <f t="shared" si="47"/>
        <v>0</v>
      </c>
      <c r="N132" s="129"/>
      <c r="O132" s="54">
        <f t="shared" si="48"/>
        <v>0</v>
      </c>
      <c r="P132" s="54">
        <f t="shared" si="49"/>
        <v>0</v>
      </c>
    </row>
    <row r="133" spans="2:16" ht="12.5">
      <c r="B133" s="7" t="str">
        <f t="shared" si="30"/>
        <v/>
      </c>
      <c r="C133" s="50">
        <f>IF(D93="","-",+C132+1)</f>
        <v>2051</v>
      </c>
      <c r="D133" s="12">
        <f>IF(F132+SUM(E$99:E132)=D$92,F132,D$92-SUM(E$99:E132))</f>
        <v>578632.29325732228</v>
      </c>
      <c r="E133" s="378">
        <f>IF(+J96&lt;F132,J96,D133)</f>
        <v>54209.452272727278</v>
      </c>
      <c r="F133" s="55">
        <f t="shared" si="44"/>
        <v>524422.84098459501</v>
      </c>
      <c r="G133" s="55">
        <f t="shared" si="45"/>
        <v>551527.56712095859</v>
      </c>
      <c r="H133" s="380">
        <f t="shared" si="42"/>
        <v>122889.16156135473</v>
      </c>
      <c r="I133" s="399">
        <f t="shared" si="43"/>
        <v>122889.16156135473</v>
      </c>
      <c r="J133" s="54">
        <f t="shared" si="46"/>
        <v>0</v>
      </c>
      <c r="K133" s="54"/>
      <c r="L133" s="129"/>
      <c r="M133" s="54">
        <f t="shared" si="47"/>
        <v>0</v>
      </c>
      <c r="N133" s="129"/>
      <c r="O133" s="54">
        <f t="shared" si="48"/>
        <v>0</v>
      </c>
      <c r="P133" s="54">
        <f t="shared" si="49"/>
        <v>0</v>
      </c>
    </row>
    <row r="134" spans="2:16" ht="12.5">
      <c r="B134" s="7" t="str">
        <f t="shared" si="30"/>
        <v/>
      </c>
      <c r="C134" s="50">
        <f>IF(D93="","-",+C133+1)</f>
        <v>2052</v>
      </c>
      <c r="D134" s="12">
        <f>IF(F133+SUM(E$99:E133)=D$92,F133,D$92-SUM(E$99:E133))</f>
        <v>524422.84098459501</v>
      </c>
      <c r="E134" s="378">
        <f>IF(+J96&lt;F133,J96,D134)</f>
        <v>54209.452272727278</v>
      </c>
      <c r="F134" s="55">
        <f t="shared" si="44"/>
        <v>470213.38871186774</v>
      </c>
      <c r="G134" s="55">
        <f t="shared" si="45"/>
        <v>497318.11484823137</v>
      </c>
      <c r="H134" s="380">
        <f t="shared" si="42"/>
        <v>116138.65688173985</v>
      </c>
      <c r="I134" s="399">
        <f t="shared" si="43"/>
        <v>116138.65688173985</v>
      </c>
      <c r="J134" s="54">
        <f t="shared" si="46"/>
        <v>0</v>
      </c>
      <c r="K134" s="54"/>
      <c r="L134" s="129"/>
      <c r="M134" s="54">
        <f t="shared" si="47"/>
        <v>0</v>
      </c>
      <c r="N134" s="129"/>
      <c r="O134" s="54">
        <f t="shared" si="48"/>
        <v>0</v>
      </c>
      <c r="P134" s="54">
        <f t="shared" si="49"/>
        <v>0</v>
      </c>
    </row>
    <row r="135" spans="2:16" ht="12.5">
      <c r="B135" s="7" t="str">
        <f t="shared" si="30"/>
        <v/>
      </c>
      <c r="C135" s="50">
        <f>IF(D93="","-",+C134+1)</f>
        <v>2053</v>
      </c>
      <c r="D135" s="12">
        <f>IF(F134+SUM(E$99:E134)=D$92,F134,D$92-SUM(E$99:E134))</f>
        <v>470213.38871186774</v>
      </c>
      <c r="E135" s="378">
        <f>IF(+J96&lt;F134,J96,D135)</f>
        <v>54209.452272727278</v>
      </c>
      <c r="F135" s="55">
        <f t="shared" si="44"/>
        <v>416003.93643914047</v>
      </c>
      <c r="G135" s="55">
        <f t="shared" si="45"/>
        <v>443108.6625755041</v>
      </c>
      <c r="H135" s="380">
        <f t="shared" si="42"/>
        <v>109388.152202125</v>
      </c>
      <c r="I135" s="399">
        <f t="shared" si="43"/>
        <v>109388.152202125</v>
      </c>
      <c r="J135" s="54">
        <f t="shared" si="46"/>
        <v>0</v>
      </c>
      <c r="K135" s="54"/>
      <c r="L135" s="129"/>
      <c r="M135" s="54">
        <f t="shared" si="47"/>
        <v>0</v>
      </c>
      <c r="N135" s="129"/>
      <c r="O135" s="54">
        <f t="shared" si="48"/>
        <v>0</v>
      </c>
      <c r="P135" s="54">
        <f t="shared" si="49"/>
        <v>0</v>
      </c>
    </row>
    <row r="136" spans="2:16" ht="12.5">
      <c r="B136" s="7" t="str">
        <f t="shared" si="30"/>
        <v/>
      </c>
      <c r="C136" s="50">
        <f>IF(D93="","-",+C135+1)</f>
        <v>2054</v>
      </c>
      <c r="D136" s="12">
        <f>IF(F135+SUM(E$99:E135)=D$92,F135,D$92-SUM(E$99:E135))</f>
        <v>416003.93643914047</v>
      </c>
      <c r="E136" s="378">
        <f>IF(+J96&lt;F135,J96,D136)</f>
        <v>54209.452272727278</v>
      </c>
      <c r="F136" s="55">
        <f t="shared" si="44"/>
        <v>361794.4841664132</v>
      </c>
      <c r="G136" s="55">
        <f t="shared" si="45"/>
        <v>388899.21030277683</v>
      </c>
      <c r="H136" s="380">
        <f t="shared" si="42"/>
        <v>102637.64752251013</v>
      </c>
      <c r="I136" s="399">
        <f t="shared" si="43"/>
        <v>102637.64752251013</v>
      </c>
      <c r="J136" s="54">
        <f t="shared" si="46"/>
        <v>0</v>
      </c>
      <c r="K136" s="54"/>
      <c r="L136" s="129"/>
      <c r="M136" s="54">
        <f t="shared" si="47"/>
        <v>0</v>
      </c>
      <c r="N136" s="129"/>
      <c r="O136" s="54">
        <f t="shared" si="48"/>
        <v>0</v>
      </c>
      <c r="P136" s="54">
        <f t="shared" si="49"/>
        <v>0</v>
      </c>
    </row>
    <row r="137" spans="2:16" ht="12.5">
      <c r="B137" s="7" t="str">
        <f t="shared" si="30"/>
        <v/>
      </c>
      <c r="C137" s="50">
        <f>IF(D93="","-",+C136+1)</f>
        <v>2055</v>
      </c>
      <c r="D137" s="12">
        <f>IF(F136+SUM(E$99:E136)=D$92,F136,D$92-SUM(E$99:E136))</f>
        <v>361794.4841664132</v>
      </c>
      <c r="E137" s="378">
        <f>IF(+J96&lt;F136,J96,D137)</f>
        <v>54209.452272727278</v>
      </c>
      <c r="F137" s="55">
        <f t="shared" si="44"/>
        <v>307585.03189368593</v>
      </c>
      <c r="G137" s="55">
        <f t="shared" si="45"/>
        <v>334689.75803004956</v>
      </c>
      <c r="H137" s="380">
        <f t="shared" si="42"/>
        <v>95887.142842895264</v>
      </c>
      <c r="I137" s="399">
        <f t="shared" si="43"/>
        <v>95887.142842895264</v>
      </c>
      <c r="J137" s="54">
        <f t="shared" si="46"/>
        <v>0</v>
      </c>
      <c r="K137" s="54"/>
      <c r="L137" s="129"/>
      <c r="M137" s="54">
        <f t="shared" si="47"/>
        <v>0</v>
      </c>
      <c r="N137" s="129"/>
      <c r="O137" s="54">
        <f t="shared" si="48"/>
        <v>0</v>
      </c>
      <c r="P137" s="54">
        <f t="shared" si="49"/>
        <v>0</v>
      </c>
    </row>
    <row r="138" spans="2:16" ht="12.5">
      <c r="B138" s="7" t="str">
        <f t="shared" si="30"/>
        <v/>
      </c>
      <c r="C138" s="50">
        <f>IF(D93="","-",+C137+1)</f>
        <v>2056</v>
      </c>
      <c r="D138" s="12">
        <f>IF(F137+SUM(E$99:E137)=D$92,F137,D$92-SUM(E$99:E137))</f>
        <v>307585.03189368593</v>
      </c>
      <c r="E138" s="378">
        <f>IF(+J96&lt;F137,J96,D138)</f>
        <v>54209.452272727278</v>
      </c>
      <c r="F138" s="55">
        <f t="shared" si="44"/>
        <v>253375.57962095866</v>
      </c>
      <c r="G138" s="55">
        <f t="shared" si="45"/>
        <v>280480.30575732229</v>
      </c>
      <c r="H138" s="380">
        <f t="shared" si="42"/>
        <v>89136.638163280397</v>
      </c>
      <c r="I138" s="399">
        <f t="shared" si="43"/>
        <v>89136.638163280397</v>
      </c>
      <c r="J138" s="54">
        <f t="shared" si="46"/>
        <v>0</v>
      </c>
      <c r="K138" s="54"/>
      <c r="L138" s="129"/>
      <c r="M138" s="54">
        <f t="shared" si="47"/>
        <v>0</v>
      </c>
      <c r="N138" s="129"/>
      <c r="O138" s="54">
        <f t="shared" si="48"/>
        <v>0</v>
      </c>
      <c r="P138" s="54">
        <f t="shared" si="49"/>
        <v>0</v>
      </c>
    </row>
    <row r="139" spans="2:16" ht="12.5">
      <c r="B139" s="7" t="str">
        <f t="shared" si="30"/>
        <v/>
      </c>
      <c r="C139" s="50">
        <f>IF(D93="","-",+C138+1)</f>
        <v>2057</v>
      </c>
      <c r="D139" s="12">
        <f>IF(F138+SUM(E$99:E138)=D$92,F138,D$92-SUM(E$99:E138))</f>
        <v>253375.57962095866</v>
      </c>
      <c r="E139" s="378">
        <f>IF(+J96&lt;F138,J96,D139)</f>
        <v>54209.452272727278</v>
      </c>
      <c r="F139" s="55">
        <f t="shared" si="44"/>
        <v>199166.12734823138</v>
      </c>
      <c r="G139" s="55">
        <f t="shared" si="45"/>
        <v>226270.85348459502</v>
      </c>
      <c r="H139" s="380">
        <f t="shared" si="42"/>
        <v>82386.13348366553</v>
      </c>
      <c r="I139" s="399">
        <f t="shared" si="43"/>
        <v>82386.13348366553</v>
      </c>
      <c r="J139" s="54">
        <f t="shared" si="46"/>
        <v>0</v>
      </c>
      <c r="K139" s="54"/>
      <c r="L139" s="129"/>
      <c r="M139" s="54">
        <f t="shared" si="47"/>
        <v>0</v>
      </c>
      <c r="N139" s="129"/>
      <c r="O139" s="54">
        <f t="shared" si="48"/>
        <v>0</v>
      </c>
      <c r="P139" s="54">
        <f t="shared" si="49"/>
        <v>0</v>
      </c>
    </row>
    <row r="140" spans="2:16" ht="12.5">
      <c r="B140" s="7" t="str">
        <f t="shared" si="30"/>
        <v/>
      </c>
      <c r="C140" s="50">
        <f>IF(D93="","-",+C139+1)</f>
        <v>2058</v>
      </c>
      <c r="D140" s="12">
        <f>IF(F139+SUM(E$99:E139)=D$92,F139,D$92-SUM(E$99:E139))</f>
        <v>199166.12734823138</v>
      </c>
      <c r="E140" s="378">
        <f>IF(+J96&lt;F139,J96,D140)</f>
        <v>54209.452272727278</v>
      </c>
      <c r="F140" s="55">
        <f t="shared" si="44"/>
        <v>144956.67507550411</v>
      </c>
      <c r="G140" s="55">
        <f t="shared" si="45"/>
        <v>172061.40121186775</v>
      </c>
      <c r="H140" s="380">
        <f t="shared" si="42"/>
        <v>75635.628804050662</v>
      </c>
      <c r="I140" s="399">
        <f t="shared" si="43"/>
        <v>75635.628804050662</v>
      </c>
      <c r="J140" s="54">
        <f t="shared" si="46"/>
        <v>0</v>
      </c>
      <c r="K140" s="54"/>
      <c r="L140" s="129"/>
      <c r="M140" s="54">
        <f t="shared" si="47"/>
        <v>0</v>
      </c>
      <c r="N140" s="129"/>
      <c r="O140" s="54">
        <f t="shared" si="48"/>
        <v>0</v>
      </c>
      <c r="P140" s="54">
        <f t="shared" si="49"/>
        <v>0</v>
      </c>
    </row>
    <row r="141" spans="2:16" ht="12.5">
      <c r="B141" s="7" t="str">
        <f t="shared" si="30"/>
        <v/>
      </c>
      <c r="C141" s="50">
        <f>IF(D93="","-",+C140+1)</f>
        <v>2059</v>
      </c>
      <c r="D141" s="12">
        <f>IF(F140+SUM(E$99:E140)=D$92,F140,D$92-SUM(E$99:E140))</f>
        <v>144956.67507550411</v>
      </c>
      <c r="E141" s="378">
        <f>IF(+J96&lt;F140,J96,D141)</f>
        <v>54209.452272727278</v>
      </c>
      <c r="F141" s="55">
        <f t="shared" si="44"/>
        <v>90747.222802776843</v>
      </c>
      <c r="G141" s="55">
        <f t="shared" si="45"/>
        <v>117851.94893914048</v>
      </c>
      <c r="H141" s="380">
        <f t="shared" si="42"/>
        <v>68885.124124435795</v>
      </c>
      <c r="I141" s="399">
        <f t="shared" si="43"/>
        <v>68885.124124435795</v>
      </c>
      <c r="J141" s="54">
        <f t="shared" si="46"/>
        <v>0</v>
      </c>
      <c r="K141" s="54"/>
      <c r="L141" s="129"/>
      <c r="M141" s="54">
        <f t="shared" si="47"/>
        <v>0</v>
      </c>
      <c r="N141" s="129"/>
      <c r="O141" s="54">
        <f t="shared" si="48"/>
        <v>0</v>
      </c>
      <c r="P141" s="54">
        <f t="shared" si="49"/>
        <v>0</v>
      </c>
    </row>
    <row r="142" spans="2:16" ht="12.5">
      <c r="B142" s="7" t="str">
        <f t="shared" si="30"/>
        <v/>
      </c>
      <c r="C142" s="50">
        <f>IF(D93="","-",+C141+1)</f>
        <v>2060</v>
      </c>
      <c r="D142" s="12">
        <f>IF(F141+SUM(E$99:E141)=D$92,F141,D$92-SUM(E$99:E141))</f>
        <v>90747.222802776843</v>
      </c>
      <c r="E142" s="378">
        <f>IF(+J96&lt;F141,J96,D142)</f>
        <v>54209.452272727278</v>
      </c>
      <c r="F142" s="55">
        <f t="shared" si="44"/>
        <v>36537.770530049565</v>
      </c>
      <c r="G142" s="55">
        <f t="shared" si="45"/>
        <v>63642.496666413208</v>
      </c>
      <c r="H142" s="380">
        <f t="shared" si="42"/>
        <v>62134.619444820928</v>
      </c>
      <c r="I142" s="399">
        <f t="shared" si="43"/>
        <v>62134.619444820928</v>
      </c>
      <c r="J142" s="54">
        <f t="shared" si="46"/>
        <v>0</v>
      </c>
      <c r="K142" s="54"/>
      <c r="L142" s="129"/>
      <c r="M142" s="54">
        <f t="shared" si="47"/>
        <v>0</v>
      </c>
      <c r="N142" s="129"/>
      <c r="O142" s="54">
        <f t="shared" si="48"/>
        <v>0</v>
      </c>
      <c r="P142" s="54">
        <f t="shared" si="49"/>
        <v>0</v>
      </c>
    </row>
    <row r="143" spans="2:16" ht="12.5">
      <c r="B143" s="7" t="str">
        <f t="shared" si="30"/>
        <v/>
      </c>
      <c r="C143" s="50">
        <f>IF(D93="","-",+C142+1)</f>
        <v>2061</v>
      </c>
      <c r="D143" s="12">
        <f>IF(F142+SUM(E$99:E142)=D$92,F142,D$92-SUM(E$99:E142))</f>
        <v>36537.770530049565</v>
      </c>
      <c r="E143" s="378">
        <f>IF(+J96&lt;F142,J96,D143)</f>
        <v>36537.770530049565</v>
      </c>
      <c r="F143" s="55">
        <f t="shared" si="44"/>
        <v>0</v>
      </c>
      <c r="G143" s="55">
        <f t="shared" si="45"/>
        <v>18268.885265024783</v>
      </c>
      <c r="H143" s="380">
        <f t="shared" si="42"/>
        <v>38812.727946192674</v>
      </c>
      <c r="I143" s="399">
        <f t="shared" si="43"/>
        <v>38812.727946192674</v>
      </c>
      <c r="J143" s="54">
        <f t="shared" si="46"/>
        <v>0</v>
      </c>
      <c r="K143" s="54"/>
      <c r="L143" s="129"/>
      <c r="M143" s="54">
        <f t="shared" si="47"/>
        <v>0</v>
      </c>
      <c r="N143" s="129"/>
      <c r="O143" s="54">
        <f t="shared" si="48"/>
        <v>0</v>
      </c>
      <c r="P143" s="54">
        <f t="shared" si="49"/>
        <v>0</v>
      </c>
    </row>
    <row r="144" spans="2:16" ht="12.5">
      <c r="B144" s="7" t="str">
        <f t="shared" si="30"/>
        <v/>
      </c>
      <c r="C144" s="50">
        <f>IF(D93="","-",+C143+1)</f>
        <v>2062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44"/>
        <v>0</v>
      </c>
      <c r="G144" s="55">
        <f t="shared" si="45"/>
        <v>0</v>
      </c>
      <c r="H144" s="380">
        <f t="shared" si="42"/>
        <v>0</v>
      </c>
      <c r="I144" s="399">
        <f t="shared" si="43"/>
        <v>0</v>
      </c>
      <c r="J144" s="54">
        <f t="shared" si="46"/>
        <v>0</v>
      </c>
      <c r="K144" s="54"/>
      <c r="L144" s="129"/>
      <c r="M144" s="54">
        <f t="shared" si="47"/>
        <v>0</v>
      </c>
      <c r="N144" s="129"/>
      <c r="O144" s="54">
        <f t="shared" si="48"/>
        <v>0</v>
      </c>
      <c r="P144" s="54">
        <f t="shared" si="49"/>
        <v>0</v>
      </c>
    </row>
    <row r="145" spans="2:16" ht="12.5">
      <c r="B145" s="7" t="str">
        <f t="shared" si="30"/>
        <v/>
      </c>
      <c r="C145" s="50">
        <f>IF(D93="","-",+C144+1)</f>
        <v>2063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44"/>
        <v>0</v>
      </c>
      <c r="G145" s="55">
        <f t="shared" si="45"/>
        <v>0</v>
      </c>
      <c r="H145" s="380">
        <f t="shared" si="42"/>
        <v>0</v>
      </c>
      <c r="I145" s="399">
        <f t="shared" si="43"/>
        <v>0</v>
      </c>
      <c r="J145" s="54">
        <f t="shared" si="46"/>
        <v>0</v>
      </c>
      <c r="K145" s="54"/>
      <c r="L145" s="129"/>
      <c r="M145" s="54">
        <f t="shared" si="47"/>
        <v>0</v>
      </c>
      <c r="N145" s="129"/>
      <c r="O145" s="54">
        <f t="shared" si="48"/>
        <v>0</v>
      </c>
      <c r="P145" s="54">
        <f t="shared" si="49"/>
        <v>0</v>
      </c>
    </row>
    <row r="146" spans="2:16" ht="12.5">
      <c r="B146" s="7" t="str">
        <f t="shared" si="30"/>
        <v/>
      </c>
      <c r="C146" s="50">
        <f>IF(D93="","-",+C145+1)</f>
        <v>2064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44"/>
        <v>0</v>
      </c>
      <c r="G146" s="55">
        <f t="shared" si="45"/>
        <v>0</v>
      </c>
      <c r="H146" s="380">
        <f t="shared" si="42"/>
        <v>0</v>
      </c>
      <c r="I146" s="399">
        <f t="shared" si="43"/>
        <v>0</v>
      </c>
      <c r="J146" s="54">
        <f t="shared" si="46"/>
        <v>0</v>
      </c>
      <c r="K146" s="54"/>
      <c r="L146" s="129"/>
      <c r="M146" s="54">
        <f t="shared" si="47"/>
        <v>0</v>
      </c>
      <c r="N146" s="129"/>
      <c r="O146" s="54">
        <f t="shared" si="48"/>
        <v>0</v>
      </c>
      <c r="P146" s="54">
        <f t="shared" si="49"/>
        <v>0</v>
      </c>
    </row>
    <row r="147" spans="2:16" ht="12.5">
      <c r="B147" s="7" t="str">
        <f t="shared" si="30"/>
        <v/>
      </c>
      <c r="C147" s="50">
        <f>IF(D93="","-",+C146+1)</f>
        <v>2065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44"/>
        <v>0</v>
      </c>
      <c r="G147" s="55">
        <f t="shared" si="45"/>
        <v>0</v>
      </c>
      <c r="H147" s="380">
        <f t="shared" si="42"/>
        <v>0</v>
      </c>
      <c r="I147" s="399">
        <f t="shared" si="43"/>
        <v>0</v>
      </c>
      <c r="J147" s="54">
        <f t="shared" si="46"/>
        <v>0</v>
      </c>
      <c r="K147" s="54"/>
      <c r="L147" s="129"/>
      <c r="M147" s="54">
        <f t="shared" si="47"/>
        <v>0</v>
      </c>
      <c r="N147" s="129"/>
      <c r="O147" s="54">
        <f t="shared" si="48"/>
        <v>0</v>
      </c>
      <c r="P147" s="54">
        <f t="shared" si="49"/>
        <v>0</v>
      </c>
    </row>
    <row r="148" spans="2:16" ht="12.5">
      <c r="B148" s="7" t="str">
        <f t="shared" si="30"/>
        <v/>
      </c>
      <c r="C148" s="50">
        <f>IF(D93="","-",+C147+1)</f>
        <v>2066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44"/>
        <v>0</v>
      </c>
      <c r="G148" s="55">
        <f t="shared" si="45"/>
        <v>0</v>
      </c>
      <c r="H148" s="380">
        <f t="shared" si="42"/>
        <v>0</v>
      </c>
      <c r="I148" s="399">
        <f t="shared" si="43"/>
        <v>0</v>
      </c>
      <c r="J148" s="54">
        <f t="shared" si="46"/>
        <v>0</v>
      </c>
      <c r="K148" s="54"/>
      <c r="L148" s="129"/>
      <c r="M148" s="54">
        <f t="shared" si="47"/>
        <v>0</v>
      </c>
      <c r="N148" s="129"/>
      <c r="O148" s="54">
        <f t="shared" si="48"/>
        <v>0</v>
      </c>
      <c r="P148" s="54">
        <f t="shared" si="49"/>
        <v>0</v>
      </c>
    </row>
    <row r="149" spans="2:16" ht="12.5">
      <c r="B149" s="7" t="str">
        <f t="shared" si="30"/>
        <v/>
      </c>
      <c r="C149" s="50">
        <f>IF(D93="","-",+C148+1)</f>
        <v>2067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44"/>
        <v>0</v>
      </c>
      <c r="G149" s="55">
        <f t="shared" si="45"/>
        <v>0</v>
      </c>
      <c r="H149" s="380">
        <f t="shared" si="42"/>
        <v>0</v>
      </c>
      <c r="I149" s="399">
        <f t="shared" si="43"/>
        <v>0</v>
      </c>
      <c r="J149" s="54">
        <f t="shared" si="46"/>
        <v>0</v>
      </c>
      <c r="K149" s="54"/>
      <c r="L149" s="129"/>
      <c r="M149" s="54">
        <f t="shared" si="47"/>
        <v>0</v>
      </c>
      <c r="N149" s="129"/>
      <c r="O149" s="54">
        <f t="shared" si="48"/>
        <v>0</v>
      </c>
      <c r="P149" s="54">
        <f t="shared" si="49"/>
        <v>0</v>
      </c>
    </row>
    <row r="150" spans="2:16" ht="12.5">
      <c r="B150" s="7" t="str">
        <f t="shared" si="30"/>
        <v/>
      </c>
      <c r="C150" s="50">
        <f>IF(D93="","-",+C149+1)</f>
        <v>2068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44"/>
        <v>0</v>
      </c>
      <c r="G150" s="55">
        <f t="shared" si="45"/>
        <v>0</v>
      </c>
      <c r="H150" s="380">
        <f t="shared" si="42"/>
        <v>0</v>
      </c>
      <c r="I150" s="399">
        <f t="shared" si="43"/>
        <v>0</v>
      </c>
      <c r="J150" s="54">
        <f t="shared" si="46"/>
        <v>0</v>
      </c>
      <c r="K150" s="54"/>
      <c r="L150" s="129"/>
      <c r="M150" s="54">
        <f t="shared" si="47"/>
        <v>0</v>
      </c>
      <c r="N150" s="129"/>
      <c r="O150" s="54">
        <f t="shared" si="48"/>
        <v>0</v>
      </c>
      <c r="P150" s="54">
        <f t="shared" si="49"/>
        <v>0</v>
      </c>
    </row>
    <row r="151" spans="2:16" ht="12.5">
      <c r="B151" s="7" t="str">
        <f t="shared" si="30"/>
        <v/>
      </c>
      <c r="C151" s="50">
        <f>IF(D93="","-",+C150+1)</f>
        <v>2069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44"/>
        <v>0</v>
      </c>
      <c r="G151" s="55">
        <f t="shared" si="45"/>
        <v>0</v>
      </c>
      <c r="H151" s="380">
        <f t="shared" si="42"/>
        <v>0</v>
      </c>
      <c r="I151" s="399">
        <f t="shared" si="43"/>
        <v>0</v>
      </c>
      <c r="J151" s="54">
        <f t="shared" si="46"/>
        <v>0</v>
      </c>
      <c r="K151" s="54"/>
      <c r="L151" s="129"/>
      <c r="M151" s="54">
        <f t="shared" si="47"/>
        <v>0</v>
      </c>
      <c r="N151" s="129"/>
      <c r="O151" s="54">
        <f t="shared" si="48"/>
        <v>0</v>
      </c>
      <c r="P151" s="54">
        <f t="shared" si="49"/>
        <v>0</v>
      </c>
    </row>
    <row r="152" spans="2:16" ht="12.5">
      <c r="B152" s="7" t="str">
        <f t="shared" si="30"/>
        <v/>
      </c>
      <c r="C152" s="50">
        <f>IF(D93="","-",+C151+1)</f>
        <v>2070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44"/>
        <v>0</v>
      </c>
      <c r="G152" s="55">
        <f t="shared" si="45"/>
        <v>0</v>
      </c>
      <c r="H152" s="380">
        <f t="shared" si="42"/>
        <v>0</v>
      </c>
      <c r="I152" s="399">
        <f t="shared" si="43"/>
        <v>0</v>
      </c>
      <c r="J152" s="54">
        <f t="shared" si="46"/>
        <v>0</v>
      </c>
      <c r="K152" s="54"/>
      <c r="L152" s="129"/>
      <c r="M152" s="54">
        <f t="shared" si="47"/>
        <v>0</v>
      </c>
      <c r="N152" s="129"/>
      <c r="O152" s="54">
        <f t="shared" si="48"/>
        <v>0</v>
      </c>
      <c r="P152" s="54">
        <f t="shared" si="49"/>
        <v>0</v>
      </c>
    </row>
    <row r="153" spans="2:16" ht="12.5">
      <c r="B153" s="7" t="str">
        <f t="shared" si="30"/>
        <v/>
      </c>
      <c r="C153" s="50">
        <f>IF(D93="","-",+C152+1)</f>
        <v>2071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44"/>
        <v>0</v>
      </c>
      <c r="G153" s="55">
        <f t="shared" si="45"/>
        <v>0</v>
      </c>
      <c r="H153" s="380">
        <f t="shared" si="42"/>
        <v>0</v>
      </c>
      <c r="I153" s="399">
        <f t="shared" si="43"/>
        <v>0</v>
      </c>
      <c r="J153" s="54">
        <f t="shared" si="46"/>
        <v>0</v>
      </c>
      <c r="K153" s="54"/>
      <c r="L153" s="129"/>
      <c r="M153" s="54">
        <f t="shared" si="47"/>
        <v>0</v>
      </c>
      <c r="N153" s="129"/>
      <c r="O153" s="54">
        <f t="shared" si="48"/>
        <v>0</v>
      </c>
      <c r="P153" s="54">
        <f t="shared" si="49"/>
        <v>0</v>
      </c>
    </row>
    <row r="154" spans="2:16" ht="13" thickBot="1">
      <c r="B154" s="7" t="str">
        <f t="shared" si="30"/>
        <v/>
      </c>
      <c r="C154" s="59">
        <f>IF(D93="","-",+C153+1)</f>
        <v>2072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44"/>
        <v>0</v>
      </c>
      <c r="G154" s="60">
        <f t="shared" si="45"/>
        <v>0</v>
      </c>
      <c r="H154" s="382">
        <f t="shared" si="42"/>
        <v>0</v>
      </c>
      <c r="I154" s="400">
        <f t="shared" si="43"/>
        <v>0</v>
      </c>
      <c r="J154" s="64">
        <f t="shared" si="46"/>
        <v>0</v>
      </c>
      <c r="K154" s="54"/>
      <c r="L154" s="130"/>
      <c r="M154" s="64">
        <f t="shared" si="47"/>
        <v>0</v>
      </c>
      <c r="N154" s="130"/>
      <c r="O154" s="64">
        <f t="shared" si="48"/>
        <v>0</v>
      </c>
      <c r="P154" s="64">
        <f t="shared" si="49"/>
        <v>0</v>
      </c>
    </row>
    <row r="155" spans="2:16" ht="12.5">
      <c r="C155" s="12" t="s">
        <v>78</v>
      </c>
      <c r="D155" s="293"/>
      <c r="E155" s="293">
        <f>SUM(E99:E154)</f>
        <v>2385215.9</v>
      </c>
      <c r="F155" s="293"/>
      <c r="G155" s="293"/>
      <c r="H155" s="293">
        <f>SUM(H99:H154)</f>
        <v>8807866.233801337</v>
      </c>
      <c r="I155" s="293">
        <f>SUM(I99:I154)</f>
        <v>8807866.233801337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 ht="12.5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 ht="13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27" priority="1" stopIfTrue="1" operator="equal">
      <formula>$I$10</formula>
    </cfRule>
  </conditionalFormatting>
  <conditionalFormatting sqref="C99:C154">
    <cfRule type="cellIs" dxfId="26" priority="3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15"/>
  <dimension ref="A1:P162"/>
  <sheetViews>
    <sheetView topLeftCell="A80" zoomScaleNormal="100" zoomScaleSheetLayoutView="80" workbookViewId="0">
      <selection activeCell="D24" sqref="D24:H24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66 of 77</v>
      </c>
    </row>
    <row r="2" spans="1:16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806044.03957835271</v>
      </c>
      <c r="P5" s="1"/>
    </row>
    <row r="6" spans="1:16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806044.03957835271</v>
      </c>
      <c r="O6" s="1"/>
      <c r="P6" s="1"/>
    </row>
    <row r="7" spans="1:16" ht="13.5" thickBot="1">
      <c r="C7" s="25" t="s">
        <v>48</v>
      </c>
      <c r="D7" s="90" t="s">
        <v>389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418</v>
      </c>
      <c r="E9" s="436" t="s">
        <v>419</v>
      </c>
      <c r="F9" s="31"/>
      <c r="G9" s="31"/>
      <c r="H9" s="31"/>
      <c r="I9" s="32"/>
      <c r="J9" s="33"/>
      <c r="P9" s="1"/>
    </row>
    <row r="10" spans="1:16" ht="13">
      <c r="C10" s="34" t="s">
        <v>51</v>
      </c>
      <c r="D10" s="363">
        <v>6516183.7100000009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6" ht="12.5">
      <c r="C11" s="34" t="s">
        <v>54</v>
      </c>
      <c r="D11" s="37">
        <v>2017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3">
        <v>7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148095.08431818185</v>
      </c>
      <c r="J14" s="293"/>
      <c r="K14" s="293"/>
      <c r="L14" s="293"/>
      <c r="M14" s="293"/>
      <c r="N14" s="293"/>
      <c r="O14" s="1"/>
      <c r="P14" s="1"/>
    </row>
    <row r="15" spans="1:16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3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2017</v>
      </c>
      <c r="D17" s="145" t="s">
        <v>440</v>
      </c>
      <c r="E17" s="453" t="s">
        <v>440</v>
      </c>
      <c r="F17" s="147">
        <v>6425000</v>
      </c>
      <c r="G17" s="454">
        <v>398005</v>
      </c>
      <c r="H17" s="452">
        <v>398005</v>
      </c>
      <c r="I17" s="52">
        <f t="shared" ref="I17:I72" si="0">H17-G17</f>
        <v>0</v>
      </c>
      <c r="J17" s="52"/>
      <c r="K17" s="112">
        <f t="shared" ref="K17:K22" si="1">+G17</f>
        <v>398005</v>
      </c>
      <c r="L17" s="53">
        <f t="shared" ref="L17:L72" si="2">IF(K17&lt;&gt;0,+G17-K17,0)</f>
        <v>0</v>
      </c>
      <c r="M17" s="112">
        <f t="shared" ref="M17:M22" si="3">+H17</f>
        <v>398005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2018</v>
      </c>
      <c r="D18" s="431">
        <v>6425000</v>
      </c>
      <c r="E18" s="430">
        <v>156707.31707317074</v>
      </c>
      <c r="F18" s="431">
        <v>6268292.682926829</v>
      </c>
      <c r="G18" s="430">
        <v>963328.6150577974</v>
      </c>
      <c r="H18" s="438">
        <v>963328.6150577974</v>
      </c>
      <c r="I18" s="52">
        <f t="shared" si="0"/>
        <v>0</v>
      </c>
      <c r="J18" s="52"/>
      <c r="K18" s="113">
        <f t="shared" si="1"/>
        <v>963328.6150577974</v>
      </c>
      <c r="L18" s="54">
        <f t="shared" si="2"/>
        <v>0</v>
      </c>
      <c r="M18" s="113">
        <f t="shared" si="3"/>
        <v>963328.6150577974</v>
      </c>
      <c r="N18" s="54">
        <f t="shared" si="4"/>
        <v>0</v>
      </c>
      <c r="O18" s="54">
        <f t="shared" si="5"/>
        <v>0</v>
      </c>
      <c r="P18" s="1"/>
    </row>
    <row r="19" spans="2:16" ht="12.5">
      <c r="B19" s="7" t="str">
        <f>IF(D19=F18,"","IU")</f>
        <v/>
      </c>
      <c r="C19" s="50">
        <f>IF(D11="","-",+C18+1)</f>
        <v>2019</v>
      </c>
      <c r="D19" s="431">
        <v>6268292.682926829</v>
      </c>
      <c r="E19" s="430">
        <v>156707.31707317074</v>
      </c>
      <c r="F19" s="431">
        <v>6111585.3658536579</v>
      </c>
      <c r="G19" s="430">
        <v>943412.03979891748</v>
      </c>
      <c r="H19" s="438">
        <v>943412.03979891748</v>
      </c>
      <c r="I19" s="52">
        <f t="shared" si="0"/>
        <v>0</v>
      </c>
      <c r="J19" s="52"/>
      <c r="K19" s="113">
        <f t="shared" si="1"/>
        <v>943412.03979891748</v>
      </c>
      <c r="L19" s="54">
        <f t="shared" ref="L19" si="6">IF(K19&lt;&gt;0,+G19-K19,0)</f>
        <v>0</v>
      </c>
      <c r="M19" s="113">
        <f t="shared" si="3"/>
        <v>943412.03979891748</v>
      </c>
      <c r="N19" s="54">
        <f t="shared" si="4"/>
        <v>0</v>
      </c>
      <c r="O19" s="54">
        <f t="shared" si="5"/>
        <v>0</v>
      </c>
      <c r="P19" s="1"/>
    </row>
    <row r="20" spans="2:16" ht="12.5">
      <c r="B20" s="7" t="str">
        <f t="shared" ref="B20:B72" si="7">IF(D20=F19,"","IU")</f>
        <v>IU</v>
      </c>
      <c r="C20" s="50">
        <f>IF(D11="","-",+C19+1)</f>
        <v>2020</v>
      </c>
      <c r="D20" s="431">
        <v>6192490.3658536589</v>
      </c>
      <c r="E20" s="430">
        <v>158680.60975609755</v>
      </c>
      <c r="F20" s="431">
        <v>6033809.7560975617</v>
      </c>
      <c r="G20" s="430">
        <v>784272.60448257579</v>
      </c>
      <c r="H20" s="438">
        <v>784272.60448257579</v>
      </c>
      <c r="I20" s="52">
        <f t="shared" si="0"/>
        <v>0</v>
      </c>
      <c r="J20" s="52"/>
      <c r="K20" s="113">
        <f t="shared" si="1"/>
        <v>784272.60448257579</v>
      </c>
      <c r="L20" s="54">
        <f t="shared" ref="L20" si="8">IF(K20&lt;&gt;0,+G20-K20,0)</f>
        <v>0</v>
      </c>
      <c r="M20" s="113">
        <f t="shared" si="3"/>
        <v>784272.60448257579</v>
      </c>
      <c r="N20" s="54">
        <f t="shared" si="4"/>
        <v>0</v>
      </c>
      <c r="O20" s="54">
        <f t="shared" si="5"/>
        <v>0</v>
      </c>
      <c r="P20" s="1"/>
    </row>
    <row r="21" spans="2:16" ht="12.5">
      <c r="B21" s="7" t="str">
        <f t="shared" si="7"/>
        <v>IU</v>
      </c>
      <c r="C21" s="50">
        <f>IF(D11="","-",+C20+1)</f>
        <v>2021</v>
      </c>
      <c r="D21" s="431">
        <v>6051377.4685195684</v>
      </c>
      <c r="E21" s="430">
        <v>155147.23809523811</v>
      </c>
      <c r="F21" s="431">
        <v>5896230.2304243306</v>
      </c>
      <c r="G21" s="430">
        <v>788397.59733237652</v>
      </c>
      <c r="H21" s="438">
        <v>788397.59733237652</v>
      </c>
      <c r="I21" s="52">
        <f t="shared" si="0"/>
        <v>0</v>
      </c>
      <c r="J21" s="52"/>
      <c r="K21" s="113">
        <f t="shared" si="1"/>
        <v>788397.59733237652</v>
      </c>
      <c r="L21" s="54">
        <f t="shared" ref="L21" si="9">IF(K21&lt;&gt;0,+G21-K21,0)</f>
        <v>0</v>
      </c>
      <c r="M21" s="113">
        <f t="shared" si="3"/>
        <v>788397.59733237652</v>
      </c>
      <c r="N21" s="54">
        <f t="shared" si="4"/>
        <v>0</v>
      </c>
      <c r="O21" s="54">
        <f t="shared" si="5"/>
        <v>0</v>
      </c>
      <c r="P21" s="1"/>
    </row>
    <row r="22" spans="2:16" ht="12.5">
      <c r="B22" s="7" t="str">
        <f t="shared" si="7"/>
        <v>IU</v>
      </c>
      <c r="C22" s="50">
        <f>IF(D11="","-",+C21+1)</f>
        <v>2022</v>
      </c>
      <c r="D22" s="431">
        <v>5888941.5180023229</v>
      </c>
      <c r="E22" s="430">
        <v>155147.23809523811</v>
      </c>
      <c r="F22" s="431">
        <v>5733794.279907085</v>
      </c>
      <c r="G22" s="430">
        <v>808601.25314846623</v>
      </c>
      <c r="H22" s="438">
        <v>808601.25314846623</v>
      </c>
      <c r="I22" s="52">
        <f t="shared" si="0"/>
        <v>0</v>
      </c>
      <c r="J22" s="52"/>
      <c r="K22" s="113">
        <f t="shared" si="1"/>
        <v>808601.25314846623</v>
      </c>
      <c r="L22" s="54">
        <f t="shared" ref="L22" si="10">IF(K22&lt;&gt;0,+G22-K22,0)</f>
        <v>0</v>
      </c>
      <c r="M22" s="113">
        <f t="shared" si="3"/>
        <v>808601.25314846623</v>
      </c>
      <c r="N22" s="54">
        <f t="shared" si="4"/>
        <v>0</v>
      </c>
      <c r="O22" s="54">
        <f t="shared" si="5"/>
        <v>0</v>
      </c>
      <c r="P22" s="1"/>
    </row>
    <row r="23" spans="2:16" ht="12.5">
      <c r="B23" s="7" t="str">
        <f t="shared" si="7"/>
        <v>IU</v>
      </c>
      <c r="C23" s="50">
        <f>IF(D11="","-",+C22+1)</f>
        <v>2023</v>
      </c>
      <c r="D23" s="431">
        <v>5733793.9899070859</v>
      </c>
      <c r="E23" s="430">
        <v>155147.23119047622</v>
      </c>
      <c r="F23" s="431">
        <v>5578646.7587166093</v>
      </c>
      <c r="G23" s="430">
        <v>869679.3831822155</v>
      </c>
      <c r="H23" s="438">
        <v>869679.3831822155</v>
      </c>
      <c r="I23" s="52">
        <f t="shared" si="0"/>
        <v>0</v>
      </c>
      <c r="J23" s="52"/>
      <c r="K23" s="113">
        <f t="shared" ref="K23" si="11">+G23</f>
        <v>869679.3831822155</v>
      </c>
      <c r="L23" s="54">
        <f t="shared" ref="L23" si="12">IF(K23&lt;&gt;0,+G23-K23,0)</f>
        <v>0</v>
      </c>
      <c r="M23" s="113">
        <f t="shared" ref="M23" si="13">+H23</f>
        <v>869679.3831822155</v>
      </c>
      <c r="N23" s="54">
        <f t="shared" si="4"/>
        <v>0</v>
      </c>
      <c r="O23" s="54">
        <f t="shared" si="5"/>
        <v>0</v>
      </c>
      <c r="P23" s="1"/>
    </row>
    <row r="24" spans="2:16" ht="12.5">
      <c r="B24" s="7" t="str">
        <f t="shared" si="7"/>
        <v/>
      </c>
      <c r="C24" s="50">
        <f>IF(D11="","-",+C23+1)</f>
        <v>2024</v>
      </c>
      <c r="D24" s="431">
        <v>5578646.7587166093</v>
      </c>
      <c r="E24" s="430">
        <v>148095.08431818185</v>
      </c>
      <c r="F24" s="431">
        <v>5430551.6743984278</v>
      </c>
      <c r="G24" s="430">
        <v>806044.03957835271</v>
      </c>
      <c r="H24" s="438">
        <v>806044.03957835271</v>
      </c>
      <c r="I24" s="52">
        <f t="shared" si="0"/>
        <v>0</v>
      </c>
      <c r="J24" s="52"/>
      <c r="K24" s="113">
        <f t="shared" ref="K24" si="14">+G24</f>
        <v>806044.03957835271</v>
      </c>
      <c r="L24" s="54">
        <f t="shared" ref="L24" si="15">IF(K24&lt;&gt;0,+G24-K24,0)</f>
        <v>0</v>
      </c>
      <c r="M24" s="113">
        <f t="shared" ref="M24" si="16">+H24</f>
        <v>806044.03957835271</v>
      </c>
      <c r="N24" s="54">
        <f t="shared" ref="N24" si="17">IF(M24&lt;&gt;0,+H24-M24,0)</f>
        <v>0</v>
      </c>
      <c r="O24" s="54">
        <f t="shared" ref="O24" si="18">+N24-L24</f>
        <v>0</v>
      </c>
      <c r="P24" s="1"/>
    </row>
    <row r="25" spans="2:16" ht="12.5">
      <c r="B25" s="7" t="str">
        <f t="shared" si="7"/>
        <v/>
      </c>
      <c r="C25" s="50">
        <f>IF(D11="","-",+C24+1)</f>
        <v>2025</v>
      </c>
      <c r="D25" s="55">
        <f>IF(F24+SUM(E$17:E24)=D$10,F24,D$10-SUM(E$17:E24))</f>
        <v>5430551.6743984278</v>
      </c>
      <c r="E25" s="378">
        <f>IF(+I14&lt;F24,I14,D25)</f>
        <v>148095.08431818185</v>
      </c>
      <c r="F25" s="55">
        <f t="shared" ref="F25:F72" si="19">+D25-E25</f>
        <v>5282456.5900802463</v>
      </c>
      <c r="G25" s="379">
        <f t="shared" ref="G25:G48" si="20">+I$12*((D25+F25)/2)+E25</f>
        <v>788342.65893773793</v>
      </c>
      <c r="H25" s="364">
        <f t="shared" ref="H25:H48" si="21">+I$13*((D25+F25)/2)+E25</f>
        <v>788342.65893773793</v>
      </c>
      <c r="I25" s="52">
        <f t="shared" si="0"/>
        <v>0</v>
      </c>
      <c r="J25" s="52"/>
      <c r="K25" s="129"/>
      <c r="L25" s="54">
        <f t="shared" si="2"/>
        <v>0</v>
      </c>
      <c r="M25" s="129"/>
      <c r="N25" s="54">
        <f t="shared" si="4"/>
        <v>0</v>
      </c>
      <c r="O25" s="54">
        <f t="shared" si="5"/>
        <v>0</v>
      </c>
      <c r="P25" s="1"/>
    </row>
    <row r="26" spans="2:16" ht="12.5">
      <c r="B26" s="7" t="str">
        <f t="shared" si="7"/>
        <v/>
      </c>
      <c r="C26" s="50">
        <f>IF(D11="","-",+C25+1)</f>
        <v>2026</v>
      </c>
      <c r="D26" s="55">
        <f>IF(F25+SUM(E$17:E25)=D$10,F25,D$10-SUM(E$17:E25))</f>
        <v>5282456.5900802463</v>
      </c>
      <c r="E26" s="378">
        <f>IF(+I14&lt;F25,I14,D26)</f>
        <v>148095.08431818185</v>
      </c>
      <c r="F26" s="55">
        <f t="shared" si="19"/>
        <v>5134361.5057620648</v>
      </c>
      <c r="G26" s="379">
        <f t="shared" si="20"/>
        <v>770641.27829712327</v>
      </c>
      <c r="H26" s="364">
        <f t="shared" si="21"/>
        <v>770641.27829712327</v>
      </c>
      <c r="I26" s="52">
        <f t="shared" si="0"/>
        <v>0</v>
      </c>
      <c r="J26" s="52"/>
      <c r="K26" s="129"/>
      <c r="L26" s="54">
        <f t="shared" si="2"/>
        <v>0</v>
      </c>
      <c r="M26" s="129"/>
      <c r="N26" s="54">
        <f t="shared" si="4"/>
        <v>0</v>
      </c>
      <c r="O26" s="54">
        <f t="shared" si="5"/>
        <v>0</v>
      </c>
      <c r="P26" s="1"/>
    </row>
    <row r="27" spans="2:16" ht="12.5">
      <c r="B27" s="7" t="str">
        <f t="shared" si="7"/>
        <v/>
      </c>
      <c r="C27" s="50">
        <f>IF(D11="","-",+C26+1)</f>
        <v>2027</v>
      </c>
      <c r="D27" s="55">
        <f>IF(F26+SUM(E$17:E26)=D$10,F26,D$10-SUM(E$17:E26))</f>
        <v>5134361.5057620648</v>
      </c>
      <c r="E27" s="378">
        <f>IF(+I14&lt;F26,I14,D27)</f>
        <v>148095.08431818185</v>
      </c>
      <c r="F27" s="55">
        <f t="shared" si="19"/>
        <v>4986266.4214438833</v>
      </c>
      <c r="G27" s="379">
        <f t="shared" si="20"/>
        <v>752939.89765650849</v>
      </c>
      <c r="H27" s="364">
        <f t="shared" si="21"/>
        <v>752939.89765650849</v>
      </c>
      <c r="I27" s="52">
        <f t="shared" si="0"/>
        <v>0</v>
      </c>
      <c r="J27" s="52"/>
      <c r="K27" s="129"/>
      <c r="L27" s="54">
        <f t="shared" si="2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7"/>
        <v/>
      </c>
      <c r="C28" s="50">
        <f>IF(D11="","-",+C27+1)</f>
        <v>2028</v>
      </c>
      <c r="D28" s="55">
        <f>IF(F27+SUM(E$17:E27)=D$10,F27,D$10-SUM(E$17:E27))</f>
        <v>4986266.4214438833</v>
      </c>
      <c r="E28" s="378">
        <f>IF(+I14&lt;F27,I14,D28)</f>
        <v>148095.08431818185</v>
      </c>
      <c r="F28" s="55">
        <f t="shared" si="19"/>
        <v>4838171.3371257018</v>
      </c>
      <c r="G28" s="379">
        <f t="shared" si="20"/>
        <v>735238.51701589371</v>
      </c>
      <c r="H28" s="364">
        <f t="shared" si="21"/>
        <v>735238.51701589371</v>
      </c>
      <c r="I28" s="52">
        <f t="shared" si="0"/>
        <v>0</v>
      </c>
      <c r="J28" s="52"/>
      <c r="K28" s="129"/>
      <c r="L28" s="54">
        <f t="shared" si="2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7"/>
        <v/>
      </c>
      <c r="C29" s="50">
        <f>IF(D11="","-",+C28+1)</f>
        <v>2029</v>
      </c>
      <c r="D29" s="55">
        <f>IF(F28+SUM(E$17:E28)=D$10,F28,D$10-SUM(E$17:E28))</f>
        <v>4838171.3371257018</v>
      </c>
      <c r="E29" s="378">
        <f>IF(+I14&lt;F28,I14,D29)</f>
        <v>148095.08431818185</v>
      </c>
      <c r="F29" s="55">
        <f t="shared" si="19"/>
        <v>4690076.2528075203</v>
      </c>
      <c r="G29" s="379">
        <f t="shared" si="20"/>
        <v>717537.13637527893</v>
      </c>
      <c r="H29" s="364">
        <f t="shared" si="21"/>
        <v>717537.13637527893</v>
      </c>
      <c r="I29" s="52">
        <f t="shared" si="0"/>
        <v>0</v>
      </c>
      <c r="J29" s="52"/>
      <c r="K29" s="129"/>
      <c r="L29" s="54">
        <f t="shared" si="2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7"/>
        <v/>
      </c>
      <c r="C30" s="50">
        <f>IF(D11="","-",+C29+1)</f>
        <v>2030</v>
      </c>
      <c r="D30" s="55">
        <f>IF(F29+SUM(E$17:E29)=D$10,F29,D$10-SUM(E$17:E29))</f>
        <v>4690076.2528075203</v>
      </c>
      <c r="E30" s="378">
        <f>IF(+I14&lt;F29,I14,D30)</f>
        <v>148095.08431818185</v>
      </c>
      <c r="F30" s="55">
        <f t="shared" si="19"/>
        <v>4541981.1684893388</v>
      </c>
      <c r="G30" s="379">
        <f t="shared" si="20"/>
        <v>699835.75573466416</v>
      </c>
      <c r="H30" s="364">
        <f t="shared" si="21"/>
        <v>699835.75573466416</v>
      </c>
      <c r="I30" s="52">
        <f t="shared" si="0"/>
        <v>0</v>
      </c>
      <c r="J30" s="52"/>
      <c r="K30" s="129"/>
      <c r="L30" s="54">
        <f t="shared" si="2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7"/>
        <v/>
      </c>
      <c r="C31" s="50">
        <f>IF(D11="","-",+C30+1)</f>
        <v>2031</v>
      </c>
      <c r="D31" s="55">
        <f>IF(F30+SUM(E$17:E30)=D$10,F30,D$10-SUM(E$17:E30))</f>
        <v>4541981.1684893388</v>
      </c>
      <c r="E31" s="378">
        <f>IF(+I14&lt;F30,I14,D31)</f>
        <v>148095.08431818185</v>
      </c>
      <c r="F31" s="55">
        <f t="shared" si="19"/>
        <v>4393886.0841711573</v>
      </c>
      <c r="G31" s="379">
        <f t="shared" si="20"/>
        <v>682134.37509404938</v>
      </c>
      <c r="H31" s="364">
        <f t="shared" si="21"/>
        <v>682134.37509404938</v>
      </c>
      <c r="I31" s="52">
        <f t="shared" si="0"/>
        <v>0</v>
      </c>
      <c r="J31" s="52"/>
      <c r="K31" s="129"/>
      <c r="L31" s="54">
        <f t="shared" si="2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7"/>
        <v/>
      </c>
      <c r="C32" s="50">
        <f>IF(D11="","-",+C31+1)</f>
        <v>2032</v>
      </c>
      <c r="D32" s="55">
        <f>IF(F31+SUM(E$17:E31)=D$10,F31,D$10-SUM(E$17:E31))</f>
        <v>4393886.0841711573</v>
      </c>
      <c r="E32" s="378">
        <f>IF(+I14&lt;F31,I14,D32)</f>
        <v>148095.08431818185</v>
      </c>
      <c r="F32" s="55">
        <f t="shared" si="19"/>
        <v>4245790.9998529758</v>
      </c>
      <c r="G32" s="379">
        <f t="shared" si="20"/>
        <v>664432.9944534346</v>
      </c>
      <c r="H32" s="364">
        <f t="shared" si="21"/>
        <v>664432.9944534346</v>
      </c>
      <c r="I32" s="52">
        <f t="shared" si="0"/>
        <v>0</v>
      </c>
      <c r="J32" s="52"/>
      <c r="K32" s="129"/>
      <c r="L32" s="54">
        <f t="shared" si="2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7"/>
        <v/>
      </c>
      <c r="C33" s="50">
        <f>IF(D11="","-",+C32+1)</f>
        <v>2033</v>
      </c>
      <c r="D33" s="55">
        <f>IF(F32+SUM(E$17:E32)=D$10,F32,D$10-SUM(E$17:E32))</f>
        <v>4245790.9998529758</v>
      </c>
      <c r="E33" s="378">
        <f>IF(+I14&lt;F32,I14,D33)</f>
        <v>148095.08431818185</v>
      </c>
      <c r="F33" s="55">
        <f t="shared" si="19"/>
        <v>4097695.9155347939</v>
      </c>
      <c r="G33" s="379">
        <f t="shared" si="20"/>
        <v>646731.61381281982</v>
      </c>
      <c r="H33" s="364">
        <f t="shared" si="21"/>
        <v>646731.61381281982</v>
      </c>
      <c r="I33" s="52">
        <f t="shared" si="0"/>
        <v>0</v>
      </c>
      <c r="J33" s="52"/>
      <c r="K33" s="129"/>
      <c r="L33" s="54">
        <f t="shared" si="2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7"/>
        <v/>
      </c>
      <c r="C34" s="50">
        <f>IF(D11="","-",+C33+1)</f>
        <v>2034</v>
      </c>
      <c r="D34" s="55">
        <f>IF(F33+SUM(E$17:E33)=D$10,F33,D$10-SUM(E$17:E33))</f>
        <v>4097695.9155347939</v>
      </c>
      <c r="E34" s="378">
        <f>IF(+I14&lt;F33,I14,D34)</f>
        <v>148095.08431818185</v>
      </c>
      <c r="F34" s="55">
        <f t="shared" si="19"/>
        <v>3949600.8312166119</v>
      </c>
      <c r="G34" s="379">
        <f t="shared" si="20"/>
        <v>629030.23317220504</v>
      </c>
      <c r="H34" s="364">
        <f t="shared" si="21"/>
        <v>629030.23317220504</v>
      </c>
      <c r="I34" s="52">
        <f t="shared" si="0"/>
        <v>0</v>
      </c>
      <c r="J34" s="52"/>
      <c r="K34" s="129"/>
      <c r="L34" s="54">
        <f t="shared" si="2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7"/>
        <v/>
      </c>
      <c r="C35" s="50">
        <f>IF(D11="","-",+C34+1)</f>
        <v>2035</v>
      </c>
      <c r="D35" s="55">
        <f>IF(F34+SUM(E$17:E34)=D$10,F34,D$10-SUM(E$17:E34))</f>
        <v>3949600.8312166119</v>
      </c>
      <c r="E35" s="378">
        <f>IF(+I14&lt;F34,I14,D35)</f>
        <v>148095.08431818185</v>
      </c>
      <c r="F35" s="55">
        <f t="shared" si="19"/>
        <v>3801505.7468984299</v>
      </c>
      <c r="G35" s="379">
        <f t="shared" si="20"/>
        <v>611328.85253159027</v>
      </c>
      <c r="H35" s="364">
        <f t="shared" si="21"/>
        <v>611328.85253159027</v>
      </c>
      <c r="I35" s="52">
        <f t="shared" si="0"/>
        <v>0</v>
      </c>
      <c r="J35" s="52"/>
      <c r="K35" s="129"/>
      <c r="L35" s="54">
        <f t="shared" si="2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7"/>
        <v/>
      </c>
      <c r="C36" s="50">
        <f>IF(D11="","-",+C35+1)</f>
        <v>2036</v>
      </c>
      <c r="D36" s="55">
        <f>IF(F35+SUM(E$17:E35)=D$10,F35,D$10-SUM(E$17:E35))</f>
        <v>3801505.7468984299</v>
      </c>
      <c r="E36" s="378">
        <f>IF(+I14&lt;F35,I14,D36)</f>
        <v>148095.08431818185</v>
      </c>
      <c r="F36" s="55">
        <f t="shared" si="19"/>
        <v>3653410.662580248</v>
      </c>
      <c r="G36" s="379">
        <f t="shared" si="20"/>
        <v>593627.47189097537</v>
      </c>
      <c r="H36" s="364">
        <f t="shared" si="21"/>
        <v>593627.47189097537</v>
      </c>
      <c r="I36" s="52">
        <f t="shared" si="0"/>
        <v>0</v>
      </c>
      <c r="J36" s="52"/>
      <c r="K36" s="129"/>
      <c r="L36" s="54">
        <f t="shared" si="2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7"/>
        <v/>
      </c>
      <c r="C37" s="50">
        <f>IF(D11="","-",+C36+1)</f>
        <v>2037</v>
      </c>
      <c r="D37" s="55">
        <f>IF(F36+SUM(E$17:E36)=D$10,F36,D$10-SUM(E$17:E36))</f>
        <v>3653410.662580248</v>
      </c>
      <c r="E37" s="378">
        <f>IF(+I14&lt;F36,I14,D37)</f>
        <v>148095.08431818185</v>
      </c>
      <c r="F37" s="55">
        <f t="shared" si="19"/>
        <v>3505315.578262066</v>
      </c>
      <c r="G37" s="379">
        <f t="shared" si="20"/>
        <v>575926.09125036071</v>
      </c>
      <c r="H37" s="364">
        <f t="shared" si="21"/>
        <v>575926.09125036071</v>
      </c>
      <c r="I37" s="52">
        <f t="shared" si="0"/>
        <v>0</v>
      </c>
      <c r="J37" s="52"/>
      <c r="K37" s="129"/>
      <c r="L37" s="54">
        <f t="shared" si="2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7"/>
        <v/>
      </c>
      <c r="C38" s="50">
        <f>IF(D11="","-",+C37+1)</f>
        <v>2038</v>
      </c>
      <c r="D38" s="55">
        <f>IF(F37+SUM(E$17:E37)=D$10,F37,D$10-SUM(E$17:E37))</f>
        <v>3505315.578262066</v>
      </c>
      <c r="E38" s="378">
        <f>IF(+I14&lt;F37,I14,D38)</f>
        <v>148095.08431818185</v>
      </c>
      <c r="F38" s="55">
        <f t="shared" si="19"/>
        <v>3357220.493943884</v>
      </c>
      <c r="G38" s="379">
        <f t="shared" si="20"/>
        <v>558224.7106097457</v>
      </c>
      <c r="H38" s="364">
        <f t="shared" si="21"/>
        <v>558224.7106097457</v>
      </c>
      <c r="I38" s="52">
        <f t="shared" si="0"/>
        <v>0</v>
      </c>
      <c r="J38" s="52"/>
      <c r="K38" s="129"/>
      <c r="L38" s="54">
        <f t="shared" si="2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7"/>
        <v/>
      </c>
      <c r="C39" s="50">
        <f>IF(D11="","-",+C38+1)</f>
        <v>2039</v>
      </c>
      <c r="D39" s="55">
        <f>IF(F38+SUM(E$17:E38)=D$10,F38,D$10-SUM(E$17:E38))</f>
        <v>3357220.493943884</v>
      </c>
      <c r="E39" s="378">
        <f>IF(+I14&lt;F38,I14,D39)</f>
        <v>148095.08431818185</v>
      </c>
      <c r="F39" s="55">
        <f t="shared" si="19"/>
        <v>3209125.4096257021</v>
      </c>
      <c r="G39" s="379">
        <f t="shared" si="20"/>
        <v>540523.32996913092</v>
      </c>
      <c r="H39" s="364">
        <f t="shared" si="21"/>
        <v>540523.32996913092</v>
      </c>
      <c r="I39" s="52">
        <f t="shared" si="0"/>
        <v>0</v>
      </c>
      <c r="J39" s="52"/>
      <c r="K39" s="129"/>
      <c r="L39" s="54">
        <f t="shared" si="2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7"/>
        <v/>
      </c>
      <c r="C40" s="50">
        <f>IF(D11="","-",+C39+1)</f>
        <v>2040</v>
      </c>
      <c r="D40" s="55">
        <f>IF(F39+SUM(E$17:E39)=D$10,F39,D$10-SUM(E$17:E39))</f>
        <v>3209125.4096257021</v>
      </c>
      <c r="E40" s="378">
        <f>IF(+I14&lt;F39,I14,D40)</f>
        <v>148095.08431818185</v>
      </c>
      <c r="F40" s="55">
        <f t="shared" si="19"/>
        <v>3061030.3253075201</v>
      </c>
      <c r="G40" s="379">
        <f t="shared" si="20"/>
        <v>522821.94932851614</v>
      </c>
      <c r="H40" s="364">
        <f t="shared" si="21"/>
        <v>522821.94932851614</v>
      </c>
      <c r="I40" s="52">
        <f t="shared" si="0"/>
        <v>0</v>
      </c>
      <c r="J40" s="52"/>
      <c r="K40" s="129"/>
      <c r="L40" s="54">
        <f t="shared" si="2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7"/>
        <v/>
      </c>
      <c r="C41" s="50">
        <f>IF(D11="","-",+C40+1)</f>
        <v>2041</v>
      </c>
      <c r="D41" s="55">
        <f>IF(F40+SUM(E$17:E40)=D$10,F40,D$10-SUM(E$17:E40))</f>
        <v>3061030.3253075201</v>
      </c>
      <c r="E41" s="378">
        <f>IF(+I14&lt;F40,I14,D41)</f>
        <v>148095.08431818185</v>
      </c>
      <c r="F41" s="55">
        <f t="shared" si="19"/>
        <v>2912935.2409893381</v>
      </c>
      <c r="G41" s="379">
        <f t="shared" si="20"/>
        <v>505120.56868790137</v>
      </c>
      <c r="H41" s="364">
        <f t="shared" si="21"/>
        <v>505120.56868790137</v>
      </c>
      <c r="I41" s="52">
        <f t="shared" si="0"/>
        <v>0</v>
      </c>
      <c r="J41" s="52"/>
      <c r="K41" s="129"/>
      <c r="L41" s="54">
        <f t="shared" si="2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7"/>
        <v/>
      </c>
      <c r="C42" s="50">
        <f>IF(D11="","-",+C41+1)</f>
        <v>2042</v>
      </c>
      <c r="D42" s="55">
        <f>IF(F41+SUM(E$17:E41)=D$10,F41,D$10-SUM(E$17:E41))</f>
        <v>2912935.2409893381</v>
      </c>
      <c r="E42" s="378">
        <f>IF(+I14&lt;F41,I14,D42)</f>
        <v>148095.08431818185</v>
      </c>
      <c r="F42" s="55">
        <f t="shared" si="19"/>
        <v>2764840.1566711562</v>
      </c>
      <c r="G42" s="379">
        <f t="shared" si="20"/>
        <v>487419.18804728647</v>
      </c>
      <c r="H42" s="364">
        <f t="shared" si="21"/>
        <v>487419.18804728647</v>
      </c>
      <c r="I42" s="52">
        <f t="shared" si="0"/>
        <v>0</v>
      </c>
      <c r="J42" s="52"/>
      <c r="K42" s="129"/>
      <c r="L42" s="54">
        <f t="shared" si="2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7"/>
        <v/>
      </c>
      <c r="C43" s="50">
        <f>IF(D11="","-",+C42+1)</f>
        <v>2043</v>
      </c>
      <c r="D43" s="55">
        <f>IF(F42+SUM(E$17:E42)=D$10,F42,D$10-SUM(E$17:E42))</f>
        <v>2764840.1566711562</v>
      </c>
      <c r="E43" s="378">
        <f>IF(+I14&lt;F42,I14,D43)</f>
        <v>148095.08431818185</v>
      </c>
      <c r="F43" s="55">
        <f t="shared" si="19"/>
        <v>2616745.0723529742</v>
      </c>
      <c r="G43" s="379">
        <f t="shared" si="20"/>
        <v>469717.80740667175</v>
      </c>
      <c r="H43" s="364">
        <f t="shared" si="21"/>
        <v>469717.80740667175</v>
      </c>
      <c r="I43" s="52">
        <f t="shared" si="0"/>
        <v>0</v>
      </c>
      <c r="J43" s="52"/>
      <c r="K43" s="129"/>
      <c r="L43" s="54">
        <f t="shared" si="2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7"/>
        <v/>
      </c>
      <c r="C44" s="50">
        <f>IF(D11="","-",+C43+1)</f>
        <v>2044</v>
      </c>
      <c r="D44" s="55">
        <f>IF(F43+SUM(E$17:E43)=D$10,F43,D$10-SUM(E$17:E43))</f>
        <v>2616745.0723529742</v>
      </c>
      <c r="E44" s="378">
        <f>IF(+I14&lt;F43,I14,D44)</f>
        <v>148095.08431818185</v>
      </c>
      <c r="F44" s="55">
        <f t="shared" si="19"/>
        <v>2468649.9880347922</v>
      </c>
      <c r="G44" s="379">
        <f t="shared" si="20"/>
        <v>452016.42676605686</v>
      </c>
      <c r="H44" s="364">
        <f t="shared" si="21"/>
        <v>452016.42676605686</v>
      </c>
      <c r="I44" s="52">
        <f t="shared" si="0"/>
        <v>0</v>
      </c>
      <c r="J44" s="52"/>
      <c r="K44" s="129"/>
      <c r="L44" s="54">
        <f t="shared" si="2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7"/>
        <v/>
      </c>
      <c r="C45" s="50">
        <f>IF(D11="","-",+C44+1)</f>
        <v>2045</v>
      </c>
      <c r="D45" s="55">
        <f>IF(F44+SUM(E$17:E44)=D$10,F44,D$10-SUM(E$17:E44))</f>
        <v>2468649.9880347922</v>
      </c>
      <c r="E45" s="378">
        <f>IF(+I14&lt;F44,I14,D45)</f>
        <v>148095.08431818185</v>
      </c>
      <c r="F45" s="55">
        <f t="shared" si="19"/>
        <v>2320554.9037166103</v>
      </c>
      <c r="G45" s="379">
        <f t="shared" si="20"/>
        <v>434315.04612544208</v>
      </c>
      <c r="H45" s="364">
        <f t="shared" si="21"/>
        <v>434315.04612544208</v>
      </c>
      <c r="I45" s="52">
        <f t="shared" si="0"/>
        <v>0</v>
      </c>
      <c r="J45" s="52"/>
      <c r="K45" s="129"/>
      <c r="L45" s="54">
        <f t="shared" si="2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7"/>
        <v/>
      </c>
      <c r="C46" s="50">
        <f>IF(D11="","-",+C45+1)</f>
        <v>2046</v>
      </c>
      <c r="D46" s="55">
        <f>IF(F45+SUM(E$17:E45)=D$10,F45,D$10-SUM(E$17:E45))</f>
        <v>2320554.9037166103</v>
      </c>
      <c r="E46" s="378">
        <f>IF(+I14&lt;F45,I14,D46)</f>
        <v>148095.08431818185</v>
      </c>
      <c r="F46" s="55">
        <f t="shared" si="19"/>
        <v>2172459.8193984283</v>
      </c>
      <c r="G46" s="379">
        <f t="shared" si="20"/>
        <v>416613.66548482724</v>
      </c>
      <c r="H46" s="364">
        <f t="shared" si="21"/>
        <v>416613.66548482724</v>
      </c>
      <c r="I46" s="52">
        <f t="shared" si="0"/>
        <v>0</v>
      </c>
      <c r="J46" s="52"/>
      <c r="K46" s="129"/>
      <c r="L46" s="54">
        <f t="shared" si="2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7"/>
        <v/>
      </c>
      <c r="C47" s="50">
        <f>IF(D11="","-",+C46+1)</f>
        <v>2047</v>
      </c>
      <c r="D47" s="55">
        <f>IF(F46+SUM(E$17:E46)=D$10,F46,D$10-SUM(E$17:E46))</f>
        <v>2172459.8193984283</v>
      </c>
      <c r="E47" s="378">
        <f>IF(+I14&lt;F46,I14,D47)</f>
        <v>148095.08431818185</v>
      </c>
      <c r="F47" s="55">
        <f t="shared" si="19"/>
        <v>2024364.7350802463</v>
      </c>
      <c r="G47" s="379">
        <f t="shared" si="20"/>
        <v>398912.28484421247</v>
      </c>
      <c r="H47" s="364">
        <f t="shared" si="21"/>
        <v>398912.28484421247</v>
      </c>
      <c r="I47" s="52">
        <f t="shared" si="0"/>
        <v>0</v>
      </c>
      <c r="J47" s="52"/>
      <c r="K47" s="129"/>
      <c r="L47" s="54">
        <f t="shared" si="2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7"/>
        <v/>
      </c>
      <c r="C48" s="50">
        <f>IF(D11="","-",+C47+1)</f>
        <v>2048</v>
      </c>
      <c r="D48" s="55">
        <f>IF(F47+SUM(E$17:E47)=D$10,F47,D$10-SUM(E$17:E47))</f>
        <v>2024364.7350802463</v>
      </c>
      <c r="E48" s="378">
        <f>IF(+I14&lt;F47,I14,D48)</f>
        <v>148095.08431818185</v>
      </c>
      <c r="F48" s="55">
        <f t="shared" si="19"/>
        <v>1876269.6507620644</v>
      </c>
      <c r="G48" s="379">
        <f t="shared" si="20"/>
        <v>381210.90420359763</v>
      </c>
      <c r="H48" s="364">
        <f t="shared" si="21"/>
        <v>381210.90420359763</v>
      </c>
      <c r="I48" s="52">
        <f t="shared" si="0"/>
        <v>0</v>
      </c>
      <c r="J48" s="52"/>
      <c r="K48" s="129"/>
      <c r="L48" s="54">
        <f t="shared" si="2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 ht="12.5">
      <c r="B49" s="7" t="str">
        <f t="shared" si="7"/>
        <v/>
      </c>
      <c r="C49" s="50">
        <f>IF(D11="","-",+C48+1)</f>
        <v>2049</v>
      </c>
      <c r="D49" s="55">
        <f>IF(F48+SUM(E$17:E48)=D$10,F48,D$10-SUM(E$17:E48))</f>
        <v>1876269.6507620644</v>
      </c>
      <c r="E49" s="378">
        <f>IF(+I14&lt;F48,I14,D49)</f>
        <v>148095.08431818185</v>
      </c>
      <c r="F49" s="55">
        <f t="shared" si="19"/>
        <v>1728174.5664438824</v>
      </c>
      <c r="G49" s="379">
        <f t="shared" ref="G49:G72" si="22">+I$12*((D49+F49)/2)+E49</f>
        <v>363509.52356298279</v>
      </c>
      <c r="H49" s="364">
        <f t="shared" ref="H49:H72" si="23">+I$13*((D49+F49)/2)+E49</f>
        <v>363509.52356298279</v>
      </c>
      <c r="I49" s="52">
        <f t="shared" si="0"/>
        <v>0</v>
      </c>
      <c r="J49" s="52"/>
      <c r="K49" s="129"/>
      <c r="L49" s="54">
        <f t="shared" si="2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 ht="12.5">
      <c r="B50" s="7" t="str">
        <f t="shared" si="7"/>
        <v/>
      </c>
      <c r="C50" s="50">
        <f>IF(D11="","-",+C49+1)</f>
        <v>2050</v>
      </c>
      <c r="D50" s="55">
        <f>IF(F49+SUM(E$17:E49)=D$10,F49,D$10-SUM(E$17:E49))</f>
        <v>1728174.5664438824</v>
      </c>
      <c r="E50" s="378">
        <f>IF(+I14&lt;F49,I14,D50)</f>
        <v>148095.08431818185</v>
      </c>
      <c r="F50" s="55">
        <f t="shared" si="19"/>
        <v>1580079.4821257005</v>
      </c>
      <c r="G50" s="379">
        <f t="shared" si="22"/>
        <v>345808.14292236802</v>
      </c>
      <c r="H50" s="364">
        <f t="shared" si="23"/>
        <v>345808.14292236802</v>
      </c>
      <c r="I50" s="52">
        <f t="shared" si="0"/>
        <v>0</v>
      </c>
      <c r="J50" s="52"/>
      <c r="K50" s="129"/>
      <c r="L50" s="54">
        <f t="shared" si="2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 ht="12.5">
      <c r="B51" s="7" t="str">
        <f t="shared" si="7"/>
        <v/>
      </c>
      <c r="C51" s="50">
        <f>IF(D11="","-",+C50+1)</f>
        <v>2051</v>
      </c>
      <c r="D51" s="55">
        <f>IF(F50+SUM(E$17:E50)=D$10,F50,D$10-SUM(E$17:E50))</f>
        <v>1580079.4821257005</v>
      </c>
      <c r="E51" s="378">
        <f>IF(+I14&lt;F50,I14,D51)</f>
        <v>148095.08431818185</v>
      </c>
      <c r="F51" s="55">
        <f t="shared" si="19"/>
        <v>1431984.3978075185</v>
      </c>
      <c r="G51" s="379">
        <f t="shared" si="22"/>
        <v>328106.76228175318</v>
      </c>
      <c r="H51" s="364">
        <f t="shared" si="23"/>
        <v>328106.76228175318</v>
      </c>
      <c r="I51" s="52">
        <f t="shared" si="0"/>
        <v>0</v>
      </c>
      <c r="J51" s="52"/>
      <c r="K51" s="129"/>
      <c r="L51" s="54">
        <f t="shared" si="2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 ht="12.5">
      <c r="B52" s="7" t="str">
        <f t="shared" si="7"/>
        <v/>
      </c>
      <c r="C52" s="50">
        <f>IF(D11="","-",+C51+1)</f>
        <v>2052</v>
      </c>
      <c r="D52" s="55">
        <f>IF(F51+SUM(E$17:E51)=D$10,F51,D$10-SUM(E$17:E51))</f>
        <v>1431984.3978075185</v>
      </c>
      <c r="E52" s="378">
        <f>IF(+I14&lt;F51,I14,D52)</f>
        <v>148095.08431818185</v>
      </c>
      <c r="F52" s="55">
        <f t="shared" si="19"/>
        <v>1283889.3134893365</v>
      </c>
      <c r="G52" s="379">
        <f t="shared" si="22"/>
        <v>310405.38164113835</v>
      </c>
      <c r="H52" s="364">
        <f t="shared" si="23"/>
        <v>310405.38164113835</v>
      </c>
      <c r="I52" s="52">
        <f t="shared" si="0"/>
        <v>0</v>
      </c>
      <c r="J52" s="52"/>
      <c r="K52" s="129"/>
      <c r="L52" s="54">
        <f t="shared" si="2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 ht="12.5">
      <c r="B53" s="7" t="str">
        <f t="shared" si="7"/>
        <v/>
      </c>
      <c r="C53" s="50">
        <f>IF(D11="","-",+C52+1)</f>
        <v>2053</v>
      </c>
      <c r="D53" s="55">
        <f>IF(F52+SUM(E$17:E52)=D$10,F52,D$10-SUM(E$17:E52))</f>
        <v>1283889.3134893365</v>
      </c>
      <c r="E53" s="378">
        <f>IF(+I14&lt;F52,I14,D53)</f>
        <v>148095.08431818185</v>
      </c>
      <c r="F53" s="55">
        <f t="shared" si="19"/>
        <v>1135794.2291711546</v>
      </c>
      <c r="G53" s="379">
        <f t="shared" si="22"/>
        <v>292704.00100052357</v>
      </c>
      <c r="H53" s="364">
        <f t="shared" si="23"/>
        <v>292704.00100052357</v>
      </c>
      <c r="I53" s="52">
        <f t="shared" si="0"/>
        <v>0</v>
      </c>
      <c r="J53" s="52"/>
      <c r="K53" s="129"/>
      <c r="L53" s="54">
        <f t="shared" si="2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 ht="12.5">
      <c r="B54" s="7" t="str">
        <f t="shared" si="7"/>
        <v/>
      </c>
      <c r="C54" s="50">
        <f>IF(D11="","-",+C53+1)</f>
        <v>2054</v>
      </c>
      <c r="D54" s="55">
        <f>IF(F53+SUM(E$17:E53)=D$10,F53,D$10-SUM(E$17:E53))</f>
        <v>1135794.2291711546</v>
      </c>
      <c r="E54" s="378">
        <f>IF(+I14&lt;F53,I14,D54)</f>
        <v>148095.08431818185</v>
      </c>
      <c r="F54" s="55">
        <f t="shared" si="19"/>
        <v>987699.14485297271</v>
      </c>
      <c r="G54" s="379">
        <f t="shared" si="22"/>
        <v>275002.62035990873</v>
      </c>
      <c r="H54" s="364">
        <f t="shared" si="23"/>
        <v>275002.62035990873</v>
      </c>
      <c r="I54" s="52">
        <f t="shared" si="0"/>
        <v>0</v>
      </c>
      <c r="J54" s="52"/>
      <c r="K54" s="129"/>
      <c r="L54" s="54">
        <f t="shared" si="2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 ht="12.5">
      <c r="B55" s="7" t="str">
        <f t="shared" si="7"/>
        <v/>
      </c>
      <c r="C55" s="50">
        <f>IF(D11="","-",+C54+1)</f>
        <v>2055</v>
      </c>
      <c r="D55" s="55">
        <f>IF(F54+SUM(E$17:E54)=D$10,F54,D$10-SUM(E$17:E54))</f>
        <v>987699.14485297271</v>
      </c>
      <c r="E55" s="378">
        <f>IF(+I14&lt;F54,I14,D55)</f>
        <v>148095.08431818185</v>
      </c>
      <c r="F55" s="55">
        <f t="shared" si="19"/>
        <v>839604.06053479086</v>
      </c>
      <c r="G55" s="379">
        <f t="shared" si="22"/>
        <v>257301.23971929395</v>
      </c>
      <c r="H55" s="364">
        <f t="shared" si="23"/>
        <v>257301.23971929395</v>
      </c>
      <c r="I55" s="52">
        <f t="shared" si="0"/>
        <v>0</v>
      </c>
      <c r="J55" s="52"/>
      <c r="K55" s="129"/>
      <c r="L55" s="54">
        <f t="shared" si="2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 ht="12.5">
      <c r="B56" s="7" t="str">
        <f t="shared" si="7"/>
        <v/>
      </c>
      <c r="C56" s="50">
        <f>IF(D11="","-",+C55+1)</f>
        <v>2056</v>
      </c>
      <c r="D56" s="55">
        <f>IF(F55+SUM(E$17:E55)=D$10,F55,D$10-SUM(E$17:E55))</f>
        <v>839604.06053479086</v>
      </c>
      <c r="E56" s="378">
        <f>IF(+I14&lt;F55,I14,D56)</f>
        <v>148095.08431818185</v>
      </c>
      <c r="F56" s="55">
        <f t="shared" si="19"/>
        <v>691508.97621660901</v>
      </c>
      <c r="G56" s="379">
        <f t="shared" si="22"/>
        <v>239599.85907867912</v>
      </c>
      <c r="H56" s="364">
        <f t="shared" si="23"/>
        <v>239599.85907867912</v>
      </c>
      <c r="I56" s="52">
        <f t="shared" si="0"/>
        <v>0</v>
      </c>
      <c r="J56" s="52"/>
      <c r="K56" s="129"/>
      <c r="L56" s="54">
        <f t="shared" si="2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 ht="12.5">
      <c r="B57" s="7" t="str">
        <f t="shared" si="7"/>
        <v/>
      </c>
      <c r="C57" s="50">
        <f>IF(D11="","-",+C56+1)</f>
        <v>2057</v>
      </c>
      <c r="D57" s="55">
        <f>IF(F56+SUM(E$17:E56)=D$10,F56,D$10-SUM(E$17:E56))</f>
        <v>691508.97621660901</v>
      </c>
      <c r="E57" s="378">
        <f>IF(+I14&lt;F56,I14,D57)</f>
        <v>148095.08431818185</v>
      </c>
      <c r="F57" s="55">
        <f t="shared" si="19"/>
        <v>543413.89189842716</v>
      </c>
      <c r="G57" s="379">
        <f t="shared" si="22"/>
        <v>221898.47843806434</v>
      </c>
      <c r="H57" s="364">
        <f t="shared" si="23"/>
        <v>221898.47843806434</v>
      </c>
      <c r="I57" s="52">
        <f t="shared" si="0"/>
        <v>0</v>
      </c>
      <c r="J57" s="52"/>
      <c r="K57" s="129"/>
      <c r="L57" s="54">
        <f t="shared" si="2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 ht="12.5">
      <c r="B58" s="7" t="str">
        <f t="shared" si="7"/>
        <v/>
      </c>
      <c r="C58" s="50">
        <f>IF(D11="","-",+C57+1)</f>
        <v>2058</v>
      </c>
      <c r="D58" s="55">
        <f>IF(F57+SUM(E$17:E57)=D$10,F57,D$10-SUM(E$17:E57))</f>
        <v>543413.89189842716</v>
      </c>
      <c r="E58" s="378">
        <f>IF(+I14&lt;F57,I14,D58)</f>
        <v>148095.08431818185</v>
      </c>
      <c r="F58" s="55">
        <f t="shared" si="19"/>
        <v>395318.80758024531</v>
      </c>
      <c r="G58" s="379">
        <f t="shared" si="22"/>
        <v>204197.09779744953</v>
      </c>
      <c r="H58" s="364">
        <f t="shared" si="23"/>
        <v>204197.09779744953</v>
      </c>
      <c r="I58" s="52">
        <f t="shared" si="0"/>
        <v>0</v>
      </c>
      <c r="J58" s="52"/>
      <c r="K58" s="129"/>
      <c r="L58" s="54">
        <f t="shared" si="2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 ht="12.5">
      <c r="B59" s="7" t="str">
        <f t="shared" si="7"/>
        <v/>
      </c>
      <c r="C59" s="50">
        <f>IF(D11="","-",+C58+1)</f>
        <v>2059</v>
      </c>
      <c r="D59" s="55">
        <f>IF(F58+SUM(E$17:E58)=D$10,F58,D$10-SUM(E$17:E58))</f>
        <v>395318.80758024531</v>
      </c>
      <c r="E59" s="378">
        <f>IF(+I14&lt;F58,I14,D59)</f>
        <v>148095.08431818185</v>
      </c>
      <c r="F59" s="55">
        <f t="shared" si="19"/>
        <v>247223.72326206346</v>
      </c>
      <c r="G59" s="379">
        <f t="shared" si="22"/>
        <v>186495.71715683473</v>
      </c>
      <c r="H59" s="364">
        <f t="shared" si="23"/>
        <v>186495.71715683473</v>
      </c>
      <c r="I59" s="52">
        <f t="shared" si="0"/>
        <v>0</v>
      </c>
      <c r="J59" s="52"/>
      <c r="K59" s="129"/>
      <c r="L59" s="54">
        <f t="shared" si="2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 ht="12.5">
      <c r="B60" s="7" t="str">
        <f t="shared" si="7"/>
        <v/>
      </c>
      <c r="C60" s="50">
        <f>IF(D11="","-",+C59+1)</f>
        <v>2060</v>
      </c>
      <c r="D60" s="55">
        <f>IF(F59+SUM(E$17:E59)=D$10,F59,D$10-SUM(E$17:E59))</f>
        <v>247223.72326206346</v>
      </c>
      <c r="E60" s="378">
        <f>IF(+I14&lt;F59,I14,D60)</f>
        <v>148095.08431818185</v>
      </c>
      <c r="F60" s="55">
        <f t="shared" si="19"/>
        <v>99128.638943881611</v>
      </c>
      <c r="G60" s="379">
        <f t="shared" si="22"/>
        <v>168794.33651621995</v>
      </c>
      <c r="H60" s="364">
        <f t="shared" si="23"/>
        <v>168794.33651621995</v>
      </c>
      <c r="I60" s="52">
        <f t="shared" si="0"/>
        <v>0</v>
      </c>
      <c r="J60" s="52"/>
      <c r="K60" s="129"/>
      <c r="L60" s="54">
        <f t="shared" si="2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 ht="12.5">
      <c r="B61" s="7" t="str">
        <f t="shared" si="7"/>
        <v/>
      </c>
      <c r="C61" s="50">
        <f>IF(D11="","-",+C60+1)</f>
        <v>2061</v>
      </c>
      <c r="D61" s="55">
        <f>IF(F60+SUM(E$17:E60)=D$10,F60,D$10-SUM(E$17:E60))</f>
        <v>99128.638943881611</v>
      </c>
      <c r="E61" s="378">
        <f>IF(+I14&lt;F60,I14,D61)</f>
        <v>99128.638943881611</v>
      </c>
      <c r="F61" s="55">
        <f t="shared" si="19"/>
        <v>0</v>
      </c>
      <c r="G61" s="380">
        <f t="shared" si="22"/>
        <v>105052.91988274695</v>
      </c>
      <c r="H61" s="364">
        <f t="shared" si="23"/>
        <v>105052.91988274695</v>
      </c>
      <c r="I61" s="52">
        <f t="shared" si="0"/>
        <v>0</v>
      </c>
      <c r="J61" s="52"/>
      <c r="K61" s="129"/>
      <c r="L61" s="54">
        <f t="shared" si="2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 ht="12.5">
      <c r="B62" s="7" t="str">
        <f t="shared" si="7"/>
        <v/>
      </c>
      <c r="C62" s="50">
        <f>IF(D11="","-",+C61+1)</f>
        <v>2062</v>
      </c>
      <c r="D62" s="55">
        <f>IF(F61+SUM(E$17:E61)=D$10,F61,D$10-SUM(E$17:E61))</f>
        <v>0</v>
      </c>
      <c r="E62" s="378">
        <f>IF(+I14&lt;F61,I14,D62)</f>
        <v>0</v>
      </c>
      <c r="F62" s="55">
        <f t="shared" si="19"/>
        <v>0</v>
      </c>
      <c r="G62" s="380">
        <f t="shared" si="22"/>
        <v>0</v>
      </c>
      <c r="H62" s="364">
        <f t="shared" si="23"/>
        <v>0</v>
      </c>
      <c r="I62" s="52">
        <f t="shared" si="0"/>
        <v>0</v>
      </c>
      <c r="J62" s="52"/>
      <c r="K62" s="129"/>
      <c r="L62" s="54">
        <f t="shared" si="2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 ht="12.5">
      <c r="B63" s="7" t="str">
        <f t="shared" si="7"/>
        <v/>
      </c>
      <c r="C63" s="50">
        <f>IF(D11="","-",+C62+1)</f>
        <v>2063</v>
      </c>
      <c r="D63" s="55">
        <f>IF(F62+SUM(E$17:E62)=D$10,F62,D$10-SUM(E$17:E62))</f>
        <v>0</v>
      </c>
      <c r="E63" s="378">
        <f>IF(+I14&lt;F62,I14,D63)</f>
        <v>0</v>
      </c>
      <c r="F63" s="55">
        <f t="shared" si="19"/>
        <v>0</v>
      </c>
      <c r="G63" s="380">
        <f t="shared" si="22"/>
        <v>0</v>
      </c>
      <c r="H63" s="364">
        <f t="shared" si="23"/>
        <v>0</v>
      </c>
      <c r="I63" s="52">
        <f t="shared" si="0"/>
        <v>0</v>
      </c>
      <c r="J63" s="52"/>
      <c r="K63" s="129"/>
      <c r="L63" s="54">
        <f t="shared" si="2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 ht="12.5">
      <c r="B64" s="7" t="str">
        <f t="shared" si="7"/>
        <v/>
      </c>
      <c r="C64" s="50">
        <f>IF(D11="","-",+C63+1)</f>
        <v>2064</v>
      </c>
      <c r="D64" s="55">
        <f>IF(F63+SUM(E$17:E63)=D$10,F63,D$10-SUM(E$17:E63))</f>
        <v>0</v>
      </c>
      <c r="E64" s="378">
        <f>IF(+I14&lt;F63,I14,D64)</f>
        <v>0</v>
      </c>
      <c r="F64" s="55">
        <f t="shared" si="19"/>
        <v>0</v>
      </c>
      <c r="G64" s="380">
        <f t="shared" si="22"/>
        <v>0</v>
      </c>
      <c r="H64" s="364">
        <f t="shared" si="23"/>
        <v>0</v>
      </c>
      <c r="I64" s="52">
        <f t="shared" si="0"/>
        <v>0</v>
      </c>
      <c r="J64" s="52"/>
      <c r="K64" s="129"/>
      <c r="L64" s="54">
        <f t="shared" si="2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 ht="12.5">
      <c r="B65" s="7" t="str">
        <f t="shared" si="7"/>
        <v/>
      </c>
      <c r="C65" s="50">
        <f>IF(D11="","-",+C64+1)</f>
        <v>2065</v>
      </c>
      <c r="D65" s="55">
        <f>IF(F64+SUM(E$17:E64)=D$10,F64,D$10-SUM(E$17:E64))</f>
        <v>0</v>
      </c>
      <c r="E65" s="378">
        <f>IF(+I14&lt;F64,I14,D65)</f>
        <v>0</v>
      </c>
      <c r="F65" s="55">
        <f t="shared" si="19"/>
        <v>0</v>
      </c>
      <c r="G65" s="380">
        <f t="shared" si="22"/>
        <v>0</v>
      </c>
      <c r="H65" s="364">
        <f t="shared" si="23"/>
        <v>0</v>
      </c>
      <c r="I65" s="52">
        <f t="shared" si="0"/>
        <v>0</v>
      </c>
      <c r="J65" s="52"/>
      <c r="K65" s="129"/>
      <c r="L65" s="54">
        <f t="shared" si="2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 ht="12.5">
      <c r="B66" s="7" t="str">
        <f t="shared" si="7"/>
        <v/>
      </c>
      <c r="C66" s="50">
        <f>IF(D11="","-",+C65+1)</f>
        <v>2066</v>
      </c>
      <c r="D66" s="55">
        <f>IF(F65+SUM(E$17:E65)=D$10,F65,D$10-SUM(E$17:E65))</f>
        <v>0</v>
      </c>
      <c r="E66" s="378">
        <f>IF(+I14&lt;F65,I14,D66)</f>
        <v>0</v>
      </c>
      <c r="F66" s="55">
        <f t="shared" si="19"/>
        <v>0</v>
      </c>
      <c r="G66" s="380">
        <f t="shared" si="22"/>
        <v>0</v>
      </c>
      <c r="H66" s="364">
        <f t="shared" si="23"/>
        <v>0</v>
      </c>
      <c r="I66" s="52">
        <f t="shared" si="0"/>
        <v>0</v>
      </c>
      <c r="J66" s="52"/>
      <c r="K66" s="129"/>
      <c r="L66" s="54">
        <f t="shared" si="2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 ht="12.5">
      <c r="B67" s="7" t="str">
        <f t="shared" si="7"/>
        <v/>
      </c>
      <c r="C67" s="50">
        <f>IF(D11="","-",+C66+1)</f>
        <v>2067</v>
      </c>
      <c r="D67" s="55">
        <f>IF(F66+SUM(E$17:E66)=D$10,F66,D$10-SUM(E$17:E66))</f>
        <v>0</v>
      </c>
      <c r="E67" s="378">
        <f>IF(+I14&lt;F66,I14,D67)</f>
        <v>0</v>
      </c>
      <c r="F67" s="55">
        <f t="shared" si="19"/>
        <v>0</v>
      </c>
      <c r="G67" s="380">
        <f t="shared" si="22"/>
        <v>0</v>
      </c>
      <c r="H67" s="364">
        <f t="shared" si="23"/>
        <v>0</v>
      </c>
      <c r="I67" s="52">
        <f t="shared" si="0"/>
        <v>0</v>
      </c>
      <c r="J67" s="52"/>
      <c r="K67" s="129"/>
      <c r="L67" s="54">
        <f t="shared" si="2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 ht="12.5">
      <c r="B68" s="7" t="str">
        <f t="shared" si="7"/>
        <v/>
      </c>
      <c r="C68" s="50">
        <f>IF(D11="","-",+C67+1)</f>
        <v>2068</v>
      </c>
      <c r="D68" s="55">
        <f>IF(F67+SUM(E$17:E67)=D$10,F67,D$10-SUM(E$17:E67))</f>
        <v>0</v>
      </c>
      <c r="E68" s="378">
        <f>IF(+I14&lt;F67,I14,D68)</f>
        <v>0</v>
      </c>
      <c r="F68" s="55">
        <f t="shared" si="19"/>
        <v>0</v>
      </c>
      <c r="G68" s="380">
        <f t="shared" si="22"/>
        <v>0</v>
      </c>
      <c r="H68" s="364">
        <f t="shared" si="23"/>
        <v>0</v>
      </c>
      <c r="I68" s="52">
        <f t="shared" si="0"/>
        <v>0</v>
      </c>
      <c r="J68" s="52"/>
      <c r="K68" s="129"/>
      <c r="L68" s="54">
        <f t="shared" si="2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 ht="12.5">
      <c r="B69" s="7" t="str">
        <f t="shared" si="7"/>
        <v/>
      </c>
      <c r="C69" s="50">
        <f>IF(D11="","-",+C68+1)</f>
        <v>2069</v>
      </c>
      <c r="D69" s="55">
        <f>IF(F68+SUM(E$17:E68)=D$10,F68,D$10-SUM(E$17:E68))</f>
        <v>0</v>
      </c>
      <c r="E69" s="378">
        <f>IF(+I14&lt;F68,I14,D69)</f>
        <v>0</v>
      </c>
      <c r="F69" s="55">
        <f t="shared" si="19"/>
        <v>0</v>
      </c>
      <c r="G69" s="380">
        <f t="shared" si="22"/>
        <v>0</v>
      </c>
      <c r="H69" s="364">
        <f t="shared" si="23"/>
        <v>0</v>
      </c>
      <c r="I69" s="52">
        <f t="shared" si="0"/>
        <v>0</v>
      </c>
      <c r="J69" s="52"/>
      <c r="K69" s="129"/>
      <c r="L69" s="54">
        <f t="shared" si="2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 ht="12.5">
      <c r="B70" s="7" t="str">
        <f t="shared" si="7"/>
        <v/>
      </c>
      <c r="C70" s="50">
        <f>IF(D11="","-",+C69+1)</f>
        <v>2070</v>
      </c>
      <c r="D70" s="55">
        <f>IF(F69+SUM(E$17:E69)=D$10,F69,D$10-SUM(E$17:E69))</f>
        <v>0</v>
      </c>
      <c r="E70" s="378">
        <f>IF(+I14&lt;F69,I14,D70)</f>
        <v>0</v>
      </c>
      <c r="F70" s="55">
        <f t="shared" si="19"/>
        <v>0</v>
      </c>
      <c r="G70" s="380">
        <f t="shared" si="22"/>
        <v>0</v>
      </c>
      <c r="H70" s="364">
        <f t="shared" si="23"/>
        <v>0</v>
      </c>
      <c r="I70" s="52">
        <f t="shared" si="0"/>
        <v>0</v>
      </c>
      <c r="J70" s="52"/>
      <c r="K70" s="129"/>
      <c r="L70" s="54">
        <f t="shared" si="2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 ht="12.5">
      <c r="B71" s="7" t="str">
        <f t="shared" si="7"/>
        <v/>
      </c>
      <c r="C71" s="50">
        <f>IF(D11="","-",+C70+1)</f>
        <v>2071</v>
      </c>
      <c r="D71" s="55">
        <f>IF(F70+SUM(E$17:E70)=D$10,F70,D$10-SUM(E$17:E70))</f>
        <v>0</v>
      </c>
      <c r="E71" s="378">
        <f>IF(+I14&lt;F70,I14,D71)</f>
        <v>0</v>
      </c>
      <c r="F71" s="55">
        <f t="shared" si="19"/>
        <v>0</v>
      </c>
      <c r="G71" s="380">
        <f t="shared" si="22"/>
        <v>0</v>
      </c>
      <c r="H71" s="364">
        <f t="shared" si="23"/>
        <v>0</v>
      </c>
      <c r="I71" s="52">
        <f t="shared" si="0"/>
        <v>0</v>
      </c>
      <c r="J71" s="52"/>
      <c r="K71" s="129"/>
      <c r="L71" s="54">
        <f t="shared" si="2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" thickBot="1">
      <c r="B72" s="7" t="str">
        <f t="shared" si="7"/>
        <v/>
      </c>
      <c r="C72" s="59">
        <f>IF(D11="","-",+C71+1)</f>
        <v>2072</v>
      </c>
      <c r="D72" s="60">
        <f>IF(F71+SUM(E$17:E71)=D$10,F71,D$10-SUM(E$17:E71))</f>
        <v>0</v>
      </c>
      <c r="E72" s="381">
        <f>IF(+I14&lt;F71,I14,D72)</f>
        <v>0</v>
      </c>
      <c r="F72" s="60">
        <f t="shared" si="19"/>
        <v>0</v>
      </c>
      <c r="G72" s="382">
        <f t="shared" si="22"/>
        <v>0</v>
      </c>
      <c r="H72" s="362">
        <f t="shared" si="23"/>
        <v>0</v>
      </c>
      <c r="I72" s="63">
        <f t="shared" si="0"/>
        <v>0</v>
      </c>
      <c r="J72" s="52"/>
      <c r="K72" s="130"/>
      <c r="L72" s="64">
        <f t="shared" si="2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 ht="12.5">
      <c r="C73" s="12" t="s">
        <v>78</v>
      </c>
      <c r="D73" s="293"/>
      <c r="E73" s="293">
        <f>SUM(E17:E72)</f>
        <v>6516183.7099999981</v>
      </c>
      <c r="F73" s="293"/>
      <c r="G73" s="293">
        <f>SUM(G17:G72)</f>
        <v>23695259.370634686</v>
      </c>
      <c r="H73" s="293">
        <f>SUM(H17:H72)</f>
        <v>23695259.370634686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 ht="13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66 of 77</v>
      </c>
    </row>
    <row r="84" spans="1:16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806044.03957835271</v>
      </c>
      <c r="N87" s="387">
        <f>IF(J92&lt;D11,0,VLOOKUP(J92,C17:O72,11))</f>
        <v>806044.03957835271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825671.04520884354</v>
      </c>
      <c r="N88" s="390">
        <f>IF(J92&lt;D11,0,VLOOKUP(J92,C99:P154,7))</f>
        <v>825671.04520884354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Broadmoor - Fort Humbug Rebuild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19627.005630490836</v>
      </c>
      <c r="N89" s="392">
        <f>+N88-N87</f>
        <v>19627.005630490836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TP2013165</v>
      </c>
      <c r="E91" s="76" t="str">
        <f>E9</f>
        <v xml:space="preserve">  SPP Project ID = 30573</v>
      </c>
      <c r="F91" s="76"/>
      <c r="G91" s="76"/>
      <c r="H91" s="76"/>
      <c r="I91" s="76"/>
      <c r="J91" s="76"/>
    </row>
    <row r="92" spans="1:16" ht="13">
      <c r="C92" s="34" t="s">
        <v>51</v>
      </c>
      <c r="D92" s="394">
        <f>D10</f>
        <v>6516183.7100000009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</row>
    <row r="93" spans="1:16" ht="12.5">
      <c r="C93" s="34" t="s">
        <v>54</v>
      </c>
      <c r="D93" s="88">
        <f>IF(D11=I10,"",D11)</f>
        <v>2017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4">
        <f>IF(D11=I10,"",D12)</f>
        <v>7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148095.08431818185</v>
      </c>
      <c r="K96" s="293"/>
      <c r="L96" s="293"/>
      <c r="M96" s="293"/>
      <c r="N96" s="293"/>
      <c r="O96" s="293"/>
      <c r="P96" s="1"/>
    </row>
    <row r="97" spans="1:16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5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 ht="12.5">
      <c r="C99" s="50">
        <f>IF(D93= "","-",D93)</f>
        <v>2017</v>
      </c>
      <c r="D99" s="145">
        <v>0</v>
      </c>
      <c r="E99" s="446">
        <v>77147.607142857145</v>
      </c>
      <c r="F99" s="147">
        <v>6403251.3928571427</v>
      </c>
      <c r="G99" s="447">
        <v>3201625.6964285714</v>
      </c>
      <c r="H99" s="448">
        <v>466053.74744652997</v>
      </c>
      <c r="I99" s="449">
        <v>466053.74744652997</v>
      </c>
      <c r="J99" s="54">
        <f t="shared" ref="J99:J130" si="24">+I99-H99</f>
        <v>0</v>
      </c>
      <c r="K99" s="54"/>
      <c r="L99" s="112">
        <f t="shared" ref="L99:L104" si="25">+H99</f>
        <v>466053.74744652997</v>
      </c>
      <c r="M99" s="53">
        <f t="shared" ref="M99:M130" si="26">IF(L99&lt;&gt;0,+H99-L99,0)</f>
        <v>0</v>
      </c>
      <c r="N99" s="112">
        <f t="shared" ref="N99:N104" si="27">+I99</f>
        <v>466053.74744652997</v>
      </c>
      <c r="O99" s="53">
        <f t="shared" ref="O99:O130" si="28">IF(N99&lt;&gt;0,+I99-N99,0)</f>
        <v>0</v>
      </c>
      <c r="P99" s="53">
        <f t="shared" ref="P99:P130" si="29">+O99-M99</f>
        <v>0</v>
      </c>
    </row>
    <row r="100" spans="1:16" ht="12.5">
      <c r="B100" s="7" t="str">
        <f>IF(D100=F99,"","IU")</f>
        <v>IU</v>
      </c>
      <c r="C100" s="50">
        <f>IF(D93="","-",+C99+1)</f>
        <v>2018</v>
      </c>
      <c r="D100" s="429">
        <v>6428757.3928571427</v>
      </c>
      <c r="E100" s="430">
        <v>154902.5</v>
      </c>
      <c r="F100" s="431">
        <v>6273854.8928571427</v>
      </c>
      <c r="G100" s="431">
        <v>6351306.1428571427</v>
      </c>
      <c r="H100" s="433">
        <v>825629.55463111226</v>
      </c>
      <c r="I100" s="434">
        <v>825629.55463111226</v>
      </c>
      <c r="J100" s="54">
        <f t="shared" si="24"/>
        <v>0</v>
      </c>
      <c r="K100" s="54"/>
      <c r="L100" s="450">
        <f t="shared" si="25"/>
        <v>825629.55463111226</v>
      </c>
      <c r="M100" s="54">
        <f t="shared" si="26"/>
        <v>0</v>
      </c>
      <c r="N100" s="450">
        <f t="shared" si="27"/>
        <v>825629.55463111226</v>
      </c>
      <c r="O100" s="54">
        <f t="shared" si="28"/>
        <v>0</v>
      </c>
      <c r="P100" s="54">
        <f t="shared" si="29"/>
        <v>0</v>
      </c>
    </row>
    <row r="101" spans="1:16" ht="12.5">
      <c r="B101" s="7" t="str">
        <f t="shared" ref="B101:B154" si="30">IF(D101=F100,"","IU")</f>
        <v>IU</v>
      </c>
      <c r="C101" s="50">
        <f>IF(D93="","-",+C100+1)</f>
        <v>2019</v>
      </c>
      <c r="D101" s="429">
        <v>6284133.8928571427</v>
      </c>
      <c r="E101" s="430">
        <v>151539.16279069768</v>
      </c>
      <c r="F101" s="431">
        <v>6132594.7300664447</v>
      </c>
      <c r="G101" s="431">
        <v>6208364.3114617933</v>
      </c>
      <c r="H101" s="433">
        <v>816085.87182179838</v>
      </c>
      <c r="I101" s="434">
        <v>816085.87182179838</v>
      </c>
      <c r="J101" s="54">
        <f t="shared" si="24"/>
        <v>0</v>
      </c>
      <c r="K101" s="54"/>
      <c r="L101" s="450">
        <f t="shared" si="25"/>
        <v>816085.87182179838</v>
      </c>
      <c r="M101" s="54">
        <f t="shared" ref="M101" si="31">IF(L101&lt;&gt;0,+H101-L101,0)</f>
        <v>0</v>
      </c>
      <c r="N101" s="450">
        <f t="shared" si="27"/>
        <v>816085.87182179838</v>
      </c>
      <c r="O101" s="54">
        <f t="shared" si="28"/>
        <v>0</v>
      </c>
      <c r="P101" s="54">
        <f t="shared" si="29"/>
        <v>0</v>
      </c>
    </row>
    <row r="102" spans="1:16" ht="12.5">
      <c r="B102" s="7" t="str">
        <f t="shared" si="30"/>
        <v/>
      </c>
      <c r="C102" s="50">
        <f>IF(D93="","-",+C101+1)</f>
        <v>2020</v>
      </c>
      <c r="D102" s="429">
        <v>6132594.7300664447</v>
      </c>
      <c r="E102" s="430">
        <v>155147.23809523811</v>
      </c>
      <c r="F102" s="431">
        <v>5977447.4919712069</v>
      </c>
      <c r="G102" s="431">
        <v>6055021.1110188253</v>
      </c>
      <c r="H102" s="433">
        <v>806509.06488040695</v>
      </c>
      <c r="I102" s="434">
        <v>806509.06488040695</v>
      </c>
      <c r="J102" s="54">
        <f t="shared" si="24"/>
        <v>0</v>
      </c>
      <c r="K102" s="54"/>
      <c r="L102" s="450">
        <f t="shared" si="25"/>
        <v>806509.06488040695</v>
      </c>
      <c r="M102" s="54">
        <f t="shared" ref="M102" si="32">IF(L102&lt;&gt;0,+H102-L102,0)</f>
        <v>0</v>
      </c>
      <c r="N102" s="450">
        <f t="shared" si="27"/>
        <v>806509.06488040695</v>
      </c>
      <c r="O102" s="54">
        <f t="shared" si="28"/>
        <v>0</v>
      </c>
      <c r="P102" s="54">
        <f t="shared" si="29"/>
        <v>0</v>
      </c>
    </row>
    <row r="103" spans="1:16" ht="12.5">
      <c r="B103" s="7" t="str">
        <f t="shared" si="30"/>
        <v/>
      </c>
      <c r="C103" s="50">
        <f>IF(D93="","-",+C102+1)</f>
        <v>2021</v>
      </c>
      <c r="D103" s="429">
        <v>5977447.4919712069</v>
      </c>
      <c r="E103" s="430">
        <v>158931.31707317074</v>
      </c>
      <c r="F103" s="431">
        <v>5818516.1748980358</v>
      </c>
      <c r="G103" s="431">
        <v>5897981.8334346209</v>
      </c>
      <c r="H103" s="433">
        <v>828436.1620504267</v>
      </c>
      <c r="I103" s="434">
        <v>828436.1620504267</v>
      </c>
      <c r="J103" s="54">
        <f t="shared" si="24"/>
        <v>0</v>
      </c>
      <c r="K103" s="54"/>
      <c r="L103" s="450">
        <f t="shared" si="25"/>
        <v>828436.1620504267</v>
      </c>
      <c r="M103" s="54">
        <f t="shared" ref="M103" si="33">IF(L103&lt;&gt;0,+H103-L103,0)</f>
        <v>0</v>
      </c>
      <c r="N103" s="450">
        <f t="shared" si="27"/>
        <v>828436.1620504267</v>
      </c>
      <c r="O103" s="54">
        <f t="shared" si="28"/>
        <v>0</v>
      </c>
      <c r="P103" s="54">
        <f t="shared" si="29"/>
        <v>0</v>
      </c>
    </row>
    <row r="104" spans="1:16" ht="12.5">
      <c r="B104" s="7" t="str">
        <f t="shared" si="30"/>
        <v/>
      </c>
      <c r="C104" s="50">
        <f>IF(D93="","-",+C103+1)</f>
        <v>2022</v>
      </c>
      <c r="D104" s="429">
        <v>5818516.1748980358</v>
      </c>
      <c r="E104" s="430">
        <v>155147.23809523811</v>
      </c>
      <c r="F104" s="431">
        <v>5663368.936802798</v>
      </c>
      <c r="G104" s="431">
        <v>5740942.5558504164</v>
      </c>
      <c r="H104" s="433">
        <v>829465.96773581451</v>
      </c>
      <c r="I104" s="434">
        <v>829465.96773581451</v>
      </c>
      <c r="J104" s="54">
        <f t="shared" si="24"/>
        <v>0</v>
      </c>
      <c r="K104" s="54"/>
      <c r="L104" s="450">
        <f t="shared" si="25"/>
        <v>829465.96773581451</v>
      </c>
      <c r="M104" s="54">
        <f t="shared" ref="M104" si="34">IF(L104&lt;&gt;0,+H104-L104,0)</f>
        <v>0</v>
      </c>
      <c r="N104" s="450">
        <f t="shared" si="27"/>
        <v>829465.96773581451</v>
      </c>
      <c r="O104" s="54">
        <f t="shared" ref="O104" si="35">IF(N104&lt;&gt;0,+I104-N104,0)</f>
        <v>0</v>
      </c>
      <c r="P104" s="54">
        <f t="shared" ref="P104" si="36">+O104-M104</f>
        <v>0</v>
      </c>
    </row>
    <row r="105" spans="1:16" ht="12.5">
      <c r="B105" s="7" t="str">
        <f t="shared" si="30"/>
        <v>IU</v>
      </c>
      <c r="C105" s="50">
        <f>IF(D93="","-",+C104+1)</f>
        <v>2023</v>
      </c>
      <c r="D105" s="429">
        <v>5663368.6468027988</v>
      </c>
      <c r="E105" s="430">
        <v>148095.08431818185</v>
      </c>
      <c r="F105" s="431">
        <v>5515273.5624846173</v>
      </c>
      <c r="G105" s="431">
        <v>5589321.1046437081</v>
      </c>
      <c r="H105" s="433">
        <v>837621.99659671972</v>
      </c>
      <c r="I105" s="434">
        <v>837621.99659671972</v>
      </c>
      <c r="J105" s="54">
        <f t="shared" si="24"/>
        <v>0</v>
      </c>
      <c r="K105" s="54"/>
      <c r="L105" s="450">
        <f t="shared" ref="L105" si="37">+H105</f>
        <v>837621.99659671972</v>
      </c>
      <c r="M105" s="54">
        <f t="shared" ref="M105" si="38">IF(L105&lt;&gt;0,+H105-L105,0)</f>
        <v>0</v>
      </c>
      <c r="N105" s="450">
        <f t="shared" ref="N105" si="39">+I105</f>
        <v>837621.99659671972</v>
      </c>
      <c r="O105" s="54">
        <f t="shared" ref="O105" si="40">IF(N105&lt;&gt;0,+I105-N105,0)</f>
        <v>0</v>
      </c>
      <c r="P105" s="54">
        <f t="shared" ref="P105" si="41">+O105-M105</f>
        <v>0</v>
      </c>
    </row>
    <row r="106" spans="1:16" ht="12.5">
      <c r="B106" s="7" t="str">
        <f t="shared" si="30"/>
        <v/>
      </c>
      <c r="C106" s="50">
        <f>IF(D93="","-",+C105+1)</f>
        <v>2024</v>
      </c>
      <c r="D106" s="12">
        <f>IF(F105+SUM(E$99:E105)=D$92,F105,D$92-SUM(E$99:E105))</f>
        <v>5515273.5624846173</v>
      </c>
      <c r="E106" s="378">
        <f>IF(+J96&lt;F105,J96,D106)</f>
        <v>148095.08431818185</v>
      </c>
      <c r="F106" s="55">
        <f t="shared" ref="F106:F130" si="42">+D106-E106</f>
        <v>5367178.4781664358</v>
      </c>
      <c r="G106" s="55">
        <f t="shared" ref="G106:G130" si="43">+(F106+D106)/2</f>
        <v>5441226.0203255266</v>
      </c>
      <c r="H106" s="380">
        <f t="shared" ref="H106:H154" si="44">+J$94*G106+E106</f>
        <v>825671.04520884354</v>
      </c>
      <c r="I106" s="399">
        <f t="shared" ref="I106:I154" si="45">+J$95*G106+E106</f>
        <v>825671.04520884354</v>
      </c>
      <c r="J106" s="54">
        <f t="shared" si="24"/>
        <v>0</v>
      </c>
      <c r="K106" s="54"/>
      <c r="L106" s="129"/>
      <c r="M106" s="54">
        <f t="shared" si="26"/>
        <v>0</v>
      </c>
      <c r="N106" s="129"/>
      <c r="O106" s="54">
        <f t="shared" si="28"/>
        <v>0</v>
      </c>
      <c r="P106" s="54">
        <f t="shared" si="29"/>
        <v>0</v>
      </c>
    </row>
    <row r="107" spans="1:16" ht="12.5">
      <c r="B107" s="7" t="str">
        <f t="shared" si="30"/>
        <v/>
      </c>
      <c r="C107" s="50">
        <f>IF(D93="","-",+C106+1)</f>
        <v>2025</v>
      </c>
      <c r="D107" s="12">
        <f>IF(F106+SUM(E$99:E106)=D$92,F106,D$92-SUM(E$99:E106))</f>
        <v>5367178.4781664358</v>
      </c>
      <c r="E107" s="378">
        <f>IF(+J96&lt;F106,J96,D107)</f>
        <v>148095.08431818185</v>
      </c>
      <c r="F107" s="55">
        <f t="shared" si="42"/>
        <v>5219083.3938482543</v>
      </c>
      <c r="G107" s="55">
        <f t="shared" si="43"/>
        <v>5293130.9360073451</v>
      </c>
      <c r="H107" s="380">
        <f t="shared" si="44"/>
        <v>807229.30640122236</v>
      </c>
      <c r="I107" s="399">
        <f t="shared" si="45"/>
        <v>807229.30640122236</v>
      </c>
      <c r="J107" s="54">
        <f t="shared" si="24"/>
        <v>0</v>
      </c>
      <c r="K107" s="54"/>
      <c r="L107" s="129"/>
      <c r="M107" s="54">
        <f t="shared" si="26"/>
        <v>0</v>
      </c>
      <c r="N107" s="129"/>
      <c r="O107" s="54">
        <f t="shared" si="28"/>
        <v>0</v>
      </c>
      <c r="P107" s="54">
        <f t="shared" si="29"/>
        <v>0</v>
      </c>
    </row>
    <row r="108" spans="1:16" ht="12.5">
      <c r="B108" s="7" t="str">
        <f t="shared" si="30"/>
        <v/>
      </c>
      <c r="C108" s="50">
        <f>IF(D93="","-",+C107+1)</f>
        <v>2026</v>
      </c>
      <c r="D108" s="12">
        <f>IF(F107+SUM(E$99:E107)=D$92,F107,D$92-SUM(E$99:E107))</f>
        <v>5219083.3938482543</v>
      </c>
      <c r="E108" s="378">
        <f>IF(+J96&lt;F107,J96,D108)</f>
        <v>148095.08431818185</v>
      </c>
      <c r="F108" s="55">
        <f t="shared" si="42"/>
        <v>5070988.3095300728</v>
      </c>
      <c r="G108" s="55">
        <f t="shared" si="43"/>
        <v>5145035.8516891636</v>
      </c>
      <c r="H108" s="380">
        <f t="shared" si="44"/>
        <v>788787.56759360118</v>
      </c>
      <c r="I108" s="399">
        <f t="shared" si="45"/>
        <v>788787.56759360118</v>
      </c>
      <c r="J108" s="54">
        <f t="shared" si="24"/>
        <v>0</v>
      </c>
      <c r="K108" s="54"/>
      <c r="L108" s="129"/>
      <c r="M108" s="54">
        <f t="shared" si="26"/>
        <v>0</v>
      </c>
      <c r="N108" s="129"/>
      <c r="O108" s="54">
        <f t="shared" si="28"/>
        <v>0</v>
      </c>
      <c r="P108" s="54">
        <f t="shared" si="29"/>
        <v>0</v>
      </c>
    </row>
    <row r="109" spans="1:16" ht="12.5">
      <c r="B109" s="7" t="str">
        <f t="shared" si="30"/>
        <v/>
      </c>
      <c r="C109" s="50">
        <f>IF(D93="","-",+C108+1)</f>
        <v>2027</v>
      </c>
      <c r="D109" s="12">
        <f>IF(F108+SUM(E$99:E108)=D$92,F108,D$92-SUM(E$99:E108))</f>
        <v>5070988.3095300728</v>
      </c>
      <c r="E109" s="378">
        <f>IF(+J96&lt;F108,J96,D109)</f>
        <v>148095.08431818185</v>
      </c>
      <c r="F109" s="55">
        <f t="shared" si="42"/>
        <v>4922893.2252118913</v>
      </c>
      <c r="G109" s="55">
        <f t="shared" si="43"/>
        <v>4996940.7673709821</v>
      </c>
      <c r="H109" s="380">
        <f t="shared" si="44"/>
        <v>770345.82878598</v>
      </c>
      <c r="I109" s="399">
        <f t="shared" si="45"/>
        <v>770345.82878598</v>
      </c>
      <c r="J109" s="54">
        <f t="shared" si="24"/>
        <v>0</v>
      </c>
      <c r="K109" s="54"/>
      <c r="L109" s="129"/>
      <c r="M109" s="54">
        <f t="shared" si="26"/>
        <v>0</v>
      </c>
      <c r="N109" s="129"/>
      <c r="O109" s="54">
        <f t="shared" si="28"/>
        <v>0</v>
      </c>
      <c r="P109" s="54">
        <f t="shared" si="29"/>
        <v>0</v>
      </c>
    </row>
    <row r="110" spans="1:16" ht="12.5">
      <c r="B110" s="7" t="str">
        <f t="shared" si="30"/>
        <v/>
      </c>
      <c r="C110" s="50">
        <f>IF(D93="","-",+C109+1)</f>
        <v>2028</v>
      </c>
      <c r="D110" s="12">
        <f>IF(F109+SUM(E$99:E109)=D$92,F109,D$92-SUM(E$99:E109))</f>
        <v>4922893.2252118913</v>
      </c>
      <c r="E110" s="378">
        <f>IF(+J96&lt;F109,J96,D110)</f>
        <v>148095.08431818185</v>
      </c>
      <c r="F110" s="55">
        <f t="shared" si="42"/>
        <v>4774798.1408937098</v>
      </c>
      <c r="G110" s="55">
        <f t="shared" si="43"/>
        <v>4848845.6830528006</v>
      </c>
      <c r="H110" s="380">
        <f t="shared" si="44"/>
        <v>751904.08997835882</v>
      </c>
      <c r="I110" s="399">
        <f t="shared" si="45"/>
        <v>751904.08997835882</v>
      </c>
      <c r="J110" s="54">
        <f t="shared" si="24"/>
        <v>0</v>
      </c>
      <c r="K110" s="54"/>
      <c r="L110" s="129"/>
      <c r="M110" s="54">
        <f t="shared" si="26"/>
        <v>0</v>
      </c>
      <c r="N110" s="129"/>
      <c r="O110" s="54">
        <f t="shared" si="28"/>
        <v>0</v>
      </c>
      <c r="P110" s="54">
        <f t="shared" si="29"/>
        <v>0</v>
      </c>
    </row>
    <row r="111" spans="1:16" ht="12.5">
      <c r="B111" s="7" t="str">
        <f t="shared" si="30"/>
        <v/>
      </c>
      <c r="C111" s="50">
        <f>IF(D93="","-",+C110+1)</f>
        <v>2029</v>
      </c>
      <c r="D111" s="12">
        <f>IF(F110+SUM(E$99:E110)=D$92,F110,D$92-SUM(E$99:E110))</f>
        <v>4774798.1408937098</v>
      </c>
      <c r="E111" s="378">
        <f>IF(+J96&lt;F110,J96,D111)</f>
        <v>148095.08431818185</v>
      </c>
      <c r="F111" s="55">
        <f t="shared" si="42"/>
        <v>4626703.0565755283</v>
      </c>
      <c r="G111" s="55">
        <f t="shared" si="43"/>
        <v>4700750.5987346191</v>
      </c>
      <c r="H111" s="380">
        <f t="shared" si="44"/>
        <v>733462.35117073765</v>
      </c>
      <c r="I111" s="399">
        <f t="shared" si="45"/>
        <v>733462.35117073765</v>
      </c>
      <c r="J111" s="54">
        <f t="shared" si="24"/>
        <v>0</v>
      </c>
      <c r="K111" s="54"/>
      <c r="L111" s="129"/>
      <c r="M111" s="54">
        <f t="shared" si="26"/>
        <v>0</v>
      </c>
      <c r="N111" s="129"/>
      <c r="O111" s="54">
        <f t="shared" si="28"/>
        <v>0</v>
      </c>
      <c r="P111" s="54">
        <f t="shared" si="29"/>
        <v>0</v>
      </c>
    </row>
    <row r="112" spans="1:16" ht="12.5">
      <c r="B112" s="7" t="str">
        <f t="shared" si="30"/>
        <v/>
      </c>
      <c r="C112" s="50">
        <f>IF(D93="","-",+C111+1)</f>
        <v>2030</v>
      </c>
      <c r="D112" s="12">
        <f>IF(F111+SUM(E$99:E111)=D$92,F111,D$92-SUM(E$99:E111))</f>
        <v>4626703.0565755283</v>
      </c>
      <c r="E112" s="378">
        <f>IF(+J96&lt;F111,J96,D112)</f>
        <v>148095.08431818185</v>
      </c>
      <c r="F112" s="55">
        <f t="shared" si="42"/>
        <v>4478607.9722573468</v>
      </c>
      <c r="G112" s="55">
        <f t="shared" si="43"/>
        <v>4552655.5144164376</v>
      </c>
      <c r="H112" s="380">
        <f t="shared" si="44"/>
        <v>715020.61236311647</v>
      </c>
      <c r="I112" s="399">
        <f t="shared" si="45"/>
        <v>715020.61236311647</v>
      </c>
      <c r="J112" s="54">
        <f t="shared" si="24"/>
        <v>0</v>
      </c>
      <c r="K112" s="54"/>
      <c r="L112" s="129"/>
      <c r="M112" s="54">
        <f t="shared" si="26"/>
        <v>0</v>
      </c>
      <c r="N112" s="129"/>
      <c r="O112" s="54">
        <f t="shared" si="28"/>
        <v>0</v>
      </c>
      <c r="P112" s="54">
        <f t="shared" si="29"/>
        <v>0</v>
      </c>
    </row>
    <row r="113" spans="2:16" ht="12.5">
      <c r="B113" s="7" t="str">
        <f t="shared" si="30"/>
        <v/>
      </c>
      <c r="C113" s="50">
        <f>IF(D93="","-",+C112+1)</f>
        <v>2031</v>
      </c>
      <c r="D113" s="12">
        <f>IF(F112+SUM(E$99:E112)=D$92,F112,D$92-SUM(E$99:E112))</f>
        <v>4478607.9722573468</v>
      </c>
      <c r="E113" s="378">
        <f>IF(+J96&lt;F112,J96,D113)</f>
        <v>148095.08431818185</v>
      </c>
      <c r="F113" s="55">
        <f t="shared" si="42"/>
        <v>4330512.8879391653</v>
      </c>
      <c r="G113" s="55">
        <f t="shared" si="43"/>
        <v>4404560.4300982561</v>
      </c>
      <c r="H113" s="380">
        <f t="shared" si="44"/>
        <v>696578.87355549529</v>
      </c>
      <c r="I113" s="399">
        <f t="shared" si="45"/>
        <v>696578.87355549529</v>
      </c>
      <c r="J113" s="54">
        <f t="shared" si="24"/>
        <v>0</v>
      </c>
      <c r="K113" s="54"/>
      <c r="L113" s="129"/>
      <c r="M113" s="54">
        <f t="shared" si="26"/>
        <v>0</v>
      </c>
      <c r="N113" s="129"/>
      <c r="O113" s="54">
        <f t="shared" si="28"/>
        <v>0</v>
      </c>
      <c r="P113" s="54">
        <f t="shared" si="29"/>
        <v>0</v>
      </c>
    </row>
    <row r="114" spans="2:16" ht="12.5">
      <c r="B114" s="7" t="str">
        <f t="shared" si="30"/>
        <v/>
      </c>
      <c r="C114" s="50">
        <f>IF(D93="","-",+C113+1)</f>
        <v>2032</v>
      </c>
      <c r="D114" s="12">
        <f>IF(F113+SUM(E$99:E113)=D$92,F113,D$92-SUM(E$99:E113))</f>
        <v>4330512.8879391653</v>
      </c>
      <c r="E114" s="378">
        <f>IF(+J96&lt;F113,J96,D114)</f>
        <v>148095.08431818185</v>
      </c>
      <c r="F114" s="55">
        <f t="shared" si="42"/>
        <v>4182417.8036209834</v>
      </c>
      <c r="G114" s="55">
        <f t="shared" si="43"/>
        <v>4256465.3457800746</v>
      </c>
      <c r="H114" s="380">
        <f t="shared" si="44"/>
        <v>678137.13474787411</v>
      </c>
      <c r="I114" s="399">
        <f t="shared" si="45"/>
        <v>678137.13474787411</v>
      </c>
      <c r="J114" s="54">
        <f t="shared" si="24"/>
        <v>0</v>
      </c>
      <c r="K114" s="54"/>
      <c r="L114" s="129"/>
      <c r="M114" s="54">
        <f t="shared" si="26"/>
        <v>0</v>
      </c>
      <c r="N114" s="129"/>
      <c r="O114" s="54">
        <f t="shared" si="28"/>
        <v>0</v>
      </c>
      <c r="P114" s="54">
        <f t="shared" si="29"/>
        <v>0</v>
      </c>
    </row>
    <row r="115" spans="2:16" ht="12.5">
      <c r="B115" s="7" t="str">
        <f t="shared" si="30"/>
        <v/>
      </c>
      <c r="C115" s="50">
        <f>IF(D93="","-",+C114+1)</f>
        <v>2033</v>
      </c>
      <c r="D115" s="12">
        <f>IF(F114+SUM(E$99:E114)=D$92,F114,D$92-SUM(E$99:E114))</f>
        <v>4182417.8036209834</v>
      </c>
      <c r="E115" s="378">
        <f>IF(+J96&lt;F114,J96,D115)</f>
        <v>148095.08431818185</v>
      </c>
      <c r="F115" s="55">
        <f t="shared" si="42"/>
        <v>4034322.7193028014</v>
      </c>
      <c r="G115" s="55">
        <f t="shared" si="43"/>
        <v>4108370.2614618922</v>
      </c>
      <c r="H115" s="380">
        <f t="shared" si="44"/>
        <v>659695.39594025281</v>
      </c>
      <c r="I115" s="399">
        <f t="shared" si="45"/>
        <v>659695.39594025281</v>
      </c>
      <c r="J115" s="54">
        <f t="shared" si="24"/>
        <v>0</v>
      </c>
      <c r="K115" s="54"/>
      <c r="L115" s="129"/>
      <c r="M115" s="54">
        <f t="shared" si="26"/>
        <v>0</v>
      </c>
      <c r="N115" s="129"/>
      <c r="O115" s="54">
        <f t="shared" si="28"/>
        <v>0</v>
      </c>
      <c r="P115" s="54">
        <f t="shared" si="29"/>
        <v>0</v>
      </c>
    </row>
    <row r="116" spans="2:16" ht="12.5">
      <c r="B116" s="7" t="str">
        <f t="shared" si="30"/>
        <v/>
      </c>
      <c r="C116" s="50">
        <f>IF(D93="","-",+C115+1)</f>
        <v>2034</v>
      </c>
      <c r="D116" s="12">
        <f>IF(F115+SUM(E$99:E115)=D$92,F115,D$92-SUM(E$99:E115))</f>
        <v>4034322.7193028014</v>
      </c>
      <c r="E116" s="378">
        <f>IF(+J96&lt;F115,J96,D116)</f>
        <v>148095.08431818185</v>
      </c>
      <c r="F116" s="55">
        <f t="shared" si="42"/>
        <v>3886227.6349846194</v>
      </c>
      <c r="G116" s="55">
        <f t="shared" si="43"/>
        <v>3960275.1771437107</v>
      </c>
      <c r="H116" s="380">
        <f t="shared" si="44"/>
        <v>641253.65713263163</v>
      </c>
      <c r="I116" s="399">
        <f t="shared" si="45"/>
        <v>641253.65713263163</v>
      </c>
      <c r="J116" s="54">
        <f t="shared" si="24"/>
        <v>0</v>
      </c>
      <c r="K116" s="54"/>
      <c r="L116" s="129"/>
      <c r="M116" s="54">
        <f t="shared" si="26"/>
        <v>0</v>
      </c>
      <c r="N116" s="129"/>
      <c r="O116" s="54">
        <f t="shared" si="28"/>
        <v>0</v>
      </c>
      <c r="P116" s="54">
        <f t="shared" si="29"/>
        <v>0</v>
      </c>
    </row>
    <row r="117" spans="2:16" ht="12.5">
      <c r="B117" s="7" t="str">
        <f t="shared" si="30"/>
        <v/>
      </c>
      <c r="C117" s="50">
        <f>IF(D93="","-",+C116+1)</f>
        <v>2035</v>
      </c>
      <c r="D117" s="12">
        <f>IF(F116+SUM(E$99:E116)=D$92,F116,D$92-SUM(E$99:E116))</f>
        <v>3886227.6349846194</v>
      </c>
      <c r="E117" s="378">
        <f>IF(+J96&lt;F116,J96,D117)</f>
        <v>148095.08431818185</v>
      </c>
      <c r="F117" s="55">
        <f t="shared" si="42"/>
        <v>3738132.5506664375</v>
      </c>
      <c r="G117" s="55">
        <f t="shared" si="43"/>
        <v>3812180.0928255282</v>
      </c>
      <c r="H117" s="380">
        <f t="shared" si="44"/>
        <v>622811.91832501034</v>
      </c>
      <c r="I117" s="399">
        <f t="shared" si="45"/>
        <v>622811.91832501034</v>
      </c>
      <c r="J117" s="54">
        <f t="shared" si="24"/>
        <v>0</v>
      </c>
      <c r="K117" s="54"/>
      <c r="L117" s="129"/>
      <c r="M117" s="54">
        <f t="shared" si="26"/>
        <v>0</v>
      </c>
      <c r="N117" s="129"/>
      <c r="O117" s="54">
        <f t="shared" si="28"/>
        <v>0</v>
      </c>
      <c r="P117" s="54">
        <f t="shared" si="29"/>
        <v>0</v>
      </c>
    </row>
    <row r="118" spans="2:16" ht="12.5">
      <c r="B118" s="7" t="str">
        <f t="shared" si="30"/>
        <v/>
      </c>
      <c r="C118" s="50">
        <f>IF(D93="","-",+C117+1)</f>
        <v>2036</v>
      </c>
      <c r="D118" s="12">
        <f>IF(F117+SUM(E$99:E117)=D$92,F117,D$92-SUM(E$99:E117))</f>
        <v>3738132.5506664375</v>
      </c>
      <c r="E118" s="378">
        <f>IF(+J96&lt;F117,J96,D118)</f>
        <v>148095.08431818185</v>
      </c>
      <c r="F118" s="55">
        <f t="shared" si="42"/>
        <v>3590037.4663482555</v>
      </c>
      <c r="G118" s="55">
        <f t="shared" si="43"/>
        <v>3664085.0085073467</v>
      </c>
      <c r="H118" s="380">
        <f t="shared" si="44"/>
        <v>604370.17951738916</v>
      </c>
      <c r="I118" s="399">
        <f t="shared" si="45"/>
        <v>604370.17951738916</v>
      </c>
      <c r="J118" s="54">
        <f t="shared" si="24"/>
        <v>0</v>
      </c>
      <c r="K118" s="54"/>
      <c r="L118" s="129"/>
      <c r="M118" s="54">
        <f t="shared" si="26"/>
        <v>0</v>
      </c>
      <c r="N118" s="129"/>
      <c r="O118" s="54">
        <f t="shared" si="28"/>
        <v>0</v>
      </c>
      <c r="P118" s="54">
        <f t="shared" si="29"/>
        <v>0</v>
      </c>
    </row>
    <row r="119" spans="2:16" ht="12.5">
      <c r="B119" s="7" t="str">
        <f t="shared" si="30"/>
        <v/>
      </c>
      <c r="C119" s="50">
        <f>IF(D93="","-",+C118+1)</f>
        <v>2037</v>
      </c>
      <c r="D119" s="12">
        <f>IF(F118+SUM(E$99:E118)=D$92,F118,D$92-SUM(E$99:E118))</f>
        <v>3590037.4663482555</v>
      </c>
      <c r="E119" s="378">
        <f>IF(+J96&lt;F118,J96,D119)</f>
        <v>148095.08431818185</v>
      </c>
      <c r="F119" s="55">
        <f t="shared" si="42"/>
        <v>3441942.3820300736</v>
      </c>
      <c r="G119" s="55">
        <f t="shared" si="43"/>
        <v>3515989.9241891643</v>
      </c>
      <c r="H119" s="380">
        <f t="shared" si="44"/>
        <v>585928.44070976786</v>
      </c>
      <c r="I119" s="399">
        <f t="shared" si="45"/>
        <v>585928.44070976786</v>
      </c>
      <c r="J119" s="54">
        <f t="shared" si="24"/>
        <v>0</v>
      </c>
      <c r="K119" s="54"/>
      <c r="L119" s="129"/>
      <c r="M119" s="54">
        <f t="shared" si="26"/>
        <v>0</v>
      </c>
      <c r="N119" s="129"/>
      <c r="O119" s="54">
        <f t="shared" si="28"/>
        <v>0</v>
      </c>
      <c r="P119" s="54">
        <f t="shared" si="29"/>
        <v>0</v>
      </c>
    </row>
    <row r="120" spans="2:16" ht="12.5">
      <c r="B120" s="7" t="str">
        <f t="shared" si="30"/>
        <v/>
      </c>
      <c r="C120" s="50">
        <f>IF(D93="","-",+C119+1)</f>
        <v>2038</v>
      </c>
      <c r="D120" s="12">
        <f>IF(F119+SUM(E$99:E119)=D$92,F119,D$92-SUM(E$99:E119))</f>
        <v>3441942.3820300736</v>
      </c>
      <c r="E120" s="378">
        <f>IF(+J96&lt;F119,J96,D120)</f>
        <v>148095.08431818185</v>
      </c>
      <c r="F120" s="55">
        <f t="shared" si="42"/>
        <v>3293847.2977118916</v>
      </c>
      <c r="G120" s="55">
        <f t="shared" si="43"/>
        <v>3367894.8398709828</v>
      </c>
      <c r="H120" s="380">
        <f t="shared" si="44"/>
        <v>567486.70190214668</v>
      </c>
      <c r="I120" s="399">
        <f t="shared" si="45"/>
        <v>567486.70190214668</v>
      </c>
      <c r="J120" s="54">
        <f t="shared" si="24"/>
        <v>0</v>
      </c>
      <c r="K120" s="54"/>
      <c r="L120" s="129"/>
      <c r="M120" s="54">
        <f t="shared" si="26"/>
        <v>0</v>
      </c>
      <c r="N120" s="129"/>
      <c r="O120" s="54">
        <f t="shared" si="28"/>
        <v>0</v>
      </c>
      <c r="P120" s="54">
        <f t="shared" si="29"/>
        <v>0</v>
      </c>
    </row>
    <row r="121" spans="2:16" ht="12.5">
      <c r="B121" s="7" t="str">
        <f t="shared" si="30"/>
        <v/>
      </c>
      <c r="C121" s="50">
        <f>IF(D93="","-",+C120+1)</f>
        <v>2039</v>
      </c>
      <c r="D121" s="12">
        <f>IF(F120+SUM(E$99:E120)=D$92,F120,D$92-SUM(E$99:E120))</f>
        <v>3293847.2977118916</v>
      </c>
      <c r="E121" s="378">
        <f>IF(+J96&lt;F120,J96,D121)</f>
        <v>148095.08431818185</v>
      </c>
      <c r="F121" s="55">
        <f t="shared" si="42"/>
        <v>3145752.2133937096</v>
      </c>
      <c r="G121" s="55">
        <f t="shared" si="43"/>
        <v>3219799.7555528004</v>
      </c>
      <c r="H121" s="380">
        <f t="shared" si="44"/>
        <v>549044.96309452539</v>
      </c>
      <c r="I121" s="399">
        <f t="shared" si="45"/>
        <v>549044.96309452539</v>
      </c>
      <c r="J121" s="54">
        <f t="shared" si="24"/>
        <v>0</v>
      </c>
      <c r="K121" s="54"/>
      <c r="L121" s="129"/>
      <c r="M121" s="54">
        <f t="shared" si="26"/>
        <v>0</v>
      </c>
      <c r="N121" s="129"/>
      <c r="O121" s="54">
        <f t="shared" si="28"/>
        <v>0</v>
      </c>
      <c r="P121" s="54">
        <f t="shared" si="29"/>
        <v>0</v>
      </c>
    </row>
    <row r="122" spans="2:16" ht="12.5">
      <c r="B122" s="7" t="str">
        <f t="shared" si="30"/>
        <v/>
      </c>
      <c r="C122" s="50">
        <f>IF(D93="","-",+C121+1)</f>
        <v>2040</v>
      </c>
      <c r="D122" s="12">
        <f>IF(F121+SUM(E$99:E121)=D$92,F121,D$92-SUM(E$99:E121))</f>
        <v>3145752.2133937096</v>
      </c>
      <c r="E122" s="378">
        <f>IF(+J96&lt;F121,J96,D122)</f>
        <v>148095.08431818185</v>
      </c>
      <c r="F122" s="55">
        <f t="shared" si="42"/>
        <v>2997657.1290755277</v>
      </c>
      <c r="G122" s="55">
        <f t="shared" si="43"/>
        <v>3071704.6712346189</v>
      </c>
      <c r="H122" s="380">
        <f t="shared" si="44"/>
        <v>530603.22428690421</v>
      </c>
      <c r="I122" s="399">
        <f t="shared" si="45"/>
        <v>530603.22428690421</v>
      </c>
      <c r="J122" s="54">
        <f t="shared" si="24"/>
        <v>0</v>
      </c>
      <c r="K122" s="54"/>
      <c r="L122" s="129"/>
      <c r="M122" s="54">
        <f t="shared" si="26"/>
        <v>0</v>
      </c>
      <c r="N122" s="129"/>
      <c r="O122" s="54">
        <f t="shared" si="28"/>
        <v>0</v>
      </c>
      <c r="P122" s="54">
        <f t="shared" si="29"/>
        <v>0</v>
      </c>
    </row>
    <row r="123" spans="2:16" ht="12.5">
      <c r="B123" s="7" t="str">
        <f t="shared" si="30"/>
        <v/>
      </c>
      <c r="C123" s="50">
        <f>IF(D93="","-",+C122+1)</f>
        <v>2041</v>
      </c>
      <c r="D123" s="12">
        <f>IF(F122+SUM(E$99:E122)=D$92,F122,D$92-SUM(E$99:E122))</f>
        <v>2997657.1290755277</v>
      </c>
      <c r="E123" s="378">
        <f>IF(+J96&lt;F122,J96,D123)</f>
        <v>148095.08431818185</v>
      </c>
      <c r="F123" s="55">
        <f t="shared" si="42"/>
        <v>2849562.0447573457</v>
      </c>
      <c r="G123" s="55">
        <f t="shared" si="43"/>
        <v>2923609.5869164364</v>
      </c>
      <c r="H123" s="380">
        <f t="shared" si="44"/>
        <v>512161.48547928291</v>
      </c>
      <c r="I123" s="399">
        <f t="shared" si="45"/>
        <v>512161.48547928291</v>
      </c>
      <c r="J123" s="54">
        <f t="shared" si="24"/>
        <v>0</v>
      </c>
      <c r="K123" s="54"/>
      <c r="L123" s="129"/>
      <c r="M123" s="54">
        <f t="shared" si="26"/>
        <v>0</v>
      </c>
      <c r="N123" s="129"/>
      <c r="O123" s="54">
        <f t="shared" si="28"/>
        <v>0</v>
      </c>
      <c r="P123" s="54">
        <f t="shared" si="29"/>
        <v>0</v>
      </c>
    </row>
    <row r="124" spans="2:16" ht="12.5">
      <c r="B124" s="7" t="str">
        <f t="shared" si="30"/>
        <v/>
      </c>
      <c r="C124" s="50">
        <f>IF(D93="","-",+C123+1)</f>
        <v>2042</v>
      </c>
      <c r="D124" s="12">
        <f>IF(F123+SUM(E$99:E123)=D$92,F123,D$92-SUM(E$99:E123))</f>
        <v>2849562.0447573457</v>
      </c>
      <c r="E124" s="378">
        <f>IF(+J96&lt;F123,J96,D124)</f>
        <v>148095.08431818185</v>
      </c>
      <c r="F124" s="55">
        <f t="shared" si="42"/>
        <v>2701466.9604391637</v>
      </c>
      <c r="G124" s="55">
        <f t="shared" si="43"/>
        <v>2775514.5025982549</v>
      </c>
      <c r="H124" s="380">
        <f t="shared" si="44"/>
        <v>493719.74667166179</v>
      </c>
      <c r="I124" s="399">
        <f t="shared" si="45"/>
        <v>493719.74667166179</v>
      </c>
      <c r="J124" s="54">
        <f t="shared" si="24"/>
        <v>0</v>
      </c>
      <c r="K124" s="54"/>
      <c r="L124" s="129"/>
      <c r="M124" s="54">
        <f t="shared" si="26"/>
        <v>0</v>
      </c>
      <c r="N124" s="129"/>
      <c r="O124" s="54">
        <f t="shared" si="28"/>
        <v>0</v>
      </c>
      <c r="P124" s="54">
        <f t="shared" si="29"/>
        <v>0</v>
      </c>
    </row>
    <row r="125" spans="2:16" ht="12.5">
      <c r="B125" s="7" t="str">
        <f t="shared" si="30"/>
        <v/>
      </c>
      <c r="C125" s="50">
        <f>IF(D93="","-",+C124+1)</f>
        <v>2043</v>
      </c>
      <c r="D125" s="12">
        <f>IF(F124+SUM(E$99:E124)=D$92,F124,D$92-SUM(E$99:E124))</f>
        <v>2701466.9604391637</v>
      </c>
      <c r="E125" s="378">
        <f>IF(+J96&lt;F124,J96,D125)</f>
        <v>148095.08431818185</v>
      </c>
      <c r="F125" s="55">
        <f t="shared" si="42"/>
        <v>2553371.8761209818</v>
      </c>
      <c r="G125" s="55">
        <f t="shared" si="43"/>
        <v>2627419.4182800725</v>
      </c>
      <c r="H125" s="380">
        <f t="shared" si="44"/>
        <v>475278.0078640405</v>
      </c>
      <c r="I125" s="399">
        <f t="shared" si="45"/>
        <v>475278.0078640405</v>
      </c>
      <c r="J125" s="54">
        <f t="shared" si="24"/>
        <v>0</v>
      </c>
      <c r="K125" s="54"/>
      <c r="L125" s="129"/>
      <c r="M125" s="54">
        <f t="shared" si="26"/>
        <v>0</v>
      </c>
      <c r="N125" s="129"/>
      <c r="O125" s="54">
        <f t="shared" si="28"/>
        <v>0</v>
      </c>
      <c r="P125" s="54">
        <f t="shared" si="29"/>
        <v>0</v>
      </c>
    </row>
    <row r="126" spans="2:16" ht="12.5">
      <c r="B126" s="7" t="str">
        <f t="shared" si="30"/>
        <v/>
      </c>
      <c r="C126" s="50">
        <f>IF(D93="","-",+C125+1)</f>
        <v>2044</v>
      </c>
      <c r="D126" s="12">
        <f>IF(F125+SUM(E$99:E125)=D$92,F125,D$92-SUM(E$99:E125))</f>
        <v>2553371.8761209818</v>
      </c>
      <c r="E126" s="378">
        <f>IF(+J96&lt;F125,J96,D126)</f>
        <v>148095.08431818185</v>
      </c>
      <c r="F126" s="55">
        <f t="shared" si="42"/>
        <v>2405276.7918027998</v>
      </c>
      <c r="G126" s="55">
        <f t="shared" si="43"/>
        <v>2479324.333961891</v>
      </c>
      <c r="H126" s="380">
        <f t="shared" si="44"/>
        <v>456836.26905641932</v>
      </c>
      <c r="I126" s="399">
        <f t="shared" si="45"/>
        <v>456836.26905641932</v>
      </c>
      <c r="J126" s="54">
        <f t="shared" si="24"/>
        <v>0</v>
      </c>
      <c r="K126" s="54"/>
      <c r="L126" s="129"/>
      <c r="M126" s="54">
        <f t="shared" si="26"/>
        <v>0</v>
      </c>
      <c r="N126" s="129"/>
      <c r="O126" s="54">
        <f t="shared" si="28"/>
        <v>0</v>
      </c>
      <c r="P126" s="54">
        <f t="shared" si="29"/>
        <v>0</v>
      </c>
    </row>
    <row r="127" spans="2:16" ht="12.5">
      <c r="B127" s="7" t="str">
        <f t="shared" si="30"/>
        <v/>
      </c>
      <c r="C127" s="50">
        <f>IF(D93="","-",+C126+1)</f>
        <v>2045</v>
      </c>
      <c r="D127" s="12">
        <f>IF(F126+SUM(E$99:E126)=D$92,F126,D$92-SUM(E$99:E126))</f>
        <v>2405276.7918027998</v>
      </c>
      <c r="E127" s="378">
        <f>IF(+J96&lt;F126,J96,D127)</f>
        <v>148095.08431818185</v>
      </c>
      <c r="F127" s="55">
        <f t="shared" si="42"/>
        <v>2257181.7074846178</v>
      </c>
      <c r="G127" s="55">
        <f t="shared" si="43"/>
        <v>2331229.2496437086</v>
      </c>
      <c r="H127" s="380">
        <f t="shared" si="44"/>
        <v>438394.53024879802</v>
      </c>
      <c r="I127" s="399">
        <f t="shared" si="45"/>
        <v>438394.53024879802</v>
      </c>
      <c r="J127" s="54">
        <f t="shared" si="24"/>
        <v>0</v>
      </c>
      <c r="K127" s="54"/>
      <c r="L127" s="129"/>
      <c r="M127" s="54">
        <f t="shared" si="26"/>
        <v>0</v>
      </c>
      <c r="N127" s="129"/>
      <c r="O127" s="54">
        <f t="shared" si="28"/>
        <v>0</v>
      </c>
      <c r="P127" s="54">
        <f t="shared" si="29"/>
        <v>0</v>
      </c>
    </row>
    <row r="128" spans="2:16" ht="12.5">
      <c r="B128" s="7" t="str">
        <f t="shared" si="30"/>
        <v/>
      </c>
      <c r="C128" s="50">
        <f>IF(D93="","-",+C127+1)</f>
        <v>2046</v>
      </c>
      <c r="D128" s="12">
        <f>IF(F127+SUM(E$99:E127)=D$92,F127,D$92-SUM(E$99:E127))</f>
        <v>2257181.7074846178</v>
      </c>
      <c r="E128" s="378">
        <f>IF(+J96&lt;F127,J96,D128)</f>
        <v>148095.08431818185</v>
      </c>
      <c r="F128" s="55">
        <f t="shared" si="42"/>
        <v>2109086.6231664359</v>
      </c>
      <c r="G128" s="55">
        <f t="shared" si="43"/>
        <v>2183134.1653255271</v>
      </c>
      <c r="H128" s="380">
        <f t="shared" si="44"/>
        <v>419952.79144117684</v>
      </c>
      <c r="I128" s="399">
        <f t="shared" si="45"/>
        <v>419952.79144117684</v>
      </c>
      <c r="J128" s="54">
        <f t="shared" si="24"/>
        <v>0</v>
      </c>
      <c r="K128" s="54"/>
      <c r="L128" s="129"/>
      <c r="M128" s="54">
        <f t="shared" si="26"/>
        <v>0</v>
      </c>
      <c r="N128" s="129"/>
      <c r="O128" s="54">
        <f t="shared" si="28"/>
        <v>0</v>
      </c>
      <c r="P128" s="54">
        <f t="shared" si="29"/>
        <v>0</v>
      </c>
    </row>
    <row r="129" spans="2:16" ht="12.5">
      <c r="B129" s="7" t="str">
        <f t="shared" si="30"/>
        <v/>
      </c>
      <c r="C129" s="50">
        <f>IF(D93="","-",+C128+1)</f>
        <v>2047</v>
      </c>
      <c r="D129" s="12">
        <f>IF(F128+SUM(E$99:E128)=D$92,F128,D$92-SUM(E$99:E128))</f>
        <v>2109086.6231664359</v>
      </c>
      <c r="E129" s="378">
        <f>IF(+J96&lt;F128,J96,D129)</f>
        <v>148095.08431818185</v>
      </c>
      <c r="F129" s="55">
        <f t="shared" si="42"/>
        <v>1960991.5388482539</v>
      </c>
      <c r="G129" s="55">
        <f t="shared" si="43"/>
        <v>2035039.0810073449</v>
      </c>
      <c r="H129" s="380">
        <f t="shared" si="44"/>
        <v>401511.05263355561</v>
      </c>
      <c r="I129" s="399">
        <f t="shared" si="45"/>
        <v>401511.05263355561</v>
      </c>
      <c r="J129" s="54">
        <f t="shared" si="24"/>
        <v>0</v>
      </c>
      <c r="K129" s="54"/>
      <c r="L129" s="129"/>
      <c r="M129" s="54">
        <f t="shared" si="26"/>
        <v>0</v>
      </c>
      <c r="N129" s="129"/>
      <c r="O129" s="54">
        <f t="shared" si="28"/>
        <v>0</v>
      </c>
      <c r="P129" s="54">
        <f t="shared" si="29"/>
        <v>0</v>
      </c>
    </row>
    <row r="130" spans="2:16" ht="12.5">
      <c r="B130" s="7" t="str">
        <f t="shared" si="30"/>
        <v/>
      </c>
      <c r="C130" s="50">
        <f>IF(D93="","-",+C129+1)</f>
        <v>2048</v>
      </c>
      <c r="D130" s="12">
        <f>IF(F129+SUM(E$99:E129)=D$92,F129,D$92-SUM(E$99:E129))</f>
        <v>1960991.5388482539</v>
      </c>
      <c r="E130" s="378">
        <f>IF(+J96&lt;F129,J96,D130)</f>
        <v>148095.08431818185</v>
      </c>
      <c r="F130" s="55">
        <f t="shared" si="42"/>
        <v>1812896.4545300719</v>
      </c>
      <c r="G130" s="55">
        <f t="shared" si="43"/>
        <v>1886943.9966891629</v>
      </c>
      <c r="H130" s="380">
        <f t="shared" si="44"/>
        <v>383069.31382593431</v>
      </c>
      <c r="I130" s="399">
        <f t="shared" si="45"/>
        <v>383069.31382593431</v>
      </c>
      <c r="J130" s="54">
        <f t="shared" si="24"/>
        <v>0</v>
      </c>
      <c r="K130" s="54"/>
      <c r="L130" s="129"/>
      <c r="M130" s="54">
        <f t="shared" si="26"/>
        <v>0</v>
      </c>
      <c r="N130" s="129"/>
      <c r="O130" s="54">
        <f t="shared" si="28"/>
        <v>0</v>
      </c>
      <c r="P130" s="54">
        <f t="shared" si="29"/>
        <v>0</v>
      </c>
    </row>
    <row r="131" spans="2:16" ht="12.5">
      <c r="B131" s="7" t="str">
        <f t="shared" si="30"/>
        <v/>
      </c>
      <c r="C131" s="50">
        <f>IF(D93="","-",+C130+1)</f>
        <v>2049</v>
      </c>
      <c r="D131" s="12">
        <f>IF(F130+SUM(E$99:E130)=D$92,F130,D$92-SUM(E$99:E130))</f>
        <v>1812896.4545300719</v>
      </c>
      <c r="E131" s="378">
        <f>IF(+J96&lt;F130,J96,D131)</f>
        <v>148095.08431818185</v>
      </c>
      <c r="F131" s="55">
        <f t="shared" ref="F131:F154" si="46">+D131-E131</f>
        <v>1664801.37021189</v>
      </c>
      <c r="G131" s="55">
        <f t="shared" ref="G131:G154" si="47">+(F131+D131)/2</f>
        <v>1738848.912370981</v>
      </c>
      <c r="H131" s="380">
        <f t="shared" si="44"/>
        <v>364627.57501831313</v>
      </c>
      <c r="I131" s="399">
        <f t="shared" si="45"/>
        <v>364627.57501831313</v>
      </c>
      <c r="J131" s="54">
        <f t="shared" ref="J131:J154" si="48">+I541-H541</f>
        <v>0</v>
      </c>
      <c r="K131" s="54"/>
      <c r="L131" s="129"/>
      <c r="M131" s="54">
        <f t="shared" ref="M131:M154" si="49">IF(L541&lt;&gt;0,+H541-L541,0)</f>
        <v>0</v>
      </c>
      <c r="N131" s="129"/>
      <c r="O131" s="54">
        <f t="shared" ref="O131:O154" si="50">IF(N541&lt;&gt;0,+I541-N541,0)</f>
        <v>0</v>
      </c>
      <c r="P131" s="54">
        <f t="shared" ref="P131:P154" si="51">+O541-M541</f>
        <v>0</v>
      </c>
    </row>
    <row r="132" spans="2:16" ht="12.5">
      <c r="B132" s="7" t="str">
        <f t="shared" si="30"/>
        <v/>
      </c>
      <c r="C132" s="50">
        <f>IF(D93="","-",+C131+1)</f>
        <v>2050</v>
      </c>
      <c r="D132" s="12">
        <f>IF(F131+SUM(E$99:E131)=D$92,F131,D$92-SUM(E$99:E131))</f>
        <v>1664801.37021189</v>
      </c>
      <c r="E132" s="378">
        <f>IF(+J96&lt;F131,J96,D132)</f>
        <v>148095.08431818185</v>
      </c>
      <c r="F132" s="55">
        <f t="shared" si="46"/>
        <v>1516706.285893708</v>
      </c>
      <c r="G132" s="55">
        <f t="shared" si="47"/>
        <v>1590753.828052799</v>
      </c>
      <c r="H132" s="380">
        <f t="shared" si="44"/>
        <v>346185.83621069184</v>
      </c>
      <c r="I132" s="399">
        <f t="shared" si="45"/>
        <v>346185.83621069184</v>
      </c>
      <c r="J132" s="54">
        <f t="shared" si="48"/>
        <v>0</v>
      </c>
      <c r="K132" s="54"/>
      <c r="L132" s="129"/>
      <c r="M132" s="54">
        <f t="shared" si="49"/>
        <v>0</v>
      </c>
      <c r="N132" s="129"/>
      <c r="O132" s="54">
        <f t="shared" si="50"/>
        <v>0</v>
      </c>
      <c r="P132" s="54">
        <f t="shared" si="51"/>
        <v>0</v>
      </c>
    </row>
    <row r="133" spans="2:16" ht="12.5">
      <c r="B133" s="7" t="str">
        <f t="shared" si="30"/>
        <v/>
      </c>
      <c r="C133" s="50">
        <f>IF(D93="","-",+C132+1)</f>
        <v>2051</v>
      </c>
      <c r="D133" s="12">
        <f>IF(F132+SUM(E$99:E132)=D$92,F132,D$92-SUM(E$99:E132))</f>
        <v>1516706.285893708</v>
      </c>
      <c r="E133" s="378">
        <f>IF(+J96&lt;F132,J96,D133)</f>
        <v>148095.08431818185</v>
      </c>
      <c r="F133" s="55">
        <f t="shared" si="46"/>
        <v>1368611.201575526</v>
      </c>
      <c r="G133" s="55">
        <f t="shared" si="47"/>
        <v>1442658.743734617</v>
      </c>
      <c r="H133" s="380">
        <f t="shared" si="44"/>
        <v>327744.09740307066</v>
      </c>
      <c r="I133" s="399">
        <f t="shared" si="45"/>
        <v>327744.09740307066</v>
      </c>
      <c r="J133" s="54">
        <f t="shared" si="48"/>
        <v>0</v>
      </c>
      <c r="K133" s="54"/>
      <c r="L133" s="129"/>
      <c r="M133" s="54">
        <f t="shared" si="49"/>
        <v>0</v>
      </c>
      <c r="N133" s="129"/>
      <c r="O133" s="54">
        <f t="shared" si="50"/>
        <v>0</v>
      </c>
      <c r="P133" s="54">
        <f t="shared" si="51"/>
        <v>0</v>
      </c>
    </row>
    <row r="134" spans="2:16" ht="12.5">
      <c r="B134" s="7" t="str">
        <f t="shared" si="30"/>
        <v/>
      </c>
      <c r="C134" s="50">
        <f>IF(D93="","-",+C133+1)</f>
        <v>2052</v>
      </c>
      <c r="D134" s="12">
        <f>IF(F133+SUM(E$99:E133)=D$92,F133,D$92-SUM(E$99:E133))</f>
        <v>1368611.201575526</v>
      </c>
      <c r="E134" s="378">
        <f>IF(+J96&lt;F133,J96,D134)</f>
        <v>148095.08431818185</v>
      </c>
      <c r="F134" s="55">
        <f t="shared" si="46"/>
        <v>1220516.1172573441</v>
      </c>
      <c r="G134" s="55">
        <f t="shared" si="47"/>
        <v>1294563.6594164351</v>
      </c>
      <c r="H134" s="380">
        <f t="shared" si="44"/>
        <v>309302.35859544942</v>
      </c>
      <c r="I134" s="399">
        <f t="shared" si="45"/>
        <v>309302.35859544942</v>
      </c>
      <c r="J134" s="54">
        <f t="shared" si="48"/>
        <v>0</v>
      </c>
      <c r="K134" s="54"/>
      <c r="L134" s="129"/>
      <c r="M134" s="54">
        <f t="shared" si="49"/>
        <v>0</v>
      </c>
      <c r="N134" s="129"/>
      <c r="O134" s="54">
        <f t="shared" si="50"/>
        <v>0</v>
      </c>
      <c r="P134" s="54">
        <f t="shared" si="51"/>
        <v>0</v>
      </c>
    </row>
    <row r="135" spans="2:16" ht="12.5">
      <c r="B135" s="7" t="str">
        <f t="shared" si="30"/>
        <v/>
      </c>
      <c r="C135" s="50">
        <f>IF(D93="","-",+C134+1)</f>
        <v>2053</v>
      </c>
      <c r="D135" s="12">
        <f>IF(F134+SUM(E$99:E134)=D$92,F134,D$92-SUM(E$99:E134))</f>
        <v>1220516.1172573441</v>
      </c>
      <c r="E135" s="378">
        <f>IF(+J96&lt;F134,J96,D135)</f>
        <v>148095.08431818185</v>
      </c>
      <c r="F135" s="55">
        <f t="shared" si="46"/>
        <v>1072421.0329391621</v>
      </c>
      <c r="G135" s="55">
        <f t="shared" si="47"/>
        <v>1146468.5750982531</v>
      </c>
      <c r="H135" s="380">
        <f t="shared" si="44"/>
        <v>290860.61978782818</v>
      </c>
      <c r="I135" s="399">
        <f t="shared" si="45"/>
        <v>290860.61978782818</v>
      </c>
      <c r="J135" s="54">
        <f t="shared" si="48"/>
        <v>0</v>
      </c>
      <c r="K135" s="54"/>
      <c r="L135" s="129"/>
      <c r="M135" s="54">
        <f t="shared" si="49"/>
        <v>0</v>
      </c>
      <c r="N135" s="129"/>
      <c r="O135" s="54">
        <f t="shared" si="50"/>
        <v>0</v>
      </c>
      <c r="P135" s="54">
        <f t="shared" si="51"/>
        <v>0</v>
      </c>
    </row>
    <row r="136" spans="2:16" ht="12.5">
      <c r="B136" s="7" t="str">
        <f t="shared" si="30"/>
        <v/>
      </c>
      <c r="C136" s="50">
        <f>IF(D93="","-",+C135+1)</f>
        <v>2054</v>
      </c>
      <c r="D136" s="12">
        <f>IF(F135+SUM(E$99:E135)=D$92,F135,D$92-SUM(E$99:E135))</f>
        <v>1072421.0329391621</v>
      </c>
      <c r="E136" s="378">
        <f>IF(+J96&lt;F135,J96,D136)</f>
        <v>148095.08431818185</v>
      </c>
      <c r="F136" s="55">
        <f t="shared" si="46"/>
        <v>924325.94862098026</v>
      </c>
      <c r="G136" s="55">
        <f t="shared" si="47"/>
        <v>998373.49078007112</v>
      </c>
      <c r="H136" s="380">
        <f t="shared" si="44"/>
        <v>272418.88098020694</v>
      </c>
      <c r="I136" s="399">
        <f t="shared" si="45"/>
        <v>272418.88098020694</v>
      </c>
      <c r="J136" s="54">
        <f t="shared" si="48"/>
        <v>0</v>
      </c>
      <c r="K136" s="54"/>
      <c r="L136" s="129"/>
      <c r="M136" s="54">
        <f t="shared" si="49"/>
        <v>0</v>
      </c>
      <c r="N136" s="129"/>
      <c r="O136" s="54">
        <f t="shared" si="50"/>
        <v>0</v>
      </c>
      <c r="P136" s="54">
        <f t="shared" si="51"/>
        <v>0</v>
      </c>
    </row>
    <row r="137" spans="2:16" ht="12.5">
      <c r="B137" s="7" t="str">
        <f t="shared" si="30"/>
        <v/>
      </c>
      <c r="C137" s="50">
        <f>IF(D93="","-",+C136+1)</f>
        <v>2055</v>
      </c>
      <c r="D137" s="12">
        <f>IF(F136+SUM(E$99:E136)=D$92,F136,D$92-SUM(E$99:E136))</f>
        <v>924325.94862098026</v>
      </c>
      <c r="E137" s="378">
        <f>IF(+J96&lt;F136,J96,D137)</f>
        <v>148095.08431818185</v>
      </c>
      <c r="F137" s="55">
        <f t="shared" si="46"/>
        <v>776230.86430279841</v>
      </c>
      <c r="G137" s="55">
        <f t="shared" si="47"/>
        <v>850278.40646188939</v>
      </c>
      <c r="H137" s="380">
        <f t="shared" si="44"/>
        <v>253977.14217258574</v>
      </c>
      <c r="I137" s="399">
        <f t="shared" si="45"/>
        <v>253977.14217258574</v>
      </c>
      <c r="J137" s="54">
        <f t="shared" si="48"/>
        <v>0</v>
      </c>
      <c r="K137" s="54"/>
      <c r="L137" s="129"/>
      <c r="M137" s="54">
        <f t="shared" si="49"/>
        <v>0</v>
      </c>
      <c r="N137" s="129"/>
      <c r="O137" s="54">
        <f t="shared" si="50"/>
        <v>0</v>
      </c>
      <c r="P137" s="54">
        <f t="shared" si="51"/>
        <v>0</v>
      </c>
    </row>
    <row r="138" spans="2:16" ht="12.5">
      <c r="B138" s="7" t="str">
        <f t="shared" si="30"/>
        <v/>
      </c>
      <c r="C138" s="50">
        <f>IF(D93="","-",+C137+1)</f>
        <v>2056</v>
      </c>
      <c r="D138" s="12">
        <f>IF(F137+SUM(E$99:E137)=D$92,F137,D$92-SUM(E$99:E137))</f>
        <v>776230.86430279841</v>
      </c>
      <c r="E138" s="378">
        <f>IF(+J96&lt;F137,J96,D138)</f>
        <v>148095.08431818185</v>
      </c>
      <c r="F138" s="55">
        <f t="shared" si="46"/>
        <v>628135.77998461656</v>
      </c>
      <c r="G138" s="55">
        <f t="shared" si="47"/>
        <v>702183.32214370742</v>
      </c>
      <c r="H138" s="380">
        <f t="shared" si="44"/>
        <v>235535.40336496453</v>
      </c>
      <c r="I138" s="399">
        <f t="shared" si="45"/>
        <v>235535.40336496453</v>
      </c>
      <c r="J138" s="54">
        <f t="shared" si="48"/>
        <v>0</v>
      </c>
      <c r="K138" s="54"/>
      <c r="L138" s="129"/>
      <c r="M138" s="54">
        <f t="shared" si="49"/>
        <v>0</v>
      </c>
      <c r="N138" s="129"/>
      <c r="O138" s="54">
        <f t="shared" si="50"/>
        <v>0</v>
      </c>
      <c r="P138" s="54">
        <f t="shared" si="51"/>
        <v>0</v>
      </c>
    </row>
    <row r="139" spans="2:16" ht="12.5">
      <c r="B139" s="7" t="str">
        <f t="shared" si="30"/>
        <v/>
      </c>
      <c r="C139" s="50">
        <f>IF(D93="","-",+C138+1)</f>
        <v>2057</v>
      </c>
      <c r="D139" s="12">
        <f>IF(F138+SUM(E$99:E138)=D$92,F138,D$92-SUM(E$99:E138))</f>
        <v>628135.77998461656</v>
      </c>
      <c r="E139" s="378">
        <f>IF(+J96&lt;F138,J96,D139)</f>
        <v>148095.08431818185</v>
      </c>
      <c r="F139" s="55">
        <f t="shared" si="46"/>
        <v>480040.69566643471</v>
      </c>
      <c r="G139" s="55">
        <f t="shared" si="47"/>
        <v>554088.23782552569</v>
      </c>
      <c r="H139" s="380">
        <f t="shared" si="44"/>
        <v>217093.66455734329</v>
      </c>
      <c r="I139" s="399">
        <f t="shared" si="45"/>
        <v>217093.66455734329</v>
      </c>
      <c r="J139" s="54">
        <f t="shared" si="48"/>
        <v>0</v>
      </c>
      <c r="K139" s="54"/>
      <c r="L139" s="129"/>
      <c r="M139" s="54">
        <f t="shared" si="49"/>
        <v>0</v>
      </c>
      <c r="N139" s="129"/>
      <c r="O139" s="54">
        <f t="shared" si="50"/>
        <v>0</v>
      </c>
      <c r="P139" s="54">
        <f t="shared" si="51"/>
        <v>0</v>
      </c>
    </row>
    <row r="140" spans="2:16" ht="12.5">
      <c r="B140" s="7" t="str">
        <f t="shared" si="30"/>
        <v/>
      </c>
      <c r="C140" s="50">
        <f>IF(D93="","-",+C139+1)</f>
        <v>2058</v>
      </c>
      <c r="D140" s="12">
        <f>IF(F139+SUM(E$99:E139)=D$92,F139,D$92-SUM(E$99:E139))</f>
        <v>480040.69566643471</v>
      </c>
      <c r="E140" s="378">
        <f>IF(+J96&lt;F139,J96,D140)</f>
        <v>148095.08431818185</v>
      </c>
      <c r="F140" s="55">
        <f t="shared" si="46"/>
        <v>331945.61134825286</v>
      </c>
      <c r="G140" s="55">
        <f t="shared" si="47"/>
        <v>405993.15350734378</v>
      </c>
      <c r="H140" s="380">
        <f t="shared" si="44"/>
        <v>198651.92574972208</v>
      </c>
      <c r="I140" s="399">
        <f t="shared" si="45"/>
        <v>198651.92574972208</v>
      </c>
      <c r="J140" s="54">
        <f t="shared" si="48"/>
        <v>0</v>
      </c>
      <c r="K140" s="54"/>
      <c r="L140" s="129"/>
      <c r="M140" s="54">
        <f t="shared" si="49"/>
        <v>0</v>
      </c>
      <c r="N140" s="129"/>
      <c r="O140" s="54">
        <f t="shared" si="50"/>
        <v>0</v>
      </c>
      <c r="P140" s="54">
        <f t="shared" si="51"/>
        <v>0</v>
      </c>
    </row>
    <row r="141" spans="2:16" ht="12.5">
      <c r="B141" s="7" t="str">
        <f t="shared" si="30"/>
        <v/>
      </c>
      <c r="C141" s="50">
        <f>IF(D93="","-",+C140+1)</f>
        <v>2059</v>
      </c>
      <c r="D141" s="12">
        <f>IF(F140+SUM(E$99:E140)=D$92,F140,D$92-SUM(E$99:E140))</f>
        <v>331945.61134825286</v>
      </c>
      <c r="E141" s="378">
        <f>IF(+J96&lt;F140,J96,D141)</f>
        <v>148095.08431818185</v>
      </c>
      <c r="F141" s="55">
        <f t="shared" si="46"/>
        <v>183850.52703007101</v>
      </c>
      <c r="G141" s="55">
        <f t="shared" si="47"/>
        <v>257898.06918916194</v>
      </c>
      <c r="H141" s="380">
        <f t="shared" si="44"/>
        <v>180210.18694210087</v>
      </c>
      <c r="I141" s="399">
        <f t="shared" si="45"/>
        <v>180210.18694210087</v>
      </c>
      <c r="J141" s="54">
        <f t="shared" si="48"/>
        <v>0</v>
      </c>
      <c r="K141" s="54"/>
      <c r="L141" s="129"/>
      <c r="M141" s="54">
        <f t="shared" si="49"/>
        <v>0</v>
      </c>
      <c r="N141" s="129"/>
      <c r="O141" s="54">
        <f t="shared" si="50"/>
        <v>0</v>
      </c>
      <c r="P141" s="54">
        <f t="shared" si="51"/>
        <v>0</v>
      </c>
    </row>
    <row r="142" spans="2:16" ht="12.5">
      <c r="B142" s="7" t="str">
        <f t="shared" si="30"/>
        <v/>
      </c>
      <c r="C142" s="50">
        <f>IF(D93="","-",+C141+1)</f>
        <v>2060</v>
      </c>
      <c r="D142" s="12">
        <f>IF(F141+SUM(E$99:E141)=D$92,F141,D$92-SUM(E$99:E141))</f>
        <v>183850.52703007101</v>
      </c>
      <c r="E142" s="378">
        <f>IF(+J96&lt;F141,J96,D142)</f>
        <v>148095.08431818185</v>
      </c>
      <c r="F142" s="55">
        <f t="shared" si="46"/>
        <v>35755.442711889162</v>
      </c>
      <c r="G142" s="55">
        <f t="shared" si="47"/>
        <v>109802.98487098009</v>
      </c>
      <c r="H142" s="380">
        <f t="shared" si="44"/>
        <v>161768.44813447964</v>
      </c>
      <c r="I142" s="399">
        <f t="shared" si="45"/>
        <v>161768.44813447964</v>
      </c>
      <c r="J142" s="54">
        <f t="shared" si="48"/>
        <v>0</v>
      </c>
      <c r="K142" s="54"/>
      <c r="L142" s="129"/>
      <c r="M142" s="54">
        <f t="shared" si="49"/>
        <v>0</v>
      </c>
      <c r="N142" s="129"/>
      <c r="O142" s="54">
        <f t="shared" si="50"/>
        <v>0</v>
      </c>
      <c r="P142" s="54">
        <f t="shared" si="51"/>
        <v>0</v>
      </c>
    </row>
    <row r="143" spans="2:16" ht="12.5">
      <c r="B143" s="7" t="str">
        <f t="shared" si="30"/>
        <v/>
      </c>
      <c r="C143" s="50">
        <f>IF(D93="","-",+C142+1)</f>
        <v>2061</v>
      </c>
      <c r="D143" s="12">
        <f>IF(F142+SUM(E$99:E142)=D$92,F142,D$92-SUM(E$99:E142))</f>
        <v>35755.442711889162</v>
      </c>
      <c r="E143" s="378">
        <f>IF(+J96&lt;F142,J96,D143)</f>
        <v>35755.442711889162</v>
      </c>
      <c r="F143" s="55">
        <f t="shared" si="46"/>
        <v>0</v>
      </c>
      <c r="G143" s="55">
        <f t="shared" si="47"/>
        <v>17877.721355944581</v>
      </c>
      <c r="H143" s="380">
        <f t="shared" si="44"/>
        <v>37981.689918132754</v>
      </c>
      <c r="I143" s="399">
        <f t="shared" si="45"/>
        <v>37981.689918132754</v>
      </c>
      <c r="J143" s="54">
        <f t="shared" si="48"/>
        <v>0</v>
      </c>
      <c r="K143" s="54"/>
      <c r="L143" s="129"/>
      <c r="M143" s="54">
        <f t="shared" si="49"/>
        <v>0</v>
      </c>
      <c r="N143" s="129"/>
      <c r="O143" s="54">
        <f t="shared" si="50"/>
        <v>0</v>
      </c>
      <c r="P143" s="54">
        <f t="shared" si="51"/>
        <v>0</v>
      </c>
    </row>
    <row r="144" spans="2:16" ht="12.5">
      <c r="B144" s="7" t="str">
        <f t="shared" si="30"/>
        <v/>
      </c>
      <c r="C144" s="50">
        <f>IF(D93="","-",+C143+1)</f>
        <v>2062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46"/>
        <v>0</v>
      </c>
      <c r="G144" s="55">
        <f t="shared" si="47"/>
        <v>0</v>
      </c>
      <c r="H144" s="380">
        <f t="shared" si="44"/>
        <v>0</v>
      </c>
      <c r="I144" s="399">
        <f t="shared" si="45"/>
        <v>0</v>
      </c>
      <c r="J144" s="54">
        <f t="shared" si="48"/>
        <v>0</v>
      </c>
      <c r="K144" s="54"/>
      <c r="L144" s="129"/>
      <c r="M144" s="54">
        <f t="shared" si="49"/>
        <v>0</v>
      </c>
      <c r="N144" s="129"/>
      <c r="O144" s="54">
        <f t="shared" si="50"/>
        <v>0</v>
      </c>
      <c r="P144" s="54">
        <f t="shared" si="51"/>
        <v>0</v>
      </c>
    </row>
    <row r="145" spans="2:16" ht="12.5">
      <c r="B145" s="7" t="str">
        <f t="shared" si="30"/>
        <v/>
      </c>
      <c r="C145" s="50">
        <f>IF(D93="","-",+C144+1)</f>
        <v>2063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46"/>
        <v>0</v>
      </c>
      <c r="G145" s="55">
        <f t="shared" si="47"/>
        <v>0</v>
      </c>
      <c r="H145" s="380">
        <f t="shared" si="44"/>
        <v>0</v>
      </c>
      <c r="I145" s="399">
        <f t="shared" si="45"/>
        <v>0</v>
      </c>
      <c r="J145" s="54">
        <f t="shared" si="48"/>
        <v>0</v>
      </c>
      <c r="K145" s="54"/>
      <c r="L145" s="129"/>
      <c r="M145" s="54">
        <f t="shared" si="49"/>
        <v>0</v>
      </c>
      <c r="N145" s="129"/>
      <c r="O145" s="54">
        <f t="shared" si="50"/>
        <v>0</v>
      </c>
      <c r="P145" s="54">
        <f t="shared" si="51"/>
        <v>0</v>
      </c>
    </row>
    <row r="146" spans="2:16" ht="12.5">
      <c r="B146" s="7" t="str">
        <f t="shared" si="30"/>
        <v/>
      </c>
      <c r="C146" s="50">
        <f>IF(D93="","-",+C145+1)</f>
        <v>2064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46"/>
        <v>0</v>
      </c>
      <c r="G146" s="55">
        <f t="shared" si="47"/>
        <v>0</v>
      </c>
      <c r="H146" s="380">
        <f t="shared" si="44"/>
        <v>0</v>
      </c>
      <c r="I146" s="399">
        <f t="shared" si="45"/>
        <v>0</v>
      </c>
      <c r="J146" s="54">
        <f t="shared" si="48"/>
        <v>0</v>
      </c>
      <c r="K146" s="54"/>
      <c r="L146" s="129"/>
      <c r="M146" s="54">
        <f t="shared" si="49"/>
        <v>0</v>
      </c>
      <c r="N146" s="129"/>
      <c r="O146" s="54">
        <f t="shared" si="50"/>
        <v>0</v>
      </c>
      <c r="P146" s="54">
        <f t="shared" si="51"/>
        <v>0</v>
      </c>
    </row>
    <row r="147" spans="2:16" ht="12.5">
      <c r="B147" s="7" t="str">
        <f t="shared" si="30"/>
        <v/>
      </c>
      <c r="C147" s="50">
        <f>IF(D93="","-",+C146+1)</f>
        <v>2065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46"/>
        <v>0</v>
      </c>
      <c r="G147" s="55">
        <f t="shared" si="47"/>
        <v>0</v>
      </c>
      <c r="H147" s="380">
        <f t="shared" si="44"/>
        <v>0</v>
      </c>
      <c r="I147" s="399">
        <f t="shared" si="45"/>
        <v>0</v>
      </c>
      <c r="J147" s="54">
        <f t="shared" si="48"/>
        <v>0</v>
      </c>
      <c r="K147" s="54"/>
      <c r="L147" s="129"/>
      <c r="M147" s="54">
        <f t="shared" si="49"/>
        <v>0</v>
      </c>
      <c r="N147" s="129"/>
      <c r="O147" s="54">
        <f t="shared" si="50"/>
        <v>0</v>
      </c>
      <c r="P147" s="54">
        <f t="shared" si="51"/>
        <v>0</v>
      </c>
    </row>
    <row r="148" spans="2:16" ht="12.5">
      <c r="B148" s="7" t="str">
        <f t="shared" si="30"/>
        <v/>
      </c>
      <c r="C148" s="50">
        <f>IF(D93="","-",+C147+1)</f>
        <v>2066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46"/>
        <v>0</v>
      </c>
      <c r="G148" s="55">
        <f t="shared" si="47"/>
        <v>0</v>
      </c>
      <c r="H148" s="380">
        <f t="shared" si="44"/>
        <v>0</v>
      </c>
      <c r="I148" s="399">
        <f t="shared" si="45"/>
        <v>0</v>
      </c>
      <c r="J148" s="54">
        <f t="shared" si="48"/>
        <v>0</v>
      </c>
      <c r="K148" s="54"/>
      <c r="L148" s="129"/>
      <c r="M148" s="54">
        <f t="shared" si="49"/>
        <v>0</v>
      </c>
      <c r="N148" s="129"/>
      <c r="O148" s="54">
        <f t="shared" si="50"/>
        <v>0</v>
      </c>
      <c r="P148" s="54">
        <f t="shared" si="51"/>
        <v>0</v>
      </c>
    </row>
    <row r="149" spans="2:16" ht="12.5">
      <c r="B149" s="7" t="str">
        <f t="shared" si="30"/>
        <v/>
      </c>
      <c r="C149" s="50">
        <f>IF(D93="","-",+C148+1)</f>
        <v>2067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46"/>
        <v>0</v>
      </c>
      <c r="G149" s="55">
        <f t="shared" si="47"/>
        <v>0</v>
      </c>
      <c r="H149" s="380">
        <f t="shared" si="44"/>
        <v>0</v>
      </c>
      <c r="I149" s="399">
        <f t="shared" si="45"/>
        <v>0</v>
      </c>
      <c r="J149" s="54">
        <f t="shared" si="48"/>
        <v>0</v>
      </c>
      <c r="K149" s="54"/>
      <c r="L149" s="129"/>
      <c r="M149" s="54">
        <f t="shared" si="49"/>
        <v>0</v>
      </c>
      <c r="N149" s="129"/>
      <c r="O149" s="54">
        <f t="shared" si="50"/>
        <v>0</v>
      </c>
      <c r="P149" s="54">
        <f t="shared" si="51"/>
        <v>0</v>
      </c>
    </row>
    <row r="150" spans="2:16" ht="12.5">
      <c r="B150" s="7" t="str">
        <f t="shared" si="30"/>
        <v/>
      </c>
      <c r="C150" s="50">
        <f>IF(D93="","-",+C149+1)</f>
        <v>2068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46"/>
        <v>0</v>
      </c>
      <c r="G150" s="55">
        <f t="shared" si="47"/>
        <v>0</v>
      </c>
      <c r="H150" s="380">
        <f t="shared" si="44"/>
        <v>0</v>
      </c>
      <c r="I150" s="399">
        <f t="shared" si="45"/>
        <v>0</v>
      </c>
      <c r="J150" s="54">
        <f t="shared" si="48"/>
        <v>0</v>
      </c>
      <c r="K150" s="54"/>
      <c r="L150" s="129"/>
      <c r="M150" s="54">
        <f t="shared" si="49"/>
        <v>0</v>
      </c>
      <c r="N150" s="129"/>
      <c r="O150" s="54">
        <f t="shared" si="50"/>
        <v>0</v>
      </c>
      <c r="P150" s="54">
        <f t="shared" si="51"/>
        <v>0</v>
      </c>
    </row>
    <row r="151" spans="2:16" ht="12.5">
      <c r="B151" s="7" t="str">
        <f t="shared" si="30"/>
        <v/>
      </c>
      <c r="C151" s="50">
        <f>IF(D93="","-",+C150+1)</f>
        <v>2069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46"/>
        <v>0</v>
      </c>
      <c r="G151" s="55">
        <f t="shared" si="47"/>
        <v>0</v>
      </c>
      <c r="H151" s="380">
        <f t="shared" si="44"/>
        <v>0</v>
      </c>
      <c r="I151" s="399">
        <f t="shared" si="45"/>
        <v>0</v>
      </c>
      <c r="J151" s="54">
        <f t="shared" si="48"/>
        <v>0</v>
      </c>
      <c r="K151" s="54"/>
      <c r="L151" s="129"/>
      <c r="M151" s="54">
        <f t="shared" si="49"/>
        <v>0</v>
      </c>
      <c r="N151" s="129"/>
      <c r="O151" s="54">
        <f t="shared" si="50"/>
        <v>0</v>
      </c>
      <c r="P151" s="54">
        <f t="shared" si="51"/>
        <v>0</v>
      </c>
    </row>
    <row r="152" spans="2:16" ht="12.5">
      <c r="B152" s="7" t="str">
        <f t="shared" si="30"/>
        <v/>
      </c>
      <c r="C152" s="50">
        <f>IF(D93="","-",+C151+1)</f>
        <v>2070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46"/>
        <v>0</v>
      </c>
      <c r="G152" s="55">
        <f t="shared" si="47"/>
        <v>0</v>
      </c>
      <c r="H152" s="380">
        <f t="shared" si="44"/>
        <v>0</v>
      </c>
      <c r="I152" s="399">
        <f t="shared" si="45"/>
        <v>0</v>
      </c>
      <c r="J152" s="54">
        <f t="shared" si="48"/>
        <v>0</v>
      </c>
      <c r="K152" s="54"/>
      <c r="L152" s="129"/>
      <c r="M152" s="54">
        <f t="shared" si="49"/>
        <v>0</v>
      </c>
      <c r="N152" s="129"/>
      <c r="O152" s="54">
        <f t="shared" si="50"/>
        <v>0</v>
      </c>
      <c r="P152" s="54">
        <f t="shared" si="51"/>
        <v>0</v>
      </c>
    </row>
    <row r="153" spans="2:16" ht="12.5">
      <c r="B153" s="7" t="str">
        <f t="shared" si="30"/>
        <v/>
      </c>
      <c r="C153" s="50">
        <f>IF(D93="","-",+C152+1)</f>
        <v>2071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46"/>
        <v>0</v>
      </c>
      <c r="G153" s="55">
        <f t="shared" si="47"/>
        <v>0</v>
      </c>
      <c r="H153" s="380">
        <f t="shared" si="44"/>
        <v>0</v>
      </c>
      <c r="I153" s="399">
        <f t="shared" si="45"/>
        <v>0</v>
      </c>
      <c r="J153" s="54">
        <f t="shared" si="48"/>
        <v>0</v>
      </c>
      <c r="K153" s="54"/>
      <c r="L153" s="129"/>
      <c r="M153" s="54">
        <f t="shared" si="49"/>
        <v>0</v>
      </c>
      <c r="N153" s="129"/>
      <c r="O153" s="54">
        <f t="shared" si="50"/>
        <v>0</v>
      </c>
      <c r="P153" s="54">
        <f t="shared" si="51"/>
        <v>0</v>
      </c>
    </row>
    <row r="154" spans="2:16" ht="13" thickBot="1">
      <c r="B154" s="7" t="str">
        <f t="shared" si="30"/>
        <v/>
      </c>
      <c r="C154" s="59">
        <f>IF(D93="","-",+C153+1)</f>
        <v>2072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46"/>
        <v>0</v>
      </c>
      <c r="G154" s="60">
        <f t="shared" si="47"/>
        <v>0</v>
      </c>
      <c r="H154" s="382">
        <f t="shared" si="44"/>
        <v>0</v>
      </c>
      <c r="I154" s="400">
        <f t="shared" si="45"/>
        <v>0</v>
      </c>
      <c r="J154" s="64">
        <f t="shared" si="48"/>
        <v>0</v>
      </c>
      <c r="K154" s="54"/>
      <c r="L154" s="130"/>
      <c r="M154" s="64">
        <f t="shared" si="49"/>
        <v>0</v>
      </c>
      <c r="N154" s="130"/>
      <c r="O154" s="64">
        <f t="shared" si="50"/>
        <v>0</v>
      </c>
      <c r="P154" s="64">
        <f t="shared" si="51"/>
        <v>0</v>
      </c>
    </row>
    <row r="155" spans="2:16" ht="12.5">
      <c r="C155" s="12" t="s">
        <v>78</v>
      </c>
      <c r="D155" s="293"/>
      <c r="E155" s="293">
        <f>SUM(E99:E154)</f>
        <v>6516183.7099999981</v>
      </c>
      <c r="F155" s="293"/>
      <c r="G155" s="293"/>
      <c r="H155" s="293">
        <f>SUM(H99:H154)</f>
        <v>23715414.681932423</v>
      </c>
      <c r="I155" s="293">
        <f>SUM(I99:I154)</f>
        <v>23715414.681932423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 ht="12.5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 ht="13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25" priority="1" stopIfTrue="1" operator="equal">
      <formula>$I$10</formula>
    </cfRule>
  </conditionalFormatting>
  <conditionalFormatting sqref="C99:C154">
    <cfRule type="cellIs" dxfId="24" priority="3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2"/>
  <dimension ref="A1:Q162"/>
  <sheetViews>
    <sheetView topLeftCell="A13" zoomScaleNormal="100" zoomScaleSheetLayoutView="88" workbookViewId="0">
      <selection activeCell="D33" sqref="D33:H33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"&amp;RIGHT(MID(CELL("filename",$A$1),FIND("]",CELL("filename",$A$1))+1,256),1)&amp;" of "&amp;COUNT(S.001:S.077!$P$3)</f>
        <v>SWEPCO Project 4 of 77</v>
      </c>
      <c r="Q1" s="13"/>
    </row>
    <row r="2" spans="1:17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1156220.1690071991</v>
      </c>
      <c r="P5" s="1"/>
    </row>
    <row r="6" spans="1:17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1156220.1690071991</v>
      </c>
      <c r="O6" s="1"/>
      <c r="P6" s="1"/>
    </row>
    <row r="7" spans="1:17" ht="13.5" thickBot="1">
      <c r="C7" s="25" t="s">
        <v>48</v>
      </c>
      <c r="D7" s="127" t="s">
        <v>229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85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143</v>
      </c>
      <c r="E9" s="31" t="s">
        <v>494</v>
      </c>
      <c r="F9" s="462">
        <v>225</v>
      </c>
      <c r="G9" s="31"/>
      <c r="H9" s="31"/>
      <c r="I9" s="32"/>
      <c r="J9" s="33"/>
      <c r="P9" s="1"/>
    </row>
    <row r="10" spans="1:17" ht="13">
      <c r="C10" s="34" t="s">
        <v>51</v>
      </c>
      <c r="D10" s="363">
        <v>11580311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7" ht="12.5">
      <c r="C11" s="34" t="s">
        <v>54</v>
      </c>
      <c r="D11" s="37">
        <v>2009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3">
        <v>6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263188.88636363635</v>
      </c>
      <c r="J14" s="293"/>
      <c r="K14" s="293"/>
      <c r="L14" s="293"/>
      <c r="M14" s="293"/>
      <c r="N14" s="293"/>
      <c r="O14" s="1"/>
      <c r="P14" s="1"/>
    </row>
    <row r="15" spans="1:17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2009</v>
      </c>
      <c r="D17" s="133">
        <v>5012222</v>
      </c>
      <c r="E17" s="374">
        <v>67733</v>
      </c>
      <c r="F17" s="133">
        <v>4944489</v>
      </c>
      <c r="G17" s="374">
        <v>509785</v>
      </c>
      <c r="H17" s="375">
        <v>509785</v>
      </c>
      <c r="I17" s="52">
        <f t="shared" ref="I17:I48" si="0">H17-G17</f>
        <v>0</v>
      </c>
      <c r="J17" s="52"/>
      <c r="K17" s="112">
        <v>509785</v>
      </c>
      <c r="L17" s="53">
        <f t="shared" ref="L17:L48" si="1">IF(K17&lt;&gt;0,+G17-K17,0)</f>
        <v>0</v>
      </c>
      <c r="M17" s="112">
        <v>509785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2010</v>
      </c>
      <c r="D18" s="137">
        <v>11512579</v>
      </c>
      <c r="E18" s="376">
        <v>304745</v>
      </c>
      <c r="F18" s="137">
        <v>11207834</v>
      </c>
      <c r="G18" s="376">
        <v>1916039</v>
      </c>
      <c r="H18" s="375">
        <v>1916039</v>
      </c>
      <c r="I18" s="141">
        <v>0</v>
      </c>
      <c r="J18" s="52"/>
      <c r="K18" s="113">
        <f t="shared" ref="K18:K23" si="4">G18</f>
        <v>1916039</v>
      </c>
      <c r="L18" s="54">
        <f t="shared" si="1"/>
        <v>0</v>
      </c>
      <c r="M18" s="113">
        <f t="shared" ref="M18:M23" si="5">H18</f>
        <v>1916039</v>
      </c>
      <c r="N18" s="54">
        <f t="shared" si="2"/>
        <v>0</v>
      </c>
      <c r="O18" s="54">
        <f t="shared" si="3"/>
        <v>0</v>
      </c>
      <c r="P18" s="1"/>
    </row>
    <row r="19" spans="2:16" ht="12.5">
      <c r="B19" s="7" t="str">
        <f>IF(D19=F18,"","IU")</f>
        <v>IU</v>
      </c>
      <c r="C19" s="50">
        <f>IF(D11="","-",+C18+1)</f>
        <v>2011</v>
      </c>
      <c r="D19" s="137">
        <v>11207834.940000001</v>
      </c>
      <c r="E19" s="376">
        <v>282446.65707317076</v>
      </c>
      <c r="F19" s="137">
        <v>10925388.282926831</v>
      </c>
      <c r="G19" s="376">
        <v>1988906.9183231383</v>
      </c>
      <c r="H19" s="375">
        <v>1988906.9183231383</v>
      </c>
      <c r="I19" s="141">
        <v>0</v>
      </c>
      <c r="J19" s="52"/>
      <c r="K19" s="113">
        <f t="shared" si="4"/>
        <v>1988906.9183231383</v>
      </c>
      <c r="L19" s="54">
        <f t="shared" si="1"/>
        <v>0</v>
      </c>
      <c r="M19" s="113">
        <f t="shared" si="5"/>
        <v>1988906.9183231383</v>
      </c>
      <c r="N19" s="54">
        <f t="shared" si="2"/>
        <v>0</v>
      </c>
      <c r="O19" s="54">
        <f t="shared" si="3"/>
        <v>0</v>
      </c>
      <c r="P19" s="1"/>
    </row>
    <row r="20" spans="2:16" ht="12.5">
      <c r="B20" s="7" t="str">
        <f t="shared" ref="B20:B72" si="6">IF(D20=F19,"","IU")</f>
        <v/>
      </c>
      <c r="C20" s="50">
        <f>IF(D11="","-",+C19+1)</f>
        <v>2012</v>
      </c>
      <c r="D20" s="137">
        <v>10925388.282926831</v>
      </c>
      <c r="E20" s="377">
        <v>275721.73666666669</v>
      </c>
      <c r="F20" s="137">
        <v>10649666.546260165</v>
      </c>
      <c r="G20" s="376">
        <v>1859541.6370973894</v>
      </c>
      <c r="H20" s="375">
        <v>1859541.6370973894</v>
      </c>
      <c r="I20" s="141">
        <v>0</v>
      </c>
      <c r="J20" s="52"/>
      <c r="K20" s="113">
        <f t="shared" si="4"/>
        <v>1859541.6370973894</v>
      </c>
      <c r="L20" s="54">
        <f t="shared" si="1"/>
        <v>0</v>
      </c>
      <c r="M20" s="113">
        <f t="shared" si="5"/>
        <v>1859541.6370973894</v>
      </c>
      <c r="N20" s="54">
        <f t="shared" si="2"/>
        <v>0</v>
      </c>
      <c r="O20" s="54">
        <f t="shared" si="3"/>
        <v>0</v>
      </c>
      <c r="P20" s="1"/>
    </row>
    <row r="21" spans="2:16" ht="12.5">
      <c r="B21" s="7" t="str">
        <f t="shared" si="6"/>
        <v/>
      </c>
      <c r="C21" s="50">
        <f>IF(D12="","-",+C20+1)</f>
        <v>2013</v>
      </c>
      <c r="D21" s="137">
        <v>10649666.546260165</v>
      </c>
      <c r="E21" s="377">
        <v>275721.73666666669</v>
      </c>
      <c r="F21" s="137">
        <v>10373944.809593499</v>
      </c>
      <c r="G21" s="376">
        <v>1727940.0001770738</v>
      </c>
      <c r="H21" s="375">
        <v>1727940.0001770738</v>
      </c>
      <c r="I21" s="52">
        <v>0</v>
      </c>
      <c r="J21" s="52"/>
      <c r="K21" s="113">
        <f t="shared" si="4"/>
        <v>1727940.0001770738</v>
      </c>
      <c r="L21" s="54">
        <f t="shared" ref="L21:L26" si="7">IF(K21&lt;&gt;0,+G21-K21,0)</f>
        <v>0</v>
      </c>
      <c r="M21" s="113">
        <f t="shared" si="5"/>
        <v>1727940.0001770738</v>
      </c>
      <c r="N21" s="54">
        <f t="shared" ref="N21:N26" si="8">IF(M21&lt;&gt;0,+H21-M21,0)</f>
        <v>0</v>
      </c>
      <c r="O21" s="54">
        <f t="shared" ref="O21:O26" si="9">+N21-L21</f>
        <v>0</v>
      </c>
      <c r="P21" s="1"/>
    </row>
    <row r="22" spans="2:16" ht="12.5">
      <c r="B22" s="7" t="str">
        <f t="shared" si="6"/>
        <v/>
      </c>
      <c r="C22" s="50">
        <f>IF(D11="","-",+C21+1)</f>
        <v>2014</v>
      </c>
      <c r="D22" s="137">
        <v>10373944.809593499</v>
      </c>
      <c r="E22" s="377">
        <v>275721.73666666669</v>
      </c>
      <c r="F22" s="137">
        <v>10098223.072926832</v>
      </c>
      <c r="G22" s="376">
        <v>1638078.1438570484</v>
      </c>
      <c r="H22" s="375">
        <v>1638078.1438570484</v>
      </c>
      <c r="I22" s="52">
        <v>0</v>
      </c>
      <c r="J22" s="52"/>
      <c r="K22" s="113">
        <f t="shared" si="4"/>
        <v>1638078.1438570484</v>
      </c>
      <c r="L22" s="54">
        <f t="shared" si="7"/>
        <v>0</v>
      </c>
      <c r="M22" s="113">
        <f t="shared" si="5"/>
        <v>1638078.1438570484</v>
      </c>
      <c r="N22" s="54">
        <f t="shared" si="8"/>
        <v>0</v>
      </c>
      <c r="O22" s="54">
        <f t="shared" si="9"/>
        <v>0</v>
      </c>
      <c r="P22" s="1"/>
    </row>
    <row r="23" spans="2:16" ht="12.5">
      <c r="B23" s="7" t="str">
        <f t="shared" si="6"/>
        <v/>
      </c>
      <c r="C23" s="50">
        <f>IF(D11="","-",+C22+1)</f>
        <v>2015</v>
      </c>
      <c r="D23" s="137">
        <v>10098223.072926832</v>
      </c>
      <c r="E23" s="377">
        <v>275721.73666666669</v>
      </c>
      <c r="F23" s="137">
        <v>9822501.336260166</v>
      </c>
      <c r="G23" s="376">
        <v>1569392.3202365767</v>
      </c>
      <c r="H23" s="375">
        <v>1569392.3202365767</v>
      </c>
      <c r="I23" s="52">
        <v>0</v>
      </c>
      <c r="J23" s="52"/>
      <c r="K23" s="113">
        <f t="shared" si="4"/>
        <v>1569392.3202365767</v>
      </c>
      <c r="L23" s="54">
        <f t="shared" si="7"/>
        <v>0</v>
      </c>
      <c r="M23" s="113">
        <f t="shared" si="5"/>
        <v>1569392.3202365767</v>
      </c>
      <c r="N23" s="54">
        <f t="shared" si="8"/>
        <v>0</v>
      </c>
      <c r="O23" s="54">
        <f t="shared" si="9"/>
        <v>0</v>
      </c>
      <c r="P23" s="1"/>
    </row>
    <row r="24" spans="2:16" ht="12.5">
      <c r="B24" s="7" t="str">
        <f t="shared" si="6"/>
        <v>IU</v>
      </c>
      <c r="C24" s="50">
        <f>IF(D11="","-",+C23+1)</f>
        <v>2016</v>
      </c>
      <c r="D24" s="137">
        <v>9822499.3962601628</v>
      </c>
      <c r="E24" s="377">
        <v>275721.69047619047</v>
      </c>
      <c r="F24" s="137">
        <v>9546777.7057839725</v>
      </c>
      <c r="G24" s="376">
        <v>1517566.2959557369</v>
      </c>
      <c r="H24" s="375">
        <v>1517566.2959557369</v>
      </c>
      <c r="I24" s="52">
        <f t="shared" si="0"/>
        <v>0</v>
      </c>
      <c r="J24" s="52"/>
      <c r="K24" s="113">
        <f t="shared" ref="K24:K29" si="10">G24</f>
        <v>1517566.2959557369</v>
      </c>
      <c r="L24" s="54">
        <f t="shared" si="7"/>
        <v>0</v>
      </c>
      <c r="M24" s="113">
        <f t="shared" ref="M24:M29" si="11">H24</f>
        <v>1517566.2959557369</v>
      </c>
      <c r="N24" s="54">
        <f t="shared" si="8"/>
        <v>0</v>
      </c>
      <c r="O24" s="54">
        <f t="shared" si="9"/>
        <v>0</v>
      </c>
      <c r="P24" s="1"/>
    </row>
    <row r="25" spans="2:16" ht="12.5">
      <c r="B25" s="7" t="str">
        <f t="shared" si="6"/>
        <v/>
      </c>
      <c r="C25" s="50">
        <f>IF(D11="","-",+C24+1)</f>
        <v>2017</v>
      </c>
      <c r="D25" s="137">
        <v>9546777.7057839725</v>
      </c>
      <c r="E25" s="377">
        <v>269309.5581395349</v>
      </c>
      <c r="F25" s="137">
        <v>9277468.1476444378</v>
      </c>
      <c r="G25" s="376">
        <v>1435401.3142393038</v>
      </c>
      <c r="H25" s="375">
        <v>1435401.3142393038</v>
      </c>
      <c r="I25" s="52">
        <f t="shared" si="0"/>
        <v>0</v>
      </c>
      <c r="J25" s="52"/>
      <c r="K25" s="113">
        <f t="shared" si="10"/>
        <v>1435401.3142393038</v>
      </c>
      <c r="L25" s="54">
        <f t="shared" si="7"/>
        <v>0</v>
      </c>
      <c r="M25" s="113">
        <f t="shared" si="11"/>
        <v>1435401.3142393038</v>
      </c>
      <c r="N25" s="54">
        <f t="shared" si="8"/>
        <v>0</v>
      </c>
      <c r="O25" s="54">
        <f t="shared" si="9"/>
        <v>0</v>
      </c>
      <c r="P25" s="1"/>
    </row>
    <row r="26" spans="2:16" ht="12.5">
      <c r="B26" s="7" t="str">
        <f t="shared" si="6"/>
        <v/>
      </c>
      <c r="C26" s="50">
        <f>IF(D11="","-",+C25+1)</f>
        <v>2018</v>
      </c>
      <c r="D26" s="137">
        <v>9277468.1476444378</v>
      </c>
      <c r="E26" s="376">
        <v>282446.60975609755</v>
      </c>
      <c r="F26" s="137">
        <v>8995021.5378883407</v>
      </c>
      <c r="G26" s="376">
        <v>1443609.4156354484</v>
      </c>
      <c r="H26" s="375">
        <v>1443609.4156354484</v>
      </c>
      <c r="I26" s="52">
        <f t="shared" si="0"/>
        <v>0</v>
      </c>
      <c r="J26" s="52"/>
      <c r="K26" s="113">
        <f t="shared" si="10"/>
        <v>1443609.4156354484</v>
      </c>
      <c r="L26" s="54">
        <f t="shared" si="7"/>
        <v>0</v>
      </c>
      <c r="M26" s="113">
        <f t="shared" si="11"/>
        <v>1443609.4156354484</v>
      </c>
      <c r="N26" s="54">
        <f t="shared" si="8"/>
        <v>0</v>
      </c>
      <c r="O26" s="54">
        <f t="shared" si="9"/>
        <v>0</v>
      </c>
      <c r="P26" s="1"/>
    </row>
    <row r="27" spans="2:16" ht="12.5">
      <c r="B27" s="7" t="str">
        <f t="shared" si="6"/>
        <v/>
      </c>
      <c r="C27" s="50">
        <f>IF(D11="","-",+C26+1)</f>
        <v>2019</v>
      </c>
      <c r="D27" s="137">
        <v>8995021.5378883407</v>
      </c>
      <c r="E27" s="376">
        <v>282446.60975609755</v>
      </c>
      <c r="F27" s="137">
        <v>8712574.9281322435</v>
      </c>
      <c r="G27" s="376">
        <v>1407712.1182731558</v>
      </c>
      <c r="H27" s="375">
        <v>1407712.1182731558</v>
      </c>
      <c r="I27" s="52">
        <f t="shared" si="0"/>
        <v>0</v>
      </c>
      <c r="J27" s="52"/>
      <c r="K27" s="113">
        <f t="shared" si="10"/>
        <v>1407712.1182731558</v>
      </c>
      <c r="L27" s="54">
        <f t="shared" ref="L27" si="12">IF(K27&lt;&gt;0,+G27-K27,0)</f>
        <v>0</v>
      </c>
      <c r="M27" s="113">
        <f t="shared" si="11"/>
        <v>1407712.1182731558</v>
      </c>
      <c r="N27" s="54">
        <f t="shared" si="2"/>
        <v>0</v>
      </c>
      <c r="O27" s="54">
        <f t="shared" si="3"/>
        <v>0</v>
      </c>
      <c r="P27" s="1"/>
    </row>
    <row r="28" spans="2:16" ht="12.5">
      <c r="B28" s="7" t="str">
        <f t="shared" si="6"/>
        <v/>
      </c>
      <c r="C28" s="50">
        <f>IF(D11="","-",+C27+1)</f>
        <v>2020</v>
      </c>
      <c r="D28" s="137">
        <v>8712574.9281322435</v>
      </c>
      <c r="E28" s="376">
        <v>282446.60975609755</v>
      </c>
      <c r="F28" s="137">
        <v>8430128.3183761463</v>
      </c>
      <c r="G28" s="376">
        <v>1159599.7805450819</v>
      </c>
      <c r="H28" s="375">
        <v>1159599.7805450819</v>
      </c>
      <c r="I28" s="52">
        <f t="shared" si="0"/>
        <v>0</v>
      </c>
      <c r="J28" s="52"/>
      <c r="K28" s="113">
        <f t="shared" si="10"/>
        <v>1159599.7805450819</v>
      </c>
      <c r="L28" s="54">
        <f t="shared" ref="L28" si="13">IF(K28&lt;&gt;0,+G28-K28,0)</f>
        <v>0</v>
      </c>
      <c r="M28" s="113">
        <f t="shared" si="11"/>
        <v>1159599.7805450819</v>
      </c>
      <c r="N28" s="54">
        <f t="shared" si="2"/>
        <v>0</v>
      </c>
      <c r="O28" s="54">
        <f t="shared" si="3"/>
        <v>0</v>
      </c>
      <c r="P28" s="1"/>
    </row>
    <row r="29" spans="2:16" ht="12.5">
      <c r="B29" s="7" t="str">
        <f t="shared" si="6"/>
        <v>IU</v>
      </c>
      <c r="C29" s="50">
        <f>IF(D11="","-",+C28+1)</f>
        <v>2021</v>
      </c>
      <c r="D29" s="137">
        <v>8443265.3699927069</v>
      </c>
      <c r="E29" s="376">
        <v>275721.69047619047</v>
      </c>
      <c r="F29" s="137">
        <v>8167543.6795165166</v>
      </c>
      <c r="G29" s="376">
        <v>1156132.318517738</v>
      </c>
      <c r="H29" s="375">
        <v>1156132.318517738</v>
      </c>
      <c r="I29" s="52">
        <f t="shared" si="0"/>
        <v>0</v>
      </c>
      <c r="J29" s="52"/>
      <c r="K29" s="113">
        <f t="shared" si="10"/>
        <v>1156132.318517738</v>
      </c>
      <c r="L29" s="54">
        <f t="shared" ref="L29" si="14">IF(K29&lt;&gt;0,+G29-K29,0)</f>
        <v>0</v>
      </c>
      <c r="M29" s="113">
        <f t="shared" si="11"/>
        <v>1156132.318517738</v>
      </c>
      <c r="N29" s="54">
        <f t="shared" si="2"/>
        <v>0</v>
      </c>
      <c r="O29" s="54">
        <f t="shared" si="3"/>
        <v>0</v>
      </c>
      <c r="P29" s="1"/>
    </row>
    <row r="30" spans="2:16" ht="12.5">
      <c r="B30" s="7" t="str">
        <f t="shared" si="6"/>
        <v>IU</v>
      </c>
      <c r="C30" s="50">
        <f>IF(D11="","-",+C29+1)</f>
        <v>2022</v>
      </c>
      <c r="D30" s="137">
        <v>8154406.6278999541</v>
      </c>
      <c r="E30" s="376">
        <v>275721.69047619047</v>
      </c>
      <c r="F30" s="137">
        <v>7878684.9374237638</v>
      </c>
      <c r="G30" s="376">
        <v>1177134.9411293902</v>
      </c>
      <c r="H30" s="375">
        <v>1177134.9411293902</v>
      </c>
      <c r="I30" s="52">
        <f t="shared" si="0"/>
        <v>0</v>
      </c>
      <c r="J30" s="52"/>
      <c r="K30" s="113">
        <f t="shared" ref="K30" si="15">G30</f>
        <v>1177134.9411293902</v>
      </c>
      <c r="L30" s="54">
        <f t="shared" ref="L30" si="16">IF(K30&lt;&gt;0,+G30-K30,0)</f>
        <v>0</v>
      </c>
      <c r="M30" s="113">
        <f t="shared" ref="M30" si="17">H30</f>
        <v>1177134.9411293902</v>
      </c>
      <c r="N30" s="54">
        <f t="shared" si="2"/>
        <v>0</v>
      </c>
      <c r="O30" s="54">
        <f t="shared" si="3"/>
        <v>0</v>
      </c>
      <c r="P30" s="1"/>
    </row>
    <row r="31" spans="2:16" ht="12.5">
      <c r="B31" s="7" t="str">
        <f t="shared" si="6"/>
        <v/>
      </c>
      <c r="C31" s="50">
        <f>IF(D11="","-",+C30+1)</f>
        <v>2023</v>
      </c>
      <c r="D31" s="137">
        <v>7878684.9374237638</v>
      </c>
      <c r="E31" s="376">
        <v>275721.69047619047</v>
      </c>
      <c r="F31" s="137">
        <v>7602963.2469475735</v>
      </c>
      <c r="G31" s="376">
        <v>1253595.1343573183</v>
      </c>
      <c r="H31" s="375">
        <v>1253595.1343573183</v>
      </c>
      <c r="I31" s="52">
        <f t="shared" si="0"/>
        <v>0</v>
      </c>
      <c r="J31" s="52"/>
      <c r="K31" s="113">
        <f t="shared" ref="K31" si="18">G31</f>
        <v>1253595.1343573183</v>
      </c>
      <c r="L31" s="54">
        <f t="shared" ref="L31" si="19">IF(K31&lt;&gt;0,+G31-K31,0)</f>
        <v>0</v>
      </c>
      <c r="M31" s="113">
        <f t="shared" ref="M31" si="20">H31</f>
        <v>1253595.1343573183</v>
      </c>
      <c r="N31" s="54">
        <f t="shared" si="2"/>
        <v>0</v>
      </c>
      <c r="O31" s="54">
        <f t="shared" si="3"/>
        <v>0</v>
      </c>
      <c r="P31" s="1"/>
    </row>
    <row r="32" spans="2:16" ht="12.5">
      <c r="B32" s="7" t="str">
        <f t="shared" si="6"/>
        <v/>
      </c>
      <c r="C32" s="50">
        <f>IF(D11="","-",+C31+1)</f>
        <v>2024</v>
      </c>
      <c r="D32" s="137">
        <v>7602963.2469475735</v>
      </c>
      <c r="E32" s="376">
        <v>263188.88636363635</v>
      </c>
      <c r="F32" s="137">
        <v>7339774.3605839368</v>
      </c>
      <c r="G32" s="376">
        <v>1156220.1690071991</v>
      </c>
      <c r="H32" s="375">
        <v>1156220.1690071991</v>
      </c>
      <c r="I32" s="52">
        <f t="shared" si="0"/>
        <v>0</v>
      </c>
      <c r="J32" s="52"/>
      <c r="K32" s="113">
        <f t="shared" ref="K32" si="21">G32</f>
        <v>1156220.1690071991</v>
      </c>
      <c r="L32" s="54">
        <f t="shared" ref="L32" si="22">IF(K32&lt;&gt;0,+G32-K32,0)</f>
        <v>0</v>
      </c>
      <c r="M32" s="113">
        <f t="shared" ref="M32" si="23">H32</f>
        <v>1156220.1690071991</v>
      </c>
      <c r="N32" s="54">
        <f t="shared" ref="N32" si="24">IF(M32&lt;&gt;0,+H32-M32,0)</f>
        <v>0</v>
      </c>
      <c r="O32" s="54">
        <f t="shared" ref="O32" si="25">+N32-L32</f>
        <v>0</v>
      </c>
      <c r="P32" s="1"/>
    </row>
    <row r="33" spans="2:16" ht="12.5">
      <c r="B33" s="7" t="str">
        <f t="shared" si="6"/>
        <v/>
      </c>
      <c r="C33" s="50">
        <f>IF(D11="","-",+C32+1)</f>
        <v>2025</v>
      </c>
      <c r="D33" s="55">
        <f>IF(F32+SUM(E$17:E32)=D$10,F32,D$10-SUM(E$17:E32))</f>
        <v>7339774.3605839368</v>
      </c>
      <c r="E33" s="378">
        <f>IF(+I14&lt;F32,I14,D33)</f>
        <v>263188.88636363635</v>
      </c>
      <c r="F33" s="55">
        <f t="shared" ref="F33:F48" si="26">+D33-E33</f>
        <v>7076585.4742203001</v>
      </c>
      <c r="G33" s="379">
        <f t="shared" ref="G33:G72" si="27">+I$12*((D33+F33)/2)+E33</f>
        <v>1124761.9563369337</v>
      </c>
      <c r="H33" s="364">
        <f t="shared" ref="H33:H72" si="28">+I$13*((D33+F33)/2)+E33</f>
        <v>1124761.9563369337</v>
      </c>
      <c r="I33" s="52">
        <f t="shared" si="0"/>
        <v>0</v>
      </c>
      <c r="J33" s="52"/>
      <c r="K33" s="129"/>
      <c r="L33" s="54">
        <f t="shared" si="1"/>
        <v>0</v>
      </c>
      <c r="M33" s="129"/>
      <c r="N33" s="54">
        <f t="shared" si="2"/>
        <v>0</v>
      </c>
      <c r="O33" s="54">
        <f t="shared" si="3"/>
        <v>0</v>
      </c>
      <c r="P33" s="1"/>
    </row>
    <row r="34" spans="2:16" ht="12.5">
      <c r="B34" s="7" t="str">
        <f t="shared" si="6"/>
        <v/>
      </c>
      <c r="C34" s="50">
        <f>IF(D11="","-",+C33+1)</f>
        <v>2026</v>
      </c>
      <c r="D34" s="55">
        <f>IF(F33+SUM(E$17:E33)=D$10,F33,D$10-SUM(E$17:E33))</f>
        <v>7076585.4742203001</v>
      </c>
      <c r="E34" s="378">
        <f>IF(+I14&lt;F33,I14,D34)</f>
        <v>263188.88636363635</v>
      </c>
      <c r="F34" s="55">
        <f t="shared" si="26"/>
        <v>6813396.5878566634</v>
      </c>
      <c r="G34" s="379">
        <f t="shared" si="27"/>
        <v>1093303.7436666684</v>
      </c>
      <c r="H34" s="364">
        <f t="shared" si="28"/>
        <v>1093303.7436666684</v>
      </c>
      <c r="I34" s="52">
        <f t="shared" si="0"/>
        <v>0</v>
      </c>
      <c r="J34" s="52"/>
      <c r="K34" s="129"/>
      <c r="L34" s="54">
        <f t="shared" si="1"/>
        <v>0</v>
      </c>
      <c r="M34" s="129"/>
      <c r="N34" s="54">
        <f t="shared" si="2"/>
        <v>0</v>
      </c>
      <c r="O34" s="54">
        <f t="shared" si="3"/>
        <v>0</v>
      </c>
      <c r="P34" s="1"/>
    </row>
    <row r="35" spans="2:16" ht="12.5">
      <c r="B35" s="7" t="str">
        <f t="shared" si="6"/>
        <v/>
      </c>
      <c r="C35" s="50">
        <f>IF(D11="","-",+C34+1)</f>
        <v>2027</v>
      </c>
      <c r="D35" s="55">
        <f>IF(F34+SUM(E$17:E34)=D$10,F34,D$10-SUM(E$17:E34))</f>
        <v>6813396.5878566634</v>
      </c>
      <c r="E35" s="378">
        <f>IF(+I14&lt;F34,I14,D35)</f>
        <v>263188.88636363635</v>
      </c>
      <c r="F35" s="55">
        <f t="shared" si="26"/>
        <v>6550207.7014930267</v>
      </c>
      <c r="G35" s="379">
        <f t="shared" si="27"/>
        <v>1061845.530996403</v>
      </c>
      <c r="H35" s="364">
        <f t="shared" si="28"/>
        <v>1061845.530996403</v>
      </c>
      <c r="I35" s="52">
        <f t="shared" si="0"/>
        <v>0</v>
      </c>
      <c r="J35" s="52"/>
      <c r="K35" s="129"/>
      <c r="L35" s="54">
        <f t="shared" si="1"/>
        <v>0</v>
      </c>
      <c r="M35" s="129"/>
      <c r="N35" s="54">
        <f t="shared" si="2"/>
        <v>0</v>
      </c>
      <c r="O35" s="54">
        <f t="shared" si="3"/>
        <v>0</v>
      </c>
      <c r="P35" s="1"/>
    </row>
    <row r="36" spans="2:16" ht="12.5">
      <c r="B36" s="7" t="str">
        <f t="shared" si="6"/>
        <v/>
      </c>
      <c r="C36" s="50">
        <f>IF(D11="","-",+C35+1)</f>
        <v>2028</v>
      </c>
      <c r="D36" s="55">
        <f>IF(F35+SUM(E$17:E35)=D$10,F35,D$10-SUM(E$17:E35))</f>
        <v>6550207.7014930267</v>
      </c>
      <c r="E36" s="378">
        <f>IF(+I14&lt;F35,I14,D36)</f>
        <v>263188.88636363635</v>
      </c>
      <c r="F36" s="55">
        <f t="shared" si="26"/>
        <v>6287018.81512939</v>
      </c>
      <c r="G36" s="379">
        <f t="shared" si="27"/>
        <v>1030387.3183261376</v>
      </c>
      <c r="H36" s="364">
        <f t="shared" si="28"/>
        <v>1030387.3183261376</v>
      </c>
      <c r="I36" s="52">
        <f t="shared" si="0"/>
        <v>0</v>
      </c>
      <c r="J36" s="52"/>
      <c r="K36" s="129"/>
      <c r="L36" s="54">
        <f t="shared" si="1"/>
        <v>0</v>
      </c>
      <c r="M36" s="129"/>
      <c r="N36" s="54">
        <f t="shared" si="2"/>
        <v>0</v>
      </c>
      <c r="O36" s="54">
        <f t="shared" si="3"/>
        <v>0</v>
      </c>
      <c r="P36" s="1"/>
    </row>
    <row r="37" spans="2:16" ht="12.5">
      <c r="B37" s="7" t="str">
        <f t="shared" si="6"/>
        <v/>
      </c>
      <c r="C37" s="50">
        <f>IF(D11="","-",+C36+1)</f>
        <v>2029</v>
      </c>
      <c r="D37" s="55">
        <f>IF(F36+SUM(E$17:E36)=D$10,F36,D$10-SUM(E$17:E36))</f>
        <v>6287018.81512939</v>
      </c>
      <c r="E37" s="378">
        <f>IF(+I14&lt;F36,I14,D37)</f>
        <v>263188.88636363635</v>
      </c>
      <c r="F37" s="55">
        <f t="shared" si="26"/>
        <v>6023829.9287657533</v>
      </c>
      <c r="G37" s="379">
        <f t="shared" si="27"/>
        <v>998929.10565587215</v>
      </c>
      <c r="H37" s="364">
        <f t="shared" si="28"/>
        <v>998929.10565587215</v>
      </c>
      <c r="I37" s="52">
        <f t="shared" si="0"/>
        <v>0</v>
      </c>
      <c r="J37" s="52"/>
      <c r="K37" s="129"/>
      <c r="L37" s="54">
        <f t="shared" si="1"/>
        <v>0</v>
      </c>
      <c r="M37" s="129"/>
      <c r="N37" s="54">
        <f t="shared" si="2"/>
        <v>0</v>
      </c>
      <c r="O37" s="54">
        <f t="shared" si="3"/>
        <v>0</v>
      </c>
      <c r="P37" s="1"/>
    </row>
    <row r="38" spans="2:16" ht="12.5">
      <c r="B38" s="7" t="str">
        <f t="shared" si="6"/>
        <v/>
      </c>
      <c r="C38" s="50">
        <f>IF(D11="","-",+C37+1)</f>
        <v>2030</v>
      </c>
      <c r="D38" s="55">
        <f>IF(F37+SUM(E$17:E37)=D$10,F37,D$10-SUM(E$17:E37))</f>
        <v>6023829.9287657533</v>
      </c>
      <c r="E38" s="378">
        <f>IF(+I14&lt;F37,I14,D38)</f>
        <v>263188.88636363635</v>
      </c>
      <c r="F38" s="55">
        <f t="shared" si="26"/>
        <v>5760641.0424021166</v>
      </c>
      <c r="G38" s="379">
        <f t="shared" si="27"/>
        <v>967470.8929856068</v>
      </c>
      <c r="H38" s="364">
        <f t="shared" si="28"/>
        <v>967470.8929856068</v>
      </c>
      <c r="I38" s="52">
        <f t="shared" si="0"/>
        <v>0</v>
      </c>
      <c r="J38" s="52"/>
      <c r="K38" s="129"/>
      <c r="L38" s="54">
        <f t="shared" si="1"/>
        <v>0</v>
      </c>
      <c r="M38" s="129"/>
      <c r="N38" s="54">
        <f t="shared" si="2"/>
        <v>0</v>
      </c>
      <c r="O38" s="54">
        <f t="shared" si="3"/>
        <v>0</v>
      </c>
      <c r="P38" s="1"/>
    </row>
    <row r="39" spans="2:16" ht="12.5">
      <c r="B39" s="7" t="str">
        <f t="shared" si="6"/>
        <v/>
      </c>
      <c r="C39" s="50">
        <f>IF(D11="","-",+C38+1)</f>
        <v>2031</v>
      </c>
      <c r="D39" s="55">
        <f>IF(F38+SUM(E$17:E38)=D$10,F38,D$10-SUM(E$17:E38))</f>
        <v>5760641.0424021166</v>
      </c>
      <c r="E39" s="378">
        <f>IF(+I14&lt;F38,I14,D39)</f>
        <v>263188.88636363635</v>
      </c>
      <c r="F39" s="55">
        <f t="shared" si="26"/>
        <v>5497452.1560384799</v>
      </c>
      <c r="G39" s="379">
        <f t="shared" si="27"/>
        <v>936012.68031534145</v>
      </c>
      <c r="H39" s="364">
        <f t="shared" si="28"/>
        <v>936012.68031534145</v>
      </c>
      <c r="I39" s="52">
        <f t="shared" si="0"/>
        <v>0</v>
      </c>
      <c r="J39" s="52"/>
      <c r="K39" s="129"/>
      <c r="L39" s="54">
        <f t="shared" si="1"/>
        <v>0</v>
      </c>
      <c r="M39" s="129"/>
      <c r="N39" s="54">
        <f t="shared" si="2"/>
        <v>0</v>
      </c>
      <c r="O39" s="54">
        <f t="shared" si="3"/>
        <v>0</v>
      </c>
      <c r="P39" s="1"/>
    </row>
    <row r="40" spans="2:16" ht="12.5">
      <c r="B40" s="7" t="str">
        <f t="shared" si="6"/>
        <v/>
      </c>
      <c r="C40" s="50">
        <f>IF(D11="","-",+C39+1)</f>
        <v>2032</v>
      </c>
      <c r="D40" s="55">
        <f>IF(F39+SUM(E$17:E39)=D$10,F39,D$10-SUM(E$17:E39))</f>
        <v>5497452.1560384799</v>
      </c>
      <c r="E40" s="378">
        <f>IF(+I14&lt;F39,I14,D40)</f>
        <v>263188.88636363635</v>
      </c>
      <c r="F40" s="55">
        <f t="shared" si="26"/>
        <v>5234263.2696748432</v>
      </c>
      <c r="G40" s="379">
        <f t="shared" si="27"/>
        <v>904554.4676450761</v>
      </c>
      <c r="H40" s="364">
        <f t="shared" si="28"/>
        <v>904554.4676450761</v>
      </c>
      <c r="I40" s="52">
        <f t="shared" si="0"/>
        <v>0</v>
      </c>
      <c r="J40" s="52"/>
      <c r="K40" s="129"/>
      <c r="L40" s="54">
        <f t="shared" si="1"/>
        <v>0</v>
      </c>
      <c r="M40" s="129"/>
      <c r="N40" s="54">
        <f t="shared" si="2"/>
        <v>0</v>
      </c>
      <c r="O40" s="54">
        <f t="shared" si="3"/>
        <v>0</v>
      </c>
      <c r="P40" s="1"/>
    </row>
    <row r="41" spans="2:16" ht="12.5">
      <c r="B41" s="7" t="str">
        <f t="shared" si="6"/>
        <v/>
      </c>
      <c r="C41" s="50">
        <f>IF(D11="","-",+C40+1)</f>
        <v>2033</v>
      </c>
      <c r="D41" s="55">
        <f>IF(F40+SUM(E$17:E40)=D$10,F40,D$10-SUM(E$17:E40))</f>
        <v>5234263.2696748432</v>
      </c>
      <c r="E41" s="378">
        <f>IF(+I14&lt;F40,I14,D41)</f>
        <v>263188.88636363635</v>
      </c>
      <c r="F41" s="55">
        <f t="shared" si="26"/>
        <v>4971074.3833112065</v>
      </c>
      <c r="G41" s="379">
        <f t="shared" si="27"/>
        <v>873096.25497481064</v>
      </c>
      <c r="H41" s="364">
        <f t="shared" si="28"/>
        <v>873096.25497481064</v>
      </c>
      <c r="I41" s="52">
        <f t="shared" si="0"/>
        <v>0</v>
      </c>
      <c r="J41" s="52"/>
      <c r="K41" s="129"/>
      <c r="L41" s="54">
        <f t="shared" si="1"/>
        <v>0</v>
      </c>
      <c r="M41" s="129"/>
      <c r="N41" s="54">
        <f t="shared" si="2"/>
        <v>0</v>
      </c>
      <c r="O41" s="54">
        <f t="shared" si="3"/>
        <v>0</v>
      </c>
      <c r="P41" s="1"/>
    </row>
    <row r="42" spans="2:16" ht="12.5">
      <c r="B42" s="7" t="str">
        <f t="shared" si="6"/>
        <v/>
      </c>
      <c r="C42" s="50">
        <f>IF(D11="","-",+C41+1)</f>
        <v>2034</v>
      </c>
      <c r="D42" s="55">
        <f>IF(F41+SUM(E$17:E41)=D$10,F41,D$10-SUM(E$17:E41))</f>
        <v>4971074.3833112065</v>
      </c>
      <c r="E42" s="378">
        <f>IF(+I14&lt;F41,I14,D42)</f>
        <v>263188.88636363635</v>
      </c>
      <c r="F42" s="55">
        <f t="shared" si="26"/>
        <v>4707885.4969475698</v>
      </c>
      <c r="G42" s="379">
        <f t="shared" si="27"/>
        <v>841638.04230454529</v>
      </c>
      <c r="H42" s="364">
        <f t="shared" si="28"/>
        <v>841638.04230454529</v>
      </c>
      <c r="I42" s="52">
        <f t="shared" si="0"/>
        <v>0</v>
      </c>
      <c r="J42" s="52"/>
      <c r="K42" s="129"/>
      <c r="L42" s="54">
        <f t="shared" si="1"/>
        <v>0</v>
      </c>
      <c r="M42" s="129"/>
      <c r="N42" s="54">
        <f t="shared" si="2"/>
        <v>0</v>
      </c>
      <c r="O42" s="54">
        <f t="shared" si="3"/>
        <v>0</v>
      </c>
      <c r="P42" s="1"/>
    </row>
    <row r="43" spans="2:16" ht="12.5">
      <c r="B43" s="7" t="str">
        <f t="shared" si="6"/>
        <v/>
      </c>
      <c r="C43" s="50">
        <f>IF(D11="","-",+C42+1)</f>
        <v>2035</v>
      </c>
      <c r="D43" s="55">
        <f>IF(F42+SUM(E$17:E42)=D$10,F42,D$10-SUM(E$17:E42))</f>
        <v>4707885.4969475698</v>
      </c>
      <c r="E43" s="378">
        <f>IF(+I14&lt;F42,I14,D43)</f>
        <v>263188.88636363635</v>
      </c>
      <c r="F43" s="55">
        <f t="shared" si="26"/>
        <v>4444696.6105839331</v>
      </c>
      <c r="G43" s="379">
        <f t="shared" si="27"/>
        <v>810179.82963427994</v>
      </c>
      <c r="H43" s="364">
        <f t="shared" si="28"/>
        <v>810179.82963427994</v>
      </c>
      <c r="I43" s="52">
        <f t="shared" si="0"/>
        <v>0</v>
      </c>
      <c r="J43" s="52"/>
      <c r="K43" s="129"/>
      <c r="L43" s="54">
        <f t="shared" si="1"/>
        <v>0</v>
      </c>
      <c r="M43" s="129"/>
      <c r="N43" s="54">
        <f t="shared" si="2"/>
        <v>0</v>
      </c>
      <c r="O43" s="54">
        <f t="shared" si="3"/>
        <v>0</v>
      </c>
      <c r="P43" s="1"/>
    </row>
    <row r="44" spans="2:16" ht="12.5">
      <c r="B44" s="7" t="str">
        <f t="shared" si="6"/>
        <v/>
      </c>
      <c r="C44" s="50">
        <f>IF(D11="","-",+C43+1)</f>
        <v>2036</v>
      </c>
      <c r="D44" s="55">
        <f>IF(F43+SUM(E$17:E43)=D$10,F43,D$10-SUM(E$17:E43))</f>
        <v>4444696.6105839331</v>
      </c>
      <c r="E44" s="378">
        <f>IF(+I14&lt;F43,I14,D44)</f>
        <v>263188.88636363635</v>
      </c>
      <c r="F44" s="55">
        <f t="shared" si="26"/>
        <v>4181507.7242202968</v>
      </c>
      <c r="G44" s="379">
        <f t="shared" si="27"/>
        <v>778721.61696401448</v>
      </c>
      <c r="H44" s="364">
        <f t="shared" si="28"/>
        <v>778721.61696401448</v>
      </c>
      <c r="I44" s="52">
        <f t="shared" si="0"/>
        <v>0</v>
      </c>
      <c r="J44" s="52"/>
      <c r="K44" s="129"/>
      <c r="L44" s="54">
        <f t="shared" si="1"/>
        <v>0</v>
      </c>
      <c r="M44" s="129"/>
      <c r="N44" s="54">
        <f t="shared" si="2"/>
        <v>0</v>
      </c>
      <c r="O44" s="54">
        <f t="shared" si="3"/>
        <v>0</v>
      </c>
      <c r="P44" s="1"/>
    </row>
    <row r="45" spans="2:16" ht="12.5">
      <c r="B45" s="7" t="str">
        <f t="shared" si="6"/>
        <v/>
      </c>
      <c r="C45" s="50">
        <f>IF(D11="","-",+C44+1)</f>
        <v>2037</v>
      </c>
      <c r="D45" s="55">
        <f>IF(F44+SUM(E$17:E44)=D$10,F44,D$10-SUM(E$17:E44))</f>
        <v>4181507.7242202968</v>
      </c>
      <c r="E45" s="378">
        <f>IF(+I14&lt;F44,I14,D45)</f>
        <v>263188.88636363635</v>
      </c>
      <c r="F45" s="55">
        <f t="shared" si="26"/>
        <v>3918318.8378566606</v>
      </c>
      <c r="G45" s="379">
        <f t="shared" si="27"/>
        <v>747263.40429374925</v>
      </c>
      <c r="H45" s="364">
        <f t="shared" si="28"/>
        <v>747263.40429374925</v>
      </c>
      <c r="I45" s="52">
        <f t="shared" si="0"/>
        <v>0</v>
      </c>
      <c r="J45" s="52"/>
      <c r="K45" s="129"/>
      <c r="L45" s="54">
        <f t="shared" si="1"/>
        <v>0</v>
      </c>
      <c r="M45" s="129"/>
      <c r="N45" s="54">
        <f t="shared" si="2"/>
        <v>0</v>
      </c>
      <c r="O45" s="54">
        <f t="shared" si="3"/>
        <v>0</v>
      </c>
      <c r="P45" s="1"/>
    </row>
    <row r="46" spans="2:16" ht="12.5">
      <c r="B46" s="7" t="str">
        <f t="shared" si="6"/>
        <v/>
      </c>
      <c r="C46" s="50">
        <f>IF(D11="","-",+C45+1)</f>
        <v>2038</v>
      </c>
      <c r="D46" s="55">
        <f>IF(F45+SUM(E$17:E45)=D$10,F45,D$10-SUM(E$17:E45))</f>
        <v>3918318.8378566606</v>
      </c>
      <c r="E46" s="378">
        <f>IF(+I14&lt;F45,I14,D46)</f>
        <v>263188.88636363635</v>
      </c>
      <c r="F46" s="55">
        <f t="shared" si="26"/>
        <v>3655129.9514930244</v>
      </c>
      <c r="G46" s="379">
        <f t="shared" si="27"/>
        <v>715805.1916234839</v>
      </c>
      <c r="H46" s="364">
        <f t="shared" si="28"/>
        <v>715805.1916234839</v>
      </c>
      <c r="I46" s="52">
        <f t="shared" si="0"/>
        <v>0</v>
      </c>
      <c r="J46" s="52"/>
      <c r="K46" s="129"/>
      <c r="L46" s="54">
        <f t="shared" si="1"/>
        <v>0</v>
      </c>
      <c r="M46" s="129"/>
      <c r="N46" s="54">
        <f t="shared" si="2"/>
        <v>0</v>
      </c>
      <c r="O46" s="54">
        <f t="shared" si="3"/>
        <v>0</v>
      </c>
      <c r="P46" s="1"/>
    </row>
    <row r="47" spans="2:16" ht="12.5">
      <c r="B47" s="7" t="str">
        <f t="shared" si="6"/>
        <v/>
      </c>
      <c r="C47" s="50">
        <f>IF(D11="","-",+C46+1)</f>
        <v>2039</v>
      </c>
      <c r="D47" s="55">
        <f>IF(F46+SUM(E$17:E46)=D$10,F46,D$10-SUM(E$17:E46))</f>
        <v>3655129.9514930244</v>
      </c>
      <c r="E47" s="378">
        <f>IF(+I14&lt;F46,I14,D47)</f>
        <v>263188.88636363635</v>
      </c>
      <c r="F47" s="55">
        <f t="shared" si="26"/>
        <v>3391941.0651293881</v>
      </c>
      <c r="G47" s="379">
        <f t="shared" si="27"/>
        <v>684346.97895321855</v>
      </c>
      <c r="H47" s="364">
        <f t="shared" si="28"/>
        <v>684346.97895321855</v>
      </c>
      <c r="I47" s="52">
        <f t="shared" si="0"/>
        <v>0</v>
      </c>
      <c r="J47" s="52"/>
      <c r="K47" s="129"/>
      <c r="L47" s="54">
        <f t="shared" si="1"/>
        <v>0</v>
      </c>
      <c r="M47" s="129"/>
      <c r="N47" s="54">
        <f t="shared" si="2"/>
        <v>0</v>
      </c>
      <c r="O47" s="54">
        <f t="shared" si="3"/>
        <v>0</v>
      </c>
      <c r="P47" s="1"/>
    </row>
    <row r="48" spans="2:16" ht="12.5">
      <c r="B48" s="7" t="str">
        <f t="shared" si="6"/>
        <v/>
      </c>
      <c r="C48" s="50">
        <f>IF(D11="","-",+C47+1)</f>
        <v>2040</v>
      </c>
      <c r="D48" s="55">
        <f>IF(F47+SUM(E$17:E47)=D$10,F47,D$10-SUM(E$17:E47))</f>
        <v>3391941.0651293881</v>
      </c>
      <c r="E48" s="378">
        <f>IF(+I14&lt;F47,I14,D48)</f>
        <v>263188.88636363635</v>
      </c>
      <c r="F48" s="55">
        <f t="shared" si="26"/>
        <v>3128752.1787657519</v>
      </c>
      <c r="G48" s="379">
        <f t="shared" si="27"/>
        <v>652888.76628295332</v>
      </c>
      <c r="H48" s="364">
        <f t="shared" si="28"/>
        <v>652888.76628295332</v>
      </c>
      <c r="I48" s="52">
        <f t="shared" si="0"/>
        <v>0</v>
      </c>
      <c r="J48" s="52"/>
      <c r="K48" s="129"/>
      <c r="L48" s="54">
        <f t="shared" si="1"/>
        <v>0</v>
      </c>
      <c r="M48" s="129"/>
      <c r="N48" s="54">
        <f t="shared" si="2"/>
        <v>0</v>
      </c>
      <c r="O48" s="54">
        <f t="shared" si="3"/>
        <v>0</v>
      </c>
      <c r="P48" s="1"/>
    </row>
    <row r="49" spans="2:17" ht="12.5">
      <c r="B49" s="7" t="str">
        <f t="shared" si="6"/>
        <v/>
      </c>
      <c r="C49" s="50">
        <f>IF(D11="","-",+C48+1)</f>
        <v>2041</v>
      </c>
      <c r="D49" s="55">
        <f>IF(F48+SUM(E$17:E48)=D$10,F48,D$10-SUM(E$17:E48))</f>
        <v>3128752.1787657519</v>
      </c>
      <c r="E49" s="378">
        <f>IF(+I14&lt;F48,I14,D49)</f>
        <v>263188.88636363635</v>
      </c>
      <c r="F49" s="55">
        <f t="shared" ref="F49:F72" si="29">+D49-E49</f>
        <v>2865563.2924021157</v>
      </c>
      <c r="G49" s="379">
        <f t="shared" si="27"/>
        <v>621430.55361268797</v>
      </c>
      <c r="H49" s="364">
        <f t="shared" si="28"/>
        <v>621430.55361268797</v>
      </c>
      <c r="I49" s="52">
        <f t="shared" ref="I49:I72" si="30">H49-G49</f>
        <v>0</v>
      </c>
      <c r="J49" s="52"/>
      <c r="K49" s="129"/>
      <c r="L49" s="54">
        <f t="shared" ref="L49:L72" si="31">IF(K49&lt;&gt;0,+G49-K49,0)</f>
        <v>0</v>
      </c>
      <c r="M49" s="129"/>
      <c r="N49" s="54">
        <f t="shared" ref="N49:N72" si="32">IF(M49&lt;&gt;0,+H49-M49,0)</f>
        <v>0</v>
      </c>
      <c r="O49" s="54">
        <f t="shared" ref="O49:O72" si="33">+N49-L49</f>
        <v>0</v>
      </c>
      <c r="P49" s="1"/>
    </row>
    <row r="50" spans="2:17" ht="12.5">
      <c r="B50" s="7" t="str">
        <f t="shared" si="6"/>
        <v/>
      </c>
      <c r="C50" s="50">
        <f>IF(D11="","-",+C49+1)</f>
        <v>2042</v>
      </c>
      <c r="D50" s="55">
        <f>IF(F49+SUM(E$17:E49)=D$10,F49,D$10-SUM(E$17:E49))</f>
        <v>2865563.2924021157</v>
      </c>
      <c r="E50" s="378">
        <f>IF(+I14&lt;F49,I14,D50)</f>
        <v>263188.88636363635</v>
      </c>
      <c r="F50" s="55">
        <f t="shared" si="29"/>
        <v>2602374.4060384794</v>
      </c>
      <c r="G50" s="379">
        <f t="shared" si="27"/>
        <v>589972.34094242263</v>
      </c>
      <c r="H50" s="364">
        <f t="shared" si="28"/>
        <v>589972.34094242263</v>
      </c>
      <c r="I50" s="52">
        <f t="shared" si="30"/>
        <v>0</v>
      </c>
      <c r="J50" s="52"/>
      <c r="K50" s="129"/>
      <c r="L50" s="54">
        <f t="shared" si="31"/>
        <v>0</v>
      </c>
      <c r="M50" s="129"/>
      <c r="N50" s="54">
        <f t="shared" si="32"/>
        <v>0</v>
      </c>
      <c r="O50" s="54">
        <f t="shared" si="33"/>
        <v>0</v>
      </c>
      <c r="P50" s="1"/>
    </row>
    <row r="51" spans="2:17" ht="12.5">
      <c r="B51" s="7" t="str">
        <f t="shared" si="6"/>
        <v/>
      </c>
      <c r="C51" s="50">
        <f>IF(D11="","-",+C50+1)</f>
        <v>2043</v>
      </c>
      <c r="D51" s="55">
        <f>IF(F50+SUM(E$17:E50)=D$10,F50,D$10-SUM(E$17:E50))</f>
        <v>2602374.4060384794</v>
      </c>
      <c r="E51" s="378">
        <f>IF(+I14&lt;F50,I14,D51)</f>
        <v>263188.88636363635</v>
      </c>
      <c r="F51" s="55">
        <f t="shared" si="29"/>
        <v>2339185.5196748432</v>
      </c>
      <c r="G51" s="379">
        <f t="shared" si="27"/>
        <v>558514.1282721574</v>
      </c>
      <c r="H51" s="364">
        <f t="shared" si="28"/>
        <v>558514.1282721574</v>
      </c>
      <c r="I51" s="52">
        <f t="shared" si="30"/>
        <v>0</v>
      </c>
      <c r="J51" s="52"/>
      <c r="K51" s="129"/>
      <c r="L51" s="54">
        <f t="shared" si="31"/>
        <v>0</v>
      </c>
      <c r="M51" s="129"/>
      <c r="N51" s="54">
        <f t="shared" si="32"/>
        <v>0</v>
      </c>
      <c r="O51" s="54">
        <f t="shared" si="33"/>
        <v>0</v>
      </c>
      <c r="P51" s="1"/>
    </row>
    <row r="52" spans="2:17" ht="12.5">
      <c r="B52" s="7" t="str">
        <f t="shared" si="6"/>
        <v/>
      </c>
      <c r="C52" s="50">
        <f>IF(D11="","-",+C51+1)</f>
        <v>2044</v>
      </c>
      <c r="D52" s="55">
        <f>IF(F51+SUM(E$17:E51)=D$10,F51,D$10-SUM(E$17:E51))</f>
        <v>2339185.5196748432</v>
      </c>
      <c r="E52" s="378">
        <f>IF(+I14&lt;F51,I14,D52)</f>
        <v>263188.88636363635</v>
      </c>
      <c r="F52" s="55">
        <f t="shared" si="29"/>
        <v>2075996.6333112069</v>
      </c>
      <c r="G52" s="379">
        <f t="shared" si="27"/>
        <v>527055.91560189193</v>
      </c>
      <c r="H52" s="364">
        <f t="shared" si="28"/>
        <v>527055.91560189193</v>
      </c>
      <c r="I52" s="52">
        <f t="shared" si="30"/>
        <v>0</v>
      </c>
      <c r="J52" s="52"/>
      <c r="K52" s="129"/>
      <c r="L52" s="54">
        <f t="shared" si="31"/>
        <v>0</v>
      </c>
      <c r="M52" s="129"/>
      <c r="N52" s="54">
        <f t="shared" si="32"/>
        <v>0</v>
      </c>
      <c r="O52" s="54">
        <f t="shared" si="33"/>
        <v>0</v>
      </c>
      <c r="P52" s="1"/>
    </row>
    <row r="53" spans="2:17" ht="12.5">
      <c r="B53" s="7" t="str">
        <f t="shared" si="6"/>
        <v/>
      </c>
      <c r="C53" s="50">
        <f>IF(D11="","-",+C52+1)</f>
        <v>2045</v>
      </c>
      <c r="D53" s="55">
        <f>IF(F52+SUM(E$17:E52)=D$10,F52,D$10-SUM(E$17:E52))</f>
        <v>2075996.6333112069</v>
      </c>
      <c r="E53" s="378">
        <f>IF(+I14&lt;F52,I14,D53)</f>
        <v>263188.88636363635</v>
      </c>
      <c r="F53" s="55">
        <f t="shared" si="29"/>
        <v>1812807.7469475707</v>
      </c>
      <c r="G53" s="379">
        <f t="shared" si="27"/>
        <v>495597.7029316267</v>
      </c>
      <c r="H53" s="364">
        <f t="shared" si="28"/>
        <v>495597.7029316267</v>
      </c>
      <c r="I53" s="52">
        <f t="shared" si="30"/>
        <v>0</v>
      </c>
      <c r="J53" s="52"/>
      <c r="K53" s="129"/>
      <c r="L53" s="54">
        <f t="shared" si="31"/>
        <v>0</v>
      </c>
      <c r="M53" s="129"/>
      <c r="N53" s="54">
        <f t="shared" si="32"/>
        <v>0</v>
      </c>
      <c r="O53" s="54">
        <f t="shared" si="33"/>
        <v>0</v>
      </c>
      <c r="P53" s="1"/>
    </row>
    <row r="54" spans="2:17" ht="12.5">
      <c r="B54" s="7" t="str">
        <f t="shared" si="6"/>
        <v/>
      </c>
      <c r="C54" s="50">
        <f>IF(D11="","-",+C53+1)</f>
        <v>2046</v>
      </c>
      <c r="D54" s="55">
        <f>IF(F53+SUM(E$17:E53)=D$10,F53,D$10-SUM(E$17:E53))</f>
        <v>1812807.7469475707</v>
      </c>
      <c r="E54" s="378">
        <f>IF(+I14&lt;F53,I14,D54)</f>
        <v>263188.88636363635</v>
      </c>
      <c r="F54" s="55">
        <f t="shared" si="29"/>
        <v>1549618.8605839345</v>
      </c>
      <c r="G54" s="379">
        <f t="shared" si="27"/>
        <v>464139.49026136135</v>
      </c>
      <c r="H54" s="364">
        <f t="shared" si="28"/>
        <v>464139.49026136135</v>
      </c>
      <c r="I54" s="52">
        <f t="shared" si="30"/>
        <v>0</v>
      </c>
      <c r="J54" s="52"/>
      <c r="K54" s="129"/>
      <c r="L54" s="54">
        <f t="shared" si="31"/>
        <v>0</v>
      </c>
      <c r="M54" s="129"/>
      <c r="N54" s="54">
        <f t="shared" si="32"/>
        <v>0</v>
      </c>
      <c r="O54" s="54">
        <f t="shared" si="33"/>
        <v>0</v>
      </c>
      <c r="P54" s="1"/>
    </row>
    <row r="55" spans="2:17" ht="12.5">
      <c r="B55" s="7" t="str">
        <f t="shared" si="6"/>
        <v/>
      </c>
      <c r="C55" s="50">
        <f>IF(D11="","-",+C54+1)</f>
        <v>2047</v>
      </c>
      <c r="D55" s="55">
        <f>IF(F54+SUM(E$17:E54)=D$10,F54,D$10-SUM(E$17:E54))</f>
        <v>1549618.8605839345</v>
      </c>
      <c r="E55" s="378">
        <f>IF(+I14&lt;F54,I14,D55)</f>
        <v>263188.88636363635</v>
      </c>
      <c r="F55" s="55">
        <f t="shared" si="29"/>
        <v>1286429.9742202982</v>
      </c>
      <c r="G55" s="379">
        <f t="shared" si="27"/>
        <v>432681.277591096</v>
      </c>
      <c r="H55" s="364">
        <f t="shared" si="28"/>
        <v>432681.277591096</v>
      </c>
      <c r="I55" s="52">
        <f t="shared" si="30"/>
        <v>0</v>
      </c>
      <c r="J55" s="52"/>
      <c r="K55" s="129"/>
      <c r="L55" s="54">
        <f t="shared" si="31"/>
        <v>0</v>
      </c>
      <c r="M55" s="129"/>
      <c r="N55" s="54">
        <f t="shared" si="32"/>
        <v>0</v>
      </c>
      <c r="O55" s="54">
        <f t="shared" si="33"/>
        <v>0</v>
      </c>
      <c r="P55" s="1"/>
    </row>
    <row r="56" spans="2:17" ht="12.5">
      <c r="B56" s="7" t="str">
        <f t="shared" si="6"/>
        <v/>
      </c>
      <c r="C56" s="50">
        <f>IF(D11="","-",+C55+1)</f>
        <v>2048</v>
      </c>
      <c r="D56" s="55">
        <f>IF(F55+SUM(E$17:E55)=D$10,F55,D$10-SUM(E$17:E55))</f>
        <v>1286429.9742202982</v>
      </c>
      <c r="E56" s="378">
        <f>IF(+I14&lt;F55,I14,D56)</f>
        <v>263188.88636363635</v>
      </c>
      <c r="F56" s="55">
        <f t="shared" si="29"/>
        <v>1023241.0878566619</v>
      </c>
      <c r="G56" s="379">
        <f t="shared" si="27"/>
        <v>401223.06492083071</v>
      </c>
      <c r="H56" s="364">
        <f t="shared" si="28"/>
        <v>401223.06492083071</v>
      </c>
      <c r="I56" s="52">
        <f t="shared" si="30"/>
        <v>0</v>
      </c>
      <c r="J56" s="52"/>
      <c r="K56" s="129"/>
      <c r="L56" s="54">
        <f t="shared" si="31"/>
        <v>0</v>
      </c>
      <c r="M56" s="129"/>
      <c r="N56" s="54">
        <f t="shared" si="32"/>
        <v>0</v>
      </c>
      <c r="O56" s="54">
        <f t="shared" si="33"/>
        <v>0</v>
      </c>
      <c r="P56" s="1"/>
    </row>
    <row r="57" spans="2:17" ht="12.5">
      <c r="B57" s="7" t="str">
        <f t="shared" si="6"/>
        <v/>
      </c>
      <c r="C57" s="50">
        <f>IF(D11="","-",+C56+1)</f>
        <v>2049</v>
      </c>
      <c r="D57" s="55">
        <f>IF(F56+SUM(E$17:E56)=D$10,F56,D$10-SUM(E$17:E56))</f>
        <v>1023241.0878566619</v>
      </c>
      <c r="E57" s="378">
        <f>IF(+I14&lt;F56,I14,D57)</f>
        <v>263188.88636363635</v>
      </c>
      <c r="F57" s="55">
        <f t="shared" si="29"/>
        <v>760052.20149302552</v>
      </c>
      <c r="G57" s="379">
        <f t="shared" si="27"/>
        <v>369764.85225056537</v>
      </c>
      <c r="H57" s="364">
        <f t="shared" si="28"/>
        <v>369764.85225056537</v>
      </c>
      <c r="I57" s="52">
        <f t="shared" si="30"/>
        <v>0</v>
      </c>
      <c r="J57" s="52"/>
      <c r="K57" s="129"/>
      <c r="L57" s="54">
        <f t="shared" si="31"/>
        <v>0</v>
      </c>
      <c r="M57" s="129"/>
      <c r="N57" s="54">
        <f t="shared" si="32"/>
        <v>0</v>
      </c>
      <c r="O57" s="54">
        <f t="shared" si="33"/>
        <v>0</v>
      </c>
      <c r="P57" s="1"/>
    </row>
    <row r="58" spans="2:17" ht="12.5">
      <c r="B58" s="7" t="str">
        <f t="shared" si="6"/>
        <v/>
      </c>
      <c r="C58" s="50">
        <f>IF(D11="","-",+C57+1)</f>
        <v>2050</v>
      </c>
      <c r="D58" s="55">
        <f>IF(F57+SUM(E$17:E57)=D$10,F57,D$10-SUM(E$17:E57))</f>
        <v>760052.20149302552</v>
      </c>
      <c r="E58" s="378">
        <f>IF(+I14&lt;F57,I14,D58)</f>
        <v>263188.88636363635</v>
      </c>
      <c r="F58" s="55">
        <f t="shared" si="29"/>
        <v>496863.31512938917</v>
      </c>
      <c r="G58" s="379">
        <f t="shared" si="27"/>
        <v>338306.63958030002</v>
      </c>
      <c r="H58" s="364">
        <f t="shared" si="28"/>
        <v>338306.63958030002</v>
      </c>
      <c r="I58" s="52">
        <f t="shared" si="30"/>
        <v>0</v>
      </c>
      <c r="J58" s="52"/>
      <c r="K58" s="129"/>
      <c r="L58" s="54">
        <f t="shared" si="31"/>
        <v>0</v>
      </c>
      <c r="M58" s="129"/>
      <c r="N58" s="54">
        <f t="shared" si="32"/>
        <v>0</v>
      </c>
      <c r="O58" s="54">
        <f t="shared" si="33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6"/>
        <v/>
      </c>
      <c r="C59" s="50">
        <f>IF(D11="","-",+C58+1)</f>
        <v>2051</v>
      </c>
      <c r="D59" s="55">
        <f>IF(F58+SUM(E$17:E58)=D$10,F58,D$10-SUM(E$17:E58))</f>
        <v>496863.31512938917</v>
      </c>
      <c r="E59" s="378">
        <f>IF(+I14&lt;F58,I14,D59)</f>
        <v>263188.88636363635</v>
      </c>
      <c r="F59" s="55">
        <f t="shared" si="29"/>
        <v>233674.42876575282</v>
      </c>
      <c r="G59" s="379">
        <f t="shared" si="27"/>
        <v>306848.42691003467</v>
      </c>
      <c r="H59" s="364">
        <f t="shared" si="28"/>
        <v>306848.42691003467</v>
      </c>
      <c r="I59" s="52">
        <f t="shared" si="30"/>
        <v>0</v>
      </c>
      <c r="J59" s="52"/>
      <c r="K59" s="129"/>
      <c r="L59" s="54">
        <f t="shared" si="31"/>
        <v>0</v>
      </c>
      <c r="M59" s="129"/>
      <c r="N59" s="54">
        <f t="shared" si="32"/>
        <v>0</v>
      </c>
      <c r="O59" s="54">
        <f t="shared" si="33"/>
        <v>0</v>
      </c>
      <c r="P59" s="1"/>
    </row>
    <row r="60" spans="2:17" ht="12.5">
      <c r="B60" s="7" t="str">
        <f t="shared" si="6"/>
        <v/>
      </c>
      <c r="C60" s="50">
        <f>IF(D11="","-",+C59+1)</f>
        <v>2052</v>
      </c>
      <c r="D60" s="55">
        <f>IF(F59+SUM(E$17:E59)=D$10,F59,D$10-SUM(E$17:E59))</f>
        <v>233674.42876575282</v>
      </c>
      <c r="E60" s="378">
        <f>IF(+I14&lt;F59,I14,D60)</f>
        <v>233674.42876575282</v>
      </c>
      <c r="F60" s="55">
        <f t="shared" si="29"/>
        <v>0</v>
      </c>
      <c r="G60" s="379">
        <f t="shared" si="27"/>
        <v>247639.64587138564</v>
      </c>
      <c r="H60" s="364">
        <f t="shared" si="28"/>
        <v>247639.64587138564</v>
      </c>
      <c r="I60" s="52">
        <f t="shared" si="30"/>
        <v>0</v>
      </c>
      <c r="J60" s="52"/>
      <c r="K60" s="129"/>
      <c r="L60" s="54">
        <f t="shared" si="31"/>
        <v>0</v>
      </c>
      <c r="M60" s="129"/>
      <c r="N60" s="54">
        <f t="shared" si="32"/>
        <v>0</v>
      </c>
      <c r="O60" s="54">
        <f t="shared" si="33"/>
        <v>0</v>
      </c>
      <c r="P60" s="1"/>
    </row>
    <row r="61" spans="2:17" ht="12.5">
      <c r="B61" s="7" t="str">
        <f t="shared" si="6"/>
        <v/>
      </c>
      <c r="C61" s="50">
        <f>IF(D11="","-",+C60+1)</f>
        <v>2053</v>
      </c>
      <c r="D61" s="55">
        <f>IF(F60+SUM(E$17:E60)=D$10,F60,D$10-SUM(E$17:E60))</f>
        <v>0</v>
      </c>
      <c r="E61" s="378">
        <f>IF(+I14&lt;F60,I14,D61)</f>
        <v>0</v>
      </c>
      <c r="F61" s="55">
        <f t="shared" si="29"/>
        <v>0</v>
      </c>
      <c r="G61" s="379">
        <f t="shared" si="27"/>
        <v>0</v>
      </c>
      <c r="H61" s="364">
        <f t="shared" si="28"/>
        <v>0</v>
      </c>
      <c r="I61" s="52">
        <f t="shared" si="30"/>
        <v>0</v>
      </c>
      <c r="J61" s="52"/>
      <c r="K61" s="129"/>
      <c r="L61" s="54">
        <f t="shared" si="31"/>
        <v>0</v>
      </c>
      <c r="M61" s="129"/>
      <c r="N61" s="54">
        <f t="shared" si="32"/>
        <v>0</v>
      </c>
      <c r="O61" s="54">
        <f t="shared" si="33"/>
        <v>0</v>
      </c>
      <c r="P61" s="1"/>
    </row>
    <row r="62" spans="2:17" ht="12.5">
      <c r="B62" s="7" t="str">
        <f t="shared" si="6"/>
        <v/>
      </c>
      <c r="C62" s="50">
        <f>IF(D11="","-",+C61+1)</f>
        <v>2054</v>
      </c>
      <c r="D62" s="55">
        <f>IF(F61+SUM(E$17:E61)=D$10,F61,D$10-SUM(E$17:E61))</f>
        <v>0</v>
      </c>
      <c r="E62" s="378">
        <f>IF(+I14&lt;F61,I14,D62)</f>
        <v>0</v>
      </c>
      <c r="F62" s="55">
        <f t="shared" si="29"/>
        <v>0</v>
      </c>
      <c r="G62" s="379">
        <f t="shared" si="27"/>
        <v>0</v>
      </c>
      <c r="H62" s="364">
        <f t="shared" si="28"/>
        <v>0</v>
      </c>
      <c r="I62" s="52">
        <f t="shared" si="30"/>
        <v>0</v>
      </c>
      <c r="J62" s="52"/>
      <c r="K62" s="129"/>
      <c r="L62" s="54">
        <f t="shared" si="31"/>
        <v>0</v>
      </c>
      <c r="M62" s="129"/>
      <c r="N62" s="54">
        <f t="shared" si="32"/>
        <v>0</v>
      </c>
      <c r="O62" s="54">
        <f t="shared" si="33"/>
        <v>0</v>
      </c>
      <c r="P62" s="1"/>
    </row>
    <row r="63" spans="2:17" ht="12.5">
      <c r="B63" s="7" t="str">
        <f t="shared" si="6"/>
        <v/>
      </c>
      <c r="C63" s="50">
        <f>IF(D11="","-",+C62+1)</f>
        <v>2055</v>
      </c>
      <c r="D63" s="55">
        <f>IF(F62+SUM(E$17:E62)=D$10,F62,D$10-SUM(E$17:E62))</f>
        <v>0</v>
      </c>
      <c r="E63" s="378">
        <f>IF(+I14&lt;F62,I14,D63)</f>
        <v>0</v>
      </c>
      <c r="F63" s="55">
        <f t="shared" si="29"/>
        <v>0</v>
      </c>
      <c r="G63" s="379">
        <f t="shared" si="27"/>
        <v>0</v>
      </c>
      <c r="H63" s="364">
        <f t="shared" si="28"/>
        <v>0</v>
      </c>
      <c r="I63" s="52">
        <f t="shared" si="30"/>
        <v>0</v>
      </c>
      <c r="J63" s="52"/>
      <c r="K63" s="129"/>
      <c r="L63" s="54">
        <f t="shared" si="31"/>
        <v>0</v>
      </c>
      <c r="M63" s="129"/>
      <c r="N63" s="54">
        <f t="shared" si="32"/>
        <v>0</v>
      </c>
      <c r="O63" s="54">
        <f t="shared" si="33"/>
        <v>0</v>
      </c>
      <c r="P63" s="1"/>
    </row>
    <row r="64" spans="2:17" ht="12.5">
      <c r="B64" s="7" t="str">
        <f t="shared" si="6"/>
        <v/>
      </c>
      <c r="C64" s="50">
        <f>IF(D11="","-",+C63+1)</f>
        <v>2056</v>
      </c>
      <c r="D64" s="55">
        <f>IF(F63+SUM(E$17:E63)=D$10,F63,D$10-SUM(E$17:E63))</f>
        <v>0</v>
      </c>
      <c r="E64" s="378">
        <f>IF(+I14&lt;F63,I14,D64)</f>
        <v>0</v>
      </c>
      <c r="F64" s="55">
        <f t="shared" si="29"/>
        <v>0</v>
      </c>
      <c r="G64" s="379">
        <f t="shared" si="27"/>
        <v>0</v>
      </c>
      <c r="H64" s="364">
        <f t="shared" si="28"/>
        <v>0</v>
      </c>
      <c r="I64" s="52">
        <f t="shared" si="30"/>
        <v>0</v>
      </c>
      <c r="J64" s="52"/>
      <c r="K64" s="129"/>
      <c r="L64" s="54">
        <f t="shared" si="31"/>
        <v>0</v>
      </c>
      <c r="M64" s="129"/>
      <c r="N64" s="54">
        <f t="shared" si="32"/>
        <v>0</v>
      </c>
      <c r="O64" s="54">
        <f t="shared" si="33"/>
        <v>0</v>
      </c>
      <c r="P64" s="1"/>
    </row>
    <row r="65" spans="1:16" ht="12.5">
      <c r="B65" s="7" t="str">
        <f t="shared" si="6"/>
        <v/>
      </c>
      <c r="C65" s="50">
        <f>IF(D11="","-",+C64+1)</f>
        <v>2057</v>
      </c>
      <c r="D65" s="55">
        <f>IF(F64+SUM(E$17:E64)=D$10,F64,D$10-SUM(E$17:E64))</f>
        <v>0</v>
      </c>
      <c r="E65" s="378">
        <f>IF(+I14&lt;F64,I14,D65)</f>
        <v>0</v>
      </c>
      <c r="F65" s="55">
        <f t="shared" si="29"/>
        <v>0</v>
      </c>
      <c r="G65" s="379">
        <f t="shared" si="27"/>
        <v>0</v>
      </c>
      <c r="H65" s="364">
        <f t="shared" si="28"/>
        <v>0</v>
      </c>
      <c r="I65" s="52">
        <f t="shared" si="30"/>
        <v>0</v>
      </c>
      <c r="J65" s="52"/>
      <c r="K65" s="129"/>
      <c r="L65" s="54">
        <f t="shared" si="31"/>
        <v>0</v>
      </c>
      <c r="M65" s="129"/>
      <c r="N65" s="54">
        <f t="shared" si="32"/>
        <v>0</v>
      </c>
      <c r="O65" s="54">
        <f t="shared" si="33"/>
        <v>0</v>
      </c>
      <c r="P65" s="1"/>
    </row>
    <row r="66" spans="1:16" ht="12.5">
      <c r="B66" s="7" t="str">
        <f t="shared" si="6"/>
        <v/>
      </c>
      <c r="C66" s="50">
        <f>IF(D11="","-",+C65+1)</f>
        <v>2058</v>
      </c>
      <c r="D66" s="55">
        <f>IF(F65+SUM(E$17:E65)=D$10,F65,D$10-SUM(E$17:E65))</f>
        <v>0</v>
      </c>
      <c r="E66" s="378">
        <f>IF(+I14&lt;F65,I14,D66)</f>
        <v>0</v>
      </c>
      <c r="F66" s="55">
        <f t="shared" si="29"/>
        <v>0</v>
      </c>
      <c r="G66" s="379">
        <f t="shared" si="27"/>
        <v>0</v>
      </c>
      <c r="H66" s="364">
        <f t="shared" si="28"/>
        <v>0</v>
      </c>
      <c r="I66" s="52">
        <f t="shared" si="30"/>
        <v>0</v>
      </c>
      <c r="J66" s="52"/>
      <c r="K66" s="129"/>
      <c r="L66" s="54">
        <f t="shared" si="31"/>
        <v>0</v>
      </c>
      <c r="M66" s="129"/>
      <c r="N66" s="54">
        <f t="shared" si="32"/>
        <v>0</v>
      </c>
      <c r="O66" s="54">
        <f t="shared" si="33"/>
        <v>0</v>
      </c>
      <c r="P66" s="1"/>
    </row>
    <row r="67" spans="1:16" ht="12.5">
      <c r="B67" s="7" t="str">
        <f t="shared" si="6"/>
        <v/>
      </c>
      <c r="C67" s="50">
        <f>IF(D11="","-",+C66+1)</f>
        <v>2059</v>
      </c>
      <c r="D67" s="55">
        <f>IF(F66+SUM(E$17:E66)=D$10,F66,D$10-SUM(E$17:E66))</f>
        <v>0</v>
      </c>
      <c r="E67" s="378">
        <f>IF(+I14&lt;F66,I14,D67)</f>
        <v>0</v>
      </c>
      <c r="F67" s="55">
        <f t="shared" si="29"/>
        <v>0</v>
      </c>
      <c r="G67" s="379">
        <f t="shared" si="27"/>
        <v>0</v>
      </c>
      <c r="H67" s="364">
        <f t="shared" si="28"/>
        <v>0</v>
      </c>
      <c r="I67" s="52">
        <f t="shared" si="30"/>
        <v>0</v>
      </c>
      <c r="J67" s="52"/>
      <c r="K67" s="129"/>
      <c r="L67" s="54">
        <f t="shared" si="31"/>
        <v>0</v>
      </c>
      <c r="M67" s="129"/>
      <c r="N67" s="54">
        <f t="shared" si="32"/>
        <v>0</v>
      </c>
      <c r="O67" s="54">
        <f t="shared" si="33"/>
        <v>0</v>
      </c>
      <c r="P67" s="1"/>
    </row>
    <row r="68" spans="1:16" ht="12.5">
      <c r="B68" s="7" t="str">
        <f t="shared" si="6"/>
        <v/>
      </c>
      <c r="C68" s="50">
        <f>IF(D11="","-",+C67+1)</f>
        <v>2060</v>
      </c>
      <c r="D68" s="55">
        <f>IF(F67+SUM(E$17:E67)=D$10,F67,D$10-SUM(E$17:E67))</f>
        <v>0</v>
      </c>
      <c r="E68" s="378">
        <f>IF(+I14&lt;F67,I14,D68)</f>
        <v>0</v>
      </c>
      <c r="F68" s="55">
        <f t="shared" si="29"/>
        <v>0</v>
      </c>
      <c r="G68" s="379">
        <f t="shared" si="27"/>
        <v>0</v>
      </c>
      <c r="H68" s="364">
        <f t="shared" si="28"/>
        <v>0</v>
      </c>
      <c r="I68" s="52">
        <f t="shared" si="30"/>
        <v>0</v>
      </c>
      <c r="J68" s="52"/>
      <c r="K68" s="129"/>
      <c r="L68" s="54">
        <f t="shared" si="31"/>
        <v>0</v>
      </c>
      <c r="M68" s="129"/>
      <c r="N68" s="54">
        <f t="shared" si="32"/>
        <v>0</v>
      </c>
      <c r="O68" s="54">
        <f t="shared" si="33"/>
        <v>0</v>
      </c>
      <c r="P68" s="1"/>
    </row>
    <row r="69" spans="1:16" ht="12.5">
      <c r="B69" s="7" t="str">
        <f t="shared" si="6"/>
        <v/>
      </c>
      <c r="C69" s="50">
        <f>IF(D11="","-",+C68+1)</f>
        <v>2061</v>
      </c>
      <c r="D69" s="55">
        <f>IF(F68+SUM(E$17:E68)=D$10,F68,D$10-SUM(E$17:E68))</f>
        <v>0</v>
      </c>
      <c r="E69" s="378">
        <f>IF(+I14&lt;F68,I14,D69)</f>
        <v>0</v>
      </c>
      <c r="F69" s="55">
        <f t="shared" si="29"/>
        <v>0</v>
      </c>
      <c r="G69" s="379">
        <f t="shared" si="27"/>
        <v>0</v>
      </c>
      <c r="H69" s="364">
        <f t="shared" si="28"/>
        <v>0</v>
      </c>
      <c r="I69" s="52">
        <f t="shared" si="30"/>
        <v>0</v>
      </c>
      <c r="J69" s="52"/>
      <c r="K69" s="129"/>
      <c r="L69" s="54">
        <f t="shared" si="31"/>
        <v>0</v>
      </c>
      <c r="M69" s="129"/>
      <c r="N69" s="54">
        <f t="shared" si="32"/>
        <v>0</v>
      </c>
      <c r="O69" s="54">
        <f t="shared" si="33"/>
        <v>0</v>
      </c>
      <c r="P69" s="1"/>
    </row>
    <row r="70" spans="1:16" ht="12.5">
      <c r="B70" s="7" t="str">
        <f t="shared" si="6"/>
        <v/>
      </c>
      <c r="C70" s="50">
        <f>IF(D11="","-",+C69+1)</f>
        <v>2062</v>
      </c>
      <c r="D70" s="55">
        <f>IF(F69+SUM(E$17:E69)=D$10,F69,D$10-SUM(E$17:E69))</f>
        <v>0</v>
      </c>
      <c r="E70" s="378">
        <f>IF(+I14&lt;F69,I14,D70)</f>
        <v>0</v>
      </c>
      <c r="F70" s="55">
        <f t="shared" si="29"/>
        <v>0</v>
      </c>
      <c r="G70" s="379">
        <f t="shared" si="27"/>
        <v>0</v>
      </c>
      <c r="H70" s="364">
        <f t="shared" si="28"/>
        <v>0</v>
      </c>
      <c r="I70" s="52">
        <f t="shared" si="30"/>
        <v>0</v>
      </c>
      <c r="J70" s="52"/>
      <c r="K70" s="129"/>
      <c r="L70" s="54">
        <f t="shared" si="31"/>
        <v>0</v>
      </c>
      <c r="M70" s="129"/>
      <c r="N70" s="54">
        <f t="shared" si="32"/>
        <v>0</v>
      </c>
      <c r="O70" s="54">
        <f t="shared" si="33"/>
        <v>0</v>
      </c>
      <c r="P70" s="1"/>
    </row>
    <row r="71" spans="1:16" ht="12.5">
      <c r="B71" s="7" t="str">
        <f t="shared" si="6"/>
        <v/>
      </c>
      <c r="C71" s="50">
        <f>IF(D11="","-",+C70+1)</f>
        <v>2063</v>
      </c>
      <c r="D71" s="55">
        <f>IF(F70+SUM(E$17:E70)=D$10,F70,D$10-SUM(E$17:E70))</f>
        <v>0</v>
      </c>
      <c r="E71" s="378">
        <f>IF(+I14&lt;F70,I14,D71)</f>
        <v>0</v>
      </c>
      <c r="F71" s="55">
        <f t="shared" si="29"/>
        <v>0</v>
      </c>
      <c r="G71" s="379">
        <f t="shared" si="27"/>
        <v>0</v>
      </c>
      <c r="H71" s="364">
        <f t="shared" si="28"/>
        <v>0</v>
      </c>
      <c r="I71" s="52">
        <f t="shared" si="30"/>
        <v>0</v>
      </c>
      <c r="J71" s="52"/>
      <c r="K71" s="129"/>
      <c r="L71" s="54">
        <f t="shared" si="31"/>
        <v>0</v>
      </c>
      <c r="M71" s="129"/>
      <c r="N71" s="54">
        <f t="shared" si="32"/>
        <v>0</v>
      </c>
      <c r="O71" s="54">
        <f t="shared" si="33"/>
        <v>0</v>
      </c>
      <c r="P71" s="1"/>
    </row>
    <row r="72" spans="1:16" ht="13" thickBot="1">
      <c r="B72" s="7" t="str">
        <f t="shared" si="6"/>
        <v/>
      </c>
      <c r="C72" s="59">
        <f>IF(D11="","-",+C71+1)</f>
        <v>2064</v>
      </c>
      <c r="D72" s="60">
        <f>IF(F71+SUM(E$17:E71)=D$10,F71,D$10-SUM(E$17:E71))</f>
        <v>0</v>
      </c>
      <c r="E72" s="381">
        <f>IF(+I14&lt;F71,I14,D72)</f>
        <v>0</v>
      </c>
      <c r="F72" s="60">
        <f t="shared" si="29"/>
        <v>0</v>
      </c>
      <c r="G72" s="379">
        <f t="shared" si="27"/>
        <v>0</v>
      </c>
      <c r="H72" s="364">
        <f t="shared" si="28"/>
        <v>0</v>
      </c>
      <c r="I72" s="63">
        <f t="shared" si="30"/>
        <v>0</v>
      </c>
      <c r="J72" s="52"/>
      <c r="K72" s="130"/>
      <c r="L72" s="64">
        <f t="shared" si="31"/>
        <v>0</v>
      </c>
      <c r="M72" s="130"/>
      <c r="N72" s="64">
        <f t="shared" si="32"/>
        <v>0</v>
      </c>
      <c r="O72" s="64">
        <f t="shared" si="33"/>
        <v>0</v>
      </c>
      <c r="P72" s="1"/>
    </row>
    <row r="73" spans="1:16" ht="12.5">
      <c r="C73" s="12" t="s">
        <v>78</v>
      </c>
      <c r="D73" s="293"/>
      <c r="E73" s="293">
        <f>SUM(E17:E72)</f>
        <v>11580311.000000007</v>
      </c>
      <c r="F73" s="293"/>
      <c r="G73" s="293">
        <f>SUM(G17:G72)</f>
        <v>42491034.327057064</v>
      </c>
      <c r="H73" s="293">
        <f>SUM(H17:H72)</f>
        <v>42491034.327057064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7.5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4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1156220.1690071991</v>
      </c>
      <c r="N87" s="387">
        <f>IF(J92&lt;D11,0,VLOOKUP(J92,C17:O72,11))</f>
        <v>1156220.1690071991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1190679.4819422679</v>
      </c>
      <c r="N88" s="390">
        <f>IF(J92&lt;D11,0,VLOOKUP(J92,C99:P154,7))</f>
        <v>1190679.4819422679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Rebuild N. Magazine - Danville 161 kV Line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34459.312935068738</v>
      </c>
      <c r="N89" s="392">
        <f>+N88-N87</f>
        <v>34459.312935068738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TP2007114</v>
      </c>
      <c r="E91" s="76" t="str">
        <f>E9</f>
        <v xml:space="preserve">SPP Project ID = </v>
      </c>
      <c r="F91" s="463">
        <f>F9</f>
        <v>225</v>
      </c>
      <c r="G91" s="76"/>
      <c r="H91" s="76"/>
      <c r="I91" s="76"/>
      <c r="J91" s="95"/>
      <c r="Q91" s="1"/>
    </row>
    <row r="92" spans="1:17" ht="13">
      <c r="C92" s="34" t="s">
        <v>51</v>
      </c>
      <c r="D92" s="363">
        <f>D10</f>
        <v>11580311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  <c r="Q92" s="1"/>
    </row>
    <row r="93" spans="1:17" ht="12.5">
      <c r="C93" s="34" t="s">
        <v>54</v>
      </c>
      <c r="D93" s="88">
        <f>IF(D11=I10,"",D11)</f>
        <v>2009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4">
        <f>IF(D11=I10,"",D12)</f>
        <v>6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263188.88636363635</v>
      </c>
      <c r="K96" s="293"/>
      <c r="L96" s="293"/>
      <c r="M96" s="293"/>
      <c r="N96" s="293"/>
      <c r="O96" s="293"/>
      <c r="P96" s="1"/>
      <c r="Q96" s="1"/>
    </row>
    <row r="97" spans="1:17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 ht="12.5">
      <c r="C99" s="50">
        <f>IF(D93= "","-",D93)</f>
        <v>2009</v>
      </c>
      <c r="D99" s="133">
        <v>0</v>
      </c>
      <c r="E99" s="376">
        <v>152372</v>
      </c>
      <c r="F99" s="137">
        <v>11427940</v>
      </c>
      <c r="G99" s="140">
        <v>5713970</v>
      </c>
      <c r="H99" s="397">
        <v>979399</v>
      </c>
      <c r="I99" s="398">
        <v>979399</v>
      </c>
      <c r="J99" s="54">
        <f t="shared" ref="J99:J130" si="34">+I99-H99</f>
        <v>0</v>
      </c>
      <c r="K99" s="54"/>
      <c r="L99" s="112">
        <f t="shared" ref="L99:L104" si="35">H99</f>
        <v>979399</v>
      </c>
      <c r="M99" s="53">
        <f t="shared" ref="M99:M130" si="36">IF(L99&lt;&gt;0,+H99-L99,0)</f>
        <v>0</v>
      </c>
      <c r="N99" s="112">
        <f t="shared" ref="N99:N104" si="37">I99</f>
        <v>979399</v>
      </c>
      <c r="O99" s="53">
        <f t="shared" ref="O99:O130" si="38">IF(N99&lt;&gt;0,+I99-N99,0)</f>
        <v>0</v>
      </c>
      <c r="P99" s="53">
        <f t="shared" ref="P99:P130" si="39">+O99-M99</f>
        <v>0</v>
      </c>
      <c r="Q99" s="1"/>
    </row>
    <row r="100" spans="1:17" ht="12.5">
      <c r="B100" s="7" t="str">
        <f>IF(D100=F99,"","IU")</f>
        <v>IU</v>
      </c>
      <c r="C100" s="50">
        <f>IF(D93="","-",+C99+1)</f>
        <v>2010</v>
      </c>
      <c r="D100" s="133">
        <v>11427940.940000001</v>
      </c>
      <c r="E100" s="376">
        <v>282446.65707317076</v>
      </c>
      <c r="F100" s="137">
        <v>11145494.282926831</v>
      </c>
      <c r="G100" s="137">
        <v>11286717.611463416</v>
      </c>
      <c r="H100" s="376">
        <v>2145726.6474616765</v>
      </c>
      <c r="I100" s="375">
        <v>2145726.6474616765</v>
      </c>
      <c r="J100" s="54">
        <f t="shared" si="34"/>
        <v>0</v>
      </c>
      <c r="K100" s="54"/>
      <c r="L100" s="113">
        <f t="shared" si="35"/>
        <v>2145726.6474616765</v>
      </c>
      <c r="M100" s="54">
        <f t="shared" si="36"/>
        <v>0</v>
      </c>
      <c r="N100" s="113">
        <f t="shared" si="37"/>
        <v>2145726.6474616765</v>
      </c>
      <c r="O100" s="54">
        <f t="shared" si="38"/>
        <v>0</v>
      </c>
      <c r="P100" s="54">
        <f t="shared" si="39"/>
        <v>0</v>
      </c>
      <c r="Q100" s="1"/>
    </row>
    <row r="101" spans="1:17" ht="12.5">
      <c r="B101" s="7" t="str">
        <f t="shared" ref="B101:B154" si="40">IF(D101=F100,"","IU")</f>
        <v/>
      </c>
      <c r="C101" s="50">
        <f>IF(D93="","-",+C100+1)</f>
        <v>2011</v>
      </c>
      <c r="D101" s="133">
        <v>11145494.282926831</v>
      </c>
      <c r="E101" s="377">
        <v>275721.73666666669</v>
      </c>
      <c r="F101" s="137">
        <v>10869772.546260165</v>
      </c>
      <c r="G101" s="137">
        <v>11007633.414593499</v>
      </c>
      <c r="H101" s="376">
        <v>1931048.5627447576</v>
      </c>
      <c r="I101" s="375">
        <v>1931048.5627447576</v>
      </c>
      <c r="J101" s="54">
        <f t="shared" si="34"/>
        <v>0</v>
      </c>
      <c r="K101" s="54"/>
      <c r="L101" s="113">
        <f t="shared" si="35"/>
        <v>1931048.5627447576</v>
      </c>
      <c r="M101" s="54">
        <f t="shared" si="36"/>
        <v>0</v>
      </c>
      <c r="N101" s="113">
        <f t="shared" si="37"/>
        <v>1931048.5627447576</v>
      </c>
      <c r="O101" s="54">
        <f t="shared" si="38"/>
        <v>0</v>
      </c>
      <c r="P101" s="54">
        <f t="shared" si="39"/>
        <v>0</v>
      </c>
      <c r="Q101" s="1"/>
    </row>
    <row r="102" spans="1:17" ht="12.5">
      <c r="B102" s="7" t="str">
        <f t="shared" si="40"/>
        <v/>
      </c>
      <c r="C102" s="50">
        <f>IF(D93="","-",+C101+1)</f>
        <v>2012</v>
      </c>
      <c r="D102" s="133">
        <v>10869772.546260165</v>
      </c>
      <c r="E102" s="376">
        <v>275721.73666666669</v>
      </c>
      <c r="F102" s="137">
        <v>10594050.809593499</v>
      </c>
      <c r="G102" s="137">
        <v>10731911.677926831</v>
      </c>
      <c r="H102" s="376">
        <v>1854964.7357626334</v>
      </c>
      <c r="I102" s="375">
        <v>1854964.7357626334</v>
      </c>
      <c r="J102" s="54">
        <f t="shared" si="34"/>
        <v>0</v>
      </c>
      <c r="K102" s="54"/>
      <c r="L102" s="113">
        <f t="shared" si="35"/>
        <v>1854964.7357626334</v>
      </c>
      <c r="M102" s="54">
        <f t="shared" si="36"/>
        <v>0</v>
      </c>
      <c r="N102" s="113">
        <f t="shared" si="37"/>
        <v>1854964.7357626334</v>
      </c>
      <c r="O102" s="54">
        <f t="shared" si="38"/>
        <v>0</v>
      </c>
      <c r="P102" s="54">
        <f t="shared" si="39"/>
        <v>0</v>
      </c>
      <c r="Q102" s="1"/>
    </row>
    <row r="103" spans="1:17" ht="12.5">
      <c r="B103" s="7" t="str">
        <f t="shared" si="40"/>
        <v/>
      </c>
      <c r="C103" s="50">
        <f>IF(D93="","-",+C102+1)</f>
        <v>2013</v>
      </c>
      <c r="D103" s="133">
        <v>10594050.809593499</v>
      </c>
      <c r="E103" s="376">
        <v>275721.73666666669</v>
      </c>
      <c r="F103" s="137">
        <v>10318329.072926832</v>
      </c>
      <c r="G103" s="137">
        <v>10456189.941260166</v>
      </c>
      <c r="H103" s="376">
        <v>1690357.4734906773</v>
      </c>
      <c r="I103" s="375">
        <v>1690357.4734906773</v>
      </c>
      <c r="J103" s="54">
        <v>0</v>
      </c>
      <c r="K103" s="54"/>
      <c r="L103" s="113">
        <f t="shared" si="35"/>
        <v>1690357.4734906773</v>
      </c>
      <c r="M103" s="54">
        <f t="shared" ref="M103:M108" si="41">IF(L103&lt;&gt;0,+H103-L103,0)</f>
        <v>0</v>
      </c>
      <c r="N103" s="113">
        <f t="shared" si="37"/>
        <v>1690357.4734906773</v>
      </c>
      <c r="O103" s="54">
        <f t="shared" ref="O103:O108" si="42">IF(N103&lt;&gt;0,+I103-N103,0)</f>
        <v>0</v>
      </c>
      <c r="P103" s="54">
        <f t="shared" ref="P103:P108" si="43">+O103-M103</f>
        <v>0</v>
      </c>
      <c r="Q103" s="1"/>
    </row>
    <row r="104" spans="1:17" ht="12.5">
      <c r="B104" s="7" t="str">
        <f t="shared" si="40"/>
        <v/>
      </c>
      <c r="C104" s="50">
        <f>IF(D93="","-",+C103+1)</f>
        <v>2014</v>
      </c>
      <c r="D104" s="133">
        <v>10318329.072926832</v>
      </c>
      <c r="E104" s="376">
        <v>275721.73666666669</v>
      </c>
      <c r="F104" s="137">
        <v>10042607.336260166</v>
      </c>
      <c r="G104" s="137">
        <v>10180468.204593498</v>
      </c>
      <c r="H104" s="376">
        <v>1659486.1970572667</v>
      </c>
      <c r="I104" s="375">
        <v>1659486.1970572667</v>
      </c>
      <c r="J104" s="54">
        <v>0</v>
      </c>
      <c r="K104" s="54"/>
      <c r="L104" s="113">
        <f t="shared" si="35"/>
        <v>1659486.1970572667</v>
      </c>
      <c r="M104" s="54">
        <f t="shared" si="41"/>
        <v>0</v>
      </c>
      <c r="N104" s="113">
        <f t="shared" si="37"/>
        <v>1659486.1970572667</v>
      </c>
      <c r="O104" s="54">
        <f t="shared" si="42"/>
        <v>0</v>
      </c>
      <c r="P104" s="54">
        <f t="shared" si="43"/>
        <v>0</v>
      </c>
      <c r="Q104" s="1"/>
    </row>
    <row r="105" spans="1:17" ht="12.5">
      <c r="B105" s="7" t="str">
        <f t="shared" si="40"/>
        <v>IU</v>
      </c>
      <c r="C105" s="50">
        <f>IF(D93="","-",+C104+1)</f>
        <v>2015</v>
      </c>
      <c r="D105" s="133">
        <v>10042605.396260163</v>
      </c>
      <c r="E105" s="376">
        <v>275721.69047619047</v>
      </c>
      <c r="F105" s="137">
        <v>9766883.7057839725</v>
      </c>
      <c r="G105" s="137">
        <v>9904744.5510220677</v>
      </c>
      <c r="H105" s="376">
        <v>1580858.7656028033</v>
      </c>
      <c r="I105" s="375">
        <v>1580858.7656028033</v>
      </c>
      <c r="J105" s="54">
        <f t="shared" si="34"/>
        <v>0</v>
      </c>
      <c r="K105" s="54"/>
      <c r="L105" s="113">
        <f t="shared" ref="L105:L110" si="44">H105</f>
        <v>1580858.7656028033</v>
      </c>
      <c r="M105" s="54">
        <f t="shared" si="41"/>
        <v>0</v>
      </c>
      <c r="N105" s="113">
        <f t="shared" ref="N105:N110" si="45">I105</f>
        <v>1580858.7656028033</v>
      </c>
      <c r="O105" s="54">
        <f t="shared" si="42"/>
        <v>0</v>
      </c>
      <c r="P105" s="54">
        <f t="shared" si="43"/>
        <v>0</v>
      </c>
      <c r="Q105" s="1"/>
    </row>
    <row r="106" spans="1:17" ht="12.5">
      <c r="B106" s="7" t="str">
        <f t="shared" si="40"/>
        <v/>
      </c>
      <c r="C106" s="50">
        <f>IF(D93="","-",+C105+1)</f>
        <v>2016</v>
      </c>
      <c r="D106" s="133">
        <v>9766883.7057839725</v>
      </c>
      <c r="E106" s="376">
        <v>269309.5581395349</v>
      </c>
      <c r="F106" s="137">
        <v>9497574.1476444378</v>
      </c>
      <c r="G106" s="137">
        <v>9632228.9267142043</v>
      </c>
      <c r="H106" s="376">
        <v>1492120.9075767242</v>
      </c>
      <c r="I106" s="375">
        <v>1492120.9075767242</v>
      </c>
      <c r="J106" s="54">
        <f t="shared" si="34"/>
        <v>0</v>
      </c>
      <c r="K106" s="54"/>
      <c r="L106" s="113">
        <f t="shared" si="44"/>
        <v>1492120.9075767242</v>
      </c>
      <c r="M106" s="54">
        <f t="shared" si="41"/>
        <v>0</v>
      </c>
      <c r="N106" s="113">
        <f t="shared" si="45"/>
        <v>1492120.9075767242</v>
      </c>
      <c r="O106" s="54">
        <f t="shared" si="42"/>
        <v>0</v>
      </c>
      <c r="P106" s="54">
        <f t="shared" si="43"/>
        <v>0</v>
      </c>
      <c r="Q106" s="1"/>
    </row>
    <row r="107" spans="1:17" ht="12.5">
      <c r="B107" s="7" t="str">
        <f t="shared" si="40"/>
        <v/>
      </c>
      <c r="C107" s="50">
        <f>IF(D93="","-",+C106+1)</f>
        <v>2017</v>
      </c>
      <c r="D107" s="133">
        <v>9497574.1476444378</v>
      </c>
      <c r="E107" s="376">
        <v>275721.69047619047</v>
      </c>
      <c r="F107" s="137">
        <v>9221852.4571682476</v>
      </c>
      <c r="G107" s="137">
        <v>9359713.3024063427</v>
      </c>
      <c r="H107" s="376">
        <v>1412659.7088236467</v>
      </c>
      <c r="I107" s="375">
        <v>1412659.7088236467</v>
      </c>
      <c r="J107" s="54">
        <f t="shared" si="34"/>
        <v>0</v>
      </c>
      <c r="K107" s="54"/>
      <c r="L107" s="113">
        <f t="shared" si="44"/>
        <v>1412659.7088236467</v>
      </c>
      <c r="M107" s="54">
        <f t="shared" si="41"/>
        <v>0</v>
      </c>
      <c r="N107" s="113">
        <f t="shared" si="45"/>
        <v>1412659.7088236467</v>
      </c>
      <c r="O107" s="54">
        <f t="shared" si="42"/>
        <v>0</v>
      </c>
      <c r="P107" s="54">
        <f t="shared" si="43"/>
        <v>0</v>
      </c>
      <c r="Q107" s="1"/>
    </row>
    <row r="108" spans="1:17" ht="12.5">
      <c r="B108" s="7" t="str">
        <f t="shared" si="40"/>
        <v/>
      </c>
      <c r="C108" s="50">
        <f>IF(D93="","-",+C107+1)</f>
        <v>2018</v>
      </c>
      <c r="D108" s="133">
        <v>9221852.4571682476</v>
      </c>
      <c r="E108" s="376">
        <v>275721.69047619047</v>
      </c>
      <c r="F108" s="137">
        <v>8946130.7666920573</v>
      </c>
      <c r="G108" s="137">
        <v>9083991.6119301524</v>
      </c>
      <c r="H108" s="376">
        <v>1235032.8622445145</v>
      </c>
      <c r="I108" s="375">
        <v>1235032.8622445145</v>
      </c>
      <c r="J108" s="54">
        <f t="shared" si="34"/>
        <v>0</v>
      </c>
      <c r="K108" s="54"/>
      <c r="L108" s="113">
        <f t="shared" si="44"/>
        <v>1235032.8622445145</v>
      </c>
      <c r="M108" s="54">
        <f t="shared" si="41"/>
        <v>0</v>
      </c>
      <c r="N108" s="113">
        <f t="shared" si="45"/>
        <v>1235032.8622445145</v>
      </c>
      <c r="O108" s="54">
        <f t="shared" si="42"/>
        <v>0</v>
      </c>
      <c r="P108" s="54">
        <f t="shared" si="43"/>
        <v>0</v>
      </c>
      <c r="Q108" s="1"/>
    </row>
    <row r="109" spans="1:17" ht="12.5">
      <c r="B109" s="7" t="str">
        <f t="shared" si="40"/>
        <v/>
      </c>
      <c r="C109" s="50">
        <f>IF(D93="","-",+C108+1)</f>
        <v>2019</v>
      </c>
      <c r="D109" s="133">
        <v>8946130.7666920573</v>
      </c>
      <c r="E109" s="376">
        <v>269309.5581395349</v>
      </c>
      <c r="F109" s="137">
        <v>8676821.2085525226</v>
      </c>
      <c r="G109" s="137">
        <v>8811475.9876222908</v>
      </c>
      <c r="H109" s="376">
        <v>1212494.7636968775</v>
      </c>
      <c r="I109" s="375">
        <v>1212494.7636968775</v>
      </c>
      <c r="J109" s="54">
        <f t="shared" si="34"/>
        <v>0</v>
      </c>
      <c r="K109" s="54"/>
      <c r="L109" s="113">
        <f t="shared" si="44"/>
        <v>1212494.7636968775</v>
      </c>
      <c r="M109" s="54">
        <f t="shared" ref="M109" si="46">IF(L109&lt;&gt;0,+H109-L109,0)</f>
        <v>0</v>
      </c>
      <c r="N109" s="113">
        <f t="shared" si="45"/>
        <v>1212494.7636968775</v>
      </c>
      <c r="O109" s="54">
        <f t="shared" si="38"/>
        <v>0</v>
      </c>
      <c r="P109" s="54">
        <f t="shared" si="39"/>
        <v>0</v>
      </c>
      <c r="Q109" s="1"/>
    </row>
    <row r="110" spans="1:17" ht="12.5">
      <c r="B110" s="7" t="str">
        <f t="shared" si="40"/>
        <v/>
      </c>
      <c r="C110" s="50">
        <f>IF(D93="","-",+C109+1)</f>
        <v>2020</v>
      </c>
      <c r="D110" s="133">
        <v>8676821.2085525226</v>
      </c>
      <c r="E110" s="376">
        <v>275721.69047619047</v>
      </c>
      <c r="F110" s="137">
        <v>8401099.5180763323</v>
      </c>
      <c r="G110" s="137">
        <v>8538960.3633144274</v>
      </c>
      <c r="H110" s="376">
        <v>1194290.3823298137</v>
      </c>
      <c r="I110" s="375">
        <v>1194290.3823298137</v>
      </c>
      <c r="J110" s="54">
        <f t="shared" si="34"/>
        <v>0</v>
      </c>
      <c r="K110" s="54"/>
      <c r="L110" s="113">
        <f t="shared" si="44"/>
        <v>1194290.3823298137</v>
      </c>
      <c r="M110" s="54">
        <f t="shared" ref="M110" si="47">IF(L110&lt;&gt;0,+H110-L110,0)</f>
        <v>0</v>
      </c>
      <c r="N110" s="113">
        <f t="shared" si="45"/>
        <v>1194290.3823298137</v>
      </c>
      <c r="O110" s="54">
        <f t="shared" si="38"/>
        <v>0</v>
      </c>
      <c r="P110" s="54">
        <f t="shared" si="39"/>
        <v>0</v>
      </c>
      <c r="Q110" s="1"/>
    </row>
    <row r="111" spans="1:17" ht="12.5">
      <c r="B111" s="7" t="str">
        <f t="shared" si="40"/>
        <v/>
      </c>
      <c r="C111" s="50">
        <f>IF(D93="","-",+C110+1)</f>
        <v>2021</v>
      </c>
      <c r="D111" s="133">
        <v>8401099.5180763323</v>
      </c>
      <c r="E111" s="376">
        <v>282446.60975609755</v>
      </c>
      <c r="F111" s="137">
        <v>8118652.9083202351</v>
      </c>
      <c r="G111" s="137">
        <v>8259876.2131982837</v>
      </c>
      <c r="H111" s="376">
        <v>1220060.0680241259</v>
      </c>
      <c r="I111" s="375">
        <v>1220060.0680241259</v>
      </c>
      <c r="J111" s="54">
        <f t="shared" si="34"/>
        <v>0</v>
      </c>
      <c r="K111" s="54"/>
      <c r="L111" s="113">
        <f t="shared" ref="L111" si="48">H111</f>
        <v>1220060.0680241259</v>
      </c>
      <c r="M111" s="54">
        <f t="shared" ref="M111" si="49">IF(L111&lt;&gt;0,+H111-L111,0)</f>
        <v>0</v>
      </c>
      <c r="N111" s="113">
        <f t="shared" ref="N111" si="50">I111</f>
        <v>1220060.0680241259</v>
      </c>
      <c r="O111" s="54">
        <f t="shared" si="38"/>
        <v>0</v>
      </c>
      <c r="P111" s="54">
        <f t="shared" si="39"/>
        <v>0</v>
      </c>
      <c r="Q111" s="1"/>
    </row>
    <row r="112" spans="1:17" ht="12.5">
      <c r="B112" s="7" t="str">
        <f t="shared" si="40"/>
        <v/>
      </c>
      <c r="C112" s="50">
        <f>IF(D93="","-",+C111+1)</f>
        <v>2022</v>
      </c>
      <c r="D112" s="133">
        <v>8118652.9083202351</v>
      </c>
      <c r="E112" s="376">
        <v>275721.69047619047</v>
      </c>
      <c r="F112" s="137">
        <v>7842931.2178440448</v>
      </c>
      <c r="G112" s="137">
        <v>7980792.0630821399</v>
      </c>
      <c r="H112" s="376">
        <v>1213128.3119758123</v>
      </c>
      <c r="I112" s="375">
        <v>1213128.3119758123</v>
      </c>
      <c r="J112" s="54">
        <f t="shared" si="34"/>
        <v>0</v>
      </c>
      <c r="K112" s="54"/>
      <c r="L112" s="113">
        <f t="shared" ref="L112" si="51">H112</f>
        <v>1213128.3119758123</v>
      </c>
      <c r="M112" s="54">
        <f t="shared" ref="M112" si="52">IF(L112&lt;&gt;0,+H112-L112,0)</f>
        <v>0</v>
      </c>
      <c r="N112" s="113">
        <f t="shared" ref="N112" si="53">I112</f>
        <v>1213128.3119758123</v>
      </c>
      <c r="O112" s="54">
        <f t="shared" ref="O112" si="54">IF(N112&lt;&gt;0,+I112-N112,0)</f>
        <v>0</v>
      </c>
      <c r="P112" s="54">
        <f t="shared" ref="P112" si="55">+O112-M112</f>
        <v>0</v>
      </c>
      <c r="Q112" s="1"/>
    </row>
    <row r="113" spans="2:17" ht="12.5">
      <c r="B113" s="7" t="str">
        <f t="shared" si="40"/>
        <v/>
      </c>
      <c r="C113" s="50">
        <f>IF(D93="","-",+C112+1)</f>
        <v>2023</v>
      </c>
      <c r="D113" s="133">
        <v>7842931.2178440448</v>
      </c>
      <c r="E113" s="376">
        <v>263188.88636363635</v>
      </c>
      <c r="F113" s="137">
        <v>7579742.3314804081</v>
      </c>
      <c r="G113" s="137">
        <v>7711336.7746622264</v>
      </c>
      <c r="H113" s="376">
        <v>1214498.3810633023</v>
      </c>
      <c r="I113" s="375">
        <v>1214498.3810633023</v>
      </c>
      <c r="J113" s="54">
        <f t="shared" si="34"/>
        <v>0</v>
      </c>
      <c r="K113" s="54"/>
      <c r="L113" s="113">
        <f t="shared" ref="L113" si="56">H113</f>
        <v>1214498.3810633023</v>
      </c>
      <c r="M113" s="54">
        <f t="shared" ref="M113" si="57">IF(L113&lt;&gt;0,+H113-L113,0)</f>
        <v>0</v>
      </c>
      <c r="N113" s="113">
        <f t="shared" ref="N113" si="58">I113</f>
        <v>1214498.3810633023</v>
      </c>
      <c r="O113" s="54">
        <f t="shared" ref="O113" si="59">IF(N113&lt;&gt;0,+I113-N113,0)</f>
        <v>0</v>
      </c>
      <c r="P113" s="54">
        <f t="shared" ref="P113" si="60">+O113-M113</f>
        <v>0</v>
      </c>
      <c r="Q113" s="1"/>
    </row>
    <row r="114" spans="2:17" ht="12.5">
      <c r="B114" s="7" t="str">
        <f t="shared" si="40"/>
        <v/>
      </c>
      <c r="C114" s="50">
        <f>IF(D93="","-",+C113+1)</f>
        <v>2024</v>
      </c>
      <c r="D114" s="12">
        <f>IF(F113+SUM(E$99:E113)=D$92,F113,D$92-SUM(E$99:E113))</f>
        <v>7579742.3314804081</v>
      </c>
      <c r="E114" s="378">
        <f>IF(+J96&lt;F113,J96,D114)</f>
        <v>263188.88636363635</v>
      </c>
      <c r="F114" s="55">
        <f t="shared" ref="F114:F130" si="61">+D114-E114</f>
        <v>7316553.4451167714</v>
      </c>
      <c r="G114" s="55">
        <f t="shared" ref="G114:G130" si="62">+(F114+D114)/2</f>
        <v>7448147.8882985897</v>
      </c>
      <c r="H114" s="380">
        <f t="shared" ref="H114:H154" si="63">+J$94*G114+E114</f>
        <v>1190679.4819422679</v>
      </c>
      <c r="I114" s="399">
        <f t="shared" ref="I114:I154" si="64">+J$95*G114+E114</f>
        <v>1190679.4819422679</v>
      </c>
      <c r="J114" s="54">
        <f t="shared" si="34"/>
        <v>0</v>
      </c>
      <c r="K114" s="54"/>
      <c r="L114" s="129"/>
      <c r="M114" s="54">
        <f t="shared" si="36"/>
        <v>0</v>
      </c>
      <c r="N114" s="129"/>
      <c r="O114" s="54">
        <f t="shared" si="38"/>
        <v>0</v>
      </c>
      <c r="P114" s="54">
        <f t="shared" si="39"/>
        <v>0</v>
      </c>
      <c r="Q114" s="1"/>
    </row>
    <row r="115" spans="2:17" ht="12.5">
      <c r="B115" s="7" t="str">
        <f t="shared" si="40"/>
        <v/>
      </c>
      <c r="C115" s="50">
        <f>IF(D93="","-",+C114+1)</f>
        <v>2025</v>
      </c>
      <c r="D115" s="12">
        <f>IF(F114+SUM(E$99:E114)=D$92,F114,D$92-SUM(E$99:E114))</f>
        <v>7316553.4451167714</v>
      </c>
      <c r="E115" s="378">
        <f>IF(+J96&lt;F114,J96,D115)</f>
        <v>263188.88636363635</v>
      </c>
      <c r="F115" s="55">
        <f t="shared" si="61"/>
        <v>7053364.5587531347</v>
      </c>
      <c r="G115" s="55">
        <f t="shared" si="62"/>
        <v>7184959.001934953</v>
      </c>
      <c r="H115" s="380">
        <f t="shared" si="63"/>
        <v>1157905.5332205207</v>
      </c>
      <c r="I115" s="399">
        <f t="shared" si="64"/>
        <v>1157905.5332205207</v>
      </c>
      <c r="J115" s="54">
        <f t="shared" si="34"/>
        <v>0</v>
      </c>
      <c r="K115" s="54"/>
      <c r="L115" s="129"/>
      <c r="M115" s="54">
        <f t="shared" si="36"/>
        <v>0</v>
      </c>
      <c r="N115" s="129"/>
      <c r="O115" s="54">
        <f t="shared" si="38"/>
        <v>0</v>
      </c>
      <c r="P115" s="54">
        <f t="shared" si="39"/>
        <v>0</v>
      </c>
      <c r="Q115" s="1"/>
    </row>
    <row r="116" spans="2:17" ht="12.5">
      <c r="B116" s="7" t="str">
        <f t="shared" si="40"/>
        <v/>
      </c>
      <c r="C116" s="50">
        <f>IF(D93="","-",+C115+1)</f>
        <v>2026</v>
      </c>
      <c r="D116" s="12">
        <f>IF(F115+SUM(E$99:E115)=D$92,F115,D$92-SUM(E$99:E115))</f>
        <v>7053364.5587531347</v>
      </c>
      <c r="E116" s="378">
        <f>IF(+J96&lt;F115,J96,D116)</f>
        <v>263188.88636363635</v>
      </c>
      <c r="F116" s="55">
        <f t="shared" si="61"/>
        <v>6790175.672389498</v>
      </c>
      <c r="G116" s="55">
        <f t="shared" si="62"/>
        <v>6921770.1155713163</v>
      </c>
      <c r="H116" s="380">
        <f t="shared" si="63"/>
        <v>1125131.5844987738</v>
      </c>
      <c r="I116" s="399">
        <f t="shared" si="64"/>
        <v>1125131.5844987738</v>
      </c>
      <c r="J116" s="54">
        <f t="shared" si="34"/>
        <v>0</v>
      </c>
      <c r="K116" s="54"/>
      <c r="L116" s="129"/>
      <c r="M116" s="54">
        <f t="shared" si="36"/>
        <v>0</v>
      </c>
      <c r="N116" s="129"/>
      <c r="O116" s="54">
        <f t="shared" si="38"/>
        <v>0</v>
      </c>
      <c r="P116" s="54">
        <f t="shared" si="39"/>
        <v>0</v>
      </c>
      <c r="Q116" s="1"/>
    </row>
    <row r="117" spans="2:17" ht="12.5">
      <c r="B117" s="7" t="str">
        <f t="shared" si="40"/>
        <v/>
      </c>
      <c r="C117" s="50">
        <f>IF(D93="","-",+C116+1)</f>
        <v>2027</v>
      </c>
      <c r="D117" s="12">
        <f>IF(F116+SUM(E$99:E116)=D$92,F116,D$92-SUM(E$99:E116))</f>
        <v>6790175.672389498</v>
      </c>
      <c r="E117" s="378">
        <f>IF(+J96&lt;F116,J96,D117)</f>
        <v>263188.88636363635</v>
      </c>
      <c r="F117" s="55">
        <f t="shared" si="61"/>
        <v>6526986.7860258613</v>
      </c>
      <c r="G117" s="55">
        <f t="shared" si="62"/>
        <v>6658581.2292076796</v>
      </c>
      <c r="H117" s="380">
        <f t="shared" si="63"/>
        <v>1092357.6357770269</v>
      </c>
      <c r="I117" s="399">
        <f t="shared" si="64"/>
        <v>1092357.6357770269</v>
      </c>
      <c r="J117" s="54">
        <f t="shared" si="34"/>
        <v>0</v>
      </c>
      <c r="K117" s="54"/>
      <c r="L117" s="129"/>
      <c r="M117" s="54">
        <f t="shared" si="36"/>
        <v>0</v>
      </c>
      <c r="N117" s="129"/>
      <c r="O117" s="54">
        <f t="shared" si="38"/>
        <v>0</v>
      </c>
      <c r="P117" s="54">
        <f t="shared" si="39"/>
        <v>0</v>
      </c>
      <c r="Q117" s="1"/>
    </row>
    <row r="118" spans="2:17" ht="12.5">
      <c r="B118" s="7" t="str">
        <f t="shared" si="40"/>
        <v/>
      </c>
      <c r="C118" s="50">
        <f>IF(D93="","-",+C117+1)</f>
        <v>2028</v>
      </c>
      <c r="D118" s="12">
        <f>IF(F117+SUM(E$99:E117)=D$92,F117,D$92-SUM(E$99:E117))</f>
        <v>6526986.7860258613</v>
      </c>
      <c r="E118" s="378">
        <f>IF(+J96&lt;F117,J96,D118)</f>
        <v>263188.88636363635</v>
      </c>
      <c r="F118" s="55">
        <f t="shared" si="61"/>
        <v>6263797.8996622246</v>
      </c>
      <c r="G118" s="55">
        <f t="shared" si="62"/>
        <v>6395392.3428440429</v>
      </c>
      <c r="H118" s="380">
        <f t="shared" si="63"/>
        <v>1059583.68705528</v>
      </c>
      <c r="I118" s="399">
        <f t="shared" si="64"/>
        <v>1059583.68705528</v>
      </c>
      <c r="J118" s="54">
        <f t="shared" si="34"/>
        <v>0</v>
      </c>
      <c r="K118" s="54"/>
      <c r="L118" s="129"/>
      <c r="M118" s="54">
        <f t="shared" si="36"/>
        <v>0</v>
      </c>
      <c r="N118" s="129"/>
      <c r="O118" s="54">
        <f t="shared" si="38"/>
        <v>0</v>
      </c>
      <c r="P118" s="54">
        <f t="shared" si="39"/>
        <v>0</v>
      </c>
      <c r="Q118" s="1"/>
    </row>
    <row r="119" spans="2:17" ht="12.5">
      <c r="B119" s="7" t="str">
        <f t="shared" si="40"/>
        <v/>
      </c>
      <c r="C119" s="50">
        <f>IF(D93="","-",+C118+1)</f>
        <v>2029</v>
      </c>
      <c r="D119" s="12">
        <f>IF(F118+SUM(E$99:E118)=D$92,F118,D$92-SUM(E$99:E118))</f>
        <v>6263797.8996622246</v>
      </c>
      <c r="E119" s="378">
        <f>IF(+J96&lt;F118,J96,D119)</f>
        <v>263188.88636363635</v>
      </c>
      <c r="F119" s="55">
        <f t="shared" si="61"/>
        <v>6000609.0132985879</v>
      </c>
      <c r="G119" s="55">
        <f t="shared" si="62"/>
        <v>6132203.4564804062</v>
      </c>
      <c r="H119" s="380">
        <f t="shared" si="63"/>
        <v>1026809.7383335328</v>
      </c>
      <c r="I119" s="399">
        <f t="shared" si="64"/>
        <v>1026809.7383335328</v>
      </c>
      <c r="J119" s="54">
        <f t="shared" si="34"/>
        <v>0</v>
      </c>
      <c r="K119" s="54"/>
      <c r="L119" s="129"/>
      <c r="M119" s="54">
        <f t="shared" si="36"/>
        <v>0</v>
      </c>
      <c r="N119" s="129"/>
      <c r="O119" s="54">
        <f t="shared" si="38"/>
        <v>0</v>
      </c>
      <c r="P119" s="54">
        <f t="shared" si="39"/>
        <v>0</v>
      </c>
      <c r="Q119" s="1"/>
    </row>
    <row r="120" spans="2:17" ht="12.5">
      <c r="B120" s="7" t="str">
        <f t="shared" si="40"/>
        <v/>
      </c>
      <c r="C120" s="50">
        <f>IF(D93="","-",+C119+1)</f>
        <v>2030</v>
      </c>
      <c r="D120" s="12">
        <f>IF(F119+SUM(E$99:E119)=D$92,F119,D$92-SUM(E$99:E119))</f>
        <v>6000609.0132985879</v>
      </c>
      <c r="E120" s="378">
        <f>IF(+J96&lt;F119,J96,D120)</f>
        <v>263188.88636363635</v>
      </c>
      <c r="F120" s="55">
        <f t="shared" si="61"/>
        <v>5737420.1269349512</v>
      </c>
      <c r="G120" s="55">
        <f t="shared" si="62"/>
        <v>5869014.5701167695</v>
      </c>
      <c r="H120" s="380">
        <f t="shared" si="63"/>
        <v>994035.78961178579</v>
      </c>
      <c r="I120" s="399">
        <f t="shared" si="64"/>
        <v>994035.78961178579</v>
      </c>
      <c r="J120" s="54">
        <f t="shared" si="34"/>
        <v>0</v>
      </c>
      <c r="K120" s="54"/>
      <c r="L120" s="129"/>
      <c r="M120" s="54">
        <f t="shared" si="36"/>
        <v>0</v>
      </c>
      <c r="N120" s="129"/>
      <c r="O120" s="54">
        <f t="shared" si="38"/>
        <v>0</v>
      </c>
      <c r="P120" s="54">
        <f t="shared" si="39"/>
        <v>0</v>
      </c>
      <c r="Q120" s="1"/>
    </row>
    <row r="121" spans="2:17" ht="12.5">
      <c r="B121" s="7" t="str">
        <f t="shared" si="40"/>
        <v/>
      </c>
      <c r="C121" s="50">
        <f>IF(D93="","-",+C120+1)</f>
        <v>2031</v>
      </c>
      <c r="D121" s="12">
        <f>IF(F120+SUM(E$99:E120)=D$92,F120,D$92-SUM(E$99:E120))</f>
        <v>5737420.1269349512</v>
      </c>
      <c r="E121" s="378">
        <f>IF(+J96&lt;F120,J96,D121)</f>
        <v>263188.88636363635</v>
      </c>
      <c r="F121" s="55">
        <f t="shared" si="61"/>
        <v>5474231.2405713145</v>
      </c>
      <c r="G121" s="55">
        <f t="shared" si="62"/>
        <v>5605825.6837531328</v>
      </c>
      <c r="H121" s="380">
        <f t="shared" si="63"/>
        <v>961261.84089003887</v>
      </c>
      <c r="I121" s="399">
        <f t="shared" si="64"/>
        <v>961261.84089003887</v>
      </c>
      <c r="J121" s="54">
        <f t="shared" si="34"/>
        <v>0</v>
      </c>
      <c r="K121" s="54"/>
      <c r="L121" s="129"/>
      <c r="M121" s="54">
        <f t="shared" si="36"/>
        <v>0</v>
      </c>
      <c r="N121" s="129"/>
      <c r="O121" s="54">
        <f t="shared" si="38"/>
        <v>0</v>
      </c>
      <c r="P121" s="54">
        <f t="shared" si="39"/>
        <v>0</v>
      </c>
      <c r="Q121" s="1"/>
    </row>
    <row r="122" spans="2:17" ht="12.5">
      <c r="B122" s="7" t="str">
        <f t="shared" si="40"/>
        <v/>
      </c>
      <c r="C122" s="50">
        <f>IF(D93="","-",+C121+1)</f>
        <v>2032</v>
      </c>
      <c r="D122" s="12">
        <f>IF(F121+SUM(E$99:E121)=D$92,F121,D$92-SUM(E$99:E121))</f>
        <v>5474231.2405713145</v>
      </c>
      <c r="E122" s="378">
        <f>IF(+J96&lt;F121,J96,D122)</f>
        <v>263188.88636363635</v>
      </c>
      <c r="F122" s="55">
        <f t="shared" si="61"/>
        <v>5211042.3542076778</v>
      </c>
      <c r="G122" s="55">
        <f t="shared" si="62"/>
        <v>5342636.7973894961</v>
      </c>
      <c r="H122" s="380">
        <f t="shared" si="63"/>
        <v>928487.89216829184</v>
      </c>
      <c r="I122" s="399">
        <f t="shared" si="64"/>
        <v>928487.89216829184</v>
      </c>
      <c r="J122" s="54">
        <f t="shared" si="34"/>
        <v>0</v>
      </c>
      <c r="K122" s="54"/>
      <c r="L122" s="129"/>
      <c r="M122" s="54">
        <f t="shared" si="36"/>
        <v>0</v>
      </c>
      <c r="N122" s="129"/>
      <c r="O122" s="54">
        <f t="shared" si="38"/>
        <v>0</v>
      </c>
      <c r="P122" s="54">
        <f t="shared" si="39"/>
        <v>0</v>
      </c>
      <c r="Q122" s="1"/>
    </row>
    <row r="123" spans="2:17" ht="12.5">
      <c r="B123" s="7" t="str">
        <f t="shared" si="40"/>
        <v/>
      </c>
      <c r="C123" s="50">
        <f>IF(D93="","-",+C122+1)</f>
        <v>2033</v>
      </c>
      <c r="D123" s="12">
        <f>IF(F122+SUM(E$99:E122)=D$92,F122,D$92-SUM(E$99:E122))</f>
        <v>5211042.3542076778</v>
      </c>
      <c r="E123" s="378">
        <f>IF(+J96&lt;F122,J96,D123)</f>
        <v>263188.88636363635</v>
      </c>
      <c r="F123" s="55">
        <f t="shared" si="61"/>
        <v>4947853.4678440411</v>
      </c>
      <c r="G123" s="55">
        <f t="shared" si="62"/>
        <v>5079447.9110258594</v>
      </c>
      <c r="H123" s="380">
        <f t="shared" si="63"/>
        <v>895713.94344654481</v>
      </c>
      <c r="I123" s="399">
        <f t="shared" si="64"/>
        <v>895713.94344654481</v>
      </c>
      <c r="J123" s="54">
        <f t="shared" si="34"/>
        <v>0</v>
      </c>
      <c r="K123" s="54"/>
      <c r="L123" s="129"/>
      <c r="M123" s="54">
        <f t="shared" si="36"/>
        <v>0</v>
      </c>
      <c r="N123" s="129"/>
      <c r="O123" s="54">
        <f t="shared" si="38"/>
        <v>0</v>
      </c>
      <c r="P123" s="54">
        <f t="shared" si="39"/>
        <v>0</v>
      </c>
      <c r="Q123" s="1"/>
    </row>
    <row r="124" spans="2:17" ht="12.5">
      <c r="B124" s="7" t="str">
        <f t="shared" si="40"/>
        <v/>
      </c>
      <c r="C124" s="50">
        <f>IF(D93="","-",+C123+1)</f>
        <v>2034</v>
      </c>
      <c r="D124" s="12">
        <f>IF(F123+SUM(E$99:E123)=D$92,F123,D$92-SUM(E$99:E123))</f>
        <v>4947853.4678440411</v>
      </c>
      <c r="E124" s="378">
        <f>IF(+J96&lt;F123,J96,D124)</f>
        <v>263188.88636363635</v>
      </c>
      <c r="F124" s="55">
        <f t="shared" si="61"/>
        <v>4684664.5814804044</v>
      </c>
      <c r="G124" s="55">
        <f t="shared" si="62"/>
        <v>4816259.0246622227</v>
      </c>
      <c r="H124" s="380">
        <f t="shared" si="63"/>
        <v>862939.99472479778</v>
      </c>
      <c r="I124" s="399">
        <f t="shared" si="64"/>
        <v>862939.99472479778</v>
      </c>
      <c r="J124" s="54">
        <f t="shared" si="34"/>
        <v>0</v>
      </c>
      <c r="K124" s="54"/>
      <c r="L124" s="129"/>
      <c r="M124" s="54">
        <f t="shared" si="36"/>
        <v>0</v>
      </c>
      <c r="N124" s="129"/>
      <c r="O124" s="54">
        <f t="shared" si="38"/>
        <v>0</v>
      </c>
      <c r="P124" s="54">
        <f t="shared" si="39"/>
        <v>0</v>
      </c>
      <c r="Q124" s="1"/>
    </row>
    <row r="125" spans="2:17" ht="12.5">
      <c r="B125" s="7" t="str">
        <f t="shared" si="40"/>
        <v/>
      </c>
      <c r="C125" s="50">
        <f>IF(D93="","-",+C124+1)</f>
        <v>2035</v>
      </c>
      <c r="D125" s="12">
        <f>IF(F124+SUM(E$99:E124)=D$92,F124,D$92-SUM(E$99:E124))</f>
        <v>4684664.5814804044</v>
      </c>
      <c r="E125" s="378">
        <f>IF(+J96&lt;F124,J96,D125)</f>
        <v>263188.88636363635</v>
      </c>
      <c r="F125" s="55">
        <f t="shared" si="61"/>
        <v>4421475.6951167677</v>
      </c>
      <c r="G125" s="55">
        <f t="shared" si="62"/>
        <v>4553070.138298586</v>
      </c>
      <c r="H125" s="380">
        <f t="shared" si="63"/>
        <v>830166.04600305087</v>
      </c>
      <c r="I125" s="399">
        <f t="shared" si="64"/>
        <v>830166.04600305087</v>
      </c>
      <c r="J125" s="54">
        <f t="shared" si="34"/>
        <v>0</v>
      </c>
      <c r="K125" s="54"/>
      <c r="L125" s="129"/>
      <c r="M125" s="54">
        <f t="shared" si="36"/>
        <v>0</v>
      </c>
      <c r="N125" s="129"/>
      <c r="O125" s="54">
        <f t="shared" si="38"/>
        <v>0</v>
      </c>
      <c r="P125" s="54">
        <f t="shared" si="39"/>
        <v>0</v>
      </c>
      <c r="Q125" s="1"/>
    </row>
    <row r="126" spans="2:17" ht="12.5">
      <c r="B126" s="7" t="str">
        <f t="shared" si="40"/>
        <v/>
      </c>
      <c r="C126" s="50">
        <f>IF(D93="","-",+C125+1)</f>
        <v>2036</v>
      </c>
      <c r="D126" s="12">
        <f>IF(F125+SUM(E$99:E125)=D$92,F125,D$92-SUM(E$99:E125))</f>
        <v>4421475.6951167677</v>
      </c>
      <c r="E126" s="378">
        <f>IF(+J96&lt;F125,J96,D126)</f>
        <v>263188.88636363635</v>
      </c>
      <c r="F126" s="55">
        <f t="shared" si="61"/>
        <v>4158286.8087531314</v>
      </c>
      <c r="G126" s="55">
        <f t="shared" si="62"/>
        <v>4289881.2519349493</v>
      </c>
      <c r="H126" s="380">
        <f t="shared" si="63"/>
        <v>797392.09728130384</v>
      </c>
      <c r="I126" s="399">
        <f t="shared" si="64"/>
        <v>797392.09728130384</v>
      </c>
      <c r="J126" s="54">
        <f t="shared" si="34"/>
        <v>0</v>
      </c>
      <c r="K126" s="54"/>
      <c r="L126" s="129"/>
      <c r="M126" s="54">
        <f t="shared" si="36"/>
        <v>0</v>
      </c>
      <c r="N126" s="129"/>
      <c r="O126" s="54">
        <f t="shared" si="38"/>
        <v>0</v>
      </c>
      <c r="P126" s="54">
        <f t="shared" si="39"/>
        <v>0</v>
      </c>
      <c r="Q126" s="1"/>
    </row>
    <row r="127" spans="2:17" ht="12.5">
      <c r="B127" s="7" t="str">
        <f t="shared" si="40"/>
        <v/>
      </c>
      <c r="C127" s="50">
        <f>IF(D93="","-",+C126+1)</f>
        <v>2037</v>
      </c>
      <c r="D127" s="12">
        <f>IF(F126+SUM(E$99:E126)=D$92,F126,D$92-SUM(E$99:E126))</f>
        <v>4158286.8087531314</v>
      </c>
      <c r="E127" s="378">
        <f>IF(+J96&lt;F126,J96,D127)</f>
        <v>263188.88636363635</v>
      </c>
      <c r="F127" s="55">
        <f t="shared" si="61"/>
        <v>3895097.9223894952</v>
      </c>
      <c r="G127" s="55">
        <f t="shared" si="62"/>
        <v>4026692.3655713135</v>
      </c>
      <c r="H127" s="380">
        <f t="shared" si="63"/>
        <v>764618.14855955704</v>
      </c>
      <c r="I127" s="399">
        <f t="shared" si="64"/>
        <v>764618.14855955704</v>
      </c>
      <c r="J127" s="54">
        <f t="shared" si="34"/>
        <v>0</v>
      </c>
      <c r="K127" s="54"/>
      <c r="L127" s="129"/>
      <c r="M127" s="54">
        <f t="shared" si="36"/>
        <v>0</v>
      </c>
      <c r="N127" s="129"/>
      <c r="O127" s="54">
        <f t="shared" si="38"/>
        <v>0</v>
      </c>
      <c r="P127" s="54">
        <f t="shared" si="39"/>
        <v>0</v>
      </c>
      <c r="Q127" s="1"/>
    </row>
    <row r="128" spans="2:17" ht="12.5">
      <c r="B128" s="7" t="str">
        <f t="shared" si="40"/>
        <v/>
      </c>
      <c r="C128" s="50">
        <f>IF(D93="","-",+C127+1)</f>
        <v>2038</v>
      </c>
      <c r="D128" s="12">
        <f>IF(F127+SUM(E$99:E127)=D$92,F127,D$92-SUM(E$99:E127))</f>
        <v>3895097.9223894952</v>
      </c>
      <c r="E128" s="378">
        <f>IF(+J96&lt;F127,J96,D128)</f>
        <v>263188.88636363635</v>
      </c>
      <c r="F128" s="55">
        <f t="shared" si="61"/>
        <v>3631909.0360258589</v>
      </c>
      <c r="G128" s="55">
        <f t="shared" si="62"/>
        <v>3763503.4792076768</v>
      </c>
      <c r="H128" s="380">
        <f t="shared" si="63"/>
        <v>731844.19983780989</v>
      </c>
      <c r="I128" s="399">
        <f t="shared" si="64"/>
        <v>731844.19983780989</v>
      </c>
      <c r="J128" s="54">
        <f t="shared" si="34"/>
        <v>0</v>
      </c>
      <c r="K128" s="54"/>
      <c r="L128" s="129"/>
      <c r="M128" s="54">
        <f t="shared" si="36"/>
        <v>0</v>
      </c>
      <c r="N128" s="129"/>
      <c r="O128" s="54">
        <f t="shared" si="38"/>
        <v>0</v>
      </c>
      <c r="P128" s="54">
        <f t="shared" si="39"/>
        <v>0</v>
      </c>
      <c r="Q128" s="1"/>
    </row>
    <row r="129" spans="2:17" ht="12.5">
      <c r="B129" s="7" t="str">
        <f t="shared" si="40"/>
        <v/>
      </c>
      <c r="C129" s="50">
        <f>IF(D93="","-",+C128+1)</f>
        <v>2039</v>
      </c>
      <c r="D129" s="12">
        <f>IF(F128+SUM(E$99:E128)=D$92,F128,D$92-SUM(E$99:E128))</f>
        <v>3631909.0360258589</v>
      </c>
      <c r="E129" s="378">
        <f>IF(+J96&lt;F128,J96,D129)</f>
        <v>263188.88636363635</v>
      </c>
      <c r="F129" s="55">
        <f t="shared" si="61"/>
        <v>3368720.1496622227</v>
      </c>
      <c r="G129" s="55">
        <f t="shared" si="62"/>
        <v>3500314.5928440411</v>
      </c>
      <c r="H129" s="380">
        <f t="shared" si="63"/>
        <v>699070.2511160631</v>
      </c>
      <c r="I129" s="399">
        <f t="shared" si="64"/>
        <v>699070.2511160631</v>
      </c>
      <c r="J129" s="54">
        <f t="shared" si="34"/>
        <v>0</v>
      </c>
      <c r="K129" s="54"/>
      <c r="L129" s="129"/>
      <c r="M129" s="54">
        <f t="shared" si="36"/>
        <v>0</v>
      </c>
      <c r="N129" s="129"/>
      <c r="O129" s="54">
        <f t="shared" si="38"/>
        <v>0</v>
      </c>
      <c r="P129" s="54">
        <f t="shared" si="39"/>
        <v>0</v>
      </c>
      <c r="Q129" s="1"/>
    </row>
    <row r="130" spans="2:17" ht="12.5">
      <c r="B130" s="7" t="str">
        <f t="shared" si="40"/>
        <v/>
      </c>
      <c r="C130" s="50">
        <f>IF(D93="","-",+C129+1)</f>
        <v>2040</v>
      </c>
      <c r="D130" s="12">
        <f>IF(F129+SUM(E$99:E129)=D$92,F129,D$92-SUM(E$99:E129))</f>
        <v>3368720.1496622227</v>
      </c>
      <c r="E130" s="378">
        <f>IF(+J96&lt;F129,J96,D130)</f>
        <v>263188.88636363635</v>
      </c>
      <c r="F130" s="55">
        <f t="shared" si="61"/>
        <v>3105531.2632985865</v>
      </c>
      <c r="G130" s="55">
        <f t="shared" si="62"/>
        <v>3237125.7064804044</v>
      </c>
      <c r="H130" s="380">
        <f t="shared" si="63"/>
        <v>666296.30239431607</v>
      </c>
      <c r="I130" s="399">
        <f t="shared" si="64"/>
        <v>666296.30239431607</v>
      </c>
      <c r="J130" s="54">
        <f t="shared" si="34"/>
        <v>0</v>
      </c>
      <c r="K130" s="54"/>
      <c r="L130" s="129"/>
      <c r="M130" s="54">
        <f t="shared" si="36"/>
        <v>0</v>
      </c>
      <c r="N130" s="129"/>
      <c r="O130" s="54">
        <f t="shared" si="38"/>
        <v>0</v>
      </c>
      <c r="P130" s="54">
        <f t="shared" si="39"/>
        <v>0</v>
      </c>
      <c r="Q130" s="1"/>
    </row>
    <row r="131" spans="2:17" ht="12.5">
      <c r="B131" s="7" t="str">
        <f t="shared" si="40"/>
        <v/>
      </c>
      <c r="C131" s="50">
        <f>IF(D93="","-",+C130+1)</f>
        <v>2041</v>
      </c>
      <c r="D131" s="12">
        <f>IF(F130+SUM(E$99:E130)=D$92,F130,D$92-SUM(E$99:E130))</f>
        <v>3105531.2632985865</v>
      </c>
      <c r="E131" s="378">
        <f>IF(+J96&lt;F130,J96,D131)</f>
        <v>263188.88636363635</v>
      </c>
      <c r="F131" s="55">
        <f t="shared" ref="F131:F154" si="65">+D131-E131</f>
        <v>2842342.3769349502</v>
      </c>
      <c r="G131" s="55">
        <f t="shared" ref="G131:G154" si="66">+(F131+D131)/2</f>
        <v>2973936.8201167686</v>
      </c>
      <c r="H131" s="380">
        <f t="shared" si="63"/>
        <v>633522.35367256915</v>
      </c>
      <c r="I131" s="399">
        <f t="shared" si="64"/>
        <v>633522.35367256915</v>
      </c>
      <c r="J131" s="54">
        <f t="shared" ref="J131:J154" si="67">+I131-H131</f>
        <v>0</v>
      </c>
      <c r="K131" s="54"/>
      <c r="L131" s="129"/>
      <c r="M131" s="54">
        <f t="shared" ref="M131:M154" si="68">IF(L131&lt;&gt;0,+H131-L131,0)</f>
        <v>0</v>
      </c>
      <c r="N131" s="129"/>
      <c r="O131" s="54">
        <f t="shared" ref="O131:O154" si="69">IF(N131&lt;&gt;0,+I131-N131,0)</f>
        <v>0</v>
      </c>
      <c r="P131" s="54">
        <f t="shared" ref="P131:P154" si="70">+O131-M131</f>
        <v>0</v>
      </c>
      <c r="Q131" s="1"/>
    </row>
    <row r="132" spans="2:17" ht="12.5">
      <c r="B132" s="7" t="str">
        <f t="shared" si="40"/>
        <v/>
      </c>
      <c r="C132" s="50">
        <f>IF(D93="","-",+C131+1)</f>
        <v>2042</v>
      </c>
      <c r="D132" s="12">
        <f>IF(F131+SUM(E$99:E131)=D$92,F131,D$92-SUM(E$99:E131))</f>
        <v>2842342.3769349502</v>
      </c>
      <c r="E132" s="378">
        <f>IF(+J96&lt;F131,J96,D132)</f>
        <v>263188.88636363635</v>
      </c>
      <c r="F132" s="55">
        <f t="shared" si="65"/>
        <v>2579153.490571314</v>
      </c>
      <c r="G132" s="55">
        <f t="shared" si="66"/>
        <v>2710747.9337531319</v>
      </c>
      <c r="H132" s="380">
        <f t="shared" si="63"/>
        <v>600748.40495082224</v>
      </c>
      <c r="I132" s="399">
        <f t="shared" si="64"/>
        <v>600748.40495082224</v>
      </c>
      <c r="J132" s="54">
        <f t="shared" si="67"/>
        <v>0</v>
      </c>
      <c r="K132" s="54"/>
      <c r="L132" s="129"/>
      <c r="M132" s="54">
        <f t="shared" si="68"/>
        <v>0</v>
      </c>
      <c r="N132" s="129"/>
      <c r="O132" s="54">
        <f t="shared" si="69"/>
        <v>0</v>
      </c>
      <c r="P132" s="54">
        <f t="shared" si="70"/>
        <v>0</v>
      </c>
      <c r="Q132" s="1"/>
    </row>
    <row r="133" spans="2:17" ht="12.5">
      <c r="B133" s="7" t="str">
        <f t="shared" si="40"/>
        <v/>
      </c>
      <c r="C133" s="50">
        <f>IF(D93="","-",+C132+1)</f>
        <v>2043</v>
      </c>
      <c r="D133" s="12">
        <f>IF(F132+SUM(E$99:E132)=D$92,F132,D$92-SUM(E$99:E132))</f>
        <v>2579153.490571314</v>
      </c>
      <c r="E133" s="378">
        <f>IF(+J96&lt;F132,J96,D133)</f>
        <v>263188.88636363635</v>
      </c>
      <c r="F133" s="55">
        <f t="shared" si="65"/>
        <v>2315964.6042076778</v>
      </c>
      <c r="G133" s="55">
        <f t="shared" si="66"/>
        <v>2447559.0473894961</v>
      </c>
      <c r="H133" s="380">
        <f t="shared" si="63"/>
        <v>567974.45622907532</v>
      </c>
      <c r="I133" s="399">
        <f t="shared" si="64"/>
        <v>567974.45622907532</v>
      </c>
      <c r="J133" s="54">
        <f t="shared" si="67"/>
        <v>0</v>
      </c>
      <c r="K133" s="54"/>
      <c r="L133" s="129"/>
      <c r="M133" s="54">
        <f t="shared" si="68"/>
        <v>0</v>
      </c>
      <c r="N133" s="129"/>
      <c r="O133" s="54">
        <f t="shared" si="69"/>
        <v>0</v>
      </c>
      <c r="P133" s="54">
        <f t="shared" si="70"/>
        <v>0</v>
      </c>
      <c r="Q133" s="1"/>
    </row>
    <row r="134" spans="2:17" ht="12.5">
      <c r="B134" s="7" t="str">
        <f t="shared" si="40"/>
        <v/>
      </c>
      <c r="C134" s="50">
        <f>IF(D93="","-",+C133+1)</f>
        <v>2044</v>
      </c>
      <c r="D134" s="12">
        <f>IF(F133+SUM(E$99:E133)=D$92,F133,D$92-SUM(E$99:E133))</f>
        <v>2315964.6042076778</v>
      </c>
      <c r="E134" s="378">
        <f>IF(+J96&lt;F133,J96,D134)</f>
        <v>263188.88636363635</v>
      </c>
      <c r="F134" s="55">
        <f t="shared" si="65"/>
        <v>2052775.7178440415</v>
      </c>
      <c r="G134" s="55">
        <f t="shared" si="66"/>
        <v>2184370.1610258594</v>
      </c>
      <c r="H134" s="380">
        <f t="shared" si="63"/>
        <v>535200.50750732841</v>
      </c>
      <c r="I134" s="399">
        <f t="shared" si="64"/>
        <v>535200.50750732841</v>
      </c>
      <c r="J134" s="54">
        <f t="shared" si="67"/>
        <v>0</v>
      </c>
      <c r="K134" s="54"/>
      <c r="L134" s="129"/>
      <c r="M134" s="54">
        <f t="shared" si="68"/>
        <v>0</v>
      </c>
      <c r="N134" s="129"/>
      <c r="O134" s="54">
        <f t="shared" si="69"/>
        <v>0</v>
      </c>
      <c r="P134" s="54">
        <f t="shared" si="70"/>
        <v>0</v>
      </c>
      <c r="Q134" s="1"/>
    </row>
    <row r="135" spans="2:17" ht="12.5">
      <c r="B135" s="7" t="str">
        <f t="shared" si="40"/>
        <v/>
      </c>
      <c r="C135" s="50">
        <f>IF(D93="","-",+C134+1)</f>
        <v>2045</v>
      </c>
      <c r="D135" s="12">
        <f>IF(F134+SUM(E$99:E134)=D$92,F134,D$92-SUM(E$99:E134))</f>
        <v>2052775.7178440415</v>
      </c>
      <c r="E135" s="378">
        <f>IF(+J96&lt;F134,J96,D135)</f>
        <v>263188.88636363635</v>
      </c>
      <c r="F135" s="55">
        <f t="shared" si="65"/>
        <v>1789586.8314804053</v>
      </c>
      <c r="G135" s="55">
        <f t="shared" si="66"/>
        <v>1921181.2746622234</v>
      </c>
      <c r="H135" s="380">
        <f t="shared" si="63"/>
        <v>502426.55878558144</v>
      </c>
      <c r="I135" s="399">
        <f t="shared" si="64"/>
        <v>502426.55878558144</v>
      </c>
      <c r="J135" s="54">
        <f t="shared" si="67"/>
        <v>0</v>
      </c>
      <c r="K135" s="54"/>
      <c r="L135" s="129"/>
      <c r="M135" s="54">
        <f t="shared" si="68"/>
        <v>0</v>
      </c>
      <c r="N135" s="129"/>
      <c r="O135" s="54">
        <f t="shared" si="69"/>
        <v>0</v>
      </c>
      <c r="P135" s="54">
        <f t="shared" si="70"/>
        <v>0</v>
      </c>
      <c r="Q135" s="1"/>
    </row>
    <row r="136" spans="2:17" ht="12.5">
      <c r="B136" s="7" t="str">
        <f t="shared" si="40"/>
        <v/>
      </c>
      <c r="C136" s="50">
        <f>IF(D93="","-",+C135+1)</f>
        <v>2046</v>
      </c>
      <c r="D136" s="12">
        <f>IF(F135+SUM(E$99:E135)=D$92,F135,D$92-SUM(E$99:E135))</f>
        <v>1789586.8314804053</v>
      </c>
      <c r="E136" s="378">
        <f>IF(+J96&lt;F135,J96,D136)</f>
        <v>263188.88636363635</v>
      </c>
      <c r="F136" s="55">
        <f t="shared" si="65"/>
        <v>1526397.9451167691</v>
      </c>
      <c r="G136" s="55">
        <f t="shared" si="66"/>
        <v>1657992.3882985872</v>
      </c>
      <c r="H136" s="380">
        <f t="shared" si="63"/>
        <v>469652.61006383447</v>
      </c>
      <c r="I136" s="399">
        <f t="shared" si="64"/>
        <v>469652.61006383447</v>
      </c>
      <c r="J136" s="54">
        <f t="shared" si="67"/>
        <v>0</v>
      </c>
      <c r="K136" s="54"/>
      <c r="L136" s="129"/>
      <c r="M136" s="54">
        <f t="shared" si="68"/>
        <v>0</v>
      </c>
      <c r="N136" s="129"/>
      <c r="O136" s="54">
        <f t="shared" si="69"/>
        <v>0</v>
      </c>
      <c r="P136" s="54">
        <f t="shared" si="70"/>
        <v>0</v>
      </c>
      <c r="Q136" s="1"/>
    </row>
    <row r="137" spans="2:17" ht="12.5">
      <c r="B137" s="7" t="str">
        <f t="shared" si="40"/>
        <v/>
      </c>
      <c r="C137" s="50">
        <f>IF(D93="","-",+C136+1)</f>
        <v>2047</v>
      </c>
      <c r="D137" s="12">
        <f>IF(F136+SUM(E$99:E136)=D$92,F136,D$92-SUM(E$99:E136))</f>
        <v>1526397.9451167691</v>
      </c>
      <c r="E137" s="378">
        <f>IF(+J96&lt;F136,J96,D137)</f>
        <v>263188.88636363635</v>
      </c>
      <c r="F137" s="55">
        <f t="shared" si="65"/>
        <v>1263209.0587531328</v>
      </c>
      <c r="G137" s="55">
        <f t="shared" si="66"/>
        <v>1394803.5019349509</v>
      </c>
      <c r="H137" s="380">
        <f t="shared" si="63"/>
        <v>436878.66134208755</v>
      </c>
      <c r="I137" s="399">
        <f t="shared" si="64"/>
        <v>436878.66134208755</v>
      </c>
      <c r="J137" s="54">
        <f t="shared" si="67"/>
        <v>0</v>
      </c>
      <c r="K137" s="54"/>
      <c r="L137" s="129"/>
      <c r="M137" s="54">
        <f t="shared" si="68"/>
        <v>0</v>
      </c>
      <c r="N137" s="129"/>
      <c r="O137" s="54">
        <f t="shared" si="69"/>
        <v>0</v>
      </c>
      <c r="P137" s="54">
        <f t="shared" si="70"/>
        <v>0</v>
      </c>
      <c r="Q137" s="1"/>
    </row>
    <row r="138" spans="2:17" ht="12.5">
      <c r="B138" s="7" t="str">
        <f t="shared" si="40"/>
        <v/>
      </c>
      <c r="C138" s="50">
        <f>IF(D93="","-",+C137+1)</f>
        <v>2048</v>
      </c>
      <c r="D138" s="12">
        <f>IF(F137+SUM(E$99:E137)=D$92,F137,D$92-SUM(E$99:E137))</f>
        <v>1263209.0587531328</v>
      </c>
      <c r="E138" s="378">
        <f>IF(+J96&lt;F137,J96,D138)</f>
        <v>263188.88636363635</v>
      </c>
      <c r="F138" s="55">
        <f t="shared" si="65"/>
        <v>1000020.1723894965</v>
      </c>
      <c r="G138" s="55">
        <f t="shared" si="66"/>
        <v>1131614.6155713147</v>
      </c>
      <c r="H138" s="380">
        <f t="shared" si="63"/>
        <v>404104.71262034064</v>
      </c>
      <c r="I138" s="399">
        <f t="shared" si="64"/>
        <v>404104.71262034064</v>
      </c>
      <c r="J138" s="54">
        <f t="shared" si="67"/>
        <v>0</v>
      </c>
      <c r="K138" s="54"/>
      <c r="L138" s="129"/>
      <c r="M138" s="54">
        <f t="shared" si="68"/>
        <v>0</v>
      </c>
      <c r="N138" s="129"/>
      <c r="O138" s="54">
        <f t="shared" si="69"/>
        <v>0</v>
      </c>
      <c r="P138" s="54">
        <f t="shared" si="70"/>
        <v>0</v>
      </c>
      <c r="Q138" s="1"/>
    </row>
    <row r="139" spans="2:17" ht="12.5">
      <c r="B139" s="7" t="str">
        <f t="shared" si="40"/>
        <v/>
      </c>
      <c r="C139" s="50">
        <f>IF(D93="","-",+C138+1)</f>
        <v>2049</v>
      </c>
      <c r="D139" s="12">
        <f>IF(F138+SUM(E$99:E138)=D$92,F138,D$92-SUM(E$99:E138))</f>
        <v>1000020.1723894965</v>
      </c>
      <c r="E139" s="378">
        <f>IF(+J96&lt;F138,J96,D139)</f>
        <v>263188.88636363635</v>
      </c>
      <c r="F139" s="55">
        <f t="shared" si="65"/>
        <v>736831.28602586011</v>
      </c>
      <c r="G139" s="55">
        <f t="shared" si="66"/>
        <v>868425.72920767823</v>
      </c>
      <c r="H139" s="380">
        <f t="shared" si="63"/>
        <v>371330.76389859361</v>
      </c>
      <c r="I139" s="399">
        <f t="shared" si="64"/>
        <v>371330.76389859361</v>
      </c>
      <c r="J139" s="54">
        <f t="shared" si="67"/>
        <v>0</v>
      </c>
      <c r="K139" s="54"/>
      <c r="L139" s="129"/>
      <c r="M139" s="54">
        <f t="shared" si="68"/>
        <v>0</v>
      </c>
      <c r="N139" s="129"/>
      <c r="O139" s="54">
        <f t="shared" si="69"/>
        <v>0</v>
      </c>
      <c r="P139" s="54">
        <f t="shared" si="70"/>
        <v>0</v>
      </c>
      <c r="Q139" s="1"/>
    </row>
    <row r="140" spans="2:17" ht="12.5">
      <c r="B140" s="7" t="str">
        <f t="shared" si="40"/>
        <v/>
      </c>
      <c r="C140" s="50">
        <f>IF(D93="","-",+C139+1)</f>
        <v>2050</v>
      </c>
      <c r="D140" s="12">
        <f>IF(F139+SUM(E$99:E139)=D$92,F139,D$92-SUM(E$99:E139))</f>
        <v>736831.28602586011</v>
      </c>
      <c r="E140" s="378">
        <f>IF(+J96&lt;F139,J96,D140)</f>
        <v>263188.88636363635</v>
      </c>
      <c r="F140" s="55">
        <f t="shared" si="65"/>
        <v>473642.39966222376</v>
      </c>
      <c r="G140" s="55">
        <f t="shared" si="66"/>
        <v>605236.842844042</v>
      </c>
      <c r="H140" s="380">
        <f t="shared" si="63"/>
        <v>338556.81517684669</v>
      </c>
      <c r="I140" s="399">
        <f t="shared" si="64"/>
        <v>338556.81517684669</v>
      </c>
      <c r="J140" s="54">
        <f t="shared" si="67"/>
        <v>0</v>
      </c>
      <c r="K140" s="54"/>
      <c r="L140" s="129"/>
      <c r="M140" s="54">
        <f t="shared" si="68"/>
        <v>0</v>
      </c>
      <c r="N140" s="129"/>
      <c r="O140" s="54">
        <f t="shared" si="69"/>
        <v>0</v>
      </c>
      <c r="P140" s="54">
        <f t="shared" si="70"/>
        <v>0</v>
      </c>
      <c r="Q140" s="1"/>
    </row>
    <row r="141" spans="2:17" ht="12.5">
      <c r="B141" s="7" t="str">
        <f t="shared" si="40"/>
        <v/>
      </c>
      <c r="C141" s="50">
        <f>IF(D93="","-",+C140+1)</f>
        <v>2051</v>
      </c>
      <c r="D141" s="12">
        <f>IF(F140+SUM(E$99:E140)=D$92,F140,D$92-SUM(E$99:E140))</f>
        <v>473642.39966222376</v>
      </c>
      <c r="E141" s="378">
        <f>IF(+J96&lt;F140,J96,D141)</f>
        <v>263188.88636363635</v>
      </c>
      <c r="F141" s="55">
        <f t="shared" si="65"/>
        <v>210453.51329858741</v>
      </c>
      <c r="G141" s="55">
        <f t="shared" si="66"/>
        <v>342047.95648040558</v>
      </c>
      <c r="H141" s="380">
        <f t="shared" si="63"/>
        <v>305782.86645509972</v>
      </c>
      <c r="I141" s="399">
        <f t="shared" si="64"/>
        <v>305782.86645509972</v>
      </c>
      <c r="J141" s="54">
        <f t="shared" si="67"/>
        <v>0</v>
      </c>
      <c r="K141" s="54"/>
      <c r="L141" s="129"/>
      <c r="M141" s="54">
        <f t="shared" si="68"/>
        <v>0</v>
      </c>
      <c r="N141" s="129"/>
      <c r="O141" s="54">
        <f t="shared" si="69"/>
        <v>0</v>
      </c>
      <c r="P141" s="54">
        <f t="shared" si="70"/>
        <v>0</v>
      </c>
      <c r="Q141" s="1"/>
    </row>
    <row r="142" spans="2:17" ht="12.5">
      <c r="B142" s="7" t="str">
        <f t="shared" si="40"/>
        <v/>
      </c>
      <c r="C142" s="50">
        <f>IF(D93="","-",+C141+1)</f>
        <v>2052</v>
      </c>
      <c r="D142" s="12">
        <f>IF(F141+SUM(E$99:E141)=D$92,F141,D$92-SUM(E$99:E141))</f>
        <v>210453.51329858741</v>
      </c>
      <c r="E142" s="378">
        <f>IF(+J96&lt;F141,J96,D142)</f>
        <v>210453.51329858741</v>
      </c>
      <c r="F142" s="55">
        <f t="shared" si="65"/>
        <v>0</v>
      </c>
      <c r="G142" s="55">
        <f t="shared" si="66"/>
        <v>105226.7566492937</v>
      </c>
      <c r="H142" s="380">
        <f t="shared" si="63"/>
        <v>223557.01616388236</v>
      </c>
      <c r="I142" s="399">
        <f t="shared" si="64"/>
        <v>223557.01616388236</v>
      </c>
      <c r="J142" s="54">
        <f t="shared" si="67"/>
        <v>0</v>
      </c>
      <c r="K142" s="54"/>
      <c r="L142" s="129"/>
      <c r="M142" s="54">
        <f t="shared" si="68"/>
        <v>0</v>
      </c>
      <c r="N142" s="129"/>
      <c r="O142" s="54">
        <f t="shared" si="69"/>
        <v>0</v>
      </c>
      <c r="P142" s="54">
        <f t="shared" si="70"/>
        <v>0</v>
      </c>
      <c r="Q142" s="1"/>
    </row>
    <row r="143" spans="2:17" ht="12.5">
      <c r="B143" s="7" t="str">
        <f t="shared" si="40"/>
        <v/>
      </c>
      <c r="C143" s="50">
        <f>IF(D93="","-",+C142+1)</f>
        <v>2053</v>
      </c>
      <c r="D143" s="12">
        <f>IF(F142+SUM(E$99:E142)=D$92,F142,D$92-SUM(E$99:E142))</f>
        <v>0</v>
      </c>
      <c r="E143" s="378">
        <f>IF(+J96&lt;F142,J96,D143)</f>
        <v>0</v>
      </c>
      <c r="F143" s="55">
        <f t="shared" si="65"/>
        <v>0</v>
      </c>
      <c r="G143" s="55">
        <f t="shared" si="66"/>
        <v>0</v>
      </c>
      <c r="H143" s="380">
        <f t="shared" si="63"/>
        <v>0</v>
      </c>
      <c r="I143" s="399">
        <f t="shared" si="64"/>
        <v>0</v>
      </c>
      <c r="J143" s="54">
        <f t="shared" si="67"/>
        <v>0</v>
      </c>
      <c r="K143" s="54"/>
      <c r="L143" s="129"/>
      <c r="M143" s="54">
        <f t="shared" si="68"/>
        <v>0</v>
      </c>
      <c r="N143" s="129"/>
      <c r="O143" s="54">
        <f t="shared" si="69"/>
        <v>0</v>
      </c>
      <c r="P143" s="54">
        <f t="shared" si="70"/>
        <v>0</v>
      </c>
      <c r="Q143" s="1"/>
    </row>
    <row r="144" spans="2:17" ht="12.5">
      <c r="B144" s="7" t="str">
        <f t="shared" si="40"/>
        <v/>
      </c>
      <c r="C144" s="50">
        <f>IF(D93="","-",+C143+1)</f>
        <v>2054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65"/>
        <v>0</v>
      </c>
      <c r="G144" s="55">
        <f t="shared" si="66"/>
        <v>0</v>
      </c>
      <c r="H144" s="380">
        <f t="shared" si="63"/>
        <v>0</v>
      </c>
      <c r="I144" s="399">
        <f t="shared" si="64"/>
        <v>0</v>
      </c>
      <c r="J144" s="54">
        <f t="shared" si="67"/>
        <v>0</v>
      </c>
      <c r="K144" s="54"/>
      <c r="L144" s="129"/>
      <c r="M144" s="54">
        <f t="shared" si="68"/>
        <v>0</v>
      </c>
      <c r="N144" s="129"/>
      <c r="O144" s="54">
        <f t="shared" si="69"/>
        <v>0</v>
      </c>
      <c r="P144" s="54">
        <f t="shared" si="70"/>
        <v>0</v>
      </c>
      <c r="Q144" s="1"/>
    </row>
    <row r="145" spans="2:17" ht="12.5">
      <c r="B145" s="7" t="str">
        <f t="shared" si="40"/>
        <v/>
      </c>
      <c r="C145" s="50">
        <f>IF(D93="","-",+C144+1)</f>
        <v>2055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65"/>
        <v>0</v>
      </c>
      <c r="G145" s="55">
        <f t="shared" si="66"/>
        <v>0</v>
      </c>
      <c r="H145" s="380">
        <f t="shared" si="63"/>
        <v>0</v>
      </c>
      <c r="I145" s="399">
        <f t="shared" si="64"/>
        <v>0</v>
      </c>
      <c r="J145" s="54">
        <f t="shared" si="67"/>
        <v>0</v>
      </c>
      <c r="K145" s="54"/>
      <c r="L145" s="129"/>
      <c r="M145" s="54">
        <f t="shared" si="68"/>
        <v>0</v>
      </c>
      <c r="N145" s="129"/>
      <c r="O145" s="54">
        <f t="shared" si="69"/>
        <v>0</v>
      </c>
      <c r="P145" s="54">
        <f t="shared" si="70"/>
        <v>0</v>
      </c>
      <c r="Q145" s="1"/>
    </row>
    <row r="146" spans="2:17" ht="12.5">
      <c r="B146" s="7" t="str">
        <f t="shared" si="40"/>
        <v/>
      </c>
      <c r="C146" s="50">
        <f>IF(D93="","-",+C145+1)</f>
        <v>2056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65"/>
        <v>0</v>
      </c>
      <c r="G146" s="55">
        <f t="shared" si="66"/>
        <v>0</v>
      </c>
      <c r="H146" s="380">
        <f t="shared" si="63"/>
        <v>0</v>
      </c>
      <c r="I146" s="399">
        <f t="shared" si="64"/>
        <v>0</v>
      </c>
      <c r="J146" s="54">
        <f t="shared" si="67"/>
        <v>0</v>
      </c>
      <c r="K146" s="54"/>
      <c r="L146" s="129"/>
      <c r="M146" s="54">
        <f t="shared" si="68"/>
        <v>0</v>
      </c>
      <c r="N146" s="129"/>
      <c r="O146" s="54">
        <f t="shared" si="69"/>
        <v>0</v>
      </c>
      <c r="P146" s="54">
        <f t="shared" si="70"/>
        <v>0</v>
      </c>
      <c r="Q146" s="1"/>
    </row>
    <row r="147" spans="2:17" ht="12.5">
      <c r="B147" s="7" t="str">
        <f t="shared" si="40"/>
        <v/>
      </c>
      <c r="C147" s="50">
        <f>IF(D93="","-",+C146+1)</f>
        <v>2057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65"/>
        <v>0</v>
      </c>
      <c r="G147" s="55">
        <f t="shared" si="66"/>
        <v>0</v>
      </c>
      <c r="H147" s="380">
        <f t="shared" si="63"/>
        <v>0</v>
      </c>
      <c r="I147" s="399">
        <f t="shared" si="64"/>
        <v>0</v>
      </c>
      <c r="J147" s="54">
        <f t="shared" si="67"/>
        <v>0</v>
      </c>
      <c r="K147" s="54"/>
      <c r="L147" s="129"/>
      <c r="M147" s="54">
        <f t="shared" si="68"/>
        <v>0</v>
      </c>
      <c r="N147" s="129"/>
      <c r="O147" s="54">
        <f t="shared" si="69"/>
        <v>0</v>
      </c>
      <c r="P147" s="54">
        <f t="shared" si="70"/>
        <v>0</v>
      </c>
      <c r="Q147" s="1"/>
    </row>
    <row r="148" spans="2:17" ht="12.5">
      <c r="B148" s="7" t="str">
        <f t="shared" si="40"/>
        <v/>
      </c>
      <c r="C148" s="50">
        <f>IF(D93="","-",+C147+1)</f>
        <v>2058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65"/>
        <v>0</v>
      </c>
      <c r="G148" s="55">
        <f t="shared" si="66"/>
        <v>0</v>
      </c>
      <c r="H148" s="380">
        <f t="shared" si="63"/>
        <v>0</v>
      </c>
      <c r="I148" s="399">
        <f t="shared" si="64"/>
        <v>0</v>
      </c>
      <c r="J148" s="54">
        <f t="shared" si="67"/>
        <v>0</v>
      </c>
      <c r="K148" s="54"/>
      <c r="L148" s="129"/>
      <c r="M148" s="54">
        <f t="shared" si="68"/>
        <v>0</v>
      </c>
      <c r="N148" s="129"/>
      <c r="O148" s="54">
        <f t="shared" si="69"/>
        <v>0</v>
      </c>
      <c r="P148" s="54">
        <f t="shared" si="70"/>
        <v>0</v>
      </c>
      <c r="Q148" s="1"/>
    </row>
    <row r="149" spans="2:17" ht="12.5">
      <c r="B149" s="7" t="str">
        <f t="shared" si="40"/>
        <v/>
      </c>
      <c r="C149" s="50">
        <f>IF(D93="","-",+C148+1)</f>
        <v>2059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65"/>
        <v>0</v>
      </c>
      <c r="G149" s="55">
        <f t="shared" si="66"/>
        <v>0</v>
      </c>
      <c r="H149" s="380">
        <f t="shared" si="63"/>
        <v>0</v>
      </c>
      <c r="I149" s="399">
        <f t="shared" si="64"/>
        <v>0</v>
      </c>
      <c r="J149" s="54">
        <f t="shared" si="67"/>
        <v>0</v>
      </c>
      <c r="K149" s="54"/>
      <c r="L149" s="129"/>
      <c r="M149" s="54">
        <f t="shared" si="68"/>
        <v>0</v>
      </c>
      <c r="N149" s="129"/>
      <c r="O149" s="54">
        <f t="shared" si="69"/>
        <v>0</v>
      </c>
      <c r="P149" s="54">
        <f t="shared" si="70"/>
        <v>0</v>
      </c>
      <c r="Q149" s="1"/>
    </row>
    <row r="150" spans="2:17" ht="12.5">
      <c r="B150" s="7" t="str">
        <f t="shared" si="40"/>
        <v/>
      </c>
      <c r="C150" s="50">
        <f>IF(D93="","-",+C149+1)</f>
        <v>2060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65"/>
        <v>0</v>
      </c>
      <c r="G150" s="55">
        <f t="shared" si="66"/>
        <v>0</v>
      </c>
      <c r="H150" s="380">
        <f t="shared" si="63"/>
        <v>0</v>
      </c>
      <c r="I150" s="399">
        <f t="shared" si="64"/>
        <v>0</v>
      </c>
      <c r="J150" s="54">
        <f t="shared" si="67"/>
        <v>0</v>
      </c>
      <c r="K150" s="54"/>
      <c r="L150" s="129"/>
      <c r="M150" s="54">
        <f t="shared" si="68"/>
        <v>0</v>
      </c>
      <c r="N150" s="129"/>
      <c r="O150" s="54">
        <f t="shared" si="69"/>
        <v>0</v>
      </c>
      <c r="P150" s="54">
        <f t="shared" si="70"/>
        <v>0</v>
      </c>
      <c r="Q150" s="1"/>
    </row>
    <row r="151" spans="2:17" ht="12.5">
      <c r="B151" s="7" t="str">
        <f t="shared" si="40"/>
        <v/>
      </c>
      <c r="C151" s="50">
        <f>IF(D93="","-",+C150+1)</f>
        <v>2061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65"/>
        <v>0</v>
      </c>
      <c r="G151" s="55">
        <f t="shared" si="66"/>
        <v>0</v>
      </c>
      <c r="H151" s="380">
        <f t="shared" si="63"/>
        <v>0</v>
      </c>
      <c r="I151" s="399">
        <f t="shared" si="64"/>
        <v>0</v>
      </c>
      <c r="J151" s="54">
        <f t="shared" si="67"/>
        <v>0</v>
      </c>
      <c r="K151" s="54"/>
      <c r="L151" s="129"/>
      <c r="M151" s="54">
        <f t="shared" si="68"/>
        <v>0</v>
      </c>
      <c r="N151" s="129"/>
      <c r="O151" s="54">
        <f t="shared" si="69"/>
        <v>0</v>
      </c>
      <c r="P151" s="54">
        <f t="shared" si="70"/>
        <v>0</v>
      </c>
      <c r="Q151" s="1"/>
    </row>
    <row r="152" spans="2:17" ht="12.5">
      <c r="B152" s="7" t="str">
        <f t="shared" si="40"/>
        <v/>
      </c>
      <c r="C152" s="50">
        <f>IF(D93="","-",+C151+1)</f>
        <v>2062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65"/>
        <v>0</v>
      </c>
      <c r="G152" s="55">
        <f t="shared" si="66"/>
        <v>0</v>
      </c>
      <c r="H152" s="380">
        <f t="shared" si="63"/>
        <v>0</v>
      </c>
      <c r="I152" s="399">
        <f t="shared" si="64"/>
        <v>0</v>
      </c>
      <c r="J152" s="54">
        <f t="shared" si="67"/>
        <v>0</v>
      </c>
      <c r="K152" s="54"/>
      <c r="L152" s="129"/>
      <c r="M152" s="54">
        <f t="shared" si="68"/>
        <v>0</v>
      </c>
      <c r="N152" s="129"/>
      <c r="O152" s="54">
        <f t="shared" si="69"/>
        <v>0</v>
      </c>
      <c r="P152" s="54">
        <f t="shared" si="70"/>
        <v>0</v>
      </c>
      <c r="Q152" s="1"/>
    </row>
    <row r="153" spans="2:17" ht="12.5">
      <c r="B153" s="7" t="str">
        <f t="shared" si="40"/>
        <v/>
      </c>
      <c r="C153" s="50">
        <f>IF(D93="","-",+C152+1)</f>
        <v>2063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65"/>
        <v>0</v>
      </c>
      <c r="G153" s="55">
        <f t="shared" si="66"/>
        <v>0</v>
      </c>
      <c r="H153" s="380">
        <f t="shared" si="63"/>
        <v>0</v>
      </c>
      <c r="I153" s="399">
        <f t="shared" si="64"/>
        <v>0</v>
      </c>
      <c r="J153" s="54">
        <f t="shared" si="67"/>
        <v>0</v>
      </c>
      <c r="K153" s="54"/>
      <c r="L153" s="129"/>
      <c r="M153" s="54">
        <f t="shared" si="68"/>
        <v>0</v>
      </c>
      <c r="N153" s="129"/>
      <c r="O153" s="54">
        <f t="shared" si="69"/>
        <v>0</v>
      </c>
      <c r="P153" s="54">
        <f t="shared" si="70"/>
        <v>0</v>
      </c>
      <c r="Q153" s="1"/>
    </row>
    <row r="154" spans="2:17" ht="13" thickBot="1">
      <c r="B154" s="7" t="str">
        <f t="shared" si="40"/>
        <v/>
      </c>
      <c r="C154" s="59">
        <f>IF(D93="","-",+C153+1)</f>
        <v>2064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65"/>
        <v>0</v>
      </c>
      <c r="G154" s="60">
        <f t="shared" si="66"/>
        <v>0</v>
      </c>
      <c r="H154" s="382">
        <f t="shared" si="63"/>
        <v>0</v>
      </c>
      <c r="I154" s="400">
        <f t="shared" si="64"/>
        <v>0</v>
      </c>
      <c r="J154" s="64">
        <f t="shared" si="67"/>
        <v>0</v>
      </c>
      <c r="K154" s="54"/>
      <c r="L154" s="130"/>
      <c r="M154" s="64">
        <f t="shared" si="68"/>
        <v>0</v>
      </c>
      <c r="N154" s="130"/>
      <c r="O154" s="64">
        <f t="shared" si="69"/>
        <v>0</v>
      </c>
      <c r="P154" s="64">
        <f t="shared" si="70"/>
        <v>0</v>
      </c>
      <c r="Q154" s="1"/>
    </row>
    <row r="155" spans="2:17" ht="12.5">
      <c r="C155" s="12" t="s">
        <v>78</v>
      </c>
      <c r="D155" s="293"/>
      <c r="E155" s="293">
        <f>SUM(E99:E154)</f>
        <v>11580311.000000007</v>
      </c>
      <c r="F155" s="293"/>
      <c r="G155" s="293"/>
      <c r="H155" s="293">
        <f>SUM(H99:H154)</f>
        <v>43210156.661581658</v>
      </c>
      <c r="I155" s="293">
        <f>SUM(I99:I154)</f>
        <v>43210156.661581658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 ht="12.5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 ht="12.5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49" priority="1" stopIfTrue="1" operator="equal">
      <formula>$I$10</formula>
    </cfRule>
  </conditionalFormatting>
  <conditionalFormatting sqref="C99:C154">
    <cfRule type="cellIs" dxfId="14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16"/>
  <dimension ref="A1:P162"/>
  <sheetViews>
    <sheetView topLeftCell="A80" zoomScaleNormal="100" zoomScaleSheetLayoutView="80" workbookViewId="0">
      <selection activeCell="D24" sqref="D24:H24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67 of 77</v>
      </c>
    </row>
    <row r="2" spans="1:16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1308128.3575963045</v>
      </c>
      <c r="P5" s="1"/>
    </row>
    <row r="6" spans="1:16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1308128.3575963045</v>
      </c>
      <c r="O6" s="1"/>
      <c r="P6" s="1"/>
    </row>
    <row r="7" spans="1:16" ht="13.5" thickBot="1">
      <c r="C7" s="25" t="s">
        <v>48</v>
      </c>
      <c r="D7" s="90" t="s">
        <v>390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420</v>
      </c>
      <c r="E9" s="436" t="s">
        <v>421</v>
      </c>
      <c r="F9" s="31"/>
      <c r="G9" s="31"/>
      <c r="H9" s="31"/>
      <c r="I9" s="32"/>
      <c r="J9" s="33"/>
      <c r="P9" s="1"/>
    </row>
    <row r="10" spans="1:16" ht="13">
      <c r="C10" s="34" t="s">
        <v>51</v>
      </c>
      <c r="D10" s="363">
        <v>10668801.149999999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6" ht="12.5">
      <c r="C11" s="34" t="s">
        <v>54</v>
      </c>
      <c r="D11" s="37">
        <v>2017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3">
        <v>3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242472.75340909089</v>
      </c>
      <c r="J14" s="293"/>
      <c r="K14" s="293"/>
      <c r="L14" s="293"/>
      <c r="M14" s="293"/>
      <c r="N14" s="293"/>
      <c r="O14" s="1"/>
      <c r="P14" s="1"/>
    </row>
    <row r="15" spans="1:16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3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2017</v>
      </c>
      <c r="D17" s="431">
        <v>0</v>
      </c>
      <c r="E17" s="430">
        <v>160574.56395348837</v>
      </c>
      <c r="F17" s="431">
        <v>9045700.4360465109</v>
      </c>
      <c r="G17" s="430">
        <v>720921.93663194391</v>
      </c>
      <c r="H17" s="438">
        <v>720921.93663194391</v>
      </c>
      <c r="I17" s="52">
        <f t="shared" ref="I17:I72" si="0">H17-G17</f>
        <v>0</v>
      </c>
      <c r="J17" s="52"/>
      <c r="K17" s="112">
        <f t="shared" ref="K17:K22" si="1">+G17</f>
        <v>720921.93663194391</v>
      </c>
      <c r="L17" s="53">
        <f t="shared" ref="L17:L72" si="2">IF(K17&lt;&gt;0,+G17-K17,0)</f>
        <v>0</v>
      </c>
      <c r="M17" s="112">
        <f t="shared" ref="M17:M22" si="3">+H17</f>
        <v>720921.93663194391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2018</v>
      </c>
      <c r="D18" s="431">
        <v>9045700.4360465109</v>
      </c>
      <c r="E18" s="430">
        <v>224543.29268292684</v>
      </c>
      <c r="F18" s="431">
        <v>8821157.1433635838</v>
      </c>
      <c r="G18" s="430">
        <v>1359929.3750502607</v>
      </c>
      <c r="H18" s="438">
        <v>1359929.3750502607</v>
      </c>
      <c r="I18" s="52">
        <f t="shared" si="0"/>
        <v>0</v>
      </c>
      <c r="J18" s="52"/>
      <c r="K18" s="113">
        <f t="shared" si="1"/>
        <v>1359929.3750502607</v>
      </c>
      <c r="L18" s="54">
        <f t="shared" si="2"/>
        <v>0</v>
      </c>
      <c r="M18" s="113">
        <f t="shared" si="3"/>
        <v>1359929.3750502607</v>
      </c>
      <c r="N18" s="54">
        <f t="shared" si="4"/>
        <v>0</v>
      </c>
      <c r="O18" s="54">
        <f t="shared" si="5"/>
        <v>0</v>
      </c>
      <c r="P18" s="1"/>
    </row>
    <row r="19" spans="2:16" ht="12.5">
      <c r="B19" s="7" t="str">
        <f>IF(D19=F18,"","IU")</f>
        <v/>
      </c>
      <c r="C19" s="50">
        <f>IF(D11="","-",+C18+1)</f>
        <v>2019</v>
      </c>
      <c r="D19" s="431">
        <v>8821157.1433635838</v>
      </c>
      <c r="E19" s="430">
        <v>224543.29268292684</v>
      </c>
      <c r="F19" s="431">
        <v>8596613.8506806567</v>
      </c>
      <c r="G19" s="430">
        <v>1331391.2475963396</v>
      </c>
      <c r="H19" s="438">
        <v>1331391.2475963396</v>
      </c>
      <c r="I19" s="52">
        <f t="shared" si="0"/>
        <v>0</v>
      </c>
      <c r="J19" s="52"/>
      <c r="K19" s="113">
        <f t="shared" si="1"/>
        <v>1331391.2475963396</v>
      </c>
      <c r="L19" s="54">
        <f t="shared" ref="L19" si="6">IF(K19&lt;&gt;0,+G19-K19,0)</f>
        <v>0</v>
      </c>
      <c r="M19" s="113">
        <f t="shared" si="3"/>
        <v>1331391.2475963396</v>
      </c>
      <c r="N19" s="54">
        <f t="shared" si="4"/>
        <v>0</v>
      </c>
      <c r="O19" s="54">
        <f t="shared" si="5"/>
        <v>0</v>
      </c>
      <c r="P19" s="1"/>
    </row>
    <row r="20" spans="2:16" ht="12.5">
      <c r="B20" s="7" t="str">
        <f t="shared" ref="B20:B72" si="7">IF(D20=F19,"","IU")</f>
        <v>IU</v>
      </c>
      <c r="C20" s="50">
        <f>IF(D11="","-",+C19+1)</f>
        <v>2020</v>
      </c>
      <c r="D20" s="431">
        <v>10060609.850680659</v>
      </c>
      <c r="E20" s="430">
        <v>260250.51219512196</v>
      </c>
      <c r="F20" s="431">
        <v>9800359.3384855371</v>
      </c>
      <c r="G20" s="430">
        <v>1276491.1744003529</v>
      </c>
      <c r="H20" s="438">
        <v>1276491.1744003529</v>
      </c>
      <c r="I20" s="52">
        <f t="shared" si="0"/>
        <v>0</v>
      </c>
      <c r="J20" s="52"/>
      <c r="K20" s="113">
        <f t="shared" si="1"/>
        <v>1276491.1744003529</v>
      </c>
      <c r="L20" s="54">
        <f t="shared" ref="L20" si="8">IF(K20&lt;&gt;0,+G20-K20,0)</f>
        <v>0</v>
      </c>
      <c r="M20" s="113">
        <f t="shared" si="3"/>
        <v>1276491.1744003529</v>
      </c>
      <c r="N20" s="54">
        <f t="shared" si="4"/>
        <v>0</v>
      </c>
      <c r="O20" s="54">
        <f t="shared" si="5"/>
        <v>0</v>
      </c>
      <c r="P20" s="1"/>
    </row>
    <row r="21" spans="2:16" ht="12.5">
      <c r="B21" s="7" t="str">
        <f t="shared" si="7"/>
        <v>IU</v>
      </c>
      <c r="C21" s="50">
        <f>IF(D11="","-",+C20+1)</f>
        <v>2021</v>
      </c>
      <c r="D21" s="431">
        <v>9809333.2125638109</v>
      </c>
      <c r="E21" s="430">
        <v>254019.07142857142</v>
      </c>
      <c r="F21" s="431">
        <v>9555314.14113524</v>
      </c>
      <c r="G21" s="430">
        <v>1280389.3877484133</v>
      </c>
      <c r="H21" s="438">
        <v>1280389.3877484133</v>
      </c>
      <c r="I21" s="52">
        <f t="shared" si="0"/>
        <v>0</v>
      </c>
      <c r="J21" s="52"/>
      <c r="K21" s="113">
        <f t="shared" si="1"/>
        <v>1280389.3877484133</v>
      </c>
      <c r="L21" s="54">
        <f t="shared" ref="L21" si="9">IF(K21&lt;&gt;0,+G21-K21,0)</f>
        <v>0</v>
      </c>
      <c r="M21" s="113">
        <f t="shared" si="3"/>
        <v>1280389.3877484133</v>
      </c>
      <c r="N21" s="54">
        <f t="shared" si="4"/>
        <v>0</v>
      </c>
      <c r="O21" s="54">
        <f t="shared" si="5"/>
        <v>0</v>
      </c>
      <c r="P21" s="1"/>
    </row>
    <row r="22" spans="2:16" ht="12.5">
      <c r="B22" s="7" t="str">
        <f t="shared" si="7"/>
        <v>IU</v>
      </c>
      <c r="C22" s="50">
        <f>IF(D11="","-",+C21+1)</f>
        <v>2022</v>
      </c>
      <c r="D22" s="431">
        <v>9544870.2670569643</v>
      </c>
      <c r="E22" s="430">
        <v>254019.07142857142</v>
      </c>
      <c r="F22" s="431">
        <v>9290851.1956283934</v>
      </c>
      <c r="G22" s="430">
        <v>1313001.915934932</v>
      </c>
      <c r="H22" s="438">
        <v>1313001.915934932</v>
      </c>
      <c r="I22" s="52">
        <f t="shared" si="0"/>
        <v>0</v>
      </c>
      <c r="J22" s="52"/>
      <c r="K22" s="113">
        <f t="shared" si="1"/>
        <v>1313001.915934932</v>
      </c>
      <c r="L22" s="54">
        <f t="shared" ref="L22" si="10">IF(K22&lt;&gt;0,+G22-K22,0)</f>
        <v>0</v>
      </c>
      <c r="M22" s="113">
        <f t="shared" si="3"/>
        <v>1313001.915934932</v>
      </c>
      <c r="N22" s="54">
        <f t="shared" si="4"/>
        <v>0</v>
      </c>
      <c r="O22" s="54">
        <f t="shared" si="5"/>
        <v>0</v>
      </c>
      <c r="P22" s="1"/>
    </row>
    <row r="23" spans="2:16" ht="12.5">
      <c r="B23" s="7" t="str">
        <f t="shared" si="7"/>
        <v>IU</v>
      </c>
      <c r="C23" s="50">
        <f>IF(D11="","-",+C22+1)</f>
        <v>2023</v>
      </c>
      <c r="D23" s="431">
        <v>9290851.345628392</v>
      </c>
      <c r="E23" s="430">
        <v>254019.07499999995</v>
      </c>
      <c r="F23" s="431">
        <v>9036832.2706283927</v>
      </c>
      <c r="G23" s="430">
        <v>1411657.7761742773</v>
      </c>
      <c r="H23" s="438">
        <v>1411657.7761742773</v>
      </c>
      <c r="I23" s="52">
        <f t="shared" si="0"/>
        <v>0</v>
      </c>
      <c r="J23" s="52"/>
      <c r="K23" s="113">
        <f t="shared" ref="K23" si="11">+G23</f>
        <v>1411657.7761742773</v>
      </c>
      <c r="L23" s="54">
        <f t="shared" ref="L23" si="12">IF(K23&lt;&gt;0,+G23-K23,0)</f>
        <v>0</v>
      </c>
      <c r="M23" s="113">
        <f t="shared" ref="M23" si="13">+H23</f>
        <v>1411657.7761742773</v>
      </c>
      <c r="N23" s="54">
        <f t="shared" si="4"/>
        <v>0</v>
      </c>
      <c r="O23" s="54">
        <f t="shared" si="5"/>
        <v>0</v>
      </c>
      <c r="P23" s="1"/>
    </row>
    <row r="24" spans="2:16" ht="12.5">
      <c r="B24" s="7" t="str">
        <f t="shared" si="7"/>
        <v/>
      </c>
      <c r="C24" s="50">
        <f>IF(D11="","-",+C23+1)</f>
        <v>2024</v>
      </c>
      <c r="D24" s="431">
        <v>9036832.2706283927</v>
      </c>
      <c r="E24" s="430">
        <v>242472.75340909089</v>
      </c>
      <c r="F24" s="431">
        <v>8794359.5172193013</v>
      </c>
      <c r="G24" s="430">
        <v>1308128.3575963045</v>
      </c>
      <c r="H24" s="438">
        <v>1308128.3575963045</v>
      </c>
      <c r="I24" s="52">
        <f t="shared" si="0"/>
        <v>0</v>
      </c>
      <c r="J24" s="52"/>
      <c r="K24" s="113">
        <f t="shared" ref="K24" si="14">+G24</f>
        <v>1308128.3575963045</v>
      </c>
      <c r="L24" s="54">
        <f t="shared" ref="L24" si="15">IF(K24&lt;&gt;0,+G24-K24,0)</f>
        <v>0</v>
      </c>
      <c r="M24" s="113">
        <f t="shared" ref="M24" si="16">+H24</f>
        <v>1308128.3575963045</v>
      </c>
      <c r="N24" s="54">
        <f t="shared" ref="N24" si="17">IF(M24&lt;&gt;0,+H24-M24,0)</f>
        <v>0</v>
      </c>
      <c r="O24" s="54">
        <f t="shared" ref="O24" si="18">+N24-L24</f>
        <v>0</v>
      </c>
      <c r="P24" s="1"/>
    </row>
    <row r="25" spans="2:16" ht="12.5">
      <c r="B25" s="7" t="str">
        <f t="shared" si="7"/>
        <v/>
      </c>
      <c r="C25" s="50">
        <f>IF(D11="","-",+C24+1)</f>
        <v>2025</v>
      </c>
      <c r="D25" s="55">
        <f>IF(F24+SUM(E$17:E24)=D$10,F24,D$10-SUM(E$17:E24))</f>
        <v>8794359.5172193013</v>
      </c>
      <c r="E25" s="378">
        <f>IF(+I14&lt;F24,I14,D25)</f>
        <v>242472.75340909089</v>
      </c>
      <c r="F25" s="55">
        <f t="shared" ref="F25:F72" si="19">+D25-E25</f>
        <v>8551886.7638102099</v>
      </c>
      <c r="G25" s="379">
        <f t="shared" ref="G25:G48" si="20">+I$12*((D25+F25)/2)+E25</f>
        <v>1279146.2848770595</v>
      </c>
      <c r="H25" s="364">
        <f t="shared" ref="H25:H48" si="21">+I$13*((D25+F25)/2)+E25</f>
        <v>1279146.2848770595</v>
      </c>
      <c r="I25" s="52">
        <f t="shared" si="0"/>
        <v>0</v>
      </c>
      <c r="J25" s="52"/>
      <c r="K25" s="129"/>
      <c r="L25" s="54">
        <f t="shared" si="2"/>
        <v>0</v>
      </c>
      <c r="M25" s="129"/>
      <c r="N25" s="54">
        <f t="shared" si="4"/>
        <v>0</v>
      </c>
      <c r="O25" s="54">
        <f t="shared" si="5"/>
        <v>0</v>
      </c>
      <c r="P25" s="1"/>
    </row>
    <row r="26" spans="2:16" ht="12.5">
      <c r="B26" s="7" t="str">
        <f t="shared" si="7"/>
        <v/>
      </c>
      <c r="C26" s="50">
        <f>IF(D11="","-",+C25+1)</f>
        <v>2026</v>
      </c>
      <c r="D26" s="55">
        <f>IF(F25+SUM(E$17:E25)=D$10,F25,D$10-SUM(E$17:E25))</f>
        <v>8551886.7638102099</v>
      </c>
      <c r="E26" s="378">
        <f>IF(+I14&lt;F25,I14,D26)</f>
        <v>242472.75340909089</v>
      </c>
      <c r="F26" s="55">
        <f t="shared" si="19"/>
        <v>8309414.0104011195</v>
      </c>
      <c r="G26" s="379">
        <f t="shared" si="20"/>
        <v>1250164.2121578145</v>
      </c>
      <c r="H26" s="364">
        <f t="shared" si="21"/>
        <v>1250164.2121578145</v>
      </c>
      <c r="I26" s="52">
        <f t="shared" si="0"/>
        <v>0</v>
      </c>
      <c r="J26" s="52"/>
      <c r="K26" s="129"/>
      <c r="L26" s="54">
        <f t="shared" si="2"/>
        <v>0</v>
      </c>
      <c r="M26" s="129"/>
      <c r="N26" s="54">
        <f t="shared" si="4"/>
        <v>0</v>
      </c>
      <c r="O26" s="54">
        <f t="shared" si="5"/>
        <v>0</v>
      </c>
      <c r="P26" s="1"/>
    </row>
    <row r="27" spans="2:16" ht="12.5">
      <c r="B27" s="7" t="str">
        <f t="shared" si="7"/>
        <v/>
      </c>
      <c r="C27" s="50">
        <f>IF(D11="","-",+C26+1)</f>
        <v>2027</v>
      </c>
      <c r="D27" s="55">
        <f>IF(F26+SUM(E$17:E26)=D$10,F26,D$10-SUM(E$17:E26))</f>
        <v>8309414.0104011195</v>
      </c>
      <c r="E27" s="378">
        <f>IF(+I14&lt;F26,I14,D27)</f>
        <v>242472.75340909089</v>
      </c>
      <c r="F27" s="55">
        <f t="shared" si="19"/>
        <v>8066941.256992029</v>
      </c>
      <c r="G27" s="379">
        <f t="shared" si="20"/>
        <v>1221182.1394385698</v>
      </c>
      <c r="H27" s="364">
        <f t="shared" si="21"/>
        <v>1221182.1394385698</v>
      </c>
      <c r="I27" s="52">
        <f t="shared" si="0"/>
        <v>0</v>
      </c>
      <c r="J27" s="52"/>
      <c r="K27" s="129"/>
      <c r="L27" s="54">
        <f t="shared" si="2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7"/>
        <v/>
      </c>
      <c r="C28" s="50">
        <f>IF(D11="","-",+C27+1)</f>
        <v>2028</v>
      </c>
      <c r="D28" s="55">
        <f>IF(F27+SUM(E$17:E27)=D$10,F27,D$10-SUM(E$17:E27))</f>
        <v>8066941.256992029</v>
      </c>
      <c r="E28" s="378">
        <f>IF(+I14&lt;F27,I14,D28)</f>
        <v>242472.75340909089</v>
      </c>
      <c r="F28" s="55">
        <f t="shared" si="19"/>
        <v>7824468.5035829386</v>
      </c>
      <c r="G28" s="379">
        <f t="shared" si="20"/>
        <v>1192200.0667193248</v>
      </c>
      <c r="H28" s="364">
        <f t="shared" si="21"/>
        <v>1192200.0667193248</v>
      </c>
      <c r="I28" s="52">
        <f t="shared" si="0"/>
        <v>0</v>
      </c>
      <c r="J28" s="52"/>
      <c r="K28" s="129"/>
      <c r="L28" s="54">
        <f t="shared" si="2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7"/>
        <v/>
      </c>
      <c r="C29" s="50">
        <f>IF(D11="","-",+C28+1)</f>
        <v>2029</v>
      </c>
      <c r="D29" s="55">
        <f>IF(F28+SUM(E$17:E28)=D$10,F28,D$10-SUM(E$17:E28))</f>
        <v>7824468.5035829386</v>
      </c>
      <c r="E29" s="378">
        <f>IF(+I14&lt;F28,I14,D29)</f>
        <v>242472.75340909089</v>
      </c>
      <c r="F29" s="55">
        <f t="shared" si="19"/>
        <v>7581995.7501738481</v>
      </c>
      <c r="G29" s="379">
        <f t="shared" si="20"/>
        <v>1163217.99400008</v>
      </c>
      <c r="H29" s="364">
        <f t="shared" si="21"/>
        <v>1163217.99400008</v>
      </c>
      <c r="I29" s="52">
        <f t="shared" si="0"/>
        <v>0</v>
      </c>
      <c r="J29" s="52"/>
      <c r="K29" s="129"/>
      <c r="L29" s="54">
        <f t="shared" si="2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7"/>
        <v/>
      </c>
      <c r="C30" s="50">
        <f>IF(D11="","-",+C29+1)</f>
        <v>2030</v>
      </c>
      <c r="D30" s="55">
        <f>IF(F29+SUM(E$17:E29)=D$10,F29,D$10-SUM(E$17:E29))</f>
        <v>7581995.7501738481</v>
      </c>
      <c r="E30" s="378">
        <f>IF(+I14&lt;F29,I14,D30)</f>
        <v>242472.75340909089</v>
      </c>
      <c r="F30" s="55">
        <f t="shared" si="19"/>
        <v>7339522.9967647577</v>
      </c>
      <c r="G30" s="379">
        <f t="shared" si="20"/>
        <v>1134235.9212808353</v>
      </c>
      <c r="H30" s="364">
        <f t="shared" si="21"/>
        <v>1134235.9212808353</v>
      </c>
      <c r="I30" s="52">
        <f t="shared" si="0"/>
        <v>0</v>
      </c>
      <c r="J30" s="52"/>
      <c r="K30" s="129"/>
      <c r="L30" s="54">
        <f t="shared" si="2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7"/>
        <v/>
      </c>
      <c r="C31" s="50">
        <f>IF(D11="","-",+C30+1)</f>
        <v>2031</v>
      </c>
      <c r="D31" s="55">
        <f>IF(F30+SUM(E$17:E30)=D$10,F30,D$10-SUM(E$17:E30))</f>
        <v>7339522.9967647577</v>
      </c>
      <c r="E31" s="378">
        <f>IF(+I14&lt;F30,I14,D31)</f>
        <v>242472.75340909089</v>
      </c>
      <c r="F31" s="55">
        <f t="shared" si="19"/>
        <v>7097050.2433556672</v>
      </c>
      <c r="G31" s="379">
        <f t="shared" si="20"/>
        <v>1105253.8485615905</v>
      </c>
      <c r="H31" s="364">
        <f t="shared" si="21"/>
        <v>1105253.8485615905</v>
      </c>
      <c r="I31" s="52">
        <f t="shared" si="0"/>
        <v>0</v>
      </c>
      <c r="J31" s="52"/>
      <c r="K31" s="129"/>
      <c r="L31" s="54">
        <f t="shared" si="2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7"/>
        <v/>
      </c>
      <c r="C32" s="50">
        <f>IF(D11="","-",+C31+1)</f>
        <v>2032</v>
      </c>
      <c r="D32" s="55">
        <f>IF(F31+SUM(E$17:E31)=D$10,F31,D$10-SUM(E$17:E31))</f>
        <v>7097050.2433556672</v>
      </c>
      <c r="E32" s="378">
        <f>IF(+I14&lt;F31,I14,D32)</f>
        <v>242472.75340909089</v>
      </c>
      <c r="F32" s="55">
        <f t="shared" si="19"/>
        <v>6854577.4899465768</v>
      </c>
      <c r="G32" s="379">
        <f t="shared" si="20"/>
        <v>1076271.7758423456</v>
      </c>
      <c r="H32" s="364">
        <f t="shared" si="21"/>
        <v>1076271.7758423456</v>
      </c>
      <c r="I32" s="52">
        <f t="shared" si="0"/>
        <v>0</v>
      </c>
      <c r="J32" s="52"/>
      <c r="K32" s="129"/>
      <c r="L32" s="54">
        <f t="shared" si="2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7"/>
        <v/>
      </c>
      <c r="C33" s="50">
        <f>IF(D11="","-",+C32+1)</f>
        <v>2033</v>
      </c>
      <c r="D33" s="55">
        <f>IF(F32+SUM(E$17:E32)=D$10,F32,D$10-SUM(E$17:E32))</f>
        <v>6854577.4899465768</v>
      </c>
      <c r="E33" s="378">
        <f>IF(+I14&lt;F32,I14,D33)</f>
        <v>242472.75340909089</v>
      </c>
      <c r="F33" s="55">
        <f t="shared" si="19"/>
        <v>6612104.7365374863</v>
      </c>
      <c r="G33" s="379">
        <f t="shared" si="20"/>
        <v>1047289.7031231009</v>
      </c>
      <c r="H33" s="364">
        <f t="shared" si="21"/>
        <v>1047289.7031231009</v>
      </c>
      <c r="I33" s="52">
        <f t="shared" si="0"/>
        <v>0</v>
      </c>
      <c r="J33" s="52"/>
      <c r="K33" s="129"/>
      <c r="L33" s="54">
        <f t="shared" si="2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7"/>
        <v/>
      </c>
      <c r="C34" s="50">
        <f>IF(D11="","-",+C33+1)</f>
        <v>2034</v>
      </c>
      <c r="D34" s="55">
        <f>IF(F33+SUM(E$17:E33)=D$10,F33,D$10-SUM(E$17:E33))</f>
        <v>6612104.7365374863</v>
      </c>
      <c r="E34" s="378">
        <f>IF(+I14&lt;F33,I14,D34)</f>
        <v>242472.75340909089</v>
      </c>
      <c r="F34" s="55">
        <f t="shared" si="19"/>
        <v>6369631.9831283959</v>
      </c>
      <c r="G34" s="379">
        <f t="shared" si="20"/>
        <v>1018307.6304038559</v>
      </c>
      <c r="H34" s="364">
        <f t="shared" si="21"/>
        <v>1018307.6304038559</v>
      </c>
      <c r="I34" s="52">
        <f t="shared" si="0"/>
        <v>0</v>
      </c>
      <c r="J34" s="52"/>
      <c r="K34" s="129"/>
      <c r="L34" s="54">
        <f t="shared" si="2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7"/>
        <v/>
      </c>
      <c r="C35" s="50">
        <f>IF(D11="","-",+C34+1)</f>
        <v>2035</v>
      </c>
      <c r="D35" s="55">
        <f>IF(F34+SUM(E$17:E34)=D$10,F34,D$10-SUM(E$17:E34))</f>
        <v>6369631.9831283959</v>
      </c>
      <c r="E35" s="378">
        <f>IF(+I14&lt;F34,I14,D35)</f>
        <v>242472.75340909089</v>
      </c>
      <c r="F35" s="55">
        <f t="shared" si="19"/>
        <v>6127159.2297193054</v>
      </c>
      <c r="G35" s="379">
        <f t="shared" si="20"/>
        <v>989325.55768461118</v>
      </c>
      <c r="H35" s="364">
        <f t="shared" si="21"/>
        <v>989325.55768461118</v>
      </c>
      <c r="I35" s="52">
        <f t="shared" si="0"/>
        <v>0</v>
      </c>
      <c r="J35" s="52"/>
      <c r="K35" s="129"/>
      <c r="L35" s="54">
        <f t="shared" si="2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7"/>
        <v/>
      </c>
      <c r="C36" s="50">
        <f>IF(D11="","-",+C35+1)</f>
        <v>2036</v>
      </c>
      <c r="D36" s="55">
        <f>IF(F35+SUM(E$17:E35)=D$10,F35,D$10-SUM(E$17:E35))</f>
        <v>6127159.2297193054</v>
      </c>
      <c r="E36" s="378">
        <f>IF(+I14&lt;F35,I14,D36)</f>
        <v>242472.75340909089</v>
      </c>
      <c r="F36" s="55">
        <f t="shared" si="19"/>
        <v>5884686.476310215</v>
      </c>
      <c r="G36" s="379">
        <f t="shared" si="20"/>
        <v>960343.48496536631</v>
      </c>
      <c r="H36" s="364">
        <f t="shared" si="21"/>
        <v>960343.48496536631</v>
      </c>
      <c r="I36" s="52">
        <f t="shared" si="0"/>
        <v>0</v>
      </c>
      <c r="J36" s="52"/>
      <c r="K36" s="129"/>
      <c r="L36" s="54">
        <f t="shared" si="2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7"/>
        <v/>
      </c>
      <c r="C37" s="50">
        <f>IF(D11="","-",+C36+1)</f>
        <v>2037</v>
      </c>
      <c r="D37" s="55">
        <f>IF(F36+SUM(E$17:E36)=D$10,F36,D$10-SUM(E$17:E36))</f>
        <v>5884686.476310215</v>
      </c>
      <c r="E37" s="378">
        <f>IF(+I14&lt;F36,I14,D37)</f>
        <v>242472.75340909089</v>
      </c>
      <c r="F37" s="55">
        <f t="shared" si="19"/>
        <v>5642213.7229011245</v>
      </c>
      <c r="G37" s="379">
        <f t="shared" si="20"/>
        <v>931361.41224612156</v>
      </c>
      <c r="H37" s="364">
        <f t="shared" si="21"/>
        <v>931361.41224612156</v>
      </c>
      <c r="I37" s="52">
        <f t="shared" si="0"/>
        <v>0</v>
      </c>
      <c r="J37" s="52"/>
      <c r="K37" s="129"/>
      <c r="L37" s="54">
        <f t="shared" si="2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7"/>
        <v/>
      </c>
      <c r="C38" s="50">
        <f>IF(D11="","-",+C37+1)</f>
        <v>2038</v>
      </c>
      <c r="D38" s="55">
        <f>IF(F37+SUM(E$17:E37)=D$10,F37,D$10-SUM(E$17:E37))</f>
        <v>5642213.7229011245</v>
      </c>
      <c r="E38" s="378">
        <f>IF(+I14&lt;F37,I14,D38)</f>
        <v>242472.75340909089</v>
      </c>
      <c r="F38" s="55">
        <f t="shared" si="19"/>
        <v>5399740.9694920341</v>
      </c>
      <c r="G38" s="379">
        <f t="shared" si="20"/>
        <v>902379.33952687657</v>
      </c>
      <c r="H38" s="364">
        <f t="shared" si="21"/>
        <v>902379.33952687657</v>
      </c>
      <c r="I38" s="52">
        <f t="shared" si="0"/>
        <v>0</v>
      </c>
      <c r="J38" s="52"/>
      <c r="K38" s="129"/>
      <c r="L38" s="54">
        <f t="shared" si="2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7"/>
        <v/>
      </c>
      <c r="C39" s="50">
        <f>IF(D11="","-",+C38+1)</f>
        <v>2039</v>
      </c>
      <c r="D39" s="55">
        <f>IF(F38+SUM(E$17:E38)=D$10,F38,D$10-SUM(E$17:E38))</f>
        <v>5399740.9694920341</v>
      </c>
      <c r="E39" s="378">
        <f>IF(+I14&lt;F38,I14,D39)</f>
        <v>242472.75340909089</v>
      </c>
      <c r="F39" s="55">
        <f t="shared" si="19"/>
        <v>5157268.2160829436</v>
      </c>
      <c r="G39" s="379">
        <f t="shared" si="20"/>
        <v>873397.26680763194</v>
      </c>
      <c r="H39" s="364">
        <f t="shared" si="21"/>
        <v>873397.26680763194</v>
      </c>
      <c r="I39" s="52">
        <f t="shared" si="0"/>
        <v>0</v>
      </c>
      <c r="J39" s="52"/>
      <c r="K39" s="129"/>
      <c r="L39" s="54">
        <f t="shared" si="2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7"/>
        <v/>
      </c>
      <c r="C40" s="50">
        <f>IF(D11="","-",+C39+1)</f>
        <v>2040</v>
      </c>
      <c r="D40" s="55">
        <f>IF(F39+SUM(E$17:E39)=D$10,F39,D$10-SUM(E$17:E39))</f>
        <v>5157268.2160829436</v>
      </c>
      <c r="E40" s="378">
        <f>IF(+I14&lt;F39,I14,D40)</f>
        <v>242472.75340909089</v>
      </c>
      <c r="F40" s="55">
        <f t="shared" si="19"/>
        <v>4914795.4626738532</v>
      </c>
      <c r="G40" s="379">
        <f t="shared" si="20"/>
        <v>844415.19408838695</v>
      </c>
      <c r="H40" s="364">
        <f t="shared" si="21"/>
        <v>844415.19408838695</v>
      </c>
      <c r="I40" s="52">
        <f t="shared" si="0"/>
        <v>0</v>
      </c>
      <c r="J40" s="52"/>
      <c r="K40" s="129"/>
      <c r="L40" s="54">
        <f t="shared" si="2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7"/>
        <v/>
      </c>
      <c r="C41" s="50">
        <f>IF(D11="","-",+C40+1)</f>
        <v>2041</v>
      </c>
      <c r="D41" s="55">
        <f>IF(F40+SUM(E$17:E40)=D$10,F40,D$10-SUM(E$17:E40))</f>
        <v>4914795.4626738532</v>
      </c>
      <c r="E41" s="378">
        <f>IF(+I14&lt;F40,I14,D41)</f>
        <v>242472.75340909089</v>
      </c>
      <c r="F41" s="55">
        <f t="shared" si="19"/>
        <v>4672322.7092647627</v>
      </c>
      <c r="G41" s="379">
        <f t="shared" si="20"/>
        <v>815433.1213691422</v>
      </c>
      <c r="H41" s="364">
        <f t="shared" si="21"/>
        <v>815433.1213691422</v>
      </c>
      <c r="I41" s="52">
        <f t="shared" si="0"/>
        <v>0</v>
      </c>
      <c r="J41" s="52"/>
      <c r="K41" s="129"/>
      <c r="L41" s="54">
        <f t="shared" si="2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7"/>
        <v/>
      </c>
      <c r="C42" s="50">
        <f>IF(D11="","-",+C41+1)</f>
        <v>2042</v>
      </c>
      <c r="D42" s="55">
        <f>IF(F41+SUM(E$17:E41)=D$10,F41,D$10-SUM(E$17:E41))</f>
        <v>4672322.7092647627</v>
      </c>
      <c r="E42" s="378">
        <f>IF(+I14&lt;F41,I14,D42)</f>
        <v>242472.75340909089</v>
      </c>
      <c r="F42" s="55">
        <f t="shared" si="19"/>
        <v>4429849.9558556722</v>
      </c>
      <c r="G42" s="379">
        <f t="shared" si="20"/>
        <v>786451.04864989733</v>
      </c>
      <c r="H42" s="364">
        <f t="shared" si="21"/>
        <v>786451.04864989733</v>
      </c>
      <c r="I42" s="52">
        <f t="shared" si="0"/>
        <v>0</v>
      </c>
      <c r="J42" s="52"/>
      <c r="K42" s="129"/>
      <c r="L42" s="54">
        <f t="shared" si="2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7"/>
        <v/>
      </c>
      <c r="C43" s="50">
        <f>IF(D11="","-",+C42+1)</f>
        <v>2043</v>
      </c>
      <c r="D43" s="55">
        <f>IF(F42+SUM(E$17:E42)=D$10,F42,D$10-SUM(E$17:E42))</f>
        <v>4429849.9558556722</v>
      </c>
      <c r="E43" s="378">
        <f>IF(+I14&lt;F42,I14,D43)</f>
        <v>242472.75340909089</v>
      </c>
      <c r="F43" s="55">
        <f t="shared" si="19"/>
        <v>4187377.2024465813</v>
      </c>
      <c r="G43" s="379">
        <f t="shared" si="20"/>
        <v>757468.97593065246</v>
      </c>
      <c r="H43" s="364">
        <f t="shared" si="21"/>
        <v>757468.97593065246</v>
      </c>
      <c r="I43" s="52">
        <f t="shared" si="0"/>
        <v>0</v>
      </c>
      <c r="J43" s="52"/>
      <c r="K43" s="129"/>
      <c r="L43" s="54">
        <f t="shared" si="2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7"/>
        <v/>
      </c>
      <c r="C44" s="50">
        <f>IF(D11="","-",+C43+1)</f>
        <v>2044</v>
      </c>
      <c r="D44" s="55">
        <f>IF(F43+SUM(E$17:E43)=D$10,F43,D$10-SUM(E$17:E43))</f>
        <v>4187377.2024465813</v>
      </c>
      <c r="E44" s="378">
        <f>IF(+I14&lt;F43,I14,D44)</f>
        <v>242472.75340909089</v>
      </c>
      <c r="F44" s="55">
        <f t="shared" si="19"/>
        <v>3944904.4490374904</v>
      </c>
      <c r="G44" s="379">
        <f t="shared" si="20"/>
        <v>728486.9032114076</v>
      </c>
      <c r="H44" s="364">
        <f t="shared" si="21"/>
        <v>728486.9032114076</v>
      </c>
      <c r="I44" s="52">
        <f t="shared" si="0"/>
        <v>0</v>
      </c>
      <c r="J44" s="52"/>
      <c r="K44" s="129"/>
      <c r="L44" s="54">
        <f t="shared" si="2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7"/>
        <v/>
      </c>
      <c r="C45" s="50">
        <f>IF(D11="","-",+C44+1)</f>
        <v>2045</v>
      </c>
      <c r="D45" s="55">
        <f>IF(F44+SUM(E$17:E44)=D$10,F44,D$10-SUM(E$17:E44))</f>
        <v>3944904.4490374904</v>
      </c>
      <c r="E45" s="378">
        <f>IF(+I14&lt;F44,I14,D45)</f>
        <v>242472.75340909089</v>
      </c>
      <c r="F45" s="55">
        <f t="shared" si="19"/>
        <v>3702431.6956283995</v>
      </c>
      <c r="G45" s="379">
        <f t="shared" si="20"/>
        <v>699504.83049216273</v>
      </c>
      <c r="H45" s="364">
        <f t="shared" si="21"/>
        <v>699504.83049216273</v>
      </c>
      <c r="I45" s="52">
        <f t="shared" si="0"/>
        <v>0</v>
      </c>
      <c r="J45" s="52"/>
      <c r="K45" s="129"/>
      <c r="L45" s="54">
        <f t="shared" si="2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7"/>
        <v/>
      </c>
      <c r="C46" s="50">
        <f>IF(D11="","-",+C45+1)</f>
        <v>2046</v>
      </c>
      <c r="D46" s="55">
        <f>IF(F45+SUM(E$17:E45)=D$10,F45,D$10-SUM(E$17:E45))</f>
        <v>3702431.6956283995</v>
      </c>
      <c r="E46" s="378">
        <f>IF(+I14&lt;F45,I14,D46)</f>
        <v>242472.75340909089</v>
      </c>
      <c r="F46" s="55">
        <f t="shared" si="19"/>
        <v>3459958.9422193086</v>
      </c>
      <c r="G46" s="379">
        <f t="shared" si="20"/>
        <v>670522.75777291786</v>
      </c>
      <c r="H46" s="364">
        <f t="shared" si="21"/>
        <v>670522.75777291786</v>
      </c>
      <c r="I46" s="52">
        <f t="shared" si="0"/>
        <v>0</v>
      </c>
      <c r="J46" s="52"/>
      <c r="K46" s="129"/>
      <c r="L46" s="54">
        <f t="shared" si="2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7"/>
        <v/>
      </c>
      <c r="C47" s="50">
        <f>IF(D11="","-",+C46+1)</f>
        <v>2047</v>
      </c>
      <c r="D47" s="55">
        <f>IF(F46+SUM(E$17:E46)=D$10,F46,D$10-SUM(E$17:E46))</f>
        <v>3459958.9422193086</v>
      </c>
      <c r="E47" s="378">
        <f>IF(+I14&lt;F46,I14,D47)</f>
        <v>242472.75340909089</v>
      </c>
      <c r="F47" s="55">
        <f t="shared" si="19"/>
        <v>3217486.1888102177</v>
      </c>
      <c r="G47" s="379">
        <f t="shared" si="20"/>
        <v>641540.68505367299</v>
      </c>
      <c r="H47" s="364">
        <f t="shared" si="21"/>
        <v>641540.68505367299</v>
      </c>
      <c r="I47" s="52">
        <f t="shared" si="0"/>
        <v>0</v>
      </c>
      <c r="J47" s="52"/>
      <c r="K47" s="129"/>
      <c r="L47" s="54">
        <f t="shared" si="2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7"/>
        <v/>
      </c>
      <c r="C48" s="50">
        <f>IF(D11="","-",+C47+1)</f>
        <v>2048</v>
      </c>
      <c r="D48" s="55">
        <f>IF(F47+SUM(E$17:E47)=D$10,F47,D$10-SUM(E$17:E47))</f>
        <v>3217486.1888102177</v>
      </c>
      <c r="E48" s="378">
        <f>IF(+I14&lt;F47,I14,D48)</f>
        <v>242472.75340909089</v>
      </c>
      <c r="F48" s="55">
        <f t="shared" si="19"/>
        <v>2975013.4354011267</v>
      </c>
      <c r="G48" s="379">
        <f t="shared" si="20"/>
        <v>612558.61233442812</v>
      </c>
      <c r="H48" s="364">
        <f t="shared" si="21"/>
        <v>612558.61233442812</v>
      </c>
      <c r="I48" s="52">
        <f t="shared" si="0"/>
        <v>0</v>
      </c>
      <c r="J48" s="52"/>
      <c r="K48" s="129"/>
      <c r="L48" s="54">
        <f t="shared" si="2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 ht="12.5">
      <c r="B49" s="7" t="str">
        <f t="shared" si="7"/>
        <v/>
      </c>
      <c r="C49" s="50">
        <f>IF(D11="","-",+C48+1)</f>
        <v>2049</v>
      </c>
      <c r="D49" s="55">
        <f>IF(F48+SUM(E$17:E48)=D$10,F48,D$10-SUM(E$17:E48))</f>
        <v>2975013.4354011267</v>
      </c>
      <c r="E49" s="378">
        <f>IF(+I14&lt;F48,I14,D49)</f>
        <v>242472.75340909089</v>
      </c>
      <c r="F49" s="55">
        <f t="shared" si="19"/>
        <v>2732540.6819920358</v>
      </c>
      <c r="G49" s="379">
        <f t="shared" ref="G49:G72" si="22">+I$12*((D49+F49)/2)+E49</f>
        <v>583576.53961518314</v>
      </c>
      <c r="H49" s="364">
        <f t="shared" ref="H49:H72" si="23">+I$13*((D49+F49)/2)+E49</f>
        <v>583576.53961518314</v>
      </c>
      <c r="I49" s="52">
        <f t="shared" si="0"/>
        <v>0</v>
      </c>
      <c r="J49" s="52"/>
      <c r="K49" s="129"/>
      <c r="L49" s="54">
        <f t="shared" si="2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 ht="12.5">
      <c r="B50" s="7" t="str">
        <f t="shared" si="7"/>
        <v/>
      </c>
      <c r="C50" s="50">
        <f>IF(D11="","-",+C49+1)</f>
        <v>2050</v>
      </c>
      <c r="D50" s="55">
        <f>IF(F49+SUM(E$17:E49)=D$10,F49,D$10-SUM(E$17:E49))</f>
        <v>2732540.6819920358</v>
      </c>
      <c r="E50" s="378">
        <f>IF(+I14&lt;F49,I14,D50)</f>
        <v>242472.75340909089</v>
      </c>
      <c r="F50" s="55">
        <f t="shared" si="19"/>
        <v>2490067.9285829449</v>
      </c>
      <c r="G50" s="379">
        <f t="shared" si="22"/>
        <v>554594.46689593839</v>
      </c>
      <c r="H50" s="364">
        <f t="shared" si="23"/>
        <v>554594.46689593839</v>
      </c>
      <c r="I50" s="52">
        <f t="shared" si="0"/>
        <v>0</v>
      </c>
      <c r="J50" s="52"/>
      <c r="K50" s="129"/>
      <c r="L50" s="54">
        <f t="shared" si="2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 ht="12.5">
      <c r="B51" s="7" t="str">
        <f t="shared" si="7"/>
        <v/>
      </c>
      <c r="C51" s="50">
        <f>IF(D11="","-",+C50+1)</f>
        <v>2051</v>
      </c>
      <c r="D51" s="55">
        <f>IF(F50+SUM(E$17:E50)=D$10,F50,D$10-SUM(E$17:E50))</f>
        <v>2490067.9285829449</v>
      </c>
      <c r="E51" s="378">
        <f>IF(+I14&lt;F50,I14,D51)</f>
        <v>242472.75340909089</v>
      </c>
      <c r="F51" s="55">
        <f t="shared" si="19"/>
        <v>2247595.175173854</v>
      </c>
      <c r="G51" s="379">
        <f t="shared" si="22"/>
        <v>525612.3941766934</v>
      </c>
      <c r="H51" s="364">
        <f t="shared" si="23"/>
        <v>525612.3941766934</v>
      </c>
      <c r="I51" s="52">
        <f t="shared" si="0"/>
        <v>0</v>
      </c>
      <c r="J51" s="52"/>
      <c r="K51" s="129"/>
      <c r="L51" s="54">
        <f t="shared" si="2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 ht="12.5">
      <c r="B52" s="7" t="str">
        <f t="shared" si="7"/>
        <v/>
      </c>
      <c r="C52" s="50">
        <f>IF(D11="","-",+C51+1)</f>
        <v>2052</v>
      </c>
      <c r="D52" s="55">
        <f>IF(F51+SUM(E$17:E51)=D$10,F51,D$10-SUM(E$17:E51))</f>
        <v>2247595.175173854</v>
      </c>
      <c r="E52" s="378">
        <f>IF(+I14&lt;F51,I14,D52)</f>
        <v>242472.75340909089</v>
      </c>
      <c r="F52" s="55">
        <f t="shared" si="19"/>
        <v>2005122.4217647631</v>
      </c>
      <c r="G52" s="379">
        <f t="shared" si="22"/>
        <v>496630.32145744859</v>
      </c>
      <c r="H52" s="364">
        <f t="shared" si="23"/>
        <v>496630.32145744859</v>
      </c>
      <c r="I52" s="52">
        <f t="shared" si="0"/>
        <v>0</v>
      </c>
      <c r="J52" s="52"/>
      <c r="K52" s="129"/>
      <c r="L52" s="54">
        <f t="shared" si="2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 ht="12.5">
      <c r="B53" s="7" t="str">
        <f t="shared" si="7"/>
        <v/>
      </c>
      <c r="C53" s="50">
        <f>IF(D11="","-",+C52+1)</f>
        <v>2053</v>
      </c>
      <c r="D53" s="55">
        <f>IF(F52+SUM(E$17:E52)=D$10,F52,D$10-SUM(E$17:E52))</f>
        <v>2005122.4217647631</v>
      </c>
      <c r="E53" s="378">
        <f>IF(+I14&lt;F52,I14,D53)</f>
        <v>242472.75340909089</v>
      </c>
      <c r="F53" s="55">
        <f t="shared" si="19"/>
        <v>1762649.6683556722</v>
      </c>
      <c r="G53" s="379">
        <f t="shared" si="22"/>
        <v>467648.24873820366</v>
      </c>
      <c r="H53" s="364">
        <f t="shared" si="23"/>
        <v>467648.24873820366</v>
      </c>
      <c r="I53" s="52">
        <f t="shared" si="0"/>
        <v>0</v>
      </c>
      <c r="J53" s="52"/>
      <c r="K53" s="129"/>
      <c r="L53" s="54">
        <f t="shared" si="2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 ht="12.5">
      <c r="B54" s="7" t="str">
        <f t="shared" si="7"/>
        <v/>
      </c>
      <c r="C54" s="50">
        <f>IF(D11="","-",+C53+1)</f>
        <v>2054</v>
      </c>
      <c r="D54" s="55">
        <f>IF(F53+SUM(E$17:E53)=D$10,F53,D$10-SUM(E$17:E53))</f>
        <v>1762649.6683556722</v>
      </c>
      <c r="E54" s="378">
        <f>IF(+I14&lt;F53,I14,D54)</f>
        <v>242472.75340909089</v>
      </c>
      <c r="F54" s="55">
        <f t="shared" si="19"/>
        <v>1520176.9149465812</v>
      </c>
      <c r="G54" s="379">
        <f t="shared" si="22"/>
        <v>438666.17601895879</v>
      </c>
      <c r="H54" s="364">
        <f t="shared" si="23"/>
        <v>438666.17601895879</v>
      </c>
      <c r="I54" s="52">
        <f t="shared" si="0"/>
        <v>0</v>
      </c>
      <c r="J54" s="52"/>
      <c r="K54" s="129"/>
      <c r="L54" s="54">
        <f t="shared" si="2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 ht="12.5">
      <c r="B55" s="7" t="str">
        <f t="shared" si="7"/>
        <v/>
      </c>
      <c r="C55" s="50">
        <f>IF(D11="","-",+C54+1)</f>
        <v>2055</v>
      </c>
      <c r="D55" s="55">
        <f>IF(F54+SUM(E$17:E54)=D$10,F54,D$10-SUM(E$17:E54))</f>
        <v>1520176.9149465812</v>
      </c>
      <c r="E55" s="378">
        <f>IF(+I14&lt;F54,I14,D55)</f>
        <v>242472.75340909089</v>
      </c>
      <c r="F55" s="55">
        <f t="shared" si="19"/>
        <v>1277704.1615374903</v>
      </c>
      <c r="G55" s="379">
        <f t="shared" si="22"/>
        <v>409684.10329971393</v>
      </c>
      <c r="H55" s="364">
        <f t="shared" si="23"/>
        <v>409684.10329971393</v>
      </c>
      <c r="I55" s="52">
        <f t="shared" si="0"/>
        <v>0</v>
      </c>
      <c r="J55" s="52"/>
      <c r="K55" s="129"/>
      <c r="L55" s="54">
        <f t="shared" si="2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 ht="12.5">
      <c r="B56" s="7" t="str">
        <f t="shared" si="7"/>
        <v/>
      </c>
      <c r="C56" s="50">
        <f>IF(D11="","-",+C55+1)</f>
        <v>2056</v>
      </c>
      <c r="D56" s="55">
        <f>IF(F55+SUM(E$17:E55)=D$10,F55,D$10-SUM(E$17:E55))</f>
        <v>1277704.1615374903</v>
      </c>
      <c r="E56" s="378">
        <f>IF(+I14&lt;F55,I14,D56)</f>
        <v>242472.75340909089</v>
      </c>
      <c r="F56" s="55">
        <f t="shared" si="19"/>
        <v>1035231.4081283994</v>
      </c>
      <c r="G56" s="379">
        <f t="shared" si="22"/>
        <v>380702.03058046906</v>
      </c>
      <c r="H56" s="364">
        <f t="shared" si="23"/>
        <v>380702.03058046906</v>
      </c>
      <c r="I56" s="52">
        <f t="shared" si="0"/>
        <v>0</v>
      </c>
      <c r="J56" s="52"/>
      <c r="K56" s="129"/>
      <c r="L56" s="54">
        <f t="shared" si="2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 ht="12.5">
      <c r="B57" s="7" t="str">
        <f t="shared" si="7"/>
        <v/>
      </c>
      <c r="C57" s="50">
        <f>IF(D11="","-",+C56+1)</f>
        <v>2057</v>
      </c>
      <c r="D57" s="55">
        <f>IF(F56+SUM(E$17:E56)=D$10,F56,D$10-SUM(E$17:E56))</f>
        <v>1035231.4081283994</v>
      </c>
      <c r="E57" s="378">
        <f>IF(+I14&lt;F56,I14,D57)</f>
        <v>242472.75340909089</v>
      </c>
      <c r="F57" s="55">
        <f t="shared" si="19"/>
        <v>792758.65471930848</v>
      </c>
      <c r="G57" s="379">
        <f t="shared" si="22"/>
        <v>351719.95786122413</v>
      </c>
      <c r="H57" s="364">
        <f t="shared" si="23"/>
        <v>351719.95786122413</v>
      </c>
      <c r="I57" s="52">
        <f t="shared" si="0"/>
        <v>0</v>
      </c>
      <c r="J57" s="52"/>
      <c r="K57" s="129"/>
      <c r="L57" s="54">
        <f t="shared" si="2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 ht="12.5">
      <c r="B58" s="7" t="str">
        <f t="shared" si="7"/>
        <v/>
      </c>
      <c r="C58" s="50">
        <f>IF(D11="","-",+C57+1)</f>
        <v>2058</v>
      </c>
      <c r="D58" s="55">
        <f>IF(F57+SUM(E$17:E57)=D$10,F57,D$10-SUM(E$17:E57))</f>
        <v>792758.65471930848</v>
      </c>
      <c r="E58" s="378">
        <f>IF(+I14&lt;F57,I14,D58)</f>
        <v>242472.75340909089</v>
      </c>
      <c r="F58" s="55">
        <f t="shared" si="19"/>
        <v>550285.90131021757</v>
      </c>
      <c r="G58" s="379">
        <f t="shared" si="22"/>
        <v>322737.88514197926</v>
      </c>
      <c r="H58" s="364">
        <f t="shared" si="23"/>
        <v>322737.88514197926</v>
      </c>
      <c r="I58" s="52">
        <f t="shared" si="0"/>
        <v>0</v>
      </c>
      <c r="J58" s="52"/>
      <c r="K58" s="129"/>
      <c r="L58" s="54">
        <f t="shared" si="2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 ht="12.5">
      <c r="B59" s="7" t="str">
        <f t="shared" si="7"/>
        <v/>
      </c>
      <c r="C59" s="50">
        <f>IF(D11="","-",+C58+1)</f>
        <v>2059</v>
      </c>
      <c r="D59" s="55">
        <f>IF(F58+SUM(E$17:E58)=D$10,F58,D$10-SUM(E$17:E58))</f>
        <v>550285.90131021757</v>
      </c>
      <c r="E59" s="378">
        <f>IF(+I14&lt;F58,I14,D59)</f>
        <v>242472.75340909089</v>
      </c>
      <c r="F59" s="55">
        <f t="shared" si="19"/>
        <v>307813.14790112665</v>
      </c>
      <c r="G59" s="379">
        <f t="shared" si="22"/>
        <v>293755.81242273439</v>
      </c>
      <c r="H59" s="364">
        <f t="shared" si="23"/>
        <v>293755.81242273439</v>
      </c>
      <c r="I59" s="52">
        <f t="shared" si="0"/>
        <v>0</v>
      </c>
      <c r="J59" s="52"/>
      <c r="K59" s="129"/>
      <c r="L59" s="54">
        <f t="shared" si="2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 ht="12.5">
      <c r="B60" s="7" t="str">
        <f t="shared" si="7"/>
        <v/>
      </c>
      <c r="C60" s="50">
        <f>IF(D11="","-",+C59+1)</f>
        <v>2060</v>
      </c>
      <c r="D60" s="55">
        <f>IF(F59+SUM(E$17:E59)=D$10,F59,D$10-SUM(E$17:E59))</f>
        <v>307813.14790112665</v>
      </c>
      <c r="E60" s="378">
        <f>IF(+I14&lt;F59,I14,D60)</f>
        <v>242472.75340909089</v>
      </c>
      <c r="F60" s="55">
        <f t="shared" si="19"/>
        <v>65340.394492035761</v>
      </c>
      <c r="G60" s="379">
        <f t="shared" si="22"/>
        <v>264773.73970348947</v>
      </c>
      <c r="H60" s="364">
        <f t="shared" si="23"/>
        <v>264773.73970348947</v>
      </c>
      <c r="I60" s="52">
        <f t="shared" si="0"/>
        <v>0</v>
      </c>
      <c r="J60" s="52"/>
      <c r="K60" s="129"/>
      <c r="L60" s="54">
        <f t="shared" si="2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 ht="12.5">
      <c r="B61" s="7" t="str">
        <f t="shared" si="7"/>
        <v/>
      </c>
      <c r="C61" s="50">
        <f>IF(D11="","-",+C60+1)</f>
        <v>2061</v>
      </c>
      <c r="D61" s="55">
        <f>IF(F60+SUM(E$17:E60)=D$10,F60,D$10-SUM(E$17:E60))</f>
        <v>65340.394492035761</v>
      </c>
      <c r="E61" s="378">
        <f>IF(+I14&lt;F60,I14,D61)</f>
        <v>65340.394492035761</v>
      </c>
      <c r="F61" s="55">
        <f t="shared" si="19"/>
        <v>0</v>
      </c>
      <c r="G61" s="380">
        <f t="shared" si="22"/>
        <v>69245.369459423848</v>
      </c>
      <c r="H61" s="364">
        <f t="shared" si="23"/>
        <v>69245.369459423848</v>
      </c>
      <c r="I61" s="52">
        <f t="shared" si="0"/>
        <v>0</v>
      </c>
      <c r="J61" s="52"/>
      <c r="K61" s="129"/>
      <c r="L61" s="54">
        <f t="shared" si="2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 ht="12.5">
      <c r="B62" s="7" t="str">
        <f t="shared" si="7"/>
        <v/>
      </c>
      <c r="C62" s="50">
        <f>IF(D11="","-",+C61+1)</f>
        <v>2062</v>
      </c>
      <c r="D62" s="55">
        <f>IF(F61+SUM(E$17:E61)=D$10,F61,D$10-SUM(E$17:E61))</f>
        <v>0</v>
      </c>
      <c r="E62" s="378">
        <f>IF(+I14&lt;F61,I14,D62)</f>
        <v>0</v>
      </c>
      <c r="F62" s="55">
        <f t="shared" si="19"/>
        <v>0</v>
      </c>
      <c r="G62" s="380">
        <f t="shared" si="22"/>
        <v>0</v>
      </c>
      <c r="H62" s="364">
        <f t="shared" si="23"/>
        <v>0</v>
      </c>
      <c r="I62" s="52">
        <f t="shared" si="0"/>
        <v>0</v>
      </c>
      <c r="J62" s="52"/>
      <c r="K62" s="129"/>
      <c r="L62" s="54">
        <f t="shared" si="2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 ht="12.5">
      <c r="B63" s="7" t="str">
        <f t="shared" si="7"/>
        <v/>
      </c>
      <c r="C63" s="50">
        <f>IF(D11="","-",+C62+1)</f>
        <v>2063</v>
      </c>
      <c r="D63" s="55">
        <f>IF(F62+SUM(E$17:E62)=D$10,F62,D$10-SUM(E$17:E62))</f>
        <v>0</v>
      </c>
      <c r="E63" s="378">
        <f>IF(+I14&lt;F62,I14,D63)</f>
        <v>0</v>
      </c>
      <c r="F63" s="55">
        <f t="shared" si="19"/>
        <v>0</v>
      </c>
      <c r="G63" s="380">
        <f t="shared" si="22"/>
        <v>0</v>
      </c>
      <c r="H63" s="364">
        <f t="shared" si="23"/>
        <v>0</v>
      </c>
      <c r="I63" s="52">
        <f t="shared" si="0"/>
        <v>0</v>
      </c>
      <c r="J63" s="52"/>
      <c r="K63" s="129"/>
      <c r="L63" s="54">
        <f t="shared" si="2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 ht="12.5">
      <c r="B64" s="7" t="str">
        <f t="shared" si="7"/>
        <v/>
      </c>
      <c r="C64" s="50">
        <f>IF(D11="","-",+C63+1)</f>
        <v>2064</v>
      </c>
      <c r="D64" s="55">
        <f>IF(F63+SUM(E$17:E63)=D$10,F63,D$10-SUM(E$17:E63))</f>
        <v>0</v>
      </c>
      <c r="E64" s="378">
        <f>IF(+I14&lt;F63,I14,D64)</f>
        <v>0</v>
      </c>
      <c r="F64" s="55">
        <f t="shared" si="19"/>
        <v>0</v>
      </c>
      <c r="G64" s="380">
        <f t="shared" si="22"/>
        <v>0</v>
      </c>
      <c r="H64" s="364">
        <f t="shared" si="23"/>
        <v>0</v>
      </c>
      <c r="I64" s="52">
        <f t="shared" si="0"/>
        <v>0</v>
      </c>
      <c r="J64" s="52"/>
      <c r="K64" s="129"/>
      <c r="L64" s="54">
        <f t="shared" si="2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 ht="12.5">
      <c r="B65" s="7" t="str">
        <f t="shared" si="7"/>
        <v/>
      </c>
      <c r="C65" s="50">
        <f>IF(D11="","-",+C64+1)</f>
        <v>2065</v>
      </c>
      <c r="D65" s="55">
        <f>IF(F64+SUM(E$17:E64)=D$10,F64,D$10-SUM(E$17:E64))</f>
        <v>0</v>
      </c>
      <c r="E65" s="378">
        <f>IF(+I14&lt;F64,I14,D65)</f>
        <v>0</v>
      </c>
      <c r="F65" s="55">
        <f t="shared" si="19"/>
        <v>0</v>
      </c>
      <c r="G65" s="380">
        <f t="shared" si="22"/>
        <v>0</v>
      </c>
      <c r="H65" s="364">
        <f t="shared" si="23"/>
        <v>0</v>
      </c>
      <c r="I65" s="52">
        <f t="shared" si="0"/>
        <v>0</v>
      </c>
      <c r="J65" s="52"/>
      <c r="K65" s="129"/>
      <c r="L65" s="54">
        <f t="shared" si="2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 ht="12.5">
      <c r="B66" s="7" t="str">
        <f t="shared" si="7"/>
        <v/>
      </c>
      <c r="C66" s="50">
        <f>IF(D11="","-",+C65+1)</f>
        <v>2066</v>
      </c>
      <c r="D66" s="55">
        <f>IF(F65+SUM(E$17:E65)=D$10,F65,D$10-SUM(E$17:E65))</f>
        <v>0</v>
      </c>
      <c r="E66" s="378">
        <f>IF(+I14&lt;F65,I14,D66)</f>
        <v>0</v>
      </c>
      <c r="F66" s="55">
        <f t="shared" si="19"/>
        <v>0</v>
      </c>
      <c r="G66" s="380">
        <f t="shared" si="22"/>
        <v>0</v>
      </c>
      <c r="H66" s="364">
        <f t="shared" si="23"/>
        <v>0</v>
      </c>
      <c r="I66" s="52">
        <f t="shared" si="0"/>
        <v>0</v>
      </c>
      <c r="J66" s="52"/>
      <c r="K66" s="129"/>
      <c r="L66" s="54">
        <f t="shared" si="2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 ht="12.5">
      <c r="B67" s="7" t="str">
        <f t="shared" si="7"/>
        <v/>
      </c>
      <c r="C67" s="50">
        <f>IF(D11="","-",+C66+1)</f>
        <v>2067</v>
      </c>
      <c r="D67" s="55">
        <f>IF(F66+SUM(E$17:E66)=D$10,F66,D$10-SUM(E$17:E66))</f>
        <v>0</v>
      </c>
      <c r="E67" s="378">
        <f>IF(+I14&lt;F66,I14,D67)</f>
        <v>0</v>
      </c>
      <c r="F67" s="55">
        <f t="shared" si="19"/>
        <v>0</v>
      </c>
      <c r="G67" s="380">
        <f t="shared" si="22"/>
        <v>0</v>
      </c>
      <c r="H67" s="364">
        <f t="shared" si="23"/>
        <v>0</v>
      </c>
      <c r="I67" s="52">
        <f t="shared" si="0"/>
        <v>0</v>
      </c>
      <c r="J67" s="52"/>
      <c r="K67" s="129"/>
      <c r="L67" s="54">
        <f t="shared" si="2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 ht="12.5">
      <c r="B68" s="7" t="str">
        <f t="shared" si="7"/>
        <v/>
      </c>
      <c r="C68" s="50">
        <f>IF(D11="","-",+C67+1)</f>
        <v>2068</v>
      </c>
      <c r="D68" s="55">
        <f>IF(F67+SUM(E$17:E67)=D$10,F67,D$10-SUM(E$17:E67))</f>
        <v>0</v>
      </c>
      <c r="E68" s="378">
        <f>IF(+I14&lt;F67,I14,D68)</f>
        <v>0</v>
      </c>
      <c r="F68" s="55">
        <f t="shared" si="19"/>
        <v>0</v>
      </c>
      <c r="G68" s="380">
        <f t="shared" si="22"/>
        <v>0</v>
      </c>
      <c r="H68" s="364">
        <f t="shared" si="23"/>
        <v>0</v>
      </c>
      <c r="I68" s="52">
        <f t="shared" si="0"/>
        <v>0</v>
      </c>
      <c r="J68" s="52"/>
      <c r="K68" s="129"/>
      <c r="L68" s="54">
        <f t="shared" si="2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 ht="12.5">
      <c r="B69" s="7" t="str">
        <f t="shared" si="7"/>
        <v/>
      </c>
      <c r="C69" s="50">
        <f>IF(D11="","-",+C68+1)</f>
        <v>2069</v>
      </c>
      <c r="D69" s="55">
        <f>IF(F68+SUM(E$17:E68)=D$10,F68,D$10-SUM(E$17:E68))</f>
        <v>0</v>
      </c>
      <c r="E69" s="378">
        <f>IF(+I14&lt;F68,I14,D69)</f>
        <v>0</v>
      </c>
      <c r="F69" s="55">
        <f t="shared" si="19"/>
        <v>0</v>
      </c>
      <c r="G69" s="380">
        <f t="shared" si="22"/>
        <v>0</v>
      </c>
      <c r="H69" s="364">
        <f t="shared" si="23"/>
        <v>0</v>
      </c>
      <c r="I69" s="52">
        <f t="shared" si="0"/>
        <v>0</v>
      </c>
      <c r="J69" s="52"/>
      <c r="K69" s="129"/>
      <c r="L69" s="54">
        <f t="shared" si="2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 ht="12.5">
      <c r="B70" s="7" t="str">
        <f t="shared" si="7"/>
        <v/>
      </c>
      <c r="C70" s="50">
        <f>IF(D11="","-",+C69+1)</f>
        <v>2070</v>
      </c>
      <c r="D70" s="55">
        <f>IF(F69+SUM(E$17:E69)=D$10,F69,D$10-SUM(E$17:E69))</f>
        <v>0</v>
      </c>
      <c r="E70" s="378">
        <f>IF(+I14&lt;F69,I14,D70)</f>
        <v>0</v>
      </c>
      <c r="F70" s="55">
        <f t="shared" si="19"/>
        <v>0</v>
      </c>
      <c r="G70" s="380">
        <f t="shared" si="22"/>
        <v>0</v>
      </c>
      <c r="H70" s="364">
        <f t="shared" si="23"/>
        <v>0</v>
      </c>
      <c r="I70" s="52">
        <f t="shared" si="0"/>
        <v>0</v>
      </c>
      <c r="J70" s="52"/>
      <c r="K70" s="129"/>
      <c r="L70" s="54">
        <f t="shared" si="2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 ht="12.5">
      <c r="B71" s="7" t="str">
        <f t="shared" si="7"/>
        <v/>
      </c>
      <c r="C71" s="50">
        <f>IF(D11="","-",+C70+1)</f>
        <v>2071</v>
      </c>
      <c r="D71" s="55">
        <f>IF(F70+SUM(E$17:E70)=D$10,F70,D$10-SUM(E$17:E70))</f>
        <v>0</v>
      </c>
      <c r="E71" s="378">
        <f>IF(+I14&lt;F70,I14,D71)</f>
        <v>0</v>
      </c>
      <c r="F71" s="55">
        <f t="shared" si="19"/>
        <v>0</v>
      </c>
      <c r="G71" s="380">
        <f t="shared" si="22"/>
        <v>0</v>
      </c>
      <c r="H71" s="364">
        <f t="shared" si="23"/>
        <v>0</v>
      </c>
      <c r="I71" s="52">
        <f t="shared" si="0"/>
        <v>0</v>
      </c>
      <c r="J71" s="52"/>
      <c r="K71" s="129"/>
      <c r="L71" s="54">
        <f t="shared" si="2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" thickBot="1">
      <c r="B72" s="7" t="str">
        <f t="shared" si="7"/>
        <v/>
      </c>
      <c r="C72" s="59">
        <f>IF(D11="","-",+C71+1)</f>
        <v>2072</v>
      </c>
      <c r="D72" s="60">
        <f>IF(F71+SUM(E$17:E71)=D$10,F71,D$10-SUM(E$17:E71))</f>
        <v>0</v>
      </c>
      <c r="E72" s="381">
        <f>IF(+I14&lt;F71,I14,D72)</f>
        <v>0</v>
      </c>
      <c r="F72" s="60">
        <f t="shared" si="19"/>
        <v>0</v>
      </c>
      <c r="G72" s="382">
        <f t="shared" si="22"/>
        <v>0</v>
      </c>
      <c r="H72" s="362">
        <f t="shared" si="23"/>
        <v>0</v>
      </c>
      <c r="I72" s="63">
        <f t="shared" si="0"/>
        <v>0</v>
      </c>
      <c r="J72" s="52"/>
      <c r="K72" s="130"/>
      <c r="L72" s="64">
        <f t="shared" si="2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 ht="12.5">
      <c r="C73" s="12" t="s">
        <v>78</v>
      </c>
      <c r="D73" s="293"/>
      <c r="E73" s="293">
        <f>SUM(E17:E72)</f>
        <v>10668801.150000002</v>
      </c>
      <c r="F73" s="293"/>
      <c r="G73" s="293">
        <f>SUM(G17:G72)</f>
        <v>37861716.983042136</v>
      </c>
      <c r="H73" s="293">
        <f>SUM(H17:H72)</f>
        <v>37861716.983042136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 ht="13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67 of 77</v>
      </c>
    </row>
    <row r="84" spans="1:16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1308128.3575963045</v>
      </c>
      <c r="N87" s="387">
        <f>IF(J92&lt;D11,0,VLOOKUP(J92,C17:O72,11))</f>
        <v>1308128.3575963045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1344036.8161199351</v>
      </c>
      <c r="N88" s="390">
        <f>IF(J92&lt;D11,0,VLOOKUP(J92,C99:P154,7))</f>
        <v>1344036.8161199351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Chamber Springs - Farmington 161 kV Line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35908.45852363063</v>
      </c>
      <c r="N89" s="392">
        <f>+N88-N87</f>
        <v>35908.45852363063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TP2011147</v>
      </c>
      <c r="E91" s="76" t="str">
        <f>E9</f>
        <v xml:space="preserve">  SPP Project ID = 451</v>
      </c>
      <c r="F91" s="76"/>
      <c r="G91" s="76"/>
      <c r="H91" s="76"/>
      <c r="I91" s="76"/>
      <c r="J91" s="76"/>
    </row>
    <row r="92" spans="1:16" ht="13">
      <c r="C92" s="34" t="s">
        <v>51</v>
      </c>
      <c r="D92" s="394">
        <f>D10</f>
        <v>10668801.149999999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</row>
    <row r="93" spans="1:16" ht="12.5">
      <c r="C93" s="34" t="s">
        <v>54</v>
      </c>
      <c r="D93" s="88">
        <f>IF(D11=I10,"",D11)</f>
        <v>2017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4">
        <f>IF(D11=I10,"",D12)</f>
        <v>3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242472.75340909089</v>
      </c>
      <c r="K96" s="293"/>
      <c r="L96" s="293"/>
      <c r="M96" s="293"/>
      <c r="N96" s="293"/>
      <c r="O96" s="293"/>
      <c r="P96" s="1"/>
    </row>
    <row r="97" spans="1:16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5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 ht="12.5">
      <c r="C99" s="50">
        <f>IF(D93= "","-",D93)</f>
        <v>2017</v>
      </c>
      <c r="D99" s="429">
        <v>0</v>
      </c>
      <c r="E99" s="430">
        <v>188640.89285714284</v>
      </c>
      <c r="F99" s="431">
        <v>10375249.107142856</v>
      </c>
      <c r="G99" s="431">
        <v>5187624.5535714282</v>
      </c>
      <c r="H99" s="433">
        <v>818789.20929668087</v>
      </c>
      <c r="I99" s="434">
        <v>818789.20929668087</v>
      </c>
      <c r="J99" s="54">
        <f t="shared" ref="J99:J130" si="24">+I99-H99</f>
        <v>0</v>
      </c>
      <c r="K99" s="54"/>
      <c r="L99" s="112">
        <f t="shared" ref="L99:L104" si="25">+H99</f>
        <v>818789.20929668087</v>
      </c>
      <c r="M99" s="53">
        <f t="shared" ref="M99:M130" si="26">IF(L99&lt;&gt;0,+H99-L99,0)</f>
        <v>0</v>
      </c>
      <c r="N99" s="112">
        <f t="shared" ref="N99:N104" si="27">+I99</f>
        <v>818789.20929668087</v>
      </c>
      <c r="O99" s="53">
        <f t="shared" ref="O99:O130" si="28">IF(N99&lt;&gt;0,+I99-N99,0)</f>
        <v>0</v>
      </c>
      <c r="P99" s="53">
        <f t="shared" ref="P99:P130" si="29">+O99-M99</f>
        <v>0</v>
      </c>
    </row>
    <row r="100" spans="1:16" ht="12.5">
      <c r="B100" s="7" t="str">
        <f>IF(D100=F99,"","IU")</f>
        <v>IU</v>
      </c>
      <c r="C100" s="50">
        <f>IF(D93="","-",+C99+1)</f>
        <v>2018</v>
      </c>
      <c r="D100" s="429">
        <v>10481630.107142856</v>
      </c>
      <c r="E100" s="430">
        <v>254054.07142857142</v>
      </c>
      <c r="F100" s="431">
        <v>10227576.035714285</v>
      </c>
      <c r="G100" s="431">
        <v>10354603.071428571</v>
      </c>
      <c r="H100" s="433">
        <v>1347547.6401151039</v>
      </c>
      <c r="I100" s="434">
        <v>1347547.6401151039</v>
      </c>
      <c r="J100" s="54">
        <f t="shared" si="24"/>
        <v>0</v>
      </c>
      <c r="K100" s="54"/>
      <c r="L100" s="450">
        <f t="shared" si="25"/>
        <v>1347547.6401151039</v>
      </c>
      <c r="M100" s="54">
        <f t="shared" si="26"/>
        <v>0</v>
      </c>
      <c r="N100" s="450">
        <f t="shared" si="27"/>
        <v>1347547.6401151039</v>
      </c>
      <c r="O100" s="54">
        <f t="shared" si="28"/>
        <v>0</v>
      </c>
      <c r="P100" s="54">
        <f t="shared" si="29"/>
        <v>0</v>
      </c>
    </row>
    <row r="101" spans="1:16" ht="12.5">
      <c r="B101" s="7" t="str">
        <f t="shared" ref="B101:B154" si="30">IF(D101=F100,"","IU")</f>
        <v>IU</v>
      </c>
      <c r="C101" s="50">
        <f>IF(D93="","-",+C100+1)</f>
        <v>2019</v>
      </c>
      <c r="D101" s="429">
        <v>10226106.035714285</v>
      </c>
      <c r="E101" s="430">
        <v>248111.65116279069</v>
      </c>
      <c r="F101" s="431">
        <v>9977994.3845514953</v>
      </c>
      <c r="G101" s="431">
        <v>10102050.210132889</v>
      </c>
      <c r="H101" s="433">
        <v>1329440.626850764</v>
      </c>
      <c r="I101" s="434">
        <v>1329440.626850764</v>
      </c>
      <c r="J101" s="54">
        <f t="shared" si="24"/>
        <v>0</v>
      </c>
      <c r="K101" s="54"/>
      <c r="L101" s="450">
        <f t="shared" si="25"/>
        <v>1329440.626850764</v>
      </c>
      <c r="M101" s="54">
        <f t="shared" ref="M101" si="31">IF(L101&lt;&gt;0,+H101-L101,0)</f>
        <v>0</v>
      </c>
      <c r="N101" s="450">
        <f t="shared" si="27"/>
        <v>1329440.626850764</v>
      </c>
      <c r="O101" s="54">
        <f t="shared" si="28"/>
        <v>0</v>
      </c>
      <c r="P101" s="54">
        <f t="shared" si="29"/>
        <v>0</v>
      </c>
    </row>
    <row r="102" spans="1:16" ht="12.5">
      <c r="B102" s="7" t="str">
        <f t="shared" si="30"/>
        <v/>
      </c>
      <c r="C102" s="50">
        <f>IF(D93="","-",+C101+1)</f>
        <v>2020</v>
      </c>
      <c r="D102" s="429">
        <v>9977994.3845514953</v>
      </c>
      <c r="E102" s="430">
        <v>254019.07142857142</v>
      </c>
      <c r="F102" s="431">
        <v>9723975.3131229244</v>
      </c>
      <c r="G102" s="431">
        <v>9850984.8488372099</v>
      </c>
      <c r="H102" s="433">
        <v>1313727.2655246886</v>
      </c>
      <c r="I102" s="434">
        <v>1313727.2655246886</v>
      </c>
      <c r="J102" s="54">
        <f t="shared" si="24"/>
        <v>0</v>
      </c>
      <c r="K102" s="54"/>
      <c r="L102" s="450">
        <f t="shared" si="25"/>
        <v>1313727.2655246886</v>
      </c>
      <c r="M102" s="54">
        <f t="shared" ref="M102" si="32">IF(L102&lt;&gt;0,+H102-L102,0)</f>
        <v>0</v>
      </c>
      <c r="N102" s="450">
        <f t="shared" si="27"/>
        <v>1313727.2655246886</v>
      </c>
      <c r="O102" s="54">
        <f t="shared" si="28"/>
        <v>0</v>
      </c>
      <c r="P102" s="54">
        <f t="shared" si="29"/>
        <v>0</v>
      </c>
    </row>
    <row r="103" spans="1:16" ht="12.5">
      <c r="B103" s="7" t="str">
        <f t="shared" si="30"/>
        <v/>
      </c>
      <c r="C103" s="50">
        <f>IF(D93="","-",+C102+1)</f>
        <v>2021</v>
      </c>
      <c r="D103" s="429">
        <v>9723975.3131229244</v>
      </c>
      <c r="E103" s="430">
        <v>260214.65853658537</v>
      </c>
      <c r="F103" s="431">
        <v>9463760.6545863394</v>
      </c>
      <c r="G103" s="431">
        <v>9593867.9838546328</v>
      </c>
      <c r="H103" s="433">
        <v>1349255.1606370155</v>
      </c>
      <c r="I103" s="434">
        <v>1349255.1606370155</v>
      </c>
      <c r="J103" s="54">
        <f t="shared" si="24"/>
        <v>0</v>
      </c>
      <c r="K103" s="54"/>
      <c r="L103" s="450">
        <f t="shared" si="25"/>
        <v>1349255.1606370155</v>
      </c>
      <c r="M103" s="54">
        <f t="shared" ref="M103" si="33">IF(L103&lt;&gt;0,+H103-L103,0)</f>
        <v>0</v>
      </c>
      <c r="N103" s="450">
        <f t="shared" si="27"/>
        <v>1349255.1606370155</v>
      </c>
      <c r="O103" s="54">
        <f t="shared" si="28"/>
        <v>0</v>
      </c>
      <c r="P103" s="54">
        <f t="shared" si="29"/>
        <v>0</v>
      </c>
    </row>
    <row r="104" spans="1:16" ht="12.5">
      <c r="B104" s="7" t="str">
        <f t="shared" si="30"/>
        <v/>
      </c>
      <c r="C104" s="50">
        <f>IF(D93="","-",+C103+1)</f>
        <v>2022</v>
      </c>
      <c r="D104" s="429">
        <v>9463760.6545863394</v>
      </c>
      <c r="E104" s="430">
        <v>254019.07142857142</v>
      </c>
      <c r="F104" s="431">
        <v>9209741.5831577685</v>
      </c>
      <c r="G104" s="431">
        <v>9336751.1188720539</v>
      </c>
      <c r="H104" s="433">
        <v>1350693.7188751008</v>
      </c>
      <c r="I104" s="434">
        <v>1350693.7188751008</v>
      </c>
      <c r="J104" s="54">
        <f t="shared" si="24"/>
        <v>0</v>
      </c>
      <c r="K104" s="54"/>
      <c r="L104" s="450">
        <f t="shared" si="25"/>
        <v>1350693.7188751008</v>
      </c>
      <c r="M104" s="54">
        <f t="shared" ref="M104" si="34">IF(L104&lt;&gt;0,+H104-L104,0)</f>
        <v>0</v>
      </c>
      <c r="N104" s="450">
        <f t="shared" si="27"/>
        <v>1350693.7188751008</v>
      </c>
      <c r="O104" s="54">
        <f t="shared" ref="O104" si="35">IF(N104&lt;&gt;0,+I104-N104,0)</f>
        <v>0</v>
      </c>
      <c r="P104" s="54">
        <f t="shared" ref="P104" si="36">+O104-M104</f>
        <v>0</v>
      </c>
    </row>
    <row r="105" spans="1:16" ht="12.5">
      <c r="B105" s="7" t="str">
        <f t="shared" si="30"/>
        <v>IU</v>
      </c>
      <c r="C105" s="50">
        <f>IF(D93="","-",+C104+1)</f>
        <v>2023</v>
      </c>
      <c r="D105" s="429">
        <v>9209741.7331577651</v>
      </c>
      <c r="E105" s="430">
        <v>242472.75340909089</v>
      </c>
      <c r="F105" s="431">
        <v>8967268.9797486737</v>
      </c>
      <c r="G105" s="431">
        <v>9088505.3564532194</v>
      </c>
      <c r="H105" s="433">
        <v>1363676.7276190531</v>
      </c>
      <c r="I105" s="434">
        <v>1363676.7276190531</v>
      </c>
      <c r="J105" s="54">
        <f t="shared" si="24"/>
        <v>0</v>
      </c>
      <c r="K105" s="54"/>
      <c r="L105" s="450">
        <f t="shared" ref="L105" si="37">+H105</f>
        <v>1363676.7276190531</v>
      </c>
      <c r="M105" s="54">
        <f t="shared" ref="M105" si="38">IF(L105&lt;&gt;0,+H105-L105,0)</f>
        <v>0</v>
      </c>
      <c r="N105" s="450">
        <f t="shared" ref="N105" si="39">+I105</f>
        <v>1363676.7276190531</v>
      </c>
      <c r="O105" s="54">
        <f t="shared" ref="O105" si="40">IF(N105&lt;&gt;0,+I105-N105,0)</f>
        <v>0</v>
      </c>
      <c r="P105" s="54">
        <f t="shared" ref="P105" si="41">+O105-M105</f>
        <v>0</v>
      </c>
    </row>
    <row r="106" spans="1:16" ht="12.5">
      <c r="B106" s="7" t="str">
        <f t="shared" si="30"/>
        <v/>
      </c>
      <c r="C106" s="50">
        <f>IF(D93="","-",+C105+1)</f>
        <v>2024</v>
      </c>
      <c r="D106" s="12">
        <f>IF(F105+SUM(E$99:E105)=D$92,F105,D$92-SUM(E$99:E105))</f>
        <v>8967268.9797486737</v>
      </c>
      <c r="E106" s="378">
        <f>IF(+J96&lt;F105,J96,D106)</f>
        <v>242472.75340909089</v>
      </c>
      <c r="F106" s="55">
        <f t="shared" ref="F106:F130" si="42">+D106-E106</f>
        <v>8724796.2263395824</v>
      </c>
      <c r="G106" s="55">
        <f t="shared" ref="G106:G130" si="43">+(F106+D106)/2</f>
        <v>8846032.603044128</v>
      </c>
      <c r="H106" s="380">
        <f t="shared" ref="H106:H154" si="44">+J$94*G106+E106</f>
        <v>1344036.8161199351</v>
      </c>
      <c r="I106" s="399">
        <f t="shared" ref="I106:I154" si="45">+J$95*G106+E106</f>
        <v>1344036.8161199351</v>
      </c>
      <c r="J106" s="54">
        <f t="shared" si="24"/>
        <v>0</v>
      </c>
      <c r="K106" s="54"/>
      <c r="L106" s="129"/>
      <c r="M106" s="54">
        <f t="shared" si="26"/>
        <v>0</v>
      </c>
      <c r="N106" s="129"/>
      <c r="O106" s="54">
        <f t="shared" si="28"/>
        <v>0</v>
      </c>
      <c r="P106" s="54">
        <f t="shared" si="29"/>
        <v>0</v>
      </c>
    </row>
    <row r="107" spans="1:16" ht="12.5">
      <c r="B107" s="7" t="str">
        <f t="shared" si="30"/>
        <v/>
      </c>
      <c r="C107" s="50">
        <f>IF(D93="","-",+C106+1)</f>
        <v>2025</v>
      </c>
      <c r="D107" s="12">
        <f>IF(F106+SUM(E$99:E106)=D$92,F106,D$92-SUM(E$99:E106))</f>
        <v>8724796.2263395824</v>
      </c>
      <c r="E107" s="378">
        <f>IF(+J96&lt;F106,J96,D107)</f>
        <v>242472.75340909089</v>
      </c>
      <c r="F107" s="55">
        <f t="shared" si="42"/>
        <v>8482323.472930491</v>
      </c>
      <c r="G107" s="55">
        <f t="shared" si="43"/>
        <v>8603559.8496350367</v>
      </c>
      <c r="H107" s="380">
        <f t="shared" si="44"/>
        <v>1313842.5716119409</v>
      </c>
      <c r="I107" s="399">
        <f t="shared" si="45"/>
        <v>1313842.5716119409</v>
      </c>
      <c r="J107" s="54">
        <f t="shared" si="24"/>
        <v>0</v>
      </c>
      <c r="K107" s="54"/>
      <c r="L107" s="129"/>
      <c r="M107" s="54">
        <f t="shared" si="26"/>
        <v>0</v>
      </c>
      <c r="N107" s="129"/>
      <c r="O107" s="54">
        <f t="shared" si="28"/>
        <v>0</v>
      </c>
      <c r="P107" s="54">
        <f t="shared" si="29"/>
        <v>0</v>
      </c>
    </row>
    <row r="108" spans="1:16" ht="12.5">
      <c r="B108" s="7" t="str">
        <f t="shared" si="30"/>
        <v/>
      </c>
      <c r="C108" s="50">
        <f>IF(D93="","-",+C107+1)</f>
        <v>2026</v>
      </c>
      <c r="D108" s="12">
        <f>IF(F107+SUM(E$99:E107)=D$92,F107,D$92-SUM(E$99:E107))</f>
        <v>8482323.472930491</v>
      </c>
      <c r="E108" s="378">
        <f>IF(+J96&lt;F107,J96,D108)</f>
        <v>242472.75340909089</v>
      </c>
      <c r="F108" s="55">
        <f t="shared" si="42"/>
        <v>8239850.7195214005</v>
      </c>
      <c r="G108" s="55">
        <f t="shared" si="43"/>
        <v>8361087.0962259453</v>
      </c>
      <c r="H108" s="380">
        <f t="shared" si="44"/>
        <v>1283648.3271039466</v>
      </c>
      <c r="I108" s="399">
        <f t="shared" si="45"/>
        <v>1283648.3271039466</v>
      </c>
      <c r="J108" s="54">
        <f t="shared" si="24"/>
        <v>0</v>
      </c>
      <c r="K108" s="54"/>
      <c r="L108" s="129"/>
      <c r="M108" s="54">
        <f t="shared" si="26"/>
        <v>0</v>
      </c>
      <c r="N108" s="129"/>
      <c r="O108" s="54">
        <f t="shared" si="28"/>
        <v>0</v>
      </c>
      <c r="P108" s="54">
        <f t="shared" si="29"/>
        <v>0</v>
      </c>
    </row>
    <row r="109" spans="1:16" ht="12.5">
      <c r="B109" s="7" t="str">
        <f t="shared" si="30"/>
        <v/>
      </c>
      <c r="C109" s="50">
        <f>IF(D93="","-",+C108+1)</f>
        <v>2027</v>
      </c>
      <c r="D109" s="12">
        <f>IF(F108+SUM(E$99:E108)=D$92,F108,D$92-SUM(E$99:E108))</f>
        <v>8239850.7195214005</v>
      </c>
      <c r="E109" s="378">
        <f>IF(+J96&lt;F108,J96,D109)</f>
        <v>242472.75340909089</v>
      </c>
      <c r="F109" s="55">
        <f t="shared" si="42"/>
        <v>7997377.9661123101</v>
      </c>
      <c r="G109" s="55">
        <f t="shared" si="43"/>
        <v>8118614.3428168558</v>
      </c>
      <c r="H109" s="380">
        <f t="shared" si="44"/>
        <v>1253454.0825959526</v>
      </c>
      <c r="I109" s="399">
        <f t="shared" si="45"/>
        <v>1253454.0825959526</v>
      </c>
      <c r="J109" s="54">
        <f t="shared" si="24"/>
        <v>0</v>
      </c>
      <c r="K109" s="54"/>
      <c r="L109" s="129"/>
      <c r="M109" s="54">
        <f t="shared" si="26"/>
        <v>0</v>
      </c>
      <c r="N109" s="129"/>
      <c r="O109" s="54">
        <f t="shared" si="28"/>
        <v>0</v>
      </c>
      <c r="P109" s="54">
        <f t="shared" si="29"/>
        <v>0</v>
      </c>
    </row>
    <row r="110" spans="1:16" ht="12.5">
      <c r="B110" s="7" t="str">
        <f t="shared" si="30"/>
        <v/>
      </c>
      <c r="C110" s="50">
        <f>IF(D93="","-",+C109+1)</f>
        <v>2028</v>
      </c>
      <c r="D110" s="12">
        <f>IF(F109+SUM(E$99:E109)=D$92,F109,D$92-SUM(E$99:E109))</f>
        <v>7997377.9661123101</v>
      </c>
      <c r="E110" s="378">
        <f>IF(+J96&lt;F109,J96,D110)</f>
        <v>242472.75340909089</v>
      </c>
      <c r="F110" s="55">
        <f t="shared" si="42"/>
        <v>7754905.2127032196</v>
      </c>
      <c r="G110" s="55">
        <f t="shared" si="43"/>
        <v>7876141.5894077644</v>
      </c>
      <c r="H110" s="380">
        <f t="shared" si="44"/>
        <v>1223259.8380879583</v>
      </c>
      <c r="I110" s="399">
        <f t="shared" si="45"/>
        <v>1223259.8380879583</v>
      </c>
      <c r="J110" s="54">
        <f t="shared" si="24"/>
        <v>0</v>
      </c>
      <c r="K110" s="54"/>
      <c r="L110" s="129"/>
      <c r="M110" s="54">
        <f t="shared" si="26"/>
        <v>0</v>
      </c>
      <c r="N110" s="129"/>
      <c r="O110" s="54">
        <f t="shared" si="28"/>
        <v>0</v>
      </c>
      <c r="P110" s="54">
        <f t="shared" si="29"/>
        <v>0</v>
      </c>
    </row>
    <row r="111" spans="1:16" ht="12.5">
      <c r="B111" s="7" t="str">
        <f t="shared" si="30"/>
        <v/>
      </c>
      <c r="C111" s="50">
        <f>IF(D93="","-",+C110+1)</f>
        <v>2029</v>
      </c>
      <c r="D111" s="12">
        <f>IF(F110+SUM(E$99:E110)=D$92,F110,D$92-SUM(E$99:E110))</f>
        <v>7754905.2127032196</v>
      </c>
      <c r="E111" s="378">
        <f>IF(+J96&lt;F110,J96,D111)</f>
        <v>242472.75340909089</v>
      </c>
      <c r="F111" s="55">
        <f t="shared" si="42"/>
        <v>7512432.4592941292</v>
      </c>
      <c r="G111" s="55">
        <f t="shared" si="43"/>
        <v>7633668.8359986749</v>
      </c>
      <c r="H111" s="380">
        <f t="shared" si="44"/>
        <v>1193065.5935799642</v>
      </c>
      <c r="I111" s="399">
        <f t="shared" si="45"/>
        <v>1193065.5935799642</v>
      </c>
      <c r="J111" s="54">
        <f t="shared" si="24"/>
        <v>0</v>
      </c>
      <c r="K111" s="54"/>
      <c r="L111" s="129"/>
      <c r="M111" s="54">
        <f t="shared" si="26"/>
        <v>0</v>
      </c>
      <c r="N111" s="129"/>
      <c r="O111" s="54">
        <f t="shared" si="28"/>
        <v>0</v>
      </c>
      <c r="P111" s="54">
        <f t="shared" si="29"/>
        <v>0</v>
      </c>
    </row>
    <row r="112" spans="1:16" ht="12.5">
      <c r="B112" s="7" t="str">
        <f t="shared" si="30"/>
        <v/>
      </c>
      <c r="C112" s="50">
        <f>IF(D93="","-",+C111+1)</f>
        <v>2030</v>
      </c>
      <c r="D112" s="12">
        <f>IF(F111+SUM(E$99:E111)=D$92,F111,D$92-SUM(E$99:E111))</f>
        <v>7512432.4592941292</v>
      </c>
      <c r="E112" s="378">
        <f>IF(+J96&lt;F111,J96,D112)</f>
        <v>242472.75340909089</v>
      </c>
      <c r="F112" s="55">
        <f t="shared" si="42"/>
        <v>7269959.7058850387</v>
      </c>
      <c r="G112" s="55">
        <f t="shared" si="43"/>
        <v>7391196.0825895835</v>
      </c>
      <c r="H112" s="380">
        <f t="shared" si="44"/>
        <v>1162871.34907197</v>
      </c>
      <c r="I112" s="399">
        <f t="shared" si="45"/>
        <v>1162871.34907197</v>
      </c>
      <c r="J112" s="54">
        <f t="shared" si="24"/>
        <v>0</v>
      </c>
      <c r="K112" s="54"/>
      <c r="L112" s="129"/>
      <c r="M112" s="54">
        <f t="shared" si="26"/>
        <v>0</v>
      </c>
      <c r="N112" s="129"/>
      <c r="O112" s="54">
        <f t="shared" si="28"/>
        <v>0</v>
      </c>
      <c r="P112" s="54">
        <f t="shared" si="29"/>
        <v>0</v>
      </c>
    </row>
    <row r="113" spans="2:16" ht="12.5">
      <c r="B113" s="7" t="str">
        <f t="shared" si="30"/>
        <v/>
      </c>
      <c r="C113" s="50">
        <f>IF(D93="","-",+C112+1)</f>
        <v>2031</v>
      </c>
      <c r="D113" s="12">
        <f>IF(F112+SUM(E$99:E112)=D$92,F112,D$92-SUM(E$99:E112))</f>
        <v>7269959.7058850387</v>
      </c>
      <c r="E113" s="378">
        <f>IF(+J96&lt;F112,J96,D113)</f>
        <v>242472.75340909089</v>
      </c>
      <c r="F113" s="55">
        <f t="shared" si="42"/>
        <v>7027486.9524759483</v>
      </c>
      <c r="G113" s="55">
        <f t="shared" si="43"/>
        <v>7148723.329180494</v>
      </c>
      <c r="H113" s="380">
        <f t="shared" si="44"/>
        <v>1132677.1045639759</v>
      </c>
      <c r="I113" s="399">
        <f t="shared" si="45"/>
        <v>1132677.1045639759</v>
      </c>
      <c r="J113" s="54">
        <f t="shared" si="24"/>
        <v>0</v>
      </c>
      <c r="K113" s="54"/>
      <c r="L113" s="129"/>
      <c r="M113" s="54">
        <f t="shared" si="26"/>
        <v>0</v>
      </c>
      <c r="N113" s="129"/>
      <c r="O113" s="54">
        <f t="shared" si="28"/>
        <v>0</v>
      </c>
      <c r="P113" s="54">
        <f t="shared" si="29"/>
        <v>0</v>
      </c>
    </row>
    <row r="114" spans="2:16" ht="12.5">
      <c r="B114" s="7" t="str">
        <f t="shared" si="30"/>
        <v/>
      </c>
      <c r="C114" s="50">
        <f>IF(D93="","-",+C113+1)</f>
        <v>2032</v>
      </c>
      <c r="D114" s="12">
        <f>IF(F113+SUM(E$99:E113)=D$92,F113,D$92-SUM(E$99:E113))</f>
        <v>7027486.9524759483</v>
      </c>
      <c r="E114" s="378">
        <f>IF(+J96&lt;F113,J96,D114)</f>
        <v>242472.75340909089</v>
      </c>
      <c r="F114" s="55">
        <f t="shared" si="42"/>
        <v>6785014.1990668578</v>
      </c>
      <c r="G114" s="55">
        <f t="shared" si="43"/>
        <v>6906250.5757714026</v>
      </c>
      <c r="H114" s="380">
        <f t="shared" si="44"/>
        <v>1102482.8600559817</v>
      </c>
      <c r="I114" s="399">
        <f t="shared" si="45"/>
        <v>1102482.8600559817</v>
      </c>
      <c r="J114" s="54">
        <f t="shared" si="24"/>
        <v>0</v>
      </c>
      <c r="K114" s="54"/>
      <c r="L114" s="129"/>
      <c r="M114" s="54">
        <f t="shared" si="26"/>
        <v>0</v>
      </c>
      <c r="N114" s="129"/>
      <c r="O114" s="54">
        <f t="shared" si="28"/>
        <v>0</v>
      </c>
      <c r="P114" s="54">
        <f t="shared" si="29"/>
        <v>0</v>
      </c>
    </row>
    <row r="115" spans="2:16" ht="12.5">
      <c r="B115" s="7" t="str">
        <f t="shared" si="30"/>
        <v/>
      </c>
      <c r="C115" s="50">
        <f>IF(D93="","-",+C114+1)</f>
        <v>2033</v>
      </c>
      <c r="D115" s="12">
        <f>IF(F114+SUM(E$99:E114)=D$92,F114,D$92-SUM(E$99:E114))</f>
        <v>6785014.1990668578</v>
      </c>
      <c r="E115" s="378">
        <f>IF(+J96&lt;F114,J96,D115)</f>
        <v>242472.75340909089</v>
      </c>
      <c r="F115" s="55">
        <f t="shared" si="42"/>
        <v>6542541.4456577674</v>
      </c>
      <c r="G115" s="55">
        <f t="shared" si="43"/>
        <v>6663777.822362313</v>
      </c>
      <c r="H115" s="380">
        <f t="shared" si="44"/>
        <v>1072288.6155479876</v>
      </c>
      <c r="I115" s="399">
        <f t="shared" si="45"/>
        <v>1072288.6155479876</v>
      </c>
      <c r="J115" s="54">
        <f t="shared" si="24"/>
        <v>0</v>
      </c>
      <c r="K115" s="54"/>
      <c r="L115" s="129"/>
      <c r="M115" s="54">
        <f t="shared" si="26"/>
        <v>0</v>
      </c>
      <c r="N115" s="129"/>
      <c r="O115" s="54">
        <f t="shared" si="28"/>
        <v>0</v>
      </c>
      <c r="P115" s="54">
        <f t="shared" si="29"/>
        <v>0</v>
      </c>
    </row>
    <row r="116" spans="2:16" ht="12.5">
      <c r="B116" s="7" t="str">
        <f t="shared" si="30"/>
        <v/>
      </c>
      <c r="C116" s="50">
        <f>IF(D93="","-",+C115+1)</f>
        <v>2034</v>
      </c>
      <c r="D116" s="12">
        <f>IF(F115+SUM(E$99:E115)=D$92,F115,D$92-SUM(E$99:E115))</f>
        <v>6542541.4456577674</v>
      </c>
      <c r="E116" s="378">
        <f>IF(+J96&lt;F115,J96,D116)</f>
        <v>242472.75340909089</v>
      </c>
      <c r="F116" s="55">
        <f t="shared" si="42"/>
        <v>6300068.6922486769</v>
      </c>
      <c r="G116" s="55">
        <f t="shared" si="43"/>
        <v>6421305.0689532217</v>
      </c>
      <c r="H116" s="380">
        <f t="shared" si="44"/>
        <v>1042094.3710399934</v>
      </c>
      <c r="I116" s="399">
        <f t="shared" si="45"/>
        <v>1042094.3710399934</v>
      </c>
      <c r="J116" s="54">
        <f t="shared" si="24"/>
        <v>0</v>
      </c>
      <c r="K116" s="54"/>
      <c r="L116" s="129"/>
      <c r="M116" s="54">
        <f t="shared" si="26"/>
        <v>0</v>
      </c>
      <c r="N116" s="129"/>
      <c r="O116" s="54">
        <f t="shared" si="28"/>
        <v>0</v>
      </c>
      <c r="P116" s="54">
        <f t="shared" si="29"/>
        <v>0</v>
      </c>
    </row>
    <row r="117" spans="2:16" ht="12.5">
      <c r="B117" s="7" t="str">
        <f t="shared" si="30"/>
        <v/>
      </c>
      <c r="C117" s="50">
        <f>IF(D93="","-",+C116+1)</f>
        <v>2035</v>
      </c>
      <c r="D117" s="12">
        <f>IF(F116+SUM(E$99:E116)=D$92,F116,D$92-SUM(E$99:E116))</f>
        <v>6300068.6922486769</v>
      </c>
      <c r="E117" s="378">
        <f>IF(+J96&lt;F116,J96,D117)</f>
        <v>242472.75340909089</v>
      </c>
      <c r="F117" s="55">
        <f t="shared" si="42"/>
        <v>6057595.9388395865</v>
      </c>
      <c r="G117" s="55">
        <f t="shared" si="43"/>
        <v>6178832.3155441321</v>
      </c>
      <c r="H117" s="380">
        <f t="shared" si="44"/>
        <v>1011900.1265319993</v>
      </c>
      <c r="I117" s="399">
        <f t="shared" si="45"/>
        <v>1011900.1265319993</v>
      </c>
      <c r="J117" s="54">
        <f t="shared" si="24"/>
        <v>0</v>
      </c>
      <c r="K117" s="54"/>
      <c r="L117" s="129"/>
      <c r="M117" s="54">
        <f t="shared" si="26"/>
        <v>0</v>
      </c>
      <c r="N117" s="129"/>
      <c r="O117" s="54">
        <f t="shared" si="28"/>
        <v>0</v>
      </c>
      <c r="P117" s="54">
        <f t="shared" si="29"/>
        <v>0</v>
      </c>
    </row>
    <row r="118" spans="2:16" ht="12.5">
      <c r="B118" s="7" t="str">
        <f t="shared" si="30"/>
        <v/>
      </c>
      <c r="C118" s="50">
        <f>IF(D93="","-",+C117+1)</f>
        <v>2036</v>
      </c>
      <c r="D118" s="12">
        <f>IF(F117+SUM(E$99:E117)=D$92,F117,D$92-SUM(E$99:E117))</f>
        <v>6057595.9388395865</v>
      </c>
      <c r="E118" s="378">
        <f>IF(+J96&lt;F117,J96,D118)</f>
        <v>242472.75340909089</v>
      </c>
      <c r="F118" s="55">
        <f t="shared" si="42"/>
        <v>5815123.185430496</v>
      </c>
      <c r="G118" s="55">
        <f t="shared" si="43"/>
        <v>5936359.5621350408</v>
      </c>
      <c r="H118" s="380">
        <f t="shared" si="44"/>
        <v>981705.88202400506</v>
      </c>
      <c r="I118" s="399">
        <f t="shared" si="45"/>
        <v>981705.88202400506</v>
      </c>
      <c r="J118" s="54">
        <f t="shared" si="24"/>
        <v>0</v>
      </c>
      <c r="K118" s="54"/>
      <c r="L118" s="129"/>
      <c r="M118" s="54">
        <f t="shared" si="26"/>
        <v>0</v>
      </c>
      <c r="N118" s="129"/>
      <c r="O118" s="54">
        <f t="shared" si="28"/>
        <v>0</v>
      </c>
      <c r="P118" s="54">
        <f t="shared" si="29"/>
        <v>0</v>
      </c>
    </row>
    <row r="119" spans="2:16" ht="12.5">
      <c r="B119" s="7" t="str">
        <f t="shared" si="30"/>
        <v/>
      </c>
      <c r="C119" s="50">
        <f>IF(D93="","-",+C118+1)</f>
        <v>2037</v>
      </c>
      <c r="D119" s="12">
        <f>IF(F118+SUM(E$99:E118)=D$92,F118,D$92-SUM(E$99:E118))</f>
        <v>5815123.185430496</v>
      </c>
      <c r="E119" s="378">
        <f>IF(+J96&lt;F118,J96,D119)</f>
        <v>242472.75340909089</v>
      </c>
      <c r="F119" s="55">
        <f t="shared" si="42"/>
        <v>5572650.4320214055</v>
      </c>
      <c r="G119" s="55">
        <f t="shared" si="43"/>
        <v>5693886.8087259512</v>
      </c>
      <c r="H119" s="380">
        <f t="shared" si="44"/>
        <v>951511.63751601102</v>
      </c>
      <c r="I119" s="399">
        <f t="shared" si="45"/>
        <v>951511.63751601102</v>
      </c>
      <c r="J119" s="54">
        <f t="shared" si="24"/>
        <v>0</v>
      </c>
      <c r="K119" s="54"/>
      <c r="L119" s="129"/>
      <c r="M119" s="54">
        <f t="shared" si="26"/>
        <v>0</v>
      </c>
      <c r="N119" s="129"/>
      <c r="O119" s="54">
        <f t="shared" si="28"/>
        <v>0</v>
      </c>
      <c r="P119" s="54">
        <f t="shared" si="29"/>
        <v>0</v>
      </c>
    </row>
    <row r="120" spans="2:16" ht="12.5">
      <c r="B120" s="7" t="str">
        <f t="shared" si="30"/>
        <v/>
      </c>
      <c r="C120" s="50">
        <f>IF(D93="","-",+C119+1)</f>
        <v>2038</v>
      </c>
      <c r="D120" s="12">
        <f>IF(F119+SUM(E$99:E119)=D$92,F119,D$92-SUM(E$99:E119))</f>
        <v>5572650.4320214055</v>
      </c>
      <c r="E120" s="378">
        <f>IF(+J96&lt;F119,J96,D120)</f>
        <v>242472.75340909089</v>
      </c>
      <c r="F120" s="55">
        <f t="shared" si="42"/>
        <v>5330177.6786123151</v>
      </c>
      <c r="G120" s="55">
        <f t="shared" si="43"/>
        <v>5451414.0553168599</v>
      </c>
      <c r="H120" s="380">
        <f t="shared" si="44"/>
        <v>921317.39300801675</v>
      </c>
      <c r="I120" s="399">
        <f t="shared" si="45"/>
        <v>921317.39300801675</v>
      </c>
      <c r="J120" s="54">
        <f t="shared" si="24"/>
        <v>0</v>
      </c>
      <c r="K120" s="54"/>
      <c r="L120" s="129"/>
      <c r="M120" s="54">
        <f t="shared" si="26"/>
        <v>0</v>
      </c>
      <c r="N120" s="129"/>
      <c r="O120" s="54">
        <f t="shared" si="28"/>
        <v>0</v>
      </c>
      <c r="P120" s="54">
        <f t="shared" si="29"/>
        <v>0</v>
      </c>
    </row>
    <row r="121" spans="2:16" ht="12.5">
      <c r="B121" s="7" t="str">
        <f t="shared" si="30"/>
        <v/>
      </c>
      <c r="C121" s="50">
        <f>IF(D93="","-",+C120+1)</f>
        <v>2039</v>
      </c>
      <c r="D121" s="12">
        <f>IF(F120+SUM(E$99:E120)=D$92,F120,D$92-SUM(E$99:E120))</f>
        <v>5330177.6786123151</v>
      </c>
      <c r="E121" s="378">
        <f>IF(+J96&lt;F120,J96,D121)</f>
        <v>242472.75340909089</v>
      </c>
      <c r="F121" s="55">
        <f t="shared" si="42"/>
        <v>5087704.9252032246</v>
      </c>
      <c r="G121" s="55">
        <f t="shared" si="43"/>
        <v>5208941.3019077703</v>
      </c>
      <c r="H121" s="380">
        <f t="shared" si="44"/>
        <v>891123.14850002271</v>
      </c>
      <c r="I121" s="399">
        <f t="shared" si="45"/>
        <v>891123.14850002271</v>
      </c>
      <c r="J121" s="54">
        <f t="shared" si="24"/>
        <v>0</v>
      </c>
      <c r="K121" s="54"/>
      <c r="L121" s="129"/>
      <c r="M121" s="54">
        <f t="shared" si="26"/>
        <v>0</v>
      </c>
      <c r="N121" s="129"/>
      <c r="O121" s="54">
        <f t="shared" si="28"/>
        <v>0</v>
      </c>
      <c r="P121" s="54">
        <f t="shared" si="29"/>
        <v>0</v>
      </c>
    </row>
    <row r="122" spans="2:16" ht="12.5">
      <c r="B122" s="7" t="str">
        <f t="shared" si="30"/>
        <v/>
      </c>
      <c r="C122" s="50">
        <f>IF(D93="","-",+C121+1)</f>
        <v>2040</v>
      </c>
      <c r="D122" s="12">
        <f>IF(F121+SUM(E$99:E121)=D$92,F121,D$92-SUM(E$99:E121))</f>
        <v>5087704.9252032246</v>
      </c>
      <c r="E122" s="378">
        <f>IF(+J96&lt;F121,J96,D122)</f>
        <v>242472.75340909089</v>
      </c>
      <c r="F122" s="55">
        <f t="shared" si="42"/>
        <v>4845232.1717941342</v>
      </c>
      <c r="G122" s="55">
        <f t="shared" si="43"/>
        <v>4966468.548498679</v>
      </c>
      <c r="H122" s="380">
        <f t="shared" si="44"/>
        <v>860928.90399202844</v>
      </c>
      <c r="I122" s="399">
        <f t="shared" si="45"/>
        <v>860928.90399202844</v>
      </c>
      <c r="J122" s="54">
        <f t="shared" si="24"/>
        <v>0</v>
      </c>
      <c r="K122" s="54"/>
      <c r="L122" s="129"/>
      <c r="M122" s="54">
        <f t="shared" si="26"/>
        <v>0</v>
      </c>
      <c r="N122" s="129"/>
      <c r="O122" s="54">
        <f t="shared" si="28"/>
        <v>0</v>
      </c>
      <c r="P122" s="54">
        <f t="shared" si="29"/>
        <v>0</v>
      </c>
    </row>
    <row r="123" spans="2:16" ht="12.5">
      <c r="B123" s="7" t="str">
        <f t="shared" si="30"/>
        <v/>
      </c>
      <c r="C123" s="50">
        <f>IF(D93="","-",+C122+1)</f>
        <v>2041</v>
      </c>
      <c r="D123" s="12">
        <f>IF(F122+SUM(E$99:E122)=D$92,F122,D$92-SUM(E$99:E122))</f>
        <v>4845232.1717941342</v>
      </c>
      <c r="E123" s="378">
        <f>IF(+J96&lt;F122,J96,D123)</f>
        <v>242472.75340909089</v>
      </c>
      <c r="F123" s="55">
        <f t="shared" si="42"/>
        <v>4602759.4183850437</v>
      </c>
      <c r="G123" s="55">
        <f t="shared" si="43"/>
        <v>4723995.7950895894</v>
      </c>
      <c r="H123" s="380">
        <f t="shared" si="44"/>
        <v>830734.6594840344</v>
      </c>
      <c r="I123" s="399">
        <f t="shared" si="45"/>
        <v>830734.6594840344</v>
      </c>
      <c r="J123" s="54">
        <f t="shared" si="24"/>
        <v>0</v>
      </c>
      <c r="K123" s="54"/>
      <c r="L123" s="129"/>
      <c r="M123" s="54">
        <f t="shared" si="26"/>
        <v>0</v>
      </c>
      <c r="N123" s="129"/>
      <c r="O123" s="54">
        <f t="shared" si="28"/>
        <v>0</v>
      </c>
      <c r="P123" s="54">
        <f t="shared" si="29"/>
        <v>0</v>
      </c>
    </row>
    <row r="124" spans="2:16" ht="12.5">
      <c r="B124" s="7" t="str">
        <f t="shared" si="30"/>
        <v/>
      </c>
      <c r="C124" s="50">
        <f>IF(D93="","-",+C123+1)</f>
        <v>2042</v>
      </c>
      <c r="D124" s="12">
        <f>IF(F123+SUM(E$99:E123)=D$92,F123,D$92-SUM(E$99:E123))</f>
        <v>4602759.4183850437</v>
      </c>
      <c r="E124" s="378">
        <f>IF(+J96&lt;F123,J96,D124)</f>
        <v>242472.75340909089</v>
      </c>
      <c r="F124" s="55">
        <f t="shared" si="42"/>
        <v>4360286.6649759533</v>
      </c>
      <c r="G124" s="55">
        <f t="shared" si="43"/>
        <v>4481523.041680498</v>
      </c>
      <c r="H124" s="380">
        <f t="shared" si="44"/>
        <v>800540.41497604013</v>
      </c>
      <c r="I124" s="399">
        <f t="shared" si="45"/>
        <v>800540.41497604013</v>
      </c>
      <c r="J124" s="54">
        <f t="shared" si="24"/>
        <v>0</v>
      </c>
      <c r="K124" s="54"/>
      <c r="L124" s="129"/>
      <c r="M124" s="54">
        <f t="shared" si="26"/>
        <v>0</v>
      </c>
      <c r="N124" s="129"/>
      <c r="O124" s="54">
        <f t="shared" si="28"/>
        <v>0</v>
      </c>
      <c r="P124" s="54">
        <f t="shared" si="29"/>
        <v>0</v>
      </c>
    </row>
    <row r="125" spans="2:16" ht="12.5">
      <c r="B125" s="7" t="str">
        <f t="shared" si="30"/>
        <v/>
      </c>
      <c r="C125" s="50">
        <f>IF(D93="","-",+C124+1)</f>
        <v>2043</v>
      </c>
      <c r="D125" s="12">
        <f>IF(F124+SUM(E$99:E124)=D$92,F124,D$92-SUM(E$99:E124))</f>
        <v>4360286.6649759533</v>
      </c>
      <c r="E125" s="378">
        <f>IF(+J96&lt;F124,J96,D125)</f>
        <v>242472.75340909089</v>
      </c>
      <c r="F125" s="55">
        <f t="shared" si="42"/>
        <v>4117813.9115668624</v>
      </c>
      <c r="G125" s="55">
        <f t="shared" si="43"/>
        <v>4239050.2882714076</v>
      </c>
      <c r="H125" s="380">
        <f t="shared" si="44"/>
        <v>770346.17046804598</v>
      </c>
      <c r="I125" s="399">
        <f t="shared" si="45"/>
        <v>770346.17046804598</v>
      </c>
      <c r="J125" s="54">
        <f t="shared" si="24"/>
        <v>0</v>
      </c>
      <c r="K125" s="54"/>
      <c r="L125" s="129"/>
      <c r="M125" s="54">
        <f t="shared" si="26"/>
        <v>0</v>
      </c>
      <c r="N125" s="129"/>
      <c r="O125" s="54">
        <f t="shared" si="28"/>
        <v>0</v>
      </c>
      <c r="P125" s="54">
        <f t="shared" si="29"/>
        <v>0</v>
      </c>
    </row>
    <row r="126" spans="2:16" ht="12.5">
      <c r="B126" s="7" t="str">
        <f t="shared" si="30"/>
        <v/>
      </c>
      <c r="C126" s="50">
        <f>IF(D93="","-",+C125+1)</f>
        <v>2044</v>
      </c>
      <c r="D126" s="12">
        <f>IF(F125+SUM(E$99:E125)=D$92,F125,D$92-SUM(E$99:E125))</f>
        <v>4117813.9115668624</v>
      </c>
      <c r="E126" s="378">
        <f>IF(+J96&lt;F125,J96,D126)</f>
        <v>242472.75340909089</v>
      </c>
      <c r="F126" s="55">
        <f t="shared" si="42"/>
        <v>3875341.1581577715</v>
      </c>
      <c r="G126" s="55">
        <f t="shared" si="43"/>
        <v>3996577.5348623171</v>
      </c>
      <c r="H126" s="380">
        <f t="shared" si="44"/>
        <v>740151.92596005183</v>
      </c>
      <c r="I126" s="399">
        <f t="shared" si="45"/>
        <v>740151.92596005183</v>
      </c>
      <c r="J126" s="54">
        <f t="shared" si="24"/>
        <v>0</v>
      </c>
      <c r="K126" s="54"/>
      <c r="L126" s="129"/>
      <c r="M126" s="54">
        <f t="shared" si="26"/>
        <v>0</v>
      </c>
      <c r="N126" s="129"/>
      <c r="O126" s="54">
        <f t="shared" si="28"/>
        <v>0</v>
      </c>
      <c r="P126" s="54">
        <f t="shared" si="29"/>
        <v>0</v>
      </c>
    </row>
    <row r="127" spans="2:16" ht="12.5">
      <c r="B127" s="7" t="str">
        <f t="shared" si="30"/>
        <v/>
      </c>
      <c r="C127" s="50">
        <f>IF(D93="","-",+C126+1)</f>
        <v>2045</v>
      </c>
      <c r="D127" s="12">
        <f>IF(F126+SUM(E$99:E126)=D$92,F126,D$92-SUM(E$99:E126))</f>
        <v>3875341.1581577715</v>
      </c>
      <c r="E127" s="378">
        <f>IF(+J96&lt;F126,J96,D127)</f>
        <v>242472.75340909089</v>
      </c>
      <c r="F127" s="55">
        <f t="shared" si="42"/>
        <v>3632868.4047486805</v>
      </c>
      <c r="G127" s="55">
        <f t="shared" si="43"/>
        <v>3754104.7814532258</v>
      </c>
      <c r="H127" s="380">
        <f t="shared" si="44"/>
        <v>709957.68145205756</v>
      </c>
      <c r="I127" s="399">
        <f t="shared" si="45"/>
        <v>709957.68145205756</v>
      </c>
      <c r="J127" s="54">
        <f t="shared" si="24"/>
        <v>0</v>
      </c>
      <c r="K127" s="54"/>
      <c r="L127" s="129"/>
      <c r="M127" s="54">
        <f t="shared" si="26"/>
        <v>0</v>
      </c>
      <c r="N127" s="129"/>
      <c r="O127" s="54">
        <f t="shared" si="28"/>
        <v>0</v>
      </c>
      <c r="P127" s="54">
        <f t="shared" si="29"/>
        <v>0</v>
      </c>
    </row>
    <row r="128" spans="2:16" ht="12.5">
      <c r="B128" s="7" t="str">
        <f t="shared" si="30"/>
        <v/>
      </c>
      <c r="C128" s="50">
        <f>IF(D93="","-",+C127+1)</f>
        <v>2046</v>
      </c>
      <c r="D128" s="12">
        <f>IF(F127+SUM(E$99:E127)=D$92,F127,D$92-SUM(E$99:E127))</f>
        <v>3632868.4047486805</v>
      </c>
      <c r="E128" s="378">
        <f>IF(+J96&lt;F127,J96,D128)</f>
        <v>242472.75340909089</v>
      </c>
      <c r="F128" s="55">
        <f t="shared" si="42"/>
        <v>3390395.6513395896</v>
      </c>
      <c r="G128" s="55">
        <f t="shared" si="43"/>
        <v>3511632.0280441353</v>
      </c>
      <c r="H128" s="380">
        <f t="shared" si="44"/>
        <v>679763.4369440634</v>
      </c>
      <c r="I128" s="399">
        <f t="shared" si="45"/>
        <v>679763.4369440634</v>
      </c>
      <c r="J128" s="54">
        <f t="shared" si="24"/>
        <v>0</v>
      </c>
      <c r="K128" s="54"/>
      <c r="L128" s="129"/>
      <c r="M128" s="54">
        <f t="shared" si="26"/>
        <v>0</v>
      </c>
      <c r="N128" s="129"/>
      <c r="O128" s="54">
        <f t="shared" si="28"/>
        <v>0</v>
      </c>
      <c r="P128" s="54">
        <f t="shared" si="29"/>
        <v>0</v>
      </c>
    </row>
    <row r="129" spans="2:16" ht="12.5">
      <c r="B129" s="7" t="str">
        <f t="shared" si="30"/>
        <v/>
      </c>
      <c r="C129" s="50">
        <f>IF(D93="","-",+C128+1)</f>
        <v>2047</v>
      </c>
      <c r="D129" s="12">
        <f>IF(F128+SUM(E$99:E128)=D$92,F128,D$92-SUM(E$99:E128))</f>
        <v>3390395.6513395896</v>
      </c>
      <c r="E129" s="378">
        <f>IF(+J96&lt;F128,J96,D129)</f>
        <v>242472.75340909089</v>
      </c>
      <c r="F129" s="55">
        <f t="shared" si="42"/>
        <v>3147922.8979304987</v>
      </c>
      <c r="G129" s="55">
        <f t="shared" si="43"/>
        <v>3269159.2746350439</v>
      </c>
      <c r="H129" s="380">
        <f t="shared" si="44"/>
        <v>649569.19243606913</v>
      </c>
      <c r="I129" s="399">
        <f t="shared" si="45"/>
        <v>649569.19243606913</v>
      </c>
      <c r="J129" s="54">
        <f t="shared" si="24"/>
        <v>0</v>
      </c>
      <c r="K129" s="54"/>
      <c r="L129" s="129"/>
      <c r="M129" s="54">
        <f t="shared" si="26"/>
        <v>0</v>
      </c>
      <c r="N129" s="129"/>
      <c r="O129" s="54">
        <f t="shared" si="28"/>
        <v>0</v>
      </c>
      <c r="P129" s="54">
        <f t="shared" si="29"/>
        <v>0</v>
      </c>
    </row>
    <row r="130" spans="2:16" ht="12.5">
      <c r="B130" s="7" t="str">
        <f t="shared" si="30"/>
        <v/>
      </c>
      <c r="C130" s="50">
        <f>IF(D93="","-",+C129+1)</f>
        <v>2048</v>
      </c>
      <c r="D130" s="12">
        <f>IF(F129+SUM(E$99:E129)=D$92,F129,D$92-SUM(E$99:E129))</f>
        <v>3147922.8979304987</v>
      </c>
      <c r="E130" s="378">
        <f>IF(+J96&lt;F129,J96,D130)</f>
        <v>242472.75340909089</v>
      </c>
      <c r="F130" s="55">
        <f t="shared" si="42"/>
        <v>2905450.1445214078</v>
      </c>
      <c r="G130" s="55">
        <f t="shared" si="43"/>
        <v>3026686.5212259535</v>
      </c>
      <c r="H130" s="380">
        <f t="shared" si="44"/>
        <v>619374.94792807498</v>
      </c>
      <c r="I130" s="399">
        <f t="shared" si="45"/>
        <v>619374.94792807498</v>
      </c>
      <c r="J130" s="54">
        <f t="shared" si="24"/>
        <v>0</v>
      </c>
      <c r="K130" s="54"/>
      <c r="L130" s="129"/>
      <c r="M130" s="54">
        <f t="shared" si="26"/>
        <v>0</v>
      </c>
      <c r="N130" s="129"/>
      <c r="O130" s="54">
        <f t="shared" si="28"/>
        <v>0</v>
      </c>
      <c r="P130" s="54">
        <f t="shared" si="29"/>
        <v>0</v>
      </c>
    </row>
    <row r="131" spans="2:16" ht="12.5">
      <c r="B131" s="7" t="str">
        <f t="shared" si="30"/>
        <v/>
      </c>
      <c r="C131" s="50">
        <f>IF(D93="","-",+C130+1)</f>
        <v>2049</v>
      </c>
      <c r="D131" s="12">
        <f>IF(F130+SUM(E$99:E130)=D$92,F130,D$92-SUM(E$99:E130))</f>
        <v>2905450.1445214078</v>
      </c>
      <c r="E131" s="378">
        <f>IF(+J96&lt;F130,J96,D131)</f>
        <v>242472.75340909089</v>
      </c>
      <c r="F131" s="55">
        <f t="shared" ref="F131:F154" si="46">+D131-E131</f>
        <v>2662977.3911123169</v>
      </c>
      <c r="G131" s="55">
        <f t="shared" ref="G131:G154" si="47">+(F131+D131)/2</f>
        <v>2784213.7678168621</v>
      </c>
      <c r="H131" s="380">
        <f t="shared" si="44"/>
        <v>589180.70342008071</v>
      </c>
      <c r="I131" s="399">
        <f t="shared" si="45"/>
        <v>589180.70342008071</v>
      </c>
      <c r="J131" s="54">
        <f t="shared" ref="J131:J154" si="48">+I541-H541</f>
        <v>0</v>
      </c>
      <c r="K131" s="54"/>
      <c r="L131" s="129"/>
      <c r="M131" s="54">
        <f t="shared" ref="M131:M154" si="49">IF(L541&lt;&gt;0,+H541-L541,0)</f>
        <v>0</v>
      </c>
      <c r="N131" s="129"/>
      <c r="O131" s="54">
        <f t="shared" ref="O131:O154" si="50">IF(N541&lt;&gt;0,+I541-N541,0)</f>
        <v>0</v>
      </c>
      <c r="P131" s="54">
        <f t="shared" ref="P131:P154" si="51">+O541-M541</f>
        <v>0</v>
      </c>
    </row>
    <row r="132" spans="2:16" ht="12.5">
      <c r="B132" s="7" t="str">
        <f t="shared" si="30"/>
        <v/>
      </c>
      <c r="C132" s="50">
        <f>IF(D93="","-",+C131+1)</f>
        <v>2050</v>
      </c>
      <c r="D132" s="12">
        <f>IF(F131+SUM(E$99:E131)=D$92,F131,D$92-SUM(E$99:E131))</f>
        <v>2662977.3911123169</v>
      </c>
      <c r="E132" s="378">
        <f>IF(+J96&lt;F131,J96,D132)</f>
        <v>242472.75340909089</v>
      </c>
      <c r="F132" s="55">
        <f t="shared" si="46"/>
        <v>2420504.6377032259</v>
      </c>
      <c r="G132" s="55">
        <f t="shared" si="47"/>
        <v>2541741.0144077716</v>
      </c>
      <c r="H132" s="380">
        <f t="shared" si="44"/>
        <v>558986.45891208656</v>
      </c>
      <c r="I132" s="399">
        <f t="shared" si="45"/>
        <v>558986.45891208656</v>
      </c>
      <c r="J132" s="54">
        <f t="shared" si="48"/>
        <v>0</v>
      </c>
      <c r="K132" s="54"/>
      <c r="L132" s="129"/>
      <c r="M132" s="54">
        <f t="shared" si="49"/>
        <v>0</v>
      </c>
      <c r="N132" s="129"/>
      <c r="O132" s="54">
        <f t="shared" si="50"/>
        <v>0</v>
      </c>
      <c r="P132" s="54">
        <f t="shared" si="51"/>
        <v>0</v>
      </c>
    </row>
    <row r="133" spans="2:16" ht="12.5">
      <c r="B133" s="7" t="str">
        <f t="shared" si="30"/>
        <v/>
      </c>
      <c r="C133" s="50">
        <f>IF(D93="","-",+C132+1)</f>
        <v>2051</v>
      </c>
      <c r="D133" s="12">
        <f>IF(F132+SUM(E$99:E132)=D$92,F132,D$92-SUM(E$99:E132))</f>
        <v>2420504.6377032259</v>
      </c>
      <c r="E133" s="378">
        <f>IF(+J96&lt;F132,J96,D133)</f>
        <v>242472.75340909089</v>
      </c>
      <c r="F133" s="55">
        <f t="shared" si="46"/>
        <v>2178031.884294135</v>
      </c>
      <c r="G133" s="55">
        <f t="shared" si="47"/>
        <v>2299268.2609986803</v>
      </c>
      <c r="H133" s="380">
        <f t="shared" si="44"/>
        <v>528792.21440409229</v>
      </c>
      <c r="I133" s="399">
        <f t="shared" si="45"/>
        <v>528792.21440409229</v>
      </c>
      <c r="J133" s="54">
        <f t="shared" si="48"/>
        <v>0</v>
      </c>
      <c r="K133" s="54"/>
      <c r="L133" s="129"/>
      <c r="M133" s="54">
        <f t="shared" si="49"/>
        <v>0</v>
      </c>
      <c r="N133" s="129"/>
      <c r="O133" s="54">
        <f t="shared" si="50"/>
        <v>0</v>
      </c>
      <c r="P133" s="54">
        <f t="shared" si="51"/>
        <v>0</v>
      </c>
    </row>
    <row r="134" spans="2:16" ht="12.5">
      <c r="B134" s="7" t="str">
        <f t="shared" si="30"/>
        <v/>
      </c>
      <c r="C134" s="50">
        <f>IF(D93="","-",+C133+1)</f>
        <v>2052</v>
      </c>
      <c r="D134" s="12">
        <f>IF(F133+SUM(E$99:E133)=D$92,F133,D$92-SUM(E$99:E133))</f>
        <v>2178031.884294135</v>
      </c>
      <c r="E134" s="378">
        <f>IF(+J96&lt;F133,J96,D134)</f>
        <v>242472.75340909089</v>
      </c>
      <c r="F134" s="55">
        <f t="shared" si="46"/>
        <v>1935559.1308850441</v>
      </c>
      <c r="G134" s="55">
        <f t="shared" si="47"/>
        <v>2056795.5075895896</v>
      </c>
      <c r="H134" s="380">
        <f t="shared" si="44"/>
        <v>498597.96989609813</v>
      </c>
      <c r="I134" s="399">
        <f t="shared" si="45"/>
        <v>498597.96989609813</v>
      </c>
      <c r="J134" s="54">
        <f t="shared" si="48"/>
        <v>0</v>
      </c>
      <c r="K134" s="54"/>
      <c r="L134" s="129"/>
      <c r="M134" s="54">
        <f t="shared" si="49"/>
        <v>0</v>
      </c>
      <c r="N134" s="129"/>
      <c r="O134" s="54">
        <f t="shared" si="50"/>
        <v>0</v>
      </c>
      <c r="P134" s="54">
        <f t="shared" si="51"/>
        <v>0</v>
      </c>
    </row>
    <row r="135" spans="2:16" ht="12.5">
      <c r="B135" s="7" t="str">
        <f t="shared" si="30"/>
        <v/>
      </c>
      <c r="C135" s="50">
        <f>IF(D93="","-",+C134+1)</f>
        <v>2053</v>
      </c>
      <c r="D135" s="12">
        <f>IF(F134+SUM(E$99:E134)=D$92,F134,D$92-SUM(E$99:E134))</f>
        <v>1935559.1308850441</v>
      </c>
      <c r="E135" s="378">
        <f>IF(+J96&lt;F134,J96,D135)</f>
        <v>242472.75340909089</v>
      </c>
      <c r="F135" s="55">
        <f t="shared" si="46"/>
        <v>1693086.3774759532</v>
      </c>
      <c r="G135" s="55">
        <f t="shared" si="47"/>
        <v>1814322.7541804987</v>
      </c>
      <c r="H135" s="380">
        <f t="shared" si="44"/>
        <v>468403.72538810386</v>
      </c>
      <c r="I135" s="399">
        <f t="shared" si="45"/>
        <v>468403.72538810386</v>
      </c>
      <c r="J135" s="54">
        <f t="shared" si="48"/>
        <v>0</v>
      </c>
      <c r="K135" s="54"/>
      <c r="L135" s="129"/>
      <c r="M135" s="54">
        <f t="shared" si="49"/>
        <v>0</v>
      </c>
      <c r="N135" s="129"/>
      <c r="O135" s="54">
        <f t="shared" si="50"/>
        <v>0</v>
      </c>
      <c r="P135" s="54">
        <f t="shared" si="51"/>
        <v>0</v>
      </c>
    </row>
    <row r="136" spans="2:16" ht="12.5">
      <c r="B136" s="7" t="str">
        <f t="shared" si="30"/>
        <v/>
      </c>
      <c r="C136" s="50">
        <f>IF(D93="","-",+C135+1)</f>
        <v>2054</v>
      </c>
      <c r="D136" s="12">
        <f>IF(F135+SUM(E$99:E135)=D$92,F135,D$92-SUM(E$99:E135))</f>
        <v>1693086.3774759532</v>
      </c>
      <c r="E136" s="378">
        <f>IF(+J96&lt;F135,J96,D136)</f>
        <v>242472.75340909089</v>
      </c>
      <c r="F136" s="55">
        <f t="shared" si="46"/>
        <v>1450613.6240668623</v>
      </c>
      <c r="G136" s="55">
        <f t="shared" si="47"/>
        <v>1571850.0007714077</v>
      </c>
      <c r="H136" s="380">
        <f t="shared" si="44"/>
        <v>438209.48088010971</v>
      </c>
      <c r="I136" s="399">
        <f t="shared" si="45"/>
        <v>438209.48088010971</v>
      </c>
      <c r="J136" s="54">
        <f t="shared" si="48"/>
        <v>0</v>
      </c>
      <c r="K136" s="54"/>
      <c r="L136" s="129"/>
      <c r="M136" s="54">
        <f t="shared" si="49"/>
        <v>0</v>
      </c>
      <c r="N136" s="129"/>
      <c r="O136" s="54">
        <f t="shared" si="50"/>
        <v>0</v>
      </c>
      <c r="P136" s="54">
        <f t="shared" si="51"/>
        <v>0</v>
      </c>
    </row>
    <row r="137" spans="2:16" ht="12.5">
      <c r="B137" s="7" t="str">
        <f t="shared" si="30"/>
        <v/>
      </c>
      <c r="C137" s="50">
        <f>IF(D93="","-",+C136+1)</f>
        <v>2055</v>
      </c>
      <c r="D137" s="12">
        <f>IF(F136+SUM(E$99:E136)=D$92,F136,D$92-SUM(E$99:E136))</f>
        <v>1450613.6240668623</v>
      </c>
      <c r="E137" s="378">
        <f>IF(+J96&lt;F136,J96,D137)</f>
        <v>242472.75340909089</v>
      </c>
      <c r="F137" s="55">
        <f t="shared" si="46"/>
        <v>1208140.8706577714</v>
      </c>
      <c r="G137" s="55">
        <f t="shared" si="47"/>
        <v>1329377.2473623168</v>
      </c>
      <c r="H137" s="380">
        <f t="shared" si="44"/>
        <v>408015.23637211544</v>
      </c>
      <c r="I137" s="399">
        <f t="shared" si="45"/>
        <v>408015.23637211544</v>
      </c>
      <c r="J137" s="54">
        <f t="shared" si="48"/>
        <v>0</v>
      </c>
      <c r="K137" s="54"/>
      <c r="L137" s="129"/>
      <c r="M137" s="54">
        <f t="shared" si="49"/>
        <v>0</v>
      </c>
      <c r="N137" s="129"/>
      <c r="O137" s="54">
        <f t="shared" si="50"/>
        <v>0</v>
      </c>
      <c r="P137" s="54">
        <f t="shared" si="51"/>
        <v>0</v>
      </c>
    </row>
    <row r="138" spans="2:16" ht="12.5">
      <c r="B138" s="7" t="str">
        <f t="shared" si="30"/>
        <v/>
      </c>
      <c r="C138" s="50">
        <f>IF(D93="","-",+C137+1)</f>
        <v>2056</v>
      </c>
      <c r="D138" s="12">
        <f>IF(F137+SUM(E$99:E137)=D$92,F137,D$92-SUM(E$99:E137))</f>
        <v>1208140.8706577714</v>
      </c>
      <c r="E138" s="378">
        <f>IF(+J96&lt;F137,J96,D138)</f>
        <v>242472.75340909089</v>
      </c>
      <c r="F138" s="55">
        <f t="shared" si="46"/>
        <v>965668.11724868044</v>
      </c>
      <c r="G138" s="55">
        <f t="shared" si="47"/>
        <v>1086904.4939532259</v>
      </c>
      <c r="H138" s="380">
        <f t="shared" si="44"/>
        <v>377820.99186412129</v>
      </c>
      <c r="I138" s="399">
        <f t="shared" si="45"/>
        <v>377820.99186412129</v>
      </c>
      <c r="J138" s="54">
        <f t="shared" si="48"/>
        <v>0</v>
      </c>
      <c r="K138" s="54"/>
      <c r="L138" s="129"/>
      <c r="M138" s="54">
        <f t="shared" si="49"/>
        <v>0</v>
      </c>
      <c r="N138" s="129"/>
      <c r="O138" s="54">
        <f t="shared" si="50"/>
        <v>0</v>
      </c>
      <c r="P138" s="54">
        <f t="shared" si="51"/>
        <v>0</v>
      </c>
    </row>
    <row r="139" spans="2:16" ht="12.5">
      <c r="B139" s="7" t="str">
        <f t="shared" si="30"/>
        <v/>
      </c>
      <c r="C139" s="50">
        <f>IF(D93="","-",+C138+1)</f>
        <v>2057</v>
      </c>
      <c r="D139" s="12">
        <f>IF(F138+SUM(E$99:E138)=D$92,F138,D$92-SUM(E$99:E138))</f>
        <v>965668.11724868044</v>
      </c>
      <c r="E139" s="378">
        <f>IF(+J96&lt;F138,J96,D139)</f>
        <v>242472.75340909089</v>
      </c>
      <c r="F139" s="55">
        <f t="shared" si="46"/>
        <v>723195.36383958953</v>
      </c>
      <c r="G139" s="55">
        <f t="shared" si="47"/>
        <v>844431.74054413498</v>
      </c>
      <c r="H139" s="380">
        <f t="shared" si="44"/>
        <v>347626.74735612707</v>
      </c>
      <c r="I139" s="399">
        <f t="shared" si="45"/>
        <v>347626.74735612707</v>
      </c>
      <c r="J139" s="54">
        <f t="shared" si="48"/>
        <v>0</v>
      </c>
      <c r="K139" s="54"/>
      <c r="L139" s="129"/>
      <c r="M139" s="54">
        <f t="shared" si="49"/>
        <v>0</v>
      </c>
      <c r="N139" s="129"/>
      <c r="O139" s="54">
        <f t="shared" si="50"/>
        <v>0</v>
      </c>
      <c r="P139" s="54">
        <f t="shared" si="51"/>
        <v>0</v>
      </c>
    </row>
    <row r="140" spans="2:16" ht="12.5">
      <c r="B140" s="7" t="str">
        <f t="shared" si="30"/>
        <v/>
      </c>
      <c r="C140" s="50">
        <f>IF(D93="","-",+C139+1)</f>
        <v>2058</v>
      </c>
      <c r="D140" s="12">
        <f>IF(F139+SUM(E$99:E139)=D$92,F139,D$92-SUM(E$99:E139))</f>
        <v>723195.36383958953</v>
      </c>
      <c r="E140" s="378">
        <f>IF(+J96&lt;F139,J96,D140)</f>
        <v>242472.75340909089</v>
      </c>
      <c r="F140" s="55">
        <f t="shared" si="46"/>
        <v>480722.61043049861</v>
      </c>
      <c r="G140" s="55">
        <f t="shared" si="47"/>
        <v>601958.98713504407</v>
      </c>
      <c r="H140" s="380">
        <f t="shared" si="44"/>
        <v>317432.50284813286</v>
      </c>
      <c r="I140" s="399">
        <f t="shared" si="45"/>
        <v>317432.50284813286</v>
      </c>
      <c r="J140" s="54">
        <f t="shared" si="48"/>
        <v>0</v>
      </c>
      <c r="K140" s="54"/>
      <c r="L140" s="129"/>
      <c r="M140" s="54">
        <f t="shared" si="49"/>
        <v>0</v>
      </c>
      <c r="N140" s="129"/>
      <c r="O140" s="54">
        <f t="shared" si="50"/>
        <v>0</v>
      </c>
      <c r="P140" s="54">
        <f t="shared" si="51"/>
        <v>0</v>
      </c>
    </row>
    <row r="141" spans="2:16" ht="12.5">
      <c r="B141" s="7" t="str">
        <f t="shared" si="30"/>
        <v/>
      </c>
      <c r="C141" s="50">
        <f>IF(D93="","-",+C140+1)</f>
        <v>2059</v>
      </c>
      <c r="D141" s="12">
        <f>IF(F140+SUM(E$99:E140)=D$92,F140,D$92-SUM(E$99:E140))</f>
        <v>480722.61043049861</v>
      </c>
      <c r="E141" s="378">
        <f>IF(+J96&lt;F140,J96,D141)</f>
        <v>242472.75340909089</v>
      </c>
      <c r="F141" s="55">
        <f t="shared" si="46"/>
        <v>238249.85702140772</v>
      </c>
      <c r="G141" s="55">
        <f t="shared" si="47"/>
        <v>359486.23372595315</v>
      </c>
      <c r="H141" s="380">
        <f t="shared" si="44"/>
        <v>287238.25834013865</v>
      </c>
      <c r="I141" s="399">
        <f t="shared" si="45"/>
        <v>287238.25834013865</v>
      </c>
      <c r="J141" s="54">
        <f t="shared" si="48"/>
        <v>0</v>
      </c>
      <c r="K141" s="54"/>
      <c r="L141" s="129"/>
      <c r="M141" s="54">
        <f t="shared" si="49"/>
        <v>0</v>
      </c>
      <c r="N141" s="129"/>
      <c r="O141" s="54">
        <f t="shared" si="50"/>
        <v>0</v>
      </c>
      <c r="P141" s="54">
        <f t="shared" si="51"/>
        <v>0</v>
      </c>
    </row>
    <row r="142" spans="2:16" ht="12.5">
      <c r="B142" s="7" t="str">
        <f t="shared" si="30"/>
        <v/>
      </c>
      <c r="C142" s="50">
        <f>IF(D93="","-",+C141+1)</f>
        <v>2060</v>
      </c>
      <c r="D142" s="12">
        <f>IF(F141+SUM(E$99:E141)=D$92,F141,D$92-SUM(E$99:E141))</f>
        <v>238249.85702140772</v>
      </c>
      <c r="E142" s="378">
        <f>IF(+J96&lt;F141,J96,D142)</f>
        <v>238249.85702140772</v>
      </c>
      <c r="F142" s="55">
        <f t="shared" si="46"/>
        <v>0</v>
      </c>
      <c r="G142" s="55">
        <f t="shared" si="47"/>
        <v>119124.92851070386</v>
      </c>
      <c r="H142" s="380">
        <f t="shared" si="44"/>
        <v>253084.04835993305</v>
      </c>
      <c r="I142" s="399">
        <f t="shared" si="45"/>
        <v>253084.04835993305</v>
      </c>
      <c r="J142" s="54">
        <f t="shared" si="48"/>
        <v>0</v>
      </c>
      <c r="K142" s="54"/>
      <c r="L142" s="129"/>
      <c r="M142" s="54">
        <f t="shared" si="49"/>
        <v>0</v>
      </c>
      <c r="N142" s="129"/>
      <c r="O142" s="54">
        <f t="shared" si="50"/>
        <v>0</v>
      </c>
      <c r="P142" s="54">
        <f t="shared" si="51"/>
        <v>0</v>
      </c>
    </row>
    <row r="143" spans="2:16" ht="12.5">
      <c r="B143" s="7" t="str">
        <f t="shared" si="30"/>
        <v/>
      </c>
      <c r="C143" s="50">
        <f>IF(D93="","-",+C142+1)</f>
        <v>2061</v>
      </c>
      <c r="D143" s="12">
        <f>IF(F142+SUM(E$99:E142)=D$92,F142,D$92-SUM(E$99:E142))</f>
        <v>0</v>
      </c>
      <c r="E143" s="378">
        <f>IF(+J96&lt;F142,J96,D143)</f>
        <v>0</v>
      </c>
      <c r="F143" s="55">
        <f t="shared" si="46"/>
        <v>0</v>
      </c>
      <c r="G143" s="55">
        <f t="shared" si="47"/>
        <v>0</v>
      </c>
      <c r="H143" s="380">
        <f t="shared" si="44"/>
        <v>0</v>
      </c>
      <c r="I143" s="399">
        <f t="shared" si="45"/>
        <v>0</v>
      </c>
      <c r="J143" s="54">
        <f t="shared" si="48"/>
        <v>0</v>
      </c>
      <c r="K143" s="54"/>
      <c r="L143" s="129"/>
      <c r="M143" s="54">
        <f t="shared" si="49"/>
        <v>0</v>
      </c>
      <c r="N143" s="129"/>
      <c r="O143" s="54">
        <f t="shared" si="50"/>
        <v>0</v>
      </c>
      <c r="P143" s="54">
        <f t="shared" si="51"/>
        <v>0</v>
      </c>
    </row>
    <row r="144" spans="2:16" ht="12.5">
      <c r="B144" s="7" t="str">
        <f t="shared" si="30"/>
        <v/>
      </c>
      <c r="C144" s="50">
        <f>IF(D93="","-",+C143+1)</f>
        <v>2062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46"/>
        <v>0</v>
      </c>
      <c r="G144" s="55">
        <f t="shared" si="47"/>
        <v>0</v>
      </c>
      <c r="H144" s="380">
        <f t="shared" si="44"/>
        <v>0</v>
      </c>
      <c r="I144" s="399">
        <f t="shared" si="45"/>
        <v>0</v>
      </c>
      <c r="J144" s="54">
        <f t="shared" si="48"/>
        <v>0</v>
      </c>
      <c r="K144" s="54"/>
      <c r="L144" s="129"/>
      <c r="M144" s="54">
        <f t="shared" si="49"/>
        <v>0</v>
      </c>
      <c r="N144" s="129"/>
      <c r="O144" s="54">
        <f t="shared" si="50"/>
        <v>0</v>
      </c>
      <c r="P144" s="54">
        <f t="shared" si="51"/>
        <v>0</v>
      </c>
    </row>
    <row r="145" spans="2:16" ht="12.5">
      <c r="B145" s="7" t="str">
        <f t="shared" si="30"/>
        <v/>
      </c>
      <c r="C145" s="50">
        <f>IF(D93="","-",+C144+1)</f>
        <v>2063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46"/>
        <v>0</v>
      </c>
      <c r="G145" s="55">
        <f t="shared" si="47"/>
        <v>0</v>
      </c>
      <c r="H145" s="380">
        <f t="shared" si="44"/>
        <v>0</v>
      </c>
      <c r="I145" s="399">
        <f t="shared" si="45"/>
        <v>0</v>
      </c>
      <c r="J145" s="54">
        <f t="shared" si="48"/>
        <v>0</v>
      </c>
      <c r="K145" s="54"/>
      <c r="L145" s="129"/>
      <c r="M145" s="54">
        <f t="shared" si="49"/>
        <v>0</v>
      </c>
      <c r="N145" s="129"/>
      <c r="O145" s="54">
        <f t="shared" si="50"/>
        <v>0</v>
      </c>
      <c r="P145" s="54">
        <f t="shared" si="51"/>
        <v>0</v>
      </c>
    </row>
    <row r="146" spans="2:16" ht="12.5">
      <c r="B146" s="7" t="str">
        <f t="shared" si="30"/>
        <v/>
      </c>
      <c r="C146" s="50">
        <f>IF(D93="","-",+C145+1)</f>
        <v>2064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46"/>
        <v>0</v>
      </c>
      <c r="G146" s="55">
        <f t="shared" si="47"/>
        <v>0</v>
      </c>
      <c r="H146" s="380">
        <f t="shared" si="44"/>
        <v>0</v>
      </c>
      <c r="I146" s="399">
        <f t="shared" si="45"/>
        <v>0</v>
      </c>
      <c r="J146" s="54">
        <f t="shared" si="48"/>
        <v>0</v>
      </c>
      <c r="K146" s="54"/>
      <c r="L146" s="129"/>
      <c r="M146" s="54">
        <f t="shared" si="49"/>
        <v>0</v>
      </c>
      <c r="N146" s="129"/>
      <c r="O146" s="54">
        <f t="shared" si="50"/>
        <v>0</v>
      </c>
      <c r="P146" s="54">
        <f t="shared" si="51"/>
        <v>0</v>
      </c>
    </row>
    <row r="147" spans="2:16" ht="12.5">
      <c r="B147" s="7" t="str">
        <f t="shared" si="30"/>
        <v/>
      </c>
      <c r="C147" s="50">
        <f>IF(D93="","-",+C146+1)</f>
        <v>2065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46"/>
        <v>0</v>
      </c>
      <c r="G147" s="55">
        <f t="shared" si="47"/>
        <v>0</v>
      </c>
      <c r="H147" s="380">
        <f t="shared" si="44"/>
        <v>0</v>
      </c>
      <c r="I147" s="399">
        <f t="shared" si="45"/>
        <v>0</v>
      </c>
      <c r="J147" s="54">
        <f t="shared" si="48"/>
        <v>0</v>
      </c>
      <c r="K147" s="54"/>
      <c r="L147" s="129"/>
      <c r="M147" s="54">
        <f t="shared" si="49"/>
        <v>0</v>
      </c>
      <c r="N147" s="129"/>
      <c r="O147" s="54">
        <f t="shared" si="50"/>
        <v>0</v>
      </c>
      <c r="P147" s="54">
        <f t="shared" si="51"/>
        <v>0</v>
      </c>
    </row>
    <row r="148" spans="2:16" ht="12.5">
      <c r="B148" s="7" t="str">
        <f t="shared" si="30"/>
        <v/>
      </c>
      <c r="C148" s="50">
        <f>IF(D93="","-",+C147+1)</f>
        <v>2066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46"/>
        <v>0</v>
      </c>
      <c r="G148" s="55">
        <f t="shared" si="47"/>
        <v>0</v>
      </c>
      <c r="H148" s="380">
        <f t="shared" si="44"/>
        <v>0</v>
      </c>
      <c r="I148" s="399">
        <f t="shared" si="45"/>
        <v>0</v>
      </c>
      <c r="J148" s="54">
        <f t="shared" si="48"/>
        <v>0</v>
      </c>
      <c r="K148" s="54"/>
      <c r="L148" s="129"/>
      <c r="M148" s="54">
        <f t="shared" si="49"/>
        <v>0</v>
      </c>
      <c r="N148" s="129"/>
      <c r="O148" s="54">
        <f t="shared" si="50"/>
        <v>0</v>
      </c>
      <c r="P148" s="54">
        <f t="shared" si="51"/>
        <v>0</v>
      </c>
    </row>
    <row r="149" spans="2:16" ht="12.5">
      <c r="B149" s="7" t="str">
        <f t="shared" si="30"/>
        <v/>
      </c>
      <c r="C149" s="50">
        <f>IF(D93="","-",+C148+1)</f>
        <v>2067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46"/>
        <v>0</v>
      </c>
      <c r="G149" s="55">
        <f t="shared" si="47"/>
        <v>0</v>
      </c>
      <c r="H149" s="380">
        <f t="shared" si="44"/>
        <v>0</v>
      </c>
      <c r="I149" s="399">
        <f t="shared" si="45"/>
        <v>0</v>
      </c>
      <c r="J149" s="54">
        <f t="shared" si="48"/>
        <v>0</v>
      </c>
      <c r="K149" s="54"/>
      <c r="L149" s="129"/>
      <c r="M149" s="54">
        <f t="shared" si="49"/>
        <v>0</v>
      </c>
      <c r="N149" s="129"/>
      <c r="O149" s="54">
        <f t="shared" si="50"/>
        <v>0</v>
      </c>
      <c r="P149" s="54">
        <f t="shared" si="51"/>
        <v>0</v>
      </c>
    </row>
    <row r="150" spans="2:16" ht="12.5">
      <c r="B150" s="7" t="str">
        <f t="shared" si="30"/>
        <v/>
      </c>
      <c r="C150" s="50">
        <f>IF(D93="","-",+C149+1)</f>
        <v>2068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46"/>
        <v>0</v>
      </c>
      <c r="G150" s="55">
        <f t="shared" si="47"/>
        <v>0</v>
      </c>
      <c r="H150" s="380">
        <f t="shared" si="44"/>
        <v>0</v>
      </c>
      <c r="I150" s="399">
        <f t="shared" si="45"/>
        <v>0</v>
      </c>
      <c r="J150" s="54">
        <f t="shared" si="48"/>
        <v>0</v>
      </c>
      <c r="K150" s="54"/>
      <c r="L150" s="129"/>
      <c r="M150" s="54">
        <f t="shared" si="49"/>
        <v>0</v>
      </c>
      <c r="N150" s="129"/>
      <c r="O150" s="54">
        <f t="shared" si="50"/>
        <v>0</v>
      </c>
      <c r="P150" s="54">
        <f t="shared" si="51"/>
        <v>0</v>
      </c>
    </row>
    <row r="151" spans="2:16" ht="12.5">
      <c r="B151" s="7" t="str">
        <f t="shared" si="30"/>
        <v/>
      </c>
      <c r="C151" s="50">
        <f>IF(D93="","-",+C150+1)</f>
        <v>2069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46"/>
        <v>0</v>
      </c>
      <c r="G151" s="55">
        <f t="shared" si="47"/>
        <v>0</v>
      </c>
      <c r="H151" s="380">
        <f t="shared" si="44"/>
        <v>0</v>
      </c>
      <c r="I151" s="399">
        <f t="shared" si="45"/>
        <v>0</v>
      </c>
      <c r="J151" s="54">
        <f t="shared" si="48"/>
        <v>0</v>
      </c>
      <c r="K151" s="54"/>
      <c r="L151" s="129"/>
      <c r="M151" s="54">
        <f t="shared" si="49"/>
        <v>0</v>
      </c>
      <c r="N151" s="129"/>
      <c r="O151" s="54">
        <f t="shared" si="50"/>
        <v>0</v>
      </c>
      <c r="P151" s="54">
        <f t="shared" si="51"/>
        <v>0</v>
      </c>
    </row>
    <row r="152" spans="2:16" ht="12.5">
      <c r="B152" s="7" t="str">
        <f t="shared" si="30"/>
        <v/>
      </c>
      <c r="C152" s="50">
        <f>IF(D93="","-",+C151+1)</f>
        <v>2070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46"/>
        <v>0</v>
      </c>
      <c r="G152" s="55">
        <f t="shared" si="47"/>
        <v>0</v>
      </c>
      <c r="H152" s="380">
        <f t="shared" si="44"/>
        <v>0</v>
      </c>
      <c r="I152" s="399">
        <f t="shared" si="45"/>
        <v>0</v>
      </c>
      <c r="J152" s="54">
        <f t="shared" si="48"/>
        <v>0</v>
      </c>
      <c r="K152" s="54"/>
      <c r="L152" s="129"/>
      <c r="M152" s="54">
        <f t="shared" si="49"/>
        <v>0</v>
      </c>
      <c r="N152" s="129"/>
      <c r="O152" s="54">
        <f t="shared" si="50"/>
        <v>0</v>
      </c>
      <c r="P152" s="54">
        <f t="shared" si="51"/>
        <v>0</v>
      </c>
    </row>
    <row r="153" spans="2:16" ht="12.5">
      <c r="B153" s="7" t="str">
        <f t="shared" si="30"/>
        <v/>
      </c>
      <c r="C153" s="50">
        <f>IF(D93="","-",+C152+1)</f>
        <v>2071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46"/>
        <v>0</v>
      </c>
      <c r="G153" s="55">
        <f t="shared" si="47"/>
        <v>0</v>
      </c>
      <c r="H153" s="380">
        <f t="shared" si="44"/>
        <v>0</v>
      </c>
      <c r="I153" s="399">
        <f t="shared" si="45"/>
        <v>0</v>
      </c>
      <c r="J153" s="54">
        <f t="shared" si="48"/>
        <v>0</v>
      </c>
      <c r="K153" s="54"/>
      <c r="L153" s="129"/>
      <c r="M153" s="54">
        <f t="shared" si="49"/>
        <v>0</v>
      </c>
      <c r="N153" s="129"/>
      <c r="O153" s="54">
        <f t="shared" si="50"/>
        <v>0</v>
      </c>
      <c r="P153" s="54">
        <f t="shared" si="51"/>
        <v>0</v>
      </c>
    </row>
    <row r="154" spans="2:16" ht="13" thickBot="1">
      <c r="B154" s="7" t="str">
        <f t="shared" si="30"/>
        <v/>
      </c>
      <c r="C154" s="59">
        <f>IF(D93="","-",+C153+1)</f>
        <v>2072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46"/>
        <v>0</v>
      </c>
      <c r="G154" s="60">
        <f t="shared" si="47"/>
        <v>0</v>
      </c>
      <c r="H154" s="382">
        <f t="shared" si="44"/>
        <v>0</v>
      </c>
      <c r="I154" s="400">
        <f t="shared" si="45"/>
        <v>0</v>
      </c>
      <c r="J154" s="64">
        <f t="shared" si="48"/>
        <v>0</v>
      </c>
      <c r="K154" s="54"/>
      <c r="L154" s="130"/>
      <c r="M154" s="64">
        <f t="shared" si="49"/>
        <v>0</v>
      </c>
      <c r="N154" s="130"/>
      <c r="O154" s="64">
        <f t="shared" si="50"/>
        <v>0</v>
      </c>
      <c r="P154" s="64">
        <f t="shared" si="51"/>
        <v>0</v>
      </c>
    </row>
    <row r="155" spans="2:16" ht="12.5">
      <c r="C155" s="12" t="s">
        <v>78</v>
      </c>
      <c r="D155" s="293"/>
      <c r="E155" s="293">
        <f>SUM(E99:E154)</f>
        <v>10668801.15</v>
      </c>
      <c r="F155" s="293"/>
      <c r="G155" s="293"/>
      <c r="H155" s="293">
        <f>SUM(H99:H154)</f>
        <v>38489165.737559676</v>
      </c>
      <c r="I155" s="293">
        <f>SUM(I99:I154)</f>
        <v>38489165.737559676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 ht="12.5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 ht="13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23" priority="1" stopIfTrue="1" operator="equal">
      <formula>$I$10</formula>
    </cfRule>
  </conditionalFormatting>
  <conditionalFormatting sqref="C99:C154">
    <cfRule type="cellIs" dxfId="22" priority="3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P162"/>
  <sheetViews>
    <sheetView topLeftCell="A78" zoomScale="80" zoomScaleNormal="80" workbookViewId="0">
      <selection activeCell="D23" sqref="D23:H23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68 of 77</v>
      </c>
    </row>
    <row r="2" spans="1:16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1401160.9479644275</v>
      </c>
      <c r="P5" s="1"/>
    </row>
    <row r="6" spans="1:16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1401160.9479644275</v>
      </c>
      <c r="O6" s="1"/>
      <c r="P6" s="1"/>
    </row>
    <row r="7" spans="1:16" ht="13.5" thickBot="1">
      <c r="C7" s="25" t="s">
        <v>48</v>
      </c>
      <c r="D7" s="90" t="s">
        <v>424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422</v>
      </c>
      <c r="E9" s="436" t="s">
        <v>423</v>
      </c>
      <c r="F9" s="31"/>
      <c r="G9" s="31"/>
      <c r="H9" s="31"/>
      <c r="I9" s="32"/>
      <c r="J9" s="33"/>
      <c r="P9" s="1"/>
    </row>
    <row r="10" spans="1:16" ht="13">
      <c r="C10" s="34" t="s">
        <v>51</v>
      </c>
      <c r="D10" s="363">
        <v>11171456.220000001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6" ht="12.5">
      <c r="C11" s="34" t="s">
        <v>54</v>
      </c>
      <c r="D11" s="37">
        <v>2018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3">
        <v>5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253896.7322727273</v>
      </c>
      <c r="J14" s="293"/>
      <c r="K14" s="293"/>
      <c r="L14" s="293"/>
      <c r="M14" s="293"/>
      <c r="N14" s="293"/>
      <c r="O14" s="1"/>
      <c r="P14" s="1"/>
    </row>
    <row r="15" spans="1:16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3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2018</v>
      </c>
      <c r="D17" s="431">
        <v>0</v>
      </c>
      <c r="E17" s="430">
        <v>138449.18699186991</v>
      </c>
      <c r="F17" s="431">
        <v>9592550.8130081296</v>
      </c>
      <c r="G17" s="430">
        <v>748027.48799327505</v>
      </c>
      <c r="H17" s="438">
        <v>748027.48799327505</v>
      </c>
      <c r="I17" s="52">
        <f t="shared" ref="I17:I72" si="0">H17-G17</f>
        <v>0</v>
      </c>
      <c r="J17" s="52"/>
      <c r="K17" s="112">
        <f t="shared" ref="K17:K22" si="1">+G17</f>
        <v>748027.48799327505</v>
      </c>
      <c r="L17" s="53">
        <f t="shared" ref="L17:L72" si="2">IF(K17&lt;&gt;0,+G17-K17,0)</f>
        <v>0</v>
      </c>
      <c r="M17" s="112">
        <f t="shared" ref="M17:M22" si="3">+H17</f>
        <v>748027.48799327505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2019</v>
      </c>
      <c r="D18" s="431">
        <v>9592550.8130081296</v>
      </c>
      <c r="E18" s="430">
        <v>237341.46341463414</v>
      </c>
      <c r="F18" s="431">
        <v>9355209.349593496</v>
      </c>
      <c r="G18" s="430">
        <v>1441415.7157019456</v>
      </c>
      <c r="H18" s="438">
        <v>1441415.7157019456</v>
      </c>
      <c r="I18" s="52">
        <f t="shared" si="0"/>
        <v>0</v>
      </c>
      <c r="J18" s="52"/>
      <c r="K18" s="113">
        <f t="shared" si="1"/>
        <v>1441415.7157019456</v>
      </c>
      <c r="L18" s="54">
        <f t="shared" si="2"/>
        <v>0</v>
      </c>
      <c r="M18" s="113">
        <f t="shared" si="3"/>
        <v>1441415.7157019456</v>
      </c>
      <c r="N18" s="54">
        <f t="shared" si="4"/>
        <v>0</v>
      </c>
      <c r="O18" s="54">
        <f t="shared" si="5"/>
        <v>0</v>
      </c>
      <c r="P18" s="1"/>
    </row>
    <row r="19" spans="2:16" ht="12.5">
      <c r="B19" s="7" t="str">
        <f>IF(D19=F18,"","IU")</f>
        <v>IU</v>
      </c>
      <c r="C19" s="50">
        <f>IF(D11="","-",+C18+1)</f>
        <v>2020</v>
      </c>
      <c r="D19" s="431">
        <v>10792524.349593496</v>
      </c>
      <c r="E19" s="430">
        <v>272397.92682926828</v>
      </c>
      <c r="F19" s="431">
        <v>10520126.422764227</v>
      </c>
      <c r="G19" s="430">
        <v>1362917.8369081842</v>
      </c>
      <c r="H19" s="438">
        <v>1362917.8369081842</v>
      </c>
      <c r="I19" s="52">
        <f t="shared" si="0"/>
        <v>0</v>
      </c>
      <c r="J19" s="52"/>
      <c r="K19" s="113">
        <f t="shared" si="1"/>
        <v>1362917.8369081842</v>
      </c>
      <c r="L19" s="54">
        <f t="shared" ref="L19" si="6">IF(K19&lt;&gt;0,+G19-K19,0)</f>
        <v>0</v>
      </c>
      <c r="M19" s="113">
        <f t="shared" si="3"/>
        <v>1362917.8369081842</v>
      </c>
      <c r="N19" s="54">
        <f t="shared" si="4"/>
        <v>0</v>
      </c>
      <c r="O19" s="54">
        <f t="shared" si="5"/>
        <v>0</v>
      </c>
      <c r="P19" s="1"/>
    </row>
    <row r="20" spans="2:16" ht="12.5">
      <c r="B20" s="7" t="str">
        <f t="shared" ref="B20:B72" si="7">IF(D20=F19,"","IU")</f>
        <v>IU</v>
      </c>
      <c r="C20" s="50">
        <f>IF(D11="","-",+C19+1)</f>
        <v>2021</v>
      </c>
      <c r="D20" s="431">
        <v>10534306.560597466</v>
      </c>
      <c r="E20" s="430">
        <v>265987.04761904763</v>
      </c>
      <c r="F20" s="431">
        <v>10268319.512978418</v>
      </c>
      <c r="G20" s="430">
        <v>1368573.5039296474</v>
      </c>
      <c r="H20" s="438">
        <v>1368573.5039296474</v>
      </c>
      <c r="I20" s="52">
        <f t="shared" si="0"/>
        <v>0</v>
      </c>
      <c r="J20" s="52"/>
      <c r="K20" s="113">
        <f t="shared" si="1"/>
        <v>1368573.5039296474</v>
      </c>
      <c r="L20" s="54">
        <f t="shared" ref="L20" si="8">IF(K20&lt;&gt;0,+G20-K20,0)</f>
        <v>0</v>
      </c>
      <c r="M20" s="113">
        <f t="shared" si="3"/>
        <v>1368573.5039296474</v>
      </c>
      <c r="N20" s="54">
        <f t="shared" si="4"/>
        <v>0</v>
      </c>
      <c r="O20" s="54">
        <f t="shared" si="5"/>
        <v>0</v>
      </c>
      <c r="P20" s="1"/>
    </row>
    <row r="21" spans="2:16" ht="12.5">
      <c r="B21" s="7" t="str">
        <f t="shared" si="7"/>
        <v>IU</v>
      </c>
      <c r="C21" s="50">
        <f>IF(D11="","-",+C20+1)</f>
        <v>2022</v>
      </c>
      <c r="D21" s="431">
        <v>10257280.37514518</v>
      </c>
      <c r="E21" s="430">
        <v>265987.04761904763</v>
      </c>
      <c r="F21" s="431">
        <v>9991293.3275261316</v>
      </c>
      <c r="G21" s="430">
        <v>1404403.3392026301</v>
      </c>
      <c r="H21" s="438">
        <v>1404403.3392026301</v>
      </c>
      <c r="I21" s="52">
        <f t="shared" si="0"/>
        <v>0</v>
      </c>
      <c r="J21" s="52"/>
      <c r="K21" s="113">
        <f t="shared" si="1"/>
        <v>1404403.3392026301</v>
      </c>
      <c r="L21" s="54">
        <f t="shared" ref="L21" si="9">IF(K21&lt;&gt;0,+G21-K21,0)</f>
        <v>0</v>
      </c>
      <c r="M21" s="113">
        <f t="shared" si="3"/>
        <v>1404403.3392026301</v>
      </c>
      <c r="N21" s="54">
        <f t="shared" si="4"/>
        <v>0</v>
      </c>
      <c r="O21" s="54">
        <f t="shared" si="5"/>
        <v>0</v>
      </c>
      <c r="P21" s="1"/>
    </row>
    <row r="22" spans="2:16" ht="12.5">
      <c r="B22" s="7" t="str">
        <f t="shared" si="7"/>
        <v>IU</v>
      </c>
      <c r="C22" s="50">
        <f>IF(D11="","-",+C21+1)</f>
        <v>2023</v>
      </c>
      <c r="D22" s="431">
        <v>9991293.5475261323</v>
      </c>
      <c r="E22" s="430">
        <v>265987.05285714287</v>
      </c>
      <c r="F22" s="431">
        <v>9725306.4946689904</v>
      </c>
      <c r="G22" s="430">
        <v>1511354.4294618871</v>
      </c>
      <c r="H22" s="438">
        <v>1511354.4294618871</v>
      </c>
      <c r="I22" s="52">
        <f t="shared" si="0"/>
        <v>0</v>
      </c>
      <c r="J22" s="52"/>
      <c r="K22" s="113">
        <f t="shared" si="1"/>
        <v>1511354.4294618871</v>
      </c>
      <c r="L22" s="54">
        <f t="shared" ref="L22" si="10">IF(K22&lt;&gt;0,+G22-K22,0)</f>
        <v>0</v>
      </c>
      <c r="M22" s="113">
        <f t="shared" si="3"/>
        <v>1511354.4294618871</v>
      </c>
      <c r="N22" s="54">
        <f t="shared" si="4"/>
        <v>0</v>
      </c>
      <c r="O22" s="54">
        <f t="shared" si="5"/>
        <v>0</v>
      </c>
      <c r="P22" s="1"/>
    </row>
    <row r="23" spans="2:16" ht="12.5">
      <c r="B23" s="7" t="str">
        <f t="shared" si="7"/>
        <v/>
      </c>
      <c r="C23" s="50">
        <f>IF(D11="","-",+C22+1)</f>
        <v>2024</v>
      </c>
      <c r="D23" s="431">
        <v>9725306.4946689904</v>
      </c>
      <c r="E23" s="430">
        <v>253896.7322727273</v>
      </c>
      <c r="F23" s="431">
        <v>9471409.762396263</v>
      </c>
      <c r="G23" s="430">
        <v>1401160.9479644275</v>
      </c>
      <c r="H23" s="438">
        <v>1401160.9479644275</v>
      </c>
      <c r="I23" s="52">
        <f t="shared" si="0"/>
        <v>0</v>
      </c>
      <c r="J23" s="52"/>
      <c r="K23" s="113">
        <f t="shared" ref="K23" si="11">+G23</f>
        <v>1401160.9479644275</v>
      </c>
      <c r="L23" s="54">
        <f t="shared" ref="L23" si="12">IF(K23&lt;&gt;0,+G23-K23,0)</f>
        <v>0</v>
      </c>
      <c r="M23" s="113">
        <f t="shared" ref="M23" si="13">+H23</f>
        <v>1401160.9479644275</v>
      </c>
      <c r="N23" s="54">
        <f t="shared" ref="N23" si="14">IF(M23&lt;&gt;0,+H23-M23,0)</f>
        <v>0</v>
      </c>
      <c r="O23" s="54">
        <f t="shared" ref="O23" si="15">+N23-L23</f>
        <v>0</v>
      </c>
      <c r="P23" s="1"/>
    </row>
    <row r="24" spans="2:16" ht="12.5">
      <c r="B24" s="7" t="str">
        <f t="shared" si="7"/>
        <v/>
      </c>
      <c r="C24" s="50">
        <f>IF(D11="","-",+C23+1)</f>
        <v>2025</v>
      </c>
      <c r="D24" s="55">
        <f>IF(F23+SUM(E$17:E23)=D$10,F23,D$10-SUM(E$17:E23))</f>
        <v>9471409.762396263</v>
      </c>
      <c r="E24" s="378">
        <f>IF(+I14&lt;F23,I14,D24)</f>
        <v>253896.7322727273</v>
      </c>
      <c r="F24" s="55">
        <f t="shared" ref="F24:F72" si="16">+D24-E24</f>
        <v>9217513.0301235355</v>
      </c>
      <c r="G24" s="379">
        <f t="shared" ref="G24:G72" si="17">+I$12*((D24+F24)/2)+E24</f>
        <v>1370813.3998195361</v>
      </c>
      <c r="H24" s="364">
        <f t="shared" ref="H24:H72" si="18">+I$13*((D24+F24)/2)+E24</f>
        <v>1370813.3998195361</v>
      </c>
      <c r="I24" s="52">
        <f t="shared" si="0"/>
        <v>0</v>
      </c>
      <c r="J24" s="52"/>
      <c r="K24" s="129"/>
      <c r="L24" s="54">
        <f t="shared" si="2"/>
        <v>0</v>
      </c>
      <c r="M24" s="129"/>
      <c r="N24" s="54">
        <f t="shared" si="4"/>
        <v>0</v>
      </c>
      <c r="O24" s="54">
        <f t="shared" si="5"/>
        <v>0</v>
      </c>
      <c r="P24" s="1"/>
    </row>
    <row r="25" spans="2:16" ht="12.5">
      <c r="B25" s="7" t="str">
        <f t="shared" si="7"/>
        <v/>
      </c>
      <c r="C25" s="50">
        <f>IF(D11="","-",+C24+1)</f>
        <v>2026</v>
      </c>
      <c r="D25" s="55">
        <f>IF(F24+SUM(E$17:E24)=D$10,F24,D$10-SUM(E$17:E24))</f>
        <v>9217513.0301235355</v>
      </c>
      <c r="E25" s="378">
        <f>IF(+I14&lt;F24,I14,D25)</f>
        <v>253896.7322727273</v>
      </c>
      <c r="F25" s="55">
        <f t="shared" si="16"/>
        <v>8963616.2978508081</v>
      </c>
      <c r="G25" s="379">
        <f t="shared" si="17"/>
        <v>1340465.8516746443</v>
      </c>
      <c r="H25" s="364">
        <f t="shared" si="18"/>
        <v>1340465.8516746443</v>
      </c>
      <c r="I25" s="52">
        <f t="shared" si="0"/>
        <v>0</v>
      </c>
      <c r="J25" s="52"/>
      <c r="K25" s="129"/>
      <c r="L25" s="54">
        <f t="shared" si="2"/>
        <v>0</v>
      </c>
      <c r="M25" s="129"/>
      <c r="N25" s="54">
        <f t="shared" si="4"/>
        <v>0</v>
      </c>
      <c r="O25" s="54">
        <f t="shared" si="5"/>
        <v>0</v>
      </c>
      <c r="P25" s="1"/>
    </row>
    <row r="26" spans="2:16" ht="12.5">
      <c r="B26" s="7" t="str">
        <f t="shared" si="7"/>
        <v/>
      </c>
      <c r="C26" s="50">
        <f>IF(D11="","-",+C25+1)</f>
        <v>2027</v>
      </c>
      <c r="D26" s="55">
        <f>IF(F25+SUM(E$17:E25)=D$10,F25,D$10-SUM(E$17:E25))</f>
        <v>8963616.2978508081</v>
      </c>
      <c r="E26" s="378">
        <f>IF(+I14&lt;F25,I14,D26)</f>
        <v>253896.7322727273</v>
      </c>
      <c r="F26" s="55">
        <f t="shared" si="16"/>
        <v>8709719.5655780807</v>
      </c>
      <c r="G26" s="379">
        <f t="shared" si="17"/>
        <v>1310118.3035297529</v>
      </c>
      <c r="H26" s="364">
        <f t="shared" si="18"/>
        <v>1310118.3035297529</v>
      </c>
      <c r="I26" s="52">
        <f t="shared" si="0"/>
        <v>0</v>
      </c>
      <c r="J26" s="52"/>
      <c r="K26" s="129"/>
      <c r="L26" s="54">
        <f t="shared" si="2"/>
        <v>0</v>
      </c>
      <c r="M26" s="129"/>
      <c r="N26" s="54">
        <f t="shared" si="4"/>
        <v>0</v>
      </c>
      <c r="O26" s="54">
        <f t="shared" si="5"/>
        <v>0</v>
      </c>
      <c r="P26" s="1"/>
    </row>
    <row r="27" spans="2:16" ht="12.5">
      <c r="B27" s="7" t="str">
        <f t="shared" si="7"/>
        <v/>
      </c>
      <c r="C27" s="50">
        <f>IF(D11="","-",+C26+1)</f>
        <v>2028</v>
      </c>
      <c r="D27" s="55">
        <f>IF(F26+SUM(E$17:E26)=D$10,F26,D$10-SUM(E$17:E26))</f>
        <v>8709719.5655780807</v>
      </c>
      <c r="E27" s="378">
        <f>IF(+I14&lt;F26,I14,D27)</f>
        <v>253896.7322727273</v>
      </c>
      <c r="F27" s="55">
        <f t="shared" si="16"/>
        <v>8455822.8333053533</v>
      </c>
      <c r="G27" s="379">
        <f t="shared" si="17"/>
        <v>1279770.755384861</v>
      </c>
      <c r="H27" s="364">
        <f t="shared" si="18"/>
        <v>1279770.755384861</v>
      </c>
      <c r="I27" s="52">
        <f t="shared" si="0"/>
        <v>0</v>
      </c>
      <c r="J27" s="52"/>
      <c r="K27" s="129"/>
      <c r="L27" s="54">
        <f t="shared" si="2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7"/>
        <v/>
      </c>
      <c r="C28" s="50">
        <f>IF(D11="","-",+C27+1)</f>
        <v>2029</v>
      </c>
      <c r="D28" s="55">
        <f>IF(F27+SUM(E$17:E27)=D$10,F27,D$10-SUM(E$17:E27))</f>
        <v>8455822.8333053533</v>
      </c>
      <c r="E28" s="378">
        <f>IF(+I14&lt;F27,I14,D28)</f>
        <v>253896.7322727273</v>
      </c>
      <c r="F28" s="55">
        <f t="shared" si="16"/>
        <v>8201926.1010326259</v>
      </c>
      <c r="G28" s="379">
        <f t="shared" si="17"/>
        <v>1249423.2072399694</v>
      </c>
      <c r="H28" s="364">
        <f t="shared" si="18"/>
        <v>1249423.2072399694</v>
      </c>
      <c r="I28" s="52">
        <f t="shared" si="0"/>
        <v>0</v>
      </c>
      <c r="J28" s="52"/>
      <c r="K28" s="129"/>
      <c r="L28" s="54">
        <f t="shared" si="2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7"/>
        <v/>
      </c>
      <c r="C29" s="50">
        <f>IF(D11="","-",+C28+1)</f>
        <v>2030</v>
      </c>
      <c r="D29" s="55">
        <f>IF(F28+SUM(E$17:E28)=D$10,F28,D$10-SUM(E$17:E28))</f>
        <v>8201926.1010326259</v>
      </c>
      <c r="E29" s="378">
        <f>IF(+I14&lt;F28,I14,D29)</f>
        <v>253896.7322727273</v>
      </c>
      <c r="F29" s="55">
        <f t="shared" si="16"/>
        <v>7948029.3687598985</v>
      </c>
      <c r="G29" s="379">
        <f t="shared" si="17"/>
        <v>1219075.6590950778</v>
      </c>
      <c r="H29" s="364">
        <f t="shared" si="18"/>
        <v>1219075.6590950778</v>
      </c>
      <c r="I29" s="52">
        <f t="shared" si="0"/>
        <v>0</v>
      </c>
      <c r="J29" s="52"/>
      <c r="K29" s="129"/>
      <c r="L29" s="54">
        <f t="shared" si="2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7"/>
        <v/>
      </c>
      <c r="C30" s="50">
        <f>IF(D11="","-",+C29+1)</f>
        <v>2031</v>
      </c>
      <c r="D30" s="55">
        <f>IF(F29+SUM(E$17:E29)=D$10,F29,D$10-SUM(E$17:E29))</f>
        <v>7948029.3687598985</v>
      </c>
      <c r="E30" s="378">
        <f>IF(+I14&lt;F29,I14,D30)</f>
        <v>253896.7322727273</v>
      </c>
      <c r="F30" s="55">
        <f t="shared" si="16"/>
        <v>7694132.6364871711</v>
      </c>
      <c r="G30" s="379">
        <f t="shared" si="17"/>
        <v>1188728.1109501859</v>
      </c>
      <c r="H30" s="364">
        <f t="shared" si="18"/>
        <v>1188728.1109501859</v>
      </c>
      <c r="I30" s="52">
        <f t="shared" si="0"/>
        <v>0</v>
      </c>
      <c r="J30" s="52"/>
      <c r="K30" s="129"/>
      <c r="L30" s="54">
        <f t="shared" si="2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7"/>
        <v/>
      </c>
      <c r="C31" s="50">
        <f>IF(D11="","-",+C30+1)</f>
        <v>2032</v>
      </c>
      <c r="D31" s="55">
        <f>IF(F30+SUM(E$17:E30)=D$10,F30,D$10-SUM(E$17:E30))</f>
        <v>7694132.6364871711</v>
      </c>
      <c r="E31" s="378">
        <f>IF(+I14&lt;F30,I14,D31)</f>
        <v>253896.7322727273</v>
      </c>
      <c r="F31" s="55">
        <f t="shared" si="16"/>
        <v>7440235.9042144436</v>
      </c>
      <c r="G31" s="379">
        <f t="shared" si="17"/>
        <v>1158380.5628052945</v>
      </c>
      <c r="H31" s="364">
        <f t="shared" si="18"/>
        <v>1158380.5628052945</v>
      </c>
      <c r="I31" s="52">
        <f t="shared" si="0"/>
        <v>0</v>
      </c>
      <c r="J31" s="52"/>
      <c r="K31" s="129"/>
      <c r="L31" s="54">
        <f t="shared" si="2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7"/>
        <v/>
      </c>
      <c r="C32" s="50">
        <f>IF(D11="","-",+C31+1)</f>
        <v>2033</v>
      </c>
      <c r="D32" s="55">
        <f>IF(F31+SUM(E$17:E31)=D$10,F31,D$10-SUM(E$17:E31))</f>
        <v>7440235.9042144436</v>
      </c>
      <c r="E32" s="378">
        <f>IF(+I14&lt;F31,I14,D32)</f>
        <v>253896.7322727273</v>
      </c>
      <c r="F32" s="55">
        <f t="shared" si="16"/>
        <v>7186339.1719417162</v>
      </c>
      <c r="G32" s="379">
        <f t="shared" si="17"/>
        <v>1128033.0146604027</v>
      </c>
      <c r="H32" s="364">
        <f t="shared" si="18"/>
        <v>1128033.0146604027</v>
      </c>
      <c r="I32" s="52">
        <f t="shared" si="0"/>
        <v>0</v>
      </c>
      <c r="J32" s="52"/>
      <c r="K32" s="129"/>
      <c r="L32" s="54">
        <f t="shared" si="2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7"/>
        <v/>
      </c>
      <c r="C33" s="50">
        <f>IF(D11="","-",+C32+1)</f>
        <v>2034</v>
      </c>
      <c r="D33" s="55">
        <f>IF(F32+SUM(E$17:E32)=D$10,F32,D$10-SUM(E$17:E32))</f>
        <v>7186339.1719417162</v>
      </c>
      <c r="E33" s="378">
        <f>IF(+I14&lt;F32,I14,D33)</f>
        <v>253896.7322727273</v>
      </c>
      <c r="F33" s="55">
        <f t="shared" si="16"/>
        <v>6932442.4396689888</v>
      </c>
      <c r="G33" s="379">
        <f t="shared" si="17"/>
        <v>1097685.466515511</v>
      </c>
      <c r="H33" s="364">
        <f t="shared" si="18"/>
        <v>1097685.466515511</v>
      </c>
      <c r="I33" s="52">
        <f t="shared" si="0"/>
        <v>0</v>
      </c>
      <c r="J33" s="52"/>
      <c r="K33" s="129"/>
      <c r="L33" s="54">
        <f t="shared" si="2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7"/>
        <v/>
      </c>
      <c r="C34" s="50">
        <f>IF(D11="","-",+C33+1)</f>
        <v>2035</v>
      </c>
      <c r="D34" s="55">
        <f>IF(F33+SUM(E$17:E33)=D$10,F33,D$10-SUM(E$17:E33))</f>
        <v>6932442.4396689888</v>
      </c>
      <c r="E34" s="378">
        <f>IF(+I14&lt;F33,I14,D34)</f>
        <v>253896.7322727273</v>
      </c>
      <c r="F34" s="55">
        <f t="shared" si="16"/>
        <v>6678545.7073962614</v>
      </c>
      <c r="G34" s="379">
        <f t="shared" si="17"/>
        <v>1067337.9183706194</v>
      </c>
      <c r="H34" s="364">
        <f t="shared" si="18"/>
        <v>1067337.9183706194</v>
      </c>
      <c r="I34" s="52">
        <f t="shared" si="0"/>
        <v>0</v>
      </c>
      <c r="J34" s="52"/>
      <c r="K34" s="129"/>
      <c r="L34" s="54">
        <f t="shared" si="2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7"/>
        <v/>
      </c>
      <c r="C35" s="50">
        <f>IF(D11="","-",+C34+1)</f>
        <v>2036</v>
      </c>
      <c r="D35" s="55">
        <f>IF(F34+SUM(E$17:E34)=D$10,F34,D$10-SUM(E$17:E34))</f>
        <v>6678545.7073962614</v>
      </c>
      <c r="E35" s="378">
        <f>IF(+I14&lt;F34,I14,D35)</f>
        <v>253896.7322727273</v>
      </c>
      <c r="F35" s="55">
        <f t="shared" si="16"/>
        <v>6424648.975123534</v>
      </c>
      <c r="G35" s="379">
        <f t="shared" si="17"/>
        <v>1036990.3702257277</v>
      </c>
      <c r="H35" s="364">
        <f t="shared" si="18"/>
        <v>1036990.3702257277</v>
      </c>
      <c r="I35" s="52">
        <f t="shared" si="0"/>
        <v>0</v>
      </c>
      <c r="J35" s="52"/>
      <c r="K35" s="129"/>
      <c r="L35" s="54">
        <f t="shared" si="2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7"/>
        <v/>
      </c>
      <c r="C36" s="50">
        <f>IF(D11="","-",+C35+1)</f>
        <v>2037</v>
      </c>
      <c r="D36" s="55">
        <f>IF(F35+SUM(E$17:E35)=D$10,F35,D$10-SUM(E$17:E35))</f>
        <v>6424648.975123534</v>
      </c>
      <c r="E36" s="378">
        <f>IF(+I14&lt;F35,I14,D36)</f>
        <v>253896.7322727273</v>
      </c>
      <c r="F36" s="55">
        <f t="shared" si="16"/>
        <v>6170752.2428508066</v>
      </c>
      <c r="G36" s="379">
        <f t="shared" si="17"/>
        <v>1006642.822080836</v>
      </c>
      <c r="H36" s="364">
        <f t="shared" si="18"/>
        <v>1006642.822080836</v>
      </c>
      <c r="I36" s="52">
        <f t="shared" si="0"/>
        <v>0</v>
      </c>
      <c r="J36" s="52"/>
      <c r="K36" s="129"/>
      <c r="L36" s="54">
        <f t="shared" si="2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7"/>
        <v/>
      </c>
      <c r="C37" s="50">
        <f>IF(D11="","-",+C36+1)</f>
        <v>2038</v>
      </c>
      <c r="D37" s="55">
        <f>IF(F36+SUM(E$17:E36)=D$10,F36,D$10-SUM(E$17:E36))</f>
        <v>6170752.2428508066</v>
      </c>
      <c r="E37" s="378">
        <f>IF(+I14&lt;F36,I14,D37)</f>
        <v>253896.7322727273</v>
      </c>
      <c r="F37" s="55">
        <f t="shared" si="16"/>
        <v>5916855.5105780791</v>
      </c>
      <c r="G37" s="379">
        <f t="shared" si="17"/>
        <v>976295.27393594431</v>
      </c>
      <c r="H37" s="364">
        <f t="shared" si="18"/>
        <v>976295.27393594431</v>
      </c>
      <c r="I37" s="52">
        <f t="shared" si="0"/>
        <v>0</v>
      </c>
      <c r="J37" s="52"/>
      <c r="K37" s="129"/>
      <c r="L37" s="54">
        <f t="shared" si="2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7"/>
        <v/>
      </c>
      <c r="C38" s="50">
        <f>IF(D11="","-",+C37+1)</f>
        <v>2039</v>
      </c>
      <c r="D38" s="55">
        <f>IF(F37+SUM(E$17:E37)=D$10,F37,D$10-SUM(E$17:E37))</f>
        <v>5916855.5105780791</v>
      </c>
      <c r="E38" s="378">
        <f>IF(+I14&lt;F37,I14,D38)</f>
        <v>253896.7322727273</v>
      </c>
      <c r="F38" s="55">
        <f t="shared" si="16"/>
        <v>5662958.7783053517</v>
      </c>
      <c r="G38" s="379">
        <f t="shared" si="17"/>
        <v>945947.72579105268</v>
      </c>
      <c r="H38" s="364">
        <f t="shared" si="18"/>
        <v>945947.72579105268</v>
      </c>
      <c r="I38" s="52">
        <f t="shared" si="0"/>
        <v>0</v>
      </c>
      <c r="J38" s="52"/>
      <c r="K38" s="129"/>
      <c r="L38" s="54">
        <f t="shared" si="2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7"/>
        <v/>
      </c>
      <c r="C39" s="50">
        <f>IF(D11="","-",+C38+1)</f>
        <v>2040</v>
      </c>
      <c r="D39" s="55">
        <f>IF(F38+SUM(E$17:E38)=D$10,F38,D$10-SUM(E$17:E38))</f>
        <v>5662958.7783053517</v>
      </c>
      <c r="E39" s="378">
        <f>IF(+I14&lt;F38,I14,D39)</f>
        <v>253896.7322727273</v>
      </c>
      <c r="F39" s="55">
        <f t="shared" si="16"/>
        <v>5409062.0460326243</v>
      </c>
      <c r="G39" s="379">
        <f t="shared" si="17"/>
        <v>915600.17764616094</v>
      </c>
      <c r="H39" s="364">
        <f t="shared" si="18"/>
        <v>915600.17764616094</v>
      </c>
      <c r="I39" s="52">
        <f t="shared" si="0"/>
        <v>0</v>
      </c>
      <c r="J39" s="52"/>
      <c r="K39" s="129"/>
      <c r="L39" s="54">
        <f t="shared" si="2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7"/>
        <v/>
      </c>
      <c r="C40" s="50">
        <f>IF(D11="","-",+C39+1)</f>
        <v>2041</v>
      </c>
      <c r="D40" s="55">
        <f>IF(F39+SUM(E$17:E39)=D$10,F39,D$10-SUM(E$17:E39))</f>
        <v>5409062.0460326243</v>
      </c>
      <c r="E40" s="378">
        <f>IF(+I14&lt;F39,I14,D40)</f>
        <v>253896.7322727273</v>
      </c>
      <c r="F40" s="55">
        <f t="shared" si="16"/>
        <v>5155165.3137598969</v>
      </c>
      <c r="G40" s="379">
        <f t="shared" si="17"/>
        <v>885252.62950126932</v>
      </c>
      <c r="H40" s="364">
        <f t="shared" si="18"/>
        <v>885252.62950126932</v>
      </c>
      <c r="I40" s="52">
        <f t="shared" si="0"/>
        <v>0</v>
      </c>
      <c r="J40" s="52"/>
      <c r="K40" s="129"/>
      <c r="L40" s="54">
        <f t="shared" si="2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7"/>
        <v/>
      </c>
      <c r="C41" s="50">
        <f>IF(D11="","-",+C40+1)</f>
        <v>2042</v>
      </c>
      <c r="D41" s="55">
        <f>IF(F40+SUM(E$17:E40)=D$10,F40,D$10-SUM(E$17:E40))</f>
        <v>5155165.3137598969</v>
      </c>
      <c r="E41" s="378">
        <f>IF(+I14&lt;F40,I14,D41)</f>
        <v>253896.7322727273</v>
      </c>
      <c r="F41" s="55">
        <f t="shared" si="16"/>
        <v>4901268.5814871695</v>
      </c>
      <c r="G41" s="379">
        <f t="shared" si="17"/>
        <v>854905.08135637757</v>
      </c>
      <c r="H41" s="364">
        <f t="shared" si="18"/>
        <v>854905.08135637757</v>
      </c>
      <c r="I41" s="52">
        <f t="shared" si="0"/>
        <v>0</v>
      </c>
      <c r="J41" s="52"/>
      <c r="K41" s="129"/>
      <c r="L41" s="54">
        <f t="shared" si="2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7"/>
        <v/>
      </c>
      <c r="C42" s="50">
        <f>IF(D11="","-",+C41+1)</f>
        <v>2043</v>
      </c>
      <c r="D42" s="55">
        <f>IF(F41+SUM(E$17:E41)=D$10,F41,D$10-SUM(E$17:E41))</f>
        <v>4901268.5814871695</v>
      </c>
      <c r="E42" s="378">
        <f>IF(+I14&lt;F41,I14,D42)</f>
        <v>253896.7322727273</v>
      </c>
      <c r="F42" s="55">
        <f t="shared" si="16"/>
        <v>4647371.8492144421</v>
      </c>
      <c r="G42" s="379">
        <f t="shared" si="17"/>
        <v>824557.53321148595</v>
      </c>
      <c r="H42" s="364">
        <f t="shared" si="18"/>
        <v>824557.53321148595</v>
      </c>
      <c r="I42" s="52">
        <f t="shared" si="0"/>
        <v>0</v>
      </c>
      <c r="J42" s="52"/>
      <c r="K42" s="129"/>
      <c r="L42" s="54">
        <f t="shared" si="2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7"/>
        <v/>
      </c>
      <c r="C43" s="50">
        <f>IF(D11="","-",+C42+1)</f>
        <v>2044</v>
      </c>
      <c r="D43" s="55">
        <f>IF(F42+SUM(E$17:E42)=D$10,F42,D$10-SUM(E$17:E42))</f>
        <v>4647371.8492144421</v>
      </c>
      <c r="E43" s="378">
        <f>IF(+I14&lt;F42,I14,D43)</f>
        <v>253896.7322727273</v>
      </c>
      <c r="F43" s="55">
        <f t="shared" si="16"/>
        <v>4393475.1169417147</v>
      </c>
      <c r="G43" s="379">
        <f t="shared" si="17"/>
        <v>794209.98506659421</v>
      </c>
      <c r="H43" s="364">
        <f t="shared" si="18"/>
        <v>794209.98506659421</v>
      </c>
      <c r="I43" s="52">
        <f t="shared" si="0"/>
        <v>0</v>
      </c>
      <c r="J43" s="52"/>
      <c r="K43" s="129"/>
      <c r="L43" s="54">
        <f t="shared" si="2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7"/>
        <v/>
      </c>
      <c r="C44" s="50">
        <f>IF(D11="","-",+C43+1)</f>
        <v>2045</v>
      </c>
      <c r="D44" s="55">
        <f>IF(F43+SUM(E$17:E43)=D$10,F43,D$10-SUM(E$17:E43))</f>
        <v>4393475.1169417147</v>
      </c>
      <c r="E44" s="378">
        <f>IF(+I14&lt;F43,I14,D44)</f>
        <v>253896.7322727273</v>
      </c>
      <c r="F44" s="55">
        <f t="shared" si="16"/>
        <v>4139578.3846689872</v>
      </c>
      <c r="G44" s="379">
        <f t="shared" si="17"/>
        <v>763862.43692170258</v>
      </c>
      <c r="H44" s="364">
        <f t="shared" si="18"/>
        <v>763862.43692170258</v>
      </c>
      <c r="I44" s="52">
        <f t="shared" si="0"/>
        <v>0</v>
      </c>
      <c r="J44" s="52"/>
      <c r="K44" s="129"/>
      <c r="L44" s="54">
        <f t="shared" si="2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7"/>
        <v/>
      </c>
      <c r="C45" s="50">
        <f>IF(D11="","-",+C44+1)</f>
        <v>2046</v>
      </c>
      <c r="D45" s="55">
        <f>IF(F44+SUM(E$17:E44)=D$10,F44,D$10-SUM(E$17:E44))</f>
        <v>4139578.3846689872</v>
      </c>
      <c r="E45" s="378">
        <f>IF(+I14&lt;F44,I14,D45)</f>
        <v>253896.7322727273</v>
      </c>
      <c r="F45" s="55">
        <f t="shared" si="16"/>
        <v>3885681.6523962598</v>
      </c>
      <c r="G45" s="379">
        <f t="shared" si="17"/>
        <v>733514.88877681084</v>
      </c>
      <c r="H45" s="364">
        <f t="shared" si="18"/>
        <v>733514.88877681084</v>
      </c>
      <c r="I45" s="52">
        <f t="shared" si="0"/>
        <v>0</v>
      </c>
      <c r="J45" s="52"/>
      <c r="K45" s="129"/>
      <c r="L45" s="54">
        <f t="shared" si="2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7"/>
        <v/>
      </c>
      <c r="C46" s="50">
        <f>IF(D11="","-",+C45+1)</f>
        <v>2047</v>
      </c>
      <c r="D46" s="55">
        <f>IF(F45+SUM(E$17:E45)=D$10,F45,D$10-SUM(E$17:E45))</f>
        <v>3885681.6523962598</v>
      </c>
      <c r="E46" s="378">
        <f>IF(+I14&lt;F45,I14,D46)</f>
        <v>253896.7322727273</v>
      </c>
      <c r="F46" s="55">
        <f t="shared" si="16"/>
        <v>3631784.9201235324</v>
      </c>
      <c r="G46" s="379">
        <f t="shared" si="17"/>
        <v>703167.34063191921</v>
      </c>
      <c r="H46" s="364">
        <f t="shared" si="18"/>
        <v>703167.34063191921</v>
      </c>
      <c r="I46" s="52">
        <f t="shared" si="0"/>
        <v>0</v>
      </c>
      <c r="J46" s="52"/>
      <c r="K46" s="129"/>
      <c r="L46" s="54">
        <f t="shared" si="2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7"/>
        <v/>
      </c>
      <c r="C47" s="50">
        <f>IF(D11="","-",+C46+1)</f>
        <v>2048</v>
      </c>
      <c r="D47" s="55">
        <f>IF(F46+SUM(E$17:E46)=D$10,F46,D$10-SUM(E$17:E46))</f>
        <v>3631784.9201235324</v>
      </c>
      <c r="E47" s="378">
        <f>IF(+I14&lt;F46,I14,D47)</f>
        <v>253896.7322727273</v>
      </c>
      <c r="F47" s="55">
        <f t="shared" si="16"/>
        <v>3377888.187850805</v>
      </c>
      <c r="G47" s="379">
        <f t="shared" si="17"/>
        <v>672819.79248702759</v>
      </c>
      <c r="H47" s="364">
        <f t="shared" si="18"/>
        <v>672819.79248702759</v>
      </c>
      <c r="I47" s="52">
        <f t="shared" si="0"/>
        <v>0</v>
      </c>
      <c r="J47" s="52"/>
      <c r="K47" s="129"/>
      <c r="L47" s="54">
        <f t="shared" si="2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7"/>
        <v/>
      </c>
      <c r="C48" s="50">
        <f>IF(D11="","-",+C47+1)</f>
        <v>2049</v>
      </c>
      <c r="D48" s="55">
        <f>IF(F47+SUM(E$17:E47)=D$10,F47,D$10-SUM(E$17:E47))</f>
        <v>3377888.187850805</v>
      </c>
      <c r="E48" s="378">
        <f>IF(+I14&lt;F47,I14,D48)</f>
        <v>253896.7322727273</v>
      </c>
      <c r="F48" s="55">
        <f t="shared" si="16"/>
        <v>3123991.4555780776</v>
      </c>
      <c r="G48" s="379">
        <f t="shared" si="17"/>
        <v>642472.24434213585</v>
      </c>
      <c r="H48" s="364">
        <f t="shared" si="18"/>
        <v>642472.24434213585</v>
      </c>
      <c r="I48" s="52">
        <f t="shared" si="0"/>
        <v>0</v>
      </c>
      <c r="J48" s="52"/>
      <c r="K48" s="129"/>
      <c r="L48" s="54">
        <f t="shared" si="2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 ht="12.5">
      <c r="B49" s="7" t="str">
        <f t="shared" si="7"/>
        <v/>
      </c>
      <c r="C49" s="50">
        <f>IF(D11="","-",+C48+1)</f>
        <v>2050</v>
      </c>
      <c r="D49" s="55">
        <f>IF(F48+SUM(E$17:E48)=D$10,F48,D$10-SUM(E$17:E48))</f>
        <v>3123991.4555780776</v>
      </c>
      <c r="E49" s="378">
        <f>IF(+I14&lt;F48,I14,D49)</f>
        <v>253896.7322727273</v>
      </c>
      <c r="F49" s="55">
        <f t="shared" si="16"/>
        <v>2870094.7233053502</v>
      </c>
      <c r="G49" s="379">
        <f t="shared" si="17"/>
        <v>612124.69619724411</v>
      </c>
      <c r="H49" s="364">
        <f t="shared" si="18"/>
        <v>612124.69619724411</v>
      </c>
      <c r="I49" s="52">
        <f t="shared" si="0"/>
        <v>0</v>
      </c>
      <c r="J49" s="52"/>
      <c r="K49" s="129"/>
      <c r="L49" s="54">
        <f t="shared" si="2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 ht="12.5">
      <c r="B50" s="7" t="str">
        <f t="shared" si="7"/>
        <v/>
      </c>
      <c r="C50" s="50">
        <f>IF(D11="","-",+C49+1)</f>
        <v>2051</v>
      </c>
      <c r="D50" s="55">
        <f>IF(F49+SUM(E$17:E49)=D$10,F49,D$10-SUM(E$17:E49))</f>
        <v>2870094.7233053502</v>
      </c>
      <c r="E50" s="378">
        <f>IF(+I14&lt;F49,I14,D50)</f>
        <v>253896.7322727273</v>
      </c>
      <c r="F50" s="55">
        <f t="shared" si="16"/>
        <v>2616197.9910326228</v>
      </c>
      <c r="G50" s="379">
        <f t="shared" si="17"/>
        <v>581777.14805235248</v>
      </c>
      <c r="H50" s="364">
        <f t="shared" si="18"/>
        <v>581777.14805235248</v>
      </c>
      <c r="I50" s="52">
        <f t="shared" si="0"/>
        <v>0</v>
      </c>
      <c r="J50" s="52"/>
      <c r="K50" s="129"/>
      <c r="L50" s="54">
        <f t="shared" si="2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 ht="12.5">
      <c r="B51" s="7" t="str">
        <f t="shared" si="7"/>
        <v/>
      </c>
      <c r="C51" s="50">
        <f>IF(D11="","-",+C50+1)</f>
        <v>2052</v>
      </c>
      <c r="D51" s="55">
        <f>IF(F50+SUM(E$17:E50)=D$10,F50,D$10-SUM(E$17:E50))</f>
        <v>2616197.9910326228</v>
      </c>
      <c r="E51" s="378">
        <f>IF(+I14&lt;F50,I14,D51)</f>
        <v>253896.7322727273</v>
      </c>
      <c r="F51" s="55">
        <f t="shared" si="16"/>
        <v>2362301.2587598953</v>
      </c>
      <c r="G51" s="379">
        <f t="shared" si="17"/>
        <v>551429.59990746086</v>
      </c>
      <c r="H51" s="364">
        <f t="shared" si="18"/>
        <v>551429.59990746086</v>
      </c>
      <c r="I51" s="52">
        <f t="shared" si="0"/>
        <v>0</v>
      </c>
      <c r="J51" s="52"/>
      <c r="K51" s="129"/>
      <c r="L51" s="54">
        <f t="shared" si="2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 ht="12.5">
      <c r="B52" s="7" t="str">
        <f t="shared" si="7"/>
        <v/>
      </c>
      <c r="C52" s="50">
        <f>IF(D11="","-",+C51+1)</f>
        <v>2053</v>
      </c>
      <c r="D52" s="55">
        <f>IF(F51+SUM(E$17:E51)=D$10,F51,D$10-SUM(E$17:E51))</f>
        <v>2362301.2587598953</v>
      </c>
      <c r="E52" s="378">
        <f>IF(+I14&lt;F51,I14,D52)</f>
        <v>253896.7322727273</v>
      </c>
      <c r="F52" s="55">
        <f t="shared" si="16"/>
        <v>2108404.5264871679</v>
      </c>
      <c r="G52" s="379">
        <f t="shared" si="17"/>
        <v>521082.05176256911</v>
      </c>
      <c r="H52" s="364">
        <f t="shared" si="18"/>
        <v>521082.05176256911</v>
      </c>
      <c r="I52" s="52">
        <f t="shared" si="0"/>
        <v>0</v>
      </c>
      <c r="J52" s="52"/>
      <c r="K52" s="129"/>
      <c r="L52" s="54">
        <f t="shared" si="2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 ht="12.5">
      <c r="B53" s="7" t="str">
        <f t="shared" si="7"/>
        <v/>
      </c>
      <c r="C53" s="50">
        <f>IF(D11="","-",+C52+1)</f>
        <v>2054</v>
      </c>
      <c r="D53" s="55">
        <f>IF(F52+SUM(E$17:E52)=D$10,F52,D$10-SUM(E$17:E52))</f>
        <v>2108404.5264871679</v>
      </c>
      <c r="E53" s="378">
        <f>IF(+I14&lt;F52,I14,D53)</f>
        <v>253896.7322727273</v>
      </c>
      <c r="F53" s="55">
        <f t="shared" si="16"/>
        <v>1854507.7942144405</v>
      </c>
      <c r="G53" s="379">
        <f t="shared" si="17"/>
        <v>490734.50361767743</v>
      </c>
      <c r="H53" s="364">
        <f t="shared" si="18"/>
        <v>490734.50361767743</v>
      </c>
      <c r="I53" s="52">
        <f t="shared" si="0"/>
        <v>0</v>
      </c>
      <c r="J53" s="52"/>
      <c r="K53" s="129"/>
      <c r="L53" s="54">
        <f t="shared" si="2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 ht="12.5">
      <c r="B54" s="7" t="str">
        <f t="shared" si="7"/>
        <v/>
      </c>
      <c r="C54" s="50">
        <f>IF(D11="","-",+C53+1)</f>
        <v>2055</v>
      </c>
      <c r="D54" s="55">
        <f>IF(F53+SUM(E$17:E53)=D$10,F53,D$10-SUM(E$17:E53))</f>
        <v>1854507.7942144405</v>
      </c>
      <c r="E54" s="378">
        <f>IF(+I14&lt;F53,I14,D54)</f>
        <v>253896.7322727273</v>
      </c>
      <c r="F54" s="55">
        <f t="shared" si="16"/>
        <v>1600611.0619417131</v>
      </c>
      <c r="G54" s="379">
        <f t="shared" si="17"/>
        <v>460386.95547278575</v>
      </c>
      <c r="H54" s="364">
        <f t="shared" si="18"/>
        <v>460386.95547278575</v>
      </c>
      <c r="I54" s="52">
        <f t="shared" si="0"/>
        <v>0</v>
      </c>
      <c r="J54" s="52"/>
      <c r="K54" s="129"/>
      <c r="L54" s="54">
        <f t="shared" si="2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 ht="12.5">
      <c r="B55" s="7" t="str">
        <f t="shared" si="7"/>
        <v/>
      </c>
      <c r="C55" s="50">
        <f>IF(D11="","-",+C54+1)</f>
        <v>2056</v>
      </c>
      <c r="D55" s="55">
        <f>IF(F54+SUM(E$17:E54)=D$10,F54,D$10-SUM(E$17:E54))</f>
        <v>1600611.0619417131</v>
      </c>
      <c r="E55" s="378">
        <f>IF(+I14&lt;F54,I14,D55)</f>
        <v>253896.7322727273</v>
      </c>
      <c r="F55" s="55">
        <f t="shared" si="16"/>
        <v>1346714.3296689857</v>
      </c>
      <c r="G55" s="379">
        <f t="shared" si="17"/>
        <v>430039.40732789412</v>
      </c>
      <c r="H55" s="364">
        <f t="shared" si="18"/>
        <v>430039.40732789412</v>
      </c>
      <c r="I55" s="52">
        <f t="shared" si="0"/>
        <v>0</v>
      </c>
      <c r="J55" s="52"/>
      <c r="K55" s="129"/>
      <c r="L55" s="54">
        <f t="shared" si="2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 ht="12.5">
      <c r="B56" s="7" t="str">
        <f t="shared" si="7"/>
        <v/>
      </c>
      <c r="C56" s="50">
        <f>IF(D11="","-",+C55+1)</f>
        <v>2057</v>
      </c>
      <c r="D56" s="55">
        <f>IF(F55+SUM(E$17:E55)=D$10,F55,D$10-SUM(E$17:E55))</f>
        <v>1346714.3296689857</v>
      </c>
      <c r="E56" s="378">
        <f>IF(+I14&lt;F55,I14,D56)</f>
        <v>253896.7322727273</v>
      </c>
      <c r="F56" s="55">
        <f t="shared" si="16"/>
        <v>1092817.5973962583</v>
      </c>
      <c r="G56" s="379">
        <f t="shared" si="17"/>
        <v>399691.85918300238</v>
      </c>
      <c r="H56" s="364">
        <f t="shared" si="18"/>
        <v>399691.85918300238</v>
      </c>
      <c r="I56" s="52">
        <f t="shared" si="0"/>
        <v>0</v>
      </c>
      <c r="J56" s="52"/>
      <c r="K56" s="129"/>
      <c r="L56" s="54">
        <f t="shared" si="2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 ht="12.5">
      <c r="B57" s="7" t="str">
        <f t="shared" si="7"/>
        <v/>
      </c>
      <c r="C57" s="50">
        <f>IF(D11="","-",+C56+1)</f>
        <v>2058</v>
      </c>
      <c r="D57" s="55">
        <f>IF(F56+SUM(E$17:E56)=D$10,F56,D$10-SUM(E$17:E56))</f>
        <v>1092817.5973962583</v>
      </c>
      <c r="E57" s="378">
        <f>IF(+I14&lt;F56,I14,D57)</f>
        <v>253896.7322727273</v>
      </c>
      <c r="F57" s="55">
        <f t="shared" si="16"/>
        <v>838920.86512353097</v>
      </c>
      <c r="G57" s="379">
        <f t="shared" si="17"/>
        <v>369344.31103811075</v>
      </c>
      <c r="H57" s="364">
        <f t="shared" si="18"/>
        <v>369344.31103811075</v>
      </c>
      <c r="I57" s="52">
        <f t="shared" si="0"/>
        <v>0</v>
      </c>
      <c r="J57" s="52"/>
      <c r="K57" s="129"/>
      <c r="L57" s="54">
        <f t="shared" si="2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 ht="12.5">
      <c r="B58" s="7" t="str">
        <f t="shared" si="7"/>
        <v/>
      </c>
      <c r="C58" s="50">
        <f>IF(D11="","-",+C57+1)</f>
        <v>2059</v>
      </c>
      <c r="D58" s="55">
        <f>IF(F57+SUM(E$17:E57)=D$10,F57,D$10-SUM(E$17:E57))</f>
        <v>838920.86512353097</v>
      </c>
      <c r="E58" s="378">
        <f>IF(+I14&lt;F57,I14,D58)</f>
        <v>253896.7322727273</v>
      </c>
      <c r="F58" s="55">
        <f t="shared" si="16"/>
        <v>585024.13285080367</v>
      </c>
      <c r="G58" s="379">
        <f t="shared" si="17"/>
        <v>338996.76289321907</v>
      </c>
      <c r="H58" s="364">
        <f t="shared" si="18"/>
        <v>338996.76289321907</v>
      </c>
      <c r="I58" s="52">
        <f t="shared" si="0"/>
        <v>0</v>
      </c>
      <c r="J58" s="52"/>
      <c r="K58" s="129"/>
      <c r="L58" s="54">
        <f t="shared" si="2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 ht="12.5">
      <c r="B59" s="7" t="str">
        <f t="shared" si="7"/>
        <v/>
      </c>
      <c r="C59" s="50">
        <f>IF(D11="","-",+C58+1)</f>
        <v>2060</v>
      </c>
      <c r="D59" s="55">
        <f>IF(F58+SUM(E$17:E58)=D$10,F58,D$10-SUM(E$17:E58))</f>
        <v>585024.13285080367</v>
      </c>
      <c r="E59" s="378">
        <f>IF(+I14&lt;F58,I14,D59)</f>
        <v>253896.7322727273</v>
      </c>
      <c r="F59" s="55">
        <f t="shared" si="16"/>
        <v>331127.40057807637</v>
      </c>
      <c r="G59" s="379">
        <f t="shared" si="17"/>
        <v>308649.21474832739</v>
      </c>
      <c r="H59" s="364">
        <f t="shared" si="18"/>
        <v>308649.21474832739</v>
      </c>
      <c r="I59" s="52">
        <f t="shared" si="0"/>
        <v>0</v>
      </c>
      <c r="J59" s="52"/>
      <c r="K59" s="129"/>
      <c r="L59" s="54">
        <f t="shared" si="2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 ht="12.5">
      <c r="B60" s="7" t="str">
        <f t="shared" si="7"/>
        <v/>
      </c>
      <c r="C60" s="50">
        <f>IF(D11="","-",+C59+1)</f>
        <v>2061</v>
      </c>
      <c r="D60" s="55">
        <f>IF(F59+SUM(E$17:E59)=D$10,F59,D$10-SUM(E$17:E59))</f>
        <v>331127.40057807637</v>
      </c>
      <c r="E60" s="378">
        <f>IF(+I14&lt;F59,I14,D60)</f>
        <v>253896.7322727273</v>
      </c>
      <c r="F60" s="55">
        <f t="shared" si="16"/>
        <v>77230.668305349071</v>
      </c>
      <c r="G60" s="379">
        <f t="shared" si="17"/>
        <v>278301.66660343576</v>
      </c>
      <c r="H60" s="364">
        <f t="shared" si="18"/>
        <v>278301.66660343576</v>
      </c>
      <c r="I60" s="52">
        <f t="shared" si="0"/>
        <v>0</v>
      </c>
      <c r="J60" s="52"/>
      <c r="K60" s="129"/>
      <c r="L60" s="54">
        <f t="shared" si="2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 ht="12.5">
      <c r="B61" s="7" t="str">
        <f t="shared" si="7"/>
        <v/>
      </c>
      <c r="C61" s="50">
        <f>IF(D11="","-",+C60+1)</f>
        <v>2062</v>
      </c>
      <c r="D61" s="55">
        <f>IF(F60+SUM(E$17:E60)=D$10,F60,D$10-SUM(E$17:E60))</f>
        <v>77230.668305349071</v>
      </c>
      <c r="E61" s="378">
        <f>IF(+I14&lt;F60,I14,D61)</f>
        <v>77230.668305349071</v>
      </c>
      <c r="F61" s="55">
        <f t="shared" si="16"/>
        <v>0</v>
      </c>
      <c r="G61" s="380">
        <f t="shared" si="17"/>
        <v>81846.248434480367</v>
      </c>
      <c r="H61" s="364">
        <f t="shared" si="18"/>
        <v>81846.248434480367</v>
      </c>
      <c r="I61" s="52">
        <f t="shared" si="0"/>
        <v>0</v>
      </c>
      <c r="J61" s="52"/>
      <c r="K61" s="129"/>
      <c r="L61" s="54">
        <f t="shared" si="2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 ht="12.5">
      <c r="B62" s="7" t="str">
        <f t="shared" si="7"/>
        <v/>
      </c>
      <c r="C62" s="50">
        <f>IF(D11="","-",+C61+1)</f>
        <v>2063</v>
      </c>
      <c r="D62" s="55">
        <f>IF(F61+SUM(E$17:E61)=D$10,F61,D$10-SUM(E$17:E61))</f>
        <v>0</v>
      </c>
      <c r="E62" s="378">
        <f>IF(+I14&lt;F61,I14,D62)</f>
        <v>0</v>
      </c>
      <c r="F62" s="55">
        <f t="shared" si="16"/>
        <v>0</v>
      </c>
      <c r="G62" s="380">
        <f t="shared" si="17"/>
        <v>0</v>
      </c>
      <c r="H62" s="364">
        <f t="shared" si="18"/>
        <v>0</v>
      </c>
      <c r="I62" s="52">
        <f t="shared" si="0"/>
        <v>0</v>
      </c>
      <c r="J62" s="52"/>
      <c r="K62" s="129"/>
      <c r="L62" s="54">
        <f t="shared" si="2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 ht="12.5">
      <c r="B63" s="7" t="str">
        <f t="shared" si="7"/>
        <v/>
      </c>
      <c r="C63" s="50">
        <f>IF(D11="","-",+C62+1)</f>
        <v>2064</v>
      </c>
      <c r="D63" s="55">
        <f>IF(F62+SUM(E$17:E62)=D$10,F62,D$10-SUM(E$17:E62))</f>
        <v>0</v>
      </c>
      <c r="E63" s="378">
        <f>IF(+I14&lt;F62,I14,D63)</f>
        <v>0</v>
      </c>
      <c r="F63" s="55">
        <f t="shared" si="16"/>
        <v>0</v>
      </c>
      <c r="G63" s="380">
        <f t="shared" si="17"/>
        <v>0</v>
      </c>
      <c r="H63" s="364">
        <f t="shared" si="18"/>
        <v>0</v>
      </c>
      <c r="I63" s="52">
        <f t="shared" si="0"/>
        <v>0</v>
      </c>
      <c r="J63" s="52"/>
      <c r="K63" s="129"/>
      <c r="L63" s="54">
        <f t="shared" si="2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 ht="12.5">
      <c r="B64" s="7" t="str">
        <f t="shared" si="7"/>
        <v/>
      </c>
      <c r="C64" s="50">
        <f>IF(D11="","-",+C63+1)</f>
        <v>2065</v>
      </c>
      <c r="D64" s="55">
        <f>IF(F63+SUM(E$17:E63)=D$10,F63,D$10-SUM(E$17:E63))</f>
        <v>0</v>
      </c>
      <c r="E64" s="378">
        <f>IF(+I14&lt;F63,I14,D64)</f>
        <v>0</v>
      </c>
      <c r="F64" s="55">
        <f t="shared" si="16"/>
        <v>0</v>
      </c>
      <c r="G64" s="380">
        <f t="shared" si="17"/>
        <v>0</v>
      </c>
      <c r="H64" s="364">
        <f t="shared" si="18"/>
        <v>0</v>
      </c>
      <c r="I64" s="52">
        <f t="shared" si="0"/>
        <v>0</v>
      </c>
      <c r="J64" s="52"/>
      <c r="K64" s="129"/>
      <c r="L64" s="54">
        <f t="shared" si="2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 ht="12.5">
      <c r="B65" s="7" t="str">
        <f t="shared" si="7"/>
        <v/>
      </c>
      <c r="C65" s="50">
        <f>IF(D11="","-",+C64+1)</f>
        <v>2066</v>
      </c>
      <c r="D65" s="55">
        <f>IF(F64+SUM(E$17:E64)=D$10,F64,D$10-SUM(E$17:E64))</f>
        <v>0</v>
      </c>
      <c r="E65" s="378">
        <f>IF(+I14&lt;F64,I14,D65)</f>
        <v>0</v>
      </c>
      <c r="F65" s="55">
        <f t="shared" si="16"/>
        <v>0</v>
      </c>
      <c r="G65" s="380">
        <f t="shared" si="17"/>
        <v>0</v>
      </c>
      <c r="H65" s="364">
        <f t="shared" si="18"/>
        <v>0</v>
      </c>
      <c r="I65" s="52">
        <f t="shared" si="0"/>
        <v>0</v>
      </c>
      <c r="J65" s="52"/>
      <c r="K65" s="129"/>
      <c r="L65" s="54">
        <f t="shared" si="2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 ht="12.5">
      <c r="B66" s="7" t="str">
        <f t="shared" si="7"/>
        <v/>
      </c>
      <c r="C66" s="50">
        <f>IF(D11="","-",+C65+1)</f>
        <v>2067</v>
      </c>
      <c r="D66" s="55">
        <f>IF(F65+SUM(E$17:E65)=D$10,F65,D$10-SUM(E$17:E65))</f>
        <v>0</v>
      </c>
      <c r="E66" s="378">
        <f>IF(+I14&lt;F65,I14,D66)</f>
        <v>0</v>
      </c>
      <c r="F66" s="55">
        <f t="shared" si="16"/>
        <v>0</v>
      </c>
      <c r="G66" s="380">
        <f t="shared" si="17"/>
        <v>0</v>
      </c>
      <c r="H66" s="364">
        <f t="shared" si="18"/>
        <v>0</v>
      </c>
      <c r="I66" s="52">
        <f t="shared" si="0"/>
        <v>0</v>
      </c>
      <c r="J66" s="52"/>
      <c r="K66" s="129"/>
      <c r="L66" s="54">
        <f t="shared" si="2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 ht="12.5">
      <c r="B67" s="7" t="str">
        <f t="shared" si="7"/>
        <v/>
      </c>
      <c r="C67" s="50">
        <f>IF(D11="","-",+C66+1)</f>
        <v>2068</v>
      </c>
      <c r="D67" s="55">
        <f>IF(F66+SUM(E$17:E66)=D$10,F66,D$10-SUM(E$17:E66))</f>
        <v>0</v>
      </c>
      <c r="E67" s="378">
        <f>IF(+I14&lt;F66,I14,D67)</f>
        <v>0</v>
      </c>
      <c r="F67" s="55">
        <f t="shared" si="16"/>
        <v>0</v>
      </c>
      <c r="G67" s="380">
        <f t="shared" si="17"/>
        <v>0</v>
      </c>
      <c r="H67" s="364">
        <f t="shared" si="18"/>
        <v>0</v>
      </c>
      <c r="I67" s="52">
        <f t="shared" si="0"/>
        <v>0</v>
      </c>
      <c r="J67" s="52"/>
      <c r="K67" s="129"/>
      <c r="L67" s="54">
        <f t="shared" si="2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 ht="12.5">
      <c r="B68" s="7" t="str">
        <f t="shared" si="7"/>
        <v/>
      </c>
      <c r="C68" s="50">
        <f>IF(D11="","-",+C67+1)</f>
        <v>2069</v>
      </c>
      <c r="D68" s="55">
        <f>IF(F67+SUM(E$17:E67)=D$10,F67,D$10-SUM(E$17:E67))</f>
        <v>0</v>
      </c>
      <c r="E68" s="378">
        <f>IF(+I14&lt;F67,I14,D68)</f>
        <v>0</v>
      </c>
      <c r="F68" s="55">
        <f t="shared" si="16"/>
        <v>0</v>
      </c>
      <c r="G68" s="380">
        <f t="shared" si="17"/>
        <v>0</v>
      </c>
      <c r="H68" s="364">
        <f t="shared" si="18"/>
        <v>0</v>
      </c>
      <c r="I68" s="52">
        <f t="shared" si="0"/>
        <v>0</v>
      </c>
      <c r="J68" s="52"/>
      <c r="K68" s="129"/>
      <c r="L68" s="54">
        <f t="shared" si="2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 ht="12.5">
      <c r="B69" s="7" t="str">
        <f t="shared" si="7"/>
        <v/>
      </c>
      <c r="C69" s="50">
        <f>IF(D11="","-",+C68+1)</f>
        <v>2070</v>
      </c>
      <c r="D69" s="55">
        <f>IF(F68+SUM(E$17:E68)=D$10,F68,D$10-SUM(E$17:E68))</f>
        <v>0</v>
      </c>
      <c r="E69" s="378">
        <f>IF(+I14&lt;F68,I14,D69)</f>
        <v>0</v>
      </c>
      <c r="F69" s="55">
        <f t="shared" si="16"/>
        <v>0</v>
      </c>
      <c r="G69" s="380">
        <f t="shared" si="17"/>
        <v>0</v>
      </c>
      <c r="H69" s="364">
        <f t="shared" si="18"/>
        <v>0</v>
      </c>
      <c r="I69" s="52">
        <f t="shared" si="0"/>
        <v>0</v>
      </c>
      <c r="J69" s="52"/>
      <c r="K69" s="129"/>
      <c r="L69" s="54">
        <f t="shared" si="2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 ht="12.5">
      <c r="B70" s="7" t="str">
        <f t="shared" si="7"/>
        <v/>
      </c>
      <c r="C70" s="50">
        <f>IF(D11="","-",+C69+1)</f>
        <v>2071</v>
      </c>
      <c r="D70" s="55">
        <f>IF(F69+SUM(E$17:E69)=D$10,F69,D$10-SUM(E$17:E69))</f>
        <v>0</v>
      </c>
      <c r="E70" s="378">
        <f>IF(+I14&lt;F69,I14,D70)</f>
        <v>0</v>
      </c>
      <c r="F70" s="55">
        <f t="shared" si="16"/>
        <v>0</v>
      </c>
      <c r="G70" s="380">
        <f t="shared" si="17"/>
        <v>0</v>
      </c>
      <c r="H70" s="364">
        <f t="shared" si="18"/>
        <v>0</v>
      </c>
      <c r="I70" s="52">
        <f t="shared" si="0"/>
        <v>0</v>
      </c>
      <c r="J70" s="52"/>
      <c r="K70" s="129"/>
      <c r="L70" s="54">
        <f t="shared" si="2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 ht="12.5">
      <c r="B71" s="7" t="str">
        <f t="shared" si="7"/>
        <v/>
      </c>
      <c r="C71" s="50">
        <f>IF(D11="","-",+C70+1)</f>
        <v>2072</v>
      </c>
      <c r="D71" s="55">
        <f>IF(F70+SUM(E$17:E70)=D$10,F70,D$10-SUM(E$17:E70))</f>
        <v>0</v>
      </c>
      <c r="E71" s="378">
        <f>IF(+I14&lt;F70,I14,D71)</f>
        <v>0</v>
      </c>
      <c r="F71" s="55">
        <f t="shared" si="16"/>
        <v>0</v>
      </c>
      <c r="G71" s="380">
        <f t="shared" si="17"/>
        <v>0</v>
      </c>
      <c r="H71" s="364">
        <f t="shared" si="18"/>
        <v>0</v>
      </c>
      <c r="I71" s="52">
        <f t="shared" si="0"/>
        <v>0</v>
      </c>
      <c r="J71" s="52"/>
      <c r="K71" s="129"/>
      <c r="L71" s="54">
        <f t="shared" si="2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" thickBot="1">
      <c r="B72" s="7" t="str">
        <f t="shared" si="7"/>
        <v/>
      </c>
      <c r="C72" s="59">
        <f>IF(D11="","-",+C71+1)</f>
        <v>2073</v>
      </c>
      <c r="D72" s="60">
        <f>IF(F71+SUM(E$17:E71)=D$10,F71,D$10-SUM(E$17:E71))</f>
        <v>0</v>
      </c>
      <c r="E72" s="381">
        <f>IF(+I14&lt;F71,I14,D72)</f>
        <v>0</v>
      </c>
      <c r="F72" s="60">
        <f t="shared" si="16"/>
        <v>0</v>
      </c>
      <c r="G72" s="382">
        <f t="shared" si="17"/>
        <v>0</v>
      </c>
      <c r="H72" s="362">
        <f t="shared" si="18"/>
        <v>0</v>
      </c>
      <c r="I72" s="63">
        <f t="shared" si="0"/>
        <v>0</v>
      </c>
      <c r="J72" s="52"/>
      <c r="K72" s="130"/>
      <c r="L72" s="64">
        <f t="shared" si="2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 ht="12.5">
      <c r="C73" s="12" t="s">
        <v>78</v>
      </c>
      <c r="D73" s="293"/>
      <c r="E73" s="293">
        <f>SUM(E17:E72)</f>
        <v>11171456.220000001</v>
      </c>
      <c r="F73" s="293"/>
      <c r="G73" s="293">
        <f>SUM(G17:G72)</f>
        <v>39828328.238421448</v>
      </c>
      <c r="H73" s="293">
        <f>SUM(H17:H72)</f>
        <v>39828328.238421448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 ht="13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68 of 77</v>
      </c>
    </row>
    <row r="84" spans="1:16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1401160.9479644275</v>
      </c>
      <c r="N87" s="387">
        <f>IF(J92&lt;D11,0,VLOOKUP(J92,C17:O72,11))</f>
        <v>1401160.9479644275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1445768.9277621945</v>
      </c>
      <c r="N88" s="390">
        <f>IF(J92&lt;D11,0,VLOOKUP(J92,C99:P154,7))</f>
        <v>1445768.9277621945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Evenside - Northwest Henderson 69 KV Line Rebuild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44607.97979776701</v>
      </c>
      <c r="N89" s="392">
        <f>+N88-N87</f>
        <v>44607.97979776701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TP2010100</v>
      </c>
      <c r="E91" s="76" t="str">
        <f>E9</f>
        <v xml:space="preserve">  SPP Project ID = 501</v>
      </c>
      <c r="F91" s="76"/>
      <c r="G91" s="76"/>
      <c r="H91" s="76"/>
      <c r="I91" s="76"/>
      <c r="J91" s="76"/>
    </row>
    <row r="92" spans="1:16" ht="13">
      <c r="C92" s="34" t="s">
        <v>51</v>
      </c>
      <c r="D92" s="394">
        <f>D10</f>
        <v>11171456.220000001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</row>
    <row r="93" spans="1:16" ht="12.5">
      <c r="C93" s="34" t="s">
        <v>54</v>
      </c>
      <c r="D93" s="88">
        <f>D11</f>
        <v>2018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4">
        <f>D12</f>
        <v>5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253896.7322727273</v>
      </c>
      <c r="K96" s="293"/>
      <c r="L96" s="293"/>
      <c r="M96" s="293"/>
      <c r="N96" s="293"/>
      <c r="O96" s="293"/>
      <c r="P96" s="1"/>
    </row>
    <row r="97" spans="1:16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5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 ht="12.5">
      <c r="C99" s="50">
        <f>IF(D93= "","-",D93)</f>
        <v>2018</v>
      </c>
      <c r="D99" s="429">
        <v>0</v>
      </c>
      <c r="E99" s="430">
        <v>155115.48611111112</v>
      </c>
      <c r="F99" s="431">
        <v>11013199.513888888</v>
      </c>
      <c r="G99" s="431">
        <v>5506599.756944444</v>
      </c>
      <c r="H99" s="433">
        <v>736637.67271858163</v>
      </c>
      <c r="I99" s="434">
        <v>736637.67271858163</v>
      </c>
      <c r="J99" s="54">
        <f t="shared" ref="J99:J130" si="19">+I99-H99</f>
        <v>0</v>
      </c>
      <c r="K99" s="54"/>
      <c r="L99" s="112">
        <f t="shared" ref="L99:L104" si="20">+H99</f>
        <v>736637.67271858163</v>
      </c>
      <c r="M99" s="53">
        <f t="shared" ref="M99:M100" si="21">IF(L99&lt;&gt;0,+H99-L99,0)</f>
        <v>0</v>
      </c>
      <c r="N99" s="112">
        <f t="shared" ref="N99:N104" si="22">+I99</f>
        <v>736637.67271858163</v>
      </c>
      <c r="O99" s="53">
        <f t="shared" ref="O99:O130" si="23">IF(N99&lt;&gt;0,+I99-N99,0)</f>
        <v>0</v>
      </c>
      <c r="P99" s="53">
        <f t="shared" ref="P99:P130" si="24">+O99-M99</f>
        <v>0</v>
      </c>
    </row>
    <row r="100" spans="1:16" ht="12.5">
      <c r="B100" s="7" t="str">
        <f>IF(D100=F99,"","IU")</f>
        <v>IU</v>
      </c>
      <c r="C100" s="50">
        <f>IF(D93="","-",+C99+1)</f>
        <v>2019</v>
      </c>
      <c r="D100" s="429">
        <v>11016340.513888888</v>
      </c>
      <c r="E100" s="430">
        <v>259801.3023255814</v>
      </c>
      <c r="F100" s="431">
        <v>10756539.211563306</v>
      </c>
      <c r="G100" s="431">
        <v>10886439.862726096</v>
      </c>
      <c r="H100" s="433">
        <v>1425091.7751290696</v>
      </c>
      <c r="I100" s="434">
        <v>1425091.7751290696</v>
      </c>
      <c r="J100" s="54">
        <f t="shared" si="19"/>
        <v>0</v>
      </c>
      <c r="K100" s="54"/>
      <c r="L100" s="450">
        <f t="shared" si="20"/>
        <v>1425091.7751290696</v>
      </c>
      <c r="M100" s="54">
        <f t="shared" si="21"/>
        <v>0</v>
      </c>
      <c r="N100" s="450">
        <f t="shared" si="22"/>
        <v>1425091.7751290696</v>
      </c>
      <c r="O100" s="54">
        <f t="shared" si="23"/>
        <v>0</v>
      </c>
      <c r="P100" s="54">
        <f t="shared" si="24"/>
        <v>0</v>
      </c>
    </row>
    <row r="101" spans="1:16" ht="12.5">
      <c r="B101" s="7" t="str">
        <f t="shared" ref="B101:B154" si="25">IF(D101=F100,"","IU")</f>
        <v/>
      </c>
      <c r="C101" s="50">
        <f>IF(D93="","-",+C100+1)</f>
        <v>2020</v>
      </c>
      <c r="D101" s="429">
        <v>10756539.211563306</v>
      </c>
      <c r="E101" s="430">
        <v>265987.04761904763</v>
      </c>
      <c r="F101" s="431">
        <v>10490552.163944257</v>
      </c>
      <c r="G101" s="431">
        <v>10623545.687753782</v>
      </c>
      <c r="H101" s="433">
        <v>1408802.5719974055</v>
      </c>
      <c r="I101" s="434">
        <v>1408802.5719974055</v>
      </c>
      <c r="J101" s="54">
        <f t="shared" si="19"/>
        <v>0</v>
      </c>
      <c r="K101" s="54"/>
      <c r="L101" s="450">
        <f t="shared" si="20"/>
        <v>1408802.5719974055</v>
      </c>
      <c r="M101" s="54">
        <f t="shared" ref="M101" si="26">IF(L101&lt;&gt;0,+H101-L101,0)</f>
        <v>0</v>
      </c>
      <c r="N101" s="450">
        <f t="shared" si="22"/>
        <v>1408802.5719974055</v>
      </c>
      <c r="O101" s="54">
        <f t="shared" si="23"/>
        <v>0</v>
      </c>
      <c r="P101" s="54">
        <f t="shared" si="24"/>
        <v>0</v>
      </c>
    </row>
    <row r="102" spans="1:16" ht="12.5">
      <c r="B102" s="7" t="str">
        <f t="shared" si="25"/>
        <v/>
      </c>
      <c r="C102" s="50">
        <f>IF(D93="","-",+C101+1)</f>
        <v>2021</v>
      </c>
      <c r="D102" s="429">
        <v>10490552.163944257</v>
      </c>
      <c r="E102" s="430">
        <v>272474.53658536583</v>
      </c>
      <c r="F102" s="431">
        <v>10218077.627358891</v>
      </c>
      <c r="G102" s="431">
        <v>10354314.895651575</v>
      </c>
      <c r="H102" s="433">
        <v>1447836.5815752498</v>
      </c>
      <c r="I102" s="434">
        <v>1447836.5815752498</v>
      </c>
      <c r="J102" s="54">
        <f t="shared" si="19"/>
        <v>0</v>
      </c>
      <c r="K102" s="54"/>
      <c r="L102" s="450">
        <f t="shared" si="20"/>
        <v>1447836.5815752498</v>
      </c>
      <c r="M102" s="54">
        <f t="shared" ref="M102" si="27">IF(L102&lt;&gt;0,+H102-L102,0)</f>
        <v>0</v>
      </c>
      <c r="N102" s="450">
        <f t="shared" si="22"/>
        <v>1447836.5815752498</v>
      </c>
      <c r="O102" s="54">
        <f t="shared" si="23"/>
        <v>0</v>
      </c>
      <c r="P102" s="54">
        <f t="shared" si="24"/>
        <v>0</v>
      </c>
    </row>
    <row r="103" spans="1:16" ht="12.5">
      <c r="B103" s="7" t="str">
        <f t="shared" si="25"/>
        <v/>
      </c>
      <c r="C103" s="50">
        <f>IF(D93="","-",+C102+1)</f>
        <v>2022</v>
      </c>
      <c r="D103" s="429">
        <v>10218077.627358891</v>
      </c>
      <c r="E103" s="430">
        <v>265987.04761904763</v>
      </c>
      <c r="F103" s="431">
        <v>9952090.5797398426</v>
      </c>
      <c r="G103" s="431">
        <v>10085084.103549367</v>
      </c>
      <c r="H103" s="433">
        <v>1450559.273323264</v>
      </c>
      <c r="I103" s="434">
        <v>1450559.273323264</v>
      </c>
      <c r="J103" s="54">
        <f t="shared" si="19"/>
        <v>0</v>
      </c>
      <c r="K103" s="54"/>
      <c r="L103" s="450">
        <f t="shared" si="20"/>
        <v>1450559.273323264</v>
      </c>
      <c r="M103" s="54">
        <f t="shared" ref="M103" si="28">IF(L103&lt;&gt;0,+H103-L103,0)</f>
        <v>0</v>
      </c>
      <c r="N103" s="450">
        <f t="shared" si="22"/>
        <v>1450559.273323264</v>
      </c>
      <c r="O103" s="54">
        <f t="shared" ref="O103" si="29">IF(N103&lt;&gt;0,+I103-N103,0)</f>
        <v>0</v>
      </c>
      <c r="P103" s="54">
        <f t="shared" ref="P103" si="30">+O103-M103</f>
        <v>0</v>
      </c>
    </row>
    <row r="104" spans="1:16" ht="12.5">
      <c r="B104" s="7" t="str">
        <f t="shared" si="25"/>
        <v>IU</v>
      </c>
      <c r="C104" s="50">
        <f>IF(D93="","-",+C103+1)</f>
        <v>2023</v>
      </c>
      <c r="D104" s="429">
        <v>9952090.799739847</v>
      </c>
      <c r="E104" s="430">
        <v>253896.7322727273</v>
      </c>
      <c r="F104" s="431">
        <v>9698194.0674671195</v>
      </c>
      <c r="G104" s="431">
        <v>9825142.4336034842</v>
      </c>
      <c r="H104" s="433">
        <v>1465975.9809154486</v>
      </c>
      <c r="I104" s="434">
        <v>1465975.9809154486</v>
      </c>
      <c r="J104" s="54">
        <f t="shared" si="19"/>
        <v>0</v>
      </c>
      <c r="K104" s="54"/>
      <c r="L104" s="450">
        <f t="shared" si="20"/>
        <v>1465975.9809154486</v>
      </c>
      <c r="M104" s="54">
        <f t="shared" ref="M104" si="31">IF(L104&lt;&gt;0,+H104-L104,0)</f>
        <v>0</v>
      </c>
      <c r="N104" s="450">
        <f t="shared" si="22"/>
        <v>1465975.9809154486</v>
      </c>
      <c r="O104" s="54">
        <f t="shared" ref="O104" si="32">IF(N104&lt;&gt;0,+I104-N104,0)</f>
        <v>0</v>
      </c>
      <c r="P104" s="54">
        <f t="shared" ref="P104" si="33">+O104-M104</f>
        <v>0</v>
      </c>
    </row>
    <row r="105" spans="1:16" ht="12.5">
      <c r="B105" s="7" t="str">
        <f t="shared" si="25"/>
        <v/>
      </c>
      <c r="C105" s="50">
        <f>IF(D93="","-",+C104+1)</f>
        <v>2024</v>
      </c>
      <c r="D105" s="12">
        <f>IF(F104+SUM(E$99:E104)=D$92,F104,D$92-SUM(E$99:E104))</f>
        <v>9698194.0674671195</v>
      </c>
      <c r="E105" s="378">
        <f>IF(+J96&lt;F104,J96,D105)</f>
        <v>253896.7322727273</v>
      </c>
      <c r="F105" s="55">
        <f t="shared" ref="F105:F154" si="34">+D105-E105</f>
        <v>9444297.3351943921</v>
      </c>
      <c r="G105" s="55">
        <f t="shared" ref="G105:G154" si="35">+(F105+D105)/2</f>
        <v>9571245.7013307549</v>
      </c>
      <c r="H105" s="380">
        <f t="shared" ref="H105:H154" si="36">+J$94*G105+E105</f>
        <v>1445768.9277621945</v>
      </c>
      <c r="I105" s="399">
        <f t="shared" ref="I105:I154" si="37">+J$95*G105+E105</f>
        <v>1445768.9277621945</v>
      </c>
      <c r="J105" s="54">
        <f t="shared" si="19"/>
        <v>0</v>
      </c>
      <c r="K105" s="54"/>
      <c r="L105" s="129"/>
      <c r="M105" s="54">
        <f t="shared" ref="M105:M130" si="38">IF(L105&lt;&gt;0,+H105-L105,0)</f>
        <v>0</v>
      </c>
      <c r="N105" s="129"/>
      <c r="O105" s="54">
        <f t="shared" si="23"/>
        <v>0</v>
      </c>
      <c r="P105" s="54">
        <f t="shared" si="24"/>
        <v>0</v>
      </c>
    </row>
    <row r="106" spans="1:16" ht="12.5">
      <c r="B106" s="7" t="str">
        <f t="shared" si="25"/>
        <v/>
      </c>
      <c r="C106" s="50">
        <f>IF(D93="","-",+C105+1)</f>
        <v>2025</v>
      </c>
      <c r="D106" s="12">
        <f>IF(F105+SUM(E$99:E105)=D$92,F105,D$92-SUM(E$99:E105))</f>
        <v>9444297.3351943921</v>
      </c>
      <c r="E106" s="378">
        <f>IF(+J96&lt;F105,J96,D106)</f>
        <v>253896.7322727273</v>
      </c>
      <c r="F106" s="55">
        <f t="shared" si="34"/>
        <v>9190400.6029216647</v>
      </c>
      <c r="G106" s="55">
        <f t="shared" si="35"/>
        <v>9317348.9690580294</v>
      </c>
      <c r="H106" s="380">
        <f t="shared" si="36"/>
        <v>1414152.0969791939</v>
      </c>
      <c r="I106" s="399">
        <f t="shared" si="37"/>
        <v>1414152.0969791939</v>
      </c>
      <c r="J106" s="54">
        <f t="shared" si="19"/>
        <v>0</v>
      </c>
      <c r="K106" s="54"/>
      <c r="L106" s="129"/>
      <c r="M106" s="54">
        <f t="shared" si="38"/>
        <v>0</v>
      </c>
      <c r="N106" s="129"/>
      <c r="O106" s="54">
        <f t="shared" si="23"/>
        <v>0</v>
      </c>
      <c r="P106" s="54">
        <f t="shared" si="24"/>
        <v>0</v>
      </c>
    </row>
    <row r="107" spans="1:16" ht="12.5">
      <c r="B107" s="7" t="str">
        <f t="shared" si="25"/>
        <v/>
      </c>
      <c r="C107" s="50">
        <f>IF(D93="","-",+C106+1)</f>
        <v>2026</v>
      </c>
      <c r="D107" s="12">
        <f>IF(F106+SUM(E$99:E106)=D$92,F106,D$92-SUM(E$99:E106))</f>
        <v>9190400.6029216647</v>
      </c>
      <c r="E107" s="378">
        <f>IF(+J96&lt;F106,J96,D107)</f>
        <v>253896.7322727273</v>
      </c>
      <c r="F107" s="55">
        <f t="shared" si="34"/>
        <v>8936503.8706489373</v>
      </c>
      <c r="G107" s="55">
        <f t="shared" si="35"/>
        <v>9063452.2367853001</v>
      </c>
      <c r="H107" s="380">
        <f t="shared" si="36"/>
        <v>1382535.2661961932</v>
      </c>
      <c r="I107" s="399">
        <f t="shared" si="37"/>
        <v>1382535.2661961932</v>
      </c>
      <c r="J107" s="54">
        <f t="shared" si="19"/>
        <v>0</v>
      </c>
      <c r="K107" s="54"/>
      <c r="L107" s="129"/>
      <c r="M107" s="54">
        <f t="shared" si="38"/>
        <v>0</v>
      </c>
      <c r="N107" s="129"/>
      <c r="O107" s="54">
        <f t="shared" si="23"/>
        <v>0</v>
      </c>
      <c r="P107" s="54">
        <f t="shared" si="24"/>
        <v>0</v>
      </c>
    </row>
    <row r="108" spans="1:16" ht="12.5">
      <c r="B108" s="7" t="str">
        <f t="shared" si="25"/>
        <v/>
      </c>
      <c r="C108" s="50">
        <f>IF(D93="","-",+C107+1)</f>
        <v>2027</v>
      </c>
      <c r="D108" s="12">
        <f>IF(F107+SUM(E$99:E107)=D$92,F107,D$92-SUM(E$99:E107))</f>
        <v>8936503.8706489373</v>
      </c>
      <c r="E108" s="378">
        <f>IF(+J96&lt;F107,J96,D108)</f>
        <v>253896.7322727273</v>
      </c>
      <c r="F108" s="55">
        <f t="shared" si="34"/>
        <v>8682607.1383762099</v>
      </c>
      <c r="G108" s="55">
        <f t="shared" si="35"/>
        <v>8809555.5045125745</v>
      </c>
      <c r="H108" s="380">
        <f t="shared" si="36"/>
        <v>1350918.4354131925</v>
      </c>
      <c r="I108" s="399">
        <f t="shared" si="37"/>
        <v>1350918.4354131925</v>
      </c>
      <c r="J108" s="54">
        <f t="shared" si="19"/>
        <v>0</v>
      </c>
      <c r="K108" s="54"/>
      <c r="L108" s="129"/>
      <c r="M108" s="54">
        <f t="shared" si="38"/>
        <v>0</v>
      </c>
      <c r="N108" s="129"/>
      <c r="O108" s="54">
        <f t="shared" si="23"/>
        <v>0</v>
      </c>
      <c r="P108" s="54">
        <f t="shared" si="24"/>
        <v>0</v>
      </c>
    </row>
    <row r="109" spans="1:16" ht="12.5">
      <c r="B109" s="7" t="str">
        <f t="shared" si="25"/>
        <v/>
      </c>
      <c r="C109" s="50">
        <f>IF(D93="","-",+C108+1)</f>
        <v>2028</v>
      </c>
      <c r="D109" s="12">
        <f>IF(F108+SUM(E$99:E108)=D$92,F108,D$92-SUM(E$99:E108))</f>
        <v>8682607.1383762099</v>
      </c>
      <c r="E109" s="378">
        <f>IF(+J96&lt;F108,J96,D109)</f>
        <v>253896.7322727273</v>
      </c>
      <c r="F109" s="55">
        <f t="shared" si="34"/>
        <v>8428710.4061034825</v>
      </c>
      <c r="G109" s="55">
        <f t="shared" si="35"/>
        <v>8555658.7722398452</v>
      </c>
      <c r="H109" s="380">
        <f t="shared" si="36"/>
        <v>1319301.6046301918</v>
      </c>
      <c r="I109" s="399">
        <f t="shared" si="37"/>
        <v>1319301.6046301918</v>
      </c>
      <c r="J109" s="54">
        <f t="shared" si="19"/>
        <v>0</v>
      </c>
      <c r="K109" s="54"/>
      <c r="L109" s="129"/>
      <c r="M109" s="54">
        <f t="shared" si="38"/>
        <v>0</v>
      </c>
      <c r="N109" s="129"/>
      <c r="O109" s="54">
        <f t="shared" si="23"/>
        <v>0</v>
      </c>
      <c r="P109" s="54">
        <f t="shared" si="24"/>
        <v>0</v>
      </c>
    </row>
    <row r="110" spans="1:16" ht="12.5">
      <c r="B110" s="7" t="str">
        <f t="shared" si="25"/>
        <v/>
      </c>
      <c r="C110" s="50">
        <f>IF(D93="","-",+C109+1)</f>
        <v>2029</v>
      </c>
      <c r="D110" s="12">
        <f>IF(F109+SUM(E$99:E109)=D$92,F109,D$92-SUM(E$99:E109))</f>
        <v>8428710.4061034825</v>
      </c>
      <c r="E110" s="378">
        <f>IF(+J96&lt;F109,J96,D110)</f>
        <v>253896.7322727273</v>
      </c>
      <c r="F110" s="55">
        <f t="shared" si="34"/>
        <v>8174813.6738307551</v>
      </c>
      <c r="G110" s="55">
        <f t="shared" si="35"/>
        <v>8301762.0399671188</v>
      </c>
      <c r="H110" s="380">
        <f t="shared" si="36"/>
        <v>1287684.7738471911</v>
      </c>
      <c r="I110" s="399">
        <f t="shared" si="37"/>
        <v>1287684.7738471911</v>
      </c>
      <c r="J110" s="54">
        <f t="shared" si="19"/>
        <v>0</v>
      </c>
      <c r="K110" s="54"/>
      <c r="L110" s="129"/>
      <c r="M110" s="54">
        <f t="shared" si="38"/>
        <v>0</v>
      </c>
      <c r="N110" s="129"/>
      <c r="O110" s="54">
        <f t="shared" si="23"/>
        <v>0</v>
      </c>
      <c r="P110" s="54">
        <f t="shared" si="24"/>
        <v>0</v>
      </c>
    </row>
    <row r="111" spans="1:16" ht="12.5">
      <c r="B111" s="7" t="str">
        <f t="shared" si="25"/>
        <v/>
      </c>
      <c r="C111" s="50">
        <f>IF(D93="","-",+C110+1)</f>
        <v>2030</v>
      </c>
      <c r="D111" s="12">
        <f>IF(F110+SUM(E$99:E110)=D$92,F110,D$92-SUM(E$99:E110))</f>
        <v>8174813.6738307551</v>
      </c>
      <c r="E111" s="378">
        <f>IF(+J96&lt;F110,J96,D111)</f>
        <v>253896.7322727273</v>
      </c>
      <c r="F111" s="55">
        <f t="shared" si="34"/>
        <v>7920916.9415580276</v>
      </c>
      <c r="G111" s="55">
        <f t="shared" si="35"/>
        <v>8047865.3076943913</v>
      </c>
      <c r="H111" s="380">
        <f t="shared" si="36"/>
        <v>1256067.9430641904</v>
      </c>
      <c r="I111" s="399">
        <f t="shared" si="37"/>
        <v>1256067.9430641904</v>
      </c>
      <c r="J111" s="54">
        <f t="shared" si="19"/>
        <v>0</v>
      </c>
      <c r="K111" s="54"/>
      <c r="L111" s="129"/>
      <c r="M111" s="54">
        <f t="shared" si="38"/>
        <v>0</v>
      </c>
      <c r="N111" s="129"/>
      <c r="O111" s="54">
        <f t="shared" si="23"/>
        <v>0</v>
      </c>
      <c r="P111" s="54">
        <f t="shared" si="24"/>
        <v>0</v>
      </c>
    </row>
    <row r="112" spans="1:16" ht="12.5">
      <c r="B112" s="7" t="str">
        <f t="shared" si="25"/>
        <v/>
      </c>
      <c r="C112" s="50">
        <f>IF(D93="","-",+C111+1)</f>
        <v>2031</v>
      </c>
      <c r="D112" s="12">
        <f>IF(F111+SUM(E$99:E111)=D$92,F111,D$92-SUM(E$99:E111))</f>
        <v>7920916.9415580276</v>
      </c>
      <c r="E112" s="378">
        <f>IF(+J96&lt;F111,J96,D112)</f>
        <v>253896.7322727273</v>
      </c>
      <c r="F112" s="55">
        <f t="shared" si="34"/>
        <v>7667020.2092853002</v>
      </c>
      <c r="G112" s="55">
        <f t="shared" si="35"/>
        <v>7793968.5754216639</v>
      </c>
      <c r="H112" s="380">
        <f t="shared" si="36"/>
        <v>1224451.1122811898</v>
      </c>
      <c r="I112" s="399">
        <f t="shared" si="37"/>
        <v>1224451.1122811898</v>
      </c>
      <c r="J112" s="54">
        <f t="shared" si="19"/>
        <v>0</v>
      </c>
      <c r="K112" s="54"/>
      <c r="L112" s="129"/>
      <c r="M112" s="54">
        <f t="shared" si="38"/>
        <v>0</v>
      </c>
      <c r="N112" s="129"/>
      <c r="O112" s="54">
        <f t="shared" si="23"/>
        <v>0</v>
      </c>
      <c r="P112" s="54">
        <f t="shared" si="24"/>
        <v>0</v>
      </c>
    </row>
    <row r="113" spans="2:16" ht="12.5">
      <c r="B113" s="7" t="str">
        <f t="shared" si="25"/>
        <v/>
      </c>
      <c r="C113" s="50">
        <f>IF(D93="","-",+C112+1)</f>
        <v>2032</v>
      </c>
      <c r="D113" s="12">
        <f>IF(F112+SUM(E$99:E112)=D$92,F112,D$92-SUM(E$99:E112))</f>
        <v>7667020.2092853002</v>
      </c>
      <c r="E113" s="378">
        <f>IF(+J96&lt;F112,J96,D113)</f>
        <v>253896.7322727273</v>
      </c>
      <c r="F113" s="55">
        <f t="shared" si="34"/>
        <v>7413123.4770125728</v>
      </c>
      <c r="G113" s="55">
        <f t="shared" si="35"/>
        <v>7540071.8431489365</v>
      </c>
      <c r="H113" s="380">
        <f t="shared" si="36"/>
        <v>1192834.2814981891</v>
      </c>
      <c r="I113" s="399">
        <f t="shared" si="37"/>
        <v>1192834.2814981891</v>
      </c>
      <c r="J113" s="54">
        <f t="shared" si="19"/>
        <v>0</v>
      </c>
      <c r="K113" s="54"/>
      <c r="L113" s="129"/>
      <c r="M113" s="54">
        <f t="shared" si="38"/>
        <v>0</v>
      </c>
      <c r="N113" s="129"/>
      <c r="O113" s="54">
        <f t="shared" si="23"/>
        <v>0</v>
      </c>
      <c r="P113" s="54">
        <f t="shared" si="24"/>
        <v>0</v>
      </c>
    </row>
    <row r="114" spans="2:16" ht="12.5">
      <c r="B114" s="7" t="str">
        <f t="shared" si="25"/>
        <v/>
      </c>
      <c r="C114" s="50">
        <f>IF(D93="","-",+C113+1)</f>
        <v>2033</v>
      </c>
      <c r="D114" s="12">
        <f>IF(F113+SUM(E$99:E113)=D$92,F113,D$92-SUM(E$99:E113))</f>
        <v>7413123.4770125728</v>
      </c>
      <c r="E114" s="378">
        <f>IF(+J96&lt;F113,J96,D114)</f>
        <v>253896.7322727273</v>
      </c>
      <c r="F114" s="55">
        <f t="shared" si="34"/>
        <v>7159226.7447398454</v>
      </c>
      <c r="G114" s="55">
        <f t="shared" si="35"/>
        <v>7286175.1108762091</v>
      </c>
      <c r="H114" s="380">
        <f t="shared" si="36"/>
        <v>1161217.4507151884</v>
      </c>
      <c r="I114" s="399">
        <f t="shared" si="37"/>
        <v>1161217.4507151884</v>
      </c>
      <c r="J114" s="54">
        <f t="shared" si="19"/>
        <v>0</v>
      </c>
      <c r="K114" s="54"/>
      <c r="L114" s="129"/>
      <c r="M114" s="54">
        <f t="shared" si="38"/>
        <v>0</v>
      </c>
      <c r="N114" s="129"/>
      <c r="O114" s="54">
        <f t="shared" si="23"/>
        <v>0</v>
      </c>
      <c r="P114" s="54">
        <f t="shared" si="24"/>
        <v>0</v>
      </c>
    </row>
    <row r="115" spans="2:16" ht="12.5">
      <c r="B115" s="7" t="str">
        <f t="shared" si="25"/>
        <v/>
      </c>
      <c r="C115" s="50">
        <f>IF(D93="","-",+C114+1)</f>
        <v>2034</v>
      </c>
      <c r="D115" s="12">
        <f>IF(F114+SUM(E$99:E114)=D$92,F114,D$92-SUM(E$99:E114))</f>
        <v>7159226.7447398454</v>
      </c>
      <c r="E115" s="378">
        <f>IF(+J96&lt;F114,J96,D115)</f>
        <v>253896.7322727273</v>
      </c>
      <c r="F115" s="55">
        <f t="shared" si="34"/>
        <v>6905330.012467118</v>
      </c>
      <c r="G115" s="55">
        <f t="shared" si="35"/>
        <v>7032278.3786034817</v>
      </c>
      <c r="H115" s="380">
        <f t="shared" si="36"/>
        <v>1129600.6199321877</v>
      </c>
      <c r="I115" s="399">
        <f t="shared" si="37"/>
        <v>1129600.6199321877</v>
      </c>
      <c r="J115" s="54">
        <f t="shared" si="19"/>
        <v>0</v>
      </c>
      <c r="K115" s="54"/>
      <c r="L115" s="129"/>
      <c r="M115" s="54">
        <f t="shared" si="38"/>
        <v>0</v>
      </c>
      <c r="N115" s="129"/>
      <c r="O115" s="54">
        <f t="shared" si="23"/>
        <v>0</v>
      </c>
      <c r="P115" s="54">
        <f t="shared" si="24"/>
        <v>0</v>
      </c>
    </row>
    <row r="116" spans="2:16" ht="12.5">
      <c r="B116" s="7" t="str">
        <f t="shared" si="25"/>
        <v/>
      </c>
      <c r="C116" s="50">
        <f>IF(D93="","-",+C115+1)</f>
        <v>2035</v>
      </c>
      <c r="D116" s="12">
        <f>IF(F115+SUM(E$99:E115)=D$92,F115,D$92-SUM(E$99:E115))</f>
        <v>6905330.012467118</v>
      </c>
      <c r="E116" s="378">
        <f>IF(+J96&lt;F115,J96,D116)</f>
        <v>253896.7322727273</v>
      </c>
      <c r="F116" s="55">
        <f t="shared" si="34"/>
        <v>6651433.2801943906</v>
      </c>
      <c r="G116" s="55">
        <f t="shared" si="35"/>
        <v>6778381.6463307543</v>
      </c>
      <c r="H116" s="380">
        <f t="shared" si="36"/>
        <v>1097983.789149187</v>
      </c>
      <c r="I116" s="399">
        <f t="shared" si="37"/>
        <v>1097983.789149187</v>
      </c>
      <c r="J116" s="54">
        <f t="shared" si="19"/>
        <v>0</v>
      </c>
      <c r="K116" s="54"/>
      <c r="L116" s="129"/>
      <c r="M116" s="54">
        <f t="shared" si="38"/>
        <v>0</v>
      </c>
      <c r="N116" s="129"/>
      <c r="O116" s="54">
        <f t="shared" si="23"/>
        <v>0</v>
      </c>
      <c r="P116" s="54">
        <f t="shared" si="24"/>
        <v>0</v>
      </c>
    </row>
    <row r="117" spans="2:16" ht="12.5">
      <c r="B117" s="7" t="str">
        <f t="shared" si="25"/>
        <v/>
      </c>
      <c r="C117" s="50">
        <f>IF(D93="","-",+C116+1)</f>
        <v>2036</v>
      </c>
      <c r="D117" s="12">
        <f>IF(F116+SUM(E$99:E116)=D$92,F116,D$92-SUM(E$99:E116))</f>
        <v>6651433.2801943906</v>
      </c>
      <c r="E117" s="378">
        <f>IF(+J96&lt;F116,J96,D117)</f>
        <v>253896.7322727273</v>
      </c>
      <c r="F117" s="55">
        <f t="shared" si="34"/>
        <v>6397536.5479216632</v>
      </c>
      <c r="G117" s="55">
        <f t="shared" si="35"/>
        <v>6524484.9140580269</v>
      </c>
      <c r="H117" s="380">
        <f t="shared" si="36"/>
        <v>1066366.9583661864</v>
      </c>
      <c r="I117" s="399">
        <f t="shared" si="37"/>
        <v>1066366.9583661864</v>
      </c>
      <c r="J117" s="54">
        <f t="shared" si="19"/>
        <v>0</v>
      </c>
      <c r="K117" s="54"/>
      <c r="L117" s="129"/>
      <c r="M117" s="54">
        <f t="shared" si="38"/>
        <v>0</v>
      </c>
      <c r="N117" s="129"/>
      <c r="O117" s="54">
        <f t="shared" si="23"/>
        <v>0</v>
      </c>
      <c r="P117" s="54">
        <f t="shared" si="24"/>
        <v>0</v>
      </c>
    </row>
    <row r="118" spans="2:16" ht="12.5">
      <c r="B118" s="7" t="str">
        <f t="shared" si="25"/>
        <v/>
      </c>
      <c r="C118" s="50">
        <f>IF(D93="","-",+C117+1)</f>
        <v>2037</v>
      </c>
      <c r="D118" s="12">
        <f>IF(F117+SUM(E$99:E117)=D$92,F117,D$92-SUM(E$99:E117))</f>
        <v>6397536.5479216632</v>
      </c>
      <c r="E118" s="378">
        <f>IF(+J96&lt;F117,J96,D118)</f>
        <v>253896.7322727273</v>
      </c>
      <c r="F118" s="55">
        <f t="shared" si="34"/>
        <v>6143639.8156489357</v>
      </c>
      <c r="G118" s="55">
        <f t="shared" si="35"/>
        <v>6270588.1817852994</v>
      </c>
      <c r="H118" s="380">
        <f t="shared" si="36"/>
        <v>1034750.1275831858</v>
      </c>
      <c r="I118" s="399">
        <f t="shared" si="37"/>
        <v>1034750.1275831858</v>
      </c>
      <c r="J118" s="54">
        <f t="shared" si="19"/>
        <v>0</v>
      </c>
      <c r="K118" s="54"/>
      <c r="L118" s="129"/>
      <c r="M118" s="54">
        <f t="shared" si="38"/>
        <v>0</v>
      </c>
      <c r="N118" s="129"/>
      <c r="O118" s="54">
        <f t="shared" si="23"/>
        <v>0</v>
      </c>
      <c r="P118" s="54">
        <f t="shared" si="24"/>
        <v>0</v>
      </c>
    </row>
    <row r="119" spans="2:16" ht="12.5">
      <c r="B119" s="7" t="str">
        <f t="shared" si="25"/>
        <v/>
      </c>
      <c r="C119" s="50">
        <f>IF(D93="","-",+C118+1)</f>
        <v>2038</v>
      </c>
      <c r="D119" s="12">
        <f>IF(F118+SUM(E$99:E118)=D$92,F118,D$92-SUM(E$99:E118))</f>
        <v>6143639.8156489357</v>
      </c>
      <c r="E119" s="378">
        <f>IF(+J96&lt;F118,J96,D119)</f>
        <v>253896.7322727273</v>
      </c>
      <c r="F119" s="55">
        <f t="shared" si="34"/>
        <v>5889743.0833762083</v>
      </c>
      <c r="G119" s="55">
        <f t="shared" si="35"/>
        <v>6016691.449512572</v>
      </c>
      <c r="H119" s="380">
        <f t="shared" si="36"/>
        <v>1003133.2968001851</v>
      </c>
      <c r="I119" s="399">
        <f t="shared" si="37"/>
        <v>1003133.2968001851</v>
      </c>
      <c r="J119" s="54">
        <f t="shared" si="19"/>
        <v>0</v>
      </c>
      <c r="K119" s="54"/>
      <c r="L119" s="129"/>
      <c r="M119" s="54">
        <f t="shared" si="38"/>
        <v>0</v>
      </c>
      <c r="N119" s="129"/>
      <c r="O119" s="54">
        <f t="shared" si="23"/>
        <v>0</v>
      </c>
      <c r="P119" s="54">
        <f t="shared" si="24"/>
        <v>0</v>
      </c>
    </row>
    <row r="120" spans="2:16" ht="12.5">
      <c r="B120" s="7" t="str">
        <f t="shared" si="25"/>
        <v/>
      </c>
      <c r="C120" s="50">
        <f>IF(D93="","-",+C119+1)</f>
        <v>2039</v>
      </c>
      <c r="D120" s="12">
        <f>IF(F119+SUM(E$99:E119)=D$92,F119,D$92-SUM(E$99:E119))</f>
        <v>5889743.0833762083</v>
      </c>
      <c r="E120" s="378">
        <f>IF(+J96&lt;F119,J96,D120)</f>
        <v>253896.7322727273</v>
      </c>
      <c r="F120" s="55">
        <f t="shared" si="34"/>
        <v>5635846.3511034809</v>
      </c>
      <c r="G120" s="55">
        <f t="shared" si="35"/>
        <v>5762794.7172398446</v>
      </c>
      <c r="H120" s="380">
        <f t="shared" si="36"/>
        <v>971516.46601718443</v>
      </c>
      <c r="I120" s="399">
        <f t="shared" si="37"/>
        <v>971516.46601718443</v>
      </c>
      <c r="J120" s="54">
        <f t="shared" si="19"/>
        <v>0</v>
      </c>
      <c r="K120" s="54"/>
      <c r="L120" s="129"/>
      <c r="M120" s="54">
        <f t="shared" si="38"/>
        <v>0</v>
      </c>
      <c r="N120" s="129"/>
      <c r="O120" s="54">
        <f t="shared" si="23"/>
        <v>0</v>
      </c>
      <c r="P120" s="54">
        <f t="shared" si="24"/>
        <v>0</v>
      </c>
    </row>
    <row r="121" spans="2:16" ht="12.5">
      <c r="B121" s="7" t="str">
        <f t="shared" si="25"/>
        <v/>
      </c>
      <c r="C121" s="50">
        <f>IF(D93="","-",+C120+1)</f>
        <v>2040</v>
      </c>
      <c r="D121" s="12">
        <f>IF(F120+SUM(E$99:E120)=D$92,F120,D$92-SUM(E$99:E120))</f>
        <v>5635846.3511034809</v>
      </c>
      <c r="E121" s="378">
        <f>IF(+J96&lt;F120,J96,D121)</f>
        <v>253896.7322727273</v>
      </c>
      <c r="F121" s="55">
        <f t="shared" si="34"/>
        <v>5381949.6188307535</v>
      </c>
      <c r="G121" s="55">
        <f t="shared" si="35"/>
        <v>5508897.9849671172</v>
      </c>
      <c r="H121" s="380">
        <f t="shared" si="36"/>
        <v>939899.63523418375</v>
      </c>
      <c r="I121" s="399">
        <f t="shared" si="37"/>
        <v>939899.63523418375</v>
      </c>
      <c r="J121" s="54">
        <f t="shared" si="19"/>
        <v>0</v>
      </c>
      <c r="K121" s="54"/>
      <c r="L121" s="129"/>
      <c r="M121" s="54">
        <f t="shared" si="38"/>
        <v>0</v>
      </c>
      <c r="N121" s="129"/>
      <c r="O121" s="54">
        <f t="shared" si="23"/>
        <v>0</v>
      </c>
      <c r="P121" s="54">
        <f t="shared" si="24"/>
        <v>0</v>
      </c>
    </row>
    <row r="122" spans="2:16" ht="12.5">
      <c r="B122" s="7" t="str">
        <f t="shared" si="25"/>
        <v/>
      </c>
      <c r="C122" s="50">
        <f>IF(D93="","-",+C121+1)</f>
        <v>2041</v>
      </c>
      <c r="D122" s="12">
        <f>IF(F121+SUM(E$99:E121)=D$92,F121,D$92-SUM(E$99:E121))</f>
        <v>5381949.6188307535</v>
      </c>
      <c r="E122" s="378">
        <f>IF(+J96&lt;F121,J96,D122)</f>
        <v>253896.7322727273</v>
      </c>
      <c r="F122" s="55">
        <f t="shared" si="34"/>
        <v>5128052.8865580261</v>
      </c>
      <c r="G122" s="55">
        <f t="shared" si="35"/>
        <v>5255001.2526943898</v>
      </c>
      <c r="H122" s="380">
        <f t="shared" si="36"/>
        <v>908282.80445118307</v>
      </c>
      <c r="I122" s="399">
        <f t="shared" si="37"/>
        <v>908282.80445118307</v>
      </c>
      <c r="J122" s="54">
        <f t="shared" si="19"/>
        <v>0</v>
      </c>
      <c r="K122" s="54"/>
      <c r="L122" s="129"/>
      <c r="M122" s="54">
        <f t="shared" si="38"/>
        <v>0</v>
      </c>
      <c r="N122" s="129"/>
      <c r="O122" s="54">
        <f t="shared" si="23"/>
        <v>0</v>
      </c>
      <c r="P122" s="54">
        <f t="shared" si="24"/>
        <v>0</v>
      </c>
    </row>
    <row r="123" spans="2:16" ht="12.5">
      <c r="B123" s="7" t="str">
        <f t="shared" si="25"/>
        <v/>
      </c>
      <c r="C123" s="50">
        <f>IF(D93="","-",+C122+1)</f>
        <v>2042</v>
      </c>
      <c r="D123" s="12">
        <f>IF(F122+SUM(E$99:E122)=D$92,F122,D$92-SUM(E$99:E122))</f>
        <v>5128052.8865580261</v>
      </c>
      <c r="E123" s="378">
        <f>IF(+J96&lt;F122,J96,D123)</f>
        <v>253896.7322727273</v>
      </c>
      <c r="F123" s="55">
        <f t="shared" si="34"/>
        <v>4874156.1542852987</v>
      </c>
      <c r="G123" s="55">
        <f t="shared" si="35"/>
        <v>5001104.5204216624</v>
      </c>
      <c r="H123" s="380">
        <f t="shared" si="36"/>
        <v>876665.97366818239</v>
      </c>
      <c r="I123" s="399">
        <f t="shared" si="37"/>
        <v>876665.97366818239</v>
      </c>
      <c r="J123" s="54">
        <f t="shared" si="19"/>
        <v>0</v>
      </c>
      <c r="K123" s="54"/>
      <c r="L123" s="129"/>
      <c r="M123" s="54">
        <f t="shared" si="38"/>
        <v>0</v>
      </c>
      <c r="N123" s="129"/>
      <c r="O123" s="54">
        <f t="shared" si="23"/>
        <v>0</v>
      </c>
      <c r="P123" s="54">
        <f t="shared" si="24"/>
        <v>0</v>
      </c>
    </row>
    <row r="124" spans="2:16" ht="12.5">
      <c r="B124" s="7" t="str">
        <f t="shared" si="25"/>
        <v/>
      </c>
      <c r="C124" s="50">
        <f>IF(D93="","-",+C123+1)</f>
        <v>2043</v>
      </c>
      <c r="D124" s="12">
        <f>IF(F123+SUM(E$99:E123)=D$92,F123,D$92-SUM(E$99:E123))</f>
        <v>4874156.1542852987</v>
      </c>
      <c r="E124" s="378">
        <f>IF(+J96&lt;F123,J96,D124)</f>
        <v>253896.7322727273</v>
      </c>
      <c r="F124" s="55">
        <f t="shared" si="34"/>
        <v>4620259.4220125712</v>
      </c>
      <c r="G124" s="55">
        <f t="shared" si="35"/>
        <v>4747207.788148935</v>
      </c>
      <c r="H124" s="380">
        <f t="shared" si="36"/>
        <v>845049.1428851817</v>
      </c>
      <c r="I124" s="399">
        <f t="shared" si="37"/>
        <v>845049.1428851817</v>
      </c>
      <c r="J124" s="54">
        <f t="shared" si="19"/>
        <v>0</v>
      </c>
      <c r="K124" s="54"/>
      <c r="L124" s="129"/>
      <c r="M124" s="54">
        <f t="shared" si="38"/>
        <v>0</v>
      </c>
      <c r="N124" s="129"/>
      <c r="O124" s="54">
        <f t="shared" si="23"/>
        <v>0</v>
      </c>
      <c r="P124" s="54">
        <f t="shared" si="24"/>
        <v>0</v>
      </c>
    </row>
    <row r="125" spans="2:16" ht="12.5">
      <c r="B125" s="7" t="str">
        <f t="shared" si="25"/>
        <v/>
      </c>
      <c r="C125" s="50">
        <f>IF(D93="","-",+C124+1)</f>
        <v>2044</v>
      </c>
      <c r="D125" s="12">
        <f>IF(F124+SUM(E$99:E124)=D$92,F124,D$92-SUM(E$99:E124))</f>
        <v>4620259.4220125712</v>
      </c>
      <c r="E125" s="378">
        <f>IF(+J96&lt;F124,J96,D125)</f>
        <v>253896.7322727273</v>
      </c>
      <c r="F125" s="55">
        <f t="shared" si="34"/>
        <v>4366362.6897398438</v>
      </c>
      <c r="G125" s="55">
        <f t="shared" si="35"/>
        <v>4493311.0558762075</v>
      </c>
      <c r="H125" s="380">
        <f t="shared" si="36"/>
        <v>813432.31210218102</v>
      </c>
      <c r="I125" s="399">
        <f t="shared" si="37"/>
        <v>813432.31210218102</v>
      </c>
      <c r="J125" s="54">
        <f t="shared" si="19"/>
        <v>0</v>
      </c>
      <c r="K125" s="54"/>
      <c r="L125" s="129"/>
      <c r="M125" s="54">
        <f t="shared" si="38"/>
        <v>0</v>
      </c>
      <c r="N125" s="129"/>
      <c r="O125" s="54">
        <f t="shared" si="23"/>
        <v>0</v>
      </c>
      <c r="P125" s="54">
        <f t="shared" si="24"/>
        <v>0</v>
      </c>
    </row>
    <row r="126" spans="2:16" ht="12.5">
      <c r="B126" s="7" t="str">
        <f t="shared" si="25"/>
        <v/>
      </c>
      <c r="C126" s="50">
        <f>IF(D93="","-",+C125+1)</f>
        <v>2045</v>
      </c>
      <c r="D126" s="12">
        <f>IF(F125+SUM(E$99:E125)=D$92,F125,D$92-SUM(E$99:E125))</f>
        <v>4366362.6897398438</v>
      </c>
      <c r="E126" s="378">
        <f>IF(+J96&lt;F125,J96,D126)</f>
        <v>253896.7322727273</v>
      </c>
      <c r="F126" s="55">
        <f t="shared" si="34"/>
        <v>4112465.9574671164</v>
      </c>
      <c r="G126" s="55">
        <f t="shared" si="35"/>
        <v>4239414.3236034801</v>
      </c>
      <c r="H126" s="380">
        <f t="shared" si="36"/>
        <v>781815.48131918046</v>
      </c>
      <c r="I126" s="399">
        <f t="shared" si="37"/>
        <v>781815.48131918046</v>
      </c>
      <c r="J126" s="54">
        <f t="shared" si="19"/>
        <v>0</v>
      </c>
      <c r="K126" s="54"/>
      <c r="L126" s="129"/>
      <c r="M126" s="54">
        <f t="shared" si="38"/>
        <v>0</v>
      </c>
      <c r="N126" s="129"/>
      <c r="O126" s="54">
        <f t="shared" si="23"/>
        <v>0</v>
      </c>
      <c r="P126" s="54">
        <f t="shared" si="24"/>
        <v>0</v>
      </c>
    </row>
    <row r="127" spans="2:16" ht="12.5">
      <c r="B127" s="7" t="str">
        <f t="shared" si="25"/>
        <v/>
      </c>
      <c r="C127" s="50">
        <f>IF(D93="","-",+C126+1)</f>
        <v>2046</v>
      </c>
      <c r="D127" s="12">
        <f>IF(F126+SUM(E$99:E126)=D$92,F126,D$92-SUM(E$99:E126))</f>
        <v>4112465.9574671164</v>
      </c>
      <c r="E127" s="378">
        <f>IF(+J96&lt;F126,J96,D127)</f>
        <v>253896.7322727273</v>
      </c>
      <c r="F127" s="55">
        <f t="shared" si="34"/>
        <v>3858569.225194389</v>
      </c>
      <c r="G127" s="55">
        <f t="shared" si="35"/>
        <v>3985517.5913307527</v>
      </c>
      <c r="H127" s="380">
        <f t="shared" si="36"/>
        <v>750198.65053617978</v>
      </c>
      <c r="I127" s="399">
        <f t="shared" si="37"/>
        <v>750198.65053617978</v>
      </c>
      <c r="J127" s="54">
        <f t="shared" si="19"/>
        <v>0</v>
      </c>
      <c r="K127" s="54"/>
      <c r="L127" s="129"/>
      <c r="M127" s="54">
        <f t="shared" si="38"/>
        <v>0</v>
      </c>
      <c r="N127" s="129"/>
      <c r="O127" s="54">
        <f t="shared" si="23"/>
        <v>0</v>
      </c>
      <c r="P127" s="54">
        <f t="shared" si="24"/>
        <v>0</v>
      </c>
    </row>
    <row r="128" spans="2:16" ht="12.5">
      <c r="B128" s="7" t="str">
        <f t="shared" si="25"/>
        <v/>
      </c>
      <c r="C128" s="50">
        <f>IF(D93="","-",+C127+1)</f>
        <v>2047</v>
      </c>
      <c r="D128" s="12">
        <f>IF(F127+SUM(E$99:E127)=D$92,F127,D$92-SUM(E$99:E127))</f>
        <v>3858569.225194389</v>
      </c>
      <c r="E128" s="378">
        <f>IF(+J96&lt;F127,J96,D128)</f>
        <v>253896.7322727273</v>
      </c>
      <c r="F128" s="55">
        <f t="shared" si="34"/>
        <v>3604672.4929216616</v>
      </c>
      <c r="G128" s="55">
        <f t="shared" si="35"/>
        <v>3731620.8590580253</v>
      </c>
      <c r="H128" s="380">
        <f t="shared" si="36"/>
        <v>718581.81975317909</v>
      </c>
      <c r="I128" s="399">
        <f t="shared" si="37"/>
        <v>718581.81975317909</v>
      </c>
      <c r="J128" s="54">
        <f t="shared" si="19"/>
        <v>0</v>
      </c>
      <c r="K128" s="54"/>
      <c r="L128" s="129"/>
      <c r="M128" s="54">
        <f t="shared" si="38"/>
        <v>0</v>
      </c>
      <c r="N128" s="129"/>
      <c r="O128" s="54">
        <f t="shared" si="23"/>
        <v>0</v>
      </c>
      <c r="P128" s="54">
        <f t="shared" si="24"/>
        <v>0</v>
      </c>
    </row>
    <row r="129" spans="2:16" ht="12.5">
      <c r="B129" s="7" t="str">
        <f t="shared" si="25"/>
        <v/>
      </c>
      <c r="C129" s="50">
        <f>IF(D93="","-",+C128+1)</f>
        <v>2048</v>
      </c>
      <c r="D129" s="12">
        <f>IF(F128+SUM(E$99:E128)=D$92,F128,D$92-SUM(E$99:E128))</f>
        <v>3604672.4929216616</v>
      </c>
      <c r="E129" s="378">
        <f>IF(+J96&lt;F128,J96,D129)</f>
        <v>253896.7322727273</v>
      </c>
      <c r="F129" s="55">
        <f t="shared" si="34"/>
        <v>3350775.7606489342</v>
      </c>
      <c r="G129" s="55">
        <f t="shared" si="35"/>
        <v>3477724.1267852979</v>
      </c>
      <c r="H129" s="380">
        <f t="shared" si="36"/>
        <v>686964.98897017841</v>
      </c>
      <c r="I129" s="399">
        <f t="shared" si="37"/>
        <v>686964.98897017841</v>
      </c>
      <c r="J129" s="54">
        <f t="shared" si="19"/>
        <v>0</v>
      </c>
      <c r="K129" s="54"/>
      <c r="L129" s="129"/>
      <c r="M129" s="54">
        <f t="shared" si="38"/>
        <v>0</v>
      </c>
      <c r="N129" s="129"/>
      <c r="O129" s="54">
        <f t="shared" si="23"/>
        <v>0</v>
      </c>
      <c r="P129" s="54">
        <f t="shared" si="24"/>
        <v>0</v>
      </c>
    </row>
    <row r="130" spans="2:16" ht="12.5">
      <c r="B130" s="7" t="str">
        <f t="shared" si="25"/>
        <v/>
      </c>
      <c r="C130" s="50">
        <f>IF(D93="","-",+C129+1)</f>
        <v>2049</v>
      </c>
      <c r="D130" s="12">
        <f>IF(F129+SUM(E$99:E129)=D$92,F129,D$92-SUM(E$99:E129))</f>
        <v>3350775.7606489342</v>
      </c>
      <c r="E130" s="378">
        <f>IF(+J96&lt;F129,J96,D130)</f>
        <v>253896.7322727273</v>
      </c>
      <c r="F130" s="55">
        <f t="shared" si="34"/>
        <v>3096879.0283762068</v>
      </c>
      <c r="G130" s="55">
        <f t="shared" si="35"/>
        <v>3223827.3945125705</v>
      </c>
      <c r="H130" s="380">
        <f t="shared" si="36"/>
        <v>655348.15818717773</v>
      </c>
      <c r="I130" s="399">
        <f t="shared" si="37"/>
        <v>655348.15818717773</v>
      </c>
      <c r="J130" s="54">
        <f t="shared" si="19"/>
        <v>0</v>
      </c>
      <c r="K130" s="54"/>
      <c r="L130" s="129"/>
      <c r="M130" s="54">
        <f t="shared" si="38"/>
        <v>0</v>
      </c>
      <c r="N130" s="129"/>
      <c r="O130" s="54">
        <f t="shared" si="23"/>
        <v>0</v>
      </c>
      <c r="P130" s="54">
        <f t="shared" si="24"/>
        <v>0</v>
      </c>
    </row>
    <row r="131" spans="2:16" ht="12.5">
      <c r="B131" s="7" t="str">
        <f t="shared" si="25"/>
        <v/>
      </c>
      <c r="C131" s="50">
        <f>IF(D93="","-",+C130+1)</f>
        <v>2050</v>
      </c>
      <c r="D131" s="12">
        <f>IF(F130+SUM(E$99:E130)=D$92,F130,D$92-SUM(E$99:E130))</f>
        <v>3096879.0283762068</v>
      </c>
      <c r="E131" s="378">
        <f>IF(+J96&lt;F130,J96,D131)</f>
        <v>253896.7322727273</v>
      </c>
      <c r="F131" s="55">
        <f t="shared" si="34"/>
        <v>2842982.2961034793</v>
      </c>
      <c r="G131" s="55">
        <f t="shared" si="35"/>
        <v>2969930.662239843</v>
      </c>
      <c r="H131" s="380">
        <f t="shared" si="36"/>
        <v>623731.32740417705</v>
      </c>
      <c r="I131" s="399">
        <f t="shared" si="37"/>
        <v>623731.32740417705</v>
      </c>
      <c r="J131" s="54">
        <f t="shared" ref="J131:J154" si="39">+I541-H541</f>
        <v>0</v>
      </c>
      <c r="K131" s="54"/>
      <c r="L131" s="129"/>
      <c r="M131" s="54">
        <f t="shared" ref="M131:M154" si="40">IF(L541&lt;&gt;0,+H541-L541,0)</f>
        <v>0</v>
      </c>
      <c r="N131" s="129"/>
      <c r="O131" s="54">
        <f t="shared" ref="O131:O154" si="41">IF(N541&lt;&gt;0,+I541-N541,0)</f>
        <v>0</v>
      </c>
      <c r="P131" s="54">
        <f t="shared" ref="P131:P154" si="42">+O541-M541</f>
        <v>0</v>
      </c>
    </row>
    <row r="132" spans="2:16" ht="12.5">
      <c r="B132" s="7" t="str">
        <f t="shared" si="25"/>
        <v/>
      </c>
      <c r="C132" s="50">
        <f>IF(D93="","-",+C131+1)</f>
        <v>2051</v>
      </c>
      <c r="D132" s="12">
        <f>IF(F131+SUM(E$99:E131)=D$92,F131,D$92-SUM(E$99:E131))</f>
        <v>2842982.2961034793</v>
      </c>
      <c r="E132" s="378">
        <f>IF(+J96&lt;F131,J96,D132)</f>
        <v>253896.7322727273</v>
      </c>
      <c r="F132" s="55">
        <f t="shared" si="34"/>
        <v>2589085.5638307519</v>
      </c>
      <c r="G132" s="55">
        <f t="shared" si="35"/>
        <v>2716033.9299671156</v>
      </c>
      <c r="H132" s="380">
        <f t="shared" si="36"/>
        <v>592114.49662117637</v>
      </c>
      <c r="I132" s="399">
        <f t="shared" si="37"/>
        <v>592114.49662117637</v>
      </c>
      <c r="J132" s="54">
        <f t="shared" si="39"/>
        <v>0</v>
      </c>
      <c r="K132" s="54"/>
      <c r="L132" s="129"/>
      <c r="M132" s="54">
        <f t="shared" si="40"/>
        <v>0</v>
      </c>
      <c r="N132" s="129"/>
      <c r="O132" s="54">
        <f t="shared" si="41"/>
        <v>0</v>
      </c>
      <c r="P132" s="54">
        <f t="shared" si="42"/>
        <v>0</v>
      </c>
    </row>
    <row r="133" spans="2:16" ht="12.5">
      <c r="B133" s="7" t="str">
        <f t="shared" si="25"/>
        <v/>
      </c>
      <c r="C133" s="50">
        <f>IF(D93="","-",+C132+1)</f>
        <v>2052</v>
      </c>
      <c r="D133" s="12">
        <f>IF(F132+SUM(E$99:E132)=D$92,F132,D$92-SUM(E$99:E132))</f>
        <v>2589085.5638307519</v>
      </c>
      <c r="E133" s="378">
        <f>IF(+J96&lt;F132,J96,D133)</f>
        <v>253896.7322727273</v>
      </c>
      <c r="F133" s="55">
        <f t="shared" si="34"/>
        <v>2335188.8315580245</v>
      </c>
      <c r="G133" s="55">
        <f t="shared" si="35"/>
        <v>2462137.1976943882</v>
      </c>
      <c r="H133" s="380">
        <f t="shared" si="36"/>
        <v>560497.66583817569</v>
      </c>
      <c r="I133" s="399">
        <f t="shared" si="37"/>
        <v>560497.66583817569</v>
      </c>
      <c r="J133" s="54">
        <f t="shared" si="39"/>
        <v>0</v>
      </c>
      <c r="K133" s="54"/>
      <c r="L133" s="129"/>
      <c r="M133" s="54">
        <f t="shared" si="40"/>
        <v>0</v>
      </c>
      <c r="N133" s="129"/>
      <c r="O133" s="54">
        <f t="shared" si="41"/>
        <v>0</v>
      </c>
      <c r="P133" s="54">
        <f t="shared" si="42"/>
        <v>0</v>
      </c>
    </row>
    <row r="134" spans="2:16" ht="12.5">
      <c r="B134" s="7" t="str">
        <f t="shared" si="25"/>
        <v/>
      </c>
      <c r="C134" s="50">
        <f>IF(D93="","-",+C133+1)</f>
        <v>2053</v>
      </c>
      <c r="D134" s="12">
        <f>IF(F133+SUM(E$99:E133)=D$92,F133,D$92-SUM(E$99:E133))</f>
        <v>2335188.8315580245</v>
      </c>
      <c r="E134" s="378">
        <f>IF(+J96&lt;F133,J96,D134)</f>
        <v>253896.7322727273</v>
      </c>
      <c r="F134" s="55">
        <f t="shared" si="34"/>
        <v>2081292.0992852971</v>
      </c>
      <c r="G134" s="55">
        <f t="shared" si="35"/>
        <v>2208240.4654216608</v>
      </c>
      <c r="H134" s="380">
        <f t="shared" si="36"/>
        <v>528880.835055175</v>
      </c>
      <c r="I134" s="399">
        <f t="shared" si="37"/>
        <v>528880.835055175</v>
      </c>
      <c r="J134" s="54">
        <f t="shared" si="39"/>
        <v>0</v>
      </c>
      <c r="K134" s="54"/>
      <c r="L134" s="129"/>
      <c r="M134" s="54">
        <f t="shared" si="40"/>
        <v>0</v>
      </c>
      <c r="N134" s="129"/>
      <c r="O134" s="54">
        <f t="shared" si="41"/>
        <v>0</v>
      </c>
      <c r="P134" s="54">
        <f t="shared" si="42"/>
        <v>0</v>
      </c>
    </row>
    <row r="135" spans="2:16" ht="12.5">
      <c r="B135" s="7" t="str">
        <f t="shared" si="25"/>
        <v/>
      </c>
      <c r="C135" s="50">
        <f>IF(D93="","-",+C134+1)</f>
        <v>2054</v>
      </c>
      <c r="D135" s="12">
        <f>IF(F134+SUM(E$99:E134)=D$92,F134,D$92-SUM(E$99:E134))</f>
        <v>2081292.0992852971</v>
      </c>
      <c r="E135" s="378">
        <f>IF(+J96&lt;F134,J96,D135)</f>
        <v>253896.7322727273</v>
      </c>
      <c r="F135" s="55">
        <f t="shared" si="34"/>
        <v>1827395.3670125697</v>
      </c>
      <c r="G135" s="55">
        <f t="shared" si="35"/>
        <v>1954343.7331489334</v>
      </c>
      <c r="H135" s="380">
        <f t="shared" si="36"/>
        <v>497264.00427217438</v>
      </c>
      <c r="I135" s="399">
        <f t="shared" si="37"/>
        <v>497264.00427217438</v>
      </c>
      <c r="J135" s="54">
        <f t="shared" si="39"/>
        <v>0</v>
      </c>
      <c r="K135" s="54"/>
      <c r="L135" s="129"/>
      <c r="M135" s="54">
        <f t="shared" si="40"/>
        <v>0</v>
      </c>
      <c r="N135" s="129"/>
      <c r="O135" s="54">
        <f t="shared" si="41"/>
        <v>0</v>
      </c>
      <c r="P135" s="54">
        <f t="shared" si="42"/>
        <v>0</v>
      </c>
    </row>
    <row r="136" spans="2:16" ht="12.5">
      <c r="B136" s="7" t="str">
        <f t="shared" si="25"/>
        <v/>
      </c>
      <c r="C136" s="50">
        <f>IF(D93="","-",+C135+1)</f>
        <v>2055</v>
      </c>
      <c r="D136" s="12">
        <f>IF(F135+SUM(E$99:E135)=D$92,F135,D$92-SUM(E$99:E135))</f>
        <v>1827395.3670125697</v>
      </c>
      <c r="E136" s="378">
        <f>IF(+J96&lt;F135,J96,D136)</f>
        <v>253896.7322727273</v>
      </c>
      <c r="F136" s="55">
        <f t="shared" si="34"/>
        <v>1573498.6347398423</v>
      </c>
      <c r="G136" s="55">
        <f t="shared" si="35"/>
        <v>1700447.000876206</v>
      </c>
      <c r="H136" s="380">
        <f t="shared" si="36"/>
        <v>465647.1734891737</v>
      </c>
      <c r="I136" s="399">
        <f t="shared" si="37"/>
        <v>465647.1734891737</v>
      </c>
      <c r="J136" s="54">
        <f t="shared" si="39"/>
        <v>0</v>
      </c>
      <c r="K136" s="54"/>
      <c r="L136" s="129"/>
      <c r="M136" s="54">
        <f t="shared" si="40"/>
        <v>0</v>
      </c>
      <c r="N136" s="129"/>
      <c r="O136" s="54">
        <f t="shared" si="41"/>
        <v>0</v>
      </c>
      <c r="P136" s="54">
        <f t="shared" si="42"/>
        <v>0</v>
      </c>
    </row>
    <row r="137" spans="2:16" ht="12.5">
      <c r="B137" s="7" t="str">
        <f t="shared" si="25"/>
        <v/>
      </c>
      <c r="C137" s="50">
        <f>IF(D93="","-",+C136+1)</f>
        <v>2056</v>
      </c>
      <c r="D137" s="12">
        <f>IF(F136+SUM(E$99:E136)=D$92,F136,D$92-SUM(E$99:E136))</f>
        <v>1573498.6347398423</v>
      </c>
      <c r="E137" s="378">
        <f>IF(+J96&lt;F136,J96,D137)</f>
        <v>253896.7322727273</v>
      </c>
      <c r="F137" s="55">
        <f t="shared" si="34"/>
        <v>1319601.9024671149</v>
      </c>
      <c r="G137" s="55">
        <f t="shared" si="35"/>
        <v>1446550.2686034786</v>
      </c>
      <c r="H137" s="380">
        <f t="shared" si="36"/>
        <v>434030.34270617302</v>
      </c>
      <c r="I137" s="399">
        <f t="shared" si="37"/>
        <v>434030.34270617302</v>
      </c>
      <c r="J137" s="54">
        <f t="shared" si="39"/>
        <v>0</v>
      </c>
      <c r="K137" s="54"/>
      <c r="L137" s="129"/>
      <c r="M137" s="54">
        <f t="shared" si="40"/>
        <v>0</v>
      </c>
      <c r="N137" s="129"/>
      <c r="O137" s="54">
        <f t="shared" si="41"/>
        <v>0</v>
      </c>
      <c r="P137" s="54">
        <f t="shared" si="42"/>
        <v>0</v>
      </c>
    </row>
    <row r="138" spans="2:16" ht="12.5">
      <c r="B138" s="7" t="str">
        <f t="shared" si="25"/>
        <v/>
      </c>
      <c r="C138" s="50">
        <f>IF(D93="","-",+C137+1)</f>
        <v>2057</v>
      </c>
      <c r="D138" s="12">
        <f>IF(F137+SUM(E$99:E137)=D$92,F137,D$92-SUM(E$99:E137))</f>
        <v>1319601.9024671149</v>
      </c>
      <c r="E138" s="378">
        <f>IF(+J96&lt;F137,J96,D138)</f>
        <v>253896.7322727273</v>
      </c>
      <c r="F138" s="55">
        <f t="shared" si="34"/>
        <v>1065705.1701943874</v>
      </c>
      <c r="G138" s="55">
        <f t="shared" si="35"/>
        <v>1192653.5363307511</v>
      </c>
      <c r="H138" s="380">
        <f t="shared" si="36"/>
        <v>402413.51192317239</v>
      </c>
      <c r="I138" s="399">
        <f t="shared" si="37"/>
        <v>402413.51192317239</v>
      </c>
      <c r="J138" s="54">
        <f t="shared" si="39"/>
        <v>0</v>
      </c>
      <c r="K138" s="54"/>
      <c r="L138" s="129"/>
      <c r="M138" s="54">
        <f t="shared" si="40"/>
        <v>0</v>
      </c>
      <c r="N138" s="129"/>
      <c r="O138" s="54">
        <f t="shared" si="41"/>
        <v>0</v>
      </c>
      <c r="P138" s="54">
        <f t="shared" si="42"/>
        <v>0</v>
      </c>
    </row>
    <row r="139" spans="2:16" ht="12.5">
      <c r="B139" s="7" t="str">
        <f t="shared" si="25"/>
        <v/>
      </c>
      <c r="C139" s="50">
        <f>IF(D93="","-",+C138+1)</f>
        <v>2058</v>
      </c>
      <c r="D139" s="12">
        <f>IF(F138+SUM(E$99:E138)=D$92,F138,D$92-SUM(E$99:E138))</f>
        <v>1065705.1701943874</v>
      </c>
      <c r="E139" s="378">
        <f>IF(+J96&lt;F138,J96,D139)</f>
        <v>253896.7322727273</v>
      </c>
      <c r="F139" s="55">
        <f t="shared" si="34"/>
        <v>811808.43792166014</v>
      </c>
      <c r="G139" s="55">
        <f t="shared" si="35"/>
        <v>938756.80405802373</v>
      </c>
      <c r="H139" s="380">
        <f t="shared" si="36"/>
        <v>370796.68114017171</v>
      </c>
      <c r="I139" s="399">
        <f t="shared" si="37"/>
        <v>370796.68114017171</v>
      </c>
      <c r="J139" s="54">
        <f t="shared" si="39"/>
        <v>0</v>
      </c>
      <c r="K139" s="54"/>
      <c r="L139" s="129"/>
      <c r="M139" s="54">
        <f t="shared" si="40"/>
        <v>0</v>
      </c>
      <c r="N139" s="129"/>
      <c r="O139" s="54">
        <f t="shared" si="41"/>
        <v>0</v>
      </c>
      <c r="P139" s="54">
        <f t="shared" si="42"/>
        <v>0</v>
      </c>
    </row>
    <row r="140" spans="2:16" ht="12.5">
      <c r="B140" s="7" t="str">
        <f t="shared" si="25"/>
        <v/>
      </c>
      <c r="C140" s="50">
        <f>IF(D93="","-",+C139+1)</f>
        <v>2059</v>
      </c>
      <c r="D140" s="12">
        <f>IF(F139+SUM(E$99:E139)=D$92,F139,D$92-SUM(E$99:E139))</f>
        <v>811808.43792166014</v>
      </c>
      <c r="E140" s="378">
        <f>IF(+J96&lt;F139,J96,D140)</f>
        <v>253896.7322727273</v>
      </c>
      <c r="F140" s="55">
        <f t="shared" si="34"/>
        <v>557911.70564893284</v>
      </c>
      <c r="G140" s="55">
        <f t="shared" si="35"/>
        <v>684860.07178529655</v>
      </c>
      <c r="H140" s="380">
        <f t="shared" si="36"/>
        <v>339179.85035717103</v>
      </c>
      <c r="I140" s="399">
        <f t="shared" si="37"/>
        <v>339179.85035717103</v>
      </c>
      <c r="J140" s="54">
        <f t="shared" si="39"/>
        <v>0</v>
      </c>
      <c r="K140" s="54"/>
      <c r="L140" s="129"/>
      <c r="M140" s="54">
        <f t="shared" si="40"/>
        <v>0</v>
      </c>
      <c r="N140" s="129"/>
      <c r="O140" s="54">
        <f t="shared" si="41"/>
        <v>0</v>
      </c>
      <c r="P140" s="54">
        <f t="shared" si="42"/>
        <v>0</v>
      </c>
    </row>
    <row r="141" spans="2:16" ht="12.5">
      <c r="B141" s="7" t="str">
        <f t="shared" si="25"/>
        <v/>
      </c>
      <c r="C141" s="50">
        <f>IF(D93="","-",+C140+1)</f>
        <v>2060</v>
      </c>
      <c r="D141" s="12">
        <f>IF(F140+SUM(E$99:E140)=D$92,F140,D$92-SUM(E$99:E140))</f>
        <v>557911.70564893284</v>
      </c>
      <c r="E141" s="378">
        <f>IF(+J96&lt;F140,J96,D141)</f>
        <v>253896.7322727273</v>
      </c>
      <c r="F141" s="55">
        <f t="shared" si="34"/>
        <v>304014.97337620554</v>
      </c>
      <c r="G141" s="55">
        <f t="shared" si="35"/>
        <v>430963.33951256919</v>
      </c>
      <c r="H141" s="380">
        <f t="shared" si="36"/>
        <v>307563.01957417041</v>
      </c>
      <c r="I141" s="399">
        <f t="shared" si="37"/>
        <v>307563.01957417041</v>
      </c>
      <c r="J141" s="54">
        <f t="shared" si="39"/>
        <v>0</v>
      </c>
      <c r="K141" s="54"/>
      <c r="L141" s="129"/>
      <c r="M141" s="54">
        <f t="shared" si="40"/>
        <v>0</v>
      </c>
      <c r="N141" s="129"/>
      <c r="O141" s="54">
        <f t="shared" si="41"/>
        <v>0</v>
      </c>
      <c r="P141" s="54">
        <f t="shared" si="42"/>
        <v>0</v>
      </c>
    </row>
    <row r="142" spans="2:16" ht="12.5">
      <c r="B142" s="7" t="str">
        <f t="shared" si="25"/>
        <v/>
      </c>
      <c r="C142" s="50">
        <f>IF(D93="","-",+C141+1)</f>
        <v>2061</v>
      </c>
      <c r="D142" s="12">
        <f>IF(F141+SUM(E$99:E141)=D$92,F141,D$92-SUM(E$99:E141))</f>
        <v>304014.97337620554</v>
      </c>
      <c r="E142" s="378">
        <f>IF(+J96&lt;F141,J96,D142)</f>
        <v>253896.7322727273</v>
      </c>
      <c r="F142" s="55">
        <f t="shared" si="34"/>
        <v>50118.241103478242</v>
      </c>
      <c r="G142" s="55">
        <f t="shared" si="35"/>
        <v>177066.60723984189</v>
      </c>
      <c r="H142" s="380">
        <f t="shared" si="36"/>
        <v>275946.18879116973</v>
      </c>
      <c r="I142" s="399">
        <f t="shared" si="37"/>
        <v>275946.18879116973</v>
      </c>
      <c r="J142" s="54">
        <f t="shared" si="39"/>
        <v>0</v>
      </c>
      <c r="K142" s="54"/>
      <c r="L142" s="129"/>
      <c r="M142" s="54">
        <f t="shared" si="40"/>
        <v>0</v>
      </c>
      <c r="N142" s="129"/>
      <c r="O142" s="54">
        <f t="shared" si="41"/>
        <v>0</v>
      </c>
      <c r="P142" s="54">
        <f t="shared" si="42"/>
        <v>0</v>
      </c>
    </row>
    <row r="143" spans="2:16" ht="12.5">
      <c r="B143" s="7" t="str">
        <f t="shared" si="25"/>
        <v/>
      </c>
      <c r="C143" s="50">
        <f>IF(D93="","-",+C142+1)</f>
        <v>2062</v>
      </c>
      <c r="D143" s="12">
        <f>IF(F142+SUM(E$99:E142)=D$92,F142,D$92-SUM(E$99:E142))</f>
        <v>50118.241103478242</v>
      </c>
      <c r="E143" s="378">
        <f>IF(+J96&lt;F142,J96,D143)</f>
        <v>50118.241103478242</v>
      </c>
      <c r="F143" s="55">
        <f t="shared" si="34"/>
        <v>0</v>
      </c>
      <c r="G143" s="55">
        <f t="shared" si="35"/>
        <v>25059.120551739121</v>
      </c>
      <c r="H143" s="380">
        <f t="shared" si="36"/>
        <v>53238.761666949293</v>
      </c>
      <c r="I143" s="399">
        <f t="shared" si="37"/>
        <v>53238.761666949293</v>
      </c>
      <c r="J143" s="54">
        <f t="shared" si="39"/>
        <v>0</v>
      </c>
      <c r="K143" s="54"/>
      <c r="L143" s="129"/>
      <c r="M143" s="54">
        <f t="shared" si="40"/>
        <v>0</v>
      </c>
      <c r="N143" s="129"/>
      <c r="O143" s="54">
        <f t="shared" si="41"/>
        <v>0</v>
      </c>
      <c r="P143" s="54">
        <f t="shared" si="42"/>
        <v>0</v>
      </c>
    </row>
    <row r="144" spans="2:16" ht="12.5">
      <c r="B144" s="7" t="str">
        <f t="shared" si="25"/>
        <v/>
      </c>
      <c r="C144" s="50">
        <f>IF(D93="","-",+C143+1)</f>
        <v>2063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34"/>
        <v>0</v>
      </c>
      <c r="G144" s="55">
        <f t="shared" si="35"/>
        <v>0</v>
      </c>
      <c r="H144" s="380">
        <f t="shared" si="36"/>
        <v>0</v>
      </c>
      <c r="I144" s="399">
        <f t="shared" si="37"/>
        <v>0</v>
      </c>
      <c r="J144" s="54">
        <f t="shared" si="39"/>
        <v>0</v>
      </c>
      <c r="K144" s="54"/>
      <c r="L144" s="129"/>
      <c r="M144" s="54">
        <f t="shared" si="40"/>
        <v>0</v>
      </c>
      <c r="N144" s="129"/>
      <c r="O144" s="54">
        <f t="shared" si="41"/>
        <v>0</v>
      </c>
      <c r="P144" s="54">
        <f t="shared" si="42"/>
        <v>0</v>
      </c>
    </row>
    <row r="145" spans="2:16" ht="12.5">
      <c r="B145" s="7" t="str">
        <f t="shared" si="25"/>
        <v/>
      </c>
      <c r="C145" s="50">
        <f>IF(D93="","-",+C144+1)</f>
        <v>2064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34"/>
        <v>0</v>
      </c>
      <c r="G145" s="55">
        <f t="shared" si="35"/>
        <v>0</v>
      </c>
      <c r="H145" s="380">
        <f t="shared" si="36"/>
        <v>0</v>
      </c>
      <c r="I145" s="399">
        <f t="shared" si="37"/>
        <v>0</v>
      </c>
      <c r="J145" s="54">
        <f t="shared" si="39"/>
        <v>0</v>
      </c>
      <c r="K145" s="54"/>
      <c r="L145" s="129"/>
      <c r="M145" s="54">
        <f t="shared" si="40"/>
        <v>0</v>
      </c>
      <c r="N145" s="129"/>
      <c r="O145" s="54">
        <f t="shared" si="41"/>
        <v>0</v>
      </c>
      <c r="P145" s="54">
        <f t="shared" si="42"/>
        <v>0</v>
      </c>
    </row>
    <row r="146" spans="2:16" ht="12.5">
      <c r="B146" s="7" t="str">
        <f t="shared" si="25"/>
        <v/>
      </c>
      <c r="C146" s="50">
        <f>IF(D93="","-",+C145+1)</f>
        <v>2065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34"/>
        <v>0</v>
      </c>
      <c r="G146" s="55">
        <f t="shared" si="35"/>
        <v>0</v>
      </c>
      <c r="H146" s="380">
        <f t="shared" si="36"/>
        <v>0</v>
      </c>
      <c r="I146" s="399">
        <f t="shared" si="37"/>
        <v>0</v>
      </c>
      <c r="J146" s="54">
        <f t="shared" si="39"/>
        <v>0</v>
      </c>
      <c r="K146" s="54"/>
      <c r="L146" s="129"/>
      <c r="M146" s="54">
        <f t="shared" si="40"/>
        <v>0</v>
      </c>
      <c r="N146" s="129"/>
      <c r="O146" s="54">
        <f t="shared" si="41"/>
        <v>0</v>
      </c>
      <c r="P146" s="54">
        <f t="shared" si="42"/>
        <v>0</v>
      </c>
    </row>
    <row r="147" spans="2:16" ht="12.5">
      <c r="B147" s="7" t="str">
        <f t="shared" si="25"/>
        <v/>
      </c>
      <c r="C147" s="50">
        <f>IF(D93="","-",+C146+1)</f>
        <v>2066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34"/>
        <v>0</v>
      </c>
      <c r="G147" s="55">
        <f t="shared" si="35"/>
        <v>0</v>
      </c>
      <c r="H147" s="380">
        <f t="shared" si="36"/>
        <v>0</v>
      </c>
      <c r="I147" s="399">
        <f t="shared" si="37"/>
        <v>0</v>
      </c>
      <c r="J147" s="54">
        <f t="shared" si="39"/>
        <v>0</v>
      </c>
      <c r="K147" s="54"/>
      <c r="L147" s="129"/>
      <c r="M147" s="54">
        <f t="shared" si="40"/>
        <v>0</v>
      </c>
      <c r="N147" s="129"/>
      <c r="O147" s="54">
        <f t="shared" si="41"/>
        <v>0</v>
      </c>
      <c r="P147" s="54">
        <f t="shared" si="42"/>
        <v>0</v>
      </c>
    </row>
    <row r="148" spans="2:16" ht="12.5">
      <c r="B148" s="7" t="str">
        <f t="shared" si="25"/>
        <v/>
      </c>
      <c r="C148" s="50">
        <f>IF(D93="","-",+C147+1)</f>
        <v>2067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34"/>
        <v>0</v>
      </c>
      <c r="G148" s="55">
        <f t="shared" si="35"/>
        <v>0</v>
      </c>
      <c r="H148" s="380">
        <f t="shared" si="36"/>
        <v>0</v>
      </c>
      <c r="I148" s="399">
        <f t="shared" si="37"/>
        <v>0</v>
      </c>
      <c r="J148" s="54">
        <f t="shared" si="39"/>
        <v>0</v>
      </c>
      <c r="K148" s="54"/>
      <c r="L148" s="129"/>
      <c r="M148" s="54">
        <f t="shared" si="40"/>
        <v>0</v>
      </c>
      <c r="N148" s="129"/>
      <c r="O148" s="54">
        <f t="shared" si="41"/>
        <v>0</v>
      </c>
      <c r="P148" s="54">
        <f t="shared" si="42"/>
        <v>0</v>
      </c>
    </row>
    <row r="149" spans="2:16" ht="12.5">
      <c r="B149" s="7" t="str">
        <f t="shared" si="25"/>
        <v/>
      </c>
      <c r="C149" s="50">
        <f>IF(D93="","-",+C148+1)</f>
        <v>2068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34"/>
        <v>0</v>
      </c>
      <c r="G149" s="55">
        <f t="shared" si="35"/>
        <v>0</v>
      </c>
      <c r="H149" s="380">
        <f t="shared" si="36"/>
        <v>0</v>
      </c>
      <c r="I149" s="399">
        <f t="shared" si="37"/>
        <v>0</v>
      </c>
      <c r="J149" s="54">
        <f t="shared" si="39"/>
        <v>0</v>
      </c>
      <c r="K149" s="54"/>
      <c r="L149" s="129"/>
      <c r="M149" s="54">
        <f t="shared" si="40"/>
        <v>0</v>
      </c>
      <c r="N149" s="129"/>
      <c r="O149" s="54">
        <f t="shared" si="41"/>
        <v>0</v>
      </c>
      <c r="P149" s="54">
        <f t="shared" si="42"/>
        <v>0</v>
      </c>
    </row>
    <row r="150" spans="2:16" ht="12.5">
      <c r="B150" s="7" t="str">
        <f t="shared" si="25"/>
        <v/>
      </c>
      <c r="C150" s="50">
        <f>IF(D93="","-",+C149+1)</f>
        <v>2069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34"/>
        <v>0</v>
      </c>
      <c r="G150" s="55">
        <f t="shared" si="35"/>
        <v>0</v>
      </c>
      <c r="H150" s="380">
        <f t="shared" si="36"/>
        <v>0</v>
      </c>
      <c r="I150" s="399">
        <f t="shared" si="37"/>
        <v>0</v>
      </c>
      <c r="J150" s="54">
        <f t="shared" si="39"/>
        <v>0</v>
      </c>
      <c r="K150" s="54"/>
      <c r="L150" s="129"/>
      <c r="M150" s="54">
        <f t="shared" si="40"/>
        <v>0</v>
      </c>
      <c r="N150" s="129"/>
      <c r="O150" s="54">
        <f t="shared" si="41"/>
        <v>0</v>
      </c>
      <c r="P150" s="54">
        <f t="shared" si="42"/>
        <v>0</v>
      </c>
    </row>
    <row r="151" spans="2:16" ht="12.5">
      <c r="B151" s="7" t="str">
        <f t="shared" si="25"/>
        <v/>
      </c>
      <c r="C151" s="50">
        <f>IF(D93="","-",+C150+1)</f>
        <v>2070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34"/>
        <v>0</v>
      </c>
      <c r="G151" s="55">
        <f t="shared" si="35"/>
        <v>0</v>
      </c>
      <c r="H151" s="380">
        <f t="shared" si="36"/>
        <v>0</v>
      </c>
      <c r="I151" s="399">
        <f t="shared" si="37"/>
        <v>0</v>
      </c>
      <c r="J151" s="54">
        <f t="shared" si="39"/>
        <v>0</v>
      </c>
      <c r="K151" s="54"/>
      <c r="L151" s="129"/>
      <c r="M151" s="54">
        <f t="shared" si="40"/>
        <v>0</v>
      </c>
      <c r="N151" s="129"/>
      <c r="O151" s="54">
        <f t="shared" si="41"/>
        <v>0</v>
      </c>
      <c r="P151" s="54">
        <f t="shared" si="42"/>
        <v>0</v>
      </c>
    </row>
    <row r="152" spans="2:16" ht="12.5">
      <c r="B152" s="7" t="str">
        <f t="shared" si="25"/>
        <v/>
      </c>
      <c r="C152" s="50">
        <f>IF(D93="","-",+C151+1)</f>
        <v>2071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34"/>
        <v>0</v>
      </c>
      <c r="G152" s="55">
        <f t="shared" si="35"/>
        <v>0</v>
      </c>
      <c r="H152" s="380">
        <f t="shared" si="36"/>
        <v>0</v>
      </c>
      <c r="I152" s="399">
        <f t="shared" si="37"/>
        <v>0</v>
      </c>
      <c r="J152" s="54">
        <f t="shared" si="39"/>
        <v>0</v>
      </c>
      <c r="K152" s="54"/>
      <c r="L152" s="129"/>
      <c r="M152" s="54">
        <f t="shared" si="40"/>
        <v>0</v>
      </c>
      <c r="N152" s="129"/>
      <c r="O152" s="54">
        <f t="shared" si="41"/>
        <v>0</v>
      </c>
      <c r="P152" s="54">
        <f t="shared" si="42"/>
        <v>0</v>
      </c>
    </row>
    <row r="153" spans="2:16" ht="12.5">
      <c r="B153" s="7" t="str">
        <f t="shared" si="25"/>
        <v/>
      </c>
      <c r="C153" s="50">
        <f>IF(D93="","-",+C152+1)</f>
        <v>2072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34"/>
        <v>0</v>
      </c>
      <c r="G153" s="55">
        <f t="shared" si="35"/>
        <v>0</v>
      </c>
      <c r="H153" s="380">
        <f t="shared" si="36"/>
        <v>0</v>
      </c>
      <c r="I153" s="399">
        <f t="shared" si="37"/>
        <v>0</v>
      </c>
      <c r="J153" s="54">
        <f t="shared" si="39"/>
        <v>0</v>
      </c>
      <c r="K153" s="54"/>
      <c r="L153" s="129"/>
      <c r="M153" s="54">
        <f t="shared" si="40"/>
        <v>0</v>
      </c>
      <c r="N153" s="129"/>
      <c r="O153" s="54">
        <f t="shared" si="41"/>
        <v>0</v>
      </c>
      <c r="P153" s="54">
        <f t="shared" si="42"/>
        <v>0</v>
      </c>
    </row>
    <row r="154" spans="2:16" ht="13" thickBot="1">
      <c r="B154" s="7" t="str">
        <f t="shared" si="25"/>
        <v/>
      </c>
      <c r="C154" s="59">
        <f>IF(D93="","-",+C153+1)</f>
        <v>2073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34"/>
        <v>0</v>
      </c>
      <c r="G154" s="60">
        <f t="shared" si="35"/>
        <v>0</v>
      </c>
      <c r="H154" s="382">
        <f t="shared" si="36"/>
        <v>0</v>
      </c>
      <c r="I154" s="400">
        <f t="shared" si="37"/>
        <v>0</v>
      </c>
      <c r="J154" s="64">
        <f t="shared" si="39"/>
        <v>0</v>
      </c>
      <c r="K154" s="54"/>
      <c r="L154" s="130"/>
      <c r="M154" s="64">
        <f t="shared" si="40"/>
        <v>0</v>
      </c>
      <c r="N154" s="130"/>
      <c r="O154" s="64">
        <f t="shared" si="41"/>
        <v>0</v>
      </c>
      <c r="P154" s="64">
        <f t="shared" si="42"/>
        <v>0</v>
      </c>
    </row>
    <row r="155" spans="2:16" ht="12.5">
      <c r="C155" s="12" t="s">
        <v>78</v>
      </c>
      <c r="D155" s="293"/>
      <c r="E155" s="293">
        <f>SUM(E99:E154)</f>
        <v>11171456.220000001</v>
      </c>
      <c r="F155" s="293"/>
      <c r="G155" s="293"/>
      <c r="H155" s="293">
        <f>SUM(H99:H154)</f>
        <v>40700729.831839889</v>
      </c>
      <c r="I155" s="293">
        <f>SUM(I99:I154)</f>
        <v>40700729.831839889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 ht="12.5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 ht="13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21" priority="1" stopIfTrue="1" operator="equal">
      <formula>$I$10</formula>
    </cfRule>
  </conditionalFormatting>
  <conditionalFormatting sqref="C99:C154">
    <cfRule type="cellIs" dxfId="20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P162"/>
  <sheetViews>
    <sheetView topLeftCell="A72" zoomScale="80" zoomScaleNormal="80" workbookViewId="0">
      <selection activeCell="D24" sqref="D24:H24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69 of 77</v>
      </c>
    </row>
    <row r="2" spans="1:16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1209735.6216286737</v>
      </c>
      <c r="P5" s="1"/>
    </row>
    <row r="6" spans="1:16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1209735.6216286737</v>
      </c>
      <c r="O6" s="1"/>
      <c r="P6" s="1"/>
    </row>
    <row r="7" spans="1:16" ht="13.5" thickBot="1">
      <c r="C7" s="25" t="s">
        <v>48</v>
      </c>
      <c r="D7" s="90" t="s">
        <v>426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414</v>
      </c>
      <c r="E9" s="436" t="s">
        <v>425</v>
      </c>
      <c r="F9" s="31"/>
      <c r="G9" s="31"/>
      <c r="H9" s="31"/>
      <c r="I9" s="32"/>
      <c r="J9" s="33"/>
      <c r="P9" s="1"/>
    </row>
    <row r="10" spans="1:16" ht="13">
      <c r="C10" s="34" t="s">
        <v>51</v>
      </c>
      <c r="D10" s="363">
        <v>9930039.3200000003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6" ht="12.5">
      <c r="C11" s="34" t="s">
        <v>54</v>
      </c>
      <c r="D11" s="37">
        <v>2017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3">
        <v>4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225682.71181818182</v>
      </c>
      <c r="J14" s="293"/>
      <c r="K14" s="293"/>
      <c r="L14" s="293"/>
      <c r="M14" s="293"/>
      <c r="N14" s="293"/>
      <c r="O14" s="1"/>
      <c r="P14" s="1"/>
    </row>
    <row r="15" spans="1:16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3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2017</v>
      </c>
      <c r="D17" s="431">
        <v>0</v>
      </c>
      <c r="E17" s="430">
        <v>167414.63414634147</v>
      </c>
      <c r="F17" s="431">
        <v>8984585.3658536579</v>
      </c>
      <c r="G17" s="430">
        <v>738358.52480493963</v>
      </c>
      <c r="H17" s="438">
        <v>738358.52480493963</v>
      </c>
      <c r="I17" s="52">
        <f t="shared" ref="I17:I72" si="0">H17-G17</f>
        <v>0</v>
      </c>
      <c r="J17" s="52"/>
      <c r="K17" s="112">
        <f t="shared" ref="K17:K22" si="1">+G17</f>
        <v>738358.52480493963</v>
      </c>
      <c r="L17" s="53">
        <f t="shared" ref="L17:L72" si="2">IF(K17&lt;&gt;0,+G17-K17,0)</f>
        <v>0</v>
      </c>
      <c r="M17" s="112">
        <f t="shared" ref="M17:M22" si="3">+H17</f>
        <v>738358.52480493963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2018</v>
      </c>
      <c r="D18" s="431">
        <v>8984585.3658536579</v>
      </c>
      <c r="E18" s="430">
        <v>223219.51219512196</v>
      </c>
      <c r="F18" s="431">
        <v>8761365.8536585364</v>
      </c>
      <c r="G18" s="430">
        <v>1350922.3521294959</v>
      </c>
      <c r="H18" s="438">
        <v>1350922.3521294959</v>
      </c>
      <c r="I18" s="52">
        <f t="shared" si="0"/>
        <v>0</v>
      </c>
      <c r="J18" s="52"/>
      <c r="K18" s="113">
        <f t="shared" si="1"/>
        <v>1350922.3521294959</v>
      </c>
      <c r="L18" s="54">
        <f t="shared" si="2"/>
        <v>0</v>
      </c>
      <c r="M18" s="113">
        <f t="shared" si="3"/>
        <v>1350922.3521294959</v>
      </c>
      <c r="N18" s="54">
        <f t="shared" si="4"/>
        <v>0</v>
      </c>
      <c r="O18" s="54">
        <f t="shared" si="5"/>
        <v>0</v>
      </c>
      <c r="P18" s="1"/>
    </row>
    <row r="19" spans="2:16" ht="12.5">
      <c r="B19" s="7" t="str">
        <f>IF(D19=F18,"","IU")</f>
        <v>IU</v>
      </c>
      <c r="C19" s="50">
        <f>IF(D11="","-",+C18+1)</f>
        <v>2019</v>
      </c>
      <c r="D19" s="431">
        <v>9539404.8536585364</v>
      </c>
      <c r="E19" s="430">
        <v>242196.07317073172</v>
      </c>
      <c r="F19" s="431">
        <v>9297208.7804878056</v>
      </c>
      <c r="G19" s="430">
        <v>1206022.789326702</v>
      </c>
      <c r="H19" s="438">
        <v>1206022.789326702</v>
      </c>
      <c r="I19" s="52">
        <f t="shared" si="0"/>
        <v>0</v>
      </c>
      <c r="J19" s="52"/>
      <c r="K19" s="113">
        <f t="shared" si="1"/>
        <v>1206022.789326702</v>
      </c>
      <c r="L19" s="54">
        <f t="shared" ref="L19" si="6">IF(K19&lt;&gt;0,+G19-K19,0)</f>
        <v>0</v>
      </c>
      <c r="M19" s="113">
        <f t="shared" si="3"/>
        <v>1206022.789326702</v>
      </c>
      <c r="N19" s="54">
        <f t="shared" si="4"/>
        <v>0</v>
      </c>
      <c r="O19" s="54">
        <f t="shared" si="5"/>
        <v>0</v>
      </c>
      <c r="P19" s="1"/>
    </row>
    <row r="20" spans="2:16" ht="12.5">
      <c r="B20" s="7" t="str">
        <f t="shared" ref="B20:B72" si="7">IF(D20=F19,"","IU")</f>
        <v>IU</v>
      </c>
      <c r="C20" s="50">
        <f>IF(D11="","-",+C19+1)</f>
        <v>2020</v>
      </c>
      <c r="D20" s="431">
        <v>9539404.8536585364</v>
      </c>
      <c r="E20" s="430">
        <v>242196.07317073172</v>
      </c>
      <c r="F20" s="431">
        <v>9297208.7804878056</v>
      </c>
      <c r="G20" s="430">
        <v>1206022.789326702</v>
      </c>
      <c r="H20" s="438">
        <v>1206022.789326702</v>
      </c>
      <c r="I20" s="52">
        <f t="shared" si="0"/>
        <v>0</v>
      </c>
      <c r="J20" s="52"/>
      <c r="K20" s="113">
        <f t="shared" si="1"/>
        <v>1206022.789326702</v>
      </c>
      <c r="L20" s="54">
        <f t="shared" ref="L20" si="8">IF(K20&lt;&gt;0,+G20-K20,0)</f>
        <v>0</v>
      </c>
      <c r="M20" s="113">
        <f t="shared" si="3"/>
        <v>1206022.789326702</v>
      </c>
      <c r="N20" s="54">
        <f t="shared" si="4"/>
        <v>0</v>
      </c>
      <c r="O20" s="54">
        <f t="shared" si="5"/>
        <v>0</v>
      </c>
      <c r="P20" s="1"/>
    </row>
    <row r="21" spans="2:16" ht="12.5">
      <c r="B21" s="7" t="str">
        <f t="shared" si="7"/>
        <v>IU</v>
      </c>
      <c r="C21" s="50">
        <f>IF(D11="","-",+C20+1)</f>
        <v>2021</v>
      </c>
      <c r="D21" s="431">
        <v>9084371.5711854789</v>
      </c>
      <c r="E21" s="430">
        <v>236429.5</v>
      </c>
      <c r="F21" s="431">
        <v>8847942.0711854789</v>
      </c>
      <c r="G21" s="430">
        <v>1186882.8746105693</v>
      </c>
      <c r="H21" s="438">
        <v>1186882.8746105693</v>
      </c>
      <c r="I21" s="52">
        <f t="shared" si="0"/>
        <v>0</v>
      </c>
      <c r="J21" s="52"/>
      <c r="K21" s="113">
        <f t="shared" si="1"/>
        <v>1186882.8746105693</v>
      </c>
      <c r="L21" s="54">
        <f t="shared" ref="L21" si="9">IF(K21&lt;&gt;0,+G21-K21,0)</f>
        <v>0</v>
      </c>
      <c r="M21" s="113">
        <f t="shared" si="3"/>
        <v>1186882.8746105693</v>
      </c>
      <c r="N21" s="54">
        <f t="shared" si="4"/>
        <v>0</v>
      </c>
      <c r="O21" s="54">
        <f t="shared" si="5"/>
        <v>0</v>
      </c>
      <c r="P21" s="1"/>
    </row>
    <row r="22" spans="2:16" ht="12.5">
      <c r="B22" s="7" t="str">
        <f t="shared" si="7"/>
        <v>IU</v>
      </c>
      <c r="C22" s="50">
        <f>IF(D11="","-",+C21+1)</f>
        <v>2022</v>
      </c>
      <c r="D22" s="431">
        <v>8818583.2073170729</v>
      </c>
      <c r="E22" s="430">
        <v>236429.5</v>
      </c>
      <c r="F22" s="431">
        <v>8582153.7073170729</v>
      </c>
      <c r="G22" s="430">
        <v>1214734.5737329707</v>
      </c>
      <c r="H22" s="438">
        <v>1214734.5737329707</v>
      </c>
      <c r="I22" s="52">
        <f t="shared" si="0"/>
        <v>0</v>
      </c>
      <c r="J22" s="52"/>
      <c r="K22" s="113">
        <f t="shared" si="1"/>
        <v>1214734.5737329707</v>
      </c>
      <c r="L22" s="54">
        <f t="shared" ref="L22" si="10">IF(K22&lt;&gt;0,+G22-K22,0)</f>
        <v>0</v>
      </c>
      <c r="M22" s="113">
        <f t="shared" si="3"/>
        <v>1214734.5737329707</v>
      </c>
      <c r="N22" s="54">
        <f t="shared" si="4"/>
        <v>0</v>
      </c>
      <c r="O22" s="54">
        <f t="shared" si="5"/>
        <v>0</v>
      </c>
      <c r="P22" s="1"/>
    </row>
    <row r="23" spans="2:16" ht="12.5">
      <c r="B23" s="7" t="str">
        <f t="shared" si="7"/>
        <v>IU</v>
      </c>
      <c r="C23" s="50">
        <f>IF(D11="","-",+C22+1)</f>
        <v>2023</v>
      </c>
      <c r="D23" s="431">
        <v>8582154.0273170732</v>
      </c>
      <c r="E23" s="430">
        <v>236429.50761904762</v>
      </c>
      <c r="F23" s="431">
        <v>8345724.5196980257</v>
      </c>
      <c r="G23" s="430">
        <v>1305651.7696958741</v>
      </c>
      <c r="H23" s="438">
        <v>1305651.7696958741</v>
      </c>
      <c r="I23" s="52">
        <f t="shared" si="0"/>
        <v>0</v>
      </c>
      <c r="J23" s="52"/>
      <c r="K23" s="113">
        <f t="shared" ref="K23" si="11">+G23</f>
        <v>1305651.7696958741</v>
      </c>
      <c r="L23" s="54">
        <f t="shared" ref="L23" si="12">IF(K23&lt;&gt;0,+G23-K23,0)</f>
        <v>0</v>
      </c>
      <c r="M23" s="113">
        <f t="shared" ref="M23" si="13">+H23</f>
        <v>1305651.7696958741</v>
      </c>
      <c r="N23" s="54">
        <f t="shared" si="4"/>
        <v>0</v>
      </c>
      <c r="O23" s="54">
        <f t="shared" si="5"/>
        <v>0</v>
      </c>
      <c r="P23" s="1"/>
    </row>
    <row r="24" spans="2:16" ht="12.5">
      <c r="B24" s="7" t="str">
        <f t="shared" si="7"/>
        <v/>
      </c>
      <c r="C24" s="50">
        <f>IF(D11="","-",+C23+1)</f>
        <v>2024</v>
      </c>
      <c r="D24" s="431">
        <v>8345724.5196980257</v>
      </c>
      <c r="E24" s="430">
        <v>225682.71181818182</v>
      </c>
      <c r="F24" s="431">
        <v>8120041.8078798437</v>
      </c>
      <c r="G24" s="430">
        <v>1209735.6216286737</v>
      </c>
      <c r="H24" s="438">
        <v>1209735.6216286737</v>
      </c>
      <c r="I24" s="52">
        <f t="shared" si="0"/>
        <v>0</v>
      </c>
      <c r="J24" s="52"/>
      <c r="K24" s="113">
        <f t="shared" ref="K24" si="14">+G24</f>
        <v>1209735.6216286737</v>
      </c>
      <c r="L24" s="54">
        <f t="shared" ref="L24" si="15">IF(K24&lt;&gt;0,+G24-K24,0)</f>
        <v>0</v>
      </c>
      <c r="M24" s="113">
        <f t="shared" ref="M24" si="16">+H24</f>
        <v>1209735.6216286737</v>
      </c>
      <c r="N24" s="54">
        <f t="shared" ref="N24" si="17">IF(M24&lt;&gt;0,+H24-M24,0)</f>
        <v>0</v>
      </c>
      <c r="O24" s="54">
        <f t="shared" ref="O24" si="18">+N24-L24</f>
        <v>0</v>
      </c>
      <c r="P24" s="1"/>
    </row>
    <row r="25" spans="2:16" ht="12.5">
      <c r="B25" s="7" t="str">
        <f t="shared" si="7"/>
        <v/>
      </c>
      <c r="C25" s="50">
        <f>IF(D11="","-",+C24+1)</f>
        <v>2025</v>
      </c>
      <c r="D25" s="55">
        <f>IF(F24+SUM(E$17:E24)=D$10,F24,D$10-SUM(E$17:E24))</f>
        <v>8120041.8078798437</v>
      </c>
      <c r="E25" s="378">
        <f>IF(+I14&lt;F24,I14,D25)</f>
        <v>225682.71181818182</v>
      </c>
      <c r="F25" s="55">
        <f t="shared" ref="F25:F72" si="19">+D25-E25</f>
        <v>7894359.0960616618</v>
      </c>
      <c r="G25" s="379">
        <f t="shared" ref="G25:G72" si="20">+I$12*((D25+F25)/2)+E25</f>
        <v>1182760.4144211421</v>
      </c>
      <c r="H25" s="364">
        <f t="shared" ref="H25:H72" si="21">+I$13*((D25+F25)/2)+E25</f>
        <v>1182760.4144211421</v>
      </c>
      <c r="I25" s="52">
        <f t="shared" si="0"/>
        <v>0</v>
      </c>
      <c r="J25" s="52"/>
      <c r="K25" s="129"/>
      <c r="L25" s="54">
        <f t="shared" si="2"/>
        <v>0</v>
      </c>
      <c r="M25" s="129"/>
      <c r="N25" s="54">
        <f t="shared" si="4"/>
        <v>0</v>
      </c>
      <c r="O25" s="54">
        <f t="shared" si="5"/>
        <v>0</v>
      </c>
      <c r="P25" s="1"/>
    </row>
    <row r="26" spans="2:16" ht="12.5">
      <c r="B26" s="7" t="str">
        <f t="shared" si="7"/>
        <v/>
      </c>
      <c r="C26" s="50">
        <f>IF(D11="","-",+C25+1)</f>
        <v>2026</v>
      </c>
      <c r="D26" s="55">
        <f>IF(F25+SUM(E$17:E25)=D$10,F25,D$10-SUM(E$17:E25))</f>
        <v>7894359.0960616618</v>
      </c>
      <c r="E26" s="378">
        <f>IF(+I14&lt;F25,I14,D26)</f>
        <v>225682.71181818182</v>
      </c>
      <c r="F26" s="55">
        <f t="shared" si="19"/>
        <v>7668676.3842434799</v>
      </c>
      <c r="G26" s="379">
        <f t="shared" si="20"/>
        <v>1155785.2072136106</v>
      </c>
      <c r="H26" s="364">
        <f t="shared" si="21"/>
        <v>1155785.2072136106</v>
      </c>
      <c r="I26" s="52">
        <f t="shared" si="0"/>
        <v>0</v>
      </c>
      <c r="J26" s="52"/>
      <c r="K26" s="129"/>
      <c r="L26" s="54">
        <f t="shared" si="2"/>
        <v>0</v>
      </c>
      <c r="M26" s="129"/>
      <c r="N26" s="54">
        <f t="shared" si="4"/>
        <v>0</v>
      </c>
      <c r="O26" s="54">
        <f t="shared" si="5"/>
        <v>0</v>
      </c>
      <c r="P26" s="1"/>
    </row>
    <row r="27" spans="2:16" ht="12.5">
      <c r="B27" s="7" t="str">
        <f t="shared" si="7"/>
        <v/>
      </c>
      <c r="C27" s="50">
        <f>IF(D11="","-",+C26+1)</f>
        <v>2027</v>
      </c>
      <c r="D27" s="55">
        <f>IF(F26+SUM(E$17:E26)=D$10,F26,D$10-SUM(E$17:E26))</f>
        <v>7668676.3842434799</v>
      </c>
      <c r="E27" s="378">
        <f>IF(+I14&lt;F26,I14,D27)</f>
        <v>225682.71181818182</v>
      </c>
      <c r="F27" s="55">
        <f t="shared" si="19"/>
        <v>7442993.672425298</v>
      </c>
      <c r="G27" s="379">
        <f t="shared" si="20"/>
        <v>1128810.000006079</v>
      </c>
      <c r="H27" s="364">
        <f t="shared" si="21"/>
        <v>1128810.000006079</v>
      </c>
      <c r="I27" s="52">
        <f t="shared" si="0"/>
        <v>0</v>
      </c>
      <c r="J27" s="52"/>
      <c r="K27" s="129"/>
      <c r="L27" s="54">
        <f t="shared" si="2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7"/>
        <v/>
      </c>
      <c r="C28" s="50">
        <f>IF(D11="","-",+C27+1)</f>
        <v>2028</v>
      </c>
      <c r="D28" s="55">
        <f>IF(F27+SUM(E$17:E27)=D$10,F27,D$10-SUM(E$17:E27))</f>
        <v>7442993.672425298</v>
      </c>
      <c r="E28" s="378">
        <f>IF(+I14&lt;F27,I14,D28)</f>
        <v>225682.71181818182</v>
      </c>
      <c r="F28" s="55">
        <f t="shared" si="19"/>
        <v>7217310.9606071161</v>
      </c>
      <c r="G28" s="379">
        <f t="shared" si="20"/>
        <v>1101834.7927985475</v>
      </c>
      <c r="H28" s="364">
        <f t="shared" si="21"/>
        <v>1101834.7927985475</v>
      </c>
      <c r="I28" s="52">
        <f t="shared" si="0"/>
        <v>0</v>
      </c>
      <c r="J28" s="52"/>
      <c r="K28" s="129"/>
      <c r="L28" s="54">
        <f t="shared" si="2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7"/>
        <v/>
      </c>
      <c r="C29" s="50">
        <f>IF(D11="","-",+C28+1)</f>
        <v>2029</v>
      </c>
      <c r="D29" s="55">
        <f>IF(F28+SUM(E$17:E28)=D$10,F28,D$10-SUM(E$17:E28))</f>
        <v>7217310.9606071161</v>
      </c>
      <c r="E29" s="378">
        <f>IF(+I14&lt;F28,I14,D29)</f>
        <v>225682.71181818182</v>
      </c>
      <c r="F29" s="55">
        <f t="shared" si="19"/>
        <v>6991628.2487889342</v>
      </c>
      <c r="G29" s="379">
        <f t="shared" si="20"/>
        <v>1074859.5855910159</v>
      </c>
      <c r="H29" s="364">
        <f t="shared" si="21"/>
        <v>1074859.5855910159</v>
      </c>
      <c r="I29" s="52">
        <f t="shared" si="0"/>
        <v>0</v>
      </c>
      <c r="J29" s="52"/>
      <c r="K29" s="129"/>
      <c r="L29" s="54">
        <f t="shared" si="2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7"/>
        <v/>
      </c>
      <c r="C30" s="50">
        <f>IF(D11="","-",+C29+1)</f>
        <v>2030</v>
      </c>
      <c r="D30" s="55">
        <f>IF(F29+SUM(E$17:E29)=D$10,F29,D$10-SUM(E$17:E29))</f>
        <v>6991628.2487889342</v>
      </c>
      <c r="E30" s="378">
        <f>IF(+I14&lt;F29,I14,D30)</f>
        <v>225682.71181818182</v>
      </c>
      <c r="F30" s="55">
        <f t="shared" si="19"/>
        <v>6765945.5369707523</v>
      </c>
      <c r="G30" s="379">
        <f t="shared" si="20"/>
        <v>1047884.3783834843</v>
      </c>
      <c r="H30" s="364">
        <f t="shared" si="21"/>
        <v>1047884.3783834843</v>
      </c>
      <c r="I30" s="52">
        <f t="shared" si="0"/>
        <v>0</v>
      </c>
      <c r="J30" s="52"/>
      <c r="K30" s="129"/>
      <c r="L30" s="54">
        <f t="shared" si="2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7"/>
        <v/>
      </c>
      <c r="C31" s="50">
        <f>IF(D11="","-",+C30+1)</f>
        <v>2031</v>
      </c>
      <c r="D31" s="55">
        <f>IF(F30+SUM(E$17:E30)=D$10,F30,D$10-SUM(E$17:E30))</f>
        <v>6765945.5369707523</v>
      </c>
      <c r="E31" s="378">
        <f>IF(+I14&lt;F30,I14,D31)</f>
        <v>225682.71181818182</v>
      </c>
      <c r="F31" s="55">
        <f t="shared" si="19"/>
        <v>6540262.8251525704</v>
      </c>
      <c r="G31" s="379">
        <f t="shared" si="20"/>
        <v>1020909.1711759527</v>
      </c>
      <c r="H31" s="364">
        <f t="shared" si="21"/>
        <v>1020909.1711759527</v>
      </c>
      <c r="I31" s="52">
        <f t="shared" si="0"/>
        <v>0</v>
      </c>
      <c r="J31" s="52"/>
      <c r="K31" s="129"/>
      <c r="L31" s="54">
        <f t="shared" si="2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7"/>
        <v/>
      </c>
      <c r="C32" s="50">
        <f>IF(D11="","-",+C31+1)</f>
        <v>2032</v>
      </c>
      <c r="D32" s="55">
        <f>IF(F31+SUM(E$17:E31)=D$10,F31,D$10-SUM(E$17:E31))</f>
        <v>6540262.8251525704</v>
      </c>
      <c r="E32" s="378">
        <f>IF(+I14&lt;F31,I14,D32)</f>
        <v>225682.71181818182</v>
      </c>
      <c r="F32" s="55">
        <f t="shared" si="19"/>
        <v>6314580.1133343885</v>
      </c>
      <c r="G32" s="379">
        <f t="shared" si="20"/>
        <v>993933.9639684211</v>
      </c>
      <c r="H32" s="364">
        <f t="shared" si="21"/>
        <v>993933.9639684211</v>
      </c>
      <c r="I32" s="52">
        <f t="shared" si="0"/>
        <v>0</v>
      </c>
      <c r="J32" s="52"/>
      <c r="K32" s="129"/>
      <c r="L32" s="54">
        <f t="shared" si="2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7"/>
        <v/>
      </c>
      <c r="C33" s="50">
        <f>IF(D11="","-",+C32+1)</f>
        <v>2033</v>
      </c>
      <c r="D33" s="55">
        <f>IF(F32+SUM(E$17:E32)=D$10,F32,D$10-SUM(E$17:E32))</f>
        <v>6314580.1133343885</v>
      </c>
      <c r="E33" s="378">
        <f>IF(+I14&lt;F32,I14,D33)</f>
        <v>225682.71181818182</v>
      </c>
      <c r="F33" s="55">
        <f t="shared" si="19"/>
        <v>6088897.4015162066</v>
      </c>
      <c r="G33" s="379">
        <f t="shared" si="20"/>
        <v>966958.75676088943</v>
      </c>
      <c r="H33" s="364">
        <f t="shared" si="21"/>
        <v>966958.75676088943</v>
      </c>
      <c r="I33" s="52">
        <f t="shared" si="0"/>
        <v>0</v>
      </c>
      <c r="J33" s="52"/>
      <c r="K33" s="129"/>
      <c r="L33" s="54">
        <f t="shared" si="2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7"/>
        <v/>
      </c>
      <c r="C34" s="50">
        <f>IF(D11="","-",+C33+1)</f>
        <v>2034</v>
      </c>
      <c r="D34" s="55">
        <f>IF(F33+SUM(E$17:E33)=D$10,F33,D$10-SUM(E$17:E33))</f>
        <v>6088897.4015162066</v>
      </c>
      <c r="E34" s="378">
        <f>IF(+I14&lt;F33,I14,D34)</f>
        <v>225682.71181818182</v>
      </c>
      <c r="F34" s="55">
        <f t="shared" si="19"/>
        <v>5863214.6896980247</v>
      </c>
      <c r="G34" s="379">
        <f t="shared" si="20"/>
        <v>939983.549553358</v>
      </c>
      <c r="H34" s="364">
        <f t="shared" si="21"/>
        <v>939983.549553358</v>
      </c>
      <c r="I34" s="52">
        <f t="shared" si="0"/>
        <v>0</v>
      </c>
      <c r="J34" s="52"/>
      <c r="K34" s="129"/>
      <c r="L34" s="54">
        <f t="shared" si="2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7"/>
        <v/>
      </c>
      <c r="C35" s="50">
        <f>IF(D11="","-",+C34+1)</f>
        <v>2035</v>
      </c>
      <c r="D35" s="55">
        <f>IF(F34+SUM(E$17:E34)=D$10,F34,D$10-SUM(E$17:E34))</f>
        <v>5863214.6896980247</v>
      </c>
      <c r="E35" s="378">
        <f>IF(+I14&lt;F34,I14,D35)</f>
        <v>225682.71181818182</v>
      </c>
      <c r="F35" s="55">
        <f t="shared" si="19"/>
        <v>5637531.9778798427</v>
      </c>
      <c r="G35" s="379">
        <f t="shared" si="20"/>
        <v>913008.34234582633</v>
      </c>
      <c r="H35" s="364">
        <f t="shared" si="21"/>
        <v>913008.34234582633</v>
      </c>
      <c r="I35" s="52">
        <f t="shared" si="0"/>
        <v>0</v>
      </c>
      <c r="J35" s="52"/>
      <c r="K35" s="129"/>
      <c r="L35" s="54">
        <f t="shared" si="2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7"/>
        <v/>
      </c>
      <c r="C36" s="50">
        <f>IF(D11="","-",+C35+1)</f>
        <v>2036</v>
      </c>
      <c r="D36" s="55">
        <f>IF(F35+SUM(E$17:E35)=D$10,F35,D$10-SUM(E$17:E35))</f>
        <v>5637531.9778798427</v>
      </c>
      <c r="E36" s="378">
        <f>IF(+I14&lt;F35,I14,D36)</f>
        <v>225682.71181818182</v>
      </c>
      <c r="F36" s="55">
        <f t="shared" si="19"/>
        <v>5411849.2660616608</v>
      </c>
      <c r="G36" s="379">
        <f t="shared" si="20"/>
        <v>886033.13513829489</v>
      </c>
      <c r="H36" s="364">
        <f t="shared" si="21"/>
        <v>886033.13513829489</v>
      </c>
      <c r="I36" s="52">
        <f t="shared" si="0"/>
        <v>0</v>
      </c>
      <c r="J36" s="52"/>
      <c r="K36" s="129"/>
      <c r="L36" s="54">
        <f t="shared" si="2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7"/>
        <v/>
      </c>
      <c r="C37" s="50">
        <f>IF(D11="","-",+C36+1)</f>
        <v>2037</v>
      </c>
      <c r="D37" s="55">
        <f>IF(F36+SUM(E$17:E36)=D$10,F36,D$10-SUM(E$17:E36))</f>
        <v>5411849.2660616608</v>
      </c>
      <c r="E37" s="378">
        <f>IF(+I14&lt;F36,I14,D37)</f>
        <v>225682.71181818182</v>
      </c>
      <c r="F37" s="55">
        <f t="shared" si="19"/>
        <v>5186166.5542434789</v>
      </c>
      <c r="G37" s="379">
        <f t="shared" si="20"/>
        <v>859057.92793076322</v>
      </c>
      <c r="H37" s="364">
        <f t="shared" si="21"/>
        <v>859057.92793076322</v>
      </c>
      <c r="I37" s="52">
        <f t="shared" si="0"/>
        <v>0</v>
      </c>
      <c r="J37" s="52"/>
      <c r="K37" s="129"/>
      <c r="L37" s="54">
        <f t="shared" si="2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7"/>
        <v/>
      </c>
      <c r="C38" s="50">
        <f>IF(D11="","-",+C37+1)</f>
        <v>2038</v>
      </c>
      <c r="D38" s="55">
        <f>IF(F37+SUM(E$17:E37)=D$10,F37,D$10-SUM(E$17:E37))</f>
        <v>5186166.5542434789</v>
      </c>
      <c r="E38" s="378">
        <f>IF(+I14&lt;F37,I14,D38)</f>
        <v>225682.71181818182</v>
      </c>
      <c r="F38" s="55">
        <f t="shared" si="19"/>
        <v>4960483.842425297</v>
      </c>
      <c r="G38" s="379">
        <f t="shared" si="20"/>
        <v>832082.72072323167</v>
      </c>
      <c r="H38" s="364">
        <f t="shared" si="21"/>
        <v>832082.72072323167</v>
      </c>
      <c r="I38" s="52">
        <f t="shared" si="0"/>
        <v>0</v>
      </c>
      <c r="J38" s="52"/>
      <c r="K38" s="129"/>
      <c r="L38" s="54">
        <f t="shared" si="2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7"/>
        <v/>
      </c>
      <c r="C39" s="50">
        <f>IF(D11="","-",+C38+1)</f>
        <v>2039</v>
      </c>
      <c r="D39" s="55">
        <f>IF(F38+SUM(E$17:E38)=D$10,F38,D$10-SUM(E$17:E38))</f>
        <v>4960483.842425297</v>
      </c>
      <c r="E39" s="378">
        <f>IF(+I14&lt;F38,I14,D39)</f>
        <v>225682.71181818182</v>
      </c>
      <c r="F39" s="55">
        <f t="shared" si="19"/>
        <v>4734801.1306071151</v>
      </c>
      <c r="G39" s="379">
        <f t="shared" si="20"/>
        <v>805107.5135157</v>
      </c>
      <c r="H39" s="364">
        <f t="shared" si="21"/>
        <v>805107.5135157</v>
      </c>
      <c r="I39" s="52">
        <f t="shared" si="0"/>
        <v>0</v>
      </c>
      <c r="J39" s="52"/>
      <c r="K39" s="129"/>
      <c r="L39" s="54">
        <f t="shared" si="2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7"/>
        <v/>
      </c>
      <c r="C40" s="50">
        <f>IF(D11="","-",+C39+1)</f>
        <v>2040</v>
      </c>
      <c r="D40" s="55">
        <f>IF(F39+SUM(E$17:E39)=D$10,F39,D$10-SUM(E$17:E39))</f>
        <v>4734801.1306071151</v>
      </c>
      <c r="E40" s="378">
        <f>IF(+I14&lt;F39,I14,D40)</f>
        <v>225682.71181818182</v>
      </c>
      <c r="F40" s="55">
        <f t="shared" si="19"/>
        <v>4509118.4187889332</v>
      </c>
      <c r="G40" s="379">
        <f t="shared" si="20"/>
        <v>778132.30630816857</v>
      </c>
      <c r="H40" s="364">
        <f t="shared" si="21"/>
        <v>778132.30630816857</v>
      </c>
      <c r="I40" s="52">
        <f t="shared" si="0"/>
        <v>0</v>
      </c>
      <c r="J40" s="52"/>
      <c r="K40" s="129"/>
      <c r="L40" s="54">
        <f t="shared" si="2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7"/>
        <v/>
      </c>
      <c r="C41" s="50">
        <f>IF(D11="","-",+C40+1)</f>
        <v>2041</v>
      </c>
      <c r="D41" s="55">
        <f>IF(F40+SUM(E$17:E40)=D$10,F40,D$10-SUM(E$17:E40))</f>
        <v>4509118.4187889332</v>
      </c>
      <c r="E41" s="378">
        <f>IF(+I14&lt;F40,I14,D41)</f>
        <v>225682.71181818182</v>
      </c>
      <c r="F41" s="55">
        <f t="shared" si="19"/>
        <v>4283435.7069707513</v>
      </c>
      <c r="G41" s="379">
        <f t="shared" si="20"/>
        <v>751157.0991006369</v>
      </c>
      <c r="H41" s="364">
        <f t="shared" si="21"/>
        <v>751157.0991006369</v>
      </c>
      <c r="I41" s="52">
        <f t="shared" si="0"/>
        <v>0</v>
      </c>
      <c r="J41" s="52"/>
      <c r="K41" s="129"/>
      <c r="L41" s="54">
        <f t="shared" si="2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7"/>
        <v/>
      </c>
      <c r="C42" s="50">
        <f>IF(D11="","-",+C41+1)</f>
        <v>2042</v>
      </c>
      <c r="D42" s="55">
        <f>IF(F41+SUM(E$17:E41)=D$10,F41,D$10-SUM(E$17:E41))</f>
        <v>4283435.7069707513</v>
      </c>
      <c r="E42" s="378">
        <f>IF(+I14&lt;F41,I14,D42)</f>
        <v>225682.71181818182</v>
      </c>
      <c r="F42" s="55">
        <f t="shared" si="19"/>
        <v>4057752.9951525694</v>
      </c>
      <c r="G42" s="379">
        <f t="shared" si="20"/>
        <v>724181.89189310546</v>
      </c>
      <c r="H42" s="364">
        <f t="shared" si="21"/>
        <v>724181.89189310546</v>
      </c>
      <c r="I42" s="52">
        <f t="shared" si="0"/>
        <v>0</v>
      </c>
      <c r="J42" s="52"/>
      <c r="K42" s="129"/>
      <c r="L42" s="54">
        <f t="shared" si="2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7"/>
        <v/>
      </c>
      <c r="C43" s="50">
        <f>IF(D11="","-",+C42+1)</f>
        <v>2043</v>
      </c>
      <c r="D43" s="55">
        <f>IF(F42+SUM(E$17:E42)=D$10,F42,D$10-SUM(E$17:E42))</f>
        <v>4057752.9951525694</v>
      </c>
      <c r="E43" s="378">
        <f>IF(+I14&lt;F42,I14,D43)</f>
        <v>225682.71181818182</v>
      </c>
      <c r="F43" s="55">
        <f t="shared" si="19"/>
        <v>3832070.2833343875</v>
      </c>
      <c r="G43" s="379">
        <f t="shared" si="20"/>
        <v>697206.6846855738</v>
      </c>
      <c r="H43" s="364">
        <f t="shared" si="21"/>
        <v>697206.6846855738</v>
      </c>
      <c r="I43" s="52">
        <f t="shared" si="0"/>
        <v>0</v>
      </c>
      <c r="J43" s="52"/>
      <c r="K43" s="129"/>
      <c r="L43" s="54">
        <f t="shared" si="2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7"/>
        <v/>
      </c>
      <c r="C44" s="50">
        <f>IF(D11="","-",+C43+1)</f>
        <v>2044</v>
      </c>
      <c r="D44" s="55">
        <f>IF(F43+SUM(E$17:E43)=D$10,F43,D$10-SUM(E$17:E43))</f>
        <v>3832070.2833343875</v>
      </c>
      <c r="E44" s="378">
        <f>IF(+I14&lt;F43,I14,D44)</f>
        <v>225682.71181818182</v>
      </c>
      <c r="F44" s="55">
        <f t="shared" si="19"/>
        <v>3606387.5715162056</v>
      </c>
      <c r="G44" s="379">
        <f t="shared" si="20"/>
        <v>670231.47747804224</v>
      </c>
      <c r="H44" s="364">
        <f t="shared" si="21"/>
        <v>670231.47747804224</v>
      </c>
      <c r="I44" s="52">
        <f t="shared" si="0"/>
        <v>0</v>
      </c>
      <c r="J44" s="52"/>
      <c r="K44" s="129"/>
      <c r="L44" s="54">
        <f t="shared" si="2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7"/>
        <v/>
      </c>
      <c r="C45" s="50">
        <f>IF(D11="","-",+C44+1)</f>
        <v>2045</v>
      </c>
      <c r="D45" s="55">
        <f>IF(F44+SUM(E$17:E44)=D$10,F44,D$10-SUM(E$17:E44))</f>
        <v>3606387.5715162056</v>
      </c>
      <c r="E45" s="378">
        <f>IF(+I14&lt;F44,I14,D45)</f>
        <v>225682.71181818182</v>
      </c>
      <c r="F45" s="55">
        <f t="shared" si="19"/>
        <v>3380704.8596980236</v>
      </c>
      <c r="G45" s="379">
        <f t="shared" si="20"/>
        <v>643256.27027051069</v>
      </c>
      <c r="H45" s="364">
        <f t="shared" si="21"/>
        <v>643256.27027051069</v>
      </c>
      <c r="I45" s="52">
        <f t="shared" si="0"/>
        <v>0</v>
      </c>
      <c r="J45" s="52"/>
      <c r="K45" s="129"/>
      <c r="L45" s="54">
        <f t="shared" si="2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7"/>
        <v/>
      </c>
      <c r="C46" s="50">
        <f>IF(D11="","-",+C45+1)</f>
        <v>2046</v>
      </c>
      <c r="D46" s="55">
        <f>IF(F45+SUM(E$17:E45)=D$10,F45,D$10-SUM(E$17:E45))</f>
        <v>3380704.8596980236</v>
      </c>
      <c r="E46" s="378">
        <f>IF(+I14&lt;F45,I14,D46)</f>
        <v>225682.71181818182</v>
      </c>
      <c r="F46" s="55">
        <f t="shared" si="19"/>
        <v>3155022.1478798417</v>
      </c>
      <c r="G46" s="379">
        <f t="shared" si="20"/>
        <v>616281.06306297914</v>
      </c>
      <c r="H46" s="364">
        <f t="shared" si="21"/>
        <v>616281.06306297914</v>
      </c>
      <c r="I46" s="52">
        <f t="shared" si="0"/>
        <v>0</v>
      </c>
      <c r="J46" s="52"/>
      <c r="K46" s="129"/>
      <c r="L46" s="54">
        <f t="shared" si="2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7"/>
        <v/>
      </c>
      <c r="C47" s="50">
        <f>IF(D11="","-",+C46+1)</f>
        <v>2047</v>
      </c>
      <c r="D47" s="55">
        <f>IF(F46+SUM(E$17:E46)=D$10,F46,D$10-SUM(E$17:E46))</f>
        <v>3155022.1478798417</v>
      </c>
      <c r="E47" s="378">
        <f>IF(+I14&lt;F46,I14,D47)</f>
        <v>225682.71181818182</v>
      </c>
      <c r="F47" s="55">
        <f t="shared" si="19"/>
        <v>2929339.4360616598</v>
      </c>
      <c r="G47" s="379">
        <f t="shared" si="20"/>
        <v>589305.85585544759</v>
      </c>
      <c r="H47" s="364">
        <f t="shared" si="21"/>
        <v>589305.85585544759</v>
      </c>
      <c r="I47" s="52">
        <f t="shared" si="0"/>
        <v>0</v>
      </c>
      <c r="J47" s="52"/>
      <c r="K47" s="129"/>
      <c r="L47" s="54">
        <f t="shared" si="2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7"/>
        <v/>
      </c>
      <c r="C48" s="50">
        <f>IF(D11="","-",+C47+1)</f>
        <v>2048</v>
      </c>
      <c r="D48" s="55">
        <f>IF(F47+SUM(E$17:E47)=D$10,F47,D$10-SUM(E$17:E47))</f>
        <v>2929339.4360616598</v>
      </c>
      <c r="E48" s="378">
        <f>IF(+I14&lt;F47,I14,D48)</f>
        <v>225682.71181818182</v>
      </c>
      <c r="F48" s="55">
        <f t="shared" si="19"/>
        <v>2703656.7242434779</v>
      </c>
      <c r="G48" s="379">
        <f t="shared" si="20"/>
        <v>562330.64864791604</v>
      </c>
      <c r="H48" s="364">
        <f t="shared" si="21"/>
        <v>562330.64864791604</v>
      </c>
      <c r="I48" s="52">
        <f t="shared" si="0"/>
        <v>0</v>
      </c>
      <c r="J48" s="52"/>
      <c r="K48" s="129"/>
      <c r="L48" s="54">
        <f t="shared" si="2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 ht="12.5">
      <c r="B49" s="7" t="str">
        <f t="shared" si="7"/>
        <v/>
      </c>
      <c r="C49" s="50">
        <f>IF(D11="","-",+C48+1)</f>
        <v>2049</v>
      </c>
      <c r="D49" s="55">
        <f>IF(F48+SUM(E$17:E48)=D$10,F48,D$10-SUM(E$17:E48))</f>
        <v>2703656.7242434779</v>
      </c>
      <c r="E49" s="378">
        <f>IF(+I14&lt;F48,I14,D49)</f>
        <v>225682.71181818182</v>
      </c>
      <c r="F49" s="55">
        <f t="shared" si="19"/>
        <v>2477974.012425296</v>
      </c>
      <c r="G49" s="379">
        <f t="shared" si="20"/>
        <v>535355.44144038449</v>
      </c>
      <c r="H49" s="364">
        <f t="shared" si="21"/>
        <v>535355.44144038449</v>
      </c>
      <c r="I49" s="52">
        <f t="shared" si="0"/>
        <v>0</v>
      </c>
      <c r="J49" s="52"/>
      <c r="K49" s="129"/>
      <c r="L49" s="54">
        <f t="shared" si="2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 ht="12.5">
      <c r="B50" s="7" t="str">
        <f t="shared" si="7"/>
        <v/>
      </c>
      <c r="C50" s="50">
        <f>IF(D11="","-",+C49+1)</f>
        <v>2050</v>
      </c>
      <c r="D50" s="55">
        <f>IF(F49+SUM(E$17:E49)=D$10,F49,D$10-SUM(E$17:E49))</f>
        <v>2477974.012425296</v>
      </c>
      <c r="E50" s="378">
        <f>IF(+I14&lt;F49,I14,D50)</f>
        <v>225682.71181818182</v>
      </c>
      <c r="F50" s="55">
        <f t="shared" si="19"/>
        <v>2252291.3006071141</v>
      </c>
      <c r="G50" s="379">
        <f t="shared" si="20"/>
        <v>508380.23423285282</v>
      </c>
      <c r="H50" s="364">
        <f t="shared" si="21"/>
        <v>508380.23423285282</v>
      </c>
      <c r="I50" s="52">
        <f t="shared" si="0"/>
        <v>0</v>
      </c>
      <c r="J50" s="52"/>
      <c r="K50" s="129"/>
      <c r="L50" s="54">
        <f t="shared" si="2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 ht="12.5">
      <c r="B51" s="7" t="str">
        <f t="shared" si="7"/>
        <v/>
      </c>
      <c r="C51" s="50">
        <f>IF(D11="","-",+C50+1)</f>
        <v>2051</v>
      </c>
      <c r="D51" s="55">
        <f>IF(F50+SUM(E$17:E50)=D$10,F50,D$10-SUM(E$17:E50))</f>
        <v>2252291.3006071141</v>
      </c>
      <c r="E51" s="378">
        <f>IF(+I14&lt;F50,I14,D51)</f>
        <v>225682.71181818182</v>
      </c>
      <c r="F51" s="55">
        <f t="shared" si="19"/>
        <v>2026608.5887889322</v>
      </c>
      <c r="G51" s="379">
        <f t="shared" si="20"/>
        <v>481405.02702532127</v>
      </c>
      <c r="H51" s="364">
        <f t="shared" si="21"/>
        <v>481405.02702532127</v>
      </c>
      <c r="I51" s="52">
        <f t="shared" si="0"/>
        <v>0</v>
      </c>
      <c r="J51" s="52"/>
      <c r="K51" s="129"/>
      <c r="L51" s="54">
        <f t="shared" si="2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 ht="12.5">
      <c r="B52" s="7" t="str">
        <f t="shared" si="7"/>
        <v/>
      </c>
      <c r="C52" s="50">
        <f>IF(D11="","-",+C51+1)</f>
        <v>2052</v>
      </c>
      <c r="D52" s="55">
        <f>IF(F51+SUM(E$17:E51)=D$10,F51,D$10-SUM(E$17:E51))</f>
        <v>2026608.5887889322</v>
      </c>
      <c r="E52" s="378">
        <f>IF(+I14&lt;F51,I14,D52)</f>
        <v>225682.71181818182</v>
      </c>
      <c r="F52" s="55">
        <f t="shared" si="19"/>
        <v>1800925.8769707503</v>
      </c>
      <c r="G52" s="379">
        <f t="shared" si="20"/>
        <v>454429.81981778971</v>
      </c>
      <c r="H52" s="364">
        <f t="shared" si="21"/>
        <v>454429.81981778971</v>
      </c>
      <c r="I52" s="52">
        <f t="shared" si="0"/>
        <v>0</v>
      </c>
      <c r="J52" s="52"/>
      <c r="K52" s="129"/>
      <c r="L52" s="54">
        <f t="shared" si="2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 ht="12.5">
      <c r="B53" s="7" t="str">
        <f t="shared" si="7"/>
        <v/>
      </c>
      <c r="C53" s="50">
        <f>IF(D11="","-",+C52+1)</f>
        <v>2053</v>
      </c>
      <c r="D53" s="55">
        <f>IF(F52+SUM(E$17:E52)=D$10,F52,D$10-SUM(E$17:E52))</f>
        <v>1800925.8769707503</v>
      </c>
      <c r="E53" s="378">
        <f>IF(+I14&lt;F52,I14,D53)</f>
        <v>225682.71181818182</v>
      </c>
      <c r="F53" s="55">
        <f t="shared" si="19"/>
        <v>1575243.1651525684</v>
      </c>
      <c r="G53" s="379">
        <f t="shared" si="20"/>
        <v>427454.61261025816</v>
      </c>
      <c r="H53" s="364">
        <f t="shared" si="21"/>
        <v>427454.61261025816</v>
      </c>
      <c r="I53" s="52">
        <f t="shared" si="0"/>
        <v>0</v>
      </c>
      <c r="J53" s="52"/>
      <c r="K53" s="129"/>
      <c r="L53" s="54">
        <f t="shared" si="2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 ht="12.5">
      <c r="B54" s="7" t="str">
        <f t="shared" si="7"/>
        <v/>
      </c>
      <c r="C54" s="50">
        <f>IF(D11="","-",+C53+1)</f>
        <v>2054</v>
      </c>
      <c r="D54" s="55">
        <f>IF(F53+SUM(E$17:E53)=D$10,F53,D$10-SUM(E$17:E53))</f>
        <v>1575243.1651525684</v>
      </c>
      <c r="E54" s="378">
        <f>IF(+I14&lt;F53,I14,D54)</f>
        <v>225682.71181818182</v>
      </c>
      <c r="F54" s="55">
        <f t="shared" si="19"/>
        <v>1349560.4533343865</v>
      </c>
      <c r="G54" s="379">
        <f t="shared" si="20"/>
        <v>400479.40540272661</v>
      </c>
      <c r="H54" s="364">
        <f t="shared" si="21"/>
        <v>400479.40540272661</v>
      </c>
      <c r="I54" s="52">
        <f t="shared" si="0"/>
        <v>0</v>
      </c>
      <c r="J54" s="52"/>
      <c r="K54" s="129"/>
      <c r="L54" s="54">
        <f t="shared" si="2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 ht="12.5">
      <c r="B55" s="7" t="str">
        <f t="shared" si="7"/>
        <v/>
      </c>
      <c r="C55" s="50">
        <f>IF(D11="","-",+C54+1)</f>
        <v>2055</v>
      </c>
      <c r="D55" s="55">
        <f>IF(F54+SUM(E$17:E54)=D$10,F54,D$10-SUM(E$17:E54))</f>
        <v>1349560.4533343865</v>
      </c>
      <c r="E55" s="378">
        <f>IF(+I14&lt;F54,I14,D55)</f>
        <v>225682.71181818182</v>
      </c>
      <c r="F55" s="55">
        <f t="shared" si="19"/>
        <v>1123877.7415162046</v>
      </c>
      <c r="G55" s="379">
        <f t="shared" si="20"/>
        <v>373504.198195195</v>
      </c>
      <c r="H55" s="364">
        <f t="shared" si="21"/>
        <v>373504.198195195</v>
      </c>
      <c r="I55" s="52">
        <f t="shared" si="0"/>
        <v>0</v>
      </c>
      <c r="J55" s="52"/>
      <c r="K55" s="129"/>
      <c r="L55" s="54">
        <f t="shared" si="2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 ht="12.5">
      <c r="B56" s="7" t="str">
        <f t="shared" si="7"/>
        <v/>
      </c>
      <c r="C56" s="50">
        <f>IF(D11="","-",+C55+1)</f>
        <v>2056</v>
      </c>
      <c r="D56" s="55">
        <f>IF(F55+SUM(E$17:E55)=D$10,F55,D$10-SUM(E$17:E55))</f>
        <v>1123877.7415162046</v>
      </c>
      <c r="E56" s="378">
        <f>IF(+I14&lt;F55,I14,D56)</f>
        <v>225682.71181818182</v>
      </c>
      <c r="F56" s="55">
        <f t="shared" si="19"/>
        <v>898195.02969802276</v>
      </c>
      <c r="G56" s="379">
        <f t="shared" si="20"/>
        <v>346528.99098766345</v>
      </c>
      <c r="H56" s="364">
        <f t="shared" si="21"/>
        <v>346528.99098766345</v>
      </c>
      <c r="I56" s="52">
        <f t="shared" si="0"/>
        <v>0</v>
      </c>
      <c r="J56" s="52"/>
      <c r="K56" s="129"/>
      <c r="L56" s="54">
        <f t="shared" si="2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 ht="12.5">
      <c r="B57" s="7" t="str">
        <f t="shared" si="7"/>
        <v/>
      </c>
      <c r="C57" s="50">
        <f>IF(D11="","-",+C56+1)</f>
        <v>2057</v>
      </c>
      <c r="D57" s="55">
        <f>IF(F56+SUM(E$17:E56)=D$10,F56,D$10-SUM(E$17:E56))</f>
        <v>898195.02969802276</v>
      </c>
      <c r="E57" s="378">
        <f>IF(+I14&lt;F56,I14,D57)</f>
        <v>225682.71181818182</v>
      </c>
      <c r="F57" s="55">
        <f t="shared" si="19"/>
        <v>672512.31787984096</v>
      </c>
      <c r="G57" s="379">
        <f t="shared" si="20"/>
        <v>319553.7837801319</v>
      </c>
      <c r="H57" s="364">
        <f t="shared" si="21"/>
        <v>319553.7837801319</v>
      </c>
      <c r="I57" s="52">
        <f t="shared" si="0"/>
        <v>0</v>
      </c>
      <c r="J57" s="52"/>
      <c r="K57" s="129"/>
      <c r="L57" s="54">
        <f t="shared" si="2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 ht="12.5">
      <c r="B58" s="7" t="str">
        <f t="shared" si="7"/>
        <v/>
      </c>
      <c r="C58" s="50">
        <f>IF(D11="","-",+C57+1)</f>
        <v>2058</v>
      </c>
      <c r="D58" s="55">
        <f>IF(F57+SUM(E$17:E57)=D$10,F57,D$10-SUM(E$17:E57))</f>
        <v>672512.31787984096</v>
      </c>
      <c r="E58" s="378">
        <f>IF(+I14&lt;F57,I14,D58)</f>
        <v>225682.71181818182</v>
      </c>
      <c r="F58" s="55">
        <f t="shared" si="19"/>
        <v>446829.60606165917</v>
      </c>
      <c r="G58" s="379">
        <f t="shared" si="20"/>
        <v>292578.57657260034</v>
      </c>
      <c r="H58" s="364">
        <f t="shared" si="21"/>
        <v>292578.57657260034</v>
      </c>
      <c r="I58" s="52">
        <f t="shared" si="0"/>
        <v>0</v>
      </c>
      <c r="J58" s="52"/>
      <c r="K58" s="129"/>
      <c r="L58" s="54">
        <f t="shared" si="2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 ht="12.5">
      <c r="B59" s="7" t="str">
        <f t="shared" si="7"/>
        <v/>
      </c>
      <c r="C59" s="50">
        <f>IF(D11="","-",+C58+1)</f>
        <v>2059</v>
      </c>
      <c r="D59" s="55">
        <f>IF(F58+SUM(E$17:E58)=D$10,F58,D$10-SUM(E$17:E58))</f>
        <v>446829.60606165917</v>
      </c>
      <c r="E59" s="378">
        <f>IF(+I14&lt;F58,I14,D59)</f>
        <v>225682.71181818182</v>
      </c>
      <c r="F59" s="55">
        <f t="shared" si="19"/>
        <v>221146.89424347735</v>
      </c>
      <c r="G59" s="379">
        <f t="shared" si="20"/>
        <v>265603.36936506879</v>
      </c>
      <c r="H59" s="364">
        <f t="shared" si="21"/>
        <v>265603.36936506879</v>
      </c>
      <c r="I59" s="52">
        <f t="shared" si="0"/>
        <v>0</v>
      </c>
      <c r="J59" s="52"/>
      <c r="K59" s="129"/>
      <c r="L59" s="54">
        <f t="shared" si="2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 ht="12.5">
      <c r="B60" s="7" t="str">
        <f t="shared" si="7"/>
        <v>IU</v>
      </c>
      <c r="C60" s="50">
        <f>IF(D11="","-",+C59+1)</f>
        <v>2060</v>
      </c>
      <c r="D60" s="55">
        <f>IF(F59+SUM(E$17:E59)=D$10,F59,D$10-SUM(E$17:E59))</f>
        <v>221146.8942434825</v>
      </c>
      <c r="E60" s="378">
        <f>IF(+I14&lt;F59,I14,D60)</f>
        <v>221146.8942434825</v>
      </c>
      <c r="F60" s="55">
        <f t="shared" si="19"/>
        <v>0</v>
      </c>
      <c r="G60" s="379">
        <f t="shared" si="20"/>
        <v>234363.4212150434</v>
      </c>
      <c r="H60" s="364">
        <f t="shared" si="21"/>
        <v>234363.4212150434</v>
      </c>
      <c r="I60" s="52">
        <f t="shared" si="0"/>
        <v>0</v>
      </c>
      <c r="J60" s="52"/>
      <c r="K60" s="129"/>
      <c r="L60" s="54">
        <f t="shared" si="2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 ht="12.5">
      <c r="B61" s="7" t="str">
        <f t="shared" si="7"/>
        <v/>
      </c>
      <c r="C61" s="50">
        <f>IF(D11="","-",+C60+1)</f>
        <v>2061</v>
      </c>
      <c r="D61" s="55">
        <f>IF(F60+SUM(E$17:E60)=D$10,F60,D$10-SUM(E$17:E60))</f>
        <v>0</v>
      </c>
      <c r="E61" s="378">
        <f>IF(+I14&lt;F60,I14,D61)</f>
        <v>0</v>
      </c>
      <c r="F61" s="55">
        <f t="shared" si="19"/>
        <v>0</v>
      </c>
      <c r="G61" s="380">
        <f t="shared" si="20"/>
        <v>0</v>
      </c>
      <c r="H61" s="364">
        <f t="shared" si="21"/>
        <v>0</v>
      </c>
      <c r="I61" s="52">
        <f t="shared" si="0"/>
        <v>0</v>
      </c>
      <c r="J61" s="52"/>
      <c r="K61" s="129"/>
      <c r="L61" s="54">
        <f t="shared" si="2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 ht="12.5">
      <c r="B62" s="7" t="str">
        <f t="shared" si="7"/>
        <v/>
      </c>
      <c r="C62" s="50">
        <f>IF(D11="","-",+C61+1)</f>
        <v>2062</v>
      </c>
      <c r="D62" s="55">
        <f>IF(F61+SUM(E$17:E61)=D$10,F61,D$10-SUM(E$17:E61))</f>
        <v>0</v>
      </c>
      <c r="E62" s="378">
        <f>IF(+I14&lt;F61,I14,D62)</f>
        <v>0</v>
      </c>
      <c r="F62" s="55">
        <f t="shared" si="19"/>
        <v>0</v>
      </c>
      <c r="G62" s="380">
        <f t="shared" si="20"/>
        <v>0</v>
      </c>
      <c r="H62" s="364">
        <f t="shared" si="21"/>
        <v>0</v>
      </c>
      <c r="I62" s="52">
        <f t="shared" si="0"/>
        <v>0</v>
      </c>
      <c r="J62" s="52"/>
      <c r="K62" s="129"/>
      <c r="L62" s="54">
        <f t="shared" si="2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 ht="12.5">
      <c r="B63" s="7" t="str">
        <f t="shared" si="7"/>
        <v/>
      </c>
      <c r="C63" s="50">
        <f>IF(D11="","-",+C62+1)</f>
        <v>2063</v>
      </c>
      <c r="D63" s="55">
        <f>IF(F62+SUM(E$17:E62)=D$10,F62,D$10-SUM(E$17:E62))</f>
        <v>0</v>
      </c>
      <c r="E63" s="378">
        <f>IF(+I14&lt;F62,I14,D63)</f>
        <v>0</v>
      </c>
      <c r="F63" s="55">
        <f t="shared" si="19"/>
        <v>0</v>
      </c>
      <c r="G63" s="380">
        <f t="shared" si="20"/>
        <v>0</v>
      </c>
      <c r="H63" s="364">
        <f t="shared" si="21"/>
        <v>0</v>
      </c>
      <c r="I63" s="52">
        <f t="shared" si="0"/>
        <v>0</v>
      </c>
      <c r="J63" s="52"/>
      <c r="K63" s="129"/>
      <c r="L63" s="54">
        <f t="shared" si="2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 ht="12.5">
      <c r="B64" s="7" t="str">
        <f t="shared" si="7"/>
        <v/>
      </c>
      <c r="C64" s="50">
        <f>IF(D11="","-",+C63+1)</f>
        <v>2064</v>
      </c>
      <c r="D64" s="55">
        <f>IF(F63+SUM(E$17:E63)=D$10,F63,D$10-SUM(E$17:E63))</f>
        <v>0</v>
      </c>
      <c r="E64" s="378">
        <f>IF(+I14&lt;F63,I14,D64)</f>
        <v>0</v>
      </c>
      <c r="F64" s="55">
        <f t="shared" si="19"/>
        <v>0</v>
      </c>
      <c r="G64" s="380">
        <f t="shared" si="20"/>
        <v>0</v>
      </c>
      <c r="H64" s="364">
        <f t="shared" si="21"/>
        <v>0</v>
      </c>
      <c r="I64" s="52">
        <f t="shared" si="0"/>
        <v>0</v>
      </c>
      <c r="J64" s="52"/>
      <c r="K64" s="129"/>
      <c r="L64" s="54">
        <f t="shared" si="2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 ht="12.5">
      <c r="B65" s="7" t="str">
        <f t="shared" si="7"/>
        <v/>
      </c>
      <c r="C65" s="50">
        <f>IF(D11="","-",+C64+1)</f>
        <v>2065</v>
      </c>
      <c r="D65" s="55">
        <f>IF(F64+SUM(E$17:E64)=D$10,F64,D$10-SUM(E$17:E64))</f>
        <v>0</v>
      </c>
      <c r="E65" s="378">
        <f>IF(+I14&lt;F64,I14,D65)</f>
        <v>0</v>
      </c>
      <c r="F65" s="55">
        <f t="shared" si="19"/>
        <v>0</v>
      </c>
      <c r="G65" s="380">
        <f t="shared" si="20"/>
        <v>0</v>
      </c>
      <c r="H65" s="364">
        <f t="shared" si="21"/>
        <v>0</v>
      </c>
      <c r="I65" s="52">
        <f t="shared" si="0"/>
        <v>0</v>
      </c>
      <c r="J65" s="52"/>
      <c r="K65" s="129"/>
      <c r="L65" s="54">
        <f t="shared" si="2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 ht="12.5">
      <c r="B66" s="7" t="str">
        <f t="shared" si="7"/>
        <v/>
      </c>
      <c r="C66" s="50">
        <f>IF(D11="","-",+C65+1)</f>
        <v>2066</v>
      </c>
      <c r="D66" s="55">
        <f>IF(F65+SUM(E$17:E65)=D$10,F65,D$10-SUM(E$17:E65))</f>
        <v>0</v>
      </c>
      <c r="E66" s="378">
        <f>IF(+I14&lt;F65,I14,D66)</f>
        <v>0</v>
      </c>
      <c r="F66" s="55">
        <f t="shared" si="19"/>
        <v>0</v>
      </c>
      <c r="G66" s="380">
        <f t="shared" si="20"/>
        <v>0</v>
      </c>
      <c r="H66" s="364">
        <f t="shared" si="21"/>
        <v>0</v>
      </c>
      <c r="I66" s="52">
        <f t="shared" si="0"/>
        <v>0</v>
      </c>
      <c r="J66" s="52"/>
      <c r="K66" s="129"/>
      <c r="L66" s="54">
        <f t="shared" si="2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 ht="12.5">
      <c r="B67" s="7" t="str">
        <f t="shared" si="7"/>
        <v/>
      </c>
      <c r="C67" s="50">
        <f>IF(D11="","-",+C66+1)</f>
        <v>2067</v>
      </c>
      <c r="D67" s="55">
        <f>IF(F66+SUM(E$17:E66)=D$10,F66,D$10-SUM(E$17:E66))</f>
        <v>0</v>
      </c>
      <c r="E67" s="378">
        <f>IF(+I14&lt;F66,I14,D67)</f>
        <v>0</v>
      </c>
      <c r="F67" s="55">
        <f t="shared" si="19"/>
        <v>0</v>
      </c>
      <c r="G67" s="380">
        <f t="shared" si="20"/>
        <v>0</v>
      </c>
      <c r="H67" s="364">
        <f t="shared" si="21"/>
        <v>0</v>
      </c>
      <c r="I67" s="52">
        <f t="shared" si="0"/>
        <v>0</v>
      </c>
      <c r="J67" s="52"/>
      <c r="K67" s="129"/>
      <c r="L67" s="54">
        <f t="shared" si="2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 ht="12.5">
      <c r="B68" s="7" t="str">
        <f t="shared" si="7"/>
        <v/>
      </c>
      <c r="C68" s="50">
        <f>IF(D11="","-",+C67+1)</f>
        <v>2068</v>
      </c>
      <c r="D68" s="55">
        <f>IF(F67+SUM(E$17:E67)=D$10,F67,D$10-SUM(E$17:E67))</f>
        <v>0</v>
      </c>
      <c r="E68" s="378">
        <f>IF(+I14&lt;F67,I14,D68)</f>
        <v>0</v>
      </c>
      <c r="F68" s="55">
        <f t="shared" si="19"/>
        <v>0</v>
      </c>
      <c r="G68" s="380">
        <f t="shared" si="20"/>
        <v>0</v>
      </c>
      <c r="H68" s="364">
        <f t="shared" si="21"/>
        <v>0</v>
      </c>
      <c r="I68" s="52">
        <f t="shared" si="0"/>
        <v>0</v>
      </c>
      <c r="J68" s="52"/>
      <c r="K68" s="129"/>
      <c r="L68" s="54">
        <f t="shared" si="2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 ht="12.5">
      <c r="B69" s="7" t="str">
        <f t="shared" si="7"/>
        <v/>
      </c>
      <c r="C69" s="50">
        <f>IF(D11="","-",+C68+1)</f>
        <v>2069</v>
      </c>
      <c r="D69" s="55">
        <f>IF(F68+SUM(E$17:E68)=D$10,F68,D$10-SUM(E$17:E68))</f>
        <v>0</v>
      </c>
      <c r="E69" s="378">
        <f>IF(+I14&lt;F68,I14,D69)</f>
        <v>0</v>
      </c>
      <c r="F69" s="55">
        <f t="shared" si="19"/>
        <v>0</v>
      </c>
      <c r="G69" s="380">
        <f t="shared" si="20"/>
        <v>0</v>
      </c>
      <c r="H69" s="364">
        <f t="shared" si="21"/>
        <v>0</v>
      </c>
      <c r="I69" s="52">
        <f t="shared" si="0"/>
        <v>0</v>
      </c>
      <c r="J69" s="52"/>
      <c r="K69" s="129"/>
      <c r="L69" s="54">
        <f t="shared" si="2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 ht="12.5">
      <c r="B70" s="7" t="str">
        <f t="shared" si="7"/>
        <v/>
      </c>
      <c r="C70" s="50">
        <f>IF(D11="","-",+C69+1)</f>
        <v>2070</v>
      </c>
      <c r="D70" s="55">
        <f>IF(F69+SUM(E$17:E69)=D$10,F69,D$10-SUM(E$17:E69))</f>
        <v>0</v>
      </c>
      <c r="E70" s="378">
        <f>IF(+I14&lt;F69,I14,D70)</f>
        <v>0</v>
      </c>
      <c r="F70" s="55">
        <f t="shared" si="19"/>
        <v>0</v>
      </c>
      <c r="G70" s="380">
        <f t="shared" si="20"/>
        <v>0</v>
      </c>
      <c r="H70" s="364">
        <f t="shared" si="21"/>
        <v>0</v>
      </c>
      <c r="I70" s="52">
        <f t="shared" si="0"/>
        <v>0</v>
      </c>
      <c r="J70" s="52"/>
      <c r="K70" s="129"/>
      <c r="L70" s="54">
        <f t="shared" si="2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 ht="12.5">
      <c r="B71" s="7" t="str">
        <f t="shared" si="7"/>
        <v/>
      </c>
      <c r="C71" s="50">
        <f>IF(D11="","-",+C70+1)</f>
        <v>2071</v>
      </c>
      <c r="D71" s="55">
        <f>IF(F70+SUM(E$17:E70)=D$10,F70,D$10-SUM(E$17:E70))</f>
        <v>0</v>
      </c>
      <c r="E71" s="378">
        <f>IF(+I14&lt;F70,I14,D71)</f>
        <v>0</v>
      </c>
      <c r="F71" s="55">
        <f t="shared" si="19"/>
        <v>0</v>
      </c>
      <c r="G71" s="380">
        <f t="shared" si="20"/>
        <v>0</v>
      </c>
      <c r="H71" s="364">
        <f t="shared" si="21"/>
        <v>0</v>
      </c>
      <c r="I71" s="52">
        <f t="shared" si="0"/>
        <v>0</v>
      </c>
      <c r="J71" s="52"/>
      <c r="K71" s="129"/>
      <c r="L71" s="54">
        <f t="shared" si="2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" thickBot="1">
      <c r="B72" s="7" t="str">
        <f t="shared" si="7"/>
        <v/>
      </c>
      <c r="C72" s="59">
        <f>IF(D11="","-",+C71+1)</f>
        <v>2072</v>
      </c>
      <c r="D72" s="60">
        <f>IF(F71+SUM(E$17:E71)=D$10,F71,D$10-SUM(E$17:E71))</f>
        <v>0</v>
      </c>
      <c r="E72" s="381">
        <f>IF(+I14&lt;F71,I14,D72)</f>
        <v>0</v>
      </c>
      <c r="F72" s="60">
        <f t="shared" si="19"/>
        <v>0</v>
      </c>
      <c r="G72" s="382">
        <f t="shared" si="20"/>
        <v>0</v>
      </c>
      <c r="H72" s="362">
        <f t="shared" si="21"/>
        <v>0</v>
      </c>
      <c r="I72" s="63">
        <f t="shared" si="0"/>
        <v>0</v>
      </c>
      <c r="J72" s="52"/>
      <c r="K72" s="130"/>
      <c r="L72" s="64">
        <f t="shared" si="2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 ht="12.5">
      <c r="C73" s="12" t="s">
        <v>78</v>
      </c>
      <c r="D73" s="293"/>
      <c r="E73" s="293">
        <f>SUM(E17:E72)</f>
        <v>9930039.3200000003</v>
      </c>
      <c r="F73" s="293"/>
      <c r="G73" s="293">
        <f>SUM(G17:G72)</f>
        <v>34999060.932729661</v>
      </c>
      <c r="H73" s="293">
        <f>SUM(H17:H72)</f>
        <v>34999060.932729661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 ht="13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69 of 77</v>
      </c>
    </row>
    <row r="84" spans="1:16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1209735.6216286737</v>
      </c>
      <c r="N87" s="387">
        <f>IF(J92&lt;D11,0,VLOOKUP(J92,C17:O72,11))</f>
        <v>1209735.6216286737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1251440.5148463531</v>
      </c>
      <c r="N88" s="390">
        <f>IF(J92&lt;D11,0,VLOOKUP(J92,C99:P154,7))</f>
        <v>1251440.5148463531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Hallsville - Longview Heights 69 KV Line Rebuild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41704.893217679346</v>
      </c>
      <c r="N89" s="392">
        <f>+N88-N87</f>
        <v>41704.893217679346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TP2013167</v>
      </c>
      <c r="E91" s="76" t="str">
        <f>E9</f>
        <v xml:space="preserve">  SPP Project ID = 30575</v>
      </c>
      <c r="F91" s="76"/>
      <c r="G91" s="76"/>
      <c r="H91" s="76"/>
      <c r="I91" s="76"/>
      <c r="J91" s="76"/>
    </row>
    <row r="92" spans="1:16" ht="13">
      <c r="C92" s="34" t="s">
        <v>51</v>
      </c>
      <c r="D92" s="394">
        <f>D10</f>
        <v>9930039.3200000003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</row>
    <row r="93" spans="1:16" ht="12.5">
      <c r="C93" s="34" t="s">
        <v>54</v>
      </c>
      <c r="D93" s="88">
        <f>D11</f>
        <v>2017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4">
        <f>D12</f>
        <v>4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225682.71181818182</v>
      </c>
      <c r="K96" s="293"/>
      <c r="L96" s="293"/>
      <c r="M96" s="293"/>
      <c r="N96" s="293"/>
      <c r="O96" s="293"/>
      <c r="P96" s="1"/>
    </row>
    <row r="97" spans="1:16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5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 ht="12.5">
      <c r="C99" s="50">
        <f>IF(D93= "","-",D93)</f>
        <v>2017</v>
      </c>
      <c r="D99" s="429">
        <v>0</v>
      </c>
      <c r="E99" s="430">
        <v>177322.125</v>
      </c>
      <c r="F99" s="431">
        <v>9752716.875</v>
      </c>
      <c r="G99" s="431">
        <v>4876358.4375</v>
      </c>
      <c r="H99" s="433">
        <v>692287.9381010225</v>
      </c>
      <c r="I99" s="434">
        <v>692287.9381010225</v>
      </c>
      <c r="J99" s="54">
        <f t="shared" ref="J99:J130" si="22">+I99-H99</f>
        <v>0</v>
      </c>
      <c r="K99" s="54"/>
      <c r="L99" s="112">
        <f t="shared" ref="L99:L104" si="23">+H99</f>
        <v>692287.9381010225</v>
      </c>
      <c r="M99" s="53">
        <f t="shared" ref="M99:M100" si="24">IF(L99&lt;&gt;0,+H99-L99,0)</f>
        <v>0</v>
      </c>
      <c r="N99" s="112">
        <f t="shared" ref="N99:N104" si="25">+I99</f>
        <v>692287.9381010225</v>
      </c>
      <c r="O99" s="53">
        <f t="shared" ref="O99:O130" si="26">IF(N99&lt;&gt;0,+I99-N99,0)</f>
        <v>0</v>
      </c>
      <c r="P99" s="53">
        <f t="shared" ref="P99:P130" si="27">+O99-M99</f>
        <v>0</v>
      </c>
    </row>
    <row r="100" spans="1:16" ht="12.5">
      <c r="B100" s="7" t="str">
        <f>IF(D100=F99,"","IU")</f>
        <v/>
      </c>
      <c r="C100" s="50">
        <f>IF(D93="","-",+C99+1)</f>
        <v>2018</v>
      </c>
      <c r="D100" s="429">
        <v>9752716.875</v>
      </c>
      <c r="E100" s="430">
        <v>230931.13953488372</v>
      </c>
      <c r="F100" s="431">
        <v>9521785.7354651168</v>
      </c>
      <c r="G100" s="431">
        <v>9637251.3052325584</v>
      </c>
      <c r="H100" s="433">
        <v>1262507.7864101741</v>
      </c>
      <c r="I100" s="434">
        <v>1262507.7864101741</v>
      </c>
      <c r="J100" s="54">
        <f t="shared" si="22"/>
        <v>0</v>
      </c>
      <c r="K100" s="54"/>
      <c r="L100" s="450">
        <f t="shared" si="23"/>
        <v>1262507.7864101741</v>
      </c>
      <c r="M100" s="54">
        <f t="shared" si="24"/>
        <v>0</v>
      </c>
      <c r="N100" s="450">
        <f t="shared" si="25"/>
        <v>1262507.7864101741</v>
      </c>
      <c r="O100" s="54">
        <f t="shared" si="26"/>
        <v>0</v>
      </c>
      <c r="P100" s="54">
        <f t="shared" si="27"/>
        <v>0</v>
      </c>
    </row>
    <row r="101" spans="1:16" ht="12.5">
      <c r="B101" s="7" t="str">
        <f t="shared" ref="B101:B154" si="28">IF(D101=F100,"","IU")</f>
        <v/>
      </c>
      <c r="C101" s="50">
        <f>IF(D93="","-",+C100+1)</f>
        <v>2019</v>
      </c>
      <c r="D101" s="429">
        <v>9521785.7354651168</v>
      </c>
      <c r="E101" s="430">
        <v>230931.13953488372</v>
      </c>
      <c r="F101" s="431">
        <v>9290854.5959302336</v>
      </c>
      <c r="G101" s="431">
        <v>9406320.1656976752</v>
      </c>
      <c r="H101" s="433">
        <v>1237788.7910207789</v>
      </c>
      <c r="I101" s="434">
        <v>1237788.7910207789</v>
      </c>
      <c r="J101" s="54">
        <f t="shared" si="22"/>
        <v>0</v>
      </c>
      <c r="K101" s="54"/>
      <c r="L101" s="450">
        <f t="shared" si="23"/>
        <v>1237788.7910207789</v>
      </c>
      <c r="M101" s="54">
        <f t="shared" ref="M101" si="29">IF(L101&lt;&gt;0,+H101-L101,0)</f>
        <v>0</v>
      </c>
      <c r="N101" s="450">
        <f t="shared" si="25"/>
        <v>1237788.7910207789</v>
      </c>
      <c r="O101" s="54">
        <f t="shared" si="26"/>
        <v>0</v>
      </c>
      <c r="P101" s="54">
        <f t="shared" si="27"/>
        <v>0</v>
      </c>
    </row>
    <row r="102" spans="1:16" ht="12.5">
      <c r="B102" s="7" t="str">
        <f t="shared" si="28"/>
        <v/>
      </c>
      <c r="C102" s="50">
        <f>IF(D93="","-",+C101+1)</f>
        <v>2020</v>
      </c>
      <c r="D102" s="429">
        <v>9290854.5959302336</v>
      </c>
      <c r="E102" s="430">
        <v>236429.5</v>
      </c>
      <c r="F102" s="431">
        <v>9054425.0959302336</v>
      </c>
      <c r="G102" s="431">
        <v>9172639.8459302336</v>
      </c>
      <c r="H102" s="433">
        <v>1223165.5223756898</v>
      </c>
      <c r="I102" s="434">
        <v>1223165.5223756898</v>
      </c>
      <c r="J102" s="54">
        <f t="shared" si="22"/>
        <v>0</v>
      </c>
      <c r="K102" s="54"/>
      <c r="L102" s="450">
        <f t="shared" si="23"/>
        <v>1223165.5223756898</v>
      </c>
      <c r="M102" s="54">
        <f t="shared" ref="M102" si="30">IF(L102&lt;&gt;0,+H102-L102,0)</f>
        <v>0</v>
      </c>
      <c r="N102" s="450">
        <f t="shared" si="25"/>
        <v>1223165.5223756898</v>
      </c>
      <c r="O102" s="54">
        <f t="shared" si="26"/>
        <v>0</v>
      </c>
      <c r="P102" s="54">
        <f t="shared" si="27"/>
        <v>0</v>
      </c>
    </row>
    <row r="103" spans="1:16" ht="12.5">
      <c r="B103" s="7" t="str">
        <f t="shared" si="28"/>
        <v/>
      </c>
      <c r="C103" s="50">
        <f>IF(D93="","-",+C102+1)</f>
        <v>2021</v>
      </c>
      <c r="D103" s="429">
        <v>9054425.0959302336</v>
      </c>
      <c r="E103" s="430">
        <v>242196.07317073172</v>
      </c>
      <c r="F103" s="431">
        <v>8812229.0227595028</v>
      </c>
      <c r="G103" s="431">
        <v>8933327.0593448691</v>
      </c>
      <c r="H103" s="433">
        <v>1256255.7832385232</v>
      </c>
      <c r="I103" s="434">
        <v>1256255.7832385232</v>
      </c>
      <c r="J103" s="54">
        <f t="shared" si="22"/>
        <v>0</v>
      </c>
      <c r="K103" s="54"/>
      <c r="L103" s="450">
        <f t="shared" si="23"/>
        <v>1256255.7832385232</v>
      </c>
      <c r="M103" s="54">
        <f t="shared" ref="M103" si="31">IF(L103&lt;&gt;0,+H103-L103,0)</f>
        <v>0</v>
      </c>
      <c r="N103" s="450">
        <f t="shared" si="25"/>
        <v>1256255.7832385232</v>
      </c>
      <c r="O103" s="54">
        <f t="shared" si="26"/>
        <v>0</v>
      </c>
      <c r="P103" s="54">
        <f t="shared" si="27"/>
        <v>0</v>
      </c>
    </row>
    <row r="104" spans="1:16" ht="12.5">
      <c r="B104" s="7" t="str">
        <f t="shared" si="28"/>
        <v/>
      </c>
      <c r="C104" s="50">
        <f>IF(D93="","-",+C103+1)</f>
        <v>2022</v>
      </c>
      <c r="D104" s="429">
        <v>8812229.0227595028</v>
      </c>
      <c r="E104" s="430">
        <v>236429.5</v>
      </c>
      <c r="F104" s="431">
        <v>8575799.5227595028</v>
      </c>
      <c r="G104" s="431">
        <v>8694014.2727595028</v>
      </c>
      <c r="H104" s="433">
        <v>1257609.663858267</v>
      </c>
      <c r="I104" s="434">
        <v>1257609.663858267</v>
      </c>
      <c r="J104" s="54">
        <f t="shared" si="22"/>
        <v>0</v>
      </c>
      <c r="K104" s="54"/>
      <c r="L104" s="450">
        <f t="shared" si="23"/>
        <v>1257609.663858267</v>
      </c>
      <c r="M104" s="54">
        <f t="shared" ref="M104" si="32">IF(L104&lt;&gt;0,+H104-L104,0)</f>
        <v>0</v>
      </c>
      <c r="N104" s="450">
        <f t="shared" si="25"/>
        <v>1257609.663858267</v>
      </c>
      <c r="O104" s="54">
        <f t="shared" ref="O104" si="33">IF(N104&lt;&gt;0,+I104-N104,0)</f>
        <v>0</v>
      </c>
      <c r="P104" s="54">
        <f t="shared" ref="P104" si="34">+O104-M104</f>
        <v>0</v>
      </c>
    </row>
    <row r="105" spans="1:16" ht="12.5">
      <c r="B105" s="7" t="str">
        <f t="shared" si="28"/>
        <v>IU</v>
      </c>
      <c r="C105" s="50">
        <f>IF(D93="","-",+C104+1)</f>
        <v>2023</v>
      </c>
      <c r="D105" s="429">
        <v>8575799.8427595012</v>
      </c>
      <c r="E105" s="430">
        <v>225682.71181818182</v>
      </c>
      <c r="F105" s="431">
        <v>8350117.1309413193</v>
      </c>
      <c r="G105" s="431">
        <v>8462958.4868504107</v>
      </c>
      <c r="H105" s="433">
        <v>1269716.0612944223</v>
      </c>
      <c r="I105" s="434">
        <v>1269716.0612944223</v>
      </c>
      <c r="J105" s="54">
        <f t="shared" si="22"/>
        <v>0</v>
      </c>
      <c r="K105" s="54"/>
      <c r="L105" s="450">
        <f t="shared" ref="L105" si="35">+H105</f>
        <v>1269716.0612944223</v>
      </c>
      <c r="M105" s="54">
        <f t="shared" ref="M105" si="36">IF(L105&lt;&gt;0,+H105-L105,0)</f>
        <v>0</v>
      </c>
      <c r="N105" s="450">
        <f t="shared" ref="N105" si="37">+I105</f>
        <v>1269716.0612944223</v>
      </c>
      <c r="O105" s="54">
        <f t="shared" ref="O105" si="38">IF(N105&lt;&gt;0,+I105-N105,0)</f>
        <v>0</v>
      </c>
      <c r="P105" s="54">
        <f t="shared" ref="P105" si="39">+O105-M105</f>
        <v>0</v>
      </c>
    </row>
    <row r="106" spans="1:16" ht="12.5">
      <c r="B106" s="7" t="str">
        <f t="shared" si="28"/>
        <v/>
      </c>
      <c r="C106" s="50">
        <f>IF(D93="","-",+C105+1)</f>
        <v>2024</v>
      </c>
      <c r="D106" s="12">
        <f>IF(F105+SUM(E$99:E105)=D$92,F105,D$92-SUM(E$99:E105))</f>
        <v>8350117.1309413193</v>
      </c>
      <c r="E106" s="378">
        <f>IF(+J96&lt;F105,J96,D106)</f>
        <v>225682.71181818182</v>
      </c>
      <c r="F106" s="55">
        <f t="shared" ref="F106:F154" si="40">+D106-E106</f>
        <v>8124434.4191231374</v>
      </c>
      <c r="G106" s="55">
        <f t="shared" ref="G106:G154" si="41">+(F106+D106)/2</f>
        <v>8237275.7750322279</v>
      </c>
      <c r="H106" s="380">
        <f t="shared" ref="H106:H154" si="42">+J$94*G106+E106</f>
        <v>1251440.5148463531</v>
      </c>
      <c r="I106" s="399">
        <f t="shared" ref="I106:I154" si="43">+J$95*G106+E106</f>
        <v>1251440.5148463531</v>
      </c>
      <c r="J106" s="54">
        <f t="shared" si="22"/>
        <v>0</v>
      </c>
      <c r="K106" s="54"/>
      <c r="L106" s="129"/>
      <c r="M106" s="54">
        <f t="shared" ref="M106:M130" si="44">IF(L106&lt;&gt;0,+H106-L106,0)</f>
        <v>0</v>
      </c>
      <c r="N106" s="129"/>
      <c r="O106" s="54">
        <f t="shared" si="26"/>
        <v>0</v>
      </c>
      <c r="P106" s="54">
        <f t="shared" si="27"/>
        <v>0</v>
      </c>
    </row>
    <row r="107" spans="1:16" ht="12.5">
      <c r="B107" s="7" t="str">
        <f t="shared" si="28"/>
        <v/>
      </c>
      <c r="C107" s="50">
        <f>IF(D93="","-",+C106+1)</f>
        <v>2025</v>
      </c>
      <c r="D107" s="12">
        <f>IF(F106+SUM(E$99:E106)=D$92,F106,D$92-SUM(E$99:E106))</f>
        <v>8124434.4191231374</v>
      </c>
      <c r="E107" s="378">
        <f>IF(+J96&lt;F106,J96,D107)</f>
        <v>225682.71181818182</v>
      </c>
      <c r="F107" s="55">
        <f t="shared" si="40"/>
        <v>7898751.7073049555</v>
      </c>
      <c r="G107" s="55">
        <f t="shared" si="41"/>
        <v>8011593.0632140469</v>
      </c>
      <c r="H107" s="380">
        <f t="shared" si="42"/>
        <v>1223337.0727644772</v>
      </c>
      <c r="I107" s="399">
        <f t="shared" si="43"/>
        <v>1223337.0727644772</v>
      </c>
      <c r="J107" s="54">
        <f t="shared" si="22"/>
        <v>0</v>
      </c>
      <c r="K107" s="54"/>
      <c r="L107" s="129"/>
      <c r="M107" s="54">
        <f t="shared" si="44"/>
        <v>0</v>
      </c>
      <c r="N107" s="129"/>
      <c r="O107" s="54">
        <f t="shared" si="26"/>
        <v>0</v>
      </c>
      <c r="P107" s="54">
        <f t="shared" si="27"/>
        <v>0</v>
      </c>
    </row>
    <row r="108" spans="1:16" ht="12.5">
      <c r="B108" s="7" t="str">
        <f t="shared" si="28"/>
        <v/>
      </c>
      <c r="C108" s="50">
        <f>IF(D93="","-",+C107+1)</f>
        <v>2026</v>
      </c>
      <c r="D108" s="12">
        <f>IF(F107+SUM(E$99:E107)=D$92,F107,D$92-SUM(E$99:E107))</f>
        <v>7898751.7073049555</v>
      </c>
      <c r="E108" s="378">
        <f>IF(+J96&lt;F107,J96,D108)</f>
        <v>225682.71181818182</v>
      </c>
      <c r="F108" s="55">
        <f t="shared" si="40"/>
        <v>7673068.9954867736</v>
      </c>
      <c r="G108" s="55">
        <f t="shared" si="41"/>
        <v>7785910.351395864</v>
      </c>
      <c r="H108" s="380">
        <f t="shared" si="42"/>
        <v>1195233.6306826011</v>
      </c>
      <c r="I108" s="399">
        <f t="shared" si="43"/>
        <v>1195233.6306826011</v>
      </c>
      <c r="J108" s="54">
        <f t="shared" si="22"/>
        <v>0</v>
      </c>
      <c r="K108" s="54"/>
      <c r="L108" s="129"/>
      <c r="M108" s="54">
        <f t="shared" si="44"/>
        <v>0</v>
      </c>
      <c r="N108" s="129"/>
      <c r="O108" s="54">
        <f t="shared" si="26"/>
        <v>0</v>
      </c>
      <c r="P108" s="54">
        <f t="shared" si="27"/>
        <v>0</v>
      </c>
    </row>
    <row r="109" spans="1:16" ht="12.5">
      <c r="B109" s="7" t="str">
        <f t="shared" si="28"/>
        <v/>
      </c>
      <c r="C109" s="50">
        <f>IF(D93="","-",+C108+1)</f>
        <v>2027</v>
      </c>
      <c r="D109" s="12">
        <f>IF(F108+SUM(E$99:E108)=D$92,F108,D$92-SUM(E$99:E108))</f>
        <v>7673068.9954867736</v>
      </c>
      <c r="E109" s="378">
        <f>IF(+J96&lt;F108,J96,D109)</f>
        <v>225682.71181818182</v>
      </c>
      <c r="F109" s="55">
        <f t="shared" si="40"/>
        <v>7447386.2836685916</v>
      </c>
      <c r="G109" s="55">
        <f t="shared" si="41"/>
        <v>7560227.6395776831</v>
      </c>
      <c r="H109" s="380">
        <f t="shared" si="42"/>
        <v>1167130.1886007253</v>
      </c>
      <c r="I109" s="399">
        <f t="shared" si="43"/>
        <v>1167130.1886007253</v>
      </c>
      <c r="J109" s="54">
        <f t="shared" si="22"/>
        <v>0</v>
      </c>
      <c r="K109" s="54"/>
      <c r="L109" s="129"/>
      <c r="M109" s="54">
        <f t="shared" si="44"/>
        <v>0</v>
      </c>
      <c r="N109" s="129"/>
      <c r="O109" s="54">
        <f t="shared" si="26"/>
        <v>0</v>
      </c>
      <c r="P109" s="54">
        <f t="shared" si="27"/>
        <v>0</v>
      </c>
    </row>
    <row r="110" spans="1:16" ht="12.5">
      <c r="B110" s="7" t="str">
        <f t="shared" si="28"/>
        <v/>
      </c>
      <c r="C110" s="50">
        <f>IF(D93="","-",+C109+1)</f>
        <v>2028</v>
      </c>
      <c r="D110" s="12">
        <f>IF(F109+SUM(E$99:E109)=D$92,F109,D$92-SUM(E$99:E109))</f>
        <v>7447386.2836685916</v>
      </c>
      <c r="E110" s="378">
        <f>IF(+J96&lt;F109,J96,D110)</f>
        <v>225682.71181818182</v>
      </c>
      <c r="F110" s="55">
        <f t="shared" si="40"/>
        <v>7221703.5718504097</v>
      </c>
      <c r="G110" s="55">
        <f t="shared" si="41"/>
        <v>7334544.9277595002</v>
      </c>
      <c r="H110" s="380">
        <f t="shared" si="42"/>
        <v>1139026.7465188492</v>
      </c>
      <c r="I110" s="399">
        <f t="shared" si="43"/>
        <v>1139026.7465188492</v>
      </c>
      <c r="J110" s="54">
        <f t="shared" si="22"/>
        <v>0</v>
      </c>
      <c r="K110" s="54"/>
      <c r="L110" s="129"/>
      <c r="M110" s="54">
        <f t="shared" si="44"/>
        <v>0</v>
      </c>
      <c r="N110" s="129"/>
      <c r="O110" s="54">
        <f t="shared" si="26"/>
        <v>0</v>
      </c>
      <c r="P110" s="54">
        <f t="shared" si="27"/>
        <v>0</v>
      </c>
    </row>
    <row r="111" spans="1:16" ht="12.5">
      <c r="B111" s="7" t="str">
        <f t="shared" si="28"/>
        <v/>
      </c>
      <c r="C111" s="50">
        <f>IF(D93="","-",+C110+1)</f>
        <v>2029</v>
      </c>
      <c r="D111" s="12">
        <f>IF(F110+SUM(E$99:E110)=D$92,F110,D$92-SUM(E$99:E110))</f>
        <v>7221703.5718504097</v>
      </c>
      <c r="E111" s="378">
        <f>IF(+J96&lt;F110,J96,D111)</f>
        <v>225682.71181818182</v>
      </c>
      <c r="F111" s="55">
        <f t="shared" si="40"/>
        <v>6996020.8600322278</v>
      </c>
      <c r="G111" s="55">
        <f t="shared" si="41"/>
        <v>7108862.2159413192</v>
      </c>
      <c r="H111" s="380">
        <f t="shared" si="42"/>
        <v>1110923.3044369733</v>
      </c>
      <c r="I111" s="399">
        <f t="shared" si="43"/>
        <v>1110923.3044369733</v>
      </c>
      <c r="J111" s="54">
        <f t="shared" si="22"/>
        <v>0</v>
      </c>
      <c r="K111" s="54"/>
      <c r="L111" s="129"/>
      <c r="M111" s="54">
        <f t="shared" si="44"/>
        <v>0</v>
      </c>
      <c r="N111" s="129"/>
      <c r="O111" s="54">
        <f t="shared" si="26"/>
        <v>0</v>
      </c>
      <c r="P111" s="54">
        <f t="shared" si="27"/>
        <v>0</v>
      </c>
    </row>
    <row r="112" spans="1:16" ht="12.5">
      <c r="B112" s="7" t="str">
        <f t="shared" si="28"/>
        <v/>
      </c>
      <c r="C112" s="50">
        <f>IF(D93="","-",+C111+1)</f>
        <v>2030</v>
      </c>
      <c r="D112" s="12">
        <f>IF(F111+SUM(E$99:E111)=D$92,F111,D$92-SUM(E$99:E111))</f>
        <v>6996020.8600322278</v>
      </c>
      <c r="E112" s="378">
        <f>IF(+J96&lt;F111,J96,D112)</f>
        <v>225682.71181818182</v>
      </c>
      <c r="F112" s="55">
        <f t="shared" si="40"/>
        <v>6770338.1482140459</v>
      </c>
      <c r="G112" s="55">
        <f t="shared" si="41"/>
        <v>6883179.5041231364</v>
      </c>
      <c r="H112" s="380">
        <f t="shared" si="42"/>
        <v>1082819.8623550972</v>
      </c>
      <c r="I112" s="399">
        <f t="shared" si="43"/>
        <v>1082819.8623550972</v>
      </c>
      <c r="J112" s="54">
        <f t="shared" si="22"/>
        <v>0</v>
      </c>
      <c r="K112" s="54"/>
      <c r="L112" s="129"/>
      <c r="M112" s="54">
        <f t="shared" si="44"/>
        <v>0</v>
      </c>
      <c r="N112" s="129"/>
      <c r="O112" s="54">
        <f t="shared" si="26"/>
        <v>0</v>
      </c>
      <c r="P112" s="54">
        <f t="shared" si="27"/>
        <v>0</v>
      </c>
    </row>
    <row r="113" spans="2:16" ht="12.5">
      <c r="B113" s="7" t="str">
        <f t="shared" si="28"/>
        <v/>
      </c>
      <c r="C113" s="50">
        <f>IF(D93="","-",+C112+1)</f>
        <v>2031</v>
      </c>
      <c r="D113" s="12">
        <f>IF(F112+SUM(E$99:E112)=D$92,F112,D$92-SUM(E$99:E112))</f>
        <v>6770338.1482140459</v>
      </c>
      <c r="E113" s="378">
        <f>IF(+J96&lt;F112,J96,D113)</f>
        <v>225682.71181818182</v>
      </c>
      <c r="F113" s="55">
        <f t="shared" si="40"/>
        <v>6544655.436395864</v>
      </c>
      <c r="G113" s="55">
        <f t="shared" si="41"/>
        <v>6657496.7923049554</v>
      </c>
      <c r="H113" s="380">
        <f t="shared" si="42"/>
        <v>1054716.4202732213</v>
      </c>
      <c r="I113" s="399">
        <f t="shared" si="43"/>
        <v>1054716.4202732213</v>
      </c>
      <c r="J113" s="54">
        <f t="shared" si="22"/>
        <v>0</v>
      </c>
      <c r="K113" s="54"/>
      <c r="L113" s="129"/>
      <c r="M113" s="54">
        <f t="shared" si="44"/>
        <v>0</v>
      </c>
      <c r="N113" s="129"/>
      <c r="O113" s="54">
        <f t="shared" si="26"/>
        <v>0</v>
      </c>
      <c r="P113" s="54">
        <f t="shared" si="27"/>
        <v>0</v>
      </c>
    </row>
    <row r="114" spans="2:16" ht="12.5">
      <c r="B114" s="7" t="str">
        <f t="shared" si="28"/>
        <v/>
      </c>
      <c r="C114" s="50">
        <f>IF(D93="","-",+C113+1)</f>
        <v>2032</v>
      </c>
      <c r="D114" s="12">
        <f>IF(F113+SUM(E$99:E113)=D$92,F113,D$92-SUM(E$99:E113))</f>
        <v>6544655.436395864</v>
      </c>
      <c r="E114" s="378">
        <f>IF(+J96&lt;F113,J96,D114)</f>
        <v>225682.71181818182</v>
      </c>
      <c r="F114" s="55">
        <f t="shared" si="40"/>
        <v>6318972.7245776821</v>
      </c>
      <c r="G114" s="55">
        <f t="shared" si="41"/>
        <v>6431814.0804867726</v>
      </c>
      <c r="H114" s="380">
        <f t="shared" si="42"/>
        <v>1026612.9781913452</v>
      </c>
      <c r="I114" s="399">
        <f t="shared" si="43"/>
        <v>1026612.9781913452</v>
      </c>
      <c r="J114" s="54">
        <f t="shared" si="22"/>
        <v>0</v>
      </c>
      <c r="K114" s="54"/>
      <c r="L114" s="129"/>
      <c r="M114" s="54">
        <f t="shared" si="44"/>
        <v>0</v>
      </c>
      <c r="N114" s="129"/>
      <c r="O114" s="54">
        <f t="shared" si="26"/>
        <v>0</v>
      </c>
      <c r="P114" s="54">
        <f t="shared" si="27"/>
        <v>0</v>
      </c>
    </row>
    <row r="115" spans="2:16" ht="12.5">
      <c r="B115" s="7" t="str">
        <f t="shared" si="28"/>
        <v/>
      </c>
      <c r="C115" s="50">
        <f>IF(D93="","-",+C114+1)</f>
        <v>2033</v>
      </c>
      <c r="D115" s="12">
        <f>IF(F114+SUM(E$99:E114)=D$92,F114,D$92-SUM(E$99:E114))</f>
        <v>6318972.7245776821</v>
      </c>
      <c r="E115" s="378">
        <f>IF(+J96&lt;F114,J96,D115)</f>
        <v>225682.71181818182</v>
      </c>
      <c r="F115" s="55">
        <f t="shared" si="40"/>
        <v>6093290.0127595002</v>
      </c>
      <c r="G115" s="55">
        <f t="shared" si="41"/>
        <v>6206131.3686685916</v>
      </c>
      <c r="H115" s="380">
        <f t="shared" si="42"/>
        <v>998509.53610946948</v>
      </c>
      <c r="I115" s="399">
        <f t="shared" si="43"/>
        <v>998509.53610946948</v>
      </c>
      <c r="J115" s="54">
        <f t="shared" si="22"/>
        <v>0</v>
      </c>
      <c r="K115" s="54"/>
      <c r="L115" s="129"/>
      <c r="M115" s="54">
        <f t="shared" si="44"/>
        <v>0</v>
      </c>
      <c r="N115" s="129"/>
      <c r="O115" s="54">
        <f t="shared" si="26"/>
        <v>0</v>
      </c>
      <c r="P115" s="54">
        <f t="shared" si="27"/>
        <v>0</v>
      </c>
    </row>
    <row r="116" spans="2:16" ht="12.5">
      <c r="B116" s="7" t="str">
        <f t="shared" si="28"/>
        <v/>
      </c>
      <c r="C116" s="50">
        <f>IF(D93="","-",+C115+1)</f>
        <v>2034</v>
      </c>
      <c r="D116" s="12">
        <f>IF(F115+SUM(E$99:E115)=D$92,F115,D$92-SUM(E$99:E115))</f>
        <v>6093290.0127595002</v>
      </c>
      <c r="E116" s="378">
        <f>IF(+J96&lt;F115,J96,D116)</f>
        <v>225682.71181818182</v>
      </c>
      <c r="F116" s="55">
        <f t="shared" si="40"/>
        <v>5867607.3009413183</v>
      </c>
      <c r="G116" s="55">
        <f t="shared" si="41"/>
        <v>5980448.6568504088</v>
      </c>
      <c r="H116" s="380">
        <f t="shared" si="42"/>
        <v>970406.09402759338</v>
      </c>
      <c r="I116" s="399">
        <f t="shared" si="43"/>
        <v>970406.09402759338</v>
      </c>
      <c r="J116" s="54">
        <f t="shared" si="22"/>
        <v>0</v>
      </c>
      <c r="K116" s="54"/>
      <c r="L116" s="129"/>
      <c r="M116" s="54">
        <f t="shared" si="44"/>
        <v>0</v>
      </c>
      <c r="N116" s="129"/>
      <c r="O116" s="54">
        <f t="shared" si="26"/>
        <v>0</v>
      </c>
      <c r="P116" s="54">
        <f t="shared" si="27"/>
        <v>0</v>
      </c>
    </row>
    <row r="117" spans="2:16" ht="12.5">
      <c r="B117" s="7" t="str">
        <f t="shared" si="28"/>
        <v/>
      </c>
      <c r="C117" s="50">
        <f>IF(D93="","-",+C116+1)</f>
        <v>2035</v>
      </c>
      <c r="D117" s="12">
        <f>IF(F116+SUM(E$99:E116)=D$92,F116,D$92-SUM(E$99:E116))</f>
        <v>5867607.3009413183</v>
      </c>
      <c r="E117" s="378">
        <f>IF(+J96&lt;F116,J96,D117)</f>
        <v>225682.71181818182</v>
      </c>
      <c r="F117" s="55">
        <f t="shared" si="40"/>
        <v>5641924.5891231364</v>
      </c>
      <c r="G117" s="55">
        <f t="shared" si="41"/>
        <v>5754765.9450322278</v>
      </c>
      <c r="H117" s="380">
        <f t="shared" si="42"/>
        <v>942302.65194571752</v>
      </c>
      <c r="I117" s="399">
        <f t="shared" si="43"/>
        <v>942302.65194571752</v>
      </c>
      <c r="J117" s="54">
        <f t="shared" si="22"/>
        <v>0</v>
      </c>
      <c r="K117" s="54"/>
      <c r="L117" s="129"/>
      <c r="M117" s="54">
        <f t="shared" si="44"/>
        <v>0</v>
      </c>
      <c r="N117" s="129"/>
      <c r="O117" s="54">
        <f t="shared" si="26"/>
        <v>0</v>
      </c>
      <c r="P117" s="54">
        <f t="shared" si="27"/>
        <v>0</v>
      </c>
    </row>
    <row r="118" spans="2:16" ht="12.5">
      <c r="B118" s="7" t="str">
        <f t="shared" si="28"/>
        <v/>
      </c>
      <c r="C118" s="50">
        <f>IF(D93="","-",+C117+1)</f>
        <v>2036</v>
      </c>
      <c r="D118" s="12">
        <f>IF(F117+SUM(E$99:E117)=D$92,F117,D$92-SUM(E$99:E117))</f>
        <v>5641924.5891231364</v>
      </c>
      <c r="E118" s="378">
        <f>IF(+J96&lt;F117,J96,D118)</f>
        <v>225682.71181818182</v>
      </c>
      <c r="F118" s="55">
        <f t="shared" si="40"/>
        <v>5416241.8773049545</v>
      </c>
      <c r="G118" s="55">
        <f t="shared" si="41"/>
        <v>5529083.2332140449</v>
      </c>
      <c r="H118" s="380">
        <f t="shared" si="42"/>
        <v>914199.20986384142</v>
      </c>
      <c r="I118" s="399">
        <f t="shared" si="43"/>
        <v>914199.20986384142</v>
      </c>
      <c r="J118" s="54">
        <f t="shared" si="22"/>
        <v>0</v>
      </c>
      <c r="K118" s="54"/>
      <c r="L118" s="129"/>
      <c r="M118" s="54">
        <f t="shared" si="44"/>
        <v>0</v>
      </c>
      <c r="N118" s="129"/>
      <c r="O118" s="54">
        <f t="shared" si="26"/>
        <v>0</v>
      </c>
      <c r="P118" s="54">
        <f t="shared" si="27"/>
        <v>0</v>
      </c>
    </row>
    <row r="119" spans="2:16" ht="12.5">
      <c r="B119" s="7" t="str">
        <f t="shared" si="28"/>
        <v/>
      </c>
      <c r="C119" s="50">
        <f>IF(D93="","-",+C118+1)</f>
        <v>2037</v>
      </c>
      <c r="D119" s="12">
        <f>IF(F118+SUM(E$99:E118)=D$92,F118,D$92-SUM(E$99:E118))</f>
        <v>5416241.8773049545</v>
      </c>
      <c r="E119" s="378">
        <f>IF(+J96&lt;F118,J96,D119)</f>
        <v>225682.71181818182</v>
      </c>
      <c r="F119" s="55">
        <f t="shared" si="40"/>
        <v>5190559.1654867725</v>
      </c>
      <c r="G119" s="55">
        <f t="shared" si="41"/>
        <v>5303400.521395864</v>
      </c>
      <c r="H119" s="380">
        <f t="shared" si="42"/>
        <v>886095.76778196555</v>
      </c>
      <c r="I119" s="399">
        <f t="shared" si="43"/>
        <v>886095.76778196555</v>
      </c>
      <c r="J119" s="54">
        <f t="shared" si="22"/>
        <v>0</v>
      </c>
      <c r="K119" s="54"/>
      <c r="L119" s="129"/>
      <c r="M119" s="54">
        <f t="shared" si="44"/>
        <v>0</v>
      </c>
      <c r="N119" s="129"/>
      <c r="O119" s="54">
        <f t="shared" si="26"/>
        <v>0</v>
      </c>
      <c r="P119" s="54">
        <f t="shared" si="27"/>
        <v>0</v>
      </c>
    </row>
    <row r="120" spans="2:16" ht="12.5">
      <c r="B120" s="7" t="str">
        <f t="shared" si="28"/>
        <v/>
      </c>
      <c r="C120" s="50">
        <f>IF(D93="","-",+C119+1)</f>
        <v>2038</v>
      </c>
      <c r="D120" s="12">
        <f>IF(F119+SUM(E$99:E119)=D$92,F119,D$92-SUM(E$99:E119))</f>
        <v>5190559.1654867725</v>
      </c>
      <c r="E120" s="378">
        <f>IF(+J96&lt;F119,J96,D120)</f>
        <v>225682.71181818182</v>
      </c>
      <c r="F120" s="55">
        <f t="shared" si="40"/>
        <v>4964876.4536685906</v>
      </c>
      <c r="G120" s="55">
        <f t="shared" si="41"/>
        <v>5077717.8095776811</v>
      </c>
      <c r="H120" s="380">
        <f t="shared" si="42"/>
        <v>857992.32570008945</v>
      </c>
      <c r="I120" s="399">
        <f t="shared" si="43"/>
        <v>857992.32570008945</v>
      </c>
      <c r="J120" s="54">
        <f t="shared" si="22"/>
        <v>0</v>
      </c>
      <c r="K120" s="54"/>
      <c r="L120" s="129"/>
      <c r="M120" s="54">
        <f t="shared" si="44"/>
        <v>0</v>
      </c>
      <c r="N120" s="129"/>
      <c r="O120" s="54">
        <f t="shared" si="26"/>
        <v>0</v>
      </c>
      <c r="P120" s="54">
        <f t="shared" si="27"/>
        <v>0</v>
      </c>
    </row>
    <row r="121" spans="2:16" ht="12.5">
      <c r="B121" s="7" t="str">
        <f t="shared" si="28"/>
        <v/>
      </c>
      <c r="C121" s="50">
        <f>IF(D93="","-",+C120+1)</f>
        <v>2039</v>
      </c>
      <c r="D121" s="12">
        <f>IF(F120+SUM(E$99:E120)=D$92,F120,D$92-SUM(E$99:E120))</f>
        <v>4964876.4536685906</v>
      </c>
      <c r="E121" s="378">
        <f>IF(+J96&lt;F120,J96,D121)</f>
        <v>225682.71181818182</v>
      </c>
      <c r="F121" s="55">
        <f t="shared" si="40"/>
        <v>4739193.7418504087</v>
      </c>
      <c r="G121" s="55">
        <f t="shared" si="41"/>
        <v>4852035.0977595001</v>
      </c>
      <c r="H121" s="380">
        <f t="shared" si="42"/>
        <v>829888.88361821359</v>
      </c>
      <c r="I121" s="399">
        <f t="shared" si="43"/>
        <v>829888.88361821359</v>
      </c>
      <c r="J121" s="54">
        <f t="shared" si="22"/>
        <v>0</v>
      </c>
      <c r="K121" s="54"/>
      <c r="L121" s="129"/>
      <c r="M121" s="54">
        <f t="shared" si="44"/>
        <v>0</v>
      </c>
      <c r="N121" s="129"/>
      <c r="O121" s="54">
        <f t="shared" si="26"/>
        <v>0</v>
      </c>
      <c r="P121" s="54">
        <f t="shared" si="27"/>
        <v>0</v>
      </c>
    </row>
    <row r="122" spans="2:16" ht="12.5">
      <c r="B122" s="7" t="str">
        <f t="shared" si="28"/>
        <v/>
      </c>
      <c r="C122" s="50">
        <f>IF(D93="","-",+C121+1)</f>
        <v>2040</v>
      </c>
      <c r="D122" s="12">
        <f>IF(F121+SUM(E$99:E121)=D$92,F121,D$92-SUM(E$99:E121))</f>
        <v>4739193.7418504087</v>
      </c>
      <c r="E122" s="378">
        <f>IF(+J96&lt;F121,J96,D122)</f>
        <v>225682.71181818182</v>
      </c>
      <c r="F122" s="55">
        <f t="shared" si="40"/>
        <v>4513511.0300322268</v>
      </c>
      <c r="G122" s="55">
        <f t="shared" si="41"/>
        <v>4626352.3859413173</v>
      </c>
      <c r="H122" s="380">
        <f t="shared" si="42"/>
        <v>801785.4415363376</v>
      </c>
      <c r="I122" s="399">
        <f t="shared" si="43"/>
        <v>801785.4415363376</v>
      </c>
      <c r="J122" s="54">
        <f t="shared" si="22"/>
        <v>0</v>
      </c>
      <c r="K122" s="54"/>
      <c r="L122" s="129"/>
      <c r="M122" s="54">
        <f t="shared" si="44"/>
        <v>0</v>
      </c>
      <c r="N122" s="129"/>
      <c r="O122" s="54">
        <f t="shared" si="26"/>
        <v>0</v>
      </c>
      <c r="P122" s="54">
        <f t="shared" si="27"/>
        <v>0</v>
      </c>
    </row>
    <row r="123" spans="2:16" ht="12.5">
      <c r="B123" s="7" t="str">
        <f t="shared" si="28"/>
        <v/>
      </c>
      <c r="C123" s="50">
        <f>IF(D93="","-",+C122+1)</f>
        <v>2041</v>
      </c>
      <c r="D123" s="12">
        <f>IF(F122+SUM(E$99:E122)=D$92,F122,D$92-SUM(E$99:E122))</f>
        <v>4513511.0300322268</v>
      </c>
      <c r="E123" s="378">
        <f>IF(+J96&lt;F122,J96,D123)</f>
        <v>225682.71181818182</v>
      </c>
      <c r="F123" s="55">
        <f t="shared" si="40"/>
        <v>4287828.3182140449</v>
      </c>
      <c r="G123" s="55">
        <f t="shared" si="41"/>
        <v>4400669.6741231363</v>
      </c>
      <c r="H123" s="380">
        <f t="shared" si="42"/>
        <v>773681.99945446174</v>
      </c>
      <c r="I123" s="399">
        <f t="shared" si="43"/>
        <v>773681.99945446174</v>
      </c>
      <c r="J123" s="54">
        <f t="shared" si="22"/>
        <v>0</v>
      </c>
      <c r="K123" s="54"/>
      <c r="L123" s="129"/>
      <c r="M123" s="54">
        <f t="shared" si="44"/>
        <v>0</v>
      </c>
      <c r="N123" s="129"/>
      <c r="O123" s="54">
        <f t="shared" si="26"/>
        <v>0</v>
      </c>
      <c r="P123" s="54">
        <f t="shared" si="27"/>
        <v>0</v>
      </c>
    </row>
    <row r="124" spans="2:16" ht="12.5">
      <c r="B124" s="7" t="str">
        <f t="shared" si="28"/>
        <v/>
      </c>
      <c r="C124" s="50">
        <f>IF(D93="","-",+C123+1)</f>
        <v>2042</v>
      </c>
      <c r="D124" s="12">
        <f>IF(F123+SUM(E$99:E123)=D$92,F123,D$92-SUM(E$99:E123))</f>
        <v>4287828.3182140449</v>
      </c>
      <c r="E124" s="378">
        <f>IF(+J96&lt;F123,J96,D124)</f>
        <v>225682.71181818182</v>
      </c>
      <c r="F124" s="55">
        <f t="shared" si="40"/>
        <v>4062145.606395863</v>
      </c>
      <c r="G124" s="55">
        <f t="shared" si="41"/>
        <v>4174986.962304954</v>
      </c>
      <c r="H124" s="380">
        <f t="shared" si="42"/>
        <v>745578.55737258575</v>
      </c>
      <c r="I124" s="399">
        <f t="shared" si="43"/>
        <v>745578.55737258575</v>
      </c>
      <c r="J124" s="54">
        <f t="shared" si="22"/>
        <v>0</v>
      </c>
      <c r="K124" s="54"/>
      <c r="L124" s="129"/>
      <c r="M124" s="54">
        <f t="shared" si="44"/>
        <v>0</v>
      </c>
      <c r="N124" s="129"/>
      <c r="O124" s="54">
        <f t="shared" si="26"/>
        <v>0</v>
      </c>
      <c r="P124" s="54">
        <f t="shared" si="27"/>
        <v>0</v>
      </c>
    </row>
    <row r="125" spans="2:16" ht="12.5">
      <c r="B125" s="7" t="str">
        <f t="shared" si="28"/>
        <v/>
      </c>
      <c r="C125" s="50">
        <f>IF(D93="","-",+C124+1)</f>
        <v>2043</v>
      </c>
      <c r="D125" s="12">
        <f>IF(F124+SUM(E$99:E124)=D$92,F124,D$92-SUM(E$99:E124))</f>
        <v>4062145.606395863</v>
      </c>
      <c r="E125" s="378">
        <f>IF(+J96&lt;F124,J96,D125)</f>
        <v>225682.71181818182</v>
      </c>
      <c r="F125" s="55">
        <f t="shared" si="40"/>
        <v>3836462.8945776811</v>
      </c>
      <c r="G125" s="55">
        <f t="shared" si="41"/>
        <v>3949304.250486772</v>
      </c>
      <c r="H125" s="380">
        <f t="shared" si="42"/>
        <v>717475.11529070977</v>
      </c>
      <c r="I125" s="399">
        <f t="shared" si="43"/>
        <v>717475.11529070977</v>
      </c>
      <c r="J125" s="54">
        <f t="shared" si="22"/>
        <v>0</v>
      </c>
      <c r="K125" s="54"/>
      <c r="L125" s="129"/>
      <c r="M125" s="54">
        <f t="shared" si="44"/>
        <v>0</v>
      </c>
      <c r="N125" s="129"/>
      <c r="O125" s="54">
        <f t="shared" si="26"/>
        <v>0</v>
      </c>
      <c r="P125" s="54">
        <f t="shared" si="27"/>
        <v>0</v>
      </c>
    </row>
    <row r="126" spans="2:16" ht="12.5">
      <c r="B126" s="7" t="str">
        <f t="shared" si="28"/>
        <v/>
      </c>
      <c r="C126" s="50">
        <f>IF(D93="","-",+C125+1)</f>
        <v>2044</v>
      </c>
      <c r="D126" s="12">
        <f>IF(F125+SUM(E$99:E125)=D$92,F125,D$92-SUM(E$99:E125))</f>
        <v>3836462.8945776811</v>
      </c>
      <c r="E126" s="378">
        <f>IF(+J96&lt;F125,J96,D126)</f>
        <v>225682.71181818182</v>
      </c>
      <c r="F126" s="55">
        <f t="shared" si="40"/>
        <v>3610780.1827594992</v>
      </c>
      <c r="G126" s="55">
        <f t="shared" si="41"/>
        <v>3723621.5386685901</v>
      </c>
      <c r="H126" s="380">
        <f t="shared" si="42"/>
        <v>689371.67320883379</v>
      </c>
      <c r="I126" s="399">
        <f t="shared" si="43"/>
        <v>689371.67320883379</v>
      </c>
      <c r="J126" s="54">
        <f t="shared" si="22"/>
        <v>0</v>
      </c>
      <c r="K126" s="54"/>
      <c r="L126" s="129"/>
      <c r="M126" s="54">
        <f t="shared" si="44"/>
        <v>0</v>
      </c>
      <c r="N126" s="129"/>
      <c r="O126" s="54">
        <f t="shared" si="26"/>
        <v>0</v>
      </c>
      <c r="P126" s="54">
        <f t="shared" si="27"/>
        <v>0</v>
      </c>
    </row>
    <row r="127" spans="2:16" ht="12.5">
      <c r="B127" s="7" t="str">
        <f t="shared" si="28"/>
        <v/>
      </c>
      <c r="C127" s="50">
        <f>IF(D93="","-",+C126+1)</f>
        <v>2045</v>
      </c>
      <c r="D127" s="12">
        <f>IF(F126+SUM(E$99:E126)=D$92,F126,D$92-SUM(E$99:E126))</f>
        <v>3610780.1827594992</v>
      </c>
      <c r="E127" s="378">
        <f>IF(+J96&lt;F126,J96,D127)</f>
        <v>225682.71181818182</v>
      </c>
      <c r="F127" s="55">
        <f t="shared" si="40"/>
        <v>3385097.4709413173</v>
      </c>
      <c r="G127" s="55">
        <f t="shared" si="41"/>
        <v>3497938.8268504082</v>
      </c>
      <c r="H127" s="380">
        <f t="shared" si="42"/>
        <v>661268.23112695781</v>
      </c>
      <c r="I127" s="399">
        <f t="shared" si="43"/>
        <v>661268.23112695781</v>
      </c>
      <c r="J127" s="54">
        <f t="shared" si="22"/>
        <v>0</v>
      </c>
      <c r="K127" s="54"/>
      <c r="L127" s="129"/>
      <c r="M127" s="54">
        <f t="shared" si="44"/>
        <v>0</v>
      </c>
      <c r="N127" s="129"/>
      <c r="O127" s="54">
        <f t="shared" si="26"/>
        <v>0</v>
      </c>
      <c r="P127" s="54">
        <f t="shared" si="27"/>
        <v>0</v>
      </c>
    </row>
    <row r="128" spans="2:16" ht="12.5">
      <c r="B128" s="7" t="str">
        <f t="shared" si="28"/>
        <v/>
      </c>
      <c r="C128" s="50">
        <f>IF(D93="","-",+C127+1)</f>
        <v>2046</v>
      </c>
      <c r="D128" s="12">
        <f>IF(F127+SUM(E$99:E127)=D$92,F127,D$92-SUM(E$99:E127))</f>
        <v>3385097.4709413173</v>
      </c>
      <c r="E128" s="378">
        <f>IF(+J96&lt;F127,J96,D128)</f>
        <v>225682.71181818182</v>
      </c>
      <c r="F128" s="55">
        <f t="shared" si="40"/>
        <v>3159414.7591231354</v>
      </c>
      <c r="G128" s="55">
        <f t="shared" si="41"/>
        <v>3272256.1150322263</v>
      </c>
      <c r="H128" s="380">
        <f t="shared" si="42"/>
        <v>633164.78904508182</v>
      </c>
      <c r="I128" s="399">
        <f t="shared" si="43"/>
        <v>633164.78904508182</v>
      </c>
      <c r="J128" s="54">
        <f t="shared" si="22"/>
        <v>0</v>
      </c>
      <c r="K128" s="54"/>
      <c r="L128" s="129"/>
      <c r="M128" s="54">
        <f t="shared" si="44"/>
        <v>0</v>
      </c>
      <c r="N128" s="129"/>
      <c r="O128" s="54">
        <f t="shared" si="26"/>
        <v>0</v>
      </c>
      <c r="P128" s="54">
        <f t="shared" si="27"/>
        <v>0</v>
      </c>
    </row>
    <row r="129" spans="2:16" ht="12.5">
      <c r="B129" s="7" t="str">
        <f t="shared" si="28"/>
        <v/>
      </c>
      <c r="C129" s="50">
        <f>IF(D93="","-",+C128+1)</f>
        <v>2047</v>
      </c>
      <c r="D129" s="12">
        <f>IF(F128+SUM(E$99:E128)=D$92,F128,D$92-SUM(E$99:E128))</f>
        <v>3159414.7591231354</v>
      </c>
      <c r="E129" s="378">
        <f>IF(+J96&lt;F128,J96,D129)</f>
        <v>225682.71181818182</v>
      </c>
      <c r="F129" s="55">
        <f t="shared" si="40"/>
        <v>2933732.0473049534</v>
      </c>
      <c r="G129" s="55">
        <f t="shared" si="41"/>
        <v>3046573.4032140444</v>
      </c>
      <c r="H129" s="380">
        <f t="shared" si="42"/>
        <v>605061.34696320584</v>
      </c>
      <c r="I129" s="399">
        <f t="shared" si="43"/>
        <v>605061.34696320584</v>
      </c>
      <c r="J129" s="54">
        <f t="shared" si="22"/>
        <v>0</v>
      </c>
      <c r="K129" s="54"/>
      <c r="L129" s="129"/>
      <c r="M129" s="54">
        <f t="shared" si="44"/>
        <v>0</v>
      </c>
      <c r="N129" s="129"/>
      <c r="O129" s="54">
        <f t="shared" si="26"/>
        <v>0</v>
      </c>
      <c r="P129" s="54">
        <f t="shared" si="27"/>
        <v>0</v>
      </c>
    </row>
    <row r="130" spans="2:16" ht="12.5">
      <c r="B130" s="7" t="str">
        <f t="shared" si="28"/>
        <v/>
      </c>
      <c r="C130" s="50">
        <f>IF(D93="","-",+C129+1)</f>
        <v>2048</v>
      </c>
      <c r="D130" s="12">
        <f>IF(F129+SUM(E$99:E129)=D$92,F129,D$92-SUM(E$99:E129))</f>
        <v>2933732.0473049534</v>
      </c>
      <c r="E130" s="378">
        <f>IF(+J96&lt;F129,J96,D130)</f>
        <v>225682.71181818182</v>
      </c>
      <c r="F130" s="55">
        <f t="shared" si="40"/>
        <v>2708049.3354867715</v>
      </c>
      <c r="G130" s="55">
        <f t="shared" si="41"/>
        <v>2820890.6913958625</v>
      </c>
      <c r="H130" s="380">
        <f t="shared" si="42"/>
        <v>576957.90488132997</v>
      </c>
      <c r="I130" s="399">
        <f t="shared" si="43"/>
        <v>576957.90488132997</v>
      </c>
      <c r="J130" s="54">
        <f t="shared" si="22"/>
        <v>0</v>
      </c>
      <c r="K130" s="54"/>
      <c r="L130" s="129"/>
      <c r="M130" s="54">
        <f t="shared" si="44"/>
        <v>0</v>
      </c>
      <c r="N130" s="129"/>
      <c r="O130" s="54">
        <f t="shared" si="26"/>
        <v>0</v>
      </c>
      <c r="P130" s="54">
        <f t="shared" si="27"/>
        <v>0</v>
      </c>
    </row>
    <row r="131" spans="2:16" ht="12.5">
      <c r="B131" s="7" t="str">
        <f t="shared" si="28"/>
        <v/>
      </c>
      <c r="C131" s="50">
        <f>IF(D93="","-",+C130+1)</f>
        <v>2049</v>
      </c>
      <c r="D131" s="12">
        <f>IF(F130+SUM(E$99:E130)=D$92,F130,D$92-SUM(E$99:E130))</f>
        <v>2708049.3354867715</v>
      </c>
      <c r="E131" s="378">
        <f>IF(+J96&lt;F130,J96,D131)</f>
        <v>225682.71181818182</v>
      </c>
      <c r="F131" s="55">
        <f t="shared" si="40"/>
        <v>2482366.6236685896</v>
      </c>
      <c r="G131" s="55">
        <f t="shared" si="41"/>
        <v>2595207.9795776806</v>
      </c>
      <c r="H131" s="380">
        <f t="shared" si="42"/>
        <v>548854.46279945399</v>
      </c>
      <c r="I131" s="399">
        <f t="shared" si="43"/>
        <v>548854.46279945399</v>
      </c>
      <c r="J131" s="54">
        <f t="shared" ref="J131:J154" si="45">+I541-H541</f>
        <v>0</v>
      </c>
      <c r="K131" s="54"/>
      <c r="L131" s="129"/>
      <c r="M131" s="54">
        <f t="shared" ref="M131:M154" si="46">IF(L541&lt;&gt;0,+H541-L541,0)</f>
        <v>0</v>
      </c>
      <c r="N131" s="129"/>
      <c r="O131" s="54">
        <f t="shared" ref="O131:O154" si="47">IF(N541&lt;&gt;0,+I541-N541,0)</f>
        <v>0</v>
      </c>
      <c r="P131" s="54">
        <f t="shared" ref="P131:P154" si="48">+O541-M541</f>
        <v>0</v>
      </c>
    </row>
    <row r="132" spans="2:16" ht="12.5">
      <c r="B132" s="7" t="str">
        <f t="shared" si="28"/>
        <v/>
      </c>
      <c r="C132" s="50">
        <f>IF(D93="","-",+C131+1)</f>
        <v>2050</v>
      </c>
      <c r="D132" s="12">
        <f>IF(F131+SUM(E$99:E131)=D$92,F131,D$92-SUM(E$99:E131))</f>
        <v>2482366.6236685896</v>
      </c>
      <c r="E132" s="378">
        <f>IF(+J96&lt;F131,J96,D132)</f>
        <v>225682.71181818182</v>
      </c>
      <c r="F132" s="55">
        <f t="shared" si="40"/>
        <v>2256683.9118504077</v>
      </c>
      <c r="G132" s="55">
        <f t="shared" si="41"/>
        <v>2369525.2677594987</v>
      </c>
      <c r="H132" s="380">
        <f t="shared" si="42"/>
        <v>520751.02071757801</v>
      </c>
      <c r="I132" s="399">
        <f t="shared" si="43"/>
        <v>520751.02071757801</v>
      </c>
      <c r="J132" s="54">
        <f t="shared" si="45"/>
        <v>0</v>
      </c>
      <c r="K132" s="54"/>
      <c r="L132" s="129"/>
      <c r="M132" s="54">
        <f t="shared" si="46"/>
        <v>0</v>
      </c>
      <c r="N132" s="129"/>
      <c r="O132" s="54">
        <f t="shared" si="47"/>
        <v>0</v>
      </c>
      <c r="P132" s="54">
        <f t="shared" si="48"/>
        <v>0</v>
      </c>
    </row>
    <row r="133" spans="2:16" ht="12.5">
      <c r="B133" s="7" t="str">
        <f t="shared" si="28"/>
        <v/>
      </c>
      <c r="C133" s="50">
        <f>IF(D93="","-",+C132+1)</f>
        <v>2051</v>
      </c>
      <c r="D133" s="12">
        <f>IF(F132+SUM(E$99:E132)=D$92,F132,D$92-SUM(E$99:E132))</f>
        <v>2256683.9118504077</v>
      </c>
      <c r="E133" s="378">
        <f>IF(+J96&lt;F132,J96,D133)</f>
        <v>225682.71181818182</v>
      </c>
      <c r="F133" s="55">
        <f t="shared" si="40"/>
        <v>2031001.2000322258</v>
      </c>
      <c r="G133" s="55">
        <f t="shared" si="41"/>
        <v>2143842.5559413168</v>
      </c>
      <c r="H133" s="380">
        <f t="shared" si="42"/>
        <v>492647.57863570203</v>
      </c>
      <c r="I133" s="399">
        <f t="shared" si="43"/>
        <v>492647.57863570203</v>
      </c>
      <c r="J133" s="54">
        <f t="shared" si="45"/>
        <v>0</v>
      </c>
      <c r="K133" s="54"/>
      <c r="L133" s="129"/>
      <c r="M133" s="54">
        <f t="shared" si="46"/>
        <v>0</v>
      </c>
      <c r="N133" s="129"/>
      <c r="O133" s="54">
        <f t="shared" si="47"/>
        <v>0</v>
      </c>
      <c r="P133" s="54">
        <f t="shared" si="48"/>
        <v>0</v>
      </c>
    </row>
    <row r="134" spans="2:16" ht="12.5">
      <c r="B134" s="7" t="str">
        <f t="shared" si="28"/>
        <v/>
      </c>
      <c r="C134" s="50">
        <f>IF(D93="","-",+C133+1)</f>
        <v>2052</v>
      </c>
      <c r="D134" s="12">
        <f>IF(F133+SUM(E$99:E133)=D$92,F133,D$92-SUM(E$99:E133))</f>
        <v>2031001.2000322258</v>
      </c>
      <c r="E134" s="378">
        <f>IF(+J96&lt;F133,J96,D134)</f>
        <v>225682.71181818182</v>
      </c>
      <c r="F134" s="55">
        <f t="shared" si="40"/>
        <v>1805318.4882140439</v>
      </c>
      <c r="G134" s="55">
        <f t="shared" si="41"/>
        <v>1918159.8441231349</v>
      </c>
      <c r="H134" s="380">
        <f t="shared" si="42"/>
        <v>464544.13655382604</v>
      </c>
      <c r="I134" s="399">
        <f t="shared" si="43"/>
        <v>464544.13655382604</v>
      </c>
      <c r="J134" s="54">
        <f t="shared" si="45"/>
        <v>0</v>
      </c>
      <c r="K134" s="54"/>
      <c r="L134" s="129"/>
      <c r="M134" s="54">
        <f t="shared" si="46"/>
        <v>0</v>
      </c>
      <c r="N134" s="129"/>
      <c r="O134" s="54">
        <f t="shared" si="47"/>
        <v>0</v>
      </c>
      <c r="P134" s="54">
        <f t="shared" si="48"/>
        <v>0</v>
      </c>
    </row>
    <row r="135" spans="2:16" ht="12.5">
      <c r="B135" s="7" t="str">
        <f t="shared" si="28"/>
        <v/>
      </c>
      <c r="C135" s="50">
        <f>IF(D93="","-",+C134+1)</f>
        <v>2053</v>
      </c>
      <c r="D135" s="12">
        <f>IF(F134+SUM(E$99:E134)=D$92,F134,D$92-SUM(E$99:E134))</f>
        <v>1805318.4882140439</v>
      </c>
      <c r="E135" s="378">
        <f>IF(+J96&lt;F134,J96,D135)</f>
        <v>225682.71181818182</v>
      </c>
      <c r="F135" s="55">
        <f t="shared" si="40"/>
        <v>1579635.776395862</v>
      </c>
      <c r="G135" s="55">
        <f t="shared" si="41"/>
        <v>1692477.1323049529</v>
      </c>
      <c r="H135" s="380">
        <f t="shared" si="42"/>
        <v>436440.69447195012</v>
      </c>
      <c r="I135" s="399">
        <f t="shared" si="43"/>
        <v>436440.69447195012</v>
      </c>
      <c r="J135" s="54">
        <f t="shared" si="45"/>
        <v>0</v>
      </c>
      <c r="K135" s="54"/>
      <c r="L135" s="129"/>
      <c r="M135" s="54">
        <f t="shared" si="46"/>
        <v>0</v>
      </c>
      <c r="N135" s="129"/>
      <c r="O135" s="54">
        <f t="shared" si="47"/>
        <v>0</v>
      </c>
      <c r="P135" s="54">
        <f t="shared" si="48"/>
        <v>0</v>
      </c>
    </row>
    <row r="136" spans="2:16" ht="12.5">
      <c r="B136" s="7" t="str">
        <f t="shared" si="28"/>
        <v/>
      </c>
      <c r="C136" s="50">
        <f>IF(D93="","-",+C135+1)</f>
        <v>2054</v>
      </c>
      <c r="D136" s="12">
        <f>IF(F135+SUM(E$99:E135)=D$92,F135,D$92-SUM(E$99:E135))</f>
        <v>1579635.776395862</v>
      </c>
      <c r="E136" s="378">
        <f>IF(+J96&lt;F135,J96,D136)</f>
        <v>225682.71181818182</v>
      </c>
      <c r="F136" s="55">
        <f t="shared" si="40"/>
        <v>1353953.0645776801</v>
      </c>
      <c r="G136" s="55">
        <f t="shared" si="41"/>
        <v>1466794.420486771</v>
      </c>
      <c r="H136" s="380">
        <f t="shared" si="42"/>
        <v>408337.25239007414</v>
      </c>
      <c r="I136" s="399">
        <f t="shared" si="43"/>
        <v>408337.25239007414</v>
      </c>
      <c r="J136" s="54">
        <f t="shared" si="45"/>
        <v>0</v>
      </c>
      <c r="K136" s="54"/>
      <c r="L136" s="129"/>
      <c r="M136" s="54">
        <f t="shared" si="46"/>
        <v>0</v>
      </c>
      <c r="N136" s="129"/>
      <c r="O136" s="54">
        <f t="shared" si="47"/>
        <v>0</v>
      </c>
      <c r="P136" s="54">
        <f t="shared" si="48"/>
        <v>0</v>
      </c>
    </row>
    <row r="137" spans="2:16" ht="12.5">
      <c r="B137" s="7" t="str">
        <f t="shared" si="28"/>
        <v/>
      </c>
      <c r="C137" s="50">
        <f>IF(D93="","-",+C136+1)</f>
        <v>2055</v>
      </c>
      <c r="D137" s="12">
        <f>IF(F136+SUM(E$99:E136)=D$92,F136,D$92-SUM(E$99:E136))</f>
        <v>1353953.0645776801</v>
      </c>
      <c r="E137" s="378">
        <f>IF(+J96&lt;F136,J96,D137)</f>
        <v>225682.71181818182</v>
      </c>
      <c r="F137" s="55">
        <f t="shared" si="40"/>
        <v>1128270.3527594982</v>
      </c>
      <c r="G137" s="55">
        <f t="shared" si="41"/>
        <v>1241111.7086685891</v>
      </c>
      <c r="H137" s="380">
        <f t="shared" si="42"/>
        <v>380233.81030819821</v>
      </c>
      <c r="I137" s="399">
        <f t="shared" si="43"/>
        <v>380233.81030819821</v>
      </c>
      <c r="J137" s="54">
        <f t="shared" si="45"/>
        <v>0</v>
      </c>
      <c r="K137" s="54"/>
      <c r="L137" s="129"/>
      <c r="M137" s="54">
        <f t="shared" si="46"/>
        <v>0</v>
      </c>
      <c r="N137" s="129"/>
      <c r="O137" s="54">
        <f t="shared" si="47"/>
        <v>0</v>
      </c>
      <c r="P137" s="54">
        <f t="shared" si="48"/>
        <v>0</v>
      </c>
    </row>
    <row r="138" spans="2:16" ht="12.5">
      <c r="B138" s="7" t="str">
        <f t="shared" si="28"/>
        <v/>
      </c>
      <c r="C138" s="50">
        <f>IF(D93="","-",+C137+1)</f>
        <v>2056</v>
      </c>
      <c r="D138" s="12">
        <f>IF(F137+SUM(E$99:E137)=D$92,F137,D$92-SUM(E$99:E137))</f>
        <v>1128270.3527594982</v>
      </c>
      <c r="E138" s="378">
        <f>IF(+J96&lt;F137,J96,D138)</f>
        <v>225682.71181818182</v>
      </c>
      <c r="F138" s="55">
        <f t="shared" si="40"/>
        <v>902587.64094131638</v>
      </c>
      <c r="G138" s="55">
        <f t="shared" si="41"/>
        <v>1015428.9968504072</v>
      </c>
      <c r="H138" s="380">
        <f t="shared" si="42"/>
        <v>352130.36822632223</v>
      </c>
      <c r="I138" s="399">
        <f t="shared" si="43"/>
        <v>352130.36822632223</v>
      </c>
      <c r="J138" s="54">
        <f t="shared" si="45"/>
        <v>0</v>
      </c>
      <c r="K138" s="54"/>
      <c r="L138" s="129"/>
      <c r="M138" s="54">
        <f t="shared" si="46"/>
        <v>0</v>
      </c>
      <c r="N138" s="129"/>
      <c r="O138" s="54">
        <f t="shared" si="47"/>
        <v>0</v>
      </c>
      <c r="P138" s="54">
        <f t="shared" si="48"/>
        <v>0</v>
      </c>
    </row>
    <row r="139" spans="2:16" ht="12.5">
      <c r="B139" s="7" t="str">
        <f t="shared" si="28"/>
        <v/>
      </c>
      <c r="C139" s="50">
        <f>IF(D93="","-",+C138+1)</f>
        <v>2057</v>
      </c>
      <c r="D139" s="12">
        <f>IF(F138+SUM(E$99:E138)=D$92,F138,D$92-SUM(E$99:E138))</f>
        <v>902587.64094131638</v>
      </c>
      <c r="E139" s="378">
        <f>IF(+J96&lt;F138,J96,D139)</f>
        <v>225682.71181818182</v>
      </c>
      <c r="F139" s="55">
        <f t="shared" si="40"/>
        <v>676904.92912313459</v>
      </c>
      <c r="G139" s="55">
        <f t="shared" si="41"/>
        <v>789746.28503222554</v>
      </c>
      <c r="H139" s="380">
        <f t="shared" si="42"/>
        <v>324026.92614444625</v>
      </c>
      <c r="I139" s="399">
        <f t="shared" si="43"/>
        <v>324026.92614444625</v>
      </c>
      <c r="J139" s="54">
        <f t="shared" si="45"/>
        <v>0</v>
      </c>
      <c r="K139" s="54"/>
      <c r="L139" s="129"/>
      <c r="M139" s="54">
        <f t="shared" si="46"/>
        <v>0</v>
      </c>
      <c r="N139" s="129"/>
      <c r="O139" s="54">
        <f t="shared" si="47"/>
        <v>0</v>
      </c>
      <c r="P139" s="54">
        <f t="shared" si="48"/>
        <v>0</v>
      </c>
    </row>
    <row r="140" spans="2:16" ht="12.5">
      <c r="B140" s="7" t="str">
        <f t="shared" si="28"/>
        <v/>
      </c>
      <c r="C140" s="50">
        <f>IF(D93="","-",+C139+1)</f>
        <v>2058</v>
      </c>
      <c r="D140" s="12">
        <f>IF(F139+SUM(E$99:E139)=D$92,F139,D$92-SUM(E$99:E139))</f>
        <v>676904.92912313459</v>
      </c>
      <c r="E140" s="378">
        <f>IF(+J96&lt;F139,J96,D140)</f>
        <v>225682.71181818182</v>
      </c>
      <c r="F140" s="55">
        <f t="shared" si="40"/>
        <v>451222.21730495279</v>
      </c>
      <c r="G140" s="55">
        <f t="shared" si="41"/>
        <v>564063.57321404363</v>
      </c>
      <c r="H140" s="380">
        <f t="shared" si="42"/>
        <v>295923.48406257032</v>
      </c>
      <c r="I140" s="399">
        <f t="shared" si="43"/>
        <v>295923.48406257032</v>
      </c>
      <c r="J140" s="54">
        <f t="shared" si="45"/>
        <v>0</v>
      </c>
      <c r="K140" s="54"/>
      <c r="L140" s="129"/>
      <c r="M140" s="54">
        <f t="shared" si="46"/>
        <v>0</v>
      </c>
      <c r="N140" s="129"/>
      <c r="O140" s="54">
        <f t="shared" si="47"/>
        <v>0</v>
      </c>
      <c r="P140" s="54">
        <f t="shared" si="48"/>
        <v>0</v>
      </c>
    </row>
    <row r="141" spans="2:16" ht="12.5">
      <c r="B141" s="7" t="str">
        <f t="shared" si="28"/>
        <v/>
      </c>
      <c r="C141" s="50">
        <f>IF(D93="","-",+C140+1)</f>
        <v>2059</v>
      </c>
      <c r="D141" s="12">
        <f>IF(F140+SUM(E$99:E140)=D$92,F140,D$92-SUM(E$99:E140))</f>
        <v>451222.21730495279</v>
      </c>
      <c r="E141" s="378">
        <f>IF(+J96&lt;F140,J96,D141)</f>
        <v>225682.71181818182</v>
      </c>
      <c r="F141" s="55">
        <f t="shared" si="40"/>
        <v>225539.50548677097</v>
      </c>
      <c r="G141" s="55">
        <f t="shared" si="41"/>
        <v>338380.8613958619</v>
      </c>
      <c r="H141" s="380">
        <f t="shared" si="42"/>
        <v>267820.0419806944</v>
      </c>
      <c r="I141" s="399">
        <f t="shared" si="43"/>
        <v>267820.0419806944</v>
      </c>
      <c r="J141" s="54">
        <f t="shared" si="45"/>
        <v>0</v>
      </c>
      <c r="K141" s="54"/>
      <c r="L141" s="129"/>
      <c r="M141" s="54">
        <f t="shared" si="46"/>
        <v>0</v>
      </c>
      <c r="N141" s="129"/>
      <c r="O141" s="54">
        <f t="shared" si="47"/>
        <v>0</v>
      </c>
      <c r="P141" s="54">
        <f t="shared" si="48"/>
        <v>0</v>
      </c>
    </row>
    <row r="142" spans="2:16" ht="12.5">
      <c r="B142" s="7" t="str">
        <f t="shared" si="28"/>
        <v/>
      </c>
      <c r="C142" s="50">
        <f>IF(D93="","-",+C141+1)</f>
        <v>2060</v>
      </c>
      <c r="D142" s="12">
        <f>IF(F141+SUM(E$99:E141)=D$92,F141,D$92-SUM(E$99:E141))</f>
        <v>225539.50548677097</v>
      </c>
      <c r="E142" s="378">
        <f>IF(+J96&lt;F141,J96,D142)</f>
        <v>225539.50548677097</v>
      </c>
      <c r="F142" s="55">
        <f t="shared" si="40"/>
        <v>0</v>
      </c>
      <c r="G142" s="55">
        <f t="shared" si="41"/>
        <v>112769.75274338548</v>
      </c>
      <c r="H142" s="380">
        <f t="shared" si="42"/>
        <v>239582.31004755825</v>
      </c>
      <c r="I142" s="399">
        <f t="shared" si="43"/>
        <v>239582.31004755825</v>
      </c>
      <c r="J142" s="54">
        <f t="shared" si="45"/>
        <v>0</v>
      </c>
      <c r="K142" s="54"/>
      <c r="L142" s="129"/>
      <c r="M142" s="54">
        <f t="shared" si="46"/>
        <v>0</v>
      </c>
      <c r="N142" s="129"/>
      <c r="O142" s="54">
        <f t="shared" si="47"/>
        <v>0</v>
      </c>
      <c r="P142" s="54">
        <f t="shared" si="48"/>
        <v>0</v>
      </c>
    </row>
    <row r="143" spans="2:16" ht="12.5">
      <c r="B143" s="7" t="str">
        <f t="shared" si="28"/>
        <v/>
      </c>
      <c r="C143" s="50">
        <f>IF(D93="","-",+C142+1)</f>
        <v>2061</v>
      </c>
      <c r="D143" s="12">
        <f>IF(F142+SUM(E$99:E142)=D$92,F142,D$92-SUM(E$99:E142))</f>
        <v>0</v>
      </c>
      <c r="E143" s="378">
        <f>IF(+J96&lt;F142,J96,D143)</f>
        <v>0</v>
      </c>
      <c r="F143" s="55">
        <f t="shared" si="40"/>
        <v>0</v>
      </c>
      <c r="G143" s="55">
        <f t="shared" si="41"/>
        <v>0</v>
      </c>
      <c r="H143" s="380">
        <f t="shared" si="42"/>
        <v>0</v>
      </c>
      <c r="I143" s="399">
        <f t="shared" si="43"/>
        <v>0</v>
      </c>
      <c r="J143" s="54">
        <f t="shared" si="45"/>
        <v>0</v>
      </c>
      <c r="K143" s="54"/>
      <c r="L143" s="129"/>
      <c r="M143" s="54">
        <f t="shared" si="46"/>
        <v>0</v>
      </c>
      <c r="N143" s="129"/>
      <c r="O143" s="54">
        <f t="shared" si="47"/>
        <v>0</v>
      </c>
      <c r="P143" s="54">
        <f t="shared" si="48"/>
        <v>0</v>
      </c>
    </row>
    <row r="144" spans="2:16" ht="12.5">
      <c r="B144" s="7" t="str">
        <f t="shared" si="28"/>
        <v/>
      </c>
      <c r="C144" s="50">
        <f>IF(D93="","-",+C143+1)</f>
        <v>2062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40"/>
        <v>0</v>
      </c>
      <c r="G144" s="55">
        <f t="shared" si="41"/>
        <v>0</v>
      </c>
      <c r="H144" s="380">
        <f t="shared" si="42"/>
        <v>0</v>
      </c>
      <c r="I144" s="399">
        <f t="shared" si="43"/>
        <v>0</v>
      </c>
      <c r="J144" s="54">
        <f t="shared" si="45"/>
        <v>0</v>
      </c>
      <c r="K144" s="54"/>
      <c r="L144" s="129"/>
      <c r="M144" s="54">
        <f t="shared" si="46"/>
        <v>0</v>
      </c>
      <c r="N144" s="129"/>
      <c r="O144" s="54">
        <f t="shared" si="47"/>
        <v>0</v>
      </c>
      <c r="P144" s="54">
        <f t="shared" si="48"/>
        <v>0</v>
      </c>
    </row>
    <row r="145" spans="2:16" ht="12.5">
      <c r="B145" s="7" t="str">
        <f t="shared" si="28"/>
        <v/>
      </c>
      <c r="C145" s="50">
        <f>IF(D93="","-",+C144+1)</f>
        <v>2063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40"/>
        <v>0</v>
      </c>
      <c r="G145" s="55">
        <f t="shared" si="41"/>
        <v>0</v>
      </c>
      <c r="H145" s="380">
        <f t="shared" si="42"/>
        <v>0</v>
      </c>
      <c r="I145" s="399">
        <f t="shared" si="43"/>
        <v>0</v>
      </c>
      <c r="J145" s="54">
        <f t="shared" si="45"/>
        <v>0</v>
      </c>
      <c r="K145" s="54"/>
      <c r="L145" s="129"/>
      <c r="M145" s="54">
        <f t="shared" si="46"/>
        <v>0</v>
      </c>
      <c r="N145" s="129"/>
      <c r="O145" s="54">
        <f t="shared" si="47"/>
        <v>0</v>
      </c>
      <c r="P145" s="54">
        <f t="shared" si="48"/>
        <v>0</v>
      </c>
    </row>
    <row r="146" spans="2:16" ht="12.5">
      <c r="B146" s="7" t="str">
        <f t="shared" si="28"/>
        <v/>
      </c>
      <c r="C146" s="50">
        <f>IF(D93="","-",+C145+1)</f>
        <v>2064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40"/>
        <v>0</v>
      </c>
      <c r="G146" s="55">
        <f t="shared" si="41"/>
        <v>0</v>
      </c>
      <c r="H146" s="380">
        <f t="shared" si="42"/>
        <v>0</v>
      </c>
      <c r="I146" s="399">
        <f t="shared" si="43"/>
        <v>0</v>
      </c>
      <c r="J146" s="54">
        <f t="shared" si="45"/>
        <v>0</v>
      </c>
      <c r="K146" s="54"/>
      <c r="L146" s="129"/>
      <c r="M146" s="54">
        <f t="shared" si="46"/>
        <v>0</v>
      </c>
      <c r="N146" s="129"/>
      <c r="O146" s="54">
        <f t="shared" si="47"/>
        <v>0</v>
      </c>
      <c r="P146" s="54">
        <f t="shared" si="48"/>
        <v>0</v>
      </c>
    </row>
    <row r="147" spans="2:16" ht="12.5">
      <c r="B147" s="7" t="str">
        <f t="shared" si="28"/>
        <v/>
      </c>
      <c r="C147" s="50">
        <f>IF(D93="","-",+C146+1)</f>
        <v>2065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40"/>
        <v>0</v>
      </c>
      <c r="G147" s="55">
        <f t="shared" si="41"/>
        <v>0</v>
      </c>
      <c r="H147" s="380">
        <f t="shared" si="42"/>
        <v>0</v>
      </c>
      <c r="I147" s="399">
        <f t="shared" si="43"/>
        <v>0</v>
      </c>
      <c r="J147" s="54">
        <f t="shared" si="45"/>
        <v>0</v>
      </c>
      <c r="K147" s="54"/>
      <c r="L147" s="129"/>
      <c r="M147" s="54">
        <f t="shared" si="46"/>
        <v>0</v>
      </c>
      <c r="N147" s="129"/>
      <c r="O147" s="54">
        <f t="shared" si="47"/>
        <v>0</v>
      </c>
      <c r="P147" s="54">
        <f t="shared" si="48"/>
        <v>0</v>
      </c>
    </row>
    <row r="148" spans="2:16" ht="12.5">
      <c r="B148" s="7" t="str">
        <f t="shared" si="28"/>
        <v/>
      </c>
      <c r="C148" s="50">
        <f>IF(D93="","-",+C147+1)</f>
        <v>2066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40"/>
        <v>0</v>
      </c>
      <c r="G148" s="55">
        <f t="shared" si="41"/>
        <v>0</v>
      </c>
      <c r="H148" s="380">
        <f t="shared" si="42"/>
        <v>0</v>
      </c>
      <c r="I148" s="399">
        <f t="shared" si="43"/>
        <v>0</v>
      </c>
      <c r="J148" s="54">
        <f t="shared" si="45"/>
        <v>0</v>
      </c>
      <c r="K148" s="54"/>
      <c r="L148" s="129"/>
      <c r="M148" s="54">
        <f t="shared" si="46"/>
        <v>0</v>
      </c>
      <c r="N148" s="129"/>
      <c r="O148" s="54">
        <f t="shared" si="47"/>
        <v>0</v>
      </c>
      <c r="P148" s="54">
        <f t="shared" si="48"/>
        <v>0</v>
      </c>
    </row>
    <row r="149" spans="2:16" ht="12.5">
      <c r="B149" s="7" t="str">
        <f t="shared" si="28"/>
        <v/>
      </c>
      <c r="C149" s="50">
        <f>IF(D93="","-",+C148+1)</f>
        <v>2067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40"/>
        <v>0</v>
      </c>
      <c r="G149" s="55">
        <f t="shared" si="41"/>
        <v>0</v>
      </c>
      <c r="H149" s="380">
        <f t="shared" si="42"/>
        <v>0</v>
      </c>
      <c r="I149" s="399">
        <f t="shared" si="43"/>
        <v>0</v>
      </c>
      <c r="J149" s="54">
        <f t="shared" si="45"/>
        <v>0</v>
      </c>
      <c r="K149" s="54"/>
      <c r="L149" s="129"/>
      <c r="M149" s="54">
        <f t="shared" si="46"/>
        <v>0</v>
      </c>
      <c r="N149" s="129"/>
      <c r="O149" s="54">
        <f t="shared" si="47"/>
        <v>0</v>
      </c>
      <c r="P149" s="54">
        <f t="shared" si="48"/>
        <v>0</v>
      </c>
    </row>
    <row r="150" spans="2:16" ht="12.5">
      <c r="B150" s="7" t="str">
        <f t="shared" si="28"/>
        <v/>
      </c>
      <c r="C150" s="50">
        <f>IF(D93="","-",+C149+1)</f>
        <v>2068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40"/>
        <v>0</v>
      </c>
      <c r="G150" s="55">
        <f t="shared" si="41"/>
        <v>0</v>
      </c>
      <c r="H150" s="380">
        <f t="shared" si="42"/>
        <v>0</v>
      </c>
      <c r="I150" s="399">
        <f t="shared" si="43"/>
        <v>0</v>
      </c>
      <c r="J150" s="54">
        <f t="shared" si="45"/>
        <v>0</v>
      </c>
      <c r="K150" s="54"/>
      <c r="L150" s="129"/>
      <c r="M150" s="54">
        <f t="shared" si="46"/>
        <v>0</v>
      </c>
      <c r="N150" s="129"/>
      <c r="O150" s="54">
        <f t="shared" si="47"/>
        <v>0</v>
      </c>
      <c r="P150" s="54">
        <f t="shared" si="48"/>
        <v>0</v>
      </c>
    </row>
    <row r="151" spans="2:16" ht="12.5">
      <c r="B151" s="7" t="str">
        <f t="shared" si="28"/>
        <v/>
      </c>
      <c r="C151" s="50">
        <f>IF(D93="","-",+C150+1)</f>
        <v>2069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40"/>
        <v>0</v>
      </c>
      <c r="G151" s="55">
        <f t="shared" si="41"/>
        <v>0</v>
      </c>
      <c r="H151" s="380">
        <f t="shared" si="42"/>
        <v>0</v>
      </c>
      <c r="I151" s="399">
        <f t="shared" si="43"/>
        <v>0</v>
      </c>
      <c r="J151" s="54">
        <f t="shared" si="45"/>
        <v>0</v>
      </c>
      <c r="K151" s="54"/>
      <c r="L151" s="129"/>
      <c r="M151" s="54">
        <f t="shared" si="46"/>
        <v>0</v>
      </c>
      <c r="N151" s="129"/>
      <c r="O151" s="54">
        <f t="shared" si="47"/>
        <v>0</v>
      </c>
      <c r="P151" s="54">
        <f t="shared" si="48"/>
        <v>0</v>
      </c>
    </row>
    <row r="152" spans="2:16" ht="12.5">
      <c r="B152" s="7" t="str">
        <f t="shared" si="28"/>
        <v/>
      </c>
      <c r="C152" s="50">
        <f>IF(D93="","-",+C151+1)</f>
        <v>2070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40"/>
        <v>0</v>
      </c>
      <c r="G152" s="55">
        <f t="shared" si="41"/>
        <v>0</v>
      </c>
      <c r="H152" s="380">
        <f t="shared" si="42"/>
        <v>0</v>
      </c>
      <c r="I152" s="399">
        <f t="shared" si="43"/>
        <v>0</v>
      </c>
      <c r="J152" s="54">
        <f t="shared" si="45"/>
        <v>0</v>
      </c>
      <c r="K152" s="54"/>
      <c r="L152" s="129"/>
      <c r="M152" s="54">
        <f t="shared" si="46"/>
        <v>0</v>
      </c>
      <c r="N152" s="129"/>
      <c r="O152" s="54">
        <f t="shared" si="47"/>
        <v>0</v>
      </c>
      <c r="P152" s="54">
        <f t="shared" si="48"/>
        <v>0</v>
      </c>
    </row>
    <row r="153" spans="2:16" ht="12.5">
      <c r="B153" s="7" t="str">
        <f t="shared" si="28"/>
        <v/>
      </c>
      <c r="C153" s="50">
        <f>IF(D93="","-",+C152+1)</f>
        <v>2071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40"/>
        <v>0</v>
      </c>
      <c r="G153" s="55">
        <f t="shared" si="41"/>
        <v>0</v>
      </c>
      <c r="H153" s="380">
        <f t="shared" si="42"/>
        <v>0</v>
      </c>
      <c r="I153" s="399">
        <f t="shared" si="43"/>
        <v>0</v>
      </c>
      <c r="J153" s="54">
        <f t="shared" si="45"/>
        <v>0</v>
      </c>
      <c r="K153" s="54"/>
      <c r="L153" s="129"/>
      <c r="M153" s="54">
        <f t="shared" si="46"/>
        <v>0</v>
      </c>
      <c r="N153" s="129"/>
      <c r="O153" s="54">
        <f t="shared" si="47"/>
        <v>0</v>
      </c>
      <c r="P153" s="54">
        <f t="shared" si="48"/>
        <v>0</v>
      </c>
    </row>
    <row r="154" spans="2:16" ht="13" thickBot="1">
      <c r="B154" s="7" t="str">
        <f t="shared" si="28"/>
        <v/>
      </c>
      <c r="C154" s="59">
        <f>IF(D93="","-",+C153+1)</f>
        <v>2072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40"/>
        <v>0</v>
      </c>
      <c r="G154" s="60">
        <f t="shared" si="41"/>
        <v>0</v>
      </c>
      <c r="H154" s="382">
        <f t="shared" si="42"/>
        <v>0</v>
      </c>
      <c r="I154" s="400">
        <f t="shared" si="43"/>
        <v>0</v>
      </c>
      <c r="J154" s="64">
        <f t="shared" si="45"/>
        <v>0</v>
      </c>
      <c r="K154" s="54"/>
      <c r="L154" s="130"/>
      <c r="M154" s="64">
        <f t="shared" si="46"/>
        <v>0</v>
      </c>
      <c r="N154" s="130"/>
      <c r="O154" s="64">
        <f t="shared" si="47"/>
        <v>0</v>
      </c>
      <c r="P154" s="64">
        <f t="shared" si="48"/>
        <v>0</v>
      </c>
    </row>
    <row r="155" spans="2:16" ht="12.5">
      <c r="C155" s="12" t="s">
        <v>78</v>
      </c>
      <c r="D155" s="293"/>
      <c r="E155" s="293">
        <f>SUM(E99:E154)</f>
        <v>9930039.3199999966</v>
      </c>
      <c r="F155" s="293"/>
      <c r="G155" s="293"/>
      <c r="H155" s="293">
        <f>SUM(H99:H154)</f>
        <v>35785603.879233271</v>
      </c>
      <c r="I155" s="293">
        <f>SUM(I99:I154)</f>
        <v>35785603.879233271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 ht="12.5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 ht="13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19" priority="1" stopIfTrue="1" operator="equal">
      <formula>$I$10</formula>
    </cfRule>
  </conditionalFormatting>
  <conditionalFormatting sqref="C99:C154">
    <cfRule type="cellIs" dxfId="18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P162"/>
  <sheetViews>
    <sheetView topLeftCell="C80" zoomScale="80" zoomScaleNormal="80" workbookViewId="0">
      <selection activeCell="D23" sqref="D23:H23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70 of 77</v>
      </c>
    </row>
    <row r="2" spans="1:16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897042.5025772223</v>
      </c>
      <c r="P5" s="1"/>
    </row>
    <row r="6" spans="1:16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897042.5025772223</v>
      </c>
      <c r="O6" s="1"/>
      <c r="P6" s="1"/>
    </row>
    <row r="7" spans="1:16" ht="13.5" thickBot="1">
      <c r="C7" s="25" t="s">
        <v>48</v>
      </c>
      <c r="D7" s="90" t="s">
        <v>435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427</v>
      </c>
      <c r="E9" s="436" t="s">
        <v>428</v>
      </c>
      <c r="F9" s="31"/>
      <c r="G9" s="31"/>
      <c r="H9" s="31"/>
      <c r="I9" s="32"/>
      <c r="J9" s="33"/>
      <c r="P9" s="1"/>
    </row>
    <row r="10" spans="1:16" ht="13">
      <c r="C10" s="34" t="s">
        <v>51</v>
      </c>
      <c r="D10" s="363">
        <v>7196364.3600000003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6" ht="12.5">
      <c r="C11" s="34" t="s">
        <v>54</v>
      </c>
      <c r="D11" s="37">
        <v>2018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3">
        <v>5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163553.73545454547</v>
      </c>
      <c r="J14" s="293"/>
      <c r="K14" s="293"/>
      <c r="L14" s="293"/>
      <c r="M14" s="293"/>
      <c r="N14" s="293"/>
      <c r="O14" s="1"/>
      <c r="P14" s="1"/>
    </row>
    <row r="15" spans="1:16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3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2018</v>
      </c>
      <c r="D17" s="431">
        <v>0</v>
      </c>
      <c r="E17" s="430">
        <v>96158.536585365859</v>
      </c>
      <c r="F17" s="431">
        <v>7788841.4634146346</v>
      </c>
      <c r="G17" s="430">
        <v>591116.43032923993</v>
      </c>
      <c r="H17" s="438">
        <v>591116.43032923993</v>
      </c>
      <c r="I17" s="52">
        <f t="shared" ref="I17:I72" si="0">H17-G17</f>
        <v>0</v>
      </c>
      <c r="J17" s="52"/>
      <c r="K17" s="112">
        <f t="shared" ref="K17:K22" si="1">+G17</f>
        <v>591116.43032923993</v>
      </c>
      <c r="L17" s="53">
        <f t="shared" ref="L17:L72" si="2">IF(K17&lt;&gt;0,+G17-K17,0)</f>
        <v>0</v>
      </c>
      <c r="M17" s="112">
        <f t="shared" ref="M17:M22" si="3">+H17</f>
        <v>591116.43032923993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2019</v>
      </c>
      <c r="D18" s="431">
        <v>7788841.4634146346</v>
      </c>
      <c r="E18" s="430">
        <v>192317.07317073172</v>
      </c>
      <c r="F18" s="431">
        <v>7596524.3902439028</v>
      </c>
      <c r="G18" s="430">
        <v>1170011.6780969028</v>
      </c>
      <c r="H18" s="438">
        <v>1170011.6780969028</v>
      </c>
      <c r="I18" s="52">
        <f t="shared" si="0"/>
        <v>0</v>
      </c>
      <c r="J18" s="52"/>
      <c r="K18" s="113">
        <f t="shared" si="1"/>
        <v>1170011.6780969028</v>
      </c>
      <c r="L18" s="54">
        <f t="shared" si="2"/>
        <v>0</v>
      </c>
      <c r="M18" s="113">
        <f t="shared" si="3"/>
        <v>1170011.6780969028</v>
      </c>
      <c r="N18" s="54">
        <f t="shared" si="4"/>
        <v>0</v>
      </c>
      <c r="O18" s="54">
        <f t="shared" si="5"/>
        <v>0</v>
      </c>
      <c r="P18" s="1"/>
    </row>
    <row r="19" spans="2:16" ht="12.5">
      <c r="B19" s="7" t="str">
        <f>IF(D19=F18,"","IU")</f>
        <v>IU</v>
      </c>
      <c r="C19" s="50">
        <f>IF(D11="","-",+C18+1)</f>
        <v>2020</v>
      </c>
      <c r="D19" s="431">
        <v>6906935.3902439028</v>
      </c>
      <c r="E19" s="430">
        <v>175497.82926829267</v>
      </c>
      <c r="F19" s="431">
        <v>6731437.5609756103</v>
      </c>
      <c r="G19" s="430">
        <v>873342.3819354173</v>
      </c>
      <c r="H19" s="438">
        <v>873342.3819354173</v>
      </c>
      <c r="I19" s="52">
        <f t="shared" si="0"/>
        <v>0</v>
      </c>
      <c r="J19" s="52"/>
      <c r="K19" s="113">
        <f t="shared" si="1"/>
        <v>873342.3819354173</v>
      </c>
      <c r="L19" s="54">
        <f t="shared" ref="L19" si="6">IF(K19&lt;&gt;0,+G19-K19,0)</f>
        <v>0</v>
      </c>
      <c r="M19" s="113">
        <f t="shared" si="3"/>
        <v>873342.3819354173</v>
      </c>
      <c r="N19" s="54">
        <f t="shared" si="4"/>
        <v>0</v>
      </c>
      <c r="O19" s="54">
        <f t="shared" si="5"/>
        <v>0</v>
      </c>
      <c r="P19" s="1"/>
    </row>
    <row r="20" spans="2:16" ht="12.5">
      <c r="B20" s="7" t="str">
        <f t="shared" ref="B20:B72" si="7">IF(D20=F19,"","IU")</f>
        <v>IU</v>
      </c>
      <c r="C20" s="50">
        <f>IF(D11="","-",+C19+1)</f>
        <v>2021</v>
      </c>
      <c r="D20" s="431">
        <v>6741335.5411230857</v>
      </c>
      <c r="E20" s="430">
        <v>171342</v>
      </c>
      <c r="F20" s="431">
        <v>6569993.5411230857</v>
      </c>
      <c r="G20" s="430">
        <v>876872.6916380648</v>
      </c>
      <c r="H20" s="438">
        <v>876872.6916380648</v>
      </c>
      <c r="I20" s="52">
        <f t="shared" si="0"/>
        <v>0</v>
      </c>
      <c r="J20" s="52"/>
      <c r="K20" s="113">
        <f t="shared" si="1"/>
        <v>876872.6916380648</v>
      </c>
      <c r="L20" s="54">
        <f t="shared" ref="L20" si="8">IF(K20&lt;&gt;0,+G20-K20,0)</f>
        <v>0</v>
      </c>
      <c r="M20" s="113">
        <f t="shared" si="3"/>
        <v>876872.6916380648</v>
      </c>
      <c r="N20" s="54">
        <f t="shared" si="4"/>
        <v>0</v>
      </c>
      <c r="O20" s="54">
        <f t="shared" si="5"/>
        <v>0</v>
      </c>
      <c r="P20" s="1"/>
    </row>
    <row r="21" spans="2:16" ht="12.5">
      <c r="B21" s="7" t="str">
        <f t="shared" si="7"/>
        <v>IU</v>
      </c>
      <c r="C21" s="50">
        <f>IF(D11="","-",+C20+1)</f>
        <v>2022</v>
      </c>
      <c r="D21" s="431">
        <v>6561048.5609756093</v>
      </c>
      <c r="E21" s="430">
        <v>171342</v>
      </c>
      <c r="F21" s="431">
        <v>6389706.5609756093</v>
      </c>
      <c r="G21" s="430">
        <v>899459.98182080162</v>
      </c>
      <c r="H21" s="438">
        <v>899459.98182080162</v>
      </c>
      <c r="I21" s="52">
        <f t="shared" si="0"/>
        <v>0</v>
      </c>
      <c r="J21" s="52"/>
      <c r="K21" s="113">
        <f t="shared" si="1"/>
        <v>899459.98182080162</v>
      </c>
      <c r="L21" s="54">
        <f t="shared" ref="L21" si="9">IF(K21&lt;&gt;0,+G21-K21,0)</f>
        <v>0</v>
      </c>
      <c r="M21" s="113">
        <f t="shared" si="3"/>
        <v>899459.98182080162</v>
      </c>
      <c r="N21" s="54">
        <f t="shared" si="4"/>
        <v>0</v>
      </c>
      <c r="O21" s="54">
        <f t="shared" si="5"/>
        <v>0</v>
      </c>
      <c r="P21" s="1"/>
    </row>
    <row r="22" spans="2:16" ht="12.5">
      <c r="B22" s="7" t="str">
        <f t="shared" si="7"/>
        <v>IU</v>
      </c>
      <c r="C22" s="50">
        <f>IF(D11="","-",+C21+1)</f>
        <v>2023</v>
      </c>
      <c r="D22" s="431">
        <v>6389706.9209756106</v>
      </c>
      <c r="E22" s="430">
        <v>171342.00857142857</v>
      </c>
      <c r="F22" s="431">
        <v>6218364.9124041824</v>
      </c>
      <c r="G22" s="430">
        <v>967710.61723506683</v>
      </c>
      <c r="H22" s="438">
        <v>967710.61723506683</v>
      </c>
      <c r="I22" s="52">
        <f t="shared" si="0"/>
        <v>0</v>
      </c>
      <c r="J22" s="52"/>
      <c r="K22" s="113">
        <f t="shared" si="1"/>
        <v>967710.61723506683</v>
      </c>
      <c r="L22" s="54">
        <f t="shared" ref="L22" si="10">IF(K22&lt;&gt;0,+G22-K22,0)</f>
        <v>0</v>
      </c>
      <c r="M22" s="113">
        <f t="shared" si="3"/>
        <v>967710.61723506683</v>
      </c>
      <c r="N22" s="54">
        <f t="shared" si="4"/>
        <v>0</v>
      </c>
      <c r="O22" s="54">
        <f t="shared" si="5"/>
        <v>0</v>
      </c>
      <c r="P22" s="1"/>
    </row>
    <row r="23" spans="2:16" ht="12.5">
      <c r="B23" s="7" t="str">
        <f t="shared" si="7"/>
        <v/>
      </c>
      <c r="C23" s="50">
        <f>IF(D11="","-",+C22+1)</f>
        <v>2024</v>
      </c>
      <c r="D23" s="431">
        <v>6218364.9124041824</v>
      </c>
      <c r="E23" s="430">
        <v>163553.73545454547</v>
      </c>
      <c r="F23" s="431">
        <v>6054811.176949637</v>
      </c>
      <c r="G23" s="430">
        <v>897042.5025772223</v>
      </c>
      <c r="H23" s="438">
        <v>897042.5025772223</v>
      </c>
      <c r="I23" s="52">
        <f t="shared" si="0"/>
        <v>0</v>
      </c>
      <c r="J23" s="52"/>
      <c r="K23" s="113">
        <f t="shared" ref="K23" si="11">+G23</f>
        <v>897042.5025772223</v>
      </c>
      <c r="L23" s="54">
        <f t="shared" ref="L23" si="12">IF(K23&lt;&gt;0,+G23-K23,0)</f>
        <v>0</v>
      </c>
      <c r="M23" s="113">
        <f t="shared" ref="M23" si="13">+H23</f>
        <v>897042.5025772223</v>
      </c>
      <c r="N23" s="54">
        <f t="shared" ref="N23" si="14">IF(M23&lt;&gt;0,+H23-M23,0)</f>
        <v>0</v>
      </c>
      <c r="O23" s="54">
        <f t="shared" ref="O23" si="15">+N23-L23</f>
        <v>0</v>
      </c>
      <c r="P23" s="1"/>
    </row>
    <row r="24" spans="2:16" ht="12.5">
      <c r="B24" s="7" t="str">
        <f t="shared" si="7"/>
        <v/>
      </c>
      <c r="C24" s="50">
        <f>IF(D11="","-",+C23+1)</f>
        <v>2025</v>
      </c>
      <c r="D24" s="55">
        <f>IF(F23+SUM(E$17:E23)=D$10,F23,D$10-SUM(E$17:E23))</f>
        <v>6054811.176949637</v>
      </c>
      <c r="E24" s="378">
        <f>IF(+I14&lt;F23,I14,D24)</f>
        <v>163553.73545454547</v>
      </c>
      <c r="F24" s="55">
        <f t="shared" ref="F24:F72" si="16">+D24-E24</f>
        <v>5891257.4414950917</v>
      </c>
      <c r="G24" s="379">
        <f t="shared" ref="G24:G72" si="17">+I$12*((D24+F24)/2)+E24</f>
        <v>877493.39370703779</v>
      </c>
      <c r="H24" s="364">
        <f t="shared" ref="H24:H72" si="18">+I$13*((D24+F24)/2)+E24</f>
        <v>877493.39370703779</v>
      </c>
      <c r="I24" s="52">
        <f t="shared" si="0"/>
        <v>0</v>
      </c>
      <c r="J24" s="52"/>
      <c r="K24" s="129"/>
      <c r="L24" s="54">
        <f t="shared" si="2"/>
        <v>0</v>
      </c>
      <c r="M24" s="129"/>
      <c r="N24" s="54">
        <f t="shared" si="4"/>
        <v>0</v>
      </c>
      <c r="O24" s="54">
        <f t="shared" si="5"/>
        <v>0</v>
      </c>
      <c r="P24" s="1"/>
    </row>
    <row r="25" spans="2:16" ht="12.5">
      <c r="B25" s="7" t="str">
        <f t="shared" si="7"/>
        <v/>
      </c>
      <c r="C25" s="50">
        <f>IF(D11="","-",+C24+1)</f>
        <v>2026</v>
      </c>
      <c r="D25" s="55">
        <f>IF(F24+SUM(E$17:E24)=D$10,F24,D$10-SUM(E$17:E24))</f>
        <v>5891257.4414950917</v>
      </c>
      <c r="E25" s="378">
        <f>IF(+I14&lt;F24,I14,D25)</f>
        <v>163553.73545454547</v>
      </c>
      <c r="F25" s="55">
        <f t="shared" si="16"/>
        <v>5727703.7060405463</v>
      </c>
      <c r="G25" s="379">
        <f t="shared" si="17"/>
        <v>857944.28483685292</v>
      </c>
      <c r="H25" s="364">
        <f t="shared" si="18"/>
        <v>857944.28483685292</v>
      </c>
      <c r="I25" s="52">
        <f t="shared" si="0"/>
        <v>0</v>
      </c>
      <c r="J25" s="52"/>
      <c r="K25" s="129"/>
      <c r="L25" s="54">
        <f t="shared" si="2"/>
        <v>0</v>
      </c>
      <c r="M25" s="129"/>
      <c r="N25" s="54">
        <f t="shared" si="4"/>
        <v>0</v>
      </c>
      <c r="O25" s="54">
        <f t="shared" si="5"/>
        <v>0</v>
      </c>
      <c r="P25" s="1"/>
    </row>
    <row r="26" spans="2:16" ht="12.5">
      <c r="B26" s="7" t="str">
        <f t="shared" si="7"/>
        <v/>
      </c>
      <c r="C26" s="50">
        <f>IF(D11="","-",+C25+1)</f>
        <v>2027</v>
      </c>
      <c r="D26" s="55">
        <f>IF(F25+SUM(E$17:E25)=D$10,F25,D$10-SUM(E$17:E25))</f>
        <v>5727703.7060405463</v>
      </c>
      <c r="E26" s="378">
        <f>IF(+I14&lt;F25,I14,D26)</f>
        <v>163553.73545454547</v>
      </c>
      <c r="F26" s="55">
        <f t="shared" si="16"/>
        <v>5564149.9705860009</v>
      </c>
      <c r="G26" s="379">
        <f t="shared" si="17"/>
        <v>838395.17596666829</v>
      </c>
      <c r="H26" s="364">
        <f t="shared" si="18"/>
        <v>838395.17596666829</v>
      </c>
      <c r="I26" s="52">
        <f t="shared" si="0"/>
        <v>0</v>
      </c>
      <c r="J26" s="52"/>
      <c r="K26" s="129"/>
      <c r="L26" s="54">
        <f t="shared" si="2"/>
        <v>0</v>
      </c>
      <c r="M26" s="129"/>
      <c r="N26" s="54">
        <f t="shared" si="4"/>
        <v>0</v>
      </c>
      <c r="O26" s="54">
        <f t="shared" si="5"/>
        <v>0</v>
      </c>
      <c r="P26" s="1"/>
    </row>
    <row r="27" spans="2:16" ht="12.5">
      <c r="B27" s="7" t="str">
        <f t="shared" si="7"/>
        <v/>
      </c>
      <c r="C27" s="50">
        <f>IF(D11="","-",+C26+1)</f>
        <v>2028</v>
      </c>
      <c r="D27" s="55">
        <f>IF(F26+SUM(E$17:E26)=D$10,F26,D$10-SUM(E$17:E26))</f>
        <v>5564149.9705860009</v>
      </c>
      <c r="E27" s="378">
        <f>IF(+I14&lt;F26,I14,D27)</f>
        <v>163553.73545454547</v>
      </c>
      <c r="F27" s="55">
        <f t="shared" si="16"/>
        <v>5400596.2351314556</v>
      </c>
      <c r="G27" s="379">
        <f t="shared" si="17"/>
        <v>818846.06709648343</v>
      </c>
      <c r="H27" s="364">
        <f t="shared" si="18"/>
        <v>818846.06709648343</v>
      </c>
      <c r="I27" s="52">
        <f t="shared" si="0"/>
        <v>0</v>
      </c>
      <c r="J27" s="52"/>
      <c r="K27" s="129"/>
      <c r="L27" s="54">
        <f t="shared" si="2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7"/>
        <v/>
      </c>
      <c r="C28" s="50">
        <f>IF(D11="","-",+C27+1)</f>
        <v>2029</v>
      </c>
      <c r="D28" s="55">
        <f>IF(F27+SUM(E$17:E27)=D$10,F27,D$10-SUM(E$17:E27))</f>
        <v>5400596.2351314556</v>
      </c>
      <c r="E28" s="378">
        <f>IF(+I14&lt;F27,I14,D28)</f>
        <v>163553.73545454547</v>
      </c>
      <c r="F28" s="55">
        <f t="shared" si="16"/>
        <v>5237042.4996769102</v>
      </c>
      <c r="G28" s="379">
        <f t="shared" si="17"/>
        <v>799296.9582262988</v>
      </c>
      <c r="H28" s="364">
        <f t="shared" si="18"/>
        <v>799296.9582262988</v>
      </c>
      <c r="I28" s="52">
        <f t="shared" si="0"/>
        <v>0</v>
      </c>
      <c r="J28" s="52"/>
      <c r="K28" s="129"/>
      <c r="L28" s="54">
        <f t="shared" si="2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7"/>
        <v/>
      </c>
      <c r="C29" s="50">
        <f>IF(D11="","-",+C28+1)</f>
        <v>2030</v>
      </c>
      <c r="D29" s="55">
        <f>IF(F28+SUM(E$17:E28)=D$10,F28,D$10-SUM(E$17:E28))</f>
        <v>5237042.4996769102</v>
      </c>
      <c r="E29" s="378">
        <f>IF(+I14&lt;F28,I14,D29)</f>
        <v>163553.73545454547</v>
      </c>
      <c r="F29" s="55">
        <f t="shared" si="16"/>
        <v>5073488.7642223649</v>
      </c>
      <c r="G29" s="379">
        <f t="shared" si="17"/>
        <v>779747.84935611393</v>
      </c>
      <c r="H29" s="364">
        <f t="shared" si="18"/>
        <v>779747.84935611393</v>
      </c>
      <c r="I29" s="52">
        <f t="shared" si="0"/>
        <v>0</v>
      </c>
      <c r="J29" s="52"/>
      <c r="K29" s="129"/>
      <c r="L29" s="54">
        <f t="shared" si="2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7"/>
        <v/>
      </c>
      <c r="C30" s="50">
        <f>IF(D11="","-",+C29+1)</f>
        <v>2031</v>
      </c>
      <c r="D30" s="55">
        <f>IF(F29+SUM(E$17:E29)=D$10,F29,D$10-SUM(E$17:E29))</f>
        <v>5073488.7642223649</v>
      </c>
      <c r="E30" s="378">
        <f>IF(+I14&lt;F29,I14,D30)</f>
        <v>163553.73545454547</v>
      </c>
      <c r="F30" s="55">
        <f t="shared" si="16"/>
        <v>4909935.0287678195</v>
      </c>
      <c r="G30" s="379">
        <f t="shared" si="17"/>
        <v>760198.74048592942</v>
      </c>
      <c r="H30" s="364">
        <f t="shared" si="18"/>
        <v>760198.74048592942</v>
      </c>
      <c r="I30" s="52">
        <f t="shared" si="0"/>
        <v>0</v>
      </c>
      <c r="J30" s="52"/>
      <c r="K30" s="129"/>
      <c r="L30" s="54">
        <f t="shared" si="2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7"/>
        <v/>
      </c>
      <c r="C31" s="50">
        <f>IF(D11="","-",+C30+1)</f>
        <v>2032</v>
      </c>
      <c r="D31" s="55">
        <f>IF(F30+SUM(E$17:E30)=D$10,F30,D$10-SUM(E$17:E30))</f>
        <v>4909935.0287678195</v>
      </c>
      <c r="E31" s="378">
        <f>IF(+I14&lt;F30,I14,D31)</f>
        <v>163553.73545454547</v>
      </c>
      <c r="F31" s="55">
        <f t="shared" si="16"/>
        <v>4746381.2933132742</v>
      </c>
      <c r="G31" s="379">
        <f t="shared" si="17"/>
        <v>740649.63161574455</v>
      </c>
      <c r="H31" s="364">
        <f t="shared" si="18"/>
        <v>740649.63161574455</v>
      </c>
      <c r="I31" s="52">
        <f t="shared" si="0"/>
        <v>0</v>
      </c>
      <c r="J31" s="52"/>
      <c r="K31" s="129"/>
      <c r="L31" s="54">
        <f t="shared" si="2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7"/>
        <v/>
      </c>
      <c r="C32" s="50">
        <f>IF(D11="","-",+C31+1)</f>
        <v>2033</v>
      </c>
      <c r="D32" s="55">
        <f>IF(F31+SUM(E$17:E31)=D$10,F31,D$10-SUM(E$17:E31))</f>
        <v>4746381.2933132742</v>
      </c>
      <c r="E32" s="378">
        <f>IF(+I14&lt;F31,I14,D32)</f>
        <v>163553.73545454547</v>
      </c>
      <c r="F32" s="55">
        <f t="shared" si="16"/>
        <v>4582827.5578587288</v>
      </c>
      <c r="G32" s="379">
        <f t="shared" si="17"/>
        <v>721100.52274555992</v>
      </c>
      <c r="H32" s="364">
        <f t="shared" si="18"/>
        <v>721100.52274555992</v>
      </c>
      <c r="I32" s="52">
        <f t="shared" si="0"/>
        <v>0</v>
      </c>
      <c r="J32" s="52"/>
      <c r="K32" s="129"/>
      <c r="L32" s="54">
        <f t="shared" si="2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7"/>
        <v/>
      </c>
      <c r="C33" s="50">
        <f>IF(D11="","-",+C32+1)</f>
        <v>2034</v>
      </c>
      <c r="D33" s="55">
        <f>IF(F32+SUM(E$17:E32)=D$10,F32,D$10-SUM(E$17:E32))</f>
        <v>4582827.5578587288</v>
      </c>
      <c r="E33" s="378">
        <f>IF(+I14&lt;F32,I14,D33)</f>
        <v>163553.73545454547</v>
      </c>
      <c r="F33" s="55">
        <f t="shared" si="16"/>
        <v>4419273.8224041834</v>
      </c>
      <c r="G33" s="379">
        <f t="shared" si="17"/>
        <v>701551.41387537506</v>
      </c>
      <c r="H33" s="364">
        <f t="shared" si="18"/>
        <v>701551.41387537506</v>
      </c>
      <c r="I33" s="52">
        <f t="shared" si="0"/>
        <v>0</v>
      </c>
      <c r="J33" s="52"/>
      <c r="K33" s="129"/>
      <c r="L33" s="54">
        <f t="shared" si="2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7"/>
        <v/>
      </c>
      <c r="C34" s="50">
        <f>IF(D11="","-",+C33+1)</f>
        <v>2035</v>
      </c>
      <c r="D34" s="55">
        <f>IF(F33+SUM(E$17:E33)=D$10,F33,D$10-SUM(E$17:E33))</f>
        <v>4419273.8224041834</v>
      </c>
      <c r="E34" s="378">
        <f>IF(+I14&lt;F33,I14,D34)</f>
        <v>163553.73545454547</v>
      </c>
      <c r="F34" s="55">
        <f t="shared" si="16"/>
        <v>4255720.0869496381</v>
      </c>
      <c r="G34" s="379">
        <f t="shared" si="17"/>
        <v>682002.30500519043</v>
      </c>
      <c r="H34" s="364">
        <f t="shared" si="18"/>
        <v>682002.30500519043</v>
      </c>
      <c r="I34" s="52">
        <f t="shared" si="0"/>
        <v>0</v>
      </c>
      <c r="J34" s="52"/>
      <c r="K34" s="129"/>
      <c r="L34" s="54">
        <f t="shared" si="2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7"/>
        <v/>
      </c>
      <c r="C35" s="50">
        <f>IF(D11="","-",+C34+1)</f>
        <v>2036</v>
      </c>
      <c r="D35" s="55">
        <f>IF(F34+SUM(E$17:E34)=D$10,F34,D$10-SUM(E$17:E34))</f>
        <v>4255720.0869496381</v>
      </c>
      <c r="E35" s="378">
        <f>IF(+I14&lt;F34,I14,D35)</f>
        <v>163553.73545454547</v>
      </c>
      <c r="F35" s="55">
        <f t="shared" si="16"/>
        <v>4092166.3514950927</v>
      </c>
      <c r="G35" s="379">
        <f t="shared" si="17"/>
        <v>662453.19613500568</v>
      </c>
      <c r="H35" s="364">
        <f t="shared" si="18"/>
        <v>662453.19613500568</v>
      </c>
      <c r="I35" s="52">
        <f t="shared" si="0"/>
        <v>0</v>
      </c>
      <c r="J35" s="52"/>
      <c r="K35" s="129"/>
      <c r="L35" s="54">
        <f t="shared" si="2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7"/>
        <v/>
      </c>
      <c r="C36" s="50">
        <f>IF(D11="","-",+C35+1)</f>
        <v>2037</v>
      </c>
      <c r="D36" s="55">
        <f>IF(F35+SUM(E$17:E35)=D$10,F35,D$10-SUM(E$17:E35))</f>
        <v>4092166.3514950927</v>
      </c>
      <c r="E36" s="378">
        <f>IF(+I14&lt;F35,I14,D36)</f>
        <v>163553.73545454547</v>
      </c>
      <c r="F36" s="55">
        <f t="shared" si="16"/>
        <v>3928612.6160405474</v>
      </c>
      <c r="G36" s="379">
        <f t="shared" si="17"/>
        <v>642904.08726482093</v>
      </c>
      <c r="H36" s="364">
        <f t="shared" si="18"/>
        <v>642904.08726482093</v>
      </c>
      <c r="I36" s="52">
        <f t="shared" si="0"/>
        <v>0</v>
      </c>
      <c r="J36" s="52"/>
      <c r="K36" s="129"/>
      <c r="L36" s="54">
        <f t="shared" si="2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7"/>
        <v/>
      </c>
      <c r="C37" s="50">
        <f>IF(D11="","-",+C36+1)</f>
        <v>2038</v>
      </c>
      <c r="D37" s="55">
        <f>IF(F36+SUM(E$17:E36)=D$10,F36,D$10-SUM(E$17:E36))</f>
        <v>3928612.6160405474</v>
      </c>
      <c r="E37" s="378">
        <f>IF(+I14&lt;F36,I14,D37)</f>
        <v>163553.73545454547</v>
      </c>
      <c r="F37" s="55">
        <f t="shared" si="16"/>
        <v>3765058.880586002</v>
      </c>
      <c r="G37" s="379">
        <f t="shared" si="17"/>
        <v>623354.97839463619</v>
      </c>
      <c r="H37" s="364">
        <f t="shared" si="18"/>
        <v>623354.97839463619</v>
      </c>
      <c r="I37" s="52">
        <f t="shared" si="0"/>
        <v>0</v>
      </c>
      <c r="J37" s="52"/>
      <c r="K37" s="129"/>
      <c r="L37" s="54">
        <f t="shared" si="2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7"/>
        <v/>
      </c>
      <c r="C38" s="50">
        <f>IF(D11="","-",+C37+1)</f>
        <v>2039</v>
      </c>
      <c r="D38" s="55">
        <f>IF(F37+SUM(E$17:E37)=D$10,F37,D$10-SUM(E$17:E37))</f>
        <v>3765058.880586002</v>
      </c>
      <c r="E38" s="378">
        <f>IF(+I14&lt;F37,I14,D38)</f>
        <v>163553.73545454547</v>
      </c>
      <c r="F38" s="55">
        <f t="shared" si="16"/>
        <v>3601505.1451314567</v>
      </c>
      <c r="G38" s="379">
        <f t="shared" si="17"/>
        <v>603805.86952445144</v>
      </c>
      <c r="H38" s="364">
        <f t="shared" si="18"/>
        <v>603805.86952445144</v>
      </c>
      <c r="I38" s="52">
        <f t="shared" si="0"/>
        <v>0</v>
      </c>
      <c r="J38" s="52"/>
      <c r="K38" s="129"/>
      <c r="L38" s="54">
        <f t="shared" si="2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7"/>
        <v/>
      </c>
      <c r="C39" s="50">
        <f>IF(D11="","-",+C38+1)</f>
        <v>2040</v>
      </c>
      <c r="D39" s="55">
        <f>IF(F38+SUM(E$17:E38)=D$10,F38,D$10-SUM(E$17:E38))</f>
        <v>3601505.1451314567</v>
      </c>
      <c r="E39" s="378">
        <f>IF(+I14&lt;F38,I14,D39)</f>
        <v>163553.73545454547</v>
      </c>
      <c r="F39" s="55">
        <f t="shared" si="16"/>
        <v>3437951.4096769113</v>
      </c>
      <c r="G39" s="379">
        <f t="shared" si="17"/>
        <v>584256.76065426669</v>
      </c>
      <c r="H39" s="364">
        <f t="shared" si="18"/>
        <v>584256.76065426669</v>
      </c>
      <c r="I39" s="52">
        <f t="shared" si="0"/>
        <v>0</v>
      </c>
      <c r="J39" s="52"/>
      <c r="K39" s="129"/>
      <c r="L39" s="54">
        <f t="shared" si="2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7"/>
        <v/>
      </c>
      <c r="C40" s="50">
        <f>IF(D11="","-",+C39+1)</f>
        <v>2041</v>
      </c>
      <c r="D40" s="55">
        <f>IF(F39+SUM(E$17:E39)=D$10,F39,D$10-SUM(E$17:E39))</f>
        <v>3437951.4096769113</v>
      </c>
      <c r="E40" s="378">
        <f>IF(+I14&lt;F39,I14,D40)</f>
        <v>163553.73545454547</v>
      </c>
      <c r="F40" s="55">
        <f t="shared" si="16"/>
        <v>3274397.674222366</v>
      </c>
      <c r="G40" s="379">
        <f t="shared" si="17"/>
        <v>564707.65178408206</v>
      </c>
      <c r="H40" s="364">
        <f t="shared" si="18"/>
        <v>564707.65178408206</v>
      </c>
      <c r="I40" s="52">
        <f t="shared" si="0"/>
        <v>0</v>
      </c>
      <c r="J40" s="52"/>
      <c r="K40" s="129"/>
      <c r="L40" s="54">
        <f t="shared" si="2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7"/>
        <v/>
      </c>
      <c r="C41" s="50">
        <f>IF(D11="","-",+C40+1)</f>
        <v>2042</v>
      </c>
      <c r="D41" s="55">
        <f>IF(F40+SUM(E$17:E40)=D$10,F40,D$10-SUM(E$17:E40))</f>
        <v>3274397.674222366</v>
      </c>
      <c r="E41" s="378">
        <f>IF(+I14&lt;F40,I14,D41)</f>
        <v>163553.73545454547</v>
      </c>
      <c r="F41" s="55">
        <f t="shared" si="16"/>
        <v>3110843.9387678206</v>
      </c>
      <c r="G41" s="379">
        <f t="shared" si="17"/>
        <v>545158.54291389731</v>
      </c>
      <c r="H41" s="364">
        <f t="shared" si="18"/>
        <v>545158.54291389731</v>
      </c>
      <c r="I41" s="52">
        <f t="shared" si="0"/>
        <v>0</v>
      </c>
      <c r="J41" s="52"/>
      <c r="K41" s="129"/>
      <c r="L41" s="54">
        <f t="shared" si="2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7"/>
        <v/>
      </c>
      <c r="C42" s="50">
        <f>IF(D11="","-",+C41+1)</f>
        <v>2043</v>
      </c>
      <c r="D42" s="55">
        <f>IF(F41+SUM(E$17:E41)=D$10,F41,D$10-SUM(E$17:E41))</f>
        <v>3110843.9387678206</v>
      </c>
      <c r="E42" s="378">
        <f>IF(+I14&lt;F41,I14,D42)</f>
        <v>163553.73545454547</v>
      </c>
      <c r="F42" s="55">
        <f t="shared" si="16"/>
        <v>2947290.2033132752</v>
      </c>
      <c r="G42" s="379">
        <f t="shared" si="17"/>
        <v>525609.43404371256</v>
      </c>
      <c r="H42" s="364">
        <f t="shared" si="18"/>
        <v>525609.43404371256</v>
      </c>
      <c r="I42" s="52">
        <f t="shared" si="0"/>
        <v>0</v>
      </c>
      <c r="J42" s="52"/>
      <c r="K42" s="129"/>
      <c r="L42" s="54">
        <f t="shared" si="2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7"/>
        <v/>
      </c>
      <c r="C43" s="50">
        <f>IF(D11="","-",+C42+1)</f>
        <v>2044</v>
      </c>
      <c r="D43" s="55">
        <f>IF(F42+SUM(E$17:E42)=D$10,F42,D$10-SUM(E$17:E42))</f>
        <v>2947290.2033132752</v>
      </c>
      <c r="E43" s="378">
        <f>IF(+I14&lt;F42,I14,D43)</f>
        <v>163553.73545454547</v>
      </c>
      <c r="F43" s="55">
        <f t="shared" si="16"/>
        <v>2783736.4678587299</v>
      </c>
      <c r="G43" s="379">
        <f t="shared" si="17"/>
        <v>506060.32517352788</v>
      </c>
      <c r="H43" s="364">
        <f t="shared" si="18"/>
        <v>506060.32517352788</v>
      </c>
      <c r="I43" s="52">
        <f t="shared" si="0"/>
        <v>0</v>
      </c>
      <c r="J43" s="52"/>
      <c r="K43" s="129"/>
      <c r="L43" s="54">
        <f t="shared" si="2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7"/>
        <v/>
      </c>
      <c r="C44" s="50">
        <f>IF(D11="","-",+C43+1)</f>
        <v>2045</v>
      </c>
      <c r="D44" s="55">
        <f>IF(F43+SUM(E$17:E43)=D$10,F43,D$10-SUM(E$17:E43))</f>
        <v>2783736.4678587299</v>
      </c>
      <c r="E44" s="378">
        <f>IF(+I14&lt;F43,I14,D44)</f>
        <v>163553.73545454547</v>
      </c>
      <c r="F44" s="55">
        <f t="shared" si="16"/>
        <v>2620182.7324041845</v>
      </c>
      <c r="G44" s="379">
        <f t="shared" si="17"/>
        <v>486511.21630334313</v>
      </c>
      <c r="H44" s="364">
        <f t="shared" si="18"/>
        <v>486511.21630334313</v>
      </c>
      <c r="I44" s="52">
        <f t="shared" si="0"/>
        <v>0</v>
      </c>
      <c r="J44" s="52"/>
      <c r="K44" s="129"/>
      <c r="L44" s="54">
        <f t="shared" si="2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7"/>
        <v/>
      </c>
      <c r="C45" s="50">
        <f>IF(D11="","-",+C44+1)</f>
        <v>2046</v>
      </c>
      <c r="D45" s="55">
        <f>IF(F44+SUM(E$17:E44)=D$10,F44,D$10-SUM(E$17:E44))</f>
        <v>2620182.7324041845</v>
      </c>
      <c r="E45" s="378">
        <f>IF(+I14&lt;F44,I14,D45)</f>
        <v>163553.73545454547</v>
      </c>
      <c r="F45" s="55">
        <f t="shared" si="16"/>
        <v>2456628.9969496392</v>
      </c>
      <c r="G45" s="379">
        <f t="shared" si="17"/>
        <v>466962.10743315838</v>
      </c>
      <c r="H45" s="364">
        <f t="shared" si="18"/>
        <v>466962.10743315838</v>
      </c>
      <c r="I45" s="52">
        <f t="shared" si="0"/>
        <v>0</v>
      </c>
      <c r="J45" s="52"/>
      <c r="K45" s="129"/>
      <c r="L45" s="54">
        <f t="shared" si="2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7"/>
        <v/>
      </c>
      <c r="C46" s="50">
        <f>IF(D11="","-",+C45+1)</f>
        <v>2047</v>
      </c>
      <c r="D46" s="55">
        <f>IF(F45+SUM(E$17:E45)=D$10,F45,D$10-SUM(E$17:E45))</f>
        <v>2456628.9969496392</v>
      </c>
      <c r="E46" s="378">
        <f>IF(+I14&lt;F45,I14,D46)</f>
        <v>163553.73545454547</v>
      </c>
      <c r="F46" s="55">
        <f t="shared" si="16"/>
        <v>2293075.2614950938</v>
      </c>
      <c r="G46" s="379">
        <f t="shared" si="17"/>
        <v>447412.99856297369</v>
      </c>
      <c r="H46" s="364">
        <f t="shared" si="18"/>
        <v>447412.99856297369</v>
      </c>
      <c r="I46" s="52">
        <f t="shared" si="0"/>
        <v>0</v>
      </c>
      <c r="J46" s="52"/>
      <c r="K46" s="129"/>
      <c r="L46" s="54">
        <f t="shared" si="2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7"/>
        <v/>
      </c>
      <c r="C47" s="50">
        <f>IF(D11="","-",+C46+1)</f>
        <v>2048</v>
      </c>
      <c r="D47" s="55">
        <f>IF(F46+SUM(E$17:E46)=D$10,F46,D$10-SUM(E$17:E46))</f>
        <v>2293075.2614950938</v>
      </c>
      <c r="E47" s="378">
        <f>IF(+I14&lt;F46,I14,D47)</f>
        <v>163553.73545454547</v>
      </c>
      <c r="F47" s="55">
        <f t="shared" si="16"/>
        <v>2129521.5260405485</v>
      </c>
      <c r="G47" s="379">
        <f t="shared" si="17"/>
        <v>427863.88969278894</v>
      </c>
      <c r="H47" s="364">
        <f t="shared" si="18"/>
        <v>427863.88969278894</v>
      </c>
      <c r="I47" s="52">
        <f t="shared" si="0"/>
        <v>0</v>
      </c>
      <c r="J47" s="52"/>
      <c r="K47" s="129"/>
      <c r="L47" s="54">
        <f t="shared" si="2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7"/>
        <v/>
      </c>
      <c r="C48" s="50">
        <f>IF(D11="","-",+C47+1)</f>
        <v>2049</v>
      </c>
      <c r="D48" s="55">
        <f>IF(F47+SUM(E$17:E47)=D$10,F47,D$10-SUM(E$17:E47))</f>
        <v>2129521.5260405485</v>
      </c>
      <c r="E48" s="378">
        <f>IF(+I14&lt;F47,I14,D48)</f>
        <v>163553.73545454547</v>
      </c>
      <c r="F48" s="55">
        <f t="shared" si="16"/>
        <v>1965967.7905860031</v>
      </c>
      <c r="G48" s="379">
        <f t="shared" si="17"/>
        <v>408314.7808226042</v>
      </c>
      <c r="H48" s="364">
        <f t="shared" si="18"/>
        <v>408314.7808226042</v>
      </c>
      <c r="I48" s="52">
        <f t="shared" si="0"/>
        <v>0</v>
      </c>
      <c r="J48" s="52"/>
      <c r="K48" s="129"/>
      <c r="L48" s="54">
        <f t="shared" si="2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 ht="12.5">
      <c r="B49" s="7" t="str">
        <f t="shared" si="7"/>
        <v/>
      </c>
      <c r="C49" s="50">
        <f>IF(D11="","-",+C48+1)</f>
        <v>2050</v>
      </c>
      <c r="D49" s="55">
        <f>IF(F48+SUM(E$17:E48)=D$10,F48,D$10-SUM(E$17:E48))</f>
        <v>1965967.7905860031</v>
      </c>
      <c r="E49" s="378">
        <f>IF(+I14&lt;F48,I14,D49)</f>
        <v>163553.73545454547</v>
      </c>
      <c r="F49" s="55">
        <f t="shared" si="16"/>
        <v>1802414.0551314577</v>
      </c>
      <c r="G49" s="379">
        <f t="shared" si="17"/>
        <v>388765.67195241945</v>
      </c>
      <c r="H49" s="364">
        <f t="shared" si="18"/>
        <v>388765.67195241945</v>
      </c>
      <c r="I49" s="52">
        <f t="shared" si="0"/>
        <v>0</v>
      </c>
      <c r="J49" s="52"/>
      <c r="K49" s="129"/>
      <c r="L49" s="54">
        <f t="shared" si="2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 ht="12.5">
      <c r="B50" s="7" t="str">
        <f t="shared" si="7"/>
        <v/>
      </c>
      <c r="C50" s="50">
        <f>IF(D11="","-",+C49+1)</f>
        <v>2051</v>
      </c>
      <c r="D50" s="55">
        <f>IF(F49+SUM(E$17:E49)=D$10,F49,D$10-SUM(E$17:E49))</f>
        <v>1802414.0551314577</v>
      </c>
      <c r="E50" s="378">
        <f>IF(+I14&lt;F49,I14,D50)</f>
        <v>163553.73545454547</v>
      </c>
      <c r="F50" s="55">
        <f t="shared" si="16"/>
        <v>1638860.3196769124</v>
      </c>
      <c r="G50" s="379">
        <f t="shared" si="17"/>
        <v>369216.56308223476</v>
      </c>
      <c r="H50" s="364">
        <f t="shared" si="18"/>
        <v>369216.56308223476</v>
      </c>
      <c r="I50" s="52">
        <f t="shared" si="0"/>
        <v>0</v>
      </c>
      <c r="J50" s="52"/>
      <c r="K50" s="129"/>
      <c r="L50" s="54">
        <f t="shared" si="2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 ht="12.5">
      <c r="B51" s="7" t="str">
        <f t="shared" si="7"/>
        <v/>
      </c>
      <c r="C51" s="50">
        <f>IF(D11="","-",+C50+1)</f>
        <v>2052</v>
      </c>
      <c r="D51" s="55">
        <f>IF(F50+SUM(E$17:E50)=D$10,F50,D$10-SUM(E$17:E50))</f>
        <v>1638860.3196769124</v>
      </c>
      <c r="E51" s="378">
        <f>IF(+I14&lt;F50,I14,D51)</f>
        <v>163553.73545454547</v>
      </c>
      <c r="F51" s="55">
        <f t="shared" si="16"/>
        <v>1475306.584222367</v>
      </c>
      <c r="G51" s="379">
        <f t="shared" si="17"/>
        <v>349667.45421205007</v>
      </c>
      <c r="H51" s="364">
        <f t="shared" si="18"/>
        <v>349667.45421205007</v>
      </c>
      <c r="I51" s="52">
        <f t="shared" si="0"/>
        <v>0</v>
      </c>
      <c r="J51" s="52"/>
      <c r="K51" s="129"/>
      <c r="L51" s="54">
        <f t="shared" si="2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 ht="12.5">
      <c r="B52" s="7" t="str">
        <f t="shared" si="7"/>
        <v/>
      </c>
      <c r="C52" s="50">
        <f>IF(D11="","-",+C51+1)</f>
        <v>2053</v>
      </c>
      <c r="D52" s="55">
        <f>IF(F51+SUM(E$17:E51)=D$10,F51,D$10-SUM(E$17:E51))</f>
        <v>1475306.584222367</v>
      </c>
      <c r="E52" s="378">
        <f>IF(+I14&lt;F51,I14,D52)</f>
        <v>163553.73545454547</v>
      </c>
      <c r="F52" s="55">
        <f t="shared" si="16"/>
        <v>1311752.8487678217</v>
      </c>
      <c r="G52" s="379">
        <f t="shared" si="17"/>
        <v>330118.34534186532</v>
      </c>
      <c r="H52" s="364">
        <f t="shared" si="18"/>
        <v>330118.34534186532</v>
      </c>
      <c r="I52" s="52">
        <f t="shared" si="0"/>
        <v>0</v>
      </c>
      <c r="J52" s="52"/>
      <c r="K52" s="129"/>
      <c r="L52" s="54">
        <f t="shared" si="2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 ht="12.5">
      <c r="B53" s="7" t="str">
        <f t="shared" si="7"/>
        <v/>
      </c>
      <c r="C53" s="50">
        <f>IF(D11="","-",+C52+1)</f>
        <v>2054</v>
      </c>
      <c r="D53" s="55">
        <f>IF(F52+SUM(E$17:E52)=D$10,F52,D$10-SUM(E$17:E52))</f>
        <v>1311752.8487678217</v>
      </c>
      <c r="E53" s="378">
        <f>IF(+I14&lt;F52,I14,D53)</f>
        <v>163553.73545454547</v>
      </c>
      <c r="F53" s="55">
        <f t="shared" si="16"/>
        <v>1148199.1133132763</v>
      </c>
      <c r="G53" s="379">
        <f t="shared" si="17"/>
        <v>310569.23647168058</v>
      </c>
      <c r="H53" s="364">
        <f t="shared" si="18"/>
        <v>310569.23647168058</v>
      </c>
      <c r="I53" s="52">
        <f t="shared" si="0"/>
        <v>0</v>
      </c>
      <c r="J53" s="52"/>
      <c r="K53" s="129"/>
      <c r="L53" s="54">
        <f t="shared" si="2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 ht="12.5">
      <c r="B54" s="7" t="str">
        <f t="shared" si="7"/>
        <v/>
      </c>
      <c r="C54" s="50">
        <f>IF(D11="","-",+C53+1)</f>
        <v>2055</v>
      </c>
      <c r="D54" s="55">
        <f>IF(F53+SUM(E$17:E53)=D$10,F53,D$10-SUM(E$17:E53))</f>
        <v>1148199.1133132763</v>
      </c>
      <c r="E54" s="378">
        <f>IF(+I14&lt;F53,I14,D54)</f>
        <v>163553.73545454547</v>
      </c>
      <c r="F54" s="55">
        <f t="shared" si="16"/>
        <v>984645.37785873085</v>
      </c>
      <c r="G54" s="379">
        <f t="shared" si="17"/>
        <v>291020.12760149583</v>
      </c>
      <c r="H54" s="364">
        <f t="shared" si="18"/>
        <v>291020.12760149583</v>
      </c>
      <c r="I54" s="52">
        <f t="shared" si="0"/>
        <v>0</v>
      </c>
      <c r="J54" s="52"/>
      <c r="K54" s="129"/>
      <c r="L54" s="54">
        <f t="shared" si="2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 ht="12.5">
      <c r="B55" s="7" t="str">
        <f t="shared" si="7"/>
        <v/>
      </c>
      <c r="C55" s="50">
        <f>IF(D11="","-",+C54+1)</f>
        <v>2056</v>
      </c>
      <c r="D55" s="55">
        <f>IF(F54+SUM(E$17:E54)=D$10,F54,D$10-SUM(E$17:E54))</f>
        <v>984645.37785873085</v>
      </c>
      <c r="E55" s="378">
        <f>IF(+I14&lt;F54,I14,D55)</f>
        <v>163553.73545454547</v>
      </c>
      <c r="F55" s="55">
        <f t="shared" si="16"/>
        <v>821091.64240418538</v>
      </c>
      <c r="G55" s="379">
        <f t="shared" si="17"/>
        <v>271471.01873131108</v>
      </c>
      <c r="H55" s="364">
        <f t="shared" si="18"/>
        <v>271471.01873131108</v>
      </c>
      <c r="I55" s="52">
        <f t="shared" si="0"/>
        <v>0</v>
      </c>
      <c r="J55" s="52"/>
      <c r="K55" s="129"/>
      <c r="L55" s="54">
        <f t="shared" si="2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 ht="12.5">
      <c r="B56" s="7" t="str">
        <f t="shared" si="7"/>
        <v/>
      </c>
      <c r="C56" s="50">
        <f>IF(D11="","-",+C55+1)</f>
        <v>2057</v>
      </c>
      <c r="D56" s="55">
        <f>IF(F55+SUM(E$17:E55)=D$10,F55,D$10-SUM(E$17:E55))</f>
        <v>821091.64240418538</v>
      </c>
      <c r="E56" s="378">
        <f>IF(+I14&lt;F55,I14,D56)</f>
        <v>163553.73545454547</v>
      </c>
      <c r="F56" s="55">
        <f t="shared" si="16"/>
        <v>657537.9069496399</v>
      </c>
      <c r="G56" s="379">
        <f t="shared" si="17"/>
        <v>251921.90986112636</v>
      </c>
      <c r="H56" s="364">
        <f t="shared" si="18"/>
        <v>251921.90986112636</v>
      </c>
      <c r="I56" s="52">
        <f t="shared" si="0"/>
        <v>0</v>
      </c>
      <c r="J56" s="52"/>
      <c r="K56" s="129"/>
      <c r="L56" s="54">
        <f t="shared" si="2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 ht="12.5">
      <c r="B57" s="7" t="str">
        <f t="shared" si="7"/>
        <v/>
      </c>
      <c r="C57" s="50">
        <f>IF(D11="","-",+C56+1)</f>
        <v>2058</v>
      </c>
      <c r="D57" s="55">
        <f>IF(F56+SUM(E$17:E56)=D$10,F56,D$10-SUM(E$17:E56))</f>
        <v>657537.9069496399</v>
      </c>
      <c r="E57" s="378">
        <f>IF(+I14&lt;F56,I14,D57)</f>
        <v>163553.73545454547</v>
      </c>
      <c r="F57" s="55">
        <f t="shared" si="16"/>
        <v>493984.17149509443</v>
      </c>
      <c r="G57" s="379">
        <f t="shared" si="17"/>
        <v>232372.80099094161</v>
      </c>
      <c r="H57" s="364">
        <f t="shared" si="18"/>
        <v>232372.80099094161</v>
      </c>
      <c r="I57" s="52">
        <f t="shared" si="0"/>
        <v>0</v>
      </c>
      <c r="J57" s="52"/>
      <c r="K57" s="129"/>
      <c r="L57" s="54">
        <f t="shared" si="2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 ht="12.5">
      <c r="B58" s="7" t="str">
        <f t="shared" si="7"/>
        <v/>
      </c>
      <c r="C58" s="50">
        <f>IF(D11="","-",+C57+1)</f>
        <v>2059</v>
      </c>
      <c r="D58" s="55">
        <f>IF(F57+SUM(E$17:E57)=D$10,F57,D$10-SUM(E$17:E57))</f>
        <v>493984.17149509443</v>
      </c>
      <c r="E58" s="378">
        <f>IF(+I14&lt;F57,I14,D58)</f>
        <v>163553.73545454547</v>
      </c>
      <c r="F58" s="55">
        <f t="shared" si="16"/>
        <v>330430.43604054896</v>
      </c>
      <c r="G58" s="379">
        <f t="shared" si="17"/>
        <v>212823.69212075687</v>
      </c>
      <c r="H58" s="364">
        <f t="shared" si="18"/>
        <v>212823.69212075687</v>
      </c>
      <c r="I58" s="52">
        <f t="shared" si="0"/>
        <v>0</v>
      </c>
      <c r="J58" s="52"/>
      <c r="K58" s="129"/>
      <c r="L58" s="54">
        <f t="shared" si="2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 ht="12.5">
      <c r="B59" s="7" t="str">
        <f t="shared" si="7"/>
        <v/>
      </c>
      <c r="C59" s="50">
        <f>IF(D11="","-",+C58+1)</f>
        <v>2060</v>
      </c>
      <c r="D59" s="55">
        <f>IF(F58+SUM(E$17:E58)=D$10,F58,D$10-SUM(E$17:E58))</f>
        <v>330430.43604054896</v>
      </c>
      <c r="E59" s="378">
        <f>IF(+I14&lt;F58,I14,D59)</f>
        <v>163553.73545454547</v>
      </c>
      <c r="F59" s="55">
        <f t="shared" si="16"/>
        <v>166876.70058600348</v>
      </c>
      <c r="G59" s="379">
        <f t="shared" si="17"/>
        <v>193274.58325057215</v>
      </c>
      <c r="H59" s="364">
        <f t="shared" si="18"/>
        <v>193274.58325057215</v>
      </c>
      <c r="I59" s="52">
        <f t="shared" si="0"/>
        <v>0</v>
      </c>
      <c r="J59" s="52"/>
      <c r="K59" s="129"/>
      <c r="L59" s="54">
        <f t="shared" si="2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 ht="12.5">
      <c r="B60" s="7" t="str">
        <f t="shared" si="7"/>
        <v/>
      </c>
      <c r="C60" s="50">
        <f>IF(D11="","-",+C59+1)</f>
        <v>2061</v>
      </c>
      <c r="D60" s="55">
        <f>IF(F59+SUM(E$17:E59)=D$10,F59,D$10-SUM(E$17:E59))</f>
        <v>166876.70058600348</v>
      </c>
      <c r="E60" s="378">
        <f>IF(+I14&lt;F59,I14,D60)</f>
        <v>163553.73545454547</v>
      </c>
      <c r="F60" s="55">
        <f t="shared" si="16"/>
        <v>3322.9651314580115</v>
      </c>
      <c r="G60" s="379">
        <f t="shared" si="17"/>
        <v>173725.4743803874</v>
      </c>
      <c r="H60" s="364">
        <f t="shared" si="18"/>
        <v>173725.4743803874</v>
      </c>
      <c r="I60" s="52">
        <f t="shared" si="0"/>
        <v>0</v>
      </c>
      <c r="J60" s="52"/>
      <c r="K60" s="129"/>
      <c r="L60" s="54">
        <f t="shared" si="2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 ht="12.5">
      <c r="B61" s="7" t="str">
        <f t="shared" si="7"/>
        <v/>
      </c>
      <c r="C61" s="50">
        <f>IF(D11="","-",+C60+1)</f>
        <v>2062</v>
      </c>
      <c r="D61" s="55">
        <f>IF(F60+SUM(E$17:E60)=D$10,F60,D$10-SUM(E$17:E60))</f>
        <v>3322.9651314580115</v>
      </c>
      <c r="E61" s="378">
        <f>IF(+I14&lt;F60,I14,D61)</f>
        <v>3322.9651314580115</v>
      </c>
      <c r="F61" s="55">
        <f t="shared" si="16"/>
        <v>0</v>
      </c>
      <c r="G61" s="380">
        <f t="shared" si="17"/>
        <v>3521.5573768327868</v>
      </c>
      <c r="H61" s="364">
        <f t="shared" si="18"/>
        <v>3521.5573768327868</v>
      </c>
      <c r="I61" s="52">
        <f t="shared" si="0"/>
        <v>0</v>
      </c>
      <c r="J61" s="52"/>
      <c r="K61" s="129"/>
      <c r="L61" s="54">
        <f t="shared" si="2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 ht="12.5">
      <c r="B62" s="7" t="str">
        <f t="shared" si="7"/>
        <v/>
      </c>
      <c r="C62" s="50">
        <f>IF(D11="","-",+C61+1)</f>
        <v>2063</v>
      </c>
      <c r="D62" s="55">
        <f>IF(F61+SUM(E$17:E61)=D$10,F61,D$10-SUM(E$17:E61))</f>
        <v>0</v>
      </c>
      <c r="E62" s="378">
        <f>IF(+I14&lt;F61,I14,D62)</f>
        <v>0</v>
      </c>
      <c r="F62" s="55">
        <f t="shared" si="16"/>
        <v>0</v>
      </c>
      <c r="G62" s="380">
        <f t="shared" si="17"/>
        <v>0</v>
      </c>
      <c r="H62" s="364">
        <f t="shared" si="18"/>
        <v>0</v>
      </c>
      <c r="I62" s="52">
        <f t="shared" si="0"/>
        <v>0</v>
      </c>
      <c r="J62" s="52"/>
      <c r="K62" s="129"/>
      <c r="L62" s="54">
        <f t="shared" si="2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 ht="12.5">
      <c r="B63" s="7" t="str">
        <f t="shared" si="7"/>
        <v/>
      </c>
      <c r="C63" s="50">
        <f>IF(D11="","-",+C62+1)</f>
        <v>2064</v>
      </c>
      <c r="D63" s="55">
        <f>IF(F62+SUM(E$17:E62)=D$10,F62,D$10-SUM(E$17:E62))</f>
        <v>0</v>
      </c>
      <c r="E63" s="378">
        <f>IF(+I14&lt;F62,I14,D63)</f>
        <v>0</v>
      </c>
      <c r="F63" s="55">
        <f t="shared" si="16"/>
        <v>0</v>
      </c>
      <c r="G63" s="380">
        <f t="shared" si="17"/>
        <v>0</v>
      </c>
      <c r="H63" s="364">
        <f t="shared" si="18"/>
        <v>0</v>
      </c>
      <c r="I63" s="52">
        <f t="shared" si="0"/>
        <v>0</v>
      </c>
      <c r="J63" s="52"/>
      <c r="K63" s="129"/>
      <c r="L63" s="54">
        <f t="shared" si="2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 ht="12.5">
      <c r="B64" s="7" t="str">
        <f t="shared" si="7"/>
        <v/>
      </c>
      <c r="C64" s="50">
        <f>IF(D11="","-",+C63+1)</f>
        <v>2065</v>
      </c>
      <c r="D64" s="55">
        <f>IF(F63+SUM(E$17:E63)=D$10,F63,D$10-SUM(E$17:E63))</f>
        <v>0</v>
      </c>
      <c r="E64" s="378">
        <f>IF(+I14&lt;F63,I14,D64)</f>
        <v>0</v>
      </c>
      <c r="F64" s="55">
        <f t="shared" si="16"/>
        <v>0</v>
      </c>
      <c r="G64" s="380">
        <f t="shared" si="17"/>
        <v>0</v>
      </c>
      <c r="H64" s="364">
        <f t="shared" si="18"/>
        <v>0</v>
      </c>
      <c r="I64" s="52">
        <f t="shared" si="0"/>
        <v>0</v>
      </c>
      <c r="J64" s="52"/>
      <c r="K64" s="129"/>
      <c r="L64" s="54">
        <f t="shared" si="2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 ht="12.5">
      <c r="B65" s="7" t="str">
        <f t="shared" si="7"/>
        <v/>
      </c>
      <c r="C65" s="50">
        <f>IF(D11="","-",+C64+1)</f>
        <v>2066</v>
      </c>
      <c r="D65" s="55">
        <f>IF(F64+SUM(E$17:E64)=D$10,F64,D$10-SUM(E$17:E64))</f>
        <v>0</v>
      </c>
      <c r="E65" s="378">
        <f>IF(+I14&lt;F64,I14,D65)</f>
        <v>0</v>
      </c>
      <c r="F65" s="55">
        <f t="shared" si="16"/>
        <v>0</v>
      </c>
      <c r="G65" s="380">
        <f t="shared" si="17"/>
        <v>0</v>
      </c>
      <c r="H65" s="364">
        <f t="shared" si="18"/>
        <v>0</v>
      </c>
      <c r="I65" s="52">
        <f t="shared" si="0"/>
        <v>0</v>
      </c>
      <c r="J65" s="52"/>
      <c r="K65" s="129"/>
      <c r="L65" s="54">
        <f t="shared" si="2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 ht="12.5">
      <c r="B66" s="7" t="str">
        <f t="shared" si="7"/>
        <v/>
      </c>
      <c r="C66" s="50">
        <f>IF(D11="","-",+C65+1)</f>
        <v>2067</v>
      </c>
      <c r="D66" s="55">
        <f>IF(F65+SUM(E$17:E65)=D$10,F65,D$10-SUM(E$17:E65))</f>
        <v>0</v>
      </c>
      <c r="E66" s="378">
        <f>IF(+I14&lt;F65,I14,D66)</f>
        <v>0</v>
      </c>
      <c r="F66" s="55">
        <f t="shared" si="16"/>
        <v>0</v>
      </c>
      <c r="G66" s="380">
        <f t="shared" si="17"/>
        <v>0</v>
      </c>
      <c r="H66" s="364">
        <f t="shared" si="18"/>
        <v>0</v>
      </c>
      <c r="I66" s="52">
        <f t="shared" si="0"/>
        <v>0</v>
      </c>
      <c r="J66" s="52"/>
      <c r="K66" s="129"/>
      <c r="L66" s="54">
        <f t="shared" si="2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 ht="12.5">
      <c r="B67" s="7" t="str">
        <f t="shared" si="7"/>
        <v/>
      </c>
      <c r="C67" s="50">
        <f>IF(D11="","-",+C66+1)</f>
        <v>2068</v>
      </c>
      <c r="D67" s="55">
        <f>IF(F66+SUM(E$17:E66)=D$10,F66,D$10-SUM(E$17:E66))</f>
        <v>0</v>
      </c>
      <c r="E67" s="378">
        <f>IF(+I14&lt;F66,I14,D67)</f>
        <v>0</v>
      </c>
      <c r="F67" s="55">
        <f t="shared" si="16"/>
        <v>0</v>
      </c>
      <c r="G67" s="380">
        <f t="shared" si="17"/>
        <v>0</v>
      </c>
      <c r="H67" s="364">
        <f t="shared" si="18"/>
        <v>0</v>
      </c>
      <c r="I67" s="52">
        <f t="shared" si="0"/>
        <v>0</v>
      </c>
      <c r="J67" s="52"/>
      <c r="K67" s="129"/>
      <c r="L67" s="54">
        <f t="shared" si="2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 ht="12.5">
      <c r="B68" s="7" t="str">
        <f t="shared" si="7"/>
        <v/>
      </c>
      <c r="C68" s="50">
        <f>IF(D11="","-",+C67+1)</f>
        <v>2069</v>
      </c>
      <c r="D68" s="55">
        <f>IF(F67+SUM(E$17:E67)=D$10,F67,D$10-SUM(E$17:E67))</f>
        <v>0</v>
      </c>
      <c r="E68" s="378">
        <f>IF(+I14&lt;F67,I14,D68)</f>
        <v>0</v>
      </c>
      <c r="F68" s="55">
        <f t="shared" si="16"/>
        <v>0</v>
      </c>
      <c r="G68" s="380">
        <f t="shared" si="17"/>
        <v>0</v>
      </c>
      <c r="H68" s="364">
        <f t="shared" si="18"/>
        <v>0</v>
      </c>
      <c r="I68" s="52">
        <f t="shared" si="0"/>
        <v>0</v>
      </c>
      <c r="J68" s="52"/>
      <c r="K68" s="129"/>
      <c r="L68" s="54">
        <f t="shared" si="2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 ht="12.5">
      <c r="B69" s="7" t="str">
        <f t="shared" si="7"/>
        <v/>
      </c>
      <c r="C69" s="50">
        <f>IF(D11="","-",+C68+1)</f>
        <v>2070</v>
      </c>
      <c r="D69" s="55">
        <f>IF(F68+SUM(E$17:E68)=D$10,F68,D$10-SUM(E$17:E68))</f>
        <v>0</v>
      </c>
      <c r="E69" s="378">
        <f>IF(+I14&lt;F68,I14,D69)</f>
        <v>0</v>
      </c>
      <c r="F69" s="55">
        <f t="shared" si="16"/>
        <v>0</v>
      </c>
      <c r="G69" s="380">
        <f t="shared" si="17"/>
        <v>0</v>
      </c>
      <c r="H69" s="364">
        <f t="shared" si="18"/>
        <v>0</v>
      </c>
      <c r="I69" s="52">
        <f t="shared" si="0"/>
        <v>0</v>
      </c>
      <c r="J69" s="52"/>
      <c r="K69" s="129"/>
      <c r="L69" s="54">
        <f t="shared" si="2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 ht="12.5">
      <c r="B70" s="7" t="str">
        <f t="shared" si="7"/>
        <v/>
      </c>
      <c r="C70" s="50">
        <f>IF(D11="","-",+C69+1)</f>
        <v>2071</v>
      </c>
      <c r="D70" s="55">
        <f>IF(F69+SUM(E$17:E69)=D$10,F69,D$10-SUM(E$17:E69))</f>
        <v>0</v>
      </c>
      <c r="E70" s="378">
        <f>IF(+I14&lt;F69,I14,D70)</f>
        <v>0</v>
      </c>
      <c r="F70" s="55">
        <f t="shared" si="16"/>
        <v>0</v>
      </c>
      <c r="G70" s="380">
        <f t="shared" si="17"/>
        <v>0</v>
      </c>
      <c r="H70" s="364">
        <f t="shared" si="18"/>
        <v>0</v>
      </c>
      <c r="I70" s="52">
        <f t="shared" si="0"/>
        <v>0</v>
      </c>
      <c r="J70" s="52"/>
      <c r="K70" s="129"/>
      <c r="L70" s="54">
        <f t="shared" si="2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 ht="12.5">
      <c r="B71" s="7" t="str">
        <f t="shared" si="7"/>
        <v/>
      </c>
      <c r="C71" s="50">
        <f>IF(D11="","-",+C70+1)</f>
        <v>2072</v>
      </c>
      <c r="D71" s="55">
        <f>IF(F70+SUM(E$17:E70)=D$10,F70,D$10-SUM(E$17:E70))</f>
        <v>0</v>
      </c>
      <c r="E71" s="378">
        <f>IF(+I14&lt;F70,I14,D71)</f>
        <v>0</v>
      </c>
      <c r="F71" s="55">
        <f t="shared" si="16"/>
        <v>0</v>
      </c>
      <c r="G71" s="380">
        <f t="shared" si="17"/>
        <v>0</v>
      </c>
      <c r="H71" s="364">
        <f t="shared" si="18"/>
        <v>0</v>
      </c>
      <c r="I71" s="52">
        <f t="shared" si="0"/>
        <v>0</v>
      </c>
      <c r="J71" s="52"/>
      <c r="K71" s="129"/>
      <c r="L71" s="54">
        <f t="shared" si="2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" thickBot="1">
      <c r="B72" s="7" t="str">
        <f t="shared" si="7"/>
        <v/>
      </c>
      <c r="C72" s="59">
        <f>IF(D11="","-",+C71+1)</f>
        <v>2073</v>
      </c>
      <c r="D72" s="60">
        <f>IF(F71+SUM(E$17:E71)=D$10,F71,D$10-SUM(E$17:E71))</f>
        <v>0</v>
      </c>
      <c r="E72" s="381">
        <f>IF(+I14&lt;F71,I14,D72)</f>
        <v>0</v>
      </c>
      <c r="F72" s="60">
        <f t="shared" si="16"/>
        <v>0</v>
      </c>
      <c r="G72" s="382">
        <f t="shared" si="17"/>
        <v>0</v>
      </c>
      <c r="H72" s="362">
        <f t="shared" si="18"/>
        <v>0</v>
      </c>
      <c r="I72" s="63">
        <f t="shared" si="0"/>
        <v>0</v>
      </c>
      <c r="J72" s="52"/>
      <c r="K72" s="130"/>
      <c r="L72" s="64">
        <f t="shared" si="2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 ht="12.5">
      <c r="C73" s="12" t="s">
        <v>78</v>
      </c>
      <c r="D73" s="293"/>
      <c r="E73" s="293">
        <f>SUM(E17:E72)</f>
        <v>7196364.3600000003</v>
      </c>
      <c r="F73" s="293"/>
      <c r="G73" s="293">
        <f>SUM(G17:G72)</f>
        <v>25726626.900626913</v>
      </c>
      <c r="H73" s="293">
        <f>SUM(H17:H72)</f>
        <v>25726626.900626913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 ht="13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70 of 77</v>
      </c>
    </row>
    <row r="84" spans="1:16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897042.5025772223</v>
      </c>
      <c r="N87" s="387">
        <f>IF(J92&lt;D11,0,VLOOKUP(J92,C17:O72,11))</f>
        <v>897042.5025772223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933103.07104651525</v>
      </c>
      <c r="N88" s="390">
        <f>IF(J92&lt;D11,0,VLOOKUP(J92,C99:P154,7))</f>
        <v>933103.07104651525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Linwood - South Shreveport 138 KV Kine Rebuild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36060.56846929295</v>
      </c>
      <c r="N89" s="392">
        <f>+N88-N87</f>
        <v>36060.56846929295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TP2014139</v>
      </c>
      <c r="E91" s="76" t="str">
        <f>E9</f>
        <v xml:space="preserve">  SPP Project ID = 30889</v>
      </c>
      <c r="F91" s="76"/>
      <c r="G91" s="76"/>
      <c r="H91" s="76"/>
      <c r="I91" s="76"/>
      <c r="J91" s="76"/>
    </row>
    <row r="92" spans="1:16" ht="13">
      <c r="C92" s="34" t="s">
        <v>51</v>
      </c>
      <c r="D92" s="394">
        <f>D10</f>
        <v>7196364.3600000003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</row>
    <row r="93" spans="1:16" ht="12.5">
      <c r="C93" s="34" t="s">
        <v>54</v>
      </c>
      <c r="D93" s="88">
        <f>D11</f>
        <v>2018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4">
        <f>D12</f>
        <v>5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163553.73545454547</v>
      </c>
      <c r="K96" s="293"/>
      <c r="L96" s="293"/>
      <c r="M96" s="293"/>
      <c r="N96" s="293"/>
      <c r="O96" s="293"/>
      <c r="P96" s="1"/>
    </row>
    <row r="97" spans="1:16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5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 ht="12.5">
      <c r="C99" s="50">
        <f>IF(D93= "","-",D93)</f>
        <v>2018</v>
      </c>
      <c r="D99" s="429">
        <v>0</v>
      </c>
      <c r="E99" s="430">
        <v>85659.654761904763</v>
      </c>
      <c r="F99" s="431">
        <v>7109751.3452380951</v>
      </c>
      <c r="G99" s="431">
        <v>3554875.6726190476</v>
      </c>
      <c r="H99" s="433">
        <v>461070.82780968421</v>
      </c>
      <c r="I99" s="434">
        <v>461070.82780968421</v>
      </c>
      <c r="J99" s="54">
        <f t="shared" ref="J99:J130" si="19">+I99-H99</f>
        <v>0</v>
      </c>
      <c r="K99" s="54"/>
      <c r="L99" s="112">
        <f t="shared" ref="L99:L104" si="20">+H99</f>
        <v>461070.82780968421</v>
      </c>
      <c r="M99" s="53">
        <f t="shared" ref="M99:M100" si="21">IF(L99&lt;&gt;0,+H99-L99,0)</f>
        <v>0</v>
      </c>
      <c r="N99" s="112">
        <f t="shared" ref="N99:N104" si="22">+I99</f>
        <v>461070.82780968421</v>
      </c>
      <c r="O99" s="53">
        <f t="shared" ref="O99:O130" si="23">IF(N99&lt;&gt;0,+I99-N99,0)</f>
        <v>0</v>
      </c>
      <c r="P99" s="53">
        <f t="shared" ref="P99:P130" si="24">+O99-M99</f>
        <v>0</v>
      </c>
    </row>
    <row r="100" spans="1:16" ht="12.5">
      <c r="B100" s="7" t="str">
        <f>IF(D100=F99,"","IU")</f>
        <v>IU</v>
      </c>
      <c r="C100" s="50">
        <f>IF(D93="","-",+C99+1)</f>
        <v>2019</v>
      </c>
      <c r="D100" s="429">
        <v>7110704.3452380951</v>
      </c>
      <c r="E100" s="430">
        <v>167357.3023255814</v>
      </c>
      <c r="F100" s="431">
        <v>6943347.0429125139</v>
      </c>
      <c r="G100" s="431">
        <v>7027025.694075305</v>
      </c>
      <c r="H100" s="433">
        <v>919533.97318451235</v>
      </c>
      <c r="I100" s="434">
        <v>919533.97318451235</v>
      </c>
      <c r="J100" s="54">
        <f t="shared" si="19"/>
        <v>0</v>
      </c>
      <c r="K100" s="54"/>
      <c r="L100" s="450">
        <f t="shared" si="20"/>
        <v>919533.97318451235</v>
      </c>
      <c r="M100" s="54">
        <f t="shared" si="21"/>
        <v>0</v>
      </c>
      <c r="N100" s="450">
        <f t="shared" si="22"/>
        <v>919533.97318451235</v>
      </c>
      <c r="O100" s="54">
        <f t="shared" si="23"/>
        <v>0</v>
      </c>
      <c r="P100" s="54">
        <f t="shared" si="24"/>
        <v>0</v>
      </c>
    </row>
    <row r="101" spans="1:16" ht="12.5">
      <c r="B101" s="7" t="str">
        <f t="shared" ref="B101:B154" si="25">IF(D101=F100,"","IU")</f>
        <v/>
      </c>
      <c r="C101" s="50">
        <f>IF(D93="","-",+C100+1)</f>
        <v>2020</v>
      </c>
      <c r="D101" s="429">
        <v>6943347.0429125139</v>
      </c>
      <c r="E101" s="430">
        <v>171342</v>
      </c>
      <c r="F101" s="431">
        <v>6772005.0429125139</v>
      </c>
      <c r="G101" s="431">
        <v>6857676.0429125139</v>
      </c>
      <c r="H101" s="433">
        <v>909048.49398459145</v>
      </c>
      <c r="I101" s="434">
        <v>909048.49398459145</v>
      </c>
      <c r="J101" s="54">
        <f t="shared" si="19"/>
        <v>0</v>
      </c>
      <c r="K101" s="54"/>
      <c r="L101" s="450">
        <f t="shared" si="20"/>
        <v>909048.49398459145</v>
      </c>
      <c r="M101" s="54">
        <f t="shared" ref="M101" si="26">IF(L101&lt;&gt;0,+H101-L101,0)</f>
        <v>0</v>
      </c>
      <c r="N101" s="450">
        <f t="shared" si="22"/>
        <v>909048.49398459145</v>
      </c>
      <c r="O101" s="54">
        <f t="shared" si="23"/>
        <v>0</v>
      </c>
      <c r="P101" s="54">
        <f t="shared" si="24"/>
        <v>0</v>
      </c>
    </row>
    <row r="102" spans="1:16" ht="12.5">
      <c r="B102" s="7" t="str">
        <f t="shared" si="25"/>
        <v/>
      </c>
      <c r="C102" s="50">
        <f>IF(D93="","-",+C101+1)</f>
        <v>2021</v>
      </c>
      <c r="D102" s="429">
        <v>6772005.0429125139</v>
      </c>
      <c r="E102" s="430">
        <v>175521.07317073172</v>
      </c>
      <c r="F102" s="431">
        <v>6596483.9697417822</v>
      </c>
      <c r="G102" s="431">
        <v>6684244.5063271485</v>
      </c>
      <c r="H102" s="433">
        <v>934277.91718640598</v>
      </c>
      <c r="I102" s="434">
        <v>934277.91718640598</v>
      </c>
      <c r="J102" s="54">
        <f t="shared" si="19"/>
        <v>0</v>
      </c>
      <c r="K102" s="54"/>
      <c r="L102" s="450">
        <f t="shared" si="20"/>
        <v>934277.91718640598</v>
      </c>
      <c r="M102" s="54">
        <f t="shared" ref="M102" si="27">IF(L102&lt;&gt;0,+H102-L102,0)</f>
        <v>0</v>
      </c>
      <c r="N102" s="450">
        <f t="shared" si="22"/>
        <v>934277.91718640598</v>
      </c>
      <c r="O102" s="54">
        <f t="shared" si="23"/>
        <v>0</v>
      </c>
      <c r="P102" s="54">
        <f t="shared" si="24"/>
        <v>0</v>
      </c>
    </row>
    <row r="103" spans="1:16" ht="12.5">
      <c r="B103" s="7" t="str">
        <f t="shared" si="25"/>
        <v/>
      </c>
      <c r="C103" s="50">
        <f>IF(D93="","-",+C102+1)</f>
        <v>2022</v>
      </c>
      <c r="D103" s="429">
        <v>6596483.9697417822</v>
      </c>
      <c r="E103" s="430">
        <v>171342</v>
      </c>
      <c r="F103" s="431">
        <v>6425141.9697417822</v>
      </c>
      <c r="G103" s="431">
        <v>6510812.9697417822</v>
      </c>
      <c r="H103" s="433">
        <v>936088.0478784244</v>
      </c>
      <c r="I103" s="434">
        <v>936088.0478784244</v>
      </c>
      <c r="J103" s="54">
        <f t="shared" si="19"/>
        <v>0</v>
      </c>
      <c r="K103" s="54"/>
      <c r="L103" s="450">
        <f t="shared" si="20"/>
        <v>936088.0478784244</v>
      </c>
      <c r="M103" s="54">
        <f t="shared" ref="M103" si="28">IF(L103&lt;&gt;0,+H103-L103,0)</f>
        <v>0</v>
      </c>
      <c r="N103" s="450">
        <f t="shared" si="22"/>
        <v>936088.0478784244</v>
      </c>
      <c r="O103" s="54">
        <f t="shared" ref="O103" si="29">IF(N103&lt;&gt;0,+I103-N103,0)</f>
        <v>0</v>
      </c>
      <c r="P103" s="54">
        <f t="shared" ref="P103" si="30">+O103-M103</f>
        <v>0</v>
      </c>
    </row>
    <row r="104" spans="1:16" ht="12.5">
      <c r="B104" s="7" t="str">
        <f t="shared" si="25"/>
        <v>IU</v>
      </c>
      <c r="C104" s="50">
        <f>IF(D93="","-",+C103+1)</f>
        <v>2023</v>
      </c>
      <c r="D104" s="429">
        <v>6425142.3297417825</v>
      </c>
      <c r="E104" s="430">
        <v>163553.73545454547</v>
      </c>
      <c r="F104" s="431">
        <v>6261588.5942872372</v>
      </c>
      <c r="G104" s="431">
        <v>6343365.4620145094</v>
      </c>
      <c r="H104" s="433">
        <v>946103.37226880074</v>
      </c>
      <c r="I104" s="434">
        <v>946103.37226880074</v>
      </c>
      <c r="J104" s="54">
        <f t="shared" si="19"/>
        <v>0</v>
      </c>
      <c r="K104" s="54"/>
      <c r="L104" s="450">
        <f t="shared" si="20"/>
        <v>946103.37226880074</v>
      </c>
      <c r="M104" s="54">
        <f t="shared" ref="M104" si="31">IF(L104&lt;&gt;0,+H104-L104,0)</f>
        <v>0</v>
      </c>
      <c r="N104" s="450">
        <f t="shared" si="22"/>
        <v>946103.37226880074</v>
      </c>
      <c r="O104" s="54">
        <f t="shared" ref="O104" si="32">IF(N104&lt;&gt;0,+I104-N104,0)</f>
        <v>0</v>
      </c>
      <c r="P104" s="54">
        <f t="shared" ref="P104" si="33">+O104-M104</f>
        <v>0</v>
      </c>
    </row>
    <row r="105" spans="1:16" ht="12.5">
      <c r="B105" s="7" t="str">
        <f t="shared" si="25"/>
        <v/>
      </c>
      <c r="C105" s="50">
        <f>IF(D93="","-",+C104+1)</f>
        <v>2024</v>
      </c>
      <c r="D105" s="12">
        <f>IF(F104+SUM(E$99:E104)=D$92,F104,D$92-SUM(E$99:E104))</f>
        <v>6261588.5942872372</v>
      </c>
      <c r="E105" s="378">
        <f>IF(+J96&lt;F104,J96,D105)</f>
        <v>163553.73545454547</v>
      </c>
      <c r="F105" s="55">
        <f t="shared" ref="F105:F154" si="34">+D105-E105</f>
        <v>6098034.8588326918</v>
      </c>
      <c r="G105" s="55">
        <f t="shared" ref="G105:G154" si="35">+(F105+D105)/2</f>
        <v>6179811.7265599649</v>
      </c>
      <c r="H105" s="380">
        <f t="shared" ref="H105:H154" si="36">+J$94*G105+E105</f>
        <v>933103.07104651525</v>
      </c>
      <c r="I105" s="399">
        <f t="shared" ref="I105:I154" si="37">+J$95*G105+E105</f>
        <v>933103.07104651525</v>
      </c>
      <c r="J105" s="54">
        <f t="shared" si="19"/>
        <v>0</v>
      </c>
      <c r="K105" s="54"/>
      <c r="L105" s="129"/>
      <c r="M105" s="54">
        <f t="shared" ref="M105:M130" si="38">IF(L105&lt;&gt;0,+H105-L105,0)</f>
        <v>0</v>
      </c>
      <c r="N105" s="129"/>
      <c r="O105" s="54">
        <f t="shared" si="23"/>
        <v>0</v>
      </c>
      <c r="P105" s="54">
        <f t="shared" si="24"/>
        <v>0</v>
      </c>
    </row>
    <row r="106" spans="1:16" ht="12.5">
      <c r="B106" s="7" t="str">
        <f t="shared" si="25"/>
        <v/>
      </c>
      <c r="C106" s="50">
        <f>IF(D93="","-",+C105+1)</f>
        <v>2025</v>
      </c>
      <c r="D106" s="12">
        <f>IF(F105+SUM(E$99:E105)=D$92,F105,D$92-SUM(E$99:E105))</f>
        <v>6098034.8588326918</v>
      </c>
      <c r="E106" s="378">
        <f>IF(+J96&lt;F105,J96,D106)</f>
        <v>163553.73545454547</v>
      </c>
      <c r="F106" s="55">
        <f t="shared" si="34"/>
        <v>5934481.1233781464</v>
      </c>
      <c r="G106" s="55">
        <f t="shared" si="35"/>
        <v>6016257.9911054187</v>
      </c>
      <c r="H106" s="380">
        <f t="shared" si="36"/>
        <v>912736.32299306069</v>
      </c>
      <c r="I106" s="399">
        <f t="shared" si="37"/>
        <v>912736.32299306069</v>
      </c>
      <c r="J106" s="54">
        <f t="shared" si="19"/>
        <v>0</v>
      </c>
      <c r="K106" s="54"/>
      <c r="L106" s="129"/>
      <c r="M106" s="54">
        <f t="shared" si="38"/>
        <v>0</v>
      </c>
      <c r="N106" s="129"/>
      <c r="O106" s="54">
        <f t="shared" si="23"/>
        <v>0</v>
      </c>
      <c r="P106" s="54">
        <f t="shared" si="24"/>
        <v>0</v>
      </c>
    </row>
    <row r="107" spans="1:16" ht="12.5">
      <c r="B107" s="7" t="str">
        <f t="shared" si="25"/>
        <v/>
      </c>
      <c r="C107" s="50">
        <f>IF(D93="","-",+C106+1)</f>
        <v>2026</v>
      </c>
      <c r="D107" s="12">
        <f>IF(F106+SUM(E$99:E106)=D$92,F106,D$92-SUM(E$99:E106))</f>
        <v>5934481.1233781464</v>
      </c>
      <c r="E107" s="378">
        <f>IF(+J96&lt;F106,J96,D107)</f>
        <v>163553.73545454547</v>
      </c>
      <c r="F107" s="55">
        <f t="shared" si="34"/>
        <v>5770927.3879236011</v>
      </c>
      <c r="G107" s="55">
        <f t="shared" si="35"/>
        <v>5852704.2556508742</v>
      </c>
      <c r="H107" s="380">
        <f t="shared" si="36"/>
        <v>892369.57493960636</v>
      </c>
      <c r="I107" s="399">
        <f t="shared" si="37"/>
        <v>892369.57493960636</v>
      </c>
      <c r="J107" s="54">
        <f t="shared" si="19"/>
        <v>0</v>
      </c>
      <c r="K107" s="54"/>
      <c r="L107" s="129"/>
      <c r="M107" s="54">
        <f t="shared" si="38"/>
        <v>0</v>
      </c>
      <c r="N107" s="129"/>
      <c r="O107" s="54">
        <f t="shared" si="23"/>
        <v>0</v>
      </c>
      <c r="P107" s="54">
        <f t="shared" si="24"/>
        <v>0</v>
      </c>
    </row>
    <row r="108" spans="1:16" ht="12.5">
      <c r="B108" s="7" t="str">
        <f t="shared" si="25"/>
        <v/>
      </c>
      <c r="C108" s="50">
        <f>IF(D93="","-",+C107+1)</f>
        <v>2027</v>
      </c>
      <c r="D108" s="12">
        <f>IF(F107+SUM(E$99:E107)=D$92,F107,D$92-SUM(E$99:E107))</f>
        <v>5770927.3879236011</v>
      </c>
      <c r="E108" s="378">
        <f>IF(+J96&lt;F107,J96,D108)</f>
        <v>163553.73545454547</v>
      </c>
      <c r="F108" s="55">
        <f t="shared" si="34"/>
        <v>5607373.6524690557</v>
      </c>
      <c r="G108" s="55">
        <f t="shared" si="35"/>
        <v>5689150.5201963279</v>
      </c>
      <c r="H108" s="380">
        <f t="shared" si="36"/>
        <v>872002.8268861518</v>
      </c>
      <c r="I108" s="399">
        <f t="shared" si="37"/>
        <v>872002.8268861518</v>
      </c>
      <c r="J108" s="54">
        <f t="shared" si="19"/>
        <v>0</v>
      </c>
      <c r="K108" s="54"/>
      <c r="L108" s="129"/>
      <c r="M108" s="54">
        <f t="shared" si="38"/>
        <v>0</v>
      </c>
      <c r="N108" s="129"/>
      <c r="O108" s="54">
        <f t="shared" si="23"/>
        <v>0</v>
      </c>
      <c r="P108" s="54">
        <f t="shared" si="24"/>
        <v>0</v>
      </c>
    </row>
    <row r="109" spans="1:16" ht="12.5">
      <c r="B109" s="7" t="str">
        <f t="shared" si="25"/>
        <v/>
      </c>
      <c r="C109" s="50">
        <f>IF(D93="","-",+C108+1)</f>
        <v>2028</v>
      </c>
      <c r="D109" s="12">
        <f>IF(F108+SUM(E$99:E108)=D$92,F108,D$92-SUM(E$99:E108))</f>
        <v>5607373.6524690557</v>
      </c>
      <c r="E109" s="378">
        <f>IF(+J96&lt;F108,J96,D109)</f>
        <v>163553.73545454547</v>
      </c>
      <c r="F109" s="55">
        <f t="shared" si="34"/>
        <v>5443819.9170145104</v>
      </c>
      <c r="G109" s="55">
        <f t="shared" si="35"/>
        <v>5525596.7847417835</v>
      </c>
      <c r="H109" s="380">
        <f t="shared" si="36"/>
        <v>851636.07883269747</v>
      </c>
      <c r="I109" s="399">
        <f t="shared" si="37"/>
        <v>851636.07883269747</v>
      </c>
      <c r="J109" s="54">
        <f t="shared" si="19"/>
        <v>0</v>
      </c>
      <c r="K109" s="54"/>
      <c r="L109" s="129"/>
      <c r="M109" s="54">
        <f t="shared" si="38"/>
        <v>0</v>
      </c>
      <c r="N109" s="129"/>
      <c r="O109" s="54">
        <f t="shared" si="23"/>
        <v>0</v>
      </c>
      <c r="P109" s="54">
        <f t="shared" si="24"/>
        <v>0</v>
      </c>
    </row>
    <row r="110" spans="1:16" ht="12.5">
      <c r="B110" s="7" t="str">
        <f t="shared" si="25"/>
        <v/>
      </c>
      <c r="C110" s="50">
        <f>IF(D93="","-",+C109+1)</f>
        <v>2029</v>
      </c>
      <c r="D110" s="12">
        <f>IF(F109+SUM(E$99:E109)=D$92,F109,D$92-SUM(E$99:E109))</f>
        <v>5443819.9170145104</v>
      </c>
      <c r="E110" s="378">
        <f>IF(+J96&lt;F109,J96,D110)</f>
        <v>163553.73545454547</v>
      </c>
      <c r="F110" s="55">
        <f t="shared" si="34"/>
        <v>5280266.181559965</v>
      </c>
      <c r="G110" s="55">
        <f t="shared" si="35"/>
        <v>5362043.0492872372</v>
      </c>
      <c r="H110" s="380">
        <f t="shared" si="36"/>
        <v>831269.33077924291</v>
      </c>
      <c r="I110" s="399">
        <f t="shared" si="37"/>
        <v>831269.33077924291</v>
      </c>
      <c r="J110" s="54">
        <f t="shared" si="19"/>
        <v>0</v>
      </c>
      <c r="K110" s="54"/>
      <c r="L110" s="129"/>
      <c r="M110" s="54">
        <f t="shared" si="38"/>
        <v>0</v>
      </c>
      <c r="N110" s="129"/>
      <c r="O110" s="54">
        <f t="shared" si="23"/>
        <v>0</v>
      </c>
      <c r="P110" s="54">
        <f t="shared" si="24"/>
        <v>0</v>
      </c>
    </row>
    <row r="111" spans="1:16" ht="12.5">
      <c r="B111" s="7" t="str">
        <f t="shared" si="25"/>
        <v/>
      </c>
      <c r="C111" s="50">
        <f>IF(D93="","-",+C110+1)</f>
        <v>2030</v>
      </c>
      <c r="D111" s="12">
        <f>IF(F110+SUM(E$99:E110)=D$92,F110,D$92-SUM(E$99:E110))</f>
        <v>5280266.181559965</v>
      </c>
      <c r="E111" s="378">
        <f>IF(+J96&lt;F110,J96,D111)</f>
        <v>163553.73545454547</v>
      </c>
      <c r="F111" s="55">
        <f t="shared" si="34"/>
        <v>5116712.4461054197</v>
      </c>
      <c r="G111" s="55">
        <f t="shared" si="35"/>
        <v>5198489.3138326928</v>
      </c>
      <c r="H111" s="380">
        <f t="shared" si="36"/>
        <v>810902.58272578858</v>
      </c>
      <c r="I111" s="399">
        <f t="shared" si="37"/>
        <v>810902.58272578858</v>
      </c>
      <c r="J111" s="54">
        <f t="shared" si="19"/>
        <v>0</v>
      </c>
      <c r="K111" s="54"/>
      <c r="L111" s="129"/>
      <c r="M111" s="54">
        <f t="shared" si="38"/>
        <v>0</v>
      </c>
      <c r="N111" s="129"/>
      <c r="O111" s="54">
        <f t="shared" si="23"/>
        <v>0</v>
      </c>
      <c r="P111" s="54">
        <f t="shared" si="24"/>
        <v>0</v>
      </c>
    </row>
    <row r="112" spans="1:16" ht="12.5">
      <c r="B112" s="7" t="str">
        <f t="shared" si="25"/>
        <v/>
      </c>
      <c r="C112" s="50">
        <f>IF(D93="","-",+C111+1)</f>
        <v>2031</v>
      </c>
      <c r="D112" s="12">
        <f>IF(F111+SUM(E$99:E111)=D$92,F111,D$92-SUM(E$99:E111))</f>
        <v>5116712.4461054197</v>
      </c>
      <c r="E112" s="378">
        <f>IF(+J96&lt;F111,J96,D112)</f>
        <v>163553.73545454547</v>
      </c>
      <c r="F112" s="55">
        <f t="shared" si="34"/>
        <v>4953158.7106508743</v>
      </c>
      <c r="G112" s="55">
        <f t="shared" si="35"/>
        <v>5034935.5783781465</v>
      </c>
      <c r="H112" s="380">
        <f t="shared" si="36"/>
        <v>790535.83467233402</v>
      </c>
      <c r="I112" s="399">
        <f t="shared" si="37"/>
        <v>790535.83467233402</v>
      </c>
      <c r="J112" s="54">
        <f t="shared" si="19"/>
        <v>0</v>
      </c>
      <c r="K112" s="54"/>
      <c r="L112" s="129"/>
      <c r="M112" s="54">
        <f t="shared" si="38"/>
        <v>0</v>
      </c>
      <c r="N112" s="129"/>
      <c r="O112" s="54">
        <f t="shared" si="23"/>
        <v>0</v>
      </c>
      <c r="P112" s="54">
        <f t="shared" si="24"/>
        <v>0</v>
      </c>
    </row>
    <row r="113" spans="2:16" ht="12.5">
      <c r="B113" s="7" t="str">
        <f t="shared" si="25"/>
        <v/>
      </c>
      <c r="C113" s="50">
        <f>IF(D93="","-",+C112+1)</f>
        <v>2032</v>
      </c>
      <c r="D113" s="12">
        <f>IF(F112+SUM(E$99:E112)=D$92,F112,D$92-SUM(E$99:E112))</f>
        <v>4953158.7106508743</v>
      </c>
      <c r="E113" s="378">
        <f>IF(+J96&lt;F112,J96,D113)</f>
        <v>163553.73545454547</v>
      </c>
      <c r="F113" s="55">
        <f t="shared" si="34"/>
        <v>4789604.9751963289</v>
      </c>
      <c r="G113" s="55">
        <f t="shared" si="35"/>
        <v>4871381.8429236021</v>
      </c>
      <c r="H113" s="380">
        <f t="shared" si="36"/>
        <v>770169.08661887969</v>
      </c>
      <c r="I113" s="399">
        <f t="shared" si="37"/>
        <v>770169.08661887969</v>
      </c>
      <c r="J113" s="54">
        <f t="shared" si="19"/>
        <v>0</v>
      </c>
      <c r="K113" s="54"/>
      <c r="L113" s="129"/>
      <c r="M113" s="54">
        <f t="shared" si="38"/>
        <v>0</v>
      </c>
      <c r="N113" s="129"/>
      <c r="O113" s="54">
        <f t="shared" si="23"/>
        <v>0</v>
      </c>
      <c r="P113" s="54">
        <f t="shared" si="24"/>
        <v>0</v>
      </c>
    </row>
    <row r="114" spans="2:16" ht="12.5">
      <c r="B114" s="7" t="str">
        <f t="shared" si="25"/>
        <v/>
      </c>
      <c r="C114" s="50">
        <f>IF(D93="","-",+C113+1)</f>
        <v>2033</v>
      </c>
      <c r="D114" s="12">
        <f>IF(F113+SUM(E$99:E113)=D$92,F113,D$92-SUM(E$99:E113))</f>
        <v>4789604.9751963289</v>
      </c>
      <c r="E114" s="378">
        <f>IF(+J96&lt;F113,J96,D114)</f>
        <v>163553.73545454547</v>
      </c>
      <c r="F114" s="55">
        <f t="shared" si="34"/>
        <v>4626051.2397417836</v>
      </c>
      <c r="G114" s="55">
        <f t="shared" si="35"/>
        <v>4707828.1074690558</v>
      </c>
      <c r="H114" s="380">
        <f t="shared" si="36"/>
        <v>749802.33856542502</v>
      </c>
      <c r="I114" s="399">
        <f t="shared" si="37"/>
        <v>749802.33856542502</v>
      </c>
      <c r="J114" s="54">
        <f t="shared" si="19"/>
        <v>0</v>
      </c>
      <c r="K114" s="54"/>
      <c r="L114" s="129"/>
      <c r="M114" s="54">
        <f t="shared" si="38"/>
        <v>0</v>
      </c>
      <c r="N114" s="129"/>
      <c r="O114" s="54">
        <f t="shared" si="23"/>
        <v>0</v>
      </c>
      <c r="P114" s="54">
        <f t="shared" si="24"/>
        <v>0</v>
      </c>
    </row>
    <row r="115" spans="2:16" ht="12.5">
      <c r="B115" s="7" t="str">
        <f t="shared" si="25"/>
        <v/>
      </c>
      <c r="C115" s="50">
        <f>IF(D93="","-",+C114+1)</f>
        <v>2034</v>
      </c>
      <c r="D115" s="12">
        <f>IF(F114+SUM(E$99:E114)=D$92,F114,D$92-SUM(E$99:E114))</f>
        <v>4626051.2397417836</v>
      </c>
      <c r="E115" s="378">
        <f>IF(+J96&lt;F114,J96,D115)</f>
        <v>163553.73545454547</v>
      </c>
      <c r="F115" s="55">
        <f t="shared" si="34"/>
        <v>4462497.5042872382</v>
      </c>
      <c r="G115" s="55">
        <f t="shared" si="35"/>
        <v>4544274.3720145114</v>
      </c>
      <c r="H115" s="380">
        <f t="shared" si="36"/>
        <v>729435.59051197069</v>
      </c>
      <c r="I115" s="399">
        <f t="shared" si="37"/>
        <v>729435.59051197069</v>
      </c>
      <c r="J115" s="54">
        <f t="shared" si="19"/>
        <v>0</v>
      </c>
      <c r="K115" s="54"/>
      <c r="L115" s="129"/>
      <c r="M115" s="54">
        <f t="shared" si="38"/>
        <v>0</v>
      </c>
      <c r="N115" s="129"/>
      <c r="O115" s="54">
        <f t="shared" si="23"/>
        <v>0</v>
      </c>
      <c r="P115" s="54">
        <f t="shared" si="24"/>
        <v>0</v>
      </c>
    </row>
    <row r="116" spans="2:16" ht="12.5">
      <c r="B116" s="7" t="str">
        <f t="shared" si="25"/>
        <v/>
      </c>
      <c r="C116" s="50">
        <f>IF(D93="","-",+C115+1)</f>
        <v>2035</v>
      </c>
      <c r="D116" s="12">
        <f>IF(F115+SUM(E$99:E115)=D$92,F115,D$92-SUM(E$99:E115))</f>
        <v>4462497.5042872382</v>
      </c>
      <c r="E116" s="378">
        <f>IF(+J96&lt;F115,J96,D116)</f>
        <v>163553.73545454547</v>
      </c>
      <c r="F116" s="55">
        <f t="shared" si="34"/>
        <v>4298943.7688326929</v>
      </c>
      <c r="G116" s="55">
        <f t="shared" si="35"/>
        <v>4380720.6365599651</v>
      </c>
      <c r="H116" s="380">
        <f t="shared" si="36"/>
        <v>709068.84245851613</v>
      </c>
      <c r="I116" s="399">
        <f t="shared" si="37"/>
        <v>709068.84245851613</v>
      </c>
      <c r="J116" s="54">
        <f t="shared" si="19"/>
        <v>0</v>
      </c>
      <c r="K116" s="54"/>
      <c r="L116" s="129"/>
      <c r="M116" s="54">
        <f t="shared" si="38"/>
        <v>0</v>
      </c>
      <c r="N116" s="129"/>
      <c r="O116" s="54">
        <f t="shared" si="23"/>
        <v>0</v>
      </c>
      <c r="P116" s="54">
        <f t="shared" si="24"/>
        <v>0</v>
      </c>
    </row>
    <row r="117" spans="2:16" ht="12.5">
      <c r="B117" s="7" t="str">
        <f t="shared" si="25"/>
        <v/>
      </c>
      <c r="C117" s="50">
        <f>IF(D93="","-",+C116+1)</f>
        <v>2036</v>
      </c>
      <c r="D117" s="12">
        <f>IF(F116+SUM(E$99:E116)=D$92,F116,D$92-SUM(E$99:E116))</f>
        <v>4298943.7688326929</v>
      </c>
      <c r="E117" s="378">
        <f>IF(+J96&lt;F116,J96,D117)</f>
        <v>163553.73545454547</v>
      </c>
      <c r="F117" s="55">
        <f t="shared" si="34"/>
        <v>4135390.0333781475</v>
      </c>
      <c r="G117" s="55">
        <f t="shared" si="35"/>
        <v>4217166.9011054207</v>
      </c>
      <c r="H117" s="380">
        <f t="shared" si="36"/>
        <v>688702.0944050618</v>
      </c>
      <c r="I117" s="399">
        <f t="shared" si="37"/>
        <v>688702.0944050618</v>
      </c>
      <c r="J117" s="54">
        <f t="shared" si="19"/>
        <v>0</v>
      </c>
      <c r="K117" s="54"/>
      <c r="L117" s="129"/>
      <c r="M117" s="54">
        <f t="shared" si="38"/>
        <v>0</v>
      </c>
      <c r="N117" s="129"/>
      <c r="O117" s="54">
        <f t="shared" si="23"/>
        <v>0</v>
      </c>
      <c r="P117" s="54">
        <f t="shared" si="24"/>
        <v>0</v>
      </c>
    </row>
    <row r="118" spans="2:16" ht="12.5">
      <c r="B118" s="7" t="str">
        <f t="shared" si="25"/>
        <v/>
      </c>
      <c r="C118" s="50">
        <f>IF(D93="","-",+C117+1)</f>
        <v>2037</v>
      </c>
      <c r="D118" s="12">
        <f>IF(F117+SUM(E$99:E117)=D$92,F117,D$92-SUM(E$99:E117))</f>
        <v>4135390.0333781475</v>
      </c>
      <c r="E118" s="378">
        <f>IF(+J96&lt;F117,J96,D118)</f>
        <v>163553.73545454547</v>
      </c>
      <c r="F118" s="55">
        <f t="shared" si="34"/>
        <v>3971836.2979236022</v>
      </c>
      <c r="G118" s="55">
        <f t="shared" si="35"/>
        <v>4053613.1656508748</v>
      </c>
      <c r="H118" s="380">
        <f t="shared" si="36"/>
        <v>668335.34635160724</v>
      </c>
      <c r="I118" s="399">
        <f t="shared" si="37"/>
        <v>668335.34635160724</v>
      </c>
      <c r="J118" s="54">
        <f t="shared" si="19"/>
        <v>0</v>
      </c>
      <c r="K118" s="54"/>
      <c r="L118" s="129"/>
      <c r="M118" s="54">
        <f t="shared" si="38"/>
        <v>0</v>
      </c>
      <c r="N118" s="129"/>
      <c r="O118" s="54">
        <f t="shared" si="23"/>
        <v>0</v>
      </c>
      <c r="P118" s="54">
        <f t="shared" si="24"/>
        <v>0</v>
      </c>
    </row>
    <row r="119" spans="2:16" ht="12.5">
      <c r="B119" s="7" t="str">
        <f t="shared" si="25"/>
        <v/>
      </c>
      <c r="C119" s="50">
        <f>IF(D93="","-",+C118+1)</f>
        <v>2038</v>
      </c>
      <c r="D119" s="12">
        <f>IF(F118+SUM(E$99:E118)=D$92,F118,D$92-SUM(E$99:E118))</f>
        <v>3971836.2979236022</v>
      </c>
      <c r="E119" s="378">
        <f>IF(+J96&lt;F118,J96,D119)</f>
        <v>163553.73545454547</v>
      </c>
      <c r="F119" s="55">
        <f t="shared" si="34"/>
        <v>3808282.5624690568</v>
      </c>
      <c r="G119" s="55">
        <f t="shared" si="35"/>
        <v>3890059.4301963295</v>
      </c>
      <c r="H119" s="380">
        <f t="shared" si="36"/>
        <v>647968.59829815291</v>
      </c>
      <c r="I119" s="399">
        <f t="shared" si="37"/>
        <v>647968.59829815291</v>
      </c>
      <c r="J119" s="54">
        <f t="shared" si="19"/>
        <v>0</v>
      </c>
      <c r="K119" s="54"/>
      <c r="L119" s="129"/>
      <c r="M119" s="54">
        <f t="shared" si="38"/>
        <v>0</v>
      </c>
      <c r="N119" s="129"/>
      <c r="O119" s="54">
        <f t="shared" si="23"/>
        <v>0</v>
      </c>
      <c r="P119" s="54">
        <f t="shared" si="24"/>
        <v>0</v>
      </c>
    </row>
    <row r="120" spans="2:16" ht="12.5">
      <c r="B120" s="7" t="str">
        <f t="shared" si="25"/>
        <v/>
      </c>
      <c r="C120" s="50">
        <f>IF(D93="","-",+C119+1)</f>
        <v>2039</v>
      </c>
      <c r="D120" s="12">
        <f>IF(F119+SUM(E$99:E119)=D$92,F119,D$92-SUM(E$99:E119))</f>
        <v>3808282.5624690568</v>
      </c>
      <c r="E120" s="378">
        <f>IF(+J96&lt;F119,J96,D120)</f>
        <v>163553.73545454547</v>
      </c>
      <c r="F120" s="55">
        <f t="shared" si="34"/>
        <v>3644728.8270145115</v>
      </c>
      <c r="G120" s="55">
        <f t="shared" si="35"/>
        <v>3726505.6947417841</v>
      </c>
      <c r="H120" s="380">
        <f t="shared" si="36"/>
        <v>627601.85024469835</v>
      </c>
      <c r="I120" s="399">
        <f t="shared" si="37"/>
        <v>627601.85024469835</v>
      </c>
      <c r="J120" s="54">
        <f t="shared" si="19"/>
        <v>0</v>
      </c>
      <c r="K120" s="54"/>
      <c r="L120" s="129"/>
      <c r="M120" s="54">
        <f t="shared" si="38"/>
        <v>0</v>
      </c>
      <c r="N120" s="129"/>
      <c r="O120" s="54">
        <f t="shared" si="23"/>
        <v>0</v>
      </c>
      <c r="P120" s="54">
        <f t="shared" si="24"/>
        <v>0</v>
      </c>
    </row>
    <row r="121" spans="2:16" ht="12.5">
      <c r="B121" s="7" t="str">
        <f t="shared" si="25"/>
        <v/>
      </c>
      <c r="C121" s="50">
        <f>IF(D93="","-",+C120+1)</f>
        <v>2040</v>
      </c>
      <c r="D121" s="12">
        <f>IF(F120+SUM(E$99:E120)=D$92,F120,D$92-SUM(E$99:E120))</f>
        <v>3644728.8270145115</v>
      </c>
      <c r="E121" s="378">
        <f>IF(+J96&lt;F120,J96,D121)</f>
        <v>163553.73545454547</v>
      </c>
      <c r="F121" s="55">
        <f t="shared" si="34"/>
        <v>3481175.0915599661</v>
      </c>
      <c r="G121" s="55">
        <f t="shared" si="35"/>
        <v>3562951.9592872388</v>
      </c>
      <c r="H121" s="380">
        <f t="shared" si="36"/>
        <v>607235.10219124402</v>
      </c>
      <c r="I121" s="399">
        <f t="shared" si="37"/>
        <v>607235.10219124402</v>
      </c>
      <c r="J121" s="54">
        <f t="shared" si="19"/>
        <v>0</v>
      </c>
      <c r="K121" s="54"/>
      <c r="L121" s="129"/>
      <c r="M121" s="54">
        <f t="shared" si="38"/>
        <v>0</v>
      </c>
      <c r="N121" s="129"/>
      <c r="O121" s="54">
        <f t="shared" si="23"/>
        <v>0</v>
      </c>
      <c r="P121" s="54">
        <f t="shared" si="24"/>
        <v>0</v>
      </c>
    </row>
    <row r="122" spans="2:16" ht="12.5">
      <c r="B122" s="7" t="str">
        <f t="shared" si="25"/>
        <v/>
      </c>
      <c r="C122" s="50">
        <f>IF(D93="","-",+C121+1)</f>
        <v>2041</v>
      </c>
      <c r="D122" s="12">
        <f>IF(F121+SUM(E$99:E121)=D$92,F121,D$92-SUM(E$99:E121))</f>
        <v>3481175.0915599661</v>
      </c>
      <c r="E122" s="378">
        <f>IF(+J96&lt;F121,J96,D122)</f>
        <v>163553.73545454547</v>
      </c>
      <c r="F122" s="55">
        <f t="shared" si="34"/>
        <v>3317621.3561054207</v>
      </c>
      <c r="G122" s="55">
        <f t="shared" si="35"/>
        <v>3399398.2238326934</v>
      </c>
      <c r="H122" s="380">
        <f t="shared" si="36"/>
        <v>586868.35413778946</v>
      </c>
      <c r="I122" s="399">
        <f t="shared" si="37"/>
        <v>586868.35413778946</v>
      </c>
      <c r="J122" s="54">
        <f t="shared" si="19"/>
        <v>0</v>
      </c>
      <c r="K122" s="54"/>
      <c r="L122" s="129"/>
      <c r="M122" s="54">
        <f t="shared" si="38"/>
        <v>0</v>
      </c>
      <c r="N122" s="129"/>
      <c r="O122" s="54">
        <f t="shared" si="23"/>
        <v>0</v>
      </c>
      <c r="P122" s="54">
        <f t="shared" si="24"/>
        <v>0</v>
      </c>
    </row>
    <row r="123" spans="2:16" ht="12.5">
      <c r="B123" s="7" t="str">
        <f t="shared" si="25"/>
        <v/>
      </c>
      <c r="C123" s="50">
        <f>IF(D93="","-",+C122+1)</f>
        <v>2042</v>
      </c>
      <c r="D123" s="12">
        <f>IF(F122+SUM(E$99:E122)=D$92,F122,D$92-SUM(E$99:E122))</f>
        <v>3317621.3561054207</v>
      </c>
      <c r="E123" s="378">
        <f>IF(+J96&lt;F122,J96,D123)</f>
        <v>163553.73545454547</v>
      </c>
      <c r="F123" s="55">
        <f t="shared" si="34"/>
        <v>3154067.6206508754</v>
      </c>
      <c r="G123" s="55">
        <f t="shared" si="35"/>
        <v>3235844.4883781481</v>
      </c>
      <c r="H123" s="380">
        <f t="shared" si="36"/>
        <v>566501.60608433513</v>
      </c>
      <c r="I123" s="399">
        <f t="shared" si="37"/>
        <v>566501.60608433513</v>
      </c>
      <c r="J123" s="54">
        <f t="shared" si="19"/>
        <v>0</v>
      </c>
      <c r="K123" s="54"/>
      <c r="L123" s="129"/>
      <c r="M123" s="54">
        <f t="shared" si="38"/>
        <v>0</v>
      </c>
      <c r="N123" s="129"/>
      <c r="O123" s="54">
        <f t="shared" si="23"/>
        <v>0</v>
      </c>
      <c r="P123" s="54">
        <f t="shared" si="24"/>
        <v>0</v>
      </c>
    </row>
    <row r="124" spans="2:16" ht="12.5">
      <c r="B124" s="7" t="str">
        <f t="shared" si="25"/>
        <v/>
      </c>
      <c r="C124" s="50">
        <f>IF(D93="","-",+C123+1)</f>
        <v>2043</v>
      </c>
      <c r="D124" s="12">
        <f>IF(F123+SUM(E$99:E123)=D$92,F123,D$92-SUM(E$99:E123))</f>
        <v>3154067.6206508754</v>
      </c>
      <c r="E124" s="378">
        <f>IF(+J96&lt;F123,J96,D124)</f>
        <v>163553.73545454547</v>
      </c>
      <c r="F124" s="55">
        <f t="shared" si="34"/>
        <v>2990513.88519633</v>
      </c>
      <c r="G124" s="55">
        <f t="shared" si="35"/>
        <v>3072290.7529236027</v>
      </c>
      <c r="H124" s="380">
        <f t="shared" si="36"/>
        <v>546134.85803088057</v>
      </c>
      <c r="I124" s="399">
        <f t="shared" si="37"/>
        <v>546134.85803088057</v>
      </c>
      <c r="J124" s="54">
        <f t="shared" si="19"/>
        <v>0</v>
      </c>
      <c r="K124" s="54"/>
      <c r="L124" s="129"/>
      <c r="M124" s="54">
        <f t="shared" si="38"/>
        <v>0</v>
      </c>
      <c r="N124" s="129"/>
      <c r="O124" s="54">
        <f t="shared" si="23"/>
        <v>0</v>
      </c>
      <c r="P124" s="54">
        <f t="shared" si="24"/>
        <v>0</v>
      </c>
    </row>
    <row r="125" spans="2:16" ht="12.5">
      <c r="B125" s="7" t="str">
        <f t="shared" si="25"/>
        <v/>
      </c>
      <c r="C125" s="50">
        <f>IF(D93="","-",+C124+1)</f>
        <v>2044</v>
      </c>
      <c r="D125" s="12">
        <f>IF(F124+SUM(E$99:E124)=D$92,F124,D$92-SUM(E$99:E124))</f>
        <v>2990513.88519633</v>
      </c>
      <c r="E125" s="378">
        <f>IF(+J96&lt;F124,J96,D125)</f>
        <v>163553.73545454547</v>
      </c>
      <c r="F125" s="55">
        <f t="shared" si="34"/>
        <v>2826960.1497417847</v>
      </c>
      <c r="G125" s="55">
        <f t="shared" si="35"/>
        <v>2908737.0174690573</v>
      </c>
      <c r="H125" s="380">
        <f t="shared" si="36"/>
        <v>525768.10997742612</v>
      </c>
      <c r="I125" s="399">
        <f t="shared" si="37"/>
        <v>525768.10997742612</v>
      </c>
      <c r="J125" s="54">
        <f t="shared" si="19"/>
        <v>0</v>
      </c>
      <c r="K125" s="54"/>
      <c r="L125" s="129"/>
      <c r="M125" s="54">
        <f t="shared" si="38"/>
        <v>0</v>
      </c>
      <c r="N125" s="129"/>
      <c r="O125" s="54">
        <f t="shared" si="23"/>
        <v>0</v>
      </c>
      <c r="P125" s="54">
        <f t="shared" si="24"/>
        <v>0</v>
      </c>
    </row>
    <row r="126" spans="2:16" ht="12.5">
      <c r="B126" s="7" t="str">
        <f t="shared" si="25"/>
        <v/>
      </c>
      <c r="C126" s="50">
        <f>IF(D93="","-",+C125+1)</f>
        <v>2045</v>
      </c>
      <c r="D126" s="12">
        <f>IF(F125+SUM(E$99:E125)=D$92,F125,D$92-SUM(E$99:E125))</f>
        <v>2826960.1497417847</v>
      </c>
      <c r="E126" s="378">
        <f>IF(+J96&lt;F125,J96,D126)</f>
        <v>163553.73545454547</v>
      </c>
      <c r="F126" s="55">
        <f t="shared" si="34"/>
        <v>2663406.4142872393</v>
      </c>
      <c r="G126" s="55">
        <f t="shared" si="35"/>
        <v>2745183.282014512</v>
      </c>
      <c r="H126" s="380">
        <f t="shared" si="36"/>
        <v>505401.36192397168</v>
      </c>
      <c r="I126" s="399">
        <f t="shared" si="37"/>
        <v>505401.36192397168</v>
      </c>
      <c r="J126" s="54">
        <f t="shared" si="19"/>
        <v>0</v>
      </c>
      <c r="K126" s="54"/>
      <c r="L126" s="129"/>
      <c r="M126" s="54">
        <f t="shared" si="38"/>
        <v>0</v>
      </c>
      <c r="N126" s="129"/>
      <c r="O126" s="54">
        <f t="shared" si="23"/>
        <v>0</v>
      </c>
      <c r="P126" s="54">
        <f t="shared" si="24"/>
        <v>0</v>
      </c>
    </row>
    <row r="127" spans="2:16" ht="12.5">
      <c r="B127" s="7" t="str">
        <f t="shared" si="25"/>
        <v/>
      </c>
      <c r="C127" s="50">
        <f>IF(D93="","-",+C126+1)</f>
        <v>2046</v>
      </c>
      <c r="D127" s="12">
        <f>IF(F126+SUM(E$99:E126)=D$92,F126,D$92-SUM(E$99:E126))</f>
        <v>2663406.4142872393</v>
      </c>
      <c r="E127" s="378">
        <f>IF(+J96&lt;F126,J96,D127)</f>
        <v>163553.73545454547</v>
      </c>
      <c r="F127" s="55">
        <f t="shared" si="34"/>
        <v>2499852.678832694</v>
      </c>
      <c r="G127" s="55">
        <f t="shared" si="35"/>
        <v>2581629.5465599666</v>
      </c>
      <c r="H127" s="380">
        <f t="shared" si="36"/>
        <v>485034.61387051723</v>
      </c>
      <c r="I127" s="399">
        <f t="shared" si="37"/>
        <v>485034.61387051723</v>
      </c>
      <c r="J127" s="54">
        <f t="shared" si="19"/>
        <v>0</v>
      </c>
      <c r="K127" s="54"/>
      <c r="L127" s="129"/>
      <c r="M127" s="54">
        <f t="shared" si="38"/>
        <v>0</v>
      </c>
      <c r="N127" s="129"/>
      <c r="O127" s="54">
        <f t="shared" si="23"/>
        <v>0</v>
      </c>
      <c r="P127" s="54">
        <f t="shared" si="24"/>
        <v>0</v>
      </c>
    </row>
    <row r="128" spans="2:16" ht="12.5">
      <c r="B128" s="7" t="str">
        <f t="shared" si="25"/>
        <v/>
      </c>
      <c r="C128" s="50">
        <f>IF(D93="","-",+C127+1)</f>
        <v>2047</v>
      </c>
      <c r="D128" s="12">
        <f>IF(F127+SUM(E$99:E127)=D$92,F127,D$92-SUM(E$99:E127))</f>
        <v>2499852.678832694</v>
      </c>
      <c r="E128" s="378">
        <f>IF(+J96&lt;F127,J96,D128)</f>
        <v>163553.73545454547</v>
      </c>
      <c r="F128" s="55">
        <f t="shared" si="34"/>
        <v>2336298.9433781486</v>
      </c>
      <c r="G128" s="55">
        <f t="shared" si="35"/>
        <v>2418075.8111054213</v>
      </c>
      <c r="H128" s="380">
        <f t="shared" si="36"/>
        <v>464667.86581706279</v>
      </c>
      <c r="I128" s="399">
        <f t="shared" si="37"/>
        <v>464667.86581706279</v>
      </c>
      <c r="J128" s="54">
        <f t="shared" si="19"/>
        <v>0</v>
      </c>
      <c r="K128" s="54"/>
      <c r="L128" s="129"/>
      <c r="M128" s="54">
        <f t="shared" si="38"/>
        <v>0</v>
      </c>
      <c r="N128" s="129"/>
      <c r="O128" s="54">
        <f t="shared" si="23"/>
        <v>0</v>
      </c>
      <c r="P128" s="54">
        <f t="shared" si="24"/>
        <v>0</v>
      </c>
    </row>
    <row r="129" spans="2:16" ht="12.5">
      <c r="B129" s="7" t="str">
        <f t="shared" si="25"/>
        <v/>
      </c>
      <c r="C129" s="50">
        <f>IF(D93="","-",+C128+1)</f>
        <v>2048</v>
      </c>
      <c r="D129" s="12">
        <f>IF(F128+SUM(E$99:E128)=D$92,F128,D$92-SUM(E$99:E128))</f>
        <v>2336298.9433781486</v>
      </c>
      <c r="E129" s="378">
        <f>IF(+J96&lt;F128,J96,D129)</f>
        <v>163553.73545454547</v>
      </c>
      <c r="F129" s="55">
        <f t="shared" si="34"/>
        <v>2172745.2079236032</v>
      </c>
      <c r="G129" s="55">
        <f t="shared" si="35"/>
        <v>2254522.0756508759</v>
      </c>
      <c r="H129" s="380">
        <f t="shared" si="36"/>
        <v>444301.11776360834</v>
      </c>
      <c r="I129" s="399">
        <f t="shared" si="37"/>
        <v>444301.11776360834</v>
      </c>
      <c r="J129" s="54">
        <f t="shared" si="19"/>
        <v>0</v>
      </c>
      <c r="K129" s="54"/>
      <c r="L129" s="129"/>
      <c r="M129" s="54">
        <f t="shared" si="38"/>
        <v>0</v>
      </c>
      <c r="N129" s="129"/>
      <c r="O129" s="54">
        <f t="shared" si="23"/>
        <v>0</v>
      </c>
      <c r="P129" s="54">
        <f t="shared" si="24"/>
        <v>0</v>
      </c>
    </row>
    <row r="130" spans="2:16" ht="12.5">
      <c r="B130" s="7" t="str">
        <f t="shared" si="25"/>
        <v/>
      </c>
      <c r="C130" s="50">
        <f>IF(D93="","-",+C129+1)</f>
        <v>2049</v>
      </c>
      <c r="D130" s="12">
        <f>IF(F129+SUM(E$99:E129)=D$92,F129,D$92-SUM(E$99:E129))</f>
        <v>2172745.2079236032</v>
      </c>
      <c r="E130" s="378">
        <f>IF(+J96&lt;F129,J96,D130)</f>
        <v>163553.73545454547</v>
      </c>
      <c r="F130" s="55">
        <f t="shared" si="34"/>
        <v>2009191.4724690579</v>
      </c>
      <c r="G130" s="55">
        <f t="shared" si="35"/>
        <v>2090968.3401963306</v>
      </c>
      <c r="H130" s="380">
        <f t="shared" si="36"/>
        <v>423934.3697101539</v>
      </c>
      <c r="I130" s="399">
        <f t="shared" si="37"/>
        <v>423934.3697101539</v>
      </c>
      <c r="J130" s="54">
        <f t="shared" si="19"/>
        <v>0</v>
      </c>
      <c r="K130" s="54"/>
      <c r="L130" s="129"/>
      <c r="M130" s="54">
        <f t="shared" si="38"/>
        <v>0</v>
      </c>
      <c r="N130" s="129"/>
      <c r="O130" s="54">
        <f t="shared" si="23"/>
        <v>0</v>
      </c>
      <c r="P130" s="54">
        <f t="shared" si="24"/>
        <v>0</v>
      </c>
    </row>
    <row r="131" spans="2:16" ht="12.5">
      <c r="B131" s="7" t="str">
        <f t="shared" si="25"/>
        <v/>
      </c>
      <c r="C131" s="50">
        <f>IF(D93="","-",+C130+1)</f>
        <v>2050</v>
      </c>
      <c r="D131" s="12">
        <f>IF(F130+SUM(E$99:E130)=D$92,F130,D$92-SUM(E$99:E130))</f>
        <v>2009191.4724690579</v>
      </c>
      <c r="E131" s="378">
        <f>IF(+J96&lt;F130,J96,D131)</f>
        <v>163553.73545454547</v>
      </c>
      <c r="F131" s="55">
        <f t="shared" si="34"/>
        <v>1845637.7370145125</v>
      </c>
      <c r="G131" s="55">
        <f t="shared" si="35"/>
        <v>1927414.6047417852</v>
      </c>
      <c r="H131" s="380">
        <f t="shared" si="36"/>
        <v>403567.62165669946</v>
      </c>
      <c r="I131" s="399">
        <f t="shared" si="37"/>
        <v>403567.62165669946</v>
      </c>
      <c r="J131" s="54">
        <f t="shared" ref="J131:J154" si="39">+I541-H541</f>
        <v>0</v>
      </c>
      <c r="K131" s="54"/>
      <c r="L131" s="129"/>
      <c r="M131" s="54">
        <f t="shared" ref="M131:M154" si="40">IF(L541&lt;&gt;0,+H541-L541,0)</f>
        <v>0</v>
      </c>
      <c r="N131" s="129"/>
      <c r="O131" s="54">
        <f t="shared" ref="O131:O154" si="41">IF(N541&lt;&gt;0,+I541-N541,0)</f>
        <v>0</v>
      </c>
      <c r="P131" s="54">
        <f t="shared" ref="P131:P154" si="42">+O541-M541</f>
        <v>0</v>
      </c>
    </row>
    <row r="132" spans="2:16" ht="12.5">
      <c r="B132" s="7" t="str">
        <f t="shared" si="25"/>
        <v/>
      </c>
      <c r="C132" s="50">
        <f>IF(D93="","-",+C131+1)</f>
        <v>2051</v>
      </c>
      <c r="D132" s="12">
        <f>IF(F131+SUM(E$99:E131)=D$92,F131,D$92-SUM(E$99:E131))</f>
        <v>1845637.7370145125</v>
      </c>
      <c r="E132" s="378">
        <f>IF(+J96&lt;F131,J96,D132)</f>
        <v>163553.73545454547</v>
      </c>
      <c r="F132" s="55">
        <f t="shared" si="34"/>
        <v>1682084.0015599672</v>
      </c>
      <c r="G132" s="55">
        <f t="shared" si="35"/>
        <v>1763860.8692872399</v>
      </c>
      <c r="H132" s="380">
        <f t="shared" si="36"/>
        <v>383200.87360324495</v>
      </c>
      <c r="I132" s="399">
        <f t="shared" si="37"/>
        <v>383200.87360324495</v>
      </c>
      <c r="J132" s="54">
        <f t="shared" si="39"/>
        <v>0</v>
      </c>
      <c r="K132" s="54"/>
      <c r="L132" s="129"/>
      <c r="M132" s="54">
        <f t="shared" si="40"/>
        <v>0</v>
      </c>
      <c r="N132" s="129"/>
      <c r="O132" s="54">
        <f t="shared" si="41"/>
        <v>0</v>
      </c>
      <c r="P132" s="54">
        <f t="shared" si="42"/>
        <v>0</v>
      </c>
    </row>
    <row r="133" spans="2:16" ht="12.5">
      <c r="B133" s="7" t="str">
        <f t="shared" si="25"/>
        <v/>
      </c>
      <c r="C133" s="50">
        <f>IF(D93="","-",+C132+1)</f>
        <v>2052</v>
      </c>
      <c r="D133" s="12">
        <f>IF(F132+SUM(E$99:E132)=D$92,F132,D$92-SUM(E$99:E132))</f>
        <v>1682084.0015599672</v>
      </c>
      <c r="E133" s="378">
        <f>IF(+J96&lt;F132,J96,D133)</f>
        <v>163553.73545454547</v>
      </c>
      <c r="F133" s="55">
        <f t="shared" si="34"/>
        <v>1518530.2661054218</v>
      </c>
      <c r="G133" s="55">
        <f t="shared" si="35"/>
        <v>1600307.1338326945</v>
      </c>
      <c r="H133" s="380">
        <f t="shared" si="36"/>
        <v>362834.12554979051</v>
      </c>
      <c r="I133" s="399">
        <f t="shared" si="37"/>
        <v>362834.12554979051</v>
      </c>
      <c r="J133" s="54">
        <f t="shared" si="39"/>
        <v>0</v>
      </c>
      <c r="K133" s="54"/>
      <c r="L133" s="129"/>
      <c r="M133" s="54">
        <f t="shared" si="40"/>
        <v>0</v>
      </c>
      <c r="N133" s="129"/>
      <c r="O133" s="54">
        <f t="shared" si="41"/>
        <v>0</v>
      </c>
      <c r="P133" s="54">
        <f t="shared" si="42"/>
        <v>0</v>
      </c>
    </row>
    <row r="134" spans="2:16" ht="12.5">
      <c r="B134" s="7" t="str">
        <f t="shared" si="25"/>
        <v/>
      </c>
      <c r="C134" s="50">
        <f>IF(D93="","-",+C133+1)</f>
        <v>2053</v>
      </c>
      <c r="D134" s="12">
        <f>IF(F133+SUM(E$99:E133)=D$92,F133,D$92-SUM(E$99:E133))</f>
        <v>1518530.2661054218</v>
      </c>
      <c r="E134" s="378">
        <f>IF(+J96&lt;F133,J96,D134)</f>
        <v>163553.73545454547</v>
      </c>
      <c r="F134" s="55">
        <f t="shared" si="34"/>
        <v>1354976.5306508765</v>
      </c>
      <c r="G134" s="55">
        <f t="shared" si="35"/>
        <v>1436753.3983781491</v>
      </c>
      <c r="H134" s="380">
        <f t="shared" si="36"/>
        <v>342467.37749633606</v>
      </c>
      <c r="I134" s="399">
        <f t="shared" si="37"/>
        <v>342467.37749633606</v>
      </c>
      <c r="J134" s="54">
        <f t="shared" si="39"/>
        <v>0</v>
      </c>
      <c r="K134" s="54"/>
      <c r="L134" s="129"/>
      <c r="M134" s="54">
        <f t="shared" si="40"/>
        <v>0</v>
      </c>
      <c r="N134" s="129"/>
      <c r="O134" s="54">
        <f t="shared" si="41"/>
        <v>0</v>
      </c>
      <c r="P134" s="54">
        <f t="shared" si="42"/>
        <v>0</v>
      </c>
    </row>
    <row r="135" spans="2:16" ht="12.5">
      <c r="B135" s="7" t="str">
        <f t="shared" si="25"/>
        <v/>
      </c>
      <c r="C135" s="50">
        <f>IF(D93="","-",+C134+1)</f>
        <v>2054</v>
      </c>
      <c r="D135" s="12">
        <f>IF(F134+SUM(E$99:E134)=D$92,F134,D$92-SUM(E$99:E134))</f>
        <v>1354976.5306508765</v>
      </c>
      <c r="E135" s="378">
        <f>IF(+J96&lt;F134,J96,D135)</f>
        <v>163553.73545454547</v>
      </c>
      <c r="F135" s="55">
        <f t="shared" si="34"/>
        <v>1191422.7951963311</v>
      </c>
      <c r="G135" s="55">
        <f t="shared" si="35"/>
        <v>1273199.6629236038</v>
      </c>
      <c r="H135" s="380">
        <f t="shared" si="36"/>
        <v>322100.62944288156</v>
      </c>
      <c r="I135" s="399">
        <f t="shared" si="37"/>
        <v>322100.62944288156</v>
      </c>
      <c r="J135" s="54">
        <f t="shared" si="39"/>
        <v>0</v>
      </c>
      <c r="K135" s="54"/>
      <c r="L135" s="129"/>
      <c r="M135" s="54">
        <f t="shared" si="40"/>
        <v>0</v>
      </c>
      <c r="N135" s="129"/>
      <c r="O135" s="54">
        <f t="shared" si="41"/>
        <v>0</v>
      </c>
      <c r="P135" s="54">
        <f t="shared" si="42"/>
        <v>0</v>
      </c>
    </row>
    <row r="136" spans="2:16" ht="12.5">
      <c r="B136" s="7" t="str">
        <f t="shared" si="25"/>
        <v/>
      </c>
      <c r="C136" s="50">
        <f>IF(D93="","-",+C135+1)</f>
        <v>2055</v>
      </c>
      <c r="D136" s="12">
        <f>IF(F135+SUM(E$99:E135)=D$92,F135,D$92-SUM(E$99:E135))</f>
        <v>1191422.7951963311</v>
      </c>
      <c r="E136" s="378">
        <f>IF(+J96&lt;F135,J96,D136)</f>
        <v>163553.73545454547</v>
      </c>
      <c r="F136" s="55">
        <f t="shared" si="34"/>
        <v>1027869.0597417856</v>
      </c>
      <c r="G136" s="55">
        <f t="shared" si="35"/>
        <v>1109645.9274690584</v>
      </c>
      <c r="H136" s="380">
        <f t="shared" si="36"/>
        <v>301733.88138942712</v>
      </c>
      <c r="I136" s="399">
        <f t="shared" si="37"/>
        <v>301733.88138942712</v>
      </c>
      <c r="J136" s="54">
        <f t="shared" si="39"/>
        <v>0</v>
      </c>
      <c r="K136" s="54"/>
      <c r="L136" s="129"/>
      <c r="M136" s="54">
        <f t="shared" si="40"/>
        <v>0</v>
      </c>
      <c r="N136" s="129"/>
      <c r="O136" s="54">
        <f t="shared" si="41"/>
        <v>0</v>
      </c>
      <c r="P136" s="54">
        <f t="shared" si="42"/>
        <v>0</v>
      </c>
    </row>
    <row r="137" spans="2:16" ht="12.5">
      <c r="B137" s="7" t="str">
        <f t="shared" si="25"/>
        <v/>
      </c>
      <c r="C137" s="50">
        <f>IF(D93="","-",+C136+1)</f>
        <v>2056</v>
      </c>
      <c r="D137" s="12">
        <f>IF(F136+SUM(E$99:E136)=D$92,F136,D$92-SUM(E$99:E136))</f>
        <v>1027869.0597417856</v>
      </c>
      <c r="E137" s="378">
        <f>IF(+J96&lt;F136,J96,D137)</f>
        <v>163553.73545454547</v>
      </c>
      <c r="F137" s="55">
        <f t="shared" si="34"/>
        <v>864315.32428724016</v>
      </c>
      <c r="G137" s="55">
        <f t="shared" si="35"/>
        <v>946092.19201451284</v>
      </c>
      <c r="H137" s="380">
        <f t="shared" si="36"/>
        <v>281367.13333597267</v>
      </c>
      <c r="I137" s="399">
        <f t="shared" si="37"/>
        <v>281367.13333597267</v>
      </c>
      <c r="J137" s="54">
        <f t="shared" si="39"/>
        <v>0</v>
      </c>
      <c r="K137" s="54"/>
      <c r="L137" s="129"/>
      <c r="M137" s="54">
        <f t="shared" si="40"/>
        <v>0</v>
      </c>
      <c r="N137" s="129"/>
      <c r="O137" s="54">
        <f t="shared" si="41"/>
        <v>0</v>
      </c>
      <c r="P137" s="54">
        <f t="shared" si="42"/>
        <v>0</v>
      </c>
    </row>
    <row r="138" spans="2:16" ht="12.5">
      <c r="B138" s="7" t="str">
        <f t="shared" si="25"/>
        <v/>
      </c>
      <c r="C138" s="50">
        <f>IF(D93="","-",+C137+1)</f>
        <v>2057</v>
      </c>
      <c r="D138" s="12">
        <f>IF(F137+SUM(E$99:E137)=D$92,F137,D$92-SUM(E$99:E137))</f>
        <v>864315.32428724016</v>
      </c>
      <c r="E138" s="378">
        <f>IF(+J96&lt;F137,J96,D138)</f>
        <v>163553.73545454547</v>
      </c>
      <c r="F138" s="55">
        <f t="shared" si="34"/>
        <v>700761.58883269469</v>
      </c>
      <c r="G138" s="55">
        <f t="shared" si="35"/>
        <v>782538.45655996748</v>
      </c>
      <c r="H138" s="380">
        <f t="shared" si="36"/>
        <v>261000.38528251823</v>
      </c>
      <c r="I138" s="399">
        <f t="shared" si="37"/>
        <v>261000.38528251823</v>
      </c>
      <c r="J138" s="54">
        <f t="shared" si="39"/>
        <v>0</v>
      </c>
      <c r="K138" s="54"/>
      <c r="L138" s="129"/>
      <c r="M138" s="54">
        <f t="shared" si="40"/>
        <v>0</v>
      </c>
      <c r="N138" s="129"/>
      <c r="O138" s="54">
        <f t="shared" si="41"/>
        <v>0</v>
      </c>
      <c r="P138" s="54">
        <f t="shared" si="42"/>
        <v>0</v>
      </c>
    </row>
    <row r="139" spans="2:16" ht="12.5">
      <c r="B139" s="7" t="str">
        <f t="shared" si="25"/>
        <v/>
      </c>
      <c r="C139" s="50">
        <f>IF(D93="","-",+C138+1)</f>
        <v>2058</v>
      </c>
      <c r="D139" s="12">
        <f>IF(F138+SUM(E$99:E138)=D$92,F138,D$92-SUM(E$99:E138))</f>
        <v>700761.58883269469</v>
      </c>
      <c r="E139" s="378">
        <f>IF(+J96&lt;F138,J96,D139)</f>
        <v>163553.73545454547</v>
      </c>
      <c r="F139" s="55">
        <f t="shared" si="34"/>
        <v>537207.85337814922</v>
      </c>
      <c r="G139" s="55">
        <f t="shared" si="35"/>
        <v>618984.72110542189</v>
      </c>
      <c r="H139" s="380">
        <f t="shared" si="36"/>
        <v>240633.63722906372</v>
      </c>
      <c r="I139" s="399">
        <f t="shared" si="37"/>
        <v>240633.63722906372</v>
      </c>
      <c r="J139" s="54">
        <f t="shared" si="39"/>
        <v>0</v>
      </c>
      <c r="K139" s="54"/>
      <c r="L139" s="129"/>
      <c r="M139" s="54">
        <f t="shared" si="40"/>
        <v>0</v>
      </c>
      <c r="N139" s="129"/>
      <c r="O139" s="54">
        <f t="shared" si="41"/>
        <v>0</v>
      </c>
      <c r="P139" s="54">
        <f t="shared" si="42"/>
        <v>0</v>
      </c>
    </row>
    <row r="140" spans="2:16" ht="12.5">
      <c r="B140" s="7" t="str">
        <f t="shared" si="25"/>
        <v/>
      </c>
      <c r="C140" s="50">
        <f>IF(D93="","-",+C139+1)</f>
        <v>2059</v>
      </c>
      <c r="D140" s="12">
        <f>IF(F139+SUM(E$99:E139)=D$92,F139,D$92-SUM(E$99:E139))</f>
        <v>537207.85337814922</v>
      </c>
      <c r="E140" s="378">
        <f>IF(+J96&lt;F139,J96,D140)</f>
        <v>163553.73545454547</v>
      </c>
      <c r="F140" s="55">
        <f t="shared" si="34"/>
        <v>373654.11792360374</v>
      </c>
      <c r="G140" s="55">
        <f t="shared" si="35"/>
        <v>455430.98565087648</v>
      </c>
      <c r="H140" s="380">
        <f t="shared" si="36"/>
        <v>220266.88917560928</v>
      </c>
      <c r="I140" s="399">
        <f t="shared" si="37"/>
        <v>220266.88917560928</v>
      </c>
      <c r="J140" s="54">
        <f t="shared" si="39"/>
        <v>0</v>
      </c>
      <c r="K140" s="54"/>
      <c r="L140" s="129"/>
      <c r="M140" s="54">
        <f t="shared" si="40"/>
        <v>0</v>
      </c>
      <c r="N140" s="129"/>
      <c r="O140" s="54">
        <f t="shared" si="41"/>
        <v>0</v>
      </c>
      <c r="P140" s="54">
        <f t="shared" si="42"/>
        <v>0</v>
      </c>
    </row>
    <row r="141" spans="2:16" ht="12.5">
      <c r="B141" s="7" t="str">
        <f t="shared" si="25"/>
        <v/>
      </c>
      <c r="C141" s="50">
        <f>IF(D93="","-",+C140+1)</f>
        <v>2060</v>
      </c>
      <c r="D141" s="12">
        <f>IF(F140+SUM(E$99:E140)=D$92,F140,D$92-SUM(E$99:E140))</f>
        <v>373654.11792360374</v>
      </c>
      <c r="E141" s="378">
        <f>IF(+J96&lt;F140,J96,D141)</f>
        <v>163553.73545454547</v>
      </c>
      <c r="F141" s="55">
        <f t="shared" si="34"/>
        <v>210100.38246905827</v>
      </c>
      <c r="G141" s="55">
        <f t="shared" si="35"/>
        <v>291877.25019633101</v>
      </c>
      <c r="H141" s="380">
        <f t="shared" si="36"/>
        <v>199900.1411221548</v>
      </c>
      <c r="I141" s="399">
        <f t="shared" si="37"/>
        <v>199900.1411221548</v>
      </c>
      <c r="J141" s="54">
        <f t="shared" si="39"/>
        <v>0</v>
      </c>
      <c r="K141" s="54"/>
      <c r="L141" s="129"/>
      <c r="M141" s="54">
        <f t="shared" si="40"/>
        <v>0</v>
      </c>
      <c r="N141" s="129"/>
      <c r="O141" s="54">
        <f t="shared" si="41"/>
        <v>0</v>
      </c>
      <c r="P141" s="54">
        <f t="shared" si="42"/>
        <v>0</v>
      </c>
    </row>
    <row r="142" spans="2:16" ht="12.5">
      <c r="B142" s="7" t="str">
        <f t="shared" si="25"/>
        <v/>
      </c>
      <c r="C142" s="50">
        <f>IF(D93="","-",+C141+1)</f>
        <v>2061</v>
      </c>
      <c r="D142" s="12">
        <f>IF(F141+SUM(E$99:E141)=D$92,F141,D$92-SUM(E$99:E141))</f>
        <v>210100.38246905827</v>
      </c>
      <c r="E142" s="378">
        <f>IF(+J96&lt;F141,J96,D142)</f>
        <v>163553.73545454547</v>
      </c>
      <c r="F142" s="55">
        <f t="shared" si="34"/>
        <v>46546.647014512797</v>
      </c>
      <c r="G142" s="55">
        <f t="shared" si="35"/>
        <v>128323.51474178553</v>
      </c>
      <c r="H142" s="380">
        <f t="shared" si="36"/>
        <v>179533.39306870033</v>
      </c>
      <c r="I142" s="399">
        <f t="shared" si="37"/>
        <v>179533.39306870033</v>
      </c>
      <c r="J142" s="54">
        <f t="shared" si="39"/>
        <v>0</v>
      </c>
      <c r="K142" s="54"/>
      <c r="L142" s="129"/>
      <c r="M142" s="54">
        <f t="shared" si="40"/>
        <v>0</v>
      </c>
      <c r="N142" s="129"/>
      <c r="O142" s="54">
        <f t="shared" si="41"/>
        <v>0</v>
      </c>
      <c r="P142" s="54">
        <f t="shared" si="42"/>
        <v>0</v>
      </c>
    </row>
    <row r="143" spans="2:16" ht="12.5">
      <c r="B143" s="7" t="str">
        <f t="shared" si="25"/>
        <v/>
      </c>
      <c r="C143" s="50">
        <f>IF(D93="","-",+C142+1)</f>
        <v>2062</v>
      </c>
      <c r="D143" s="12">
        <f>IF(F142+SUM(E$99:E142)=D$92,F142,D$92-SUM(E$99:E142))</f>
        <v>46546.647014512797</v>
      </c>
      <c r="E143" s="378">
        <f>IF(+J96&lt;F142,J96,D143)</f>
        <v>46546.647014512797</v>
      </c>
      <c r="F143" s="55">
        <f t="shared" si="34"/>
        <v>0</v>
      </c>
      <c r="G143" s="55">
        <f t="shared" si="35"/>
        <v>23273.323507256398</v>
      </c>
      <c r="H143" s="380">
        <f t="shared" si="36"/>
        <v>49444.788808226607</v>
      </c>
      <c r="I143" s="399">
        <f t="shared" si="37"/>
        <v>49444.788808226607</v>
      </c>
      <c r="J143" s="54">
        <f t="shared" si="39"/>
        <v>0</v>
      </c>
      <c r="K143" s="54"/>
      <c r="L143" s="129"/>
      <c r="M143" s="54">
        <f t="shared" si="40"/>
        <v>0</v>
      </c>
      <c r="N143" s="129"/>
      <c r="O143" s="54">
        <f t="shared" si="41"/>
        <v>0</v>
      </c>
      <c r="P143" s="54">
        <f t="shared" si="42"/>
        <v>0</v>
      </c>
    </row>
    <row r="144" spans="2:16" ht="12.5">
      <c r="B144" s="7" t="str">
        <f t="shared" si="25"/>
        <v/>
      </c>
      <c r="C144" s="50">
        <f>IF(D93="","-",+C143+1)</f>
        <v>2063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34"/>
        <v>0</v>
      </c>
      <c r="G144" s="55">
        <f t="shared" si="35"/>
        <v>0</v>
      </c>
      <c r="H144" s="380">
        <f t="shared" si="36"/>
        <v>0</v>
      </c>
      <c r="I144" s="399">
        <f t="shared" si="37"/>
        <v>0</v>
      </c>
      <c r="J144" s="54">
        <f t="shared" si="39"/>
        <v>0</v>
      </c>
      <c r="K144" s="54"/>
      <c r="L144" s="129"/>
      <c r="M144" s="54">
        <f t="shared" si="40"/>
        <v>0</v>
      </c>
      <c r="N144" s="129"/>
      <c r="O144" s="54">
        <f t="shared" si="41"/>
        <v>0</v>
      </c>
      <c r="P144" s="54">
        <f t="shared" si="42"/>
        <v>0</v>
      </c>
    </row>
    <row r="145" spans="2:16" ht="12.5">
      <c r="B145" s="7" t="str">
        <f t="shared" si="25"/>
        <v/>
      </c>
      <c r="C145" s="50">
        <f>IF(D93="","-",+C144+1)</f>
        <v>2064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34"/>
        <v>0</v>
      </c>
      <c r="G145" s="55">
        <f t="shared" si="35"/>
        <v>0</v>
      </c>
      <c r="H145" s="380">
        <f t="shared" si="36"/>
        <v>0</v>
      </c>
      <c r="I145" s="399">
        <f t="shared" si="37"/>
        <v>0</v>
      </c>
      <c r="J145" s="54">
        <f t="shared" si="39"/>
        <v>0</v>
      </c>
      <c r="K145" s="54"/>
      <c r="L145" s="129"/>
      <c r="M145" s="54">
        <f t="shared" si="40"/>
        <v>0</v>
      </c>
      <c r="N145" s="129"/>
      <c r="O145" s="54">
        <f t="shared" si="41"/>
        <v>0</v>
      </c>
      <c r="P145" s="54">
        <f t="shared" si="42"/>
        <v>0</v>
      </c>
    </row>
    <row r="146" spans="2:16" ht="12.5">
      <c r="B146" s="7" t="str">
        <f t="shared" si="25"/>
        <v/>
      </c>
      <c r="C146" s="50">
        <f>IF(D93="","-",+C145+1)</f>
        <v>2065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34"/>
        <v>0</v>
      </c>
      <c r="G146" s="55">
        <f t="shared" si="35"/>
        <v>0</v>
      </c>
      <c r="H146" s="380">
        <f t="shared" si="36"/>
        <v>0</v>
      </c>
      <c r="I146" s="399">
        <f t="shared" si="37"/>
        <v>0</v>
      </c>
      <c r="J146" s="54">
        <f t="shared" si="39"/>
        <v>0</v>
      </c>
      <c r="K146" s="54"/>
      <c r="L146" s="129"/>
      <c r="M146" s="54">
        <f t="shared" si="40"/>
        <v>0</v>
      </c>
      <c r="N146" s="129"/>
      <c r="O146" s="54">
        <f t="shared" si="41"/>
        <v>0</v>
      </c>
      <c r="P146" s="54">
        <f t="shared" si="42"/>
        <v>0</v>
      </c>
    </row>
    <row r="147" spans="2:16" ht="12.5">
      <c r="B147" s="7" t="str">
        <f t="shared" si="25"/>
        <v/>
      </c>
      <c r="C147" s="50">
        <f>IF(D93="","-",+C146+1)</f>
        <v>2066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34"/>
        <v>0</v>
      </c>
      <c r="G147" s="55">
        <f t="shared" si="35"/>
        <v>0</v>
      </c>
      <c r="H147" s="380">
        <f t="shared" si="36"/>
        <v>0</v>
      </c>
      <c r="I147" s="399">
        <f t="shared" si="37"/>
        <v>0</v>
      </c>
      <c r="J147" s="54">
        <f t="shared" si="39"/>
        <v>0</v>
      </c>
      <c r="K147" s="54"/>
      <c r="L147" s="129"/>
      <c r="M147" s="54">
        <f t="shared" si="40"/>
        <v>0</v>
      </c>
      <c r="N147" s="129"/>
      <c r="O147" s="54">
        <f t="shared" si="41"/>
        <v>0</v>
      </c>
      <c r="P147" s="54">
        <f t="shared" si="42"/>
        <v>0</v>
      </c>
    </row>
    <row r="148" spans="2:16" ht="12.5">
      <c r="B148" s="7" t="str">
        <f t="shared" si="25"/>
        <v/>
      </c>
      <c r="C148" s="50">
        <f>IF(D93="","-",+C147+1)</f>
        <v>2067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34"/>
        <v>0</v>
      </c>
      <c r="G148" s="55">
        <f t="shared" si="35"/>
        <v>0</v>
      </c>
      <c r="H148" s="380">
        <f t="shared" si="36"/>
        <v>0</v>
      </c>
      <c r="I148" s="399">
        <f t="shared" si="37"/>
        <v>0</v>
      </c>
      <c r="J148" s="54">
        <f t="shared" si="39"/>
        <v>0</v>
      </c>
      <c r="K148" s="54"/>
      <c r="L148" s="129"/>
      <c r="M148" s="54">
        <f t="shared" si="40"/>
        <v>0</v>
      </c>
      <c r="N148" s="129"/>
      <c r="O148" s="54">
        <f t="shared" si="41"/>
        <v>0</v>
      </c>
      <c r="P148" s="54">
        <f t="shared" si="42"/>
        <v>0</v>
      </c>
    </row>
    <row r="149" spans="2:16" ht="12.5">
      <c r="B149" s="7" t="str">
        <f t="shared" si="25"/>
        <v/>
      </c>
      <c r="C149" s="50">
        <f>IF(D93="","-",+C148+1)</f>
        <v>2068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34"/>
        <v>0</v>
      </c>
      <c r="G149" s="55">
        <f t="shared" si="35"/>
        <v>0</v>
      </c>
      <c r="H149" s="380">
        <f t="shared" si="36"/>
        <v>0</v>
      </c>
      <c r="I149" s="399">
        <f t="shared" si="37"/>
        <v>0</v>
      </c>
      <c r="J149" s="54">
        <f t="shared" si="39"/>
        <v>0</v>
      </c>
      <c r="K149" s="54"/>
      <c r="L149" s="129"/>
      <c r="M149" s="54">
        <f t="shared" si="40"/>
        <v>0</v>
      </c>
      <c r="N149" s="129"/>
      <c r="O149" s="54">
        <f t="shared" si="41"/>
        <v>0</v>
      </c>
      <c r="P149" s="54">
        <f t="shared" si="42"/>
        <v>0</v>
      </c>
    </row>
    <row r="150" spans="2:16" ht="12.5">
      <c r="B150" s="7" t="str">
        <f t="shared" si="25"/>
        <v/>
      </c>
      <c r="C150" s="50">
        <f>IF(D93="","-",+C149+1)</f>
        <v>2069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34"/>
        <v>0</v>
      </c>
      <c r="G150" s="55">
        <f t="shared" si="35"/>
        <v>0</v>
      </c>
      <c r="H150" s="380">
        <f t="shared" si="36"/>
        <v>0</v>
      </c>
      <c r="I150" s="399">
        <f t="shared" si="37"/>
        <v>0</v>
      </c>
      <c r="J150" s="54">
        <f t="shared" si="39"/>
        <v>0</v>
      </c>
      <c r="K150" s="54"/>
      <c r="L150" s="129"/>
      <c r="M150" s="54">
        <f t="shared" si="40"/>
        <v>0</v>
      </c>
      <c r="N150" s="129"/>
      <c r="O150" s="54">
        <f t="shared" si="41"/>
        <v>0</v>
      </c>
      <c r="P150" s="54">
        <f t="shared" si="42"/>
        <v>0</v>
      </c>
    </row>
    <row r="151" spans="2:16" ht="12.5">
      <c r="B151" s="7" t="str">
        <f t="shared" si="25"/>
        <v/>
      </c>
      <c r="C151" s="50">
        <f>IF(D93="","-",+C150+1)</f>
        <v>2070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34"/>
        <v>0</v>
      </c>
      <c r="G151" s="55">
        <f t="shared" si="35"/>
        <v>0</v>
      </c>
      <c r="H151" s="380">
        <f t="shared" si="36"/>
        <v>0</v>
      </c>
      <c r="I151" s="399">
        <f t="shared" si="37"/>
        <v>0</v>
      </c>
      <c r="J151" s="54">
        <f t="shared" si="39"/>
        <v>0</v>
      </c>
      <c r="K151" s="54"/>
      <c r="L151" s="129"/>
      <c r="M151" s="54">
        <f t="shared" si="40"/>
        <v>0</v>
      </c>
      <c r="N151" s="129"/>
      <c r="O151" s="54">
        <f t="shared" si="41"/>
        <v>0</v>
      </c>
      <c r="P151" s="54">
        <f t="shared" si="42"/>
        <v>0</v>
      </c>
    </row>
    <row r="152" spans="2:16" ht="12.5">
      <c r="B152" s="7" t="str">
        <f t="shared" si="25"/>
        <v/>
      </c>
      <c r="C152" s="50">
        <f>IF(D93="","-",+C151+1)</f>
        <v>2071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34"/>
        <v>0</v>
      </c>
      <c r="G152" s="55">
        <f t="shared" si="35"/>
        <v>0</v>
      </c>
      <c r="H152" s="380">
        <f t="shared" si="36"/>
        <v>0</v>
      </c>
      <c r="I152" s="399">
        <f t="shared" si="37"/>
        <v>0</v>
      </c>
      <c r="J152" s="54">
        <f t="shared" si="39"/>
        <v>0</v>
      </c>
      <c r="K152" s="54"/>
      <c r="L152" s="129"/>
      <c r="M152" s="54">
        <f t="shared" si="40"/>
        <v>0</v>
      </c>
      <c r="N152" s="129"/>
      <c r="O152" s="54">
        <f t="shared" si="41"/>
        <v>0</v>
      </c>
      <c r="P152" s="54">
        <f t="shared" si="42"/>
        <v>0</v>
      </c>
    </row>
    <row r="153" spans="2:16" ht="12.5">
      <c r="B153" s="7" t="str">
        <f t="shared" si="25"/>
        <v/>
      </c>
      <c r="C153" s="50">
        <f>IF(D93="","-",+C152+1)</f>
        <v>2072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34"/>
        <v>0</v>
      </c>
      <c r="G153" s="55">
        <f t="shared" si="35"/>
        <v>0</v>
      </c>
      <c r="H153" s="380">
        <f t="shared" si="36"/>
        <v>0</v>
      </c>
      <c r="I153" s="399">
        <f t="shared" si="37"/>
        <v>0</v>
      </c>
      <c r="J153" s="54">
        <f t="shared" si="39"/>
        <v>0</v>
      </c>
      <c r="K153" s="54"/>
      <c r="L153" s="129"/>
      <c r="M153" s="54">
        <f t="shared" si="40"/>
        <v>0</v>
      </c>
      <c r="N153" s="129"/>
      <c r="O153" s="54">
        <f t="shared" si="41"/>
        <v>0</v>
      </c>
      <c r="P153" s="54">
        <f t="shared" si="42"/>
        <v>0</v>
      </c>
    </row>
    <row r="154" spans="2:16" ht="13" thickBot="1">
      <c r="B154" s="7" t="str">
        <f t="shared" si="25"/>
        <v/>
      </c>
      <c r="C154" s="59">
        <f>IF(D93="","-",+C153+1)</f>
        <v>2073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34"/>
        <v>0</v>
      </c>
      <c r="G154" s="60">
        <f t="shared" si="35"/>
        <v>0</v>
      </c>
      <c r="H154" s="382">
        <f t="shared" si="36"/>
        <v>0</v>
      </c>
      <c r="I154" s="400">
        <f t="shared" si="37"/>
        <v>0</v>
      </c>
      <c r="J154" s="64">
        <f t="shared" si="39"/>
        <v>0</v>
      </c>
      <c r="K154" s="54"/>
      <c r="L154" s="130"/>
      <c r="M154" s="64">
        <f t="shared" si="40"/>
        <v>0</v>
      </c>
      <c r="N154" s="130"/>
      <c r="O154" s="64">
        <f t="shared" si="41"/>
        <v>0</v>
      </c>
      <c r="P154" s="64">
        <f t="shared" si="42"/>
        <v>0</v>
      </c>
    </row>
    <row r="155" spans="2:16" ht="12.5">
      <c r="C155" s="12" t="s">
        <v>78</v>
      </c>
      <c r="D155" s="293"/>
      <c r="E155" s="293">
        <f>SUM(E99:E154)</f>
        <v>7196364.3600000003</v>
      </c>
      <c r="F155" s="293"/>
      <c r="G155" s="293"/>
      <c r="H155" s="293">
        <f>SUM(H99:H154)</f>
        <v>26295660.239309743</v>
      </c>
      <c r="I155" s="293">
        <f>SUM(I99:I154)</f>
        <v>26295660.239309743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 ht="12.5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 ht="13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17" priority="1" stopIfTrue="1" operator="equal">
      <formula>$I$10</formula>
    </cfRule>
  </conditionalFormatting>
  <conditionalFormatting sqref="C99:C154">
    <cfRule type="cellIs" dxfId="16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P162"/>
  <sheetViews>
    <sheetView topLeftCell="B75" zoomScale="80" zoomScaleNormal="80" workbookViewId="0">
      <selection activeCell="D23" sqref="D23:H23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71 of 77</v>
      </c>
    </row>
    <row r="2" spans="1:16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222109.18721263934</v>
      </c>
      <c r="P5" s="1"/>
    </row>
    <row r="6" spans="1:16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222109.18721263934</v>
      </c>
      <c r="O6" s="1"/>
      <c r="P6" s="1"/>
    </row>
    <row r="7" spans="1:16" ht="13.5" thickBot="1">
      <c r="C7" s="25" t="s">
        <v>48</v>
      </c>
      <c r="D7" s="90" t="s">
        <v>436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429</v>
      </c>
      <c r="E9" s="436" t="s">
        <v>430</v>
      </c>
      <c r="F9" s="31"/>
      <c r="G9" s="31"/>
      <c r="H9" s="31"/>
      <c r="I9" s="32"/>
      <c r="J9" s="33"/>
      <c r="P9" s="1"/>
    </row>
    <row r="10" spans="1:16" ht="13">
      <c r="C10" s="34" t="s">
        <v>51</v>
      </c>
      <c r="D10" s="363">
        <v>1742923.9700000002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6" ht="12.5">
      <c r="C11" s="34" t="s">
        <v>54</v>
      </c>
      <c r="D11" s="37">
        <v>2018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3">
        <v>12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39611.908409090916</v>
      </c>
      <c r="J14" s="293"/>
      <c r="K14" s="293"/>
      <c r="L14" s="293"/>
      <c r="M14" s="293"/>
      <c r="N14" s="293"/>
      <c r="O14" s="1"/>
      <c r="P14" s="1"/>
    </row>
    <row r="15" spans="1:16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3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2018</v>
      </c>
      <c r="D17" s="431">
        <v>0</v>
      </c>
      <c r="E17" s="430">
        <v>0</v>
      </c>
      <c r="F17" s="431">
        <v>1254000</v>
      </c>
      <c r="G17" s="430">
        <v>79688.000028018621</v>
      </c>
      <c r="H17" s="438">
        <v>79688.000028018621</v>
      </c>
      <c r="I17" s="52">
        <f t="shared" ref="I17:I72" si="0">H17-G17</f>
        <v>0</v>
      </c>
      <c r="J17" s="52"/>
      <c r="K17" s="112">
        <f t="shared" ref="K17:K22" si="1">+G17</f>
        <v>79688.000028018621</v>
      </c>
      <c r="L17" s="53">
        <f t="shared" ref="L17:L72" si="2">IF(K17&lt;&gt;0,+G17-K17,0)</f>
        <v>0</v>
      </c>
      <c r="M17" s="112">
        <f t="shared" ref="M17:M22" si="3">+H17</f>
        <v>79688.000028018621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2019</v>
      </c>
      <c r="D18" s="431">
        <v>1254000</v>
      </c>
      <c r="E18" s="430">
        <v>30585.365853658535</v>
      </c>
      <c r="F18" s="431">
        <v>1223414.6341463414</v>
      </c>
      <c r="G18" s="430">
        <v>188017.75615291481</v>
      </c>
      <c r="H18" s="438">
        <v>188017.75615291481</v>
      </c>
      <c r="I18" s="52">
        <f t="shared" si="0"/>
        <v>0</v>
      </c>
      <c r="J18" s="52"/>
      <c r="K18" s="113">
        <f t="shared" si="1"/>
        <v>188017.75615291481</v>
      </c>
      <c r="L18" s="54">
        <f t="shared" si="2"/>
        <v>0</v>
      </c>
      <c r="M18" s="113">
        <f t="shared" si="3"/>
        <v>188017.75615291481</v>
      </c>
      <c r="N18" s="54">
        <f t="shared" si="4"/>
        <v>0</v>
      </c>
      <c r="O18" s="54">
        <f t="shared" si="5"/>
        <v>0</v>
      </c>
      <c r="P18" s="1"/>
    </row>
    <row r="19" spans="2:16" ht="12.5">
      <c r="B19" s="7" t="str">
        <f>IF(D19=F18,"","IU")</f>
        <v>IU</v>
      </c>
      <c r="C19" s="50">
        <f>IF(D11="","-",+C18+1)</f>
        <v>2020</v>
      </c>
      <c r="D19" s="431">
        <v>1659059.6341463414</v>
      </c>
      <c r="E19" s="430">
        <v>41210.853658536587</v>
      </c>
      <c r="F19" s="431">
        <v>1617848.7804878047</v>
      </c>
      <c r="G19" s="430">
        <v>208882.8109309049</v>
      </c>
      <c r="H19" s="438">
        <v>208882.8109309049</v>
      </c>
      <c r="I19" s="52">
        <f t="shared" si="0"/>
        <v>0</v>
      </c>
      <c r="J19" s="52"/>
      <c r="K19" s="113">
        <f t="shared" si="1"/>
        <v>208882.8109309049</v>
      </c>
      <c r="L19" s="54">
        <f t="shared" ref="L19" si="6">IF(K19&lt;&gt;0,+G19-K19,0)</f>
        <v>0</v>
      </c>
      <c r="M19" s="113">
        <f t="shared" si="3"/>
        <v>208882.8109309049</v>
      </c>
      <c r="N19" s="54">
        <f t="shared" si="4"/>
        <v>0</v>
      </c>
      <c r="O19" s="54">
        <f t="shared" si="5"/>
        <v>0</v>
      </c>
      <c r="P19" s="1"/>
    </row>
    <row r="20" spans="2:16" ht="12.5">
      <c r="B20" s="7" t="str">
        <f t="shared" ref="B20:B72" si="7">IF(D20=F19,"","IU")</f>
        <v>IU</v>
      </c>
      <c r="C20" s="50">
        <f>IF(D11="","-",+C19+1)</f>
        <v>2021</v>
      </c>
      <c r="D20" s="431">
        <v>1662410.820760068</v>
      </c>
      <c r="E20" s="430">
        <v>41498.190476190473</v>
      </c>
      <c r="F20" s="431">
        <v>1620912.6302838775</v>
      </c>
      <c r="G20" s="430">
        <v>215521.79480403315</v>
      </c>
      <c r="H20" s="438">
        <v>215521.79480403315</v>
      </c>
      <c r="I20" s="52">
        <f t="shared" si="0"/>
        <v>0</v>
      </c>
      <c r="J20" s="52"/>
      <c r="K20" s="113">
        <f t="shared" si="1"/>
        <v>215521.79480403315</v>
      </c>
      <c r="L20" s="54">
        <f t="shared" ref="L20" si="8">IF(K20&lt;&gt;0,+G20-K20,0)</f>
        <v>0</v>
      </c>
      <c r="M20" s="113">
        <f t="shared" si="3"/>
        <v>215521.79480403315</v>
      </c>
      <c r="N20" s="54">
        <f t="shared" si="4"/>
        <v>0</v>
      </c>
      <c r="O20" s="54">
        <f t="shared" si="5"/>
        <v>0</v>
      </c>
      <c r="P20" s="1"/>
    </row>
    <row r="21" spans="2:16" ht="12.5">
      <c r="B21" s="7" t="str">
        <f t="shared" si="7"/>
        <v>IU</v>
      </c>
      <c r="C21" s="50">
        <f>IF(D11="","-",+C20+1)</f>
        <v>2022</v>
      </c>
      <c r="D21" s="431">
        <v>1629629.5900116144</v>
      </c>
      <c r="E21" s="430">
        <v>41498.190476190473</v>
      </c>
      <c r="F21" s="431">
        <v>1588131.3995354238</v>
      </c>
      <c r="G21" s="430">
        <v>222407.30470378633</v>
      </c>
      <c r="H21" s="438">
        <v>222407.30470378633</v>
      </c>
      <c r="I21" s="52">
        <f t="shared" si="0"/>
        <v>0</v>
      </c>
      <c r="J21" s="52"/>
      <c r="K21" s="113">
        <f t="shared" si="1"/>
        <v>222407.30470378633</v>
      </c>
      <c r="L21" s="54">
        <f t="shared" ref="L21" si="9">IF(K21&lt;&gt;0,+G21-K21,0)</f>
        <v>0</v>
      </c>
      <c r="M21" s="113">
        <f t="shared" si="3"/>
        <v>222407.30470378633</v>
      </c>
      <c r="N21" s="54">
        <f t="shared" si="4"/>
        <v>0</v>
      </c>
      <c r="O21" s="54">
        <f t="shared" si="5"/>
        <v>0</v>
      </c>
      <c r="P21" s="1"/>
    </row>
    <row r="22" spans="2:16" ht="12.5">
      <c r="B22" s="7" t="str">
        <f t="shared" si="7"/>
        <v>IU</v>
      </c>
      <c r="C22" s="50">
        <f>IF(D11="","-",+C21+1)</f>
        <v>2023</v>
      </c>
      <c r="D22" s="431">
        <v>1588131.369535424</v>
      </c>
      <c r="E22" s="430">
        <v>41498.189761904767</v>
      </c>
      <c r="F22" s="431">
        <v>1546633.1797735193</v>
      </c>
      <c r="G22" s="430">
        <v>239500.55805520574</v>
      </c>
      <c r="H22" s="438">
        <v>239500.55805520574</v>
      </c>
      <c r="I22" s="52">
        <f t="shared" si="0"/>
        <v>0</v>
      </c>
      <c r="J22" s="52"/>
      <c r="K22" s="113">
        <f t="shared" si="1"/>
        <v>239500.55805520574</v>
      </c>
      <c r="L22" s="54">
        <f t="shared" ref="L22" si="10">IF(K22&lt;&gt;0,+G22-K22,0)</f>
        <v>0</v>
      </c>
      <c r="M22" s="113">
        <f t="shared" si="3"/>
        <v>239500.55805520574</v>
      </c>
      <c r="N22" s="54">
        <f t="shared" si="4"/>
        <v>0</v>
      </c>
      <c r="O22" s="54">
        <f t="shared" si="5"/>
        <v>0</v>
      </c>
      <c r="P22" s="1"/>
    </row>
    <row r="23" spans="2:16" ht="12.5">
      <c r="B23" s="7" t="str">
        <f t="shared" si="7"/>
        <v/>
      </c>
      <c r="C23" s="50">
        <f>IF(D11="","-",+C22+1)</f>
        <v>2024</v>
      </c>
      <c r="D23" s="431">
        <v>1546633.1797735193</v>
      </c>
      <c r="E23" s="430">
        <v>39611.908409090916</v>
      </c>
      <c r="F23" s="431">
        <v>1507021.2713644283</v>
      </c>
      <c r="G23" s="430">
        <v>222109.18721263934</v>
      </c>
      <c r="H23" s="438">
        <v>222109.18721263934</v>
      </c>
      <c r="I23" s="52">
        <f t="shared" si="0"/>
        <v>0</v>
      </c>
      <c r="J23" s="52"/>
      <c r="K23" s="113">
        <f t="shared" ref="K23" si="11">+G23</f>
        <v>222109.18721263934</v>
      </c>
      <c r="L23" s="54">
        <f t="shared" ref="L23" si="12">IF(K23&lt;&gt;0,+G23-K23,0)</f>
        <v>0</v>
      </c>
      <c r="M23" s="113">
        <f t="shared" ref="M23" si="13">+H23</f>
        <v>222109.18721263934</v>
      </c>
      <c r="N23" s="54">
        <f t="shared" ref="N23" si="14">IF(M23&lt;&gt;0,+H23-M23,0)</f>
        <v>0</v>
      </c>
      <c r="O23" s="54">
        <f t="shared" ref="O23" si="15">+N23-L23</f>
        <v>0</v>
      </c>
      <c r="P23" s="1"/>
    </row>
    <row r="24" spans="2:16" ht="12.5">
      <c r="B24" s="7" t="str">
        <f t="shared" si="7"/>
        <v/>
      </c>
      <c r="C24" s="50">
        <f>IF(D11="","-",+C23+1)</f>
        <v>2025</v>
      </c>
      <c r="D24" s="55">
        <f>IF(F23+SUM(E$17:E23)=D$10,F23,D$10-SUM(E$17:E23))</f>
        <v>1507021.2713644283</v>
      </c>
      <c r="E24" s="378">
        <f>IF(+I14&lt;F23,I14,D24)</f>
        <v>39611.908409090916</v>
      </c>
      <c r="F24" s="55">
        <f t="shared" ref="F24:F72" si="16">+D24-E24</f>
        <v>1467409.3629553374</v>
      </c>
      <c r="G24" s="379">
        <f t="shared" ref="G24:G72" si="17">+I$12*((D24+F24)/2)+E24</f>
        <v>217374.4894211583</v>
      </c>
      <c r="H24" s="364">
        <f t="shared" ref="H24:H72" si="18">+I$13*((D24+F24)/2)+E24</f>
        <v>217374.4894211583</v>
      </c>
      <c r="I24" s="52">
        <f t="shared" si="0"/>
        <v>0</v>
      </c>
      <c r="J24" s="52"/>
      <c r="K24" s="129"/>
      <c r="L24" s="54">
        <f t="shared" si="2"/>
        <v>0</v>
      </c>
      <c r="M24" s="129"/>
      <c r="N24" s="54">
        <f t="shared" si="4"/>
        <v>0</v>
      </c>
      <c r="O24" s="54">
        <f t="shared" si="5"/>
        <v>0</v>
      </c>
      <c r="P24" s="1"/>
    </row>
    <row r="25" spans="2:16" ht="12.5">
      <c r="B25" s="7" t="str">
        <f t="shared" si="7"/>
        <v/>
      </c>
      <c r="C25" s="50">
        <f>IF(D11="","-",+C24+1)</f>
        <v>2026</v>
      </c>
      <c r="D25" s="55">
        <f>IF(F24+SUM(E$17:E24)=D$10,F24,D$10-SUM(E$17:E24))</f>
        <v>1467409.3629553374</v>
      </c>
      <c r="E25" s="378">
        <f>IF(+I14&lt;F24,I14,D25)</f>
        <v>39611.908409090916</v>
      </c>
      <c r="F25" s="55">
        <f t="shared" si="16"/>
        <v>1427797.4545462464</v>
      </c>
      <c r="G25" s="379">
        <f t="shared" si="17"/>
        <v>212639.79162967732</v>
      </c>
      <c r="H25" s="364">
        <f t="shared" si="18"/>
        <v>212639.79162967732</v>
      </c>
      <c r="I25" s="52">
        <f t="shared" si="0"/>
        <v>0</v>
      </c>
      <c r="J25" s="52"/>
      <c r="K25" s="129"/>
      <c r="L25" s="54">
        <f t="shared" si="2"/>
        <v>0</v>
      </c>
      <c r="M25" s="129"/>
      <c r="N25" s="54">
        <f t="shared" si="4"/>
        <v>0</v>
      </c>
      <c r="O25" s="54">
        <f t="shared" si="5"/>
        <v>0</v>
      </c>
      <c r="P25" s="1"/>
    </row>
    <row r="26" spans="2:16" ht="12.5">
      <c r="B26" s="7" t="str">
        <f t="shared" si="7"/>
        <v/>
      </c>
      <c r="C26" s="50">
        <f>IF(D11="","-",+C25+1)</f>
        <v>2027</v>
      </c>
      <c r="D26" s="55">
        <f>IF(F25+SUM(E$17:E25)=D$10,F25,D$10-SUM(E$17:E25))</f>
        <v>1427797.4545462464</v>
      </c>
      <c r="E26" s="378">
        <f>IF(+I14&lt;F25,I14,D26)</f>
        <v>39611.908409090916</v>
      </c>
      <c r="F26" s="55">
        <f t="shared" si="16"/>
        <v>1388185.5461371555</v>
      </c>
      <c r="G26" s="379">
        <f t="shared" si="17"/>
        <v>207905.09383819628</v>
      </c>
      <c r="H26" s="364">
        <f t="shared" si="18"/>
        <v>207905.09383819628</v>
      </c>
      <c r="I26" s="52">
        <f t="shared" si="0"/>
        <v>0</v>
      </c>
      <c r="J26" s="52"/>
      <c r="K26" s="129"/>
      <c r="L26" s="54">
        <f t="shared" si="2"/>
        <v>0</v>
      </c>
      <c r="M26" s="129"/>
      <c r="N26" s="54">
        <f t="shared" si="4"/>
        <v>0</v>
      </c>
      <c r="O26" s="54">
        <f t="shared" si="5"/>
        <v>0</v>
      </c>
      <c r="P26" s="1"/>
    </row>
    <row r="27" spans="2:16" ht="12.5">
      <c r="B27" s="7" t="str">
        <f t="shared" si="7"/>
        <v/>
      </c>
      <c r="C27" s="50">
        <f>IF(D11="","-",+C26+1)</f>
        <v>2028</v>
      </c>
      <c r="D27" s="55">
        <f>IF(F26+SUM(E$17:E26)=D$10,F26,D$10-SUM(E$17:E26))</f>
        <v>1388185.5461371555</v>
      </c>
      <c r="E27" s="378">
        <f>IF(+I14&lt;F26,I14,D27)</f>
        <v>39611.908409090916</v>
      </c>
      <c r="F27" s="55">
        <f t="shared" si="16"/>
        <v>1348573.6377280646</v>
      </c>
      <c r="G27" s="379">
        <f t="shared" si="17"/>
        <v>203170.39604671529</v>
      </c>
      <c r="H27" s="364">
        <f t="shared" si="18"/>
        <v>203170.39604671529</v>
      </c>
      <c r="I27" s="52">
        <f t="shared" si="0"/>
        <v>0</v>
      </c>
      <c r="J27" s="52"/>
      <c r="K27" s="129"/>
      <c r="L27" s="54">
        <f t="shared" si="2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7"/>
        <v/>
      </c>
      <c r="C28" s="50">
        <f>IF(D11="","-",+C27+1)</f>
        <v>2029</v>
      </c>
      <c r="D28" s="55">
        <f>IF(F27+SUM(E$17:E27)=D$10,F27,D$10-SUM(E$17:E27))</f>
        <v>1348573.6377280646</v>
      </c>
      <c r="E28" s="378">
        <f>IF(+I14&lt;F27,I14,D28)</f>
        <v>39611.908409090916</v>
      </c>
      <c r="F28" s="55">
        <f t="shared" si="16"/>
        <v>1308961.7293189736</v>
      </c>
      <c r="G28" s="379">
        <f t="shared" si="17"/>
        <v>198435.69825523428</v>
      </c>
      <c r="H28" s="364">
        <f t="shared" si="18"/>
        <v>198435.69825523428</v>
      </c>
      <c r="I28" s="52">
        <f t="shared" si="0"/>
        <v>0</v>
      </c>
      <c r="J28" s="52"/>
      <c r="K28" s="129"/>
      <c r="L28" s="54">
        <f t="shared" si="2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7"/>
        <v/>
      </c>
      <c r="C29" s="50">
        <f>IF(D11="","-",+C28+1)</f>
        <v>2030</v>
      </c>
      <c r="D29" s="55">
        <f>IF(F28+SUM(E$17:E28)=D$10,F28,D$10-SUM(E$17:E28))</f>
        <v>1308961.7293189736</v>
      </c>
      <c r="E29" s="378">
        <f>IF(+I14&lt;F28,I14,D29)</f>
        <v>39611.908409090916</v>
      </c>
      <c r="F29" s="55">
        <f t="shared" si="16"/>
        <v>1269349.8209098827</v>
      </c>
      <c r="G29" s="379">
        <f t="shared" si="17"/>
        <v>193701.0004637533</v>
      </c>
      <c r="H29" s="364">
        <f t="shared" si="18"/>
        <v>193701.0004637533</v>
      </c>
      <c r="I29" s="52">
        <f t="shared" si="0"/>
        <v>0</v>
      </c>
      <c r="J29" s="52"/>
      <c r="K29" s="129"/>
      <c r="L29" s="54">
        <f t="shared" si="2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7"/>
        <v/>
      </c>
      <c r="C30" s="50">
        <f>IF(D11="","-",+C29+1)</f>
        <v>2031</v>
      </c>
      <c r="D30" s="55">
        <f>IF(F29+SUM(E$17:E29)=D$10,F29,D$10-SUM(E$17:E29))</f>
        <v>1269349.8209098827</v>
      </c>
      <c r="E30" s="378">
        <f>IF(+I14&lt;F29,I14,D30)</f>
        <v>39611.908409090916</v>
      </c>
      <c r="F30" s="55">
        <f t="shared" si="16"/>
        <v>1229737.9125007917</v>
      </c>
      <c r="G30" s="379">
        <f t="shared" si="17"/>
        <v>188966.30267227226</v>
      </c>
      <c r="H30" s="364">
        <f t="shared" si="18"/>
        <v>188966.30267227226</v>
      </c>
      <c r="I30" s="52">
        <f t="shared" si="0"/>
        <v>0</v>
      </c>
      <c r="J30" s="52"/>
      <c r="K30" s="129"/>
      <c r="L30" s="54">
        <f t="shared" si="2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7"/>
        <v/>
      </c>
      <c r="C31" s="50">
        <f>IF(D11="","-",+C30+1)</f>
        <v>2032</v>
      </c>
      <c r="D31" s="55">
        <f>IF(F30+SUM(E$17:E30)=D$10,F30,D$10-SUM(E$17:E30))</f>
        <v>1229737.9125007917</v>
      </c>
      <c r="E31" s="378">
        <f>IF(+I14&lt;F30,I14,D31)</f>
        <v>39611.908409090916</v>
      </c>
      <c r="F31" s="55">
        <f t="shared" si="16"/>
        <v>1190126.0040917008</v>
      </c>
      <c r="G31" s="379">
        <f t="shared" si="17"/>
        <v>184231.60488079127</v>
      </c>
      <c r="H31" s="364">
        <f t="shared" si="18"/>
        <v>184231.60488079127</v>
      </c>
      <c r="I31" s="52">
        <f t="shared" si="0"/>
        <v>0</v>
      </c>
      <c r="J31" s="52"/>
      <c r="K31" s="129"/>
      <c r="L31" s="54">
        <f t="shared" si="2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7"/>
        <v/>
      </c>
      <c r="C32" s="50">
        <f>IF(D11="","-",+C31+1)</f>
        <v>2033</v>
      </c>
      <c r="D32" s="55">
        <f>IF(F31+SUM(E$17:E31)=D$10,F31,D$10-SUM(E$17:E31))</f>
        <v>1190126.0040917008</v>
      </c>
      <c r="E32" s="378">
        <f>IF(+I14&lt;F31,I14,D32)</f>
        <v>39611.908409090916</v>
      </c>
      <c r="F32" s="55">
        <f t="shared" si="16"/>
        <v>1150514.0956826098</v>
      </c>
      <c r="G32" s="379">
        <f t="shared" si="17"/>
        <v>179496.90708931023</v>
      </c>
      <c r="H32" s="364">
        <f t="shared" si="18"/>
        <v>179496.90708931023</v>
      </c>
      <c r="I32" s="52">
        <f t="shared" si="0"/>
        <v>0</v>
      </c>
      <c r="J32" s="52"/>
      <c r="K32" s="129"/>
      <c r="L32" s="54">
        <f t="shared" si="2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7"/>
        <v/>
      </c>
      <c r="C33" s="50">
        <f>IF(D11="","-",+C32+1)</f>
        <v>2034</v>
      </c>
      <c r="D33" s="55">
        <f>IF(F32+SUM(E$17:E32)=D$10,F32,D$10-SUM(E$17:E32))</f>
        <v>1150514.0956826098</v>
      </c>
      <c r="E33" s="378">
        <f>IF(+I14&lt;F32,I14,D33)</f>
        <v>39611.908409090916</v>
      </c>
      <c r="F33" s="55">
        <f t="shared" si="16"/>
        <v>1110902.1872735189</v>
      </c>
      <c r="G33" s="379">
        <f t="shared" si="17"/>
        <v>174762.20929782928</v>
      </c>
      <c r="H33" s="364">
        <f t="shared" si="18"/>
        <v>174762.20929782928</v>
      </c>
      <c r="I33" s="52">
        <f t="shared" si="0"/>
        <v>0</v>
      </c>
      <c r="J33" s="52"/>
      <c r="K33" s="129"/>
      <c r="L33" s="54">
        <f t="shared" si="2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7"/>
        <v/>
      </c>
      <c r="C34" s="50">
        <f>IF(D11="","-",+C33+1)</f>
        <v>2035</v>
      </c>
      <c r="D34" s="55">
        <f>IF(F33+SUM(E$17:E33)=D$10,F33,D$10-SUM(E$17:E33))</f>
        <v>1110902.1872735189</v>
      </c>
      <c r="E34" s="378">
        <f>IF(+I14&lt;F33,I14,D34)</f>
        <v>39611.908409090916</v>
      </c>
      <c r="F34" s="55">
        <f t="shared" si="16"/>
        <v>1071290.2788644279</v>
      </c>
      <c r="G34" s="379">
        <f t="shared" si="17"/>
        <v>170027.51150634824</v>
      </c>
      <c r="H34" s="364">
        <f t="shared" si="18"/>
        <v>170027.51150634824</v>
      </c>
      <c r="I34" s="52">
        <f t="shared" si="0"/>
        <v>0</v>
      </c>
      <c r="J34" s="52"/>
      <c r="K34" s="129"/>
      <c r="L34" s="54">
        <f t="shared" si="2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7"/>
        <v/>
      </c>
      <c r="C35" s="50">
        <f>IF(D11="","-",+C34+1)</f>
        <v>2036</v>
      </c>
      <c r="D35" s="55">
        <f>IF(F34+SUM(E$17:E34)=D$10,F34,D$10-SUM(E$17:E34))</f>
        <v>1071290.2788644279</v>
      </c>
      <c r="E35" s="378">
        <f>IF(+I14&lt;F34,I14,D35)</f>
        <v>39611.908409090916</v>
      </c>
      <c r="F35" s="55">
        <f t="shared" si="16"/>
        <v>1031678.370455337</v>
      </c>
      <c r="G35" s="379">
        <f t="shared" si="17"/>
        <v>165292.81371486725</v>
      </c>
      <c r="H35" s="364">
        <f t="shared" si="18"/>
        <v>165292.81371486725</v>
      </c>
      <c r="I35" s="52">
        <f t="shared" si="0"/>
        <v>0</v>
      </c>
      <c r="J35" s="52"/>
      <c r="K35" s="129"/>
      <c r="L35" s="54">
        <f t="shared" si="2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7"/>
        <v/>
      </c>
      <c r="C36" s="50">
        <f>IF(D11="","-",+C35+1)</f>
        <v>2037</v>
      </c>
      <c r="D36" s="55">
        <f>IF(F35+SUM(E$17:E35)=D$10,F35,D$10-SUM(E$17:E35))</f>
        <v>1031678.370455337</v>
      </c>
      <c r="E36" s="378">
        <f>IF(+I14&lt;F35,I14,D36)</f>
        <v>39611.908409090916</v>
      </c>
      <c r="F36" s="55">
        <f t="shared" si="16"/>
        <v>992066.46204624604</v>
      </c>
      <c r="G36" s="379">
        <f t="shared" si="17"/>
        <v>160558.11592338624</v>
      </c>
      <c r="H36" s="364">
        <f t="shared" si="18"/>
        <v>160558.11592338624</v>
      </c>
      <c r="I36" s="52">
        <f t="shared" si="0"/>
        <v>0</v>
      </c>
      <c r="J36" s="52"/>
      <c r="K36" s="129"/>
      <c r="L36" s="54">
        <f t="shared" si="2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7"/>
        <v/>
      </c>
      <c r="C37" s="50">
        <f>IF(D11="","-",+C36+1)</f>
        <v>2038</v>
      </c>
      <c r="D37" s="55">
        <f>IF(F36+SUM(E$17:E36)=D$10,F36,D$10-SUM(E$17:E36))</f>
        <v>992066.46204624604</v>
      </c>
      <c r="E37" s="378">
        <f>IF(+I14&lt;F36,I14,D37)</f>
        <v>39611.908409090916</v>
      </c>
      <c r="F37" s="55">
        <f t="shared" si="16"/>
        <v>952454.5536371551</v>
      </c>
      <c r="G37" s="379">
        <f t="shared" si="17"/>
        <v>155823.41813190523</v>
      </c>
      <c r="H37" s="364">
        <f t="shared" si="18"/>
        <v>155823.41813190523</v>
      </c>
      <c r="I37" s="52">
        <f t="shared" si="0"/>
        <v>0</v>
      </c>
      <c r="J37" s="52"/>
      <c r="K37" s="129"/>
      <c r="L37" s="54">
        <f t="shared" si="2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7"/>
        <v/>
      </c>
      <c r="C38" s="50">
        <f>IF(D11="","-",+C37+1)</f>
        <v>2039</v>
      </c>
      <c r="D38" s="55">
        <f>IF(F37+SUM(E$17:E37)=D$10,F37,D$10-SUM(E$17:E37))</f>
        <v>952454.5536371551</v>
      </c>
      <c r="E38" s="378">
        <f>IF(+I14&lt;F37,I14,D38)</f>
        <v>39611.908409090916</v>
      </c>
      <c r="F38" s="55">
        <f t="shared" si="16"/>
        <v>912842.64522806415</v>
      </c>
      <c r="G38" s="379">
        <f t="shared" si="17"/>
        <v>151088.72034042422</v>
      </c>
      <c r="H38" s="364">
        <f t="shared" si="18"/>
        <v>151088.72034042422</v>
      </c>
      <c r="I38" s="52">
        <f t="shared" si="0"/>
        <v>0</v>
      </c>
      <c r="J38" s="52"/>
      <c r="K38" s="129"/>
      <c r="L38" s="54">
        <f t="shared" si="2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7"/>
        <v/>
      </c>
      <c r="C39" s="50">
        <f>IF(D11="","-",+C38+1)</f>
        <v>2040</v>
      </c>
      <c r="D39" s="55">
        <f>IF(F38+SUM(E$17:E38)=D$10,F38,D$10-SUM(E$17:E38))</f>
        <v>912842.64522806415</v>
      </c>
      <c r="E39" s="378">
        <f>IF(+I14&lt;F38,I14,D39)</f>
        <v>39611.908409090916</v>
      </c>
      <c r="F39" s="55">
        <f t="shared" si="16"/>
        <v>873230.73681897321</v>
      </c>
      <c r="G39" s="379">
        <f t="shared" si="17"/>
        <v>146354.02254894321</v>
      </c>
      <c r="H39" s="364">
        <f t="shared" si="18"/>
        <v>146354.02254894321</v>
      </c>
      <c r="I39" s="52">
        <f t="shared" si="0"/>
        <v>0</v>
      </c>
      <c r="J39" s="52"/>
      <c r="K39" s="129"/>
      <c r="L39" s="54">
        <f t="shared" si="2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7"/>
        <v/>
      </c>
      <c r="C40" s="50">
        <f>IF(D11="","-",+C39+1)</f>
        <v>2041</v>
      </c>
      <c r="D40" s="55">
        <f>IF(F39+SUM(E$17:E39)=D$10,F39,D$10-SUM(E$17:E39))</f>
        <v>873230.73681897321</v>
      </c>
      <c r="E40" s="378">
        <f>IF(+I14&lt;F39,I14,D40)</f>
        <v>39611.908409090916</v>
      </c>
      <c r="F40" s="55">
        <f t="shared" si="16"/>
        <v>833618.82840988226</v>
      </c>
      <c r="G40" s="379">
        <f t="shared" si="17"/>
        <v>141619.32475746219</v>
      </c>
      <c r="H40" s="364">
        <f t="shared" si="18"/>
        <v>141619.32475746219</v>
      </c>
      <c r="I40" s="52">
        <f t="shared" si="0"/>
        <v>0</v>
      </c>
      <c r="J40" s="52"/>
      <c r="K40" s="129"/>
      <c r="L40" s="54">
        <f t="shared" si="2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7"/>
        <v/>
      </c>
      <c r="C41" s="50">
        <f>IF(D11="","-",+C40+1)</f>
        <v>2042</v>
      </c>
      <c r="D41" s="55">
        <f>IF(F40+SUM(E$17:E40)=D$10,F40,D$10-SUM(E$17:E40))</f>
        <v>833618.82840988226</v>
      </c>
      <c r="E41" s="378">
        <f>IF(+I14&lt;F40,I14,D41)</f>
        <v>39611.908409090916</v>
      </c>
      <c r="F41" s="55">
        <f t="shared" si="16"/>
        <v>794006.92000079132</v>
      </c>
      <c r="G41" s="379">
        <f t="shared" si="17"/>
        <v>136884.62696598121</v>
      </c>
      <c r="H41" s="364">
        <f t="shared" si="18"/>
        <v>136884.62696598121</v>
      </c>
      <c r="I41" s="52">
        <f t="shared" si="0"/>
        <v>0</v>
      </c>
      <c r="J41" s="52"/>
      <c r="K41" s="129"/>
      <c r="L41" s="54">
        <f t="shared" si="2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7"/>
        <v/>
      </c>
      <c r="C42" s="50">
        <f>IF(D11="","-",+C41+1)</f>
        <v>2043</v>
      </c>
      <c r="D42" s="55">
        <f>IF(F41+SUM(E$17:E41)=D$10,F41,D$10-SUM(E$17:E41))</f>
        <v>794006.92000079132</v>
      </c>
      <c r="E42" s="378">
        <f>IF(+I14&lt;F41,I14,D42)</f>
        <v>39611.908409090916</v>
      </c>
      <c r="F42" s="55">
        <f t="shared" si="16"/>
        <v>754395.01159170037</v>
      </c>
      <c r="G42" s="379">
        <f t="shared" si="17"/>
        <v>132149.92917450017</v>
      </c>
      <c r="H42" s="364">
        <f t="shared" si="18"/>
        <v>132149.92917450017</v>
      </c>
      <c r="I42" s="52">
        <f t="shared" si="0"/>
        <v>0</v>
      </c>
      <c r="J42" s="52"/>
      <c r="K42" s="129"/>
      <c r="L42" s="54">
        <f t="shared" si="2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7"/>
        <v/>
      </c>
      <c r="C43" s="50">
        <f>IF(D11="","-",+C42+1)</f>
        <v>2044</v>
      </c>
      <c r="D43" s="55">
        <f>IF(F42+SUM(E$17:E42)=D$10,F42,D$10-SUM(E$17:E42))</f>
        <v>754395.01159170037</v>
      </c>
      <c r="E43" s="378">
        <f>IF(+I14&lt;F42,I14,D43)</f>
        <v>39611.908409090916</v>
      </c>
      <c r="F43" s="55">
        <f t="shared" si="16"/>
        <v>714783.10318260943</v>
      </c>
      <c r="G43" s="379">
        <f t="shared" si="17"/>
        <v>127415.23138301919</v>
      </c>
      <c r="H43" s="364">
        <f t="shared" si="18"/>
        <v>127415.23138301919</v>
      </c>
      <c r="I43" s="52">
        <f t="shared" si="0"/>
        <v>0</v>
      </c>
      <c r="J43" s="52"/>
      <c r="K43" s="129"/>
      <c r="L43" s="54">
        <f t="shared" si="2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7"/>
        <v/>
      </c>
      <c r="C44" s="50">
        <f>IF(D11="","-",+C43+1)</f>
        <v>2045</v>
      </c>
      <c r="D44" s="55">
        <f>IF(F43+SUM(E$17:E43)=D$10,F43,D$10-SUM(E$17:E43))</f>
        <v>714783.10318260943</v>
      </c>
      <c r="E44" s="378">
        <f>IF(+I14&lt;F43,I14,D44)</f>
        <v>39611.908409090916</v>
      </c>
      <c r="F44" s="55">
        <f t="shared" si="16"/>
        <v>675171.19477351848</v>
      </c>
      <c r="G44" s="379">
        <f t="shared" si="17"/>
        <v>122680.53359153817</v>
      </c>
      <c r="H44" s="364">
        <f t="shared" si="18"/>
        <v>122680.53359153817</v>
      </c>
      <c r="I44" s="52">
        <f t="shared" si="0"/>
        <v>0</v>
      </c>
      <c r="J44" s="52"/>
      <c r="K44" s="129"/>
      <c r="L44" s="54">
        <f t="shared" si="2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7"/>
        <v/>
      </c>
      <c r="C45" s="50">
        <f>IF(D11="","-",+C44+1)</f>
        <v>2046</v>
      </c>
      <c r="D45" s="55">
        <f>IF(F44+SUM(E$17:E44)=D$10,F44,D$10-SUM(E$17:E44))</f>
        <v>675171.19477351848</v>
      </c>
      <c r="E45" s="378">
        <f>IF(+I14&lt;F44,I14,D45)</f>
        <v>39611.908409090916</v>
      </c>
      <c r="F45" s="55">
        <f t="shared" si="16"/>
        <v>635559.28636442753</v>
      </c>
      <c r="G45" s="379">
        <f t="shared" si="17"/>
        <v>117945.83580005716</v>
      </c>
      <c r="H45" s="364">
        <f t="shared" si="18"/>
        <v>117945.83580005716</v>
      </c>
      <c r="I45" s="52">
        <f t="shared" si="0"/>
        <v>0</v>
      </c>
      <c r="J45" s="52"/>
      <c r="K45" s="129"/>
      <c r="L45" s="54">
        <f t="shared" si="2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7"/>
        <v/>
      </c>
      <c r="C46" s="50">
        <f>IF(D11="","-",+C45+1)</f>
        <v>2047</v>
      </c>
      <c r="D46" s="55">
        <f>IF(F45+SUM(E$17:E45)=D$10,F45,D$10-SUM(E$17:E45))</f>
        <v>635559.28636442753</v>
      </c>
      <c r="E46" s="378">
        <f>IF(+I14&lt;F45,I14,D46)</f>
        <v>39611.908409090916</v>
      </c>
      <c r="F46" s="55">
        <f t="shared" si="16"/>
        <v>595947.37795533659</v>
      </c>
      <c r="G46" s="379">
        <f t="shared" si="17"/>
        <v>113211.13800857616</v>
      </c>
      <c r="H46" s="364">
        <f t="shared" si="18"/>
        <v>113211.13800857616</v>
      </c>
      <c r="I46" s="52">
        <f t="shared" si="0"/>
        <v>0</v>
      </c>
      <c r="J46" s="52"/>
      <c r="K46" s="129"/>
      <c r="L46" s="54">
        <f t="shared" si="2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7"/>
        <v/>
      </c>
      <c r="C47" s="50">
        <f>IF(D11="","-",+C46+1)</f>
        <v>2048</v>
      </c>
      <c r="D47" s="55">
        <f>IF(F46+SUM(E$17:E46)=D$10,F46,D$10-SUM(E$17:E46))</f>
        <v>595947.37795533659</v>
      </c>
      <c r="E47" s="378">
        <f>IF(+I14&lt;F46,I14,D47)</f>
        <v>39611.908409090916</v>
      </c>
      <c r="F47" s="55">
        <f t="shared" si="16"/>
        <v>556335.46954624564</v>
      </c>
      <c r="G47" s="379">
        <f t="shared" si="17"/>
        <v>108476.44021709515</v>
      </c>
      <c r="H47" s="364">
        <f t="shared" si="18"/>
        <v>108476.44021709515</v>
      </c>
      <c r="I47" s="52">
        <f t="shared" si="0"/>
        <v>0</v>
      </c>
      <c r="J47" s="52"/>
      <c r="K47" s="129"/>
      <c r="L47" s="54">
        <f t="shared" si="2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7"/>
        <v/>
      </c>
      <c r="C48" s="50">
        <f>IF(D11="","-",+C47+1)</f>
        <v>2049</v>
      </c>
      <c r="D48" s="55">
        <f>IF(F47+SUM(E$17:E47)=D$10,F47,D$10-SUM(E$17:E47))</f>
        <v>556335.46954624564</v>
      </c>
      <c r="E48" s="378">
        <f>IF(+I14&lt;F47,I14,D48)</f>
        <v>39611.908409090916</v>
      </c>
      <c r="F48" s="55">
        <f t="shared" si="16"/>
        <v>516723.5611371547</v>
      </c>
      <c r="G48" s="379">
        <f t="shared" si="17"/>
        <v>103741.74242561415</v>
      </c>
      <c r="H48" s="364">
        <f t="shared" si="18"/>
        <v>103741.74242561415</v>
      </c>
      <c r="I48" s="52">
        <f t="shared" si="0"/>
        <v>0</v>
      </c>
      <c r="J48" s="52"/>
      <c r="K48" s="129"/>
      <c r="L48" s="54">
        <f t="shared" si="2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 ht="12.5">
      <c r="B49" s="7" t="str">
        <f t="shared" si="7"/>
        <v/>
      </c>
      <c r="C49" s="50">
        <f>IF(D11="","-",+C48+1)</f>
        <v>2050</v>
      </c>
      <c r="D49" s="55">
        <f>IF(F48+SUM(E$17:E48)=D$10,F48,D$10-SUM(E$17:E48))</f>
        <v>516723.5611371547</v>
      </c>
      <c r="E49" s="378">
        <f>IF(+I14&lt;F48,I14,D49)</f>
        <v>39611.908409090916</v>
      </c>
      <c r="F49" s="55">
        <f t="shared" si="16"/>
        <v>477111.65272806375</v>
      </c>
      <c r="G49" s="379">
        <f t="shared" si="17"/>
        <v>99007.044634133141</v>
      </c>
      <c r="H49" s="364">
        <f t="shared" si="18"/>
        <v>99007.044634133141</v>
      </c>
      <c r="I49" s="52">
        <f t="shared" si="0"/>
        <v>0</v>
      </c>
      <c r="J49" s="52"/>
      <c r="K49" s="129"/>
      <c r="L49" s="54">
        <f t="shared" si="2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 ht="12.5">
      <c r="B50" s="7" t="str">
        <f t="shared" si="7"/>
        <v/>
      </c>
      <c r="C50" s="50">
        <f>IF(D11="","-",+C49+1)</f>
        <v>2051</v>
      </c>
      <c r="D50" s="55">
        <f>IF(F49+SUM(E$17:E49)=D$10,F49,D$10-SUM(E$17:E49))</f>
        <v>477111.65272806375</v>
      </c>
      <c r="E50" s="378">
        <f>IF(+I14&lt;F49,I14,D50)</f>
        <v>39611.908409090916</v>
      </c>
      <c r="F50" s="55">
        <f t="shared" si="16"/>
        <v>437499.74431897281</v>
      </c>
      <c r="G50" s="379">
        <f t="shared" si="17"/>
        <v>94272.346842652129</v>
      </c>
      <c r="H50" s="364">
        <f t="shared" si="18"/>
        <v>94272.346842652129</v>
      </c>
      <c r="I50" s="52">
        <f t="shared" si="0"/>
        <v>0</v>
      </c>
      <c r="J50" s="52"/>
      <c r="K50" s="129"/>
      <c r="L50" s="54">
        <f t="shared" si="2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 ht="12.5">
      <c r="B51" s="7" t="str">
        <f t="shared" si="7"/>
        <v/>
      </c>
      <c r="C51" s="50">
        <f>IF(D11="","-",+C50+1)</f>
        <v>2052</v>
      </c>
      <c r="D51" s="55">
        <f>IF(F50+SUM(E$17:E50)=D$10,F50,D$10-SUM(E$17:E50))</f>
        <v>437499.74431897281</v>
      </c>
      <c r="E51" s="378">
        <f>IF(+I14&lt;F50,I14,D51)</f>
        <v>39611.908409090916</v>
      </c>
      <c r="F51" s="55">
        <f t="shared" si="16"/>
        <v>397887.83590988186</v>
      </c>
      <c r="G51" s="379">
        <f t="shared" si="17"/>
        <v>89537.649051171116</v>
      </c>
      <c r="H51" s="364">
        <f t="shared" si="18"/>
        <v>89537.649051171116</v>
      </c>
      <c r="I51" s="52">
        <f t="shared" si="0"/>
        <v>0</v>
      </c>
      <c r="J51" s="52"/>
      <c r="K51" s="129"/>
      <c r="L51" s="54">
        <f t="shared" si="2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 ht="12.5">
      <c r="B52" s="7" t="str">
        <f t="shared" si="7"/>
        <v/>
      </c>
      <c r="C52" s="50">
        <f>IF(D11="","-",+C51+1)</f>
        <v>2053</v>
      </c>
      <c r="D52" s="55">
        <f>IF(F51+SUM(E$17:E51)=D$10,F51,D$10-SUM(E$17:E51))</f>
        <v>397887.83590988186</v>
      </c>
      <c r="E52" s="378">
        <f>IF(+I14&lt;F51,I14,D52)</f>
        <v>39611.908409090916</v>
      </c>
      <c r="F52" s="55">
        <f t="shared" si="16"/>
        <v>358275.92750079092</v>
      </c>
      <c r="G52" s="379">
        <f t="shared" si="17"/>
        <v>84802.951259690104</v>
      </c>
      <c r="H52" s="364">
        <f t="shared" si="18"/>
        <v>84802.951259690104</v>
      </c>
      <c r="I52" s="52">
        <f t="shared" si="0"/>
        <v>0</v>
      </c>
      <c r="J52" s="52"/>
      <c r="K52" s="129"/>
      <c r="L52" s="54">
        <f t="shared" si="2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 ht="12.5">
      <c r="B53" s="7" t="str">
        <f t="shared" si="7"/>
        <v/>
      </c>
      <c r="C53" s="50">
        <f>IF(D11="","-",+C52+1)</f>
        <v>2054</v>
      </c>
      <c r="D53" s="55">
        <f>IF(F52+SUM(E$17:E52)=D$10,F52,D$10-SUM(E$17:E52))</f>
        <v>358275.92750079092</v>
      </c>
      <c r="E53" s="378">
        <f>IF(+I14&lt;F52,I14,D53)</f>
        <v>39611.908409090916</v>
      </c>
      <c r="F53" s="55">
        <f t="shared" si="16"/>
        <v>318664.01909169997</v>
      </c>
      <c r="G53" s="379">
        <f t="shared" si="17"/>
        <v>80068.253468209106</v>
      </c>
      <c r="H53" s="364">
        <f t="shared" si="18"/>
        <v>80068.253468209106</v>
      </c>
      <c r="I53" s="52">
        <f t="shared" si="0"/>
        <v>0</v>
      </c>
      <c r="J53" s="52"/>
      <c r="K53" s="129"/>
      <c r="L53" s="54">
        <f t="shared" si="2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 ht="12.5">
      <c r="B54" s="7" t="str">
        <f t="shared" si="7"/>
        <v/>
      </c>
      <c r="C54" s="50">
        <f>IF(D11="","-",+C53+1)</f>
        <v>2055</v>
      </c>
      <c r="D54" s="55">
        <f>IF(F53+SUM(E$17:E53)=D$10,F53,D$10-SUM(E$17:E53))</f>
        <v>318664.01909169997</v>
      </c>
      <c r="E54" s="378">
        <f>IF(+I14&lt;F53,I14,D54)</f>
        <v>39611.908409090916</v>
      </c>
      <c r="F54" s="55">
        <f t="shared" si="16"/>
        <v>279052.11068260903</v>
      </c>
      <c r="G54" s="379">
        <f t="shared" si="17"/>
        <v>75333.555676728109</v>
      </c>
      <c r="H54" s="364">
        <f t="shared" si="18"/>
        <v>75333.555676728109</v>
      </c>
      <c r="I54" s="52">
        <f t="shared" si="0"/>
        <v>0</v>
      </c>
      <c r="J54" s="52"/>
      <c r="K54" s="129"/>
      <c r="L54" s="54">
        <f t="shared" si="2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 ht="12.5">
      <c r="B55" s="7" t="str">
        <f t="shared" si="7"/>
        <v/>
      </c>
      <c r="C55" s="50">
        <f>IF(D11="","-",+C54+1)</f>
        <v>2056</v>
      </c>
      <c r="D55" s="55">
        <f>IF(F54+SUM(E$17:E54)=D$10,F54,D$10-SUM(E$17:E54))</f>
        <v>279052.11068260903</v>
      </c>
      <c r="E55" s="378">
        <f>IF(+I14&lt;F54,I14,D55)</f>
        <v>39611.908409090916</v>
      </c>
      <c r="F55" s="55">
        <f t="shared" si="16"/>
        <v>239440.20227351811</v>
      </c>
      <c r="G55" s="379">
        <f t="shared" si="17"/>
        <v>70598.857885247096</v>
      </c>
      <c r="H55" s="364">
        <f t="shared" si="18"/>
        <v>70598.857885247096</v>
      </c>
      <c r="I55" s="52">
        <f t="shared" si="0"/>
        <v>0</v>
      </c>
      <c r="J55" s="52"/>
      <c r="K55" s="129"/>
      <c r="L55" s="54">
        <f t="shared" si="2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 ht="12.5">
      <c r="B56" s="7" t="str">
        <f t="shared" si="7"/>
        <v/>
      </c>
      <c r="C56" s="50">
        <f>IF(D11="","-",+C55+1)</f>
        <v>2057</v>
      </c>
      <c r="D56" s="55">
        <f>IF(F55+SUM(E$17:E55)=D$10,F55,D$10-SUM(E$17:E55))</f>
        <v>239440.20227351811</v>
      </c>
      <c r="E56" s="378">
        <f>IF(+I14&lt;F55,I14,D56)</f>
        <v>39611.908409090916</v>
      </c>
      <c r="F56" s="55">
        <f t="shared" si="16"/>
        <v>199828.29386442719</v>
      </c>
      <c r="G56" s="379">
        <f t="shared" si="17"/>
        <v>65864.160093766084</v>
      </c>
      <c r="H56" s="364">
        <f t="shared" si="18"/>
        <v>65864.160093766084</v>
      </c>
      <c r="I56" s="52">
        <f t="shared" si="0"/>
        <v>0</v>
      </c>
      <c r="J56" s="52"/>
      <c r="K56" s="129"/>
      <c r="L56" s="54">
        <f t="shared" si="2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 ht="12.5">
      <c r="B57" s="7" t="str">
        <f t="shared" si="7"/>
        <v/>
      </c>
      <c r="C57" s="50">
        <f>IF(D11="","-",+C56+1)</f>
        <v>2058</v>
      </c>
      <c r="D57" s="55">
        <f>IF(F56+SUM(E$17:E56)=D$10,F56,D$10-SUM(E$17:E56))</f>
        <v>199828.29386442719</v>
      </c>
      <c r="E57" s="378">
        <f>IF(+I14&lt;F56,I14,D57)</f>
        <v>39611.908409090916</v>
      </c>
      <c r="F57" s="55">
        <f t="shared" si="16"/>
        <v>160216.38545533628</v>
      </c>
      <c r="G57" s="379">
        <f t="shared" si="17"/>
        <v>61129.462302285086</v>
      </c>
      <c r="H57" s="364">
        <f t="shared" si="18"/>
        <v>61129.462302285086</v>
      </c>
      <c r="I57" s="52">
        <f t="shared" si="0"/>
        <v>0</v>
      </c>
      <c r="J57" s="52"/>
      <c r="K57" s="129"/>
      <c r="L57" s="54">
        <f t="shared" si="2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 ht="12.5">
      <c r="B58" s="7" t="str">
        <f t="shared" si="7"/>
        <v/>
      </c>
      <c r="C58" s="50">
        <f>IF(D11="","-",+C57+1)</f>
        <v>2059</v>
      </c>
      <c r="D58" s="55">
        <f>IF(F57+SUM(E$17:E57)=D$10,F57,D$10-SUM(E$17:E57))</f>
        <v>160216.38545533628</v>
      </c>
      <c r="E58" s="378">
        <f>IF(+I14&lt;F57,I14,D58)</f>
        <v>39611.908409090916</v>
      </c>
      <c r="F58" s="55">
        <f t="shared" si="16"/>
        <v>120604.47704624536</v>
      </c>
      <c r="G58" s="379">
        <f t="shared" si="17"/>
        <v>56394.764510804089</v>
      </c>
      <c r="H58" s="364">
        <f t="shared" si="18"/>
        <v>56394.764510804089</v>
      </c>
      <c r="I58" s="52">
        <f t="shared" si="0"/>
        <v>0</v>
      </c>
      <c r="J58" s="52"/>
      <c r="K58" s="129"/>
      <c r="L58" s="54">
        <f t="shared" si="2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 ht="12.5">
      <c r="B59" s="7" t="str">
        <f t="shared" si="7"/>
        <v/>
      </c>
      <c r="C59" s="50">
        <f>IF(D11="","-",+C58+1)</f>
        <v>2060</v>
      </c>
      <c r="D59" s="55">
        <f>IF(F58+SUM(E$17:E58)=D$10,F58,D$10-SUM(E$17:E58))</f>
        <v>120604.47704624536</v>
      </c>
      <c r="E59" s="378">
        <f>IF(+I14&lt;F58,I14,D59)</f>
        <v>39611.908409090916</v>
      </c>
      <c r="F59" s="55">
        <f t="shared" si="16"/>
        <v>80992.568637154443</v>
      </c>
      <c r="G59" s="379">
        <f t="shared" si="17"/>
        <v>51660.066719323077</v>
      </c>
      <c r="H59" s="364">
        <f t="shared" si="18"/>
        <v>51660.066719323077</v>
      </c>
      <c r="I59" s="52">
        <f t="shared" si="0"/>
        <v>0</v>
      </c>
      <c r="J59" s="52"/>
      <c r="K59" s="129"/>
      <c r="L59" s="54">
        <f t="shared" si="2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 ht="12.5">
      <c r="B60" s="7" t="str">
        <f t="shared" si="7"/>
        <v/>
      </c>
      <c r="C60" s="50">
        <f>IF(D11="","-",+C59+1)</f>
        <v>2061</v>
      </c>
      <c r="D60" s="55">
        <f>IF(F59+SUM(E$17:E59)=D$10,F59,D$10-SUM(E$17:E59))</f>
        <v>80992.568637154443</v>
      </c>
      <c r="E60" s="378">
        <f>IF(+I14&lt;F59,I14,D60)</f>
        <v>39611.908409090916</v>
      </c>
      <c r="F60" s="55">
        <f t="shared" si="16"/>
        <v>41380.660228063527</v>
      </c>
      <c r="G60" s="379">
        <f t="shared" si="17"/>
        <v>46925.368927842079</v>
      </c>
      <c r="H60" s="364">
        <f t="shared" si="18"/>
        <v>46925.368927842079</v>
      </c>
      <c r="I60" s="52">
        <f t="shared" si="0"/>
        <v>0</v>
      </c>
      <c r="J60" s="52"/>
      <c r="K60" s="129"/>
      <c r="L60" s="54">
        <f t="shared" si="2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 ht="12.5">
      <c r="B61" s="7" t="str">
        <f t="shared" si="7"/>
        <v/>
      </c>
      <c r="C61" s="50">
        <f>IF(D11="","-",+C60+1)</f>
        <v>2062</v>
      </c>
      <c r="D61" s="55">
        <f>IF(F60+SUM(E$17:E60)=D$10,F60,D$10-SUM(E$17:E60))</f>
        <v>41380.660228063527</v>
      </c>
      <c r="E61" s="378">
        <f>IF(+I14&lt;F60,I14,D61)</f>
        <v>39611.908409090916</v>
      </c>
      <c r="F61" s="55">
        <f t="shared" si="16"/>
        <v>1768.7518189726106</v>
      </c>
      <c r="G61" s="380">
        <f t="shared" si="17"/>
        <v>42190.671136361074</v>
      </c>
      <c r="H61" s="364">
        <f t="shared" si="18"/>
        <v>42190.671136361074</v>
      </c>
      <c r="I61" s="52">
        <f t="shared" si="0"/>
        <v>0</v>
      </c>
      <c r="J61" s="52"/>
      <c r="K61" s="129"/>
      <c r="L61" s="54">
        <f t="shared" si="2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 ht="12.5">
      <c r="B62" s="7" t="str">
        <f t="shared" si="7"/>
        <v/>
      </c>
      <c r="C62" s="50">
        <f>IF(D11="","-",+C61+1)</f>
        <v>2063</v>
      </c>
      <c r="D62" s="55">
        <f>IF(F61+SUM(E$17:E61)=D$10,F61,D$10-SUM(E$17:E61))</f>
        <v>1768.7518189726106</v>
      </c>
      <c r="E62" s="378">
        <f>IF(+I14&lt;F61,I14,D62)</f>
        <v>1768.7518189726106</v>
      </c>
      <c r="F62" s="55">
        <f t="shared" si="16"/>
        <v>0</v>
      </c>
      <c r="G62" s="380">
        <f t="shared" si="17"/>
        <v>1874.4587347374377</v>
      </c>
      <c r="H62" s="364">
        <f t="shared" si="18"/>
        <v>1874.4587347374377</v>
      </c>
      <c r="I62" s="52">
        <f t="shared" si="0"/>
        <v>0</v>
      </c>
      <c r="J62" s="52"/>
      <c r="K62" s="129"/>
      <c r="L62" s="54">
        <f t="shared" si="2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 ht="12.5">
      <c r="B63" s="7" t="str">
        <f t="shared" si="7"/>
        <v/>
      </c>
      <c r="C63" s="50">
        <f>IF(D11="","-",+C62+1)</f>
        <v>2064</v>
      </c>
      <c r="D63" s="55">
        <f>IF(F62+SUM(E$17:E62)=D$10,F62,D$10-SUM(E$17:E62))</f>
        <v>0</v>
      </c>
      <c r="E63" s="378">
        <f>IF(+I14&lt;F62,I14,D63)</f>
        <v>0</v>
      </c>
      <c r="F63" s="55">
        <f t="shared" si="16"/>
        <v>0</v>
      </c>
      <c r="G63" s="380">
        <f t="shared" si="17"/>
        <v>0</v>
      </c>
      <c r="H63" s="364">
        <f t="shared" si="18"/>
        <v>0</v>
      </c>
      <c r="I63" s="52">
        <f t="shared" si="0"/>
        <v>0</v>
      </c>
      <c r="J63" s="52"/>
      <c r="K63" s="129"/>
      <c r="L63" s="54">
        <f t="shared" si="2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 ht="12.5">
      <c r="B64" s="7" t="str">
        <f t="shared" si="7"/>
        <v/>
      </c>
      <c r="C64" s="50">
        <f>IF(D11="","-",+C63+1)</f>
        <v>2065</v>
      </c>
      <c r="D64" s="55">
        <f>IF(F63+SUM(E$17:E63)=D$10,F63,D$10-SUM(E$17:E63))</f>
        <v>0</v>
      </c>
      <c r="E64" s="378">
        <f>IF(+I14&lt;F63,I14,D64)</f>
        <v>0</v>
      </c>
      <c r="F64" s="55">
        <f t="shared" si="16"/>
        <v>0</v>
      </c>
      <c r="G64" s="380">
        <f t="shared" si="17"/>
        <v>0</v>
      </c>
      <c r="H64" s="364">
        <f t="shared" si="18"/>
        <v>0</v>
      </c>
      <c r="I64" s="52">
        <f t="shared" si="0"/>
        <v>0</v>
      </c>
      <c r="J64" s="52"/>
      <c r="K64" s="129"/>
      <c r="L64" s="54">
        <f t="shared" si="2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 ht="12.5">
      <c r="B65" s="7" t="str">
        <f t="shared" si="7"/>
        <v/>
      </c>
      <c r="C65" s="50">
        <f>IF(D11="","-",+C64+1)</f>
        <v>2066</v>
      </c>
      <c r="D65" s="55">
        <f>IF(F64+SUM(E$17:E64)=D$10,F64,D$10-SUM(E$17:E64))</f>
        <v>0</v>
      </c>
      <c r="E65" s="378">
        <f>IF(+I14&lt;F64,I14,D65)</f>
        <v>0</v>
      </c>
      <c r="F65" s="55">
        <f t="shared" si="16"/>
        <v>0</v>
      </c>
      <c r="G65" s="380">
        <f t="shared" si="17"/>
        <v>0</v>
      </c>
      <c r="H65" s="364">
        <f t="shared" si="18"/>
        <v>0</v>
      </c>
      <c r="I65" s="52">
        <f t="shared" si="0"/>
        <v>0</v>
      </c>
      <c r="J65" s="52"/>
      <c r="K65" s="129"/>
      <c r="L65" s="54">
        <f t="shared" si="2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 ht="12.5">
      <c r="B66" s="7" t="str">
        <f t="shared" si="7"/>
        <v/>
      </c>
      <c r="C66" s="50">
        <f>IF(D11="","-",+C65+1)</f>
        <v>2067</v>
      </c>
      <c r="D66" s="55">
        <f>IF(F65+SUM(E$17:E65)=D$10,F65,D$10-SUM(E$17:E65))</f>
        <v>0</v>
      </c>
      <c r="E66" s="378">
        <f>IF(+I14&lt;F65,I14,D66)</f>
        <v>0</v>
      </c>
      <c r="F66" s="55">
        <f t="shared" si="16"/>
        <v>0</v>
      </c>
      <c r="G66" s="380">
        <f t="shared" si="17"/>
        <v>0</v>
      </c>
      <c r="H66" s="364">
        <f t="shared" si="18"/>
        <v>0</v>
      </c>
      <c r="I66" s="52">
        <f t="shared" si="0"/>
        <v>0</v>
      </c>
      <c r="J66" s="52"/>
      <c r="K66" s="129"/>
      <c r="L66" s="54">
        <f t="shared" si="2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 ht="12.5">
      <c r="B67" s="7" t="str">
        <f t="shared" si="7"/>
        <v/>
      </c>
      <c r="C67" s="50">
        <f>IF(D11="","-",+C66+1)</f>
        <v>2068</v>
      </c>
      <c r="D67" s="55">
        <f>IF(F66+SUM(E$17:E66)=D$10,F66,D$10-SUM(E$17:E66))</f>
        <v>0</v>
      </c>
      <c r="E67" s="378">
        <f>IF(+I14&lt;F66,I14,D67)</f>
        <v>0</v>
      </c>
      <c r="F67" s="55">
        <f t="shared" si="16"/>
        <v>0</v>
      </c>
      <c r="G67" s="380">
        <f t="shared" si="17"/>
        <v>0</v>
      </c>
      <c r="H67" s="364">
        <f t="shared" si="18"/>
        <v>0</v>
      </c>
      <c r="I67" s="52">
        <f t="shared" si="0"/>
        <v>0</v>
      </c>
      <c r="J67" s="52"/>
      <c r="K67" s="129"/>
      <c r="L67" s="54">
        <f t="shared" si="2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 ht="12.5">
      <c r="B68" s="7" t="str">
        <f t="shared" si="7"/>
        <v/>
      </c>
      <c r="C68" s="50">
        <f>IF(D11="","-",+C67+1)</f>
        <v>2069</v>
      </c>
      <c r="D68" s="55">
        <f>IF(F67+SUM(E$17:E67)=D$10,F67,D$10-SUM(E$17:E67))</f>
        <v>0</v>
      </c>
      <c r="E68" s="378">
        <f>IF(+I14&lt;F67,I14,D68)</f>
        <v>0</v>
      </c>
      <c r="F68" s="55">
        <f t="shared" si="16"/>
        <v>0</v>
      </c>
      <c r="G68" s="380">
        <f t="shared" si="17"/>
        <v>0</v>
      </c>
      <c r="H68" s="364">
        <f t="shared" si="18"/>
        <v>0</v>
      </c>
      <c r="I68" s="52">
        <f t="shared" si="0"/>
        <v>0</v>
      </c>
      <c r="J68" s="52"/>
      <c r="K68" s="129"/>
      <c r="L68" s="54">
        <f t="shared" si="2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 ht="12.5">
      <c r="B69" s="7" t="str">
        <f t="shared" si="7"/>
        <v/>
      </c>
      <c r="C69" s="50">
        <f>IF(D11="","-",+C68+1)</f>
        <v>2070</v>
      </c>
      <c r="D69" s="55">
        <f>IF(F68+SUM(E$17:E68)=D$10,F68,D$10-SUM(E$17:E68))</f>
        <v>0</v>
      </c>
      <c r="E69" s="378">
        <f>IF(+I14&lt;F68,I14,D69)</f>
        <v>0</v>
      </c>
      <c r="F69" s="55">
        <f t="shared" si="16"/>
        <v>0</v>
      </c>
      <c r="G69" s="380">
        <f t="shared" si="17"/>
        <v>0</v>
      </c>
      <c r="H69" s="364">
        <f t="shared" si="18"/>
        <v>0</v>
      </c>
      <c r="I69" s="52">
        <f t="shared" si="0"/>
        <v>0</v>
      </c>
      <c r="J69" s="52"/>
      <c r="K69" s="129"/>
      <c r="L69" s="54">
        <f t="shared" si="2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 ht="12.5">
      <c r="B70" s="7" t="str">
        <f t="shared" si="7"/>
        <v/>
      </c>
      <c r="C70" s="50">
        <f>IF(D11="","-",+C69+1)</f>
        <v>2071</v>
      </c>
      <c r="D70" s="55">
        <f>IF(F69+SUM(E$17:E69)=D$10,F69,D$10-SUM(E$17:E69))</f>
        <v>0</v>
      </c>
      <c r="E70" s="378">
        <f>IF(+I14&lt;F69,I14,D70)</f>
        <v>0</v>
      </c>
      <c r="F70" s="55">
        <f t="shared" si="16"/>
        <v>0</v>
      </c>
      <c r="G70" s="380">
        <f t="shared" si="17"/>
        <v>0</v>
      </c>
      <c r="H70" s="364">
        <f t="shared" si="18"/>
        <v>0</v>
      </c>
      <c r="I70" s="52">
        <f t="shared" si="0"/>
        <v>0</v>
      </c>
      <c r="J70" s="52"/>
      <c r="K70" s="129"/>
      <c r="L70" s="54">
        <f t="shared" si="2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 ht="12.5">
      <c r="B71" s="7" t="str">
        <f t="shared" si="7"/>
        <v/>
      </c>
      <c r="C71" s="50">
        <f>IF(D11="","-",+C70+1)</f>
        <v>2072</v>
      </c>
      <c r="D71" s="55">
        <f>IF(F70+SUM(E$17:E70)=D$10,F70,D$10-SUM(E$17:E70))</f>
        <v>0</v>
      </c>
      <c r="E71" s="378">
        <f>IF(+I14&lt;F70,I14,D71)</f>
        <v>0</v>
      </c>
      <c r="F71" s="55">
        <f t="shared" si="16"/>
        <v>0</v>
      </c>
      <c r="G71" s="380">
        <f t="shared" si="17"/>
        <v>0</v>
      </c>
      <c r="H71" s="364">
        <f t="shared" si="18"/>
        <v>0</v>
      </c>
      <c r="I71" s="52">
        <f t="shared" si="0"/>
        <v>0</v>
      </c>
      <c r="J71" s="52"/>
      <c r="K71" s="129"/>
      <c r="L71" s="54">
        <f t="shared" si="2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" thickBot="1">
      <c r="B72" s="7" t="str">
        <f t="shared" si="7"/>
        <v/>
      </c>
      <c r="C72" s="59">
        <f>IF(D11="","-",+C71+1)</f>
        <v>2073</v>
      </c>
      <c r="D72" s="60">
        <f>IF(F71+SUM(E$17:E71)=D$10,F71,D$10-SUM(E$17:E71))</f>
        <v>0</v>
      </c>
      <c r="E72" s="381">
        <f>IF(+I14&lt;F71,I14,D72)</f>
        <v>0</v>
      </c>
      <c r="F72" s="60">
        <f t="shared" si="16"/>
        <v>0</v>
      </c>
      <c r="G72" s="382">
        <f t="shared" si="17"/>
        <v>0</v>
      </c>
      <c r="H72" s="362">
        <f t="shared" si="18"/>
        <v>0</v>
      </c>
      <c r="I72" s="63">
        <f t="shared" si="0"/>
        <v>0</v>
      </c>
      <c r="J72" s="52"/>
      <c r="K72" s="130"/>
      <c r="L72" s="64">
        <f t="shared" si="2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 ht="12.5">
      <c r="C73" s="12" t="s">
        <v>78</v>
      </c>
      <c r="D73" s="293"/>
      <c r="E73" s="293">
        <f>SUM(E17:E72)</f>
        <v>1742923.9700000002</v>
      </c>
      <c r="F73" s="293"/>
      <c r="G73" s="293">
        <f>SUM(G17:G72)</f>
        <v>6309739.9212151086</v>
      </c>
      <c r="H73" s="293">
        <f>SUM(H17:H72)</f>
        <v>6309739.9212151086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 ht="13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71 of 77</v>
      </c>
    </row>
    <row r="84" spans="1:16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222109.18721263934</v>
      </c>
      <c r="N87" s="387">
        <f>IF(J92&lt;D11,0,VLOOKUP(J92,C17:O72,11))</f>
        <v>222109.18721263934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228576.42877398763</v>
      </c>
      <c r="N88" s="390">
        <f>IF(J92&lt;D11,0,VLOOKUP(J92,C99:P154,7))</f>
        <v>228576.42877398763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IPC 138 KV Capacitor Bank Addition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6467.2415613482881</v>
      </c>
      <c r="N89" s="392">
        <f>+N88-N87</f>
        <v>6467.2415613482881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TP2017012</v>
      </c>
      <c r="E91" s="76" t="str">
        <f>E9</f>
        <v xml:space="preserve">  SPP Project ID = 31186</v>
      </c>
      <c r="F91" s="76"/>
      <c r="G91" s="76"/>
      <c r="H91" s="76"/>
      <c r="I91" s="76"/>
      <c r="J91" s="76"/>
    </row>
    <row r="92" spans="1:16" ht="13">
      <c r="C92" s="34" t="s">
        <v>51</v>
      </c>
      <c r="D92" s="394">
        <f>D10</f>
        <v>1742923.9700000002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</row>
    <row r="93" spans="1:16" ht="12.5">
      <c r="C93" s="34" t="s">
        <v>54</v>
      </c>
      <c r="D93" s="88">
        <f>D11</f>
        <v>2018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4">
        <f>D12</f>
        <v>12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39611.908409090916</v>
      </c>
      <c r="K96" s="293"/>
      <c r="L96" s="293"/>
      <c r="M96" s="293"/>
      <c r="N96" s="293"/>
      <c r="O96" s="293"/>
      <c r="P96" s="1"/>
    </row>
    <row r="97" spans="1:16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5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 ht="12.5">
      <c r="C99" s="50">
        <f>IF(D93= "","-",D93)</f>
        <v>2018</v>
      </c>
      <c r="D99" s="429">
        <v>0</v>
      </c>
      <c r="E99" s="430">
        <v>0</v>
      </c>
      <c r="F99" s="431">
        <v>1689645</v>
      </c>
      <c r="G99" s="431">
        <v>844822.5</v>
      </c>
      <c r="H99" s="433">
        <v>89217.130203738969</v>
      </c>
      <c r="I99" s="434">
        <v>89217.130203738969</v>
      </c>
      <c r="J99" s="54">
        <f t="shared" ref="J99:J130" si="19">+I99-H99</f>
        <v>0</v>
      </c>
      <c r="K99" s="54"/>
      <c r="L99" s="112">
        <f t="shared" ref="L99:L104" si="20">+H99</f>
        <v>89217.130203738969</v>
      </c>
      <c r="M99" s="53">
        <f t="shared" ref="M99:M100" si="21">IF(L99&lt;&gt;0,+H99-L99,0)</f>
        <v>0</v>
      </c>
      <c r="N99" s="112">
        <f t="shared" ref="N99:N104" si="22">+I99</f>
        <v>89217.130203738969</v>
      </c>
      <c r="O99" s="53">
        <f t="shared" ref="O99:O130" si="23">IF(N99&lt;&gt;0,+I99-N99,0)</f>
        <v>0</v>
      </c>
      <c r="P99" s="53">
        <f t="shared" ref="P99:P130" si="24">+O99-M99</f>
        <v>0</v>
      </c>
    </row>
    <row r="100" spans="1:16" ht="12.5">
      <c r="B100" s="7" t="str">
        <f>IF(D100=F99,"","IU")</f>
        <v>IU</v>
      </c>
      <c r="C100" s="50">
        <f>IF(D93="","-",+C99+1)</f>
        <v>2019</v>
      </c>
      <c r="D100" s="429">
        <v>1742924</v>
      </c>
      <c r="E100" s="430">
        <v>40533.116279069771</v>
      </c>
      <c r="F100" s="431">
        <v>1702390.8837209302</v>
      </c>
      <c r="G100" s="431">
        <v>1722657.4418604651</v>
      </c>
      <c r="H100" s="433">
        <v>224927.31036056377</v>
      </c>
      <c r="I100" s="434">
        <v>224927.31036056377</v>
      </c>
      <c r="J100" s="54">
        <f t="shared" si="19"/>
        <v>0</v>
      </c>
      <c r="K100" s="54"/>
      <c r="L100" s="450">
        <f t="shared" si="20"/>
        <v>224927.31036056377</v>
      </c>
      <c r="M100" s="54">
        <f t="shared" si="21"/>
        <v>0</v>
      </c>
      <c r="N100" s="450">
        <f t="shared" si="22"/>
        <v>224927.31036056377</v>
      </c>
      <c r="O100" s="54">
        <f t="shared" si="23"/>
        <v>0</v>
      </c>
      <c r="P100" s="54">
        <f t="shared" si="24"/>
        <v>0</v>
      </c>
    </row>
    <row r="101" spans="1:16" ht="12.5">
      <c r="B101" s="7" t="str">
        <f t="shared" ref="B101:B154" si="25">IF(D101=F100,"","IU")</f>
        <v/>
      </c>
      <c r="C101" s="50">
        <f>IF(D93="","-",+C100+1)</f>
        <v>2020</v>
      </c>
      <c r="D101" s="429">
        <v>1702390.8837209302</v>
      </c>
      <c r="E101" s="430">
        <v>41498.190476190473</v>
      </c>
      <c r="F101" s="431">
        <v>1660892.6932447397</v>
      </c>
      <c r="G101" s="431">
        <v>1681641.7884828351</v>
      </c>
      <c r="H101" s="433">
        <v>222398.8425566837</v>
      </c>
      <c r="I101" s="434">
        <v>222398.8425566837</v>
      </c>
      <c r="J101" s="54">
        <f t="shared" si="19"/>
        <v>0</v>
      </c>
      <c r="K101" s="54"/>
      <c r="L101" s="450">
        <f t="shared" si="20"/>
        <v>222398.8425566837</v>
      </c>
      <c r="M101" s="54">
        <f t="shared" ref="M101" si="26">IF(L101&lt;&gt;0,+H101-L101,0)</f>
        <v>0</v>
      </c>
      <c r="N101" s="450">
        <f t="shared" si="22"/>
        <v>222398.8425566837</v>
      </c>
      <c r="O101" s="54">
        <f t="shared" si="23"/>
        <v>0</v>
      </c>
      <c r="P101" s="54">
        <f t="shared" si="24"/>
        <v>0</v>
      </c>
    </row>
    <row r="102" spans="1:16" ht="12.5">
      <c r="B102" s="7" t="str">
        <f t="shared" si="25"/>
        <v/>
      </c>
      <c r="C102" s="50">
        <f>IF(D93="","-",+C101+1)</f>
        <v>2021</v>
      </c>
      <c r="D102" s="429">
        <v>1660892.6932447397</v>
      </c>
      <c r="E102" s="430">
        <v>42510.341463414632</v>
      </c>
      <c r="F102" s="431">
        <v>1618382.3517813249</v>
      </c>
      <c r="G102" s="431">
        <v>1639637.5225130324</v>
      </c>
      <c r="H102" s="433">
        <v>228632.52636165477</v>
      </c>
      <c r="I102" s="434">
        <v>228632.52636165477</v>
      </c>
      <c r="J102" s="54">
        <f t="shared" si="19"/>
        <v>0</v>
      </c>
      <c r="K102" s="54"/>
      <c r="L102" s="450">
        <f t="shared" si="20"/>
        <v>228632.52636165477</v>
      </c>
      <c r="M102" s="54">
        <f t="shared" ref="M102" si="27">IF(L102&lt;&gt;0,+H102-L102,0)</f>
        <v>0</v>
      </c>
      <c r="N102" s="450">
        <f t="shared" si="22"/>
        <v>228632.52636165477</v>
      </c>
      <c r="O102" s="54">
        <f t="shared" si="23"/>
        <v>0</v>
      </c>
      <c r="P102" s="54">
        <f t="shared" si="24"/>
        <v>0</v>
      </c>
    </row>
    <row r="103" spans="1:16" ht="12.5">
      <c r="B103" s="7" t="str">
        <f t="shared" si="25"/>
        <v/>
      </c>
      <c r="C103" s="50">
        <f>IF(D93="","-",+C102+1)</f>
        <v>2022</v>
      </c>
      <c r="D103" s="429">
        <v>1618382.3517813249</v>
      </c>
      <c r="E103" s="430">
        <v>41498.190476190473</v>
      </c>
      <c r="F103" s="431">
        <v>1576884.1613051344</v>
      </c>
      <c r="G103" s="431">
        <v>1597633.2565432298</v>
      </c>
      <c r="H103" s="433">
        <v>229152.7467625812</v>
      </c>
      <c r="I103" s="434">
        <v>229152.7467625812</v>
      </c>
      <c r="J103" s="54">
        <f t="shared" si="19"/>
        <v>0</v>
      </c>
      <c r="K103" s="54"/>
      <c r="L103" s="450">
        <f t="shared" si="20"/>
        <v>229152.7467625812</v>
      </c>
      <c r="M103" s="54">
        <f t="shared" ref="M103" si="28">IF(L103&lt;&gt;0,+H103-L103,0)</f>
        <v>0</v>
      </c>
      <c r="N103" s="450">
        <f t="shared" si="22"/>
        <v>229152.7467625812</v>
      </c>
      <c r="O103" s="54">
        <f t="shared" ref="O103" si="29">IF(N103&lt;&gt;0,+I103-N103,0)</f>
        <v>0</v>
      </c>
      <c r="P103" s="54">
        <f t="shared" ref="P103" si="30">+O103-M103</f>
        <v>0</v>
      </c>
    </row>
    <row r="104" spans="1:16" ht="12.5">
      <c r="B104" s="7" t="str">
        <f t="shared" si="25"/>
        <v>IU</v>
      </c>
      <c r="C104" s="50">
        <f>IF(D93="","-",+C103+1)</f>
        <v>2023</v>
      </c>
      <c r="D104" s="429">
        <v>1576884.1313051349</v>
      </c>
      <c r="E104" s="430">
        <v>39611.908409090916</v>
      </c>
      <c r="F104" s="431">
        <v>1537272.2228960439</v>
      </c>
      <c r="G104" s="431">
        <v>1557078.1771005895</v>
      </c>
      <c r="H104" s="433">
        <v>231700.94525838885</v>
      </c>
      <c r="I104" s="434">
        <v>231700.94525838885</v>
      </c>
      <c r="J104" s="54">
        <f t="shared" si="19"/>
        <v>0</v>
      </c>
      <c r="K104" s="54"/>
      <c r="L104" s="450">
        <f t="shared" si="20"/>
        <v>231700.94525838885</v>
      </c>
      <c r="M104" s="54">
        <f t="shared" ref="M104" si="31">IF(L104&lt;&gt;0,+H104-L104,0)</f>
        <v>0</v>
      </c>
      <c r="N104" s="450">
        <f t="shared" si="22"/>
        <v>231700.94525838885</v>
      </c>
      <c r="O104" s="54">
        <f t="shared" ref="O104" si="32">IF(N104&lt;&gt;0,+I104-N104,0)</f>
        <v>0</v>
      </c>
      <c r="P104" s="54">
        <f t="shared" ref="P104" si="33">+O104-M104</f>
        <v>0</v>
      </c>
    </row>
    <row r="105" spans="1:16" ht="12.5">
      <c r="B105" s="7" t="str">
        <f t="shared" si="25"/>
        <v/>
      </c>
      <c r="C105" s="50">
        <f>IF(D93="","-",+C104+1)</f>
        <v>2024</v>
      </c>
      <c r="D105" s="12">
        <f>IF(F104+SUM(E$99:E104)=D$92,F104,D$92-SUM(E$99:E104))</f>
        <v>1537272.2228960439</v>
      </c>
      <c r="E105" s="378">
        <f>IF(+J96&lt;F104,J96,D105)</f>
        <v>39611.908409090916</v>
      </c>
      <c r="F105" s="55">
        <f t="shared" ref="F105:F154" si="34">+D105-E105</f>
        <v>1497660.314486953</v>
      </c>
      <c r="G105" s="55">
        <f t="shared" ref="G105:G154" si="35">+(F105+D105)/2</f>
        <v>1517466.2686914983</v>
      </c>
      <c r="H105" s="380">
        <f t="shared" ref="H105:H154" si="36">+J$94*G105+E105</f>
        <v>228576.42877398763</v>
      </c>
      <c r="I105" s="399">
        <f t="shared" ref="I105:I154" si="37">+J$95*G105+E105</f>
        <v>228576.42877398763</v>
      </c>
      <c r="J105" s="54">
        <f t="shared" si="19"/>
        <v>0</v>
      </c>
      <c r="K105" s="54"/>
      <c r="L105" s="129"/>
      <c r="M105" s="54">
        <f t="shared" ref="M105:M130" si="38">IF(L105&lt;&gt;0,+H105-L105,0)</f>
        <v>0</v>
      </c>
      <c r="N105" s="129"/>
      <c r="O105" s="54">
        <f t="shared" si="23"/>
        <v>0</v>
      </c>
      <c r="P105" s="54">
        <f t="shared" si="24"/>
        <v>0</v>
      </c>
    </row>
    <row r="106" spans="1:16" ht="12.5">
      <c r="B106" s="7" t="str">
        <f t="shared" si="25"/>
        <v/>
      </c>
      <c r="C106" s="50">
        <f>IF(D93="","-",+C105+1)</f>
        <v>2025</v>
      </c>
      <c r="D106" s="12">
        <f>IF(F105+SUM(E$99:E105)=D$92,F105,D$92-SUM(E$99:E105))</f>
        <v>1497660.314486953</v>
      </c>
      <c r="E106" s="378">
        <f>IF(+J96&lt;F105,J96,D106)</f>
        <v>39611.908409090916</v>
      </c>
      <c r="F106" s="55">
        <f t="shared" si="34"/>
        <v>1458048.406077862</v>
      </c>
      <c r="G106" s="55">
        <f t="shared" si="35"/>
        <v>1477854.3602824076</v>
      </c>
      <c r="H106" s="380">
        <f t="shared" si="36"/>
        <v>223643.70280327034</v>
      </c>
      <c r="I106" s="399">
        <f t="shared" si="37"/>
        <v>223643.70280327034</v>
      </c>
      <c r="J106" s="54">
        <f t="shared" si="19"/>
        <v>0</v>
      </c>
      <c r="K106" s="54"/>
      <c r="L106" s="129"/>
      <c r="M106" s="54">
        <f t="shared" si="38"/>
        <v>0</v>
      </c>
      <c r="N106" s="129"/>
      <c r="O106" s="54">
        <f t="shared" si="23"/>
        <v>0</v>
      </c>
      <c r="P106" s="54">
        <f t="shared" si="24"/>
        <v>0</v>
      </c>
    </row>
    <row r="107" spans="1:16" ht="12.5">
      <c r="B107" s="7" t="str">
        <f t="shared" si="25"/>
        <v/>
      </c>
      <c r="C107" s="50">
        <f>IF(D93="","-",+C106+1)</f>
        <v>2026</v>
      </c>
      <c r="D107" s="12">
        <f>IF(F106+SUM(E$99:E106)=D$92,F106,D$92-SUM(E$99:E106))</f>
        <v>1458048.406077862</v>
      </c>
      <c r="E107" s="378">
        <f>IF(+J96&lt;F106,J96,D107)</f>
        <v>39611.908409090916</v>
      </c>
      <c r="F107" s="55">
        <f t="shared" si="34"/>
        <v>1418436.4976687711</v>
      </c>
      <c r="G107" s="55">
        <f t="shared" si="35"/>
        <v>1438242.4518733164</v>
      </c>
      <c r="H107" s="380">
        <f t="shared" si="36"/>
        <v>218710.97683255296</v>
      </c>
      <c r="I107" s="399">
        <f t="shared" si="37"/>
        <v>218710.97683255296</v>
      </c>
      <c r="J107" s="54">
        <f t="shared" si="19"/>
        <v>0</v>
      </c>
      <c r="K107" s="54"/>
      <c r="L107" s="129"/>
      <c r="M107" s="54">
        <f t="shared" si="38"/>
        <v>0</v>
      </c>
      <c r="N107" s="129"/>
      <c r="O107" s="54">
        <f t="shared" si="23"/>
        <v>0</v>
      </c>
      <c r="P107" s="54">
        <f t="shared" si="24"/>
        <v>0</v>
      </c>
    </row>
    <row r="108" spans="1:16" ht="12.5">
      <c r="B108" s="7" t="str">
        <f t="shared" si="25"/>
        <v/>
      </c>
      <c r="C108" s="50">
        <f>IF(D93="","-",+C107+1)</f>
        <v>2027</v>
      </c>
      <c r="D108" s="12">
        <f>IF(F107+SUM(E$99:E107)=D$92,F107,D$92-SUM(E$99:E107))</f>
        <v>1418436.4976687711</v>
      </c>
      <c r="E108" s="378">
        <f>IF(+J96&lt;F107,J96,D108)</f>
        <v>39611.908409090916</v>
      </c>
      <c r="F108" s="55">
        <f t="shared" si="34"/>
        <v>1378824.5892596801</v>
      </c>
      <c r="G108" s="55">
        <f t="shared" si="35"/>
        <v>1398630.5434642257</v>
      </c>
      <c r="H108" s="380">
        <f t="shared" si="36"/>
        <v>213778.25086183564</v>
      </c>
      <c r="I108" s="399">
        <f t="shared" si="37"/>
        <v>213778.25086183564</v>
      </c>
      <c r="J108" s="54">
        <f t="shared" si="19"/>
        <v>0</v>
      </c>
      <c r="K108" s="54"/>
      <c r="L108" s="129"/>
      <c r="M108" s="54">
        <f t="shared" si="38"/>
        <v>0</v>
      </c>
      <c r="N108" s="129"/>
      <c r="O108" s="54">
        <f t="shared" si="23"/>
        <v>0</v>
      </c>
      <c r="P108" s="54">
        <f t="shared" si="24"/>
        <v>0</v>
      </c>
    </row>
    <row r="109" spans="1:16" ht="12.5">
      <c r="B109" s="7" t="str">
        <f t="shared" si="25"/>
        <v/>
      </c>
      <c r="C109" s="50">
        <f>IF(D93="","-",+C108+1)</f>
        <v>2028</v>
      </c>
      <c r="D109" s="12">
        <f>IF(F108+SUM(E$99:E108)=D$92,F108,D$92-SUM(E$99:E108))</f>
        <v>1378824.5892596801</v>
      </c>
      <c r="E109" s="378">
        <f>IF(+J96&lt;F108,J96,D109)</f>
        <v>39611.908409090916</v>
      </c>
      <c r="F109" s="55">
        <f t="shared" si="34"/>
        <v>1339212.6808505892</v>
      </c>
      <c r="G109" s="55">
        <f t="shared" si="35"/>
        <v>1359018.6350551345</v>
      </c>
      <c r="H109" s="380">
        <f t="shared" si="36"/>
        <v>208845.52489111829</v>
      </c>
      <c r="I109" s="399">
        <f t="shared" si="37"/>
        <v>208845.52489111829</v>
      </c>
      <c r="J109" s="54">
        <f t="shared" si="19"/>
        <v>0</v>
      </c>
      <c r="K109" s="54"/>
      <c r="L109" s="129"/>
      <c r="M109" s="54">
        <f t="shared" si="38"/>
        <v>0</v>
      </c>
      <c r="N109" s="129"/>
      <c r="O109" s="54">
        <f t="shared" si="23"/>
        <v>0</v>
      </c>
      <c r="P109" s="54">
        <f t="shared" si="24"/>
        <v>0</v>
      </c>
    </row>
    <row r="110" spans="1:16" ht="12.5">
      <c r="B110" s="7" t="str">
        <f t="shared" si="25"/>
        <v/>
      </c>
      <c r="C110" s="50">
        <f>IF(D93="","-",+C109+1)</f>
        <v>2029</v>
      </c>
      <c r="D110" s="12">
        <f>IF(F109+SUM(E$99:E109)=D$92,F109,D$92-SUM(E$99:E109))</f>
        <v>1339212.6808505892</v>
      </c>
      <c r="E110" s="378">
        <f>IF(+J96&lt;F109,J96,D110)</f>
        <v>39611.908409090916</v>
      </c>
      <c r="F110" s="55">
        <f t="shared" si="34"/>
        <v>1299600.7724414982</v>
      </c>
      <c r="G110" s="55">
        <f t="shared" si="35"/>
        <v>1319406.7266460438</v>
      </c>
      <c r="H110" s="380">
        <f t="shared" si="36"/>
        <v>203912.79892040096</v>
      </c>
      <c r="I110" s="399">
        <f t="shared" si="37"/>
        <v>203912.79892040096</v>
      </c>
      <c r="J110" s="54">
        <f t="shared" si="19"/>
        <v>0</v>
      </c>
      <c r="K110" s="54"/>
      <c r="L110" s="129"/>
      <c r="M110" s="54">
        <f t="shared" si="38"/>
        <v>0</v>
      </c>
      <c r="N110" s="129"/>
      <c r="O110" s="54">
        <f t="shared" si="23"/>
        <v>0</v>
      </c>
      <c r="P110" s="54">
        <f t="shared" si="24"/>
        <v>0</v>
      </c>
    </row>
    <row r="111" spans="1:16" ht="12.5">
      <c r="B111" s="7" t="str">
        <f t="shared" si="25"/>
        <v/>
      </c>
      <c r="C111" s="50">
        <f>IF(D93="","-",+C110+1)</f>
        <v>2030</v>
      </c>
      <c r="D111" s="12">
        <f>IF(F110+SUM(E$99:E110)=D$92,F110,D$92-SUM(E$99:E110))</f>
        <v>1299600.7724414982</v>
      </c>
      <c r="E111" s="378">
        <f>IF(+J96&lt;F110,J96,D111)</f>
        <v>39611.908409090916</v>
      </c>
      <c r="F111" s="55">
        <f t="shared" si="34"/>
        <v>1259988.8640324073</v>
      </c>
      <c r="G111" s="55">
        <f t="shared" si="35"/>
        <v>1279794.8182369526</v>
      </c>
      <c r="H111" s="380">
        <f t="shared" si="36"/>
        <v>198980.07294968361</v>
      </c>
      <c r="I111" s="399">
        <f t="shared" si="37"/>
        <v>198980.07294968361</v>
      </c>
      <c r="J111" s="54">
        <f t="shared" si="19"/>
        <v>0</v>
      </c>
      <c r="K111" s="54"/>
      <c r="L111" s="129"/>
      <c r="M111" s="54">
        <f t="shared" si="38"/>
        <v>0</v>
      </c>
      <c r="N111" s="129"/>
      <c r="O111" s="54">
        <f t="shared" si="23"/>
        <v>0</v>
      </c>
      <c r="P111" s="54">
        <f t="shared" si="24"/>
        <v>0</v>
      </c>
    </row>
    <row r="112" spans="1:16" ht="12.5">
      <c r="B112" s="7" t="str">
        <f t="shared" si="25"/>
        <v/>
      </c>
      <c r="C112" s="50">
        <f>IF(D93="","-",+C111+1)</f>
        <v>2031</v>
      </c>
      <c r="D112" s="12">
        <f>IF(F111+SUM(E$99:E111)=D$92,F111,D$92-SUM(E$99:E111))</f>
        <v>1259988.8640324073</v>
      </c>
      <c r="E112" s="378">
        <f>IF(+J96&lt;F111,J96,D112)</f>
        <v>39611.908409090916</v>
      </c>
      <c r="F112" s="55">
        <f t="shared" si="34"/>
        <v>1220376.9556233163</v>
      </c>
      <c r="G112" s="55">
        <f t="shared" si="35"/>
        <v>1240182.9098278619</v>
      </c>
      <c r="H112" s="380">
        <f t="shared" si="36"/>
        <v>194047.34697896629</v>
      </c>
      <c r="I112" s="399">
        <f t="shared" si="37"/>
        <v>194047.34697896629</v>
      </c>
      <c r="J112" s="54">
        <f t="shared" si="19"/>
        <v>0</v>
      </c>
      <c r="K112" s="54"/>
      <c r="L112" s="129"/>
      <c r="M112" s="54">
        <f t="shared" si="38"/>
        <v>0</v>
      </c>
      <c r="N112" s="129"/>
      <c r="O112" s="54">
        <f t="shared" si="23"/>
        <v>0</v>
      </c>
      <c r="P112" s="54">
        <f t="shared" si="24"/>
        <v>0</v>
      </c>
    </row>
    <row r="113" spans="2:16" ht="12.5">
      <c r="B113" s="7" t="str">
        <f t="shared" si="25"/>
        <v/>
      </c>
      <c r="C113" s="50">
        <f>IF(D93="","-",+C112+1)</f>
        <v>2032</v>
      </c>
      <c r="D113" s="12">
        <f>IF(F112+SUM(E$99:E112)=D$92,F112,D$92-SUM(E$99:E112))</f>
        <v>1220376.9556233163</v>
      </c>
      <c r="E113" s="378">
        <f>IF(+J96&lt;F112,J96,D113)</f>
        <v>39611.908409090916</v>
      </c>
      <c r="F113" s="55">
        <f t="shared" si="34"/>
        <v>1180765.0472142254</v>
      </c>
      <c r="G113" s="55">
        <f t="shared" si="35"/>
        <v>1200571.0014187708</v>
      </c>
      <c r="H113" s="380">
        <f t="shared" si="36"/>
        <v>189114.62100824891</v>
      </c>
      <c r="I113" s="399">
        <f t="shared" si="37"/>
        <v>189114.62100824891</v>
      </c>
      <c r="J113" s="54">
        <f t="shared" si="19"/>
        <v>0</v>
      </c>
      <c r="K113" s="54"/>
      <c r="L113" s="129"/>
      <c r="M113" s="54">
        <f t="shared" si="38"/>
        <v>0</v>
      </c>
      <c r="N113" s="129"/>
      <c r="O113" s="54">
        <f t="shared" si="23"/>
        <v>0</v>
      </c>
      <c r="P113" s="54">
        <f t="shared" si="24"/>
        <v>0</v>
      </c>
    </row>
    <row r="114" spans="2:16" ht="12.5">
      <c r="B114" s="7" t="str">
        <f t="shared" si="25"/>
        <v/>
      </c>
      <c r="C114" s="50">
        <f>IF(D93="","-",+C113+1)</f>
        <v>2033</v>
      </c>
      <c r="D114" s="12">
        <f>IF(F113+SUM(E$99:E113)=D$92,F113,D$92-SUM(E$99:E113))</f>
        <v>1180765.0472142254</v>
      </c>
      <c r="E114" s="378">
        <f>IF(+J96&lt;F113,J96,D114)</f>
        <v>39611.908409090916</v>
      </c>
      <c r="F114" s="55">
        <f t="shared" si="34"/>
        <v>1141153.1388051345</v>
      </c>
      <c r="G114" s="55">
        <f t="shared" si="35"/>
        <v>1160959.09300968</v>
      </c>
      <c r="H114" s="380">
        <f t="shared" si="36"/>
        <v>184181.89503753162</v>
      </c>
      <c r="I114" s="399">
        <f t="shared" si="37"/>
        <v>184181.89503753162</v>
      </c>
      <c r="J114" s="54">
        <f t="shared" si="19"/>
        <v>0</v>
      </c>
      <c r="K114" s="54"/>
      <c r="L114" s="129"/>
      <c r="M114" s="54">
        <f t="shared" si="38"/>
        <v>0</v>
      </c>
      <c r="N114" s="129"/>
      <c r="O114" s="54">
        <f t="shared" si="23"/>
        <v>0</v>
      </c>
      <c r="P114" s="54">
        <f t="shared" si="24"/>
        <v>0</v>
      </c>
    </row>
    <row r="115" spans="2:16" ht="12.5">
      <c r="B115" s="7" t="str">
        <f t="shared" si="25"/>
        <v/>
      </c>
      <c r="C115" s="50">
        <f>IF(D93="","-",+C114+1)</f>
        <v>2034</v>
      </c>
      <c r="D115" s="12">
        <f>IF(F114+SUM(E$99:E114)=D$92,F114,D$92-SUM(E$99:E114))</f>
        <v>1141153.1388051345</v>
      </c>
      <c r="E115" s="378">
        <f>IF(+J96&lt;F114,J96,D115)</f>
        <v>39611.908409090916</v>
      </c>
      <c r="F115" s="55">
        <f t="shared" si="34"/>
        <v>1101541.2303960435</v>
      </c>
      <c r="G115" s="55">
        <f t="shared" si="35"/>
        <v>1121347.1846005889</v>
      </c>
      <c r="H115" s="380">
        <f t="shared" si="36"/>
        <v>179249.16906681424</v>
      </c>
      <c r="I115" s="399">
        <f t="shared" si="37"/>
        <v>179249.16906681424</v>
      </c>
      <c r="J115" s="54">
        <f t="shared" si="19"/>
        <v>0</v>
      </c>
      <c r="K115" s="54"/>
      <c r="L115" s="129"/>
      <c r="M115" s="54">
        <f t="shared" si="38"/>
        <v>0</v>
      </c>
      <c r="N115" s="129"/>
      <c r="O115" s="54">
        <f t="shared" si="23"/>
        <v>0</v>
      </c>
      <c r="P115" s="54">
        <f t="shared" si="24"/>
        <v>0</v>
      </c>
    </row>
    <row r="116" spans="2:16" ht="12.5">
      <c r="B116" s="7" t="str">
        <f t="shared" si="25"/>
        <v/>
      </c>
      <c r="C116" s="50">
        <f>IF(D93="","-",+C115+1)</f>
        <v>2035</v>
      </c>
      <c r="D116" s="12">
        <f>IF(F115+SUM(E$99:E115)=D$92,F115,D$92-SUM(E$99:E115))</f>
        <v>1101541.2303960435</v>
      </c>
      <c r="E116" s="378">
        <f>IF(+J96&lt;F115,J96,D116)</f>
        <v>39611.908409090916</v>
      </c>
      <c r="F116" s="55">
        <f t="shared" si="34"/>
        <v>1061929.3219869526</v>
      </c>
      <c r="G116" s="55">
        <f t="shared" si="35"/>
        <v>1081735.2761914982</v>
      </c>
      <c r="H116" s="380">
        <f t="shared" si="36"/>
        <v>174316.44309609695</v>
      </c>
      <c r="I116" s="399">
        <f t="shared" si="37"/>
        <v>174316.44309609695</v>
      </c>
      <c r="J116" s="54">
        <f t="shared" si="19"/>
        <v>0</v>
      </c>
      <c r="K116" s="54"/>
      <c r="L116" s="129"/>
      <c r="M116" s="54">
        <f t="shared" si="38"/>
        <v>0</v>
      </c>
      <c r="N116" s="129"/>
      <c r="O116" s="54">
        <f t="shared" si="23"/>
        <v>0</v>
      </c>
      <c r="P116" s="54">
        <f t="shared" si="24"/>
        <v>0</v>
      </c>
    </row>
    <row r="117" spans="2:16" ht="12.5">
      <c r="B117" s="7" t="str">
        <f t="shared" si="25"/>
        <v/>
      </c>
      <c r="C117" s="50">
        <f>IF(D93="","-",+C116+1)</f>
        <v>2036</v>
      </c>
      <c r="D117" s="12">
        <f>IF(F116+SUM(E$99:E116)=D$92,F116,D$92-SUM(E$99:E116))</f>
        <v>1061929.3219869526</v>
      </c>
      <c r="E117" s="378">
        <f>IF(+J96&lt;F116,J96,D117)</f>
        <v>39611.908409090916</v>
      </c>
      <c r="F117" s="55">
        <f t="shared" si="34"/>
        <v>1022317.4135778616</v>
      </c>
      <c r="G117" s="55">
        <f t="shared" si="35"/>
        <v>1042123.3677824071</v>
      </c>
      <c r="H117" s="380">
        <f t="shared" si="36"/>
        <v>169383.7171253796</v>
      </c>
      <c r="I117" s="399">
        <f t="shared" si="37"/>
        <v>169383.7171253796</v>
      </c>
      <c r="J117" s="54">
        <f t="shared" si="19"/>
        <v>0</v>
      </c>
      <c r="K117" s="54"/>
      <c r="L117" s="129"/>
      <c r="M117" s="54">
        <f t="shared" si="38"/>
        <v>0</v>
      </c>
      <c r="N117" s="129"/>
      <c r="O117" s="54">
        <f t="shared" si="23"/>
        <v>0</v>
      </c>
      <c r="P117" s="54">
        <f t="shared" si="24"/>
        <v>0</v>
      </c>
    </row>
    <row r="118" spans="2:16" ht="12.5">
      <c r="B118" s="7" t="str">
        <f t="shared" si="25"/>
        <v/>
      </c>
      <c r="C118" s="50">
        <f>IF(D93="","-",+C117+1)</f>
        <v>2037</v>
      </c>
      <c r="D118" s="12">
        <f>IF(F117+SUM(E$99:E117)=D$92,F117,D$92-SUM(E$99:E117))</f>
        <v>1022317.4135778616</v>
      </c>
      <c r="E118" s="378">
        <f>IF(+J96&lt;F117,J96,D118)</f>
        <v>39611.908409090916</v>
      </c>
      <c r="F118" s="55">
        <f t="shared" si="34"/>
        <v>982705.50516877067</v>
      </c>
      <c r="G118" s="55">
        <f t="shared" si="35"/>
        <v>1002511.4593733161</v>
      </c>
      <c r="H118" s="380">
        <f t="shared" si="36"/>
        <v>164450.99115466225</v>
      </c>
      <c r="I118" s="399">
        <f t="shared" si="37"/>
        <v>164450.99115466225</v>
      </c>
      <c r="J118" s="54">
        <f t="shared" si="19"/>
        <v>0</v>
      </c>
      <c r="K118" s="54"/>
      <c r="L118" s="129"/>
      <c r="M118" s="54">
        <f t="shared" si="38"/>
        <v>0</v>
      </c>
      <c r="N118" s="129"/>
      <c r="O118" s="54">
        <f t="shared" si="23"/>
        <v>0</v>
      </c>
      <c r="P118" s="54">
        <f t="shared" si="24"/>
        <v>0</v>
      </c>
    </row>
    <row r="119" spans="2:16" ht="12.5">
      <c r="B119" s="7" t="str">
        <f t="shared" si="25"/>
        <v/>
      </c>
      <c r="C119" s="50">
        <f>IF(D93="","-",+C118+1)</f>
        <v>2038</v>
      </c>
      <c r="D119" s="12">
        <f>IF(F118+SUM(E$99:E118)=D$92,F118,D$92-SUM(E$99:E118))</f>
        <v>982705.50516877067</v>
      </c>
      <c r="E119" s="378">
        <f>IF(+J96&lt;F118,J96,D119)</f>
        <v>39611.908409090916</v>
      </c>
      <c r="F119" s="55">
        <f t="shared" si="34"/>
        <v>943093.59675967973</v>
      </c>
      <c r="G119" s="55">
        <f t="shared" si="35"/>
        <v>962899.5509642252</v>
      </c>
      <c r="H119" s="380">
        <f t="shared" si="36"/>
        <v>159518.2651839449</v>
      </c>
      <c r="I119" s="399">
        <f t="shared" si="37"/>
        <v>159518.2651839449</v>
      </c>
      <c r="J119" s="54">
        <f t="shared" si="19"/>
        <v>0</v>
      </c>
      <c r="K119" s="54"/>
      <c r="L119" s="129"/>
      <c r="M119" s="54">
        <f t="shared" si="38"/>
        <v>0</v>
      </c>
      <c r="N119" s="129"/>
      <c r="O119" s="54">
        <f t="shared" si="23"/>
        <v>0</v>
      </c>
      <c r="P119" s="54">
        <f t="shared" si="24"/>
        <v>0</v>
      </c>
    </row>
    <row r="120" spans="2:16" ht="12.5">
      <c r="B120" s="7" t="str">
        <f t="shared" si="25"/>
        <v/>
      </c>
      <c r="C120" s="50">
        <f>IF(D93="","-",+C119+1)</f>
        <v>2039</v>
      </c>
      <c r="D120" s="12">
        <f>IF(F119+SUM(E$99:E119)=D$92,F119,D$92-SUM(E$99:E119))</f>
        <v>943093.59675967973</v>
      </c>
      <c r="E120" s="378">
        <f>IF(+J96&lt;F119,J96,D120)</f>
        <v>39611.908409090916</v>
      </c>
      <c r="F120" s="55">
        <f t="shared" si="34"/>
        <v>903481.68835058878</v>
      </c>
      <c r="G120" s="55">
        <f t="shared" si="35"/>
        <v>923287.64255513425</v>
      </c>
      <c r="H120" s="380">
        <f t="shared" si="36"/>
        <v>154585.53921322757</v>
      </c>
      <c r="I120" s="399">
        <f t="shared" si="37"/>
        <v>154585.53921322757</v>
      </c>
      <c r="J120" s="54">
        <f t="shared" si="19"/>
        <v>0</v>
      </c>
      <c r="K120" s="54"/>
      <c r="L120" s="129"/>
      <c r="M120" s="54">
        <f t="shared" si="38"/>
        <v>0</v>
      </c>
      <c r="N120" s="129"/>
      <c r="O120" s="54">
        <f t="shared" si="23"/>
        <v>0</v>
      </c>
      <c r="P120" s="54">
        <f t="shared" si="24"/>
        <v>0</v>
      </c>
    </row>
    <row r="121" spans="2:16" ht="12.5">
      <c r="B121" s="7" t="str">
        <f t="shared" si="25"/>
        <v/>
      </c>
      <c r="C121" s="50">
        <f>IF(D93="","-",+C120+1)</f>
        <v>2040</v>
      </c>
      <c r="D121" s="12">
        <f>IF(F120+SUM(E$99:E120)=D$92,F120,D$92-SUM(E$99:E120))</f>
        <v>903481.68835058878</v>
      </c>
      <c r="E121" s="378">
        <f>IF(+J96&lt;F120,J96,D121)</f>
        <v>39611.908409090916</v>
      </c>
      <c r="F121" s="55">
        <f t="shared" si="34"/>
        <v>863869.77994149784</v>
      </c>
      <c r="G121" s="55">
        <f t="shared" si="35"/>
        <v>883675.73414604331</v>
      </c>
      <c r="H121" s="380">
        <f t="shared" si="36"/>
        <v>149652.81324251022</v>
      </c>
      <c r="I121" s="399">
        <f t="shared" si="37"/>
        <v>149652.81324251022</v>
      </c>
      <c r="J121" s="54">
        <f t="shared" si="19"/>
        <v>0</v>
      </c>
      <c r="K121" s="54"/>
      <c r="L121" s="129"/>
      <c r="M121" s="54">
        <f t="shared" si="38"/>
        <v>0</v>
      </c>
      <c r="N121" s="129"/>
      <c r="O121" s="54">
        <f t="shared" si="23"/>
        <v>0</v>
      </c>
      <c r="P121" s="54">
        <f t="shared" si="24"/>
        <v>0</v>
      </c>
    </row>
    <row r="122" spans="2:16" ht="12.5">
      <c r="B122" s="7" t="str">
        <f t="shared" si="25"/>
        <v/>
      </c>
      <c r="C122" s="50">
        <f>IF(D93="","-",+C121+1)</f>
        <v>2041</v>
      </c>
      <c r="D122" s="12">
        <f>IF(F121+SUM(E$99:E121)=D$92,F121,D$92-SUM(E$99:E121))</f>
        <v>863869.77994149784</v>
      </c>
      <c r="E122" s="378">
        <f>IF(+J96&lt;F121,J96,D122)</f>
        <v>39611.908409090916</v>
      </c>
      <c r="F122" s="55">
        <f t="shared" si="34"/>
        <v>824257.87153240689</v>
      </c>
      <c r="G122" s="55">
        <f t="shared" si="35"/>
        <v>844063.82573695236</v>
      </c>
      <c r="H122" s="380">
        <f t="shared" si="36"/>
        <v>144720.08727179287</v>
      </c>
      <c r="I122" s="399">
        <f t="shared" si="37"/>
        <v>144720.08727179287</v>
      </c>
      <c r="J122" s="54">
        <f t="shared" si="19"/>
        <v>0</v>
      </c>
      <c r="K122" s="54"/>
      <c r="L122" s="129"/>
      <c r="M122" s="54">
        <f t="shared" si="38"/>
        <v>0</v>
      </c>
      <c r="N122" s="129"/>
      <c r="O122" s="54">
        <f t="shared" si="23"/>
        <v>0</v>
      </c>
      <c r="P122" s="54">
        <f t="shared" si="24"/>
        <v>0</v>
      </c>
    </row>
    <row r="123" spans="2:16" ht="12.5">
      <c r="B123" s="7" t="str">
        <f t="shared" si="25"/>
        <v/>
      </c>
      <c r="C123" s="50">
        <f>IF(D93="","-",+C122+1)</f>
        <v>2042</v>
      </c>
      <c r="D123" s="12">
        <f>IF(F122+SUM(E$99:E122)=D$92,F122,D$92-SUM(E$99:E122))</f>
        <v>824257.87153240689</v>
      </c>
      <c r="E123" s="378">
        <f>IF(+J96&lt;F122,J96,D123)</f>
        <v>39611.908409090916</v>
      </c>
      <c r="F123" s="55">
        <f t="shared" si="34"/>
        <v>784645.96312331595</v>
      </c>
      <c r="G123" s="55">
        <f t="shared" si="35"/>
        <v>804451.91732786142</v>
      </c>
      <c r="H123" s="380">
        <f t="shared" si="36"/>
        <v>139787.36130107555</v>
      </c>
      <c r="I123" s="399">
        <f t="shared" si="37"/>
        <v>139787.36130107555</v>
      </c>
      <c r="J123" s="54">
        <f t="shared" si="19"/>
        <v>0</v>
      </c>
      <c r="K123" s="54"/>
      <c r="L123" s="129"/>
      <c r="M123" s="54">
        <f t="shared" si="38"/>
        <v>0</v>
      </c>
      <c r="N123" s="129"/>
      <c r="O123" s="54">
        <f t="shared" si="23"/>
        <v>0</v>
      </c>
      <c r="P123" s="54">
        <f t="shared" si="24"/>
        <v>0</v>
      </c>
    </row>
    <row r="124" spans="2:16" ht="12.5">
      <c r="B124" s="7" t="str">
        <f t="shared" si="25"/>
        <v/>
      </c>
      <c r="C124" s="50">
        <f>IF(D93="","-",+C123+1)</f>
        <v>2043</v>
      </c>
      <c r="D124" s="12">
        <f>IF(F123+SUM(E$99:E123)=D$92,F123,D$92-SUM(E$99:E123))</f>
        <v>784645.96312331595</v>
      </c>
      <c r="E124" s="378">
        <f>IF(+J96&lt;F123,J96,D124)</f>
        <v>39611.908409090916</v>
      </c>
      <c r="F124" s="55">
        <f t="shared" si="34"/>
        <v>745034.054714225</v>
      </c>
      <c r="G124" s="55">
        <f t="shared" si="35"/>
        <v>764840.00891877047</v>
      </c>
      <c r="H124" s="380">
        <f t="shared" si="36"/>
        <v>134854.63533035823</v>
      </c>
      <c r="I124" s="399">
        <f t="shared" si="37"/>
        <v>134854.63533035823</v>
      </c>
      <c r="J124" s="54">
        <f t="shared" si="19"/>
        <v>0</v>
      </c>
      <c r="K124" s="54"/>
      <c r="L124" s="129"/>
      <c r="M124" s="54">
        <f t="shared" si="38"/>
        <v>0</v>
      </c>
      <c r="N124" s="129"/>
      <c r="O124" s="54">
        <f t="shared" si="23"/>
        <v>0</v>
      </c>
      <c r="P124" s="54">
        <f t="shared" si="24"/>
        <v>0</v>
      </c>
    </row>
    <row r="125" spans="2:16" ht="12.5">
      <c r="B125" s="7" t="str">
        <f t="shared" si="25"/>
        <v/>
      </c>
      <c r="C125" s="50">
        <f>IF(D93="","-",+C124+1)</f>
        <v>2044</v>
      </c>
      <c r="D125" s="12">
        <f>IF(F124+SUM(E$99:E124)=D$92,F124,D$92-SUM(E$99:E124))</f>
        <v>745034.054714225</v>
      </c>
      <c r="E125" s="378">
        <f>IF(+J96&lt;F124,J96,D125)</f>
        <v>39611.908409090916</v>
      </c>
      <c r="F125" s="55">
        <f t="shared" si="34"/>
        <v>705422.14630513405</v>
      </c>
      <c r="G125" s="55">
        <f t="shared" si="35"/>
        <v>725228.10050967953</v>
      </c>
      <c r="H125" s="380">
        <f t="shared" si="36"/>
        <v>129921.90935964086</v>
      </c>
      <c r="I125" s="399">
        <f t="shared" si="37"/>
        <v>129921.90935964086</v>
      </c>
      <c r="J125" s="54">
        <f t="shared" si="19"/>
        <v>0</v>
      </c>
      <c r="K125" s="54"/>
      <c r="L125" s="129"/>
      <c r="M125" s="54">
        <f t="shared" si="38"/>
        <v>0</v>
      </c>
      <c r="N125" s="129"/>
      <c r="O125" s="54">
        <f t="shared" si="23"/>
        <v>0</v>
      </c>
      <c r="P125" s="54">
        <f t="shared" si="24"/>
        <v>0</v>
      </c>
    </row>
    <row r="126" spans="2:16" ht="12.5">
      <c r="B126" s="7" t="str">
        <f t="shared" si="25"/>
        <v/>
      </c>
      <c r="C126" s="50">
        <f>IF(D93="","-",+C125+1)</f>
        <v>2045</v>
      </c>
      <c r="D126" s="12">
        <f>IF(F125+SUM(E$99:E125)=D$92,F125,D$92-SUM(E$99:E125))</f>
        <v>705422.14630513405</v>
      </c>
      <c r="E126" s="378">
        <f>IF(+J96&lt;F125,J96,D126)</f>
        <v>39611.908409090916</v>
      </c>
      <c r="F126" s="55">
        <f t="shared" si="34"/>
        <v>665810.23789604311</v>
      </c>
      <c r="G126" s="55">
        <f t="shared" si="35"/>
        <v>685616.19210058858</v>
      </c>
      <c r="H126" s="380">
        <f t="shared" si="36"/>
        <v>124989.18338892353</v>
      </c>
      <c r="I126" s="399">
        <f t="shared" si="37"/>
        <v>124989.18338892353</v>
      </c>
      <c r="J126" s="54">
        <f t="shared" si="19"/>
        <v>0</v>
      </c>
      <c r="K126" s="54"/>
      <c r="L126" s="129"/>
      <c r="M126" s="54">
        <f t="shared" si="38"/>
        <v>0</v>
      </c>
      <c r="N126" s="129"/>
      <c r="O126" s="54">
        <f t="shared" si="23"/>
        <v>0</v>
      </c>
      <c r="P126" s="54">
        <f t="shared" si="24"/>
        <v>0</v>
      </c>
    </row>
    <row r="127" spans="2:16" ht="12.5">
      <c r="B127" s="7" t="str">
        <f t="shared" si="25"/>
        <v/>
      </c>
      <c r="C127" s="50">
        <f>IF(D93="","-",+C126+1)</f>
        <v>2046</v>
      </c>
      <c r="D127" s="12">
        <f>IF(F126+SUM(E$99:E126)=D$92,F126,D$92-SUM(E$99:E126))</f>
        <v>665810.23789604311</v>
      </c>
      <c r="E127" s="378">
        <f>IF(+J96&lt;F126,J96,D127)</f>
        <v>39611.908409090916</v>
      </c>
      <c r="F127" s="55">
        <f t="shared" si="34"/>
        <v>626198.32948695216</v>
      </c>
      <c r="G127" s="55">
        <f t="shared" si="35"/>
        <v>646004.28369149764</v>
      </c>
      <c r="H127" s="380">
        <f t="shared" si="36"/>
        <v>120056.45741820619</v>
      </c>
      <c r="I127" s="399">
        <f t="shared" si="37"/>
        <v>120056.45741820619</v>
      </c>
      <c r="J127" s="54">
        <f t="shared" si="19"/>
        <v>0</v>
      </c>
      <c r="K127" s="54"/>
      <c r="L127" s="129"/>
      <c r="M127" s="54">
        <f t="shared" si="38"/>
        <v>0</v>
      </c>
      <c r="N127" s="129"/>
      <c r="O127" s="54">
        <f t="shared" si="23"/>
        <v>0</v>
      </c>
      <c r="P127" s="54">
        <f t="shared" si="24"/>
        <v>0</v>
      </c>
    </row>
    <row r="128" spans="2:16" ht="12.5">
      <c r="B128" s="7" t="str">
        <f t="shared" si="25"/>
        <v/>
      </c>
      <c r="C128" s="50">
        <f>IF(D93="","-",+C127+1)</f>
        <v>2047</v>
      </c>
      <c r="D128" s="12">
        <f>IF(F127+SUM(E$99:E127)=D$92,F127,D$92-SUM(E$99:E127))</f>
        <v>626198.32948695216</v>
      </c>
      <c r="E128" s="378">
        <f>IF(+J96&lt;F127,J96,D128)</f>
        <v>39611.908409090916</v>
      </c>
      <c r="F128" s="55">
        <f t="shared" si="34"/>
        <v>586586.42107786122</v>
      </c>
      <c r="G128" s="55">
        <f t="shared" si="35"/>
        <v>606392.37528240669</v>
      </c>
      <c r="H128" s="380">
        <f t="shared" si="36"/>
        <v>115123.73144748886</v>
      </c>
      <c r="I128" s="399">
        <f t="shared" si="37"/>
        <v>115123.73144748886</v>
      </c>
      <c r="J128" s="54">
        <f t="shared" si="19"/>
        <v>0</v>
      </c>
      <c r="K128" s="54"/>
      <c r="L128" s="129"/>
      <c r="M128" s="54">
        <f t="shared" si="38"/>
        <v>0</v>
      </c>
      <c r="N128" s="129"/>
      <c r="O128" s="54">
        <f t="shared" si="23"/>
        <v>0</v>
      </c>
      <c r="P128" s="54">
        <f t="shared" si="24"/>
        <v>0</v>
      </c>
    </row>
    <row r="129" spans="2:16" ht="12.5">
      <c r="B129" s="7" t="str">
        <f t="shared" si="25"/>
        <v/>
      </c>
      <c r="C129" s="50">
        <f>IF(D93="","-",+C128+1)</f>
        <v>2048</v>
      </c>
      <c r="D129" s="12">
        <f>IF(F128+SUM(E$99:E128)=D$92,F128,D$92-SUM(E$99:E128))</f>
        <v>586586.42107786122</v>
      </c>
      <c r="E129" s="378">
        <f>IF(+J96&lt;F128,J96,D129)</f>
        <v>39611.908409090916</v>
      </c>
      <c r="F129" s="55">
        <f t="shared" si="34"/>
        <v>546974.51266877027</v>
      </c>
      <c r="G129" s="55">
        <f t="shared" si="35"/>
        <v>566780.46687331575</v>
      </c>
      <c r="H129" s="380">
        <f t="shared" si="36"/>
        <v>110191.00547677152</v>
      </c>
      <c r="I129" s="399">
        <f t="shared" si="37"/>
        <v>110191.00547677152</v>
      </c>
      <c r="J129" s="54">
        <f t="shared" si="19"/>
        <v>0</v>
      </c>
      <c r="K129" s="54"/>
      <c r="L129" s="129"/>
      <c r="M129" s="54">
        <f t="shared" si="38"/>
        <v>0</v>
      </c>
      <c r="N129" s="129"/>
      <c r="O129" s="54">
        <f t="shared" si="23"/>
        <v>0</v>
      </c>
      <c r="P129" s="54">
        <f t="shared" si="24"/>
        <v>0</v>
      </c>
    </row>
    <row r="130" spans="2:16" ht="12.5">
      <c r="B130" s="7" t="str">
        <f t="shared" si="25"/>
        <v/>
      </c>
      <c r="C130" s="50">
        <f>IF(D93="","-",+C129+1)</f>
        <v>2049</v>
      </c>
      <c r="D130" s="12">
        <f>IF(F129+SUM(E$99:E129)=D$92,F129,D$92-SUM(E$99:E129))</f>
        <v>546974.51266877027</v>
      </c>
      <c r="E130" s="378">
        <f>IF(+J96&lt;F129,J96,D130)</f>
        <v>39611.908409090916</v>
      </c>
      <c r="F130" s="55">
        <f t="shared" si="34"/>
        <v>507362.60425967933</v>
      </c>
      <c r="G130" s="55">
        <f t="shared" si="35"/>
        <v>527168.5584642248</v>
      </c>
      <c r="H130" s="380">
        <f t="shared" si="36"/>
        <v>105258.27950605417</v>
      </c>
      <c r="I130" s="399">
        <f t="shared" si="37"/>
        <v>105258.27950605417</v>
      </c>
      <c r="J130" s="54">
        <f t="shared" si="19"/>
        <v>0</v>
      </c>
      <c r="K130" s="54"/>
      <c r="L130" s="129"/>
      <c r="M130" s="54">
        <f t="shared" si="38"/>
        <v>0</v>
      </c>
      <c r="N130" s="129"/>
      <c r="O130" s="54">
        <f t="shared" si="23"/>
        <v>0</v>
      </c>
      <c r="P130" s="54">
        <f t="shared" si="24"/>
        <v>0</v>
      </c>
    </row>
    <row r="131" spans="2:16" ht="12.5">
      <c r="B131" s="7" t="str">
        <f t="shared" si="25"/>
        <v/>
      </c>
      <c r="C131" s="50">
        <f>IF(D93="","-",+C130+1)</f>
        <v>2050</v>
      </c>
      <c r="D131" s="12">
        <f>IF(F130+SUM(E$99:E130)=D$92,F130,D$92-SUM(E$99:E130))</f>
        <v>507362.60425967933</v>
      </c>
      <c r="E131" s="378">
        <f>IF(+J96&lt;F130,J96,D131)</f>
        <v>39611.908409090916</v>
      </c>
      <c r="F131" s="55">
        <f t="shared" si="34"/>
        <v>467750.69585058838</v>
      </c>
      <c r="G131" s="55">
        <f t="shared" si="35"/>
        <v>487556.65005513385</v>
      </c>
      <c r="H131" s="380">
        <f t="shared" si="36"/>
        <v>100325.55353533683</v>
      </c>
      <c r="I131" s="399">
        <f t="shared" si="37"/>
        <v>100325.55353533683</v>
      </c>
      <c r="J131" s="54">
        <f t="shared" ref="J131:J154" si="39">+I541-H541</f>
        <v>0</v>
      </c>
      <c r="K131" s="54"/>
      <c r="L131" s="129"/>
      <c r="M131" s="54">
        <f t="shared" ref="M131:M154" si="40">IF(L541&lt;&gt;0,+H541-L541,0)</f>
        <v>0</v>
      </c>
      <c r="N131" s="129"/>
      <c r="O131" s="54">
        <f t="shared" ref="O131:O154" si="41">IF(N541&lt;&gt;0,+I541-N541,0)</f>
        <v>0</v>
      </c>
      <c r="P131" s="54">
        <f t="shared" ref="P131:P154" si="42">+O541-M541</f>
        <v>0</v>
      </c>
    </row>
    <row r="132" spans="2:16" ht="12.5">
      <c r="B132" s="7" t="str">
        <f t="shared" si="25"/>
        <v/>
      </c>
      <c r="C132" s="50">
        <f>IF(D93="","-",+C131+1)</f>
        <v>2051</v>
      </c>
      <c r="D132" s="12">
        <f>IF(F131+SUM(E$99:E131)=D$92,F131,D$92-SUM(E$99:E131))</f>
        <v>467750.69585058838</v>
      </c>
      <c r="E132" s="378">
        <f>IF(+J96&lt;F131,J96,D132)</f>
        <v>39611.908409090916</v>
      </c>
      <c r="F132" s="55">
        <f t="shared" si="34"/>
        <v>428138.78744149744</v>
      </c>
      <c r="G132" s="55">
        <f t="shared" si="35"/>
        <v>447944.74164604291</v>
      </c>
      <c r="H132" s="380">
        <f t="shared" si="36"/>
        <v>95392.827564619496</v>
      </c>
      <c r="I132" s="399">
        <f t="shared" si="37"/>
        <v>95392.827564619496</v>
      </c>
      <c r="J132" s="54">
        <f t="shared" si="39"/>
        <v>0</v>
      </c>
      <c r="K132" s="54"/>
      <c r="L132" s="129"/>
      <c r="M132" s="54">
        <f t="shared" si="40"/>
        <v>0</v>
      </c>
      <c r="N132" s="129"/>
      <c r="O132" s="54">
        <f t="shared" si="41"/>
        <v>0</v>
      </c>
      <c r="P132" s="54">
        <f t="shared" si="42"/>
        <v>0</v>
      </c>
    </row>
    <row r="133" spans="2:16" ht="12.5">
      <c r="B133" s="7" t="str">
        <f t="shared" si="25"/>
        <v/>
      </c>
      <c r="C133" s="50">
        <f>IF(D93="","-",+C132+1)</f>
        <v>2052</v>
      </c>
      <c r="D133" s="12">
        <f>IF(F132+SUM(E$99:E132)=D$92,F132,D$92-SUM(E$99:E132))</f>
        <v>428138.78744149744</v>
      </c>
      <c r="E133" s="378">
        <f>IF(+J96&lt;F132,J96,D133)</f>
        <v>39611.908409090916</v>
      </c>
      <c r="F133" s="55">
        <f t="shared" si="34"/>
        <v>388526.87903240649</v>
      </c>
      <c r="G133" s="55">
        <f t="shared" si="35"/>
        <v>408332.83323695196</v>
      </c>
      <c r="H133" s="380">
        <f t="shared" si="36"/>
        <v>90460.10159390216</v>
      </c>
      <c r="I133" s="399">
        <f t="shared" si="37"/>
        <v>90460.10159390216</v>
      </c>
      <c r="J133" s="54">
        <f t="shared" si="39"/>
        <v>0</v>
      </c>
      <c r="K133" s="54"/>
      <c r="L133" s="129"/>
      <c r="M133" s="54">
        <f t="shared" si="40"/>
        <v>0</v>
      </c>
      <c r="N133" s="129"/>
      <c r="O133" s="54">
        <f t="shared" si="41"/>
        <v>0</v>
      </c>
      <c r="P133" s="54">
        <f t="shared" si="42"/>
        <v>0</v>
      </c>
    </row>
    <row r="134" spans="2:16" ht="12.5">
      <c r="B134" s="7" t="str">
        <f t="shared" si="25"/>
        <v/>
      </c>
      <c r="C134" s="50">
        <f>IF(D93="","-",+C133+1)</f>
        <v>2053</v>
      </c>
      <c r="D134" s="12">
        <f>IF(F133+SUM(E$99:E133)=D$92,F133,D$92-SUM(E$99:E133))</f>
        <v>388526.87903240649</v>
      </c>
      <c r="E134" s="378">
        <f>IF(+J96&lt;F133,J96,D134)</f>
        <v>39611.908409090916</v>
      </c>
      <c r="F134" s="55">
        <f t="shared" si="34"/>
        <v>348914.97062331554</v>
      </c>
      <c r="G134" s="55">
        <f t="shared" si="35"/>
        <v>368720.92482786102</v>
      </c>
      <c r="H134" s="380">
        <f t="shared" si="36"/>
        <v>85527.375623184809</v>
      </c>
      <c r="I134" s="399">
        <f t="shared" si="37"/>
        <v>85527.375623184809</v>
      </c>
      <c r="J134" s="54">
        <f t="shared" si="39"/>
        <v>0</v>
      </c>
      <c r="K134" s="54"/>
      <c r="L134" s="129"/>
      <c r="M134" s="54">
        <f t="shared" si="40"/>
        <v>0</v>
      </c>
      <c r="N134" s="129"/>
      <c r="O134" s="54">
        <f t="shared" si="41"/>
        <v>0</v>
      </c>
      <c r="P134" s="54">
        <f t="shared" si="42"/>
        <v>0</v>
      </c>
    </row>
    <row r="135" spans="2:16" ht="12.5">
      <c r="B135" s="7" t="str">
        <f t="shared" si="25"/>
        <v/>
      </c>
      <c r="C135" s="50">
        <f>IF(D93="","-",+C134+1)</f>
        <v>2054</v>
      </c>
      <c r="D135" s="12">
        <f>IF(F134+SUM(E$99:E134)=D$92,F134,D$92-SUM(E$99:E134))</f>
        <v>348914.97062331554</v>
      </c>
      <c r="E135" s="378">
        <f>IF(+J96&lt;F134,J96,D135)</f>
        <v>39611.908409090916</v>
      </c>
      <c r="F135" s="55">
        <f t="shared" si="34"/>
        <v>309303.0622142246</v>
      </c>
      <c r="G135" s="55">
        <f t="shared" si="35"/>
        <v>329109.01641877007</v>
      </c>
      <c r="H135" s="380">
        <f t="shared" si="36"/>
        <v>80594.649652467488</v>
      </c>
      <c r="I135" s="399">
        <f t="shared" si="37"/>
        <v>80594.649652467488</v>
      </c>
      <c r="J135" s="54">
        <f t="shared" si="39"/>
        <v>0</v>
      </c>
      <c r="K135" s="54"/>
      <c r="L135" s="129"/>
      <c r="M135" s="54">
        <f t="shared" si="40"/>
        <v>0</v>
      </c>
      <c r="N135" s="129"/>
      <c r="O135" s="54">
        <f t="shared" si="41"/>
        <v>0</v>
      </c>
      <c r="P135" s="54">
        <f t="shared" si="42"/>
        <v>0</v>
      </c>
    </row>
    <row r="136" spans="2:16" ht="12.5">
      <c r="B136" s="7" t="str">
        <f t="shared" si="25"/>
        <v/>
      </c>
      <c r="C136" s="50">
        <f>IF(D93="","-",+C135+1)</f>
        <v>2055</v>
      </c>
      <c r="D136" s="12">
        <f>IF(F135+SUM(E$99:E135)=D$92,F135,D$92-SUM(E$99:E135))</f>
        <v>309303.0622142246</v>
      </c>
      <c r="E136" s="378">
        <f>IF(+J96&lt;F135,J96,D136)</f>
        <v>39611.908409090916</v>
      </c>
      <c r="F136" s="55">
        <f t="shared" si="34"/>
        <v>269691.15380513365</v>
      </c>
      <c r="G136" s="55">
        <f t="shared" si="35"/>
        <v>289497.10800967913</v>
      </c>
      <c r="H136" s="380">
        <f t="shared" si="36"/>
        <v>75661.923681750137</v>
      </c>
      <c r="I136" s="399">
        <f t="shared" si="37"/>
        <v>75661.923681750137</v>
      </c>
      <c r="J136" s="54">
        <f t="shared" si="39"/>
        <v>0</v>
      </c>
      <c r="K136" s="54"/>
      <c r="L136" s="129"/>
      <c r="M136" s="54">
        <f t="shared" si="40"/>
        <v>0</v>
      </c>
      <c r="N136" s="129"/>
      <c r="O136" s="54">
        <f t="shared" si="41"/>
        <v>0</v>
      </c>
      <c r="P136" s="54">
        <f t="shared" si="42"/>
        <v>0</v>
      </c>
    </row>
    <row r="137" spans="2:16" ht="12.5">
      <c r="B137" s="7" t="str">
        <f t="shared" si="25"/>
        <v/>
      </c>
      <c r="C137" s="50">
        <f>IF(D93="","-",+C136+1)</f>
        <v>2056</v>
      </c>
      <c r="D137" s="12">
        <f>IF(F136+SUM(E$99:E136)=D$92,F136,D$92-SUM(E$99:E136))</f>
        <v>269691.15380513365</v>
      </c>
      <c r="E137" s="378">
        <f>IF(+J96&lt;F136,J96,D137)</f>
        <v>39611.908409090916</v>
      </c>
      <c r="F137" s="55">
        <f t="shared" si="34"/>
        <v>230079.24539604274</v>
      </c>
      <c r="G137" s="55">
        <f t="shared" si="35"/>
        <v>249885.19960058818</v>
      </c>
      <c r="H137" s="380">
        <f t="shared" si="36"/>
        <v>70729.197711032801</v>
      </c>
      <c r="I137" s="399">
        <f t="shared" si="37"/>
        <v>70729.197711032801</v>
      </c>
      <c r="J137" s="54">
        <f t="shared" si="39"/>
        <v>0</v>
      </c>
      <c r="K137" s="54"/>
      <c r="L137" s="129"/>
      <c r="M137" s="54">
        <f t="shared" si="40"/>
        <v>0</v>
      </c>
      <c r="N137" s="129"/>
      <c r="O137" s="54">
        <f t="shared" si="41"/>
        <v>0</v>
      </c>
      <c r="P137" s="54">
        <f t="shared" si="42"/>
        <v>0</v>
      </c>
    </row>
    <row r="138" spans="2:16" ht="12.5">
      <c r="B138" s="7" t="str">
        <f t="shared" si="25"/>
        <v/>
      </c>
      <c r="C138" s="50">
        <f>IF(D93="","-",+C137+1)</f>
        <v>2057</v>
      </c>
      <c r="D138" s="12">
        <f>IF(F137+SUM(E$99:E137)=D$92,F137,D$92-SUM(E$99:E137))</f>
        <v>230079.24539604274</v>
      </c>
      <c r="E138" s="378">
        <f>IF(+J96&lt;F137,J96,D138)</f>
        <v>39611.908409090916</v>
      </c>
      <c r="F138" s="55">
        <f t="shared" si="34"/>
        <v>190467.33698695182</v>
      </c>
      <c r="G138" s="55">
        <f t="shared" si="35"/>
        <v>210273.29119149729</v>
      </c>
      <c r="H138" s="380">
        <f t="shared" si="36"/>
        <v>65796.471740315465</v>
      </c>
      <c r="I138" s="399">
        <f t="shared" si="37"/>
        <v>65796.471740315465</v>
      </c>
      <c r="J138" s="54">
        <f t="shared" si="39"/>
        <v>0</v>
      </c>
      <c r="K138" s="54"/>
      <c r="L138" s="129"/>
      <c r="M138" s="54">
        <f t="shared" si="40"/>
        <v>0</v>
      </c>
      <c r="N138" s="129"/>
      <c r="O138" s="54">
        <f t="shared" si="41"/>
        <v>0</v>
      </c>
      <c r="P138" s="54">
        <f t="shared" si="42"/>
        <v>0</v>
      </c>
    </row>
    <row r="139" spans="2:16" ht="12.5">
      <c r="B139" s="7" t="str">
        <f t="shared" si="25"/>
        <v/>
      </c>
      <c r="C139" s="50">
        <f>IF(D93="","-",+C138+1)</f>
        <v>2058</v>
      </c>
      <c r="D139" s="12">
        <f>IF(F138+SUM(E$99:E138)=D$92,F138,D$92-SUM(E$99:E138))</f>
        <v>190467.33698695182</v>
      </c>
      <c r="E139" s="378">
        <f>IF(+J96&lt;F138,J96,D139)</f>
        <v>39611.908409090916</v>
      </c>
      <c r="F139" s="55">
        <f t="shared" si="34"/>
        <v>150855.4285778609</v>
      </c>
      <c r="G139" s="55">
        <f t="shared" si="35"/>
        <v>170661.38278240635</v>
      </c>
      <c r="H139" s="380">
        <f t="shared" si="36"/>
        <v>60863.745769598128</v>
      </c>
      <c r="I139" s="399">
        <f t="shared" si="37"/>
        <v>60863.745769598128</v>
      </c>
      <c r="J139" s="54">
        <f t="shared" si="39"/>
        <v>0</v>
      </c>
      <c r="K139" s="54"/>
      <c r="L139" s="129"/>
      <c r="M139" s="54">
        <f t="shared" si="40"/>
        <v>0</v>
      </c>
      <c r="N139" s="129"/>
      <c r="O139" s="54">
        <f t="shared" si="41"/>
        <v>0</v>
      </c>
      <c r="P139" s="54">
        <f t="shared" si="42"/>
        <v>0</v>
      </c>
    </row>
    <row r="140" spans="2:16" ht="12.5">
      <c r="B140" s="7" t="str">
        <f t="shared" si="25"/>
        <v/>
      </c>
      <c r="C140" s="50">
        <f>IF(D93="","-",+C139+1)</f>
        <v>2059</v>
      </c>
      <c r="D140" s="12">
        <f>IF(F139+SUM(E$99:E139)=D$92,F139,D$92-SUM(E$99:E139))</f>
        <v>150855.4285778609</v>
      </c>
      <c r="E140" s="378">
        <f>IF(+J96&lt;F139,J96,D140)</f>
        <v>39611.908409090916</v>
      </c>
      <c r="F140" s="55">
        <f t="shared" si="34"/>
        <v>111243.52016876999</v>
      </c>
      <c r="G140" s="55">
        <f t="shared" si="35"/>
        <v>131049.47437331545</v>
      </c>
      <c r="H140" s="380">
        <f t="shared" si="36"/>
        <v>55931.019798880792</v>
      </c>
      <c r="I140" s="399">
        <f t="shared" si="37"/>
        <v>55931.019798880792</v>
      </c>
      <c r="J140" s="54">
        <f t="shared" si="39"/>
        <v>0</v>
      </c>
      <c r="K140" s="54"/>
      <c r="L140" s="129"/>
      <c r="M140" s="54">
        <f t="shared" si="40"/>
        <v>0</v>
      </c>
      <c r="N140" s="129"/>
      <c r="O140" s="54">
        <f t="shared" si="41"/>
        <v>0</v>
      </c>
      <c r="P140" s="54">
        <f t="shared" si="42"/>
        <v>0</v>
      </c>
    </row>
    <row r="141" spans="2:16" ht="12.5">
      <c r="B141" s="7" t="str">
        <f t="shared" si="25"/>
        <v/>
      </c>
      <c r="C141" s="50">
        <f>IF(D93="","-",+C140+1)</f>
        <v>2060</v>
      </c>
      <c r="D141" s="12">
        <f>IF(F140+SUM(E$99:E140)=D$92,F140,D$92-SUM(E$99:E140))</f>
        <v>111243.52016876999</v>
      </c>
      <c r="E141" s="378">
        <f>IF(+J96&lt;F140,J96,D141)</f>
        <v>39611.908409090916</v>
      </c>
      <c r="F141" s="55">
        <f t="shared" si="34"/>
        <v>71631.611759679072</v>
      </c>
      <c r="G141" s="55">
        <f t="shared" si="35"/>
        <v>91437.56596422453</v>
      </c>
      <c r="H141" s="380">
        <f t="shared" si="36"/>
        <v>50998.293828163456</v>
      </c>
      <c r="I141" s="399">
        <f t="shared" si="37"/>
        <v>50998.293828163456</v>
      </c>
      <c r="J141" s="54">
        <f t="shared" si="39"/>
        <v>0</v>
      </c>
      <c r="K141" s="54"/>
      <c r="L141" s="129"/>
      <c r="M141" s="54">
        <f t="shared" si="40"/>
        <v>0</v>
      </c>
      <c r="N141" s="129"/>
      <c r="O141" s="54">
        <f t="shared" si="41"/>
        <v>0</v>
      </c>
      <c r="P141" s="54">
        <f t="shared" si="42"/>
        <v>0</v>
      </c>
    </row>
    <row r="142" spans="2:16" ht="12.5">
      <c r="B142" s="7" t="str">
        <f t="shared" si="25"/>
        <v/>
      </c>
      <c r="C142" s="50">
        <f>IF(D93="","-",+C141+1)</f>
        <v>2061</v>
      </c>
      <c r="D142" s="12">
        <f>IF(F141+SUM(E$99:E141)=D$92,F141,D$92-SUM(E$99:E141))</f>
        <v>71631.611759679072</v>
      </c>
      <c r="E142" s="378">
        <f>IF(+J96&lt;F141,J96,D142)</f>
        <v>39611.908409090916</v>
      </c>
      <c r="F142" s="55">
        <f t="shared" si="34"/>
        <v>32019.703350588155</v>
      </c>
      <c r="G142" s="55">
        <f t="shared" si="35"/>
        <v>51825.657555133614</v>
      </c>
      <c r="H142" s="380">
        <f t="shared" si="36"/>
        <v>46065.56785744612</v>
      </c>
      <c r="I142" s="399">
        <f t="shared" si="37"/>
        <v>46065.56785744612</v>
      </c>
      <c r="J142" s="54">
        <f t="shared" si="39"/>
        <v>0</v>
      </c>
      <c r="K142" s="54"/>
      <c r="L142" s="129"/>
      <c r="M142" s="54">
        <f t="shared" si="40"/>
        <v>0</v>
      </c>
      <c r="N142" s="129"/>
      <c r="O142" s="54">
        <f t="shared" si="41"/>
        <v>0</v>
      </c>
      <c r="P142" s="54">
        <f t="shared" si="42"/>
        <v>0</v>
      </c>
    </row>
    <row r="143" spans="2:16" ht="12.5">
      <c r="B143" s="7" t="str">
        <f t="shared" si="25"/>
        <v/>
      </c>
      <c r="C143" s="50">
        <f>IF(D93="","-",+C142+1)</f>
        <v>2062</v>
      </c>
      <c r="D143" s="12">
        <f>IF(F142+SUM(E$99:E142)=D$92,F142,D$92-SUM(E$99:E142))</f>
        <v>32019.703350588155</v>
      </c>
      <c r="E143" s="378">
        <f>IF(+J96&lt;F142,J96,D143)</f>
        <v>32019.703350588155</v>
      </c>
      <c r="F143" s="55">
        <f t="shared" si="34"/>
        <v>0</v>
      </c>
      <c r="G143" s="55">
        <f t="shared" si="35"/>
        <v>16009.851675294078</v>
      </c>
      <c r="H143" s="380">
        <f t="shared" si="36"/>
        <v>34013.351582086427</v>
      </c>
      <c r="I143" s="399">
        <f t="shared" si="37"/>
        <v>34013.351582086427</v>
      </c>
      <c r="J143" s="54">
        <f t="shared" si="39"/>
        <v>0</v>
      </c>
      <c r="K143" s="54"/>
      <c r="L143" s="129"/>
      <c r="M143" s="54">
        <f t="shared" si="40"/>
        <v>0</v>
      </c>
      <c r="N143" s="129"/>
      <c r="O143" s="54">
        <f t="shared" si="41"/>
        <v>0</v>
      </c>
      <c r="P143" s="54">
        <f t="shared" si="42"/>
        <v>0</v>
      </c>
    </row>
    <row r="144" spans="2:16" ht="12.5">
      <c r="B144" s="7" t="str">
        <f t="shared" si="25"/>
        <v/>
      </c>
      <c r="C144" s="50">
        <f>IF(D93="","-",+C143+1)</f>
        <v>2063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34"/>
        <v>0</v>
      </c>
      <c r="G144" s="55">
        <f t="shared" si="35"/>
        <v>0</v>
      </c>
      <c r="H144" s="380">
        <f t="shared" si="36"/>
        <v>0</v>
      </c>
      <c r="I144" s="399">
        <f t="shared" si="37"/>
        <v>0</v>
      </c>
      <c r="J144" s="54">
        <f t="shared" si="39"/>
        <v>0</v>
      </c>
      <c r="K144" s="54"/>
      <c r="L144" s="129"/>
      <c r="M144" s="54">
        <f t="shared" si="40"/>
        <v>0</v>
      </c>
      <c r="N144" s="129"/>
      <c r="O144" s="54">
        <f t="shared" si="41"/>
        <v>0</v>
      </c>
      <c r="P144" s="54">
        <f t="shared" si="42"/>
        <v>0</v>
      </c>
    </row>
    <row r="145" spans="2:16" ht="12.5">
      <c r="B145" s="7" t="str">
        <f t="shared" si="25"/>
        <v/>
      </c>
      <c r="C145" s="50">
        <f>IF(D93="","-",+C144+1)</f>
        <v>2064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34"/>
        <v>0</v>
      </c>
      <c r="G145" s="55">
        <f t="shared" si="35"/>
        <v>0</v>
      </c>
      <c r="H145" s="380">
        <f t="shared" si="36"/>
        <v>0</v>
      </c>
      <c r="I145" s="399">
        <f t="shared" si="37"/>
        <v>0</v>
      </c>
      <c r="J145" s="54">
        <f t="shared" si="39"/>
        <v>0</v>
      </c>
      <c r="K145" s="54"/>
      <c r="L145" s="129"/>
      <c r="M145" s="54">
        <f t="shared" si="40"/>
        <v>0</v>
      </c>
      <c r="N145" s="129"/>
      <c r="O145" s="54">
        <f t="shared" si="41"/>
        <v>0</v>
      </c>
      <c r="P145" s="54">
        <f t="shared" si="42"/>
        <v>0</v>
      </c>
    </row>
    <row r="146" spans="2:16" ht="12.5">
      <c r="B146" s="7" t="str">
        <f t="shared" si="25"/>
        <v/>
      </c>
      <c r="C146" s="50">
        <f>IF(D93="","-",+C145+1)</f>
        <v>2065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34"/>
        <v>0</v>
      </c>
      <c r="G146" s="55">
        <f t="shared" si="35"/>
        <v>0</v>
      </c>
      <c r="H146" s="380">
        <f t="shared" si="36"/>
        <v>0</v>
      </c>
      <c r="I146" s="399">
        <f t="shared" si="37"/>
        <v>0</v>
      </c>
      <c r="J146" s="54">
        <f t="shared" si="39"/>
        <v>0</v>
      </c>
      <c r="K146" s="54"/>
      <c r="L146" s="129"/>
      <c r="M146" s="54">
        <f t="shared" si="40"/>
        <v>0</v>
      </c>
      <c r="N146" s="129"/>
      <c r="O146" s="54">
        <f t="shared" si="41"/>
        <v>0</v>
      </c>
      <c r="P146" s="54">
        <f t="shared" si="42"/>
        <v>0</v>
      </c>
    </row>
    <row r="147" spans="2:16" ht="12.5">
      <c r="B147" s="7" t="str">
        <f t="shared" si="25"/>
        <v/>
      </c>
      <c r="C147" s="50">
        <f>IF(D93="","-",+C146+1)</f>
        <v>2066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34"/>
        <v>0</v>
      </c>
      <c r="G147" s="55">
        <f t="shared" si="35"/>
        <v>0</v>
      </c>
      <c r="H147" s="380">
        <f t="shared" si="36"/>
        <v>0</v>
      </c>
      <c r="I147" s="399">
        <f t="shared" si="37"/>
        <v>0</v>
      </c>
      <c r="J147" s="54">
        <f t="shared" si="39"/>
        <v>0</v>
      </c>
      <c r="K147" s="54"/>
      <c r="L147" s="129"/>
      <c r="M147" s="54">
        <f t="shared" si="40"/>
        <v>0</v>
      </c>
      <c r="N147" s="129"/>
      <c r="O147" s="54">
        <f t="shared" si="41"/>
        <v>0</v>
      </c>
      <c r="P147" s="54">
        <f t="shared" si="42"/>
        <v>0</v>
      </c>
    </row>
    <row r="148" spans="2:16" ht="12.5">
      <c r="B148" s="7" t="str">
        <f t="shared" si="25"/>
        <v/>
      </c>
      <c r="C148" s="50">
        <f>IF(D93="","-",+C147+1)</f>
        <v>2067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34"/>
        <v>0</v>
      </c>
      <c r="G148" s="55">
        <f t="shared" si="35"/>
        <v>0</v>
      </c>
      <c r="H148" s="380">
        <f t="shared" si="36"/>
        <v>0</v>
      </c>
      <c r="I148" s="399">
        <f t="shared" si="37"/>
        <v>0</v>
      </c>
      <c r="J148" s="54">
        <f t="shared" si="39"/>
        <v>0</v>
      </c>
      <c r="K148" s="54"/>
      <c r="L148" s="129"/>
      <c r="M148" s="54">
        <f t="shared" si="40"/>
        <v>0</v>
      </c>
      <c r="N148" s="129"/>
      <c r="O148" s="54">
        <f t="shared" si="41"/>
        <v>0</v>
      </c>
      <c r="P148" s="54">
        <f t="shared" si="42"/>
        <v>0</v>
      </c>
    </row>
    <row r="149" spans="2:16" ht="12.5">
      <c r="B149" s="7" t="str">
        <f t="shared" si="25"/>
        <v/>
      </c>
      <c r="C149" s="50">
        <f>IF(D93="","-",+C148+1)</f>
        <v>2068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34"/>
        <v>0</v>
      </c>
      <c r="G149" s="55">
        <f t="shared" si="35"/>
        <v>0</v>
      </c>
      <c r="H149" s="380">
        <f t="shared" si="36"/>
        <v>0</v>
      </c>
      <c r="I149" s="399">
        <f t="shared" si="37"/>
        <v>0</v>
      </c>
      <c r="J149" s="54">
        <f t="shared" si="39"/>
        <v>0</v>
      </c>
      <c r="K149" s="54"/>
      <c r="L149" s="129"/>
      <c r="M149" s="54">
        <f t="shared" si="40"/>
        <v>0</v>
      </c>
      <c r="N149" s="129"/>
      <c r="O149" s="54">
        <f t="shared" si="41"/>
        <v>0</v>
      </c>
      <c r="P149" s="54">
        <f t="shared" si="42"/>
        <v>0</v>
      </c>
    </row>
    <row r="150" spans="2:16" ht="12.5">
      <c r="B150" s="7" t="str">
        <f t="shared" si="25"/>
        <v/>
      </c>
      <c r="C150" s="50">
        <f>IF(D93="","-",+C149+1)</f>
        <v>2069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34"/>
        <v>0</v>
      </c>
      <c r="G150" s="55">
        <f t="shared" si="35"/>
        <v>0</v>
      </c>
      <c r="H150" s="380">
        <f t="shared" si="36"/>
        <v>0</v>
      </c>
      <c r="I150" s="399">
        <f t="shared" si="37"/>
        <v>0</v>
      </c>
      <c r="J150" s="54">
        <f t="shared" si="39"/>
        <v>0</v>
      </c>
      <c r="K150" s="54"/>
      <c r="L150" s="129"/>
      <c r="M150" s="54">
        <f t="shared" si="40"/>
        <v>0</v>
      </c>
      <c r="N150" s="129"/>
      <c r="O150" s="54">
        <f t="shared" si="41"/>
        <v>0</v>
      </c>
      <c r="P150" s="54">
        <f t="shared" si="42"/>
        <v>0</v>
      </c>
    </row>
    <row r="151" spans="2:16" ht="12.5">
      <c r="B151" s="7" t="str">
        <f t="shared" si="25"/>
        <v/>
      </c>
      <c r="C151" s="50">
        <f>IF(D93="","-",+C150+1)</f>
        <v>2070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34"/>
        <v>0</v>
      </c>
      <c r="G151" s="55">
        <f t="shared" si="35"/>
        <v>0</v>
      </c>
      <c r="H151" s="380">
        <f t="shared" si="36"/>
        <v>0</v>
      </c>
      <c r="I151" s="399">
        <f t="shared" si="37"/>
        <v>0</v>
      </c>
      <c r="J151" s="54">
        <f t="shared" si="39"/>
        <v>0</v>
      </c>
      <c r="K151" s="54"/>
      <c r="L151" s="129"/>
      <c r="M151" s="54">
        <f t="shared" si="40"/>
        <v>0</v>
      </c>
      <c r="N151" s="129"/>
      <c r="O151" s="54">
        <f t="shared" si="41"/>
        <v>0</v>
      </c>
      <c r="P151" s="54">
        <f t="shared" si="42"/>
        <v>0</v>
      </c>
    </row>
    <row r="152" spans="2:16" ht="12.5">
      <c r="B152" s="7" t="str">
        <f t="shared" si="25"/>
        <v/>
      </c>
      <c r="C152" s="50">
        <f>IF(D93="","-",+C151+1)</f>
        <v>2071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34"/>
        <v>0</v>
      </c>
      <c r="G152" s="55">
        <f t="shared" si="35"/>
        <v>0</v>
      </c>
      <c r="H152" s="380">
        <f t="shared" si="36"/>
        <v>0</v>
      </c>
      <c r="I152" s="399">
        <f t="shared" si="37"/>
        <v>0</v>
      </c>
      <c r="J152" s="54">
        <f t="shared" si="39"/>
        <v>0</v>
      </c>
      <c r="K152" s="54"/>
      <c r="L152" s="129"/>
      <c r="M152" s="54">
        <f t="shared" si="40"/>
        <v>0</v>
      </c>
      <c r="N152" s="129"/>
      <c r="O152" s="54">
        <f t="shared" si="41"/>
        <v>0</v>
      </c>
      <c r="P152" s="54">
        <f t="shared" si="42"/>
        <v>0</v>
      </c>
    </row>
    <row r="153" spans="2:16" ht="12.5">
      <c r="B153" s="7" t="str">
        <f t="shared" si="25"/>
        <v/>
      </c>
      <c r="C153" s="50">
        <f>IF(D93="","-",+C152+1)</f>
        <v>2072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34"/>
        <v>0</v>
      </c>
      <c r="G153" s="55">
        <f t="shared" si="35"/>
        <v>0</v>
      </c>
      <c r="H153" s="380">
        <f t="shared" si="36"/>
        <v>0</v>
      </c>
      <c r="I153" s="399">
        <f t="shared" si="37"/>
        <v>0</v>
      </c>
      <c r="J153" s="54">
        <f t="shared" si="39"/>
        <v>0</v>
      </c>
      <c r="K153" s="54"/>
      <c r="L153" s="129"/>
      <c r="M153" s="54">
        <f t="shared" si="40"/>
        <v>0</v>
      </c>
      <c r="N153" s="129"/>
      <c r="O153" s="54">
        <f t="shared" si="41"/>
        <v>0</v>
      </c>
      <c r="P153" s="54">
        <f t="shared" si="42"/>
        <v>0</v>
      </c>
    </row>
    <row r="154" spans="2:16" ht="13" thickBot="1">
      <c r="B154" s="7" t="str">
        <f t="shared" si="25"/>
        <v/>
      </c>
      <c r="C154" s="59">
        <f>IF(D93="","-",+C153+1)</f>
        <v>2073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34"/>
        <v>0</v>
      </c>
      <c r="G154" s="60">
        <f t="shared" si="35"/>
        <v>0</v>
      </c>
      <c r="H154" s="382">
        <f t="shared" si="36"/>
        <v>0</v>
      </c>
      <c r="I154" s="400">
        <f t="shared" si="37"/>
        <v>0</v>
      </c>
      <c r="J154" s="64">
        <f t="shared" si="39"/>
        <v>0</v>
      </c>
      <c r="K154" s="54"/>
      <c r="L154" s="130"/>
      <c r="M154" s="64">
        <f t="shared" si="40"/>
        <v>0</v>
      </c>
      <c r="N154" s="130"/>
      <c r="O154" s="64">
        <f t="shared" si="41"/>
        <v>0</v>
      </c>
      <c r="P154" s="64">
        <f t="shared" si="42"/>
        <v>0</v>
      </c>
    </row>
    <row r="155" spans="2:16" ht="12.5">
      <c r="C155" s="12" t="s">
        <v>78</v>
      </c>
      <c r="D155" s="293"/>
      <c r="E155" s="293">
        <f>SUM(E99:E154)</f>
        <v>1742923.9700000002</v>
      </c>
      <c r="F155" s="293"/>
      <c r="G155" s="293"/>
      <c r="H155" s="293">
        <f>SUM(H99:H154)</f>
        <v>6478240.7890829388</v>
      </c>
      <c r="I155" s="293">
        <f>SUM(I99:I154)</f>
        <v>6478240.7890829388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 ht="12.5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 ht="13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15" priority="1" stopIfTrue="1" operator="equal">
      <formula>$I$10</formula>
    </cfRule>
  </conditionalFormatting>
  <conditionalFormatting sqref="C99:C154">
    <cfRule type="cellIs" dxfId="14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P162"/>
  <sheetViews>
    <sheetView topLeftCell="C75" zoomScale="80" zoomScaleNormal="80" zoomScaleSheetLayoutView="80" workbookViewId="0">
      <selection activeCell="D22" sqref="D22:H22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72 of 77</v>
      </c>
    </row>
    <row r="2" spans="1:16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1251175.7925511589</v>
      </c>
      <c r="P5" s="1"/>
    </row>
    <row r="6" spans="1:16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1251175.7925511589</v>
      </c>
      <c r="O6" s="1"/>
      <c r="P6" s="1"/>
    </row>
    <row r="7" spans="1:16" ht="13.5" thickBot="1">
      <c r="C7" s="25" t="s">
        <v>48</v>
      </c>
      <c r="D7" s="90" t="s">
        <v>458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473</v>
      </c>
      <c r="E9" s="436" t="s">
        <v>474</v>
      </c>
      <c r="F9" s="31"/>
      <c r="G9" s="31"/>
      <c r="H9" s="31"/>
      <c r="I9" s="32"/>
      <c r="J9" s="33"/>
      <c r="P9" s="1"/>
    </row>
    <row r="10" spans="1:16" ht="13">
      <c r="C10" s="34" t="s">
        <v>51</v>
      </c>
      <c r="D10" s="363">
        <v>9628189.9399999995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6" ht="12.5">
      <c r="C11" s="34" t="s">
        <v>54</v>
      </c>
      <c r="D11" s="37">
        <v>2019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3">
        <v>3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218822.49863636363</v>
      </c>
      <c r="J14" s="293"/>
      <c r="K14" s="293"/>
      <c r="L14" s="293"/>
      <c r="M14" s="293"/>
      <c r="N14" s="293"/>
      <c r="O14" s="1"/>
      <c r="P14" s="1"/>
    </row>
    <row r="15" spans="1:16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3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2019</v>
      </c>
      <c r="D17" s="431">
        <v>0</v>
      </c>
      <c r="E17" s="430">
        <v>9.9555672459071778E-2</v>
      </c>
      <c r="F17" s="431">
        <v>7956999.9004443279</v>
      </c>
      <c r="G17" s="430">
        <v>396082.33747842355</v>
      </c>
      <c r="H17" s="438">
        <v>396082.33747842355</v>
      </c>
      <c r="I17" s="52">
        <f t="shared" ref="I17:I72" si="0">H17-G17</f>
        <v>0</v>
      </c>
      <c r="J17" s="52"/>
      <c r="K17" s="112">
        <f t="shared" ref="K17:K22" si="1">+G17</f>
        <v>396082.33747842355</v>
      </c>
      <c r="L17" s="53">
        <f t="shared" ref="L17:L18" si="2">IF(K17&lt;&gt;0,+G17-K17,0)</f>
        <v>0</v>
      </c>
      <c r="M17" s="112">
        <f t="shared" ref="M17:M22" si="3">+H17</f>
        <v>396082.33747842355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2020</v>
      </c>
      <c r="D18" s="431">
        <v>7956999.9004443279</v>
      </c>
      <c r="E18" s="430">
        <v>194073.17073170733</v>
      </c>
      <c r="F18" s="431">
        <v>7762926.7297126204</v>
      </c>
      <c r="G18" s="430">
        <v>998426.09511782171</v>
      </c>
      <c r="H18" s="438">
        <v>998426.09511782171</v>
      </c>
      <c r="I18" s="52">
        <f t="shared" si="0"/>
        <v>0</v>
      </c>
      <c r="J18" s="52"/>
      <c r="K18" s="113">
        <f t="shared" si="1"/>
        <v>998426.09511782171</v>
      </c>
      <c r="L18" s="54">
        <f t="shared" si="2"/>
        <v>0</v>
      </c>
      <c r="M18" s="113">
        <f t="shared" si="3"/>
        <v>998426.09511782171</v>
      </c>
      <c r="N18" s="54">
        <f t="shared" si="4"/>
        <v>0</v>
      </c>
      <c r="O18" s="54">
        <f t="shared" si="5"/>
        <v>0</v>
      </c>
      <c r="P18" s="1"/>
    </row>
    <row r="19" spans="2:16" ht="12.5">
      <c r="B19" s="7" t="str">
        <f>IF(D19=F18,"","IU")</f>
        <v>IU</v>
      </c>
      <c r="C19" s="50">
        <f>IF(D11="","-",+C18+1)</f>
        <v>2021</v>
      </c>
      <c r="D19" s="431">
        <v>9434067.7297126204</v>
      </c>
      <c r="E19" s="430">
        <v>229241.45238095237</v>
      </c>
      <c r="F19" s="431">
        <v>9204826.2773316689</v>
      </c>
      <c r="G19" s="430">
        <v>1217145.1920381451</v>
      </c>
      <c r="H19" s="438">
        <v>1217145.1920381451</v>
      </c>
      <c r="I19" s="52">
        <f t="shared" si="0"/>
        <v>0</v>
      </c>
      <c r="J19" s="52"/>
      <c r="K19" s="113">
        <f t="shared" si="1"/>
        <v>1217145.1920381451</v>
      </c>
      <c r="L19" s="54">
        <f t="shared" ref="L19" si="6">IF(K19&lt;&gt;0,+G19-K19,0)</f>
        <v>0</v>
      </c>
      <c r="M19" s="113">
        <f t="shared" si="3"/>
        <v>1217145.1920381451</v>
      </c>
      <c r="N19" s="54">
        <f t="shared" si="4"/>
        <v>0</v>
      </c>
      <c r="O19" s="54">
        <f t="shared" si="5"/>
        <v>0</v>
      </c>
      <c r="P19" s="1"/>
    </row>
    <row r="20" spans="2:16" ht="12.5">
      <c r="B20" s="7" t="str">
        <f t="shared" ref="B20:B72" si="7">IF(D20=F19,"","IU")</f>
        <v>IU</v>
      </c>
      <c r="C20" s="50">
        <f>IF(D11="","-",+C19+1)</f>
        <v>2022</v>
      </c>
      <c r="D20" s="431">
        <v>9204875.277331667</v>
      </c>
      <c r="E20" s="430">
        <v>229242.61904761905</v>
      </c>
      <c r="F20" s="431">
        <v>8975632.6582840476</v>
      </c>
      <c r="G20" s="430">
        <v>1251388.016895521</v>
      </c>
      <c r="H20" s="438">
        <v>1251388.016895521</v>
      </c>
      <c r="I20" s="52">
        <f t="shared" si="0"/>
        <v>0</v>
      </c>
      <c r="J20" s="52"/>
      <c r="K20" s="113">
        <f t="shared" si="1"/>
        <v>1251388.016895521</v>
      </c>
      <c r="L20" s="54">
        <f t="shared" ref="L20" si="8">IF(K20&lt;&gt;0,+G20-K20,0)</f>
        <v>0</v>
      </c>
      <c r="M20" s="113">
        <f t="shared" si="3"/>
        <v>1251388.016895521</v>
      </c>
      <c r="N20" s="54">
        <f t="shared" si="4"/>
        <v>0</v>
      </c>
      <c r="O20" s="54">
        <f t="shared" si="5"/>
        <v>0</v>
      </c>
      <c r="P20" s="1"/>
    </row>
    <row r="21" spans="2:16" ht="12.5">
      <c r="B21" s="7" t="str">
        <f t="shared" si="7"/>
        <v>IU</v>
      </c>
      <c r="C21" s="50">
        <f>IF(D11="","-",+C20+1)</f>
        <v>2023</v>
      </c>
      <c r="D21" s="431">
        <v>8975632.598284049</v>
      </c>
      <c r="E21" s="430">
        <v>229242.61761904761</v>
      </c>
      <c r="F21" s="431">
        <v>8746389.980665002</v>
      </c>
      <c r="G21" s="430">
        <v>1348625.7120695773</v>
      </c>
      <c r="H21" s="438">
        <v>1348625.7120695773</v>
      </c>
      <c r="I21" s="52">
        <f t="shared" si="0"/>
        <v>0</v>
      </c>
      <c r="J21" s="52"/>
      <c r="K21" s="113">
        <f t="shared" si="1"/>
        <v>1348625.7120695773</v>
      </c>
      <c r="L21" s="54">
        <f t="shared" ref="L21" si="9">IF(K21&lt;&gt;0,+G21-K21,0)</f>
        <v>0</v>
      </c>
      <c r="M21" s="113">
        <f t="shared" si="3"/>
        <v>1348625.7120695773</v>
      </c>
      <c r="N21" s="54">
        <f t="shared" si="4"/>
        <v>0</v>
      </c>
      <c r="O21" s="54">
        <f t="shared" si="5"/>
        <v>0</v>
      </c>
      <c r="P21" s="1"/>
    </row>
    <row r="22" spans="2:16" ht="12.5">
      <c r="B22" s="7" t="str">
        <f t="shared" si="7"/>
        <v/>
      </c>
      <c r="C22" s="50">
        <f>IF(D11="","-",+C21+1)</f>
        <v>2024</v>
      </c>
      <c r="D22" s="431">
        <v>8746389.980665002</v>
      </c>
      <c r="E22" s="430">
        <v>218822.49863636363</v>
      </c>
      <c r="F22" s="431">
        <v>8527567.4820286389</v>
      </c>
      <c r="G22" s="430">
        <v>1251175.7925511589</v>
      </c>
      <c r="H22" s="438">
        <v>1251175.7925511589</v>
      </c>
      <c r="I22" s="52">
        <f t="shared" si="0"/>
        <v>0</v>
      </c>
      <c r="J22" s="52"/>
      <c r="K22" s="113">
        <f t="shared" si="1"/>
        <v>1251175.7925511589</v>
      </c>
      <c r="L22" s="54">
        <f t="shared" ref="L22" si="10">IF(K22&lt;&gt;0,+G22-K22,0)</f>
        <v>0</v>
      </c>
      <c r="M22" s="113">
        <f t="shared" si="3"/>
        <v>1251175.7925511589</v>
      </c>
      <c r="N22" s="54">
        <f t="shared" ref="N22" si="11">IF(M22&lt;&gt;0,+H22-M22,0)</f>
        <v>0</v>
      </c>
      <c r="O22" s="54">
        <f t="shared" ref="O22" si="12">+N22-L22</f>
        <v>0</v>
      </c>
      <c r="P22" s="1"/>
    </row>
    <row r="23" spans="2:16" ht="12.5">
      <c r="B23" s="7" t="str">
        <f t="shared" si="7"/>
        <v/>
      </c>
      <c r="C23" s="50">
        <f>IF(D11="","-",+C22+1)</f>
        <v>2025</v>
      </c>
      <c r="D23" s="55">
        <f>IF(F22+SUM(E$17:E22)=D$10,F22,D$10-SUM(E$17:E22))</f>
        <v>8527567.4820286389</v>
      </c>
      <c r="E23" s="378">
        <f>IF(+I14&lt;F22,I14,D23)</f>
        <v>218822.49863636363</v>
      </c>
      <c r="F23" s="55">
        <f t="shared" ref="F23:F72" si="13">+D23-E23</f>
        <v>8308744.9833922749</v>
      </c>
      <c r="G23" s="379">
        <f t="shared" ref="G23:G72" si="14">+I$12*((D23+F23)/2)+E23</f>
        <v>1225020.5669477854</v>
      </c>
      <c r="H23" s="364">
        <f t="shared" ref="H23:H72" si="15">+I$13*((D23+F23)/2)+E23</f>
        <v>1225020.5669477854</v>
      </c>
      <c r="I23" s="52">
        <f t="shared" si="0"/>
        <v>0</v>
      </c>
      <c r="J23" s="52"/>
      <c r="K23" s="129"/>
      <c r="L23" s="54">
        <f t="shared" ref="L23:L72" si="16">IF(K23&lt;&gt;0,+G23-K23,0)</f>
        <v>0</v>
      </c>
      <c r="M23" s="129"/>
      <c r="N23" s="54">
        <f t="shared" si="4"/>
        <v>0</v>
      </c>
      <c r="O23" s="54">
        <f t="shared" si="5"/>
        <v>0</v>
      </c>
      <c r="P23" s="1"/>
    </row>
    <row r="24" spans="2:16" ht="12.5">
      <c r="B24" s="7" t="str">
        <f t="shared" si="7"/>
        <v/>
      </c>
      <c r="C24" s="50">
        <f>IF(D11="","-",+C23+1)</f>
        <v>2026</v>
      </c>
      <c r="D24" s="55">
        <f>IF(F23+SUM(E$17:E23)=D$10,F23,D$10-SUM(E$17:E23))</f>
        <v>8308744.9833922749</v>
      </c>
      <c r="E24" s="378">
        <f>IF(+I14&lt;F23,I14,D24)</f>
        <v>218822.49863636363</v>
      </c>
      <c r="F24" s="55">
        <f t="shared" si="13"/>
        <v>8089922.4847559109</v>
      </c>
      <c r="G24" s="379">
        <f t="shared" si="14"/>
        <v>1198865.3413444117</v>
      </c>
      <c r="H24" s="364">
        <f t="shared" si="15"/>
        <v>1198865.3413444117</v>
      </c>
      <c r="I24" s="52">
        <f t="shared" si="0"/>
        <v>0</v>
      </c>
      <c r="J24" s="52"/>
      <c r="K24" s="129"/>
      <c r="L24" s="54">
        <f t="shared" si="16"/>
        <v>0</v>
      </c>
      <c r="M24" s="129"/>
      <c r="N24" s="54">
        <f t="shared" si="4"/>
        <v>0</v>
      </c>
      <c r="O24" s="54">
        <f t="shared" si="5"/>
        <v>0</v>
      </c>
      <c r="P24" s="1"/>
    </row>
    <row r="25" spans="2:16" ht="12.5">
      <c r="B25" s="7" t="str">
        <f t="shared" si="7"/>
        <v/>
      </c>
      <c r="C25" s="50">
        <f>IF(D11="","-",+C24+1)</f>
        <v>2027</v>
      </c>
      <c r="D25" s="55">
        <f>IF(F24+SUM(E$17:E24)=D$10,F24,D$10-SUM(E$17:E24))</f>
        <v>8089922.4847559109</v>
      </c>
      <c r="E25" s="378">
        <f>IF(+I14&lt;F24,I14,D25)</f>
        <v>218822.49863636363</v>
      </c>
      <c r="F25" s="55">
        <f t="shared" si="13"/>
        <v>7871099.9861195469</v>
      </c>
      <c r="G25" s="379">
        <f t="shared" si="14"/>
        <v>1172710.115741038</v>
      </c>
      <c r="H25" s="364">
        <f t="shared" si="15"/>
        <v>1172710.115741038</v>
      </c>
      <c r="I25" s="52">
        <f t="shared" si="0"/>
        <v>0</v>
      </c>
      <c r="J25" s="52"/>
      <c r="K25" s="129"/>
      <c r="L25" s="54">
        <f t="shared" si="16"/>
        <v>0</v>
      </c>
      <c r="M25" s="129"/>
      <c r="N25" s="54">
        <f t="shared" si="4"/>
        <v>0</v>
      </c>
      <c r="O25" s="54">
        <f t="shared" si="5"/>
        <v>0</v>
      </c>
      <c r="P25" s="1"/>
    </row>
    <row r="26" spans="2:16" ht="12.5">
      <c r="B26" s="7" t="str">
        <f t="shared" si="7"/>
        <v/>
      </c>
      <c r="C26" s="50">
        <f>IF(D11="","-",+C25+1)</f>
        <v>2028</v>
      </c>
      <c r="D26" s="55">
        <f>IF(F25+SUM(E$17:E25)=D$10,F25,D$10-SUM(E$17:E25))</f>
        <v>7871099.9861195469</v>
      </c>
      <c r="E26" s="378">
        <f>IF(+I14&lt;F25,I14,D26)</f>
        <v>218822.49863636363</v>
      </c>
      <c r="F26" s="55">
        <f t="shared" si="13"/>
        <v>7652277.4874831829</v>
      </c>
      <c r="G26" s="379">
        <f t="shared" si="14"/>
        <v>1146554.8901376645</v>
      </c>
      <c r="H26" s="364">
        <f t="shared" si="15"/>
        <v>1146554.8901376645</v>
      </c>
      <c r="I26" s="52">
        <f t="shared" si="0"/>
        <v>0</v>
      </c>
      <c r="J26" s="52"/>
      <c r="K26" s="129"/>
      <c r="L26" s="54">
        <f t="shared" si="16"/>
        <v>0</v>
      </c>
      <c r="M26" s="129"/>
      <c r="N26" s="54">
        <f t="shared" si="4"/>
        <v>0</v>
      </c>
      <c r="O26" s="54">
        <f t="shared" si="5"/>
        <v>0</v>
      </c>
      <c r="P26" s="1"/>
    </row>
    <row r="27" spans="2:16" ht="12.5">
      <c r="B27" s="7" t="str">
        <f t="shared" si="7"/>
        <v/>
      </c>
      <c r="C27" s="50">
        <f>IF(D11="","-",+C26+1)</f>
        <v>2029</v>
      </c>
      <c r="D27" s="55">
        <f>IF(F26+SUM(E$17:E26)=D$10,F26,D$10-SUM(E$17:E26))</f>
        <v>7652277.4874831829</v>
      </c>
      <c r="E27" s="378">
        <f>IF(+I14&lt;F26,I14,D27)</f>
        <v>218822.49863636363</v>
      </c>
      <c r="F27" s="55">
        <f t="shared" si="13"/>
        <v>7433454.9888468189</v>
      </c>
      <c r="G27" s="379">
        <f t="shared" si="14"/>
        <v>1120399.6645342908</v>
      </c>
      <c r="H27" s="364">
        <f t="shared" si="15"/>
        <v>1120399.6645342908</v>
      </c>
      <c r="I27" s="52">
        <f t="shared" si="0"/>
        <v>0</v>
      </c>
      <c r="J27" s="52"/>
      <c r="K27" s="129"/>
      <c r="L27" s="54">
        <f t="shared" si="16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7"/>
        <v/>
      </c>
      <c r="C28" s="50">
        <f>IF(D11="","-",+C27+1)</f>
        <v>2030</v>
      </c>
      <c r="D28" s="55">
        <f>IF(F27+SUM(E$17:E27)=D$10,F27,D$10-SUM(E$17:E27))</f>
        <v>7433454.9888468189</v>
      </c>
      <c r="E28" s="378">
        <f>IF(+I14&lt;F27,I14,D28)</f>
        <v>218822.49863636363</v>
      </c>
      <c r="F28" s="55">
        <f t="shared" si="13"/>
        <v>7214632.4902104549</v>
      </c>
      <c r="G28" s="379">
        <f t="shared" si="14"/>
        <v>1094244.4389309171</v>
      </c>
      <c r="H28" s="364">
        <f t="shared" si="15"/>
        <v>1094244.4389309171</v>
      </c>
      <c r="I28" s="52">
        <f t="shared" si="0"/>
        <v>0</v>
      </c>
      <c r="J28" s="52"/>
      <c r="K28" s="129"/>
      <c r="L28" s="54">
        <f t="shared" si="16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7"/>
        <v/>
      </c>
      <c r="C29" s="50">
        <f>IF(D11="","-",+C28+1)</f>
        <v>2031</v>
      </c>
      <c r="D29" s="55">
        <f>IF(F28+SUM(E$17:E28)=D$10,F28,D$10-SUM(E$17:E28))</f>
        <v>7214632.4902104549</v>
      </c>
      <c r="E29" s="378">
        <f>IF(+I14&lt;F28,I14,D29)</f>
        <v>218822.49863636363</v>
      </c>
      <c r="F29" s="55">
        <f t="shared" si="13"/>
        <v>6995809.9915740909</v>
      </c>
      <c r="G29" s="379">
        <f t="shared" si="14"/>
        <v>1068089.2133275433</v>
      </c>
      <c r="H29" s="364">
        <f t="shared" si="15"/>
        <v>1068089.2133275433</v>
      </c>
      <c r="I29" s="52">
        <f t="shared" si="0"/>
        <v>0</v>
      </c>
      <c r="J29" s="52"/>
      <c r="K29" s="129"/>
      <c r="L29" s="54">
        <f t="shared" si="16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7"/>
        <v/>
      </c>
      <c r="C30" s="50">
        <f>IF(D11="","-",+C29+1)</f>
        <v>2032</v>
      </c>
      <c r="D30" s="55">
        <f>IF(F29+SUM(E$17:E29)=D$10,F29,D$10-SUM(E$17:E29))</f>
        <v>6995809.9915740909</v>
      </c>
      <c r="E30" s="378">
        <f>IF(+I14&lt;F29,I14,D30)</f>
        <v>218822.49863636363</v>
      </c>
      <c r="F30" s="55">
        <f t="shared" si="13"/>
        <v>6776987.4929377269</v>
      </c>
      <c r="G30" s="379">
        <f t="shared" si="14"/>
        <v>1041933.9877241699</v>
      </c>
      <c r="H30" s="364">
        <f t="shared" si="15"/>
        <v>1041933.9877241699</v>
      </c>
      <c r="I30" s="52">
        <f t="shared" si="0"/>
        <v>0</v>
      </c>
      <c r="J30" s="52"/>
      <c r="K30" s="129"/>
      <c r="L30" s="54">
        <f t="shared" si="16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7"/>
        <v/>
      </c>
      <c r="C31" s="50">
        <f>IF(D11="","-",+C30+1)</f>
        <v>2033</v>
      </c>
      <c r="D31" s="55">
        <f>IF(F30+SUM(E$17:E30)=D$10,F30,D$10-SUM(E$17:E30))</f>
        <v>6776987.4929377269</v>
      </c>
      <c r="E31" s="378">
        <f>IF(+I14&lt;F30,I14,D31)</f>
        <v>218822.49863636363</v>
      </c>
      <c r="F31" s="55">
        <f t="shared" si="13"/>
        <v>6558164.9943013629</v>
      </c>
      <c r="G31" s="379">
        <f t="shared" si="14"/>
        <v>1015778.762120796</v>
      </c>
      <c r="H31" s="364">
        <f t="shared" si="15"/>
        <v>1015778.762120796</v>
      </c>
      <c r="I31" s="52">
        <f t="shared" si="0"/>
        <v>0</v>
      </c>
      <c r="J31" s="52"/>
      <c r="K31" s="129"/>
      <c r="L31" s="54">
        <f t="shared" si="16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7"/>
        <v/>
      </c>
      <c r="C32" s="50">
        <f>IF(D11="","-",+C31+1)</f>
        <v>2034</v>
      </c>
      <c r="D32" s="55">
        <f>IF(F31+SUM(E$17:E31)=D$10,F31,D$10-SUM(E$17:E31))</f>
        <v>6558164.9943013629</v>
      </c>
      <c r="E32" s="378">
        <f>IF(+I14&lt;F31,I14,D32)</f>
        <v>218822.49863636363</v>
      </c>
      <c r="F32" s="55">
        <f t="shared" si="13"/>
        <v>6339342.4956649989</v>
      </c>
      <c r="G32" s="379">
        <f t="shared" si="14"/>
        <v>989623.53651742253</v>
      </c>
      <c r="H32" s="364">
        <f t="shared" si="15"/>
        <v>989623.53651742253</v>
      </c>
      <c r="I32" s="52">
        <f t="shared" si="0"/>
        <v>0</v>
      </c>
      <c r="J32" s="52"/>
      <c r="K32" s="129"/>
      <c r="L32" s="54">
        <f t="shared" si="16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7"/>
        <v/>
      </c>
      <c r="C33" s="50">
        <f>IF(D11="","-",+C32+1)</f>
        <v>2035</v>
      </c>
      <c r="D33" s="55">
        <f>IF(F32+SUM(E$17:E32)=D$10,F32,D$10-SUM(E$17:E32))</f>
        <v>6339342.4956649989</v>
      </c>
      <c r="E33" s="378">
        <f>IF(+I14&lt;F32,I14,D33)</f>
        <v>218822.49863636363</v>
      </c>
      <c r="F33" s="55">
        <f t="shared" si="13"/>
        <v>6120519.9970286349</v>
      </c>
      <c r="G33" s="379">
        <f t="shared" si="14"/>
        <v>963468.31091404869</v>
      </c>
      <c r="H33" s="364">
        <f t="shared" si="15"/>
        <v>963468.31091404869</v>
      </c>
      <c r="I33" s="52">
        <f t="shared" si="0"/>
        <v>0</v>
      </c>
      <c r="J33" s="52"/>
      <c r="K33" s="129"/>
      <c r="L33" s="54">
        <f t="shared" si="16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7"/>
        <v/>
      </c>
      <c r="C34" s="50">
        <f>IF(D11="","-",+C33+1)</f>
        <v>2036</v>
      </c>
      <c r="D34" s="55">
        <f>IF(F33+SUM(E$17:E33)=D$10,F33,D$10-SUM(E$17:E33))</f>
        <v>6120519.9970286349</v>
      </c>
      <c r="E34" s="378">
        <f>IF(+I14&lt;F33,I14,D34)</f>
        <v>218822.49863636363</v>
      </c>
      <c r="F34" s="55">
        <f t="shared" si="13"/>
        <v>5901697.4983922709</v>
      </c>
      <c r="G34" s="379">
        <f t="shared" si="14"/>
        <v>937313.0853106752</v>
      </c>
      <c r="H34" s="364">
        <f t="shared" si="15"/>
        <v>937313.0853106752</v>
      </c>
      <c r="I34" s="52">
        <f t="shared" si="0"/>
        <v>0</v>
      </c>
      <c r="J34" s="52"/>
      <c r="K34" s="129"/>
      <c r="L34" s="54">
        <f t="shared" si="16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7"/>
        <v/>
      </c>
      <c r="C35" s="50">
        <f>IF(D11="","-",+C34+1)</f>
        <v>2037</v>
      </c>
      <c r="D35" s="55">
        <f>IF(F34+SUM(E$17:E34)=D$10,F34,D$10-SUM(E$17:E34))</f>
        <v>5901697.4983922709</v>
      </c>
      <c r="E35" s="378">
        <f>IF(+I14&lt;F34,I14,D35)</f>
        <v>218822.49863636363</v>
      </c>
      <c r="F35" s="55">
        <f t="shared" si="13"/>
        <v>5682874.9997559069</v>
      </c>
      <c r="G35" s="379">
        <f t="shared" si="14"/>
        <v>911157.85970730137</v>
      </c>
      <c r="H35" s="364">
        <f t="shared" si="15"/>
        <v>911157.85970730137</v>
      </c>
      <c r="I35" s="52">
        <f t="shared" si="0"/>
        <v>0</v>
      </c>
      <c r="J35" s="52"/>
      <c r="K35" s="129"/>
      <c r="L35" s="54">
        <f t="shared" si="16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7"/>
        <v/>
      </c>
      <c r="C36" s="50">
        <f>IF(D11="","-",+C35+1)</f>
        <v>2038</v>
      </c>
      <c r="D36" s="55">
        <f>IF(F35+SUM(E$17:E35)=D$10,F35,D$10-SUM(E$17:E35))</f>
        <v>5682874.9997559069</v>
      </c>
      <c r="E36" s="378">
        <f>IF(+I14&lt;F35,I14,D36)</f>
        <v>218822.49863636363</v>
      </c>
      <c r="F36" s="55">
        <f t="shared" si="13"/>
        <v>5464052.5011195429</v>
      </c>
      <c r="G36" s="379">
        <f t="shared" si="14"/>
        <v>885002.63410392776</v>
      </c>
      <c r="H36" s="364">
        <f t="shared" si="15"/>
        <v>885002.63410392776</v>
      </c>
      <c r="I36" s="52">
        <f t="shared" si="0"/>
        <v>0</v>
      </c>
      <c r="J36" s="52"/>
      <c r="K36" s="129"/>
      <c r="L36" s="54">
        <f t="shared" si="16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7"/>
        <v>IU</v>
      </c>
      <c r="C37" s="50">
        <f>IF(D11="","-",+C36+1)</f>
        <v>2039</v>
      </c>
      <c r="D37" s="55">
        <f>IF(F36+SUM(E$17:E36)=D$10,F36,D$10-SUM(E$17:E36))</f>
        <v>5464052.5011195475</v>
      </c>
      <c r="E37" s="378">
        <f>IF(+I14&lt;F36,I14,D37)</f>
        <v>218822.49863636363</v>
      </c>
      <c r="F37" s="55">
        <f t="shared" si="13"/>
        <v>5245230.0024831835</v>
      </c>
      <c r="G37" s="379">
        <f t="shared" si="14"/>
        <v>858847.40850055474</v>
      </c>
      <c r="H37" s="364">
        <f t="shared" si="15"/>
        <v>858847.40850055474</v>
      </c>
      <c r="I37" s="52">
        <f t="shared" si="0"/>
        <v>0</v>
      </c>
      <c r="J37" s="52"/>
      <c r="K37" s="129"/>
      <c r="L37" s="54">
        <f t="shared" si="16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7"/>
        <v/>
      </c>
      <c r="C38" s="50">
        <f>IF(D11="","-",+C37+1)</f>
        <v>2040</v>
      </c>
      <c r="D38" s="55">
        <f>IF(F37+SUM(E$17:E37)=D$10,F37,D$10-SUM(E$17:E37))</f>
        <v>5245230.0024831835</v>
      </c>
      <c r="E38" s="378">
        <f>IF(+I14&lt;F37,I14,D38)</f>
        <v>218822.49863636363</v>
      </c>
      <c r="F38" s="55">
        <f t="shared" si="13"/>
        <v>5026407.5038468195</v>
      </c>
      <c r="G38" s="379">
        <f t="shared" si="14"/>
        <v>832692.1828971809</v>
      </c>
      <c r="H38" s="364">
        <f t="shared" si="15"/>
        <v>832692.1828971809</v>
      </c>
      <c r="I38" s="52">
        <f t="shared" si="0"/>
        <v>0</v>
      </c>
      <c r="J38" s="52"/>
      <c r="K38" s="129"/>
      <c r="L38" s="54">
        <f t="shared" si="16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7"/>
        <v/>
      </c>
      <c r="C39" s="50">
        <f>IF(D11="","-",+C38+1)</f>
        <v>2041</v>
      </c>
      <c r="D39" s="55">
        <f>IF(F38+SUM(E$17:E38)=D$10,F38,D$10-SUM(E$17:E38))</f>
        <v>5026407.5038468195</v>
      </c>
      <c r="E39" s="378">
        <f>IF(+I14&lt;F38,I14,D39)</f>
        <v>218822.49863636363</v>
      </c>
      <c r="F39" s="55">
        <f t="shared" si="13"/>
        <v>4807585.0052104555</v>
      </c>
      <c r="G39" s="379">
        <f t="shared" si="14"/>
        <v>806536.9572938073</v>
      </c>
      <c r="H39" s="364">
        <f t="shared" si="15"/>
        <v>806536.9572938073</v>
      </c>
      <c r="I39" s="52">
        <f t="shared" si="0"/>
        <v>0</v>
      </c>
      <c r="J39" s="52"/>
      <c r="K39" s="129"/>
      <c r="L39" s="54">
        <f t="shared" si="16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7"/>
        <v/>
      </c>
      <c r="C40" s="50">
        <f>IF(D11="","-",+C39+1)</f>
        <v>2042</v>
      </c>
      <c r="D40" s="55">
        <f>IF(F39+SUM(E$17:E39)=D$10,F39,D$10-SUM(E$17:E39))</f>
        <v>4807585.0052104555</v>
      </c>
      <c r="E40" s="378">
        <f>IF(+I14&lt;F39,I14,D40)</f>
        <v>218822.49863636363</v>
      </c>
      <c r="F40" s="55">
        <f t="shared" si="13"/>
        <v>4588762.5065740915</v>
      </c>
      <c r="G40" s="379">
        <f t="shared" si="14"/>
        <v>780381.73169043357</v>
      </c>
      <c r="H40" s="364">
        <f t="shared" si="15"/>
        <v>780381.73169043357</v>
      </c>
      <c r="I40" s="52">
        <f t="shared" si="0"/>
        <v>0</v>
      </c>
      <c r="J40" s="52"/>
      <c r="K40" s="129"/>
      <c r="L40" s="54">
        <f t="shared" si="16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7"/>
        <v/>
      </c>
      <c r="C41" s="50">
        <f>IF(D11="","-",+C40+1)</f>
        <v>2043</v>
      </c>
      <c r="D41" s="55">
        <f>IF(F40+SUM(E$17:E40)=D$10,F40,D$10-SUM(E$17:E40))</f>
        <v>4588762.5065740915</v>
      </c>
      <c r="E41" s="378">
        <f>IF(+I14&lt;F40,I14,D41)</f>
        <v>218822.49863636363</v>
      </c>
      <c r="F41" s="55">
        <f t="shared" si="13"/>
        <v>4369940.0079377275</v>
      </c>
      <c r="G41" s="379">
        <f t="shared" si="14"/>
        <v>754226.50608705997</v>
      </c>
      <c r="H41" s="364">
        <f t="shared" si="15"/>
        <v>754226.50608705997</v>
      </c>
      <c r="I41" s="52">
        <f t="shared" si="0"/>
        <v>0</v>
      </c>
      <c r="J41" s="52"/>
      <c r="K41" s="129"/>
      <c r="L41" s="54">
        <f t="shared" si="16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7"/>
        <v/>
      </c>
      <c r="C42" s="50">
        <f>IF(D11="","-",+C41+1)</f>
        <v>2044</v>
      </c>
      <c r="D42" s="55">
        <f>IF(F41+SUM(E$17:E41)=D$10,F41,D$10-SUM(E$17:E41))</f>
        <v>4369940.0079377275</v>
      </c>
      <c r="E42" s="378">
        <f>IF(+I14&lt;F41,I14,D42)</f>
        <v>218822.49863636363</v>
      </c>
      <c r="F42" s="55">
        <f t="shared" si="13"/>
        <v>4151117.509301364</v>
      </c>
      <c r="G42" s="379">
        <f t="shared" si="14"/>
        <v>728071.28048368625</v>
      </c>
      <c r="H42" s="364">
        <f t="shared" si="15"/>
        <v>728071.28048368625</v>
      </c>
      <c r="I42" s="52">
        <f t="shared" si="0"/>
        <v>0</v>
      </c>
      <c r="J42" s="52"/>
      <c r="K42" s="129"/>
      <c r="L42" s="54">
        <f t="shared" si="16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7"/>
        <v/>
      </c>
      <c r="C43" s="50">
        <f>IF(D11="","-",+C42+1)</f>
        <v>2045</v>
      </c>
      <c r="D43" s="55">
        <f>IF(F42+SUM(E$17:E42)=D$10,F42,D$10-SUM(E$17:E42))</f>
        <v>4151117.509301364</v>
      </c>
      <c r="E43" s="378">
        <f>IF(+I14&lt;F42,I14,D43)</f>
        <v>218822.49863636363</v>
      </c>
      <c r="F43" s="55">
        <f t="shared" si="13"/>
        <v>3932295.0106650004</v>
      </c>
      <c r="G43" s="379">
        <f t="shared" si="14"/>
        <v>701916.05488031264</v>
      </c>
      <c r="H43" s="364">
        <f t="shared" si="15"/>
        <v>701916.05488031264</v>
      </c>
      <c r="I43" s="52">
        <f t="shared" si="0"/>
        <v>0</v>
      </c>
      <c r="J43" s="52"/>
      <c r="K43" s="129"/>
      <c r="L43" s="54">
        <f t="shared" si="16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7"/>
        <v/>
      </c>
      <c r="C44" s="50">
        <f>IF(D11="","-",+C43+1)</f>
        <v>2046</v>
      </c>
      <c r="D44" s="55">
        <f>IF(F43+SUM(E$17:E43)=D$10,F43,D$10-SUM(E$17:E43))</f>
        <v>3932295.0106650004</v>
      </c>
      <c r="E44" s="378">
        <f>IF(+I14&lt;F43,I14,D44)</f>
        <v>218822.49863636363</v>
      </c>
      <c r="F44" s="55">
        <f t="shared" si="13"/>
        <v>3713472.5120286369</v>
      </c>
      <c r="G44" s="379">
        <f t="shared" si="14"/>
        <v>675760.82927693904</v>
      </c>
      <c r="H44" s="364">
        <f t="shared" si="15"/>
        <v>675760.82927693904</v>
      </c>
      <c r="I44" s="52">
        <f t="shared" si="0"/>
        <v>0</v>
      </c>
      <c r="J44" s="52"/>
      <c r="K44" s="129"/>
      <c r="L44" s="54">
        <f t="shared" si="16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7"/>
        <v/>
      </c>
      <c r="C45" s="50">
        <f>IF(D11="","-",+C44+1)</f>
        <v>2047</v>
      </c>
      <c r="D45" s="55">
        <f>IF(F44+SUM(E$17:E44)=D$10,F44,D$10-SUM(E$17:E44))</f>
        <v>3713472.5120286369</v>
      </c>
      <c r="E45" s="378">
        <f>IF(+I14&lt;F44,I14,D45)</f>
        <v>218822.49863636363</v>
      </c>
      <c r="F45" s="55">
        <f t="shared" si="13"/>
        <v>3494650.0133922733</v>
      </c>
      <c r="G45" s="379">
        <f t="shared" si="14"/>
        <v>649605.60367356543</v>
      </c>
      <c r="H45" s="364">
        <f t="shared" si="15"/>
        <v>649605.60367356543</v>
      </c>
      <c r="I45" s="52">
        <f t="shared" si="0"/>
        <v>0</v>
      </c>
      <c r="J45" s="52"/>
      <c r="K45" s="129"/>
      <c r="L45" s="54">
        <f t="shared" si="16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7"/>
        <v/>
      </c>
      <c r="C46" s="50">
        <f>IF(D11="","-",+C45+1)</f>
        <v>2048</v>
      </c>
      <c r="D46" s="55">
        <f>IF(F45+SUM(E$17:E45)=D$10,F45,D$10-SUM(E$17:E45))</f>
        <v>3494650.0133922733</v>
      </c>
      <c r="E46" s="378">
        <f>IF(+I14&lt;F45,I14,D46)</f>
        <v>218822.49863636363</v>
      </c>
      <c r="F46" s="55">
        <f t="shared" si="13"/>
        <v>3275827.5147559098</v>
      </c>
      <c r="G46" s="379">
        <f t="shared" si="14"/>
        <v>623450.37807019183</v>
      </c>
      <c r="H46" s="364">
        <f t="shared" si="15"/>
        <v>623450.37807019183</v>
      </c>
      <c r="I46" s="52">
        <f t="shared" si="0"/>
        <v>0</v>
      </c>
      <c r="J46" s="52"/>
      <c r="K46" s="129"/>
      <c r="L46" s="54">
        <f t="shared" si="16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7"/>
        <v/>
      </c>
      <c r="C47" s="50">
        <f>IF(D11="","-",+C46+1)</f>
        <v>2049</v>
      </c>
      <c r="D47" s="55">
        <f>IF(F46+SUM(E$17:E46)=D$10,F46,D$10-SUM(E$17:E46))</f>
        <v>3275827.5147559098</v>
      </c>
      <c r="E47" s="378">
        <f>IF(+I14&lt;F46,I14,D47)</f>
        <v>218822.49863636363</v>
      </c>
      <c r="F47" s="55">
        <f t="shared" si="13"/>
        <v>3057005.0161195463</v>
      </c>
      <c r="G47" s="379">
        <f t="shared" si="14"/>
        <v>597295.15246681811</v>
      </c>
      <c r="H47" s="364">
        <f t="shared" si="15"/>
        <v>597295.15246681811</v>
      </c>
      <c r="I47" s="52">
        <f t="shared" si="0"/>
        <v>0</v>
      </c>
      <c r="J47" s="52"/>
      <c r="K47" s="129"/>
      <c r="L47" s="54">
        <f t="shared" si="16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7"/>
        <v/>
      </c>
      <c r="C48" s="50">
        <f>IF(D11="","-",+C47+1)</f>
        <v>2050</v>
      </c>
      <c r="D48" s="55">
        <f>IF(F47+SUM(E$17:E47)=D$10,F47,D$10-SUM(E$17:E47))</f>
        <v>3057005.0161195463</v>
      </c>
      <c r="E48" s="378">
        <f>IF(+I14&lt;F47,I14,D48)</f>
        <v>218822.49863636363</v>
      </c>
      <c r="F48" s="55">
        <f t="shared" si="13"/>
        <v>2838182.5174831827</v>
      </c>
      <c r="G48" s="379">
        <f t="shared" si="14"/>
        <v>571139.92686344462</v>
      </c>
      <c r="H48" s="364">
        <f t="shared" si="15"/>
        <v>571139.92686344462</v>
      </c>
      <c r="I48" s="52">
        <f t="shared" si="0"/>
        <v>0</v>
      </c>
      <c r="J48" s="52"/>
      <c r="K48" s="129"/>
      <c r="L48" s="54">
        <f t="shared" si="16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 ht="12.5">
      <c r="B49" s="7" t="str">
        <f t="shared" si="7"/>
        <v/>
      </c>
      <c r="C49" s="50">
        <f>IF(D11="","-",+C48+1)</f>
        <v>2051</v>
      </c>
      <c r="D49" s="55">
        <f>IF(F48+SUM(E$17:E48)=D$10,F48,D$10-SUM(E$17:E48))</f>
        <v>2838182.5174831827</v>
      </c>
      <c r="E49" s="378">
        <f>IF(+I14&lt;F48,I14,D49)</f>
        <v>218822.49863636363</v>
      </c>
      <c r="F49" s="55">
        <f t="shared" si="13"/>
        <v>2619360.0188468192</v>
      </c>
      <c r="G49" s="379">
        <f t="shared" si="14"/>
        <v>544984.7012600709</v>
      </c>
      <c r="H49" s="364">
        <f t="shared" si="15"/>
        <v>544984.7012600709</v>
      </c>
      <c r="I49" s="52">
        <f t="shared" si="0"/>
        <v>0</v>
      </c>
      <c r="J49" s="52"/>
      <c r="K49" s="129"/>
      <c r="L49" s="54">
        <f t="shared" si="16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 ht="12.5">
      <c r="B50" s="7" t="str">
        <f t="shared" si="7"/>
        <v/>
      </c>
      <c r="C50" s="50">
        <f>IF(D11="","-",+C49+1)</f>
        <v>2052</v>
      </c>
      <c r="D50" s="55">
        <f>IF(F49+SUM(E$17:E49)=D$10,F49,D$10-SUM(E$17:E49))</f>
        <v>2619360.0188468192</v>
      </c>
      <c r="E50" s="378">
        <f>IF(+I14&lt;F49,I14,D50)</f>
        <v>218822.49863636363</v>
      </c>
      <c r="F50" s="55">
        <f t="shared" si="13"/>
        <v>2400537.5202104556</v>
      </c>
      <c r="G50" s="379">
        <f t="shared" si="14"/>
        <v>518829.47565669741</v>
      </c>
      <c r="H50" s="364">
        <f t="shared" si="15"/>
        <v>518829.47565669741</v>
      </c>
      <c r="I50" s="52">
        <f t="shared" si="0"/>
        <v>0</v>
      </c>
      <c r="J50" s="52"/>
      <c r="K50" s="129"/>
      <c r="L50" s="54">
        <f t="shared" si="16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 ht="12.5">
      <c r="B51" s="7" t="str">
        <f t="shared" si="7"/>
        <v/>
      </c>
      <c r="C51" s="50">
        <f>IF(D11="","-",+C50+1)</f>
        <v>2053</v>
      </c>
      <c r="D51" s="55">
        <f>IF(F50+SUM(E$17:E50)=D$10,F50,D$10-SUM(E$17:E50))</f>
        <v>2400537.5202104556</v>
      </c>
      <c r="E51" s="378">
        <f>IF(+I14&lt;F50,I14,D51)</f>
        <v>218822.49863636363</v>
      </c>
      <c r="F51" s="55">
        <f t="shared" si="13"/>
        <v>2181715.0215740921</v>
      </c>
      <c r="G51" s="379">
        <f t="shared" si="14"/>
        <v>492674.25005332369</v>
      </c>
      <c r="H51" s="364">
        <f t="shared" si="15"/>
        <v>492674.25005332369</v>
      </c>
      <c r="I51" s="52">
        <f t="shared" si="0"/>
        <v>0</v>
      </c>
      <c r="J51" s="52"/>
      <c r="K51" s="129"/>
      <c r="L51" s="54">
        <f t="shared" si="16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 ht="12.5">
      <c r="B52" s="7" t="str">
        <f t="shared" si="7"/>
        <v/>
      </c>
      <c r="C52" s="50">
        <f>IF(D11="","-",+C51+1)</f>
        <v>2054</v>
      </c>
      <c r="D52" s="55">
        <f>IF(F51+SUM(E$17:E51)=D$10,F51,D$10-SUM(E$17:E51))</f>
        <v>2181715.0215740874</v>
      </c>
      <c r="E52" s="378">
        <f>IF(+I14&lt;F51,I14,D52)</f>
        <v>218822.49863636363</v>
      </c>
      <c r="F52" s="55">
        <f t="shared" si="13"/>
        <v>1962892.5229377239</v>
      </c>
      <c r="G52" s="379">
        <f t="shared" si="14"/>
        <v>466519.02444994956</v>
      </c>
      <c r="H52" s="364">
        <f t="shared" si="15"/>
        <v>466519.02444994956</v>
      </c>
      <c r="I52" s="52">
        <f t="shared" si="0"/>
        <v>0</v>
      </c>
      <c r="J52" s="52"/>
      <c r="K52" s="129"/>
      <c r="L52" s="54">
        <f t="shared" si="16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 ht="12.5">
      <c r="B53" s="7" t="str">
        <f t="shared" si="7"/>
        <v/>
      </c>
      <c r="C53" s="50">
        <f>IF(D11="","-",+C52+1)</f>
        <v>2055</v>
      </c>
      <c r="D53" s="55">
        <f>IF(F52+SUM(E$17:E52)=D$10,F52,D$10-SUM(E$17:E52))</f>
        <v>1962892.5229377239</v>
      </c>
      <c r="E53" s="378">
        <f>IF(+I14&lt;F52,I14,D53)</f>
        <v>218822.49863636363</v>
      </c>
      <c r="F53" s="55">
        <f t="shared" si="13"/>
        <v>1744070.0243013604</v>
      </c>
      <c r="G53" s="379">
        <f t="shared" si="14"/>
        <v>440363.7988465759</v>
      </c>
      <c r="H53" s="364">
        <f t="shared" si="15"/>
        <v>440363.7988465759</v>
      </c>
      <c r="I53" s="52">
        <f t="shared" si="0"/>
        <v>0</v>
      </c>
      <c r="J53" s="52"/>
      <c r="K53" s="129"/>
      <c r="L53" s="54">
        <f t="shared" si="16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 ht="12.5">
      <c r="B54" s="7" t="str">
        <f t="shared" si="7"/>
        <v/>
      </c>
      <c r="C54" s="50">
        <f>IF(D11="","-",+C53+1)</f>
        <v>2056</v>
      </c>
      <c r="D54" s="55">
        <f>IF(F53+SUM(E$17:E53)=D$10,F53,D$10-SUM(E$17:E53))</f>
        <v>1744070.0243013604</v>
      </c>
      <c r="E54" s="378">
        <f>IF(+I14&lt;F53,I14,D54)</f>
        <v>218822.49863636363</v>
      </c>
      <c r="F54" s="55">
        <f t="shared" si="13"/>
        <v>1525247.5256649968</v>
      </c>
      <c r="G54" s="379">
        <f t="shared" si="14"/>
        <v>414208.57324320229</v>
      </c>
      <c r="H54" s="364">
        <f t="shared" si="15"/>
        <v>414208.57324320229</v>
      </c>
      <c r="I54" s="52">
        <f t="shared" si="0"/>
        <v>0</v>
      </c>
      <c r="J54" s="52"/>
      <c r="K54" s="129"/>
      <c r="L54" s="54">
        <f t="shared" si="16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 ht="12.5">
      <c r="B55" s="7" t="str">
        <f t="shared" si="7"/>
        <v/>
      </c>
      <c r="C55" s="50">
        <f>IF(D11="","-",+C54+1)</f>
        <v>2057</v>
      </c>
      <c r="D55" s="55">
        <f>IF(F54+SUM(E$17:E54)=D$10,F54,D$10-SUM(E$17:E54))</f>
        <v>1525247.5256649968</v>
      </c>
      <c r="E55" s="378">
        <f>IF(+I14&lt;F54,I14,D55)</f>
        <v>218822.49863636363</v>
      </c>
      <c r="F55" s="55">
        <f t="shared" si="13"/>
        <v>1306425.0270286333</v>
      </c>
      <c r="G55" s="379">
        <f t="shared" si="14"/>
        <v>388053.34763982869</v>
      </c>
      <c r="H55" s="364">
        <f t="shared" si="15"/>
        <v>388053.34763982869</v>
      </c>
      <c r="I55" s="52">
        <f t="shared" si="0"/>
        <v>0</v>
      </c>
      <c r="J55" s="52"/>
      <c r="K55" s="129"/>
      <c r="L55" s="54">
        <f t="shared" si="16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 ht="12.5">
      <c r="B56" s="7" t="str">
        <f t="shared" si="7"/>
        <v/>
      </c>
      <c r="C56" s="50">
        <f>IF(D11="","-",+C55+1)</f>
        <v>2058</v>
      </c>
      <c r="D56" s="55">
        <f>IF(F55+SUM(E$17:E55)=D$10,F55,D$10-SUM(E$17:E55))</f>
        <v>1306425.0270286333</v>
      </c>
      <c r="E56" s="378">
        <f>IF(+I14&lt;F55,I14,D56)</f>
        <v>218822.49863636363</v>
      </c>
      <c r="F56" s="55">
        <f t="shared" si="13"/>
        <v>1087602.5283922697</v>
      </c>
      <c r="G56" s="379">
        <f t="shared" si="14"/>
        <v>361898.12203645508</v>
      </c>
      <c r="H56" s="364">
        <f t="shared" si="15"/>
        <v>361898.12203645508</v>
      </c>
      <c r="I56" s="52">
        <f t="shared" si="0"/>
        <v>0</v>
      </c>
      <c r="J56" s="52"/>
      <c r="K56" s="129"/>
      <c r="L56" s="54">
        <f t="shared" si="16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 ht="12.5">
      <c r="B57" s="7" t="str">
        <f t="shared" si="7"/>
        <v/>
      </c>
      <c r="C57" s="50">
        <f>IF(D11="","-",+C56+1)</f>
        <v>2059</v>
      </c>
      <c r="D57" s="55">
        <f>IF(F56+SUM(E$17:E56)=D$10,F56,D$10-SUM(E$17:E56))</f>
        <v>1087602.5283922697</v>
      </c>
      <c r="E57" s="378">
        <f>IF(+I14&lt;F56,I14,D57)</f>
        <v>218822.49863636363</v>
      </c>
      <c r="F57" s="55">
        <f t="shared" si="13"/>
        <v>868780.02975590609</v>
      </c>
      <c r="G57" s="379">
        <f t="shared" si="14"/>
        <v>335742.89643308148</v>
      </c>
      <c r="H57" s="364">
        <f t="shared" si="15"/>
        <v>335742.89643308148</v>
      </c>
      <c r="I57" s="52">
        <f t="shared" si="0"/>
        <v>0</v>
      </c>
      <c r="J57" s="52"/>
      <c r="K57" s="129"/>
      <c r="L57" s="54">
        <f t="shared" si="16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 ht="12.5">
      <c r="B58" s="7" t="str">
        <f t="shared" si="7"/>
        <v/>
      </c>
      <c r="C58" s="50">
        <f>IF(D11="","-",+C57+1)</f>
        <v>2060</v>
      </c>
      <c r="D58" s="55">
        <f>IF(F57+SUM(E$17:E57)=D$10,F57,D$10-SUM(E$17:E57))</f>
        <v>868780.02975590609</v>
      </c>
      <c r="E58" s="378">
        <f>IF(+I14&lt;F57,I14,D58)</f>
        <v>218822.49863636363</v>
      </c>
      <c r="F58" s="55">
        <f t="shared" si="13"/>
        <v>649957.53111954243</v>
      </c>
      <c r="G58" s="379">
        <f t="shared" si="14"/>
        <v>309587.67082970781</v>
      </c>
      <c r="H58" s="364">
        <f t="shared" si="15"/>
        <v>309587.67082970781</v>
      </c>
      <c r="I58" s="52">
        <f t="shared" si="0"/>
        <v>0</v>
      </c>
      <c r="J58" s="52"/>
      <c r="K58" s="129"/>
      <c r="L58" s="54">
        <f t="shared" si="16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 ht="12.5">
      <c r="B59" s="7" t="str">
        <f t="shared" si="7"/>
        <v/>
      </c>
      <c r="C59" s="50">
        <f>IF(D11="","-",+C58+1)</f>
        <v>2061</v>
      </c>
      <c r="D59" s="55">
        <f>IF(F58+SUM(E$17:E58)=D$10,F58,D$10-SUM(E$17:E58))</f>
        <v>649957.53111954243</v>
      </c>
      <c r="E59" s="378">
        <f>IF(+I14&lt;F58,I14,D59)</f>
        <v>218822.49863636363</v>
      </c>
      <c r="F59" s="55">
        <f t="shared" si="13"/>
        <v>431135.03248317877</v>
      </c>
      <c r="G59" s="379">
        <f t="shared" si="14"/>
        <v>283432.44522633421</v>
      </c>
      <c r="H59" s="364">
        <f t="shared" si="15"/>
        <v>283432.44522633421</v>
      </c>
      <c r="I59" s="52">
        <f t="shared" si="0"/>
        <v>0</v>
      </c>
      <c r="J59" s="52"/>
      <c r="K59" s="129"/>
      <c r="L59" s="54">
        <f t="shared" si="16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 ht="12.5">
      <c r="B60" s="7" t="str">
        <f t="shared" si="7"/>
        <v/>
      </c>
      <c r="C60" s="50">
        <f>IF(D11="","-",+C59+1)</f>
        <v>2062</v>
      </c>
      <c r="D60" s="55">
        <f>IF(F59+SUM(E$17:E59)=D$10,F59,D$10-SUM(E$17:E59))</f>
        <v>431135.03248317877</v>
      </c>
      <c r="E60" s="378">
        <f>IF(+I14&lt;F59,I14,D60)</f>
        <v>218822.49863636363</v>
      </c>
      <c r="F60" s="55">
        <f t="shared" si="13"/>
        <v>212312.53384681515</v>
      </c>
      <c r="G60" s="379">
        <f t="shared" si="14"/>
        <v>257277.21962296058</v>
      </c>
      <c r="H60" s="364">
        <f t="shared" si="15"/>
        <v>257277.21962296058</v>
      </c>
      <c r="I60" s="52">
        <f t="shared" si="0"/>
        <v>0</v>
      </c>
      <c r="J60" s="52"/>
      <c r="K60" s="129"/>
      <c r="L60" s="54">
        <f t="shared" si="16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 ht="12.5">
      <c r="B61" s="7" t="str">
        <f t="shared" si="7"/>
        <v/>
      </c>
      <c r="C61" s="50">
        <f>IF(D11="","-",+C60+1)</f>
        <v>2063</v>
      </c>
      <c r="D61" s="55">
        <f>IF(F60+SUM(E$17:E60)=D$10,F60,D$10-SUM(E$17:E60))</f>
        <v>212312.53384681515</v>
      </c>
      <c r="E61" s="378">
        <f>IF(+I14&lt;F60,I14,D61)</f>
        <v>212312.53384681515</v>
      </c>
      <c r="F61" s="55">
        <f t="shared" si="13"/>
        <v>0</v>
      </c>
      <c r="G61" s="380">
        <f t="shared" si="14"/>
        <v>225001.08793927022</v>
      </c>
      <c r="H61" s="364">
        <f t="shared" si="15"/>
        <v>225001.08793927022</v>
      </c>
      <c r="I61" s="52">
        <f t="shared" si="0"/>
        <v>0</v>
      </c>
      <c r="J61" s="52"/>
      <c r="K61" s="129"/>
      <c r="L61" s="54">
        <f t="shared" si="16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 ht="12.5">
      <c r="B62" s="7" t="str">
        <f t="shared" si="7"/>
        <v/>
      </c>
      <c r="C62" s="50">
        <f>IF(D11="","-",+C61+1)</f>
        <v>2064</v>
      </c>
      <c r="D62" s="55">
        <f>IF(F61+SUM(E$17:E61)=D$10,F61,D$10-SUM(E$17:E61))</f>
        <v>0</v>
      </c>
      <c r="E62" s="378">
        <f>IF(+I14&lt;F61,I14,D62)</f>
        <v>0</v>
      </c>
      <c r="F62" s="55">
        <f t="shared" si="13"/>
        <v>0</v>
      </c>
      <c r="G62" s="380">
        <f t="shared" si="14"/>
        <v>0</v>
      </c>
      <c r="H62" s="364">
        <f t="shared" si="15"/>
        <v>0</v>
      </c>
      <c r="I62" s="52">
        <f t="shared" si="0"/>
        <v>0</v>
      </c>
      <c r="J62" s="52"/>
      <c r="K62" s="129"/>
      <c r="L62" s="54">
        <f t="shared" si="16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 ht="12.5">
      <c r="B63" s="7" t="str">
        <f t="shared" si="7"/>
        <v/>
      </c>
      <c r="C63" s="50">
        <f>IF(D11="","-",+C62+1)</f>
        <v>2065</v>
      </c>
      <c r="D63" s="55">
        <f>IF(F62+SUM(E$17:E62)=D$10,F62,D$10-SUM(E$17:E62))</f>
        <v>0</v>
      </c>
      <c r="E63" s="378">
        <f>IF(+I14&lt;F62,I14,D63)</f>
        <v>0</v>
      </c>
      <c r="F63" s="55">
        <f t="shared" si="13"/>
        <v>0</v>
      </c>
      <c r="G63" s="380">
        <f t="shared" si="14"/>
        <v>0</v>
      </c>
      <c r="H63" s="364">
        <f t="shared" si="15"/>
        <v>0</v>
      </c>
      <c r="I63" s="52">
        <f t="shared" si="0"/>
        <v>0</v>
      </c>
      <c r="J63" s="52"/>
      <c r="K63" s="129"/>
      <c r="L63" s="54">
        <f t="shared" si="16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 ht="12.5">
      <c r="B64" s="7" t="str">
        <f t="shared" si="7"/>
        <v/>
      </c>
      <c r="C64" s="50">
        <f>IF(D11="","-",+C63+1)</f>
        <v>2066</v>
      </c>
      <c r="D64" s="55">
        <f>IF(F63+SUM(E$17:E63)=D$10,F63,D$10-SUM(E$17:E63))</f>
        <v>0</v>
      </c>
      <c r="E64" s="378">
        <f>IF(+I14&lt;F63,I14,D64)</f>
        <v>0</v>
      </c>
      <c r="F64" s="55">
        <f t="shared" si="13"/>
        <v>0</v>
      </c>
      <c r="G64" s="380">
        <f t="shared" si="14"/>
        <v>0</v>
      </c>
      <c r="H64" s="364">
        <f t="shared" si="15"/>
        <v>0</v>
      </c>
      <c r="I64" s="52">
        <f t="shared" si="0"/>
        <v>0</v>
      </c>
      <c r="J64" s="52"/>
      <c r="K64" s="129"/>
      <c r="L64" s="54">
        <f t="shared" si="16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 ht="12.5">
      <c r="B65" s="7" t="str">
        <f t="shared" si="7"/>
        <v/>
      </c>
      <c r="C65" s="50">
        <f>IF(D11="","-",+C64+1)</f>
        <v>2067</v>
      </c>
      <c r="D65" s="55">
        <f>IF(F64+SUM(E$17:E64)=D$10,F64,D$10-SUM(E$17:E64))</f>
        <v>0</v>
      </c>
      <c r="E65" s="378">
        <f>IF(+I14&lt;F64,I14,D65)</f>
        <v>0</v>
      </c>
      <c r="F65" s="55">
        <f t="shared" si="13"/>
        <v>0</v>
      </c>
      <c r="G65" s="380">
        <f t="shared" si="14"/>
        <v>0</v>
      </c>
      <c r="H65" s="364">
        <f t="shared" si="15"/>
        <v>0</v>
      </c>
      <c r="I65" s="52">
        <f t="shared" si="0"/>
        <v>0</v>
      </c>
      <c r="J65" s="52"/>
      <c r="K65" s="129"/>
      <c r="L65" s="54">
        <f t="shared" si="16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 ht="12.5">
      <c r="B66" s="7" t="str">
        <f t="shared" si="7"/>
        <v/>
      </c>
      <c r="C66" s="50">
        <f>IF(D11="","-",+C65+1)</f>
        <v>2068</v>
      </c>
      <c r="D66" s="55">
        <f>IF(F65+SUM(E$17:E65)=D$10,F65,D$10-SUM(E$17:E65))</f>
        <v>0</v>
      </c>
      <c r="E66" s="378">
        <f>IF(+I14&lt;F65,I14,D66)</f>
        <v>0</v>
      </c>
      <c r="F66" s="55">
        <f t="shared" si="13"/>
        <v>0</v>
      </c>
      <c r="G66" s="380">
        <f t="shared" si="14"/>
        <v>0</v>
      </c>
      <c r="H66" s="364">
        <f t="shared" si="15"/>
        <v>0</v>
      </c>
      <c r="I66" s="52">
        <f t="shared" si="0"/>
        <v>0</v>
      </c>
      <c r="J66" s="52"/>
      <c r="K66" s="129"/>
      <c r="L66" s="54">
        <f t="shared" si="16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 ht="12.5">
      <c r="B67" s="7" t="str">
        <f t="shared" si="7"/>
        <v/>
      </c>
      <c r="C67" s="50">
        <f>IF(D11="","-",+C66+1)</f>
        <v>2069</v>
      </c>
      <c r="D67" s="55">
        <f>IF(F66+SUM(E$17:E66)=D$10,F66,D$10-SUM(E$17:E66))</f>
        <v>0</v>
      </c>
      <c r="E67" s="378">
        <f>IF(+I14&lt;F66,I14,D67)</f>
        <v>0</v>
      </c>
      <c r="F67" s="55">
        <f t="shared" si="13"/>
        <v>0</v>
      </c>
      <c r="G67" s="380">
        <f t="shared" si="14"/>
        <v>0</v>
      </c>
      <c r="H67" s="364">
        <f t="shared" si="15"/>
        <v>0</v>
      </c>
      <c r="I67" s="52">
        <f t="shared" si="0"/>
        <v>0</v>
      </c>
      <c r="J67" s="52"/>
      <c r="K67" s="129"/>
      <c r="L67" s="54">
        <f t="shared" si="16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 ht="12.5">
      <c r="B68" s="7" t="str">
        <f t="shared" si="7"/>
        <v/>
      </c>
      <c r="C68" s="50">
        <f>IF(D11="","-",+C67+1)</f>
        <v>2070</v>
      </c>
      <c r="D68" s="55">
        <f>IF(F67+SUM(E$17:E67)=D$10,F67,D$10-SUM(E$17:E67))</f>
        <v>0</v>
      </c>
      <c r="E68" s="378">
        <f>IF(+I14&lt;F67,I14,D68)</f>
        <v>0</v>
      </c>
      <c r="F68" s="55">
        <f t="shared" si="13"/>
        <v>0</v>
      </c>
      <c r="G68" s="380">
        <f t="shared" si="14"/>
        <v>0</v>
      </c>
      <c r="H68" s="364">
        <f t="shared" si="15"/>
        <v>0</v>
      </c>
      <c r="I68" s="52">
        <f t="shared" si="0"/>
        <v>0</v>
      </c>
      <c r="J68" s="52"/>
      <c r="K68" s="129"/>
      <c r="L68" s="54">
        <f t="shared" si="16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 ht="12.5">
      <c r="B69" s="7" t="str">
        <f t="shared" si="7"/>
        <v/>
      </c>
      <c r="C69" s="50">
        <f>IF(D11="","-",+C68+1)</f>
        <v>2071</v>
      </c>
      <c r="D69" s="55">
        <f>IF(F68+SUM(E$17:E68)=D$10,F68,D$10-SUM(E$17:E68))</f>
        <v>0</v>
      </c>
      <c r="E69" s="378">
        <f>IF(+I14&lt;F68,I14,D69)</f>
        <v>0</v>
      </c>
      <c r="F69" s="55">
        <f t="shared" si="13"/>
        <v>0</v>
      </c>
      <c r="G69" s="380">
        <f t="shared" si="14"/>
        <v>0</v>
      </c>
      <c r="H69" s="364">
        <f t="shared" si="15"/>
        <v>0</v>
      </c>
      <c r="I69" s="52">
        <f t="shared" si="0"/>
        <v>0</v>
      </c>
      <c r="J69" s="52"/>
      <c r="K69" s="129"/>
      <c r="L69" s="54">
        <f t="shared" si="16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 ht="12.5">
      <c r="B70" s="7" t="str">
        <f t="shared" si="7"/>
        <v/>
      </c>
      <c r="C70" s="50">
        <f>IF(D11="","-",+C69+1)</f>
        <v>2072</v>
      </c>
      <c r="D70" s="55">
        <f>IF(F69+SUM(E$17:E69)=D$10,F69,D$10-SUM(E$17:E69))</f>
        <v>0</v>
      </c>
      <c r="E70" s="378">
        <f>IF(+I14&lt;F69,I14,D70)</f>
        <v>0</v>
      </c>
      <c r="F70" s="55">
        <f t="shared" si="13"/>
        <v>0</v>
      </c>
      <c r="G70" s="380">
        <f t="shared" si="14"/>
        <v>0</v>
      </c>
      <c r="H70" s="364">
        <f t="shared" si="15"/>
        <v>0</v>
      </c>
      <c r="I70" s="52">
        <f t="shared" si="0"/>
        <v>0</v>
      </c>
      <c r="J70" s="52"/>
      <c r="K70" s="129"/>
      <c r="L70" s="54">
        <f t="shared" si="16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 ht="12.5">
      <c r="B71" s="7" t="str">
        <f t="shared" si="7"/>
        <v/>
      </c>
      <c r="C71" s="50">
        <f>IF(D11="","-",+C70+1)</f>
        <v>2073</v>
      </c>
      <c r="D71" s="55">
        <f>IF(F70+SUM(E$17:E70)=D$10,F70,D$10-SUM(E$17:E70))</f>
        <v>0</v>
      </c>
      <c r="E71" s="378">
        <f>IF(+I14&lt;F70,I14,D71)</f>
        <v>0</v>
      </c>
      <c r="F71" s="55">
        <f t="shared" si="13"/>
        <v>0</v>
      </c>
      <c r="G71" s="380">
        <f t="shared" si="14"/>
        <v>0</v>
      </c>
      <c r="H71" s="364">
        <f t="shared" si="15"/>
        <v>0</v>
      </c>
      <c r="I71" s="52">
        <f t="shared" si="0"/>
        <v>0</v>
      </c>
      <c r="J71" s="52"/>
      <c r="K71" s="129"/>
      <c r="L71" s="54">
        <f t="shared" si="16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" thickBot="1">
      <c r="B72" s="7" t="str">
        <f t="shared" si="7"/>
        <v/>
      </c>
      <c r="C72" s="59">
        <f>IF(D11="","-",+C71+1)</f>
        <v>2074</v>
      </c>
      <c r="D72" s="60">
        <f>IF(F71+SUM(E$17:E71)=D$10,F71,D$10-SUM(E$17:E71))</f>
        <v>0</v>
      </c>
      <c r="E72" s="381">
        <f>IF(+I14&lt;F71,I14,D72)</f>
        <v>0</v>
      </c>
      <c r="F72" s="60">
        <f t="shared" si="13"/>
        <v>0</v>
      </c>
      <c r="G72" s="382">
        <f t="shared" si="14"/>
        <v>0</v>
      </c>
      <c r="H72" s="362">
        <f t="shared" si="15"/>
        <v>0</v>
      </c>
      <c r="I72" s="63">
        <f t="shared" si="0"/>
        <v>0</v>
      </c>
      <c r="J72" s="52"/>
      <c r="K72" s="130"/>
      <c r="L72" s="64">
        <f t="shared" si="16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 ht="12.5">
      <c r="C73" s="12" t="s">
        <v>78</v>
      </c>
      <c r="D73" s="293"/>
      <c r="E73" s="293">
        <f>SUM(E17:E72)</f>
        <v>9628189.9399999995</v>
      </c>
      <c r="F73" s="293"/>
      <c r="G73" s="293">
        <f>SUM(G17:G72)</f>
        <v>34851502.178934082</v>
      </c>
      <c r="H73" s="293">
        <f>SUM(H17:H72)</f>
        <v>34851502.178934082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 ht="13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72 of 77</v>
      </c>
    </row>
    <row r="84" spans="1:16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1251175.7925511589</v>
      </c>
      <c r="N87" s="387">
        <f>IF(J92&lt;D11,0,VLOOKUP(J92,C17:O72,11))</f>
        <v>1251175.7925511589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1269667.5689120202</v>
      </c>
      <c r="N88" s="390">
        <f>IF(J92&lt;D11,0,VLOOKUP(J92,C99:P154,7))</f>
        <v>1269667.5689120202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Ellerbe Road - Lucas 69 kV Rebuild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18491.776360861259</v>
      </c>
      <c r="N89" s="392">
        <f>+N88-N87</f>
        <v>18491.776360861259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TP2014154</v>
      </c>
      <c r="E91" s="76" t="str">
        <f>E9</f>
        <v xml:space="preserve">  SPP Project ID = 30762</v>
      </c>
      <c r="F91" s="76"/>
      <c r="G91" s="76"/>
      <c r="H91" s="76"/>
      <c r="I91" s="76"/>
      <c r="J91" s="76"/>
    </row>
    <row r="92" spans="1:16" ht="13">
      <c r="C92" s="34" t="s">
        <v>51</v>
      </c>
      <c r="D92" s="394">
        <f>D10</f>
        <v>9628189.9399999995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</row>
    <row r="93" spans="1:16" ht="12.5">
      <c r="C93" s="34" t="s">
        <v>54</v>
      </c>
      <c r="D93" s="88">
        <f>+D11</f>
        <v>2019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4">
        <f>+D12</f>
        <v>3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218822.49863636363</v>
      </c>
      <c r="K96" s="293"/>
      <c r="L96" s="293"/>
      <c r="M96" s="293"/>
      <c r="N96" s="293"/>
      <c r="O96" s="293"/>
      <c r="P96" s="1"/>
    </row>
    <row r="97" spans="1:16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5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 ht="12.5">
      <c r="C99" s="50">
        <f>IF(D93= "","-",D93)</f>
        <v>2019</v>
      </c>
      <c r="D99" s="429">
        <v>0</v>
      </c>
      <c r="E99" s="430">
        <v>167899.74418604653</v>
      </c>
      <c r="F99" s="431">
        <v>9458352.2558139525</v>
      </c>
      <c r="G99" s="431">
        <v>4729176.1279069763</v>
      </c>
      <c r="H99" s="433">
        <v>674113.34161088022</v>
      </c>
      <c r="I99" s="434">
        <v>674113.34161088022</v>
      </c>
      <c r="J99" s="54">
        <f t="shared" ref="J99:J130" si="17">+I99-H99</f>
        <v>0</v>
      </c>
      <c r="K99" s="54"/>
      <c r="L99" s="112">
        <f>+H99</f>
        <v>674113.34161088022</v>
      </c>
      <c r="M99" s="53">
        <f t="shared" ref="M99:M100" si="18">IF(L99&lt;&gt;0,+H99-L99,0)</f>
        <v>0</v>
      </c>
      <c r="N99" s="112">
        <f>+I99</f>
        <v>674113.34161088022</v>
      </c>
      <c r="O99" s="53">
        <f t="shared" ref="O99:O130" si="19">IF(N99&lt;&gt;0,+I99-N99,0)</f>
        <v>0</v>
      </c>
      <c r="P99" s="53">
        <f t="shared" ref="P99:P130" si="20">+O99-M99</f>
        <v>0</v>
      </c>
    </row>
    <row r="100" spans="1:16" ht="12.5">
      <c r="B100" s="7" t="str">
        <f>IF(D100=F99,"","IU")</f>
        <v>IU</v>
      </c>
      <c r="C100" s="50">
        <f>IF(D93="","-",+C99+1)</f>
        <v>2020</v>
      </c>
      <c r="D100" s="429">
        <v>9460290.2558139525</v>
      </c>
      <c r="E100" s="430">
        <v>229242.61904761905</v>
      </c>
      <c r="F100" s="431">
        <v>9231047.6367663331</v>
      </c>
      <c r="G100" s="431">
        <v>9345668.9462901428</v>
      </c>
      <c r="H100" s="433">
        <v>1234592.0448831792</v>
      </c>
      <c r="I100" s="434">
        <v>1234592.0448831792</v>
      </c>
      <c r="J100" s="54">
        <f t="shared" si="17"/>
        <v>0</v>
      </c>
      <c r="K100" s="54"/>
      <c r="L100" s="450">
        <f>+H100</f>
        <v>1234592.0448831792</v>
      </c>
      <c r="M100" s="54">
        <f t="shared" si="18"/>
        <v>0</v>
      </c>
      <c r="N100" s="450">
        <f>+I100</f>
        <v>1234592.0448831792</v>
      </c>
      <c r="O100" s="54">
        <f t="shared" si="19"/>
        <v>0</v>
      </c>
      <c r="P100" s="54">
        <f t="shared" si="20"/>
        <v>0</v>
      </c>
    </row>
    <row r="101" spans="1:16" ht="12.5">
      <c r="B101" s="7" t="str">
        <f t="shared" ref="B101:B154" si="21">IF(D101=F100,"","IU")</f>
        <v/>
      </c>
      <c r="C101" s="50">
        <f>IF(D93="","-",+C100+1)</f>
        <v>2021</v>
      </c>
      <c r="D101" s="429">
        <v>9231047.6367663331</v>
      </c>
      <c r="E101" s="430">
        <v>234833.90243902439</v>
      </c>
      <c r="F101" s="431">
        <v>8996213.7343273088</v>
      </c>
      <c r="G101" s="431">
        <v>9113630.685546821</v>
      </c>
      <c r="H101" s="433">
        <v>1269360.6391471603</v>
      </c>
      <c r="I101" s="434">
        <v>1269360.6391471603</v>
      </c>
      <c r="J101" s="54">
        <f t="shared" si="17"/>
        <v>0</v>
      </c>
      <c r="K101" s="54"/>
      <c r="L101" s="450">
        <f>+H101</f>
        <v>1269360.6391471603</v>
      </c>
      <c r="M101" s="54">
        <f t="shared" ref="M101" si="22">IF(L101&lt;&gt;0,+H101-L101,0)</f>
        <v>0</v>
      </c>
      <c r="N101" s="450">
        <f>+I101</f>
        <v>1269360.6391471603</v>
      </c>
      <c r="O101" s="54">
        <f t="shared" si="19"/>
        <v>0</v>
      </c>
      <c r="P101" s="54">
        <f t="shared" si="20"/>
        <v>0</v>
      </c>
    </row>
    <row r="102" spans="1:16" ht="12.5">
      <c r="B102" s="7" t="str">
        <f t="shared" si="21"/>
        <v/>
      </c>
      <c r="C102" s="50">
        <f>IF(D93="","-",+C101+1)</f>
        <v>2022</v>
      </c>
      <c r="D102" s="429">
        <v>8996213.7343273088</v>
      </c>
      <c r="E102" s="430">
        <v>229242.61904761905</v>
      </c>
      <c r="F102" s="431">
        <v>8766971.1152796894</v>
      </c>
      <c r="G102" s="431">
        <v>8881592.4248034991</v>
      </c>
      <c r="H102" s="433">
        <v>1272455.3080468555</v>
      </c>
      <c r="I102" s="434">
        <v>1272455.3080468555</v>
      </c>
      <c r="J102" s="54">
        <f t="shared" si="17"/>
        <v>0</v>
      </c>
      <c r="K102" s="54"/>
      <c r="L102" s="450">
        <f>+H102</f>
        <v>1272455.3080468555</v>
      </c>
      <c r="M102" s="54">
        <f t="shared" ref="M102" si="23">IF(L102&lt;&gt;0,+H102-L102,0)</f>
        <v>0</v>
      </c>
      <c r="N102" s="450">
        <f>+I102</f>
        <v>1272455.3080468555</v>
      </c>
      <c r="O102" s="54">
        <f t="shared" ref="O102" si="24">IF(N102&lt;&gt;0,+I102-N102,0)</f>
        <v>0</v>
      </c>
      <c r="P102" s="54">
        <f t="shared" ref="P102" si="25">+O102-M102</f>
        <v>0</v>
      </c>
    </row>
    <row r="103" spans="1:16" ht="12.5">
      <c r="B103" s="7" t="str">
        <f t="shared" si="21"/>
        <v>IU</v>
      </c>
      <c r="C103" s="50">
        <f>IF(D93="","-",+C102+1)</f>
        <v>2023</v>
      </c>
      <c r="D103" s="429">
        <v>8766971.0552796908</v>
      </c>
      <c r="E103" s="430">
        <v>218822.49863636363</v>
      </c>
      <c r="F103" s="431">
        <v>8548148.5566433277</v>
      </c>
      <c r="G103" s="431">
        <v>8657559.8059615083</v>
      </c>
      <c r="H103" s="433">
        <v>1286862.8507842745</v>
      </c>
      <c r="I103" s="434">
        <v>1286862.8507842745</v>
      </c>
      <c r="J103" s="54">
        <f t="shared" si="17"/>
        <v>0</v>
      </c>
      <c r="K103" s="54"/>
      <c r="L103" s="450">
        <f>+H103</f>
        <v>1286862.8507842745</v>
      </c>
      <c r="M103" s="54">
        <f t="shared" ref="M103" si="26">IF(L103&lt;&gt;0,+H103-L103,0)</f>
        <v>0</v>
      </c>
      <c r="N103" s="450">
        <f>+I103</f>
        <v>1286862.8507842745</v>
      </c>
      <c r="O103" s="54">
        <f t="shared" ref="O103" si="27">IF(N103&lt;&gt;0,+I103-N103,0)</f>
        <v>0</v>
      </c>
      <c r="P103" s="54">
        <f t="shared" ref="P103" si="28">+O103-M103</f>
        <v>0</v>
      </c>
    </row>
    <row r="104" spans="1:16" ht="12.5">
      <c r="B104" s="7" t="str">
        <f t="shared" si="21"/>
        <v/>
      </c>
      <c r="C104" s="50">
        <f>IF(D93="","-",+C103+1)</f>
        <v>2024</v>
      </c>
      <c r="D104" s="12">
        <f>IF(F103+SUM(E$99:E103)=D$92,F103,D$92-SUM(E$99:E103))</f>
        <v>8548148.5566433277</v>
      </c>
      <c r="E104" s="378">
        <f>IF(+J96&lt;F103,J96,D104)</f>
        <v>218822.49863636363</v>
      </c>
      <c r="F104" s="55">
        <f t="shared" ref="F104:F154" si="29">+D104-E104</f>
        <v>8329326.0580069637</v>
      </c>
      <c r="G104" s="55">
        <f t="shared" ref="G104:G154" si="30">+(F104+D104)/2</f>
        <v>8438737.3073251452</v>
      </c>
      <c r="H104" s="380">
        <f t="shared" ref="H104:H154" si="31">+J$94*G104+E104</f>
        <v>1269667.5689120202</v>
      </c>
      <c r="I104" s="399">
        <f t="shared" ref="I104:I154" si="32">+J$95*G104+E104</f>
        <v>1269667.5689120202</v>
      </c>
      <c r="J104" s="54">
        <f t="shared" si="17"/>
        <v>0</v>
      </c>
      <c r="K104" s="54"/>
      <c r="L104" s="129"/>
      <c r="M104" s="54">
        <f t="shared" ref="M104:M130" si="33">IF(L104&lt;&gt;0,+H104-L104,0)</f>
        <v>0</v>
      </c>
      <c r="N104" s="129"/>
      <c r="O104" s="54">
        <f t="shared" si="19"/>
        <v>0</v>
      </c>
      <c r="P104" s="54">
        <f t="shared" si="20"/>
        <v>0</v>
      </c>
    </row>
    <row r="105" spans="1:16" ht="12.5">
      <c r="B105" s="7" t="str">
        <f t="shared" si="21"/>
        <v/>
      </c>
      <c r="C105" s="50">
        <f>IF(D93="","-",+C104+1)</f>
        <v>2025</v>
      </c>
      <c r="D105" s="12">
        <f>IF(F104+SUM(E$99:E104)=D$92,F104,D$92-SUM(E$99:E104))</f>
        <v>8329326.0580069637</v>
      </c>
      <c r="E105" s="378">
        <f>IF(+J96&lt;F104,J96,D105)</f>
        <v>218822.49863636363</v>
      </c>
      <c r="F105" s="55">
        <f t="shared" si="29"/>
        <v>8110503.5593705997</v>
      </c>
      <c r="G105" s="55">
        <f t="shared" si="30"/>
        <v>8219914.8086887822</v>
      </c>
      <c r="H105" s="380">
        <f t="shared" si="31"/>
        <v>1242418.4040686237</v>
      </c>
      <c r="I105" s="399">
        <f t="shared" si="32"/>
        <v>1242418.4040686237</v>
      </c>
      <c r="J105" s="54">
        <f t="shared" si="17"/>
        <v>0</v>
      </c>
      <c r="K105" s="54"/>
      <c r="L105" s="129"/>
      <c r="M105" s="54">
        <f t="shared" si="33"/>
        <v>0</v>
      </c>
      <c r="N105" s="129"/>
      <c r="O105" s="54">
        <f t="shared" si="19"/>
        <v>0</v>
      </c>
      <c r="P105" s="54">
        <f t="shared" si="20"/>
        <v>0</v>
      </c>
    </row>
    <row r="106" spans="1:16" ht="12.5">
      <c r="B106" s="7" t="str">
        <f t="shared" si="21"/>
        <v/>
      </c>
      <c r="C106" s="50">
        <f>IF(D93="","-",+C105+1)</f>
        <v>2026</v>
      </c>
      <c r="D106" s="12">
        <f>IF(F105+SUM(E$99:E105)=D$92,F105,D$92-SUM(E$99:E105))</f>
        <v>8110503.5593705997</v>
      </c>
      <c r="E106" s="378">
        <f>IF(+J96&lt;F105,J96,D106)</f>
        <v>218822.49863636363</v>
      </c>
      <c r="F106" s="55">
        <f t="shared" si="29"/>
        <v>7891681.0607342357</v>
      </c>
      <c r="G106" s="55">
        <f t="shared" si="30"/>
        <v>8001092.3100524172</v>
      </c>
      <c r="H106" s="380">
        <f t="shared" si="31"/>
        <v>1215169.2392252269</v>
      </c>
      <c r="I106" s="399">
        <f t="shared" si="32"/>
        <v>1215169.2392252269</v>
      </c>
      <c r="J106" s="54">
        <f t="shared" si="17"/>
        <v>0</v>
      </c>
      <c r="K106" s="54"/>
      <c r="L106" s="129"/>
      <c r="M106" s="54">
        <f t="shared" si="33"/>
        <v>0</v>
      </c>
      <c r="N106" s="129"/>
      <c r="O106" s="54">
        <f t="shared" si="19"/>
        <v>0</v>
      </c>
      <c r="P106" s="54">
        <f t="shared" si="20"/>
        <v>0</v>
      </c>
    </row>
    <row r="107" spans="1:16" ht="12.5">
      <c r="B107" s="7" t="str">
        <f t="shared" si="21"/>
        <v/>
      </c>
      <c r="C107" s="50">
        <f>IF(D93="","-",+C106+1)</f>
        <v>2027</v>
      </c>
      <c r="D107" s="12">
        <f>IF(F106+SUM(E$99:E106)=D$92,F106,D$92-SUM(E$99:E106))</f>
        <v>7891681.0607342357</v>
      </c>
      <c r="E107" s="378">
        <f>IF(+J96&lt;F106,J96,D107)</f>
        <v>218822.49863636363</v>
      </c>
      <c r="F107" s="55">
        <f t="shared" si="29"/>
        <v>7672858.5620978717</v>
      </c>
      <c r="G107" s="55">
        <f t="shared" si="30"/>
        <v>7782269.8114160541</v>
      </c>
      <c r="H107" s="380">
        <f t="shared" si="31"/>
        <v>1187920.0743818302</v>
      </c>
      <c r="I107" s="399">
        <f t="shared" si="32"/>
        <v>1187920.0743818302</v>
      </c>
      <c r="J107" s="54">
        <f t="shared" si="17"/>
        <v>0</v>
      </c>
      <c r="K107" s="54"/>
      <c r="L107" s="129"/>
      <c r="M107" s="54">
        <f t="shared" si="33"/>
        <v>0</v>
      </c>
      <c r="N107" s="129"/>
      <c r="O107" s="54">
        <f t="shared" si="19"/>
        <v>0</v>
      </c>
      <c r="P107" s="54">
        <f t="shared" si="20"/>
        <v>0</v>
      </c>
    </row>
    <row r="108" spans="1:16" ht="12.5">
      <c r="B108" s="7" t="str">
        <f t="shared" si="21"/>
        <v/>
      </c>
      <c r="C108" s="50">
        <f>IF(D93="","-",+C107+1)</f>
        <v>2028</v>
      </c>
      <c r="D108" s="12">
        <f>IF(F107+SUM(E$99:E107)=D$92,F107,D$92-SUM(E$99:E107))</f>
        <v>7672858.5620978717</v>
      </c>
      <c r="E108" s="378">
        <f>IF(+J96&lt;F107,J96,D108)</f>
        <v>218822.49863636363</v>
      </c>
      <c r="F108" s="55">
        <f t="shared" si="29"/>
        <v>7454036.0634615077</v>
      </c>
      <c r="G108" s="55">
        <f t="shared" si="30"/>
        <v>7563447.3127796892</v>
      </c>
      <c r="H108" s="380">
        <f t="shared" si="31"/>
        <v>1160670.9095384334</v>
      </c>
      <c r="I108" s="399">
        <f t="shared" si="32"/>
        <v>1160670.9095384334</v>
      </c>
      <c r="J108" s="54">
        <f t="shared" si="17"/>
        <v>0</v>
      </c>
      <c r="K108" s="54"/>
      <c r="L108" s="129"/>
      <c r="M108" s="54">
        <f t="shared" si="33"/>
        <v>0</v>
      </c>
      <c r="N108" s="129"/>
      <c r="O108" s="54">
        <f t="shared" si="19"/>
        <v>0</v>
      </c>
      <c r="P108" s="54">
        <f t="shared" si="20"/>
        <v>0</v>
      </c>
    </row>
    <row r="109" spans="1:16" ht="12.5">
      <c r="B109" s="7" t="str">
        <f t="shared" si="21"/>
        <v/>
      </c>
      <c r="C109" s="50">
        <f>IF(D93="","-",+C108+1)</f>
        <v>2029</v>
      </c>
      <c r="D109" s="12">
        <f>IF(F108+SUM(E$99:E108)=D$92,F108,D$92-SUM(E$99:E108))</f>
        <v>7454036.0634615077</v>
      </c>
      <c r="E109" s="378">
        <f>IF(+J96&lt;F108,J96,D109)</f>
        <v>218822.49863636363</v>
      </c>
      <c r="F109" s="55">
        <f t="shared" si="29"/>
        <v>7235213.5648251437</v>
      </c>
      <c r="G109" s="55">
        <f t="shared" si="30"/>
        <v>7344624.8141433261</v>
      </c>
      <c r="H109" s="380">
        <f t="shared" si="31"/>
        <v>1133421.7446950367</v>
      </c>
      <c r="I109" s="399">
        <f t="shared" si="32"/>
        <v>1133421.7446950367</v>
      </c>
      <c r="J109" s="54">
        <f t="shared" si="17"/>
        <v>0</v>
      </c>
      <c r="K109" s="54"/>
      <c r="L109" s="129"/>
      <c r="M109" s="54">
        <f t="shared" si="33"/>
        <v>0</v>
      </c>
      <c r="N109" s="129"/>
      <c r="O109" s="54">
        <f t="shared" si="19"/>
        <v>0</v>
      </c>
      <c r="P109" s="54">
        <f t="shared" si="20"/>
        <v>0</v>
      </c>
    </row>
    <row r="110" spans="1:16" ht="12.5">
      <c r="B110" s="7" t="str">
        <f t="shared" si="21"/>
        <v/>
      </c>
      <c r="C110" s="50">
        <f>IF(D93="","-",+C109+1)</f>
        <v>2030</v>
      </c>
      <c r="D110" s="12">
        <f>IF(F109+SUM(E$99:E109)=D$92,F109,D$92-SUM(E$99:E109))</f>
        <v>7235213.5648251437</v>
      </c>
      <c r="E110" s="378">
        <f>IF(+J96&lt;F109,J96,D110)</f>
        <v>218822.49863636363</v>
      </c>
      <c r="F110" s="55">
        <f t="shared" si="29"/>
        <v>7016391.0661887797</v>
      </c>
      <c r="G110" s="55">
        <f t="shared" si="30"/>
        <v>7125802.3155069612</v>
      </c>
      <c r="H110" s="380">
        <f t="shared" si="31"/>
        <v>1106172.5798516399</v>
      </c>
      <c r="I110" s="399">
        <f t="shared" si="32"/>
        <v>1106172.5798516399</v>
      </c>
      <c r="J110" s="54">
        <f t="shared" si="17"/>
        <v>0</v>
      </c>
      <c r="K110" s="54"/>
      <c r="L110" s="129"/>
      <c r="M110" s="54">
        <f t="shared" si="33"/>
        <v>0</v>
      </c>
      <c r="N110" s="129"/>
      <c r="O110" s="54">
        <f t="shared" si="19"/>
        <v>0</v>
      </c>
      <c r="P110" s="54">
        <f t="shared" si="20"/>
        <v>0</v>
      </c>
    </row>
    <row r="111" spans="1:16" ht="12.5">
      <c r="B111" s="7" t="str">
        <f t="shared" si="21"/>
        <v/>
      </c>
      <c r="C111" s="50">
        <f>IF(D93="","-",+C110+1)</f>
        <v>2031</v>
      </c>
      <c r="D111" s="12">
        <f>IF(F110+SUM(E$99:E110)=D$92,F110,D$92-SUM(E$99:E110))</f>
        <v>7016391.0661887797</v>
      </c>
      <c r="E111" s="378">
        <f>IF(+J96&lt;F110,J96,D111)</f>
        <v>218822.49863636363</v>
      </c>
      <c r="F111" s="55">
        <f t="shared" si="29"/>
        <v>6797568.5675524157</v>
      </c>
      <c r="G111" s="55">
        <f t="shared" si="30"/>
        <v>6906979.8168705981</v>
      </c>
      <c r="H111" s="380">
        <f t="shared" si="31"/>
        <v>1078923.4150082434</v>
      </c>
      <c r="I111" s="399">
        <f t="shared" si="32"/>
        <v>1078923.4150082434</v>
      </c>
      <c r="J111" s="54">
        <f t="shared" si="17"/>
        <v>0</v>
      </c>
      <c r="K111" s="54"/>
      <c r="L111" s="129"/>
      <c r="M111" s="54">
        <f t="shared" si="33"/>
        <v>0</v>
      </c>
      <c r="N111" s="129"/>
      <c r="O111" s="54">
        <f t="shared" si="19"/>
        <v>0</v>
      </c>
      <c r="P111" s="54">
        <f t="shared" si="20"/>
        <v>0</v>
      </c>
    </row>
    <row r="112" spans="1:16" ht="12.5">
      <c r="B112" s="7" t="str">
        <f t="shared" si="21"/>
        <v/>
      </c>
      <c r="C112" s="50">
        <f>IF(D93="","-",+C111+1)</f>
        <v>2032</v>
      </c>
      <c r="D112" s="12">
        <f>IF(F111+SUM(E$99:E111)=D$92,F111,D$92-SUM(E$99:E111))</f>
        <v>6797568.5675524157</v>
      </c>
      <c r="E112" s="378">
        <f>IF(+J96&lt;F111,J96,D112)</f>
        <v>218822.49863636363</v>
      </c>
      <c r="F112" s="55">
        <f t="shared" si="29"/>
        <v>6578746.0689160516</v>
      </c>
      <c r="G112" s="55">
        <f t="shared" si="30"/>
        <v>6688157.3182342332</v>
      </c>
      <c r="H112" s="380">
        <f t="shared" si="31"/>
        <v>1051674.2501648464</v>
      </c>
      <c r="I112" s="399">
        <f t="shared" si="32"/>
        <v>1051674.2501648464</v>
      </c>
      <c r="J112" s="54">
        <f t="shared" si="17"/>
        <v>0</v>
      </c>
      <c r="K112" s="54"/>
      <c r="L112" s="129"/>
      <c r="M112" s="54">
        <f t="shared" si="33"/>
        <v>0</v>
      </c>
      <c r="N112" s="129"/>
      <c r="O112" s="54">
        <f t="shared" si="19"/>
        <v>0</v>
      </c>
      <c r="P112" s="54">
        <f t="shared" si="20"/>
        <v>0</v>
      </c>
    </row>
    <row r="113" spans="2:16" ht="12.5">
      <c r="B113" s="7" t="str">
        <f t="shared" si="21"/>
        <v/>
      </c>
      <c r="C113" s="50">
        <f>IF(D93="","-",+C112+1)</f>
        <v>2033</v>
      </c>
      <c r="D113" s="12">
        <f>IF(F112+SUM(E$99:E112)=D$92,F112,D$92-SUM(E$99:E112))</f>
        <v>6578746.0689160516</v>
      </c>
      <c r="E113" s="378">
        <f>IF(+J96&lt;F112,J96,D113)</f>
        <v>218822.49863636363</v>
      </c>
      <c r="F113" s="55">
        <f t="shared" si="29"/>
        <v>6359923.5702796876</v>
      </c>
      <c r="G113" s="55">
        <f t="shared" si="30"/>
        <v>6469334.8195978701</v>
      </c>
      <c r="H113" s="380">
        <f t="shared" si="31"/>
        <v>1024425.0853214499</v>
      </c>
      <c r="I113" s="399">
        <f t="shared" si="32"/>
        <v>1024425.0853214499</v>
      </c>
      <c r="J113" s="54">
        <f t="shared" si="17"/>
        <v>0</v>
      </c>
      <c r="K113" s="54"/>
      <c r="L113" s="129"/>
      <c r="M113" s="54">
        <f t="shared" si="33"/>
        <v>0</v>
      </c>
      <c r="N113" s="129"/>
      <c r="O113" s="54">
        <f t="shared" si="19"/>
        <v>0</v>
      </c>
      <c r="P113" s="54">
        <f t="shared" si="20"/>
        <v>0</v>
      </c>
    </row>
    <row r="114" spans="2:16" ht="12.5">
      <c r="B114" s="7" t="str">
        <f t="shared" si="21"/>
        <v/>
      </c>
      <c r="C114" s="50">
        <f>IF(D93="","-",+C113+1)</f>
        <v>2034</v>
      </c>
      <c r="D114" s="12">
        <f>IF(F113+SUM(E$99:E113)=D$92,F113,D$92-SUM(E$99:E113))</f>
        <v>6359923.5702796876</v>
      </c>
      <c r="E114" s="378">
        <f>IF(+J96&lt;F113,J96,D114)</f>
        <v>218822.49863636363</v>
      </c>
      <c r="F114" s="55">
        <f t="shared" si="29"/>
        <v>6141101.0716433236</v>
      </c>
      <c r="G114" s="55">
        <f t="shared" si="30"/>
        <v>6250512.3209615052</v>
      </c>
      <c r="H114" s="380">
        <f t="shared" si="31"/>
        <v>997175.92047805304</v>
      </c>
      <c r="I114" s="399">
        <f t="shared" si="32"/>
        <v>997175.92047805304</v>
      </c>
      <c r="J114" s="54">
        <f t="shared" si="17"/>
        <v>0</v>
      </c>
      <c r="K114" s="54"/>
      <c r="L114" s="129"/>
      <c r="M114" s="54">
        <f t="shared" si="33"/>
        <v>0</v>
      </c>
      <c r="N114" s="129"/>
      <c r="O114" s="54">
        <f t="shared" si="19"/>
        <v>0</v>
      </c>
      <c r="P114" s="54">
        <f t="shared" si="20"/>
        <v>0</v>
      </c>
    </row>
    <row r="115" spans="2:16" ht="12.5">
      <c r="B115" s="7" t="str">
        <f t="shared" si="21"/>
        <v/>
      </c>
      <c r="C115" s="50">
        <f>IF(D93="","-",+C114+1)</f>
        <v>2035</v>
      </c>
      <c r="D115" s="12">
        <f>IF(F114+SUM(E$99:E114)=D$92,F114,D$92-SUM(E$99:E114))</f>
        <v>6141101.0716433236</v>
      </c>
      <c r="E115" s="378">
        <f>IF(+J96&lt;F114,J96,D115)</f>
        <v>218822.49863636363</v>
      </c>
      <c r="F115" s="55">
        <f t="shared" si="29"/>
        <v>5922278.5730069596</v>
      </c>
      <c r="G115" s="55">
        <f t="shared" si="30"/>
        <v>6031689.8223251421</v>
      </c>
      <c r="H115" s="380">
        <f t="shared" si="31"/>
        <v>969926.75563465641</v>
      </c>
      <c r="I115" s="399">
        <f t="shared" si="32"/>
        <v>969926.75563465641</v>
      </c>
      <c r="J115" s="54">
        <f t="shared" si="17"/>
        <v>0</v>
      </c>
      <c r="K115" s="54"/>
      <c r="L115" s="129"/>
      <c r="M115" s="54">
        <f t="shared" si="33"/>
        <v>0</v>
      </c>
      <c r="N115" s="129"/>
      <c r="O115" s="54">
        <f t="shared" si="19"/>
        <v>0</v>
      </c>
      <c r="P115" s="54">
        <f t="shared" si="20"/>
        <v>0</v>
      </c>
    </row>
    <row r="116" spans="2:16" ht="12.5">
      <c r="B116" s="7" t="str">
        <f t="shared" si="21"/>
        <v/>
      </c>
      <c r="C116" s="50">
        <f>IF(D93="","-",+C115+1)</f>
        <v>2036</v>
      </c>
      <c r="D116" s="12">
        <f>IF(F115+SUM(E$99:E115)=D$92,F115,D$92-SUM(E$99:E115))</f>
        <v>5922278.5730069643</v>
      </c>
      <c r="E116" s="378">
        <f>IF(+J96&lt;F115,J96,D116)</f>
        <v>218822.49863636363</v>
      </c>
      <c r="F116" s="55">
        <f t="shared" si="29"/>
        <v>5703456.0743706003</v>
      </c>
      <c r="G116" s="55">
        <f t="shared" si="30"/>
        <v>5812867.3236887828</v>
      </c>
      <c r="H116" s="380">
        <f t="shared" si="31"/>
        <v>942677.59079126036</v>
      </c>
      <c r="I116" s="399">
        <f t="shared" si="32"/>
        <v>942677.59079126036</v>
      </c>
      <c r="J116" s="54">
        <f t="shared" si="17"/>
        <v>0</v>
      </c>
      <c r="K116" s="54"/>
      <c r="L116" s="129"/>
      <c r="M116" s="54">
        <f t="shared" si="33"/>
        <v>0</v>
      </c>
      <c r="N116" s="129"/>
      <c r="O116" s="54">
        <f t="shared" si="19"/>
        <v>0</v>
      </c>
      <c r="P116" s="54">
        <f t="shared" si="20"/>
        <v>0</v>
      </c>
    </row>
    <row r="117" spans="2:16" ht="12.5">
      <c r="B117" s="7" t="str">
        <f t="shared" si="21"/>
        <v/>
      </c>
      <c r="C117" s="50">
        <f>IF(D93="","-",+C116+1)</f>
        <v>2037</v>
      </c>
      <c r="D117" s="12">
        <f>IF(F116+SUM(E$99:E116)=D$92,F116,D$92-SUM(E$99:E116))</f>
        <v>5703456.0743706003</v>
      </c>
      <c r="E117" s="378">
        <f>IF(+J96&lt;F116,J96,D117)</f>
        <v>218822.49863636363</v>
      </c>
      <c r="F117" s="55">
        <f t="shared" si="29"/>
        <v>5484633.5757342363</v>
      </c>
      <c r="G117" s="55">
        <f t="shared" si="30"/>
        <v>5594044.8250524178</v>
      </c>
      <c r="H117" s="380">
        <f t="shared" si="31"/>
        <v>915428.42594786349</v>
      </c>
      <c r="I117" s="399">
        <f t="shared" si="32"/>
        <v>915428.42594786349</v>
      </c>
      <c r="J117" s="54">
        <f t="shared" si="17"/>
        <v>0</v>
      </c>
      <c r="K117" s="54"/>
      <c r="L117" s="129"/>
      <c r="M117" s="54">
        <f t="shared" si="33"/>
        <v>0</v>
      </c>
      <c r="N117" s="129"/>
      <c r="O117" s="54">
        <f t="shared" si="19"/>
        <v>0</v>
      </c>
      <c r="P117" s="54">
        <f t="shared" si="20"/>
        <v>0</v>
      </c>
    </row>
    <row r="118" spans="2:16" ht="12.5">
      <c r="B118" s="7" t="str">
        <f t="shared" si="21"/>
        <v/>
      </c>
      <c r="C118" s="50">
        <f>IF(D93="","-",+C117+1)</f>
        <v>2038</v>
      </c>
      <c r="D118" s="12">
        <f>IF(F117+SUM(E$99:E117)=D$92,F117,D$92-SUM(E$99:E117))</f>
        <v>5484633.5757342363</v>
      </c>
      <c r="E118" s="378">
        <f>IF(+J96&lt;F117,J96,D118)</f>
        <v>218822.49863636363</v>
      </c>
      <c r="F118" s="55">
        <f t="shared" si="29"/>
        <v>5265811.0770978723</v>
      </c>
      <c r="G118" s="55">
        <f t="shared" si="30"/>
        <v>5375222.3264160547</v>
      </c>
      <c r="H118" s="380">
        <f t="shared" si="31"/>
        <v>888179.26110446686</v>
      </c>
      <c r="I118" s="399">
        <f t="shared" si="32"/>
        <v>888179.26110446686</v>
      </c>
      <c r="J118" s="54">
        <f t="shared" si="17"/>
        <v>0</v>
      </c>
      <c r="K118" s="54"/>
      <c r="L118" s="129"/>
      <c r="M118" s="54">
        <f t="shared" si="33"/>
        <v>0</v>
      </c>
      <c r="N118" s="129"/>
      <c r="O118" s="54">
        <f t="shared" si="19"/>
        <v>0</v>
      </c>
      <c r="P118" s="54">
        <f t="shared" si="20"/>
        <v>0</v>
      </c>
    </row>
    <row r="119" spans="2:16" ht="12.5">
      <c r="B119" s="7" t="str">
        <f t="shared" si="21"/>
        <v/>
      </c>
      <c r="C119" s="50">
        <f>IF(D93="","-",+C118+1)</f>
        <v>2039</v>
      </c>
      <c r="D119" s="12">
        <f>IF(F118+SUM(E$99:E118)=D$92,F118,D$92-SUM(E$99:E118))</f>
        <v>5265811.0770978723</v>
      </c>
      <c r="E119" s="378">
        <f>IF(+J96&lt;F118,J96,D119)</f>
        <v>218822.49863636363</v>
      </c>
      <c r="F119" s="55">
        <f t="shared" si="29"/>
        <v>5046988.5784615083</v>
      </c>
      <c r="G119" s="55">
        <f t="shared" si="30"/>
        <v>5156399.8277796898</v>
      </c>
      <c r="H119" s="380">
        <f t="shared" si="31"/>
        <v>860930.09626106999</v>
      </c>
      <c r="I119" s="399">
        <f t="shared" si="32"/>
        <v>860930.09626106999</v>
      </c>
      <c r="J119" s="54">
        <f t="shared" si="17"/>
        <v>0</v>
      </c>
      <c r="K119" s="54"/>
      <c r="L119" s="129"/>
      <c r="M119" s="54">
        <f t="shared" si="33"/>
        <v>0</v>
      </c>
      <c r="N119" s="129"/>
      <c r="O119" s="54">
        <f t="shared" si="19"/>
        <v>0</v>
      </c>
      <c r="P119" s="54">
        <f t="shared" si="20"/>
        <v>0</v>
      </c>
    </row>
    <row r="120" spans="2:16" ht="12.5">
      <c r="B120" s="7" t="str">
        <f t="shared" si="21"/>
        <v/>
      </c>
      <c r="C120" s="50">
        <f>IF(D93="","-",+C119+1)</f>
        <v>2040</v>
      </c>
      <c r="D120" s="12">
        <f>IF(F119+SUM(E$99:E119)=D$92,F119,D$92-SUM(E$99:E119))</f>
        <v>5046988.5784615083</v>
      </c>
      <c r="E120" s="378">
        <f>IF(+J96&lt;F119,J96,D120)</f>
        <v>218822.49863636363</v>
      </c>
      <c r="F120" s="55">
        <f t="shared" si="29"/>
        <v>4828166.0798251443</v>
      </c>
      <c r="G120" s="55">
        <f t="shared" si="30"/>
        <v>4937577.3291433267</v>
      </c>
      <c r="H120" s="380">
        <f t="shared" si="31"/>
        <v>833680.93141767336</v>
      </c>
      <c r="I120" s="399">
        <f t="shared" si="32"/>
        <v>833680.93141767336</v>
      </c>
      <c r="J120" s="54">
        <f t="shared" si="17"/>
        <v>0</v>
      </c>
      <c r="K120" s="54"/>
      <c r="L120" s="129"/>
      <c r="M120" s="54">
        <f t="shared" si="33"/>
        <v>0</v>
      </c>
      <c r="N120" s="129"/>
      <c r="O120" s="54">
        <f t="shared" si="19"/>
        <v>0</v>
      </c>
      <c r="P120" s="54">
        <f t="shared" si="20"/>
        <v>0</v>
      </c>
    </row>
    <row r="121" spans="2:16" ht="12.5">
      <c r="B121" s="7" t="str">
        <f t="shared" si="21"/>
        <v/>
      </c>
      <c r="C121" s="50">
        <f>IF(D93="","-",+C120+1)</f>
        <v>2041</v>
      </c>
      <c r="D121" s="12">
        <f>IF(F120+SUM(E$99:E120)=D$92,F120,D$92-SUM(E$99:E120))</f>
        <v>4828166.0798251443</v>
      </c>
      <c r="E121" s="378">
        <f>IF(+J96&lt;F120,J96,D121)</f>
        <v>218822.49863636363</v>
      </c>
      <c r="F121" s="55">
        <f t="shared" si="29"/>
        <v>4609343.5811887803</v>
      </c>
      <c r="G121" s="55">
        <f t="shared" si="30"/>
        <v>4718754.8305069618</v>
      </c>
      <c r="H121" s="380">
        <f t="shared" si="31"/>
        <v>806431.76657427649</v>
      </c>
      <c r="I121" s="399">
        <f t="shared" si="32"/>
        <v>806431.76657427649</v>
      </c>
      <c r="J121" s="54">
        <f t="shared" si="17"/>
        <v>0</v>
      </c>
      <c r="K121" s="54"/>
      <c r="L121" s="129"/>
      <c r="M121" s="54">
        <f t="shared" si="33"/>
        <v>0</v>
      </c>
      <c r="N121" s="129"/>
      <c r="O121" s="54">
        <f t="shared" si="19"/>
        <v>0</v>
      </c>
      <c r="P121" s="54">
        <f t="shared" si="20"/>
        <v>0</v>
      </c>
    </row>
    <row r="122" spans="2:16" ht="12.5">
      <c r="B122" s="7" t="str">
        <f t="shared" si="21"/>
        <v/>
      </c>
      <c r="C122" s="50">
        <f>IF(D93="","-",+C121+1)</f>
        <v>2042</v>
      </c>
      <c r="D122" s="12">
        <f>IF(F121+SUM(E$99:E121)=D$92,F121,D$92-SUM(E$99:E121))</f>
        <v>4609343.5811887803</v>
      </c>
      <c r="E122" s="378">
        <f>IF(+J96&lt;F121,J96,D122)</f>
        <v>218822.49863636363</v>
      </c>
      <c r="F122" s="55">
        <f t="shared" si="29"/>
        <v>4390521.0825524163</v>
      </c>
      <c r="G122" s="55">
        <f t="shared" si="30"/>
        <v>4499932.3318705987</v>
      </c>
      <c r="H122" s="380">
        <f t="shared" si="31"/>
        <v>779182.60173087998</v>
      </c>
      <c r="I122" s="399">
        <f t="shared" si="32"/>
        <v>779182.60173087998</v>
      </c>
      <c r="J122" s="54">
        <f t="shared" si="17"/>
        <v>0</v>
      </c>
      <c r="K122" s="54"/>
      <c r="L122" s="129"/>
      <c r="M122" s="54">
        <f t="shared" si="33"/>
        <v>0</v>
      </c>
      <c r="N122" s="129"/>
      <c r="O122" s="54">
        <f t="shared" si="19"/>
        <v>0</v>
      </c>
      <c r="P122" s="54">
        <f t="shared" si="20"/>
        <v>0</v>
      </c>
    </row>
    <row r="123" spans="2:16" ht="12.5">
      <c r="B123" s="7" t="str">
        <f t="shared" si="21"/>
        <v/>
      </c>
      <c r="C123" s="50">
        <f>IF(D93="","-",+C122+1)</f>
        <v>2043</v>
      </c>
      <c r="D123" s="12">
        <f>IF(F122+SUM(E$99:E122)=D$92,F122,D$92-SUM(E$99:E122))</f>
        <v>4390521.0825524163</v>
      </c>
      <c r="E123" s="378">
        <f>IF(+J96&lt;F122,J96,D123)</f>
        <v>218822.49863636363</v>
      </c>
      <c r="F123" s="55">
        <f t="shared" si="29"/>
        <v>4171698.5839160527</v>
      </c>
      <c r="G123" s="55">
        <f t="shared" si="30"/>
        <v>4281109.8332342347</v>
      </c>
      <c r="H123" s="380">
        <f t="shared" si="31"/>
        <v>751933.43688748323</v>
      </c>
      <c r="I123" s="399">
        <f t="shared" si="32"/>
        <v>751933.43688748323</v>
      </c>
      <c r="J123" s="54">
        <f t="shared" si="17"/>
        <v>0</v>
      </c>
      <c r="K123" s="54"/>
      <c r="L123" s="129"/>
      <c r="M123" s="54">
        <f t="shared" si="33"/>
        <v>0</v>
      </c>
      <c r="N123" s="129"/>
      <c r="O123" s="54">
        <f t="shared" si="19"/>
        <v>0</v>
      </c>
      <c r="P123" s="54">
        <f t="shared" si="20"/>
        <v>0</v>
      </c>
    </row>
    <row r="124" spans="2:16" ht="12.5">
      <c r="B124" s="7" t="str">
        <f t="shared" si="21"/>
        <v/>
      </c>
      <c r="C124" s="50">
        <f>IF(D93="","-",+C123+1)</f>
        <v>2044</v>
      </c>
      <c r="D124" s="12">
        <f>IF(F123+SUM(E$99:E123)=D$92,F123,D$92-SUM(E$99:E123))</f>
        <v>4171698.5839160527</v>
      </c>
      <c r="E124" s="378">
        <f>IF(+J96&lt;F123,J96,D124)</f>
        <v>218822.49863636363</v>
      </c>
      <c r="F124" s="55">
        <f t="shared" si="29"/>
        <v>3952876.0852796892</v>
      </c>
      <c r="G124" s="55">
        <f t="shared" si="30"/>
        <v>4062287.3345978707</v>
      </c>
      <c r="H124" s="380">
        <f t="shared" si="31"/>
        <v>724684.27204408648</v>
      </c>
      <c r="I124" s="399">
        <f t="shared" si="32"/>
        <v>724684.27204408648</v>
      </c>
      <c r="J124" s="54">
        <f t="shared" si="17"/>
        <v>0</v>
      </c>
      <c r="K124" s="54"/>
      <c r="L124" s="129"/>
      <c r="M124" s="54">
        <f t="shared" si="33"/>
        <v>0</v>
      </c>
      <c r="N124" s="129"/>
      <c r="O124" s="54">
        <f t="shared" si="19"/>
        <v>0</v>
      </c>
      <c r="P124" s="54">
        <f t="shared" si="20"/>
        <v>0</v>
      </c>
    </row>
    <row r="125" spans="2:16" ht="12.5">
      <c r="B125" s="7" t="str">
        <f t="shared" si="21"/>
        <v/>
      </c>
      <c r="C125" s="50">
        <f>IF(D93="","-",+C124+1)</f>
        <v>2045</v>
      </c>
      <c r="D125" s="12">
        <f>IF(F124+SUM(E$99:E124)=D$92,F124,D$92-SUM(E$99:E124))</f>
        <v>3952876.0852796892</v>
      </c>
      <c r="E125" s="378">
        <f>IF(+J96&lt;F124,J96,D125)</f>
        <v>218822.49863636363</v>
      </c>
      <c r="F125" s="55">
        <f t="shared" si="29"/>
        <v>3734053.5866433256</v>
      </c>
      <c r="G125" s="55">
        <f t="shared" si="30"/>
        <v>3843464.8359615076</v>
      </c>
      <c r="H125" s="380">
        <f t="shared" si="31"/>
        <v>697435.10720068985</v>
      </c>
      <c r="I125" s="399">
        <f t="shared" si="32"/>
        <v>697435.10720068985</v>
      </c>
      <c r="J125" s="54">
        <f t="shared" si="17"/>
        <v>0</v>
      </c>
      <c r="K125" s="54"/>
      <c r="L125" s="129"/>
      <c r="M125" s="54">
        <f t="shared" si="33"/>
        <v>0</v>
      </c>
      <c r="N125" s="129"/>
      <c r="O125" s="54">
        <f t="shared" si="19"/>
        <v>0</v>
      </c>
      <c r="P125" s="54">
        <f t="shared" si="20"/>
        <v>0</v>
      </c>
    </row>
    <row r="126" spans="2:16" ht="12.5">
      <c r="B126" s="7" t="str">
        <f t="shared" si="21"/>
        <v/>
      </c>
      <c r="C126" s="50">
        <f>IF(D93="","-",+C125+1)</f>
        <v>2046</v>
      </c>
      <c r="D126" s="12">
        <f>IF(F125+SUM(E$99:E125)=D$92,F125,D$92-SUM(E$99:E125))</f>
        <v>3734053.5866433256</v>
      </c>
      <c r="E126" s="378">
        <f>IF(+J96&lt;F125,J96,D126)</f>
        <v>218822.49863636363</v>
      </c>
      <c r="F126" s="55">
        <f t="shared" si="29"/>
        <v>3515231.0880069621</v>
      </c>
      <c r="G126" s="55">
        <f t="shared" si="30"/>
        <v>3624642.3373251436</v>
      </c>
      <c r="H126" s="380">
        <f t="shared" si="31"/>
        <v>670185.9423572931</v>
      </c>
      <c r="I126" s="399">
        <f t="shared" si="32"/>
        <v>670185.9423572931</v>
      </c>
      <c r="J126" s="54">
        <f t="shared" si="17"/>
        <v>0</v>
      </c>
      <c r="K126" s="54"/>
      <c r="L126" s="129"/>
      <c r="M126" s="54">
        <f t="shared" si="33"/>
        <v>0</v>
      </c>
      <c r="N126" s="129"/>
      <c r="O126" s="54">
        <f t="shared" si="19"/>
        <v>0</v>
      </c>
      <c r="P126" s="54">
        <f t="shared" si="20"/>
        <v>0</v>
      </c>
    </row>
    <row r="127" spans="2:16" ht="12.5">
      <c r="B127" s="7" t="str">
        <f t="shared" si="21"/>
        <v/>
      </c>
      <c r="C127" s="50">
        <f>IF(D93="","-",+C126+1)</f>
        <v>2047</v>
      </c>
      <c r="D127" s="12">
        <f>IF(F126+SUM(E$99:E126)=D$92,F126,D$92-SUM(E$99:E126))</f>
        <v>3515231.0880069621</v>
      </c>
      <c r="E127" s="378">
        <f>IF(+J96&lt;F126,J96,D127)</f>
        <v>218822.49863636363</v>
      </c>
      <c r="F127" s="55">
        <f t="shared" si="29"/>
        <v>3296408.5893705986</v>
      </c>
      <c r="G127" s="55">
        <f t="shared" si="30"/>
        <v>3405819.8386887806</v>
      </c>
      <c r="H127" s="380">
        <f t="shared" si="31"/>
        <v>642936.77751389646</v>
      </c>
      <c r="I127" s="399">
        <f t="shared" si="32"/>
        <v>642936.77751389646</v>
      </c>
      <c r="J127" s="54">
        <f t="shared" si="17"/>
        <v>0</v>
      </c>
      <c r="K127" s="54"/>
      <c r="L127" s="129"/>
      <c r="M127" s="54">
        <f t="shared" si="33"/>
        <v>0</v>
      </c>
      <c r="N127" s="129"/>
      <c r="O127" s="54">
        <f t="shared" si="19"/>
        <v>0</v>
      </c>
      <c r="P127" s="54">
        <f t="shared" si="20"/>
        <v>0</v>
      </c>
    </row>
    <row r="128" spans="2:16" ht="12.5">
      <c r="B128" s="7" t="str">
        <f t="shared" si="21"/>
        <v/>
      </c>
      <c r="C128" s="50">
        <f>IF(D93="","-",+C127+1)</f>
        <v>2048</v>
      </c>
      <c r="D128" s="12">
        <f>IF(F127+SUM(E$99:E127)=D$92,F127,D$92-SUM(E$99:E127))</f>
        <v>3296408.5893705986</v>
      </c>
      <c r="E128" s="378">
        <f>IF(+J96&lt;F127,J96,D128)</f>
        <v>218822.49863636363</v>
      </c>
      <c r="F128" s="55">
        <f t="shared" si="29"/>
        <v>3077586.090734235</v>
      </c>
      <c r="G128" s="55">
        <f t="shared" si="30"/>
        <v>3186997.3400524165</v>
      </c>
      <c r="H128" s="380">
        <f t="shared" si="31"/>
        <v>615687.61267049972</v>
      </c>
      <c r="I128" s="399">
        <f t="shared" si="32"/>
        <v>615687.61267049972</v>
      </c>
      <c r="J128" s="54">
        <f t="shared" si="17"/>
        <v>0</v>
      </c>
      <c r="K128" s="54"/>
      <c r="L128" s="129"/>
      <c r="M128" s="54">
        <f t="shared" si="33"/>
        <v>0</v>
      </c>
      <c r="N128" s="129"/>
      <c r="O128" s="54">
        <f t="shared" si="19"/>
        <v>0</v>
      </c>
      <c r="P128" s="54">
        <f t="shared" si="20"/>
        <v>0</v>
      </c>
    </row>
    <row r="129" spans="2:16" ht="12.5">
      <c r="B129" s="7" t="str">
        <f t="shared" si="21"/>
        <v/>
      </c>
      <c r="C129" s="50">
        <f>IF(D93="","-",+C128+1)</f>
        <v>2049</v>
      </c>
      <c r="D129" s="12">
        <f>IF(F128+SUM(E$99:E128)=D$92,F128,D$92-SUM(E$99:E128))</f>
        <v>3077586.090734235</v>
      </c>
      <c r="E129" s="378">
        <f>IF(+J96&lt;F128,J96,D129)</f>
        <v>218822.49863636363</v>
      </c>
      <c r="F129" s="55">
        <f t="shared" si="29"/>
        <v>2858763.5920978715</v>
      </c>
      <c r="G129" s="55">
        <f t="shared" si="30"/>
        <v>2968174.8414160535</v>
      </c>
      <c r="H129" s="380">
        <f t="shared" si="31"/>
        <v>588438.4478271032</v>
      </c>
      <c r="I129" s="399">
        <f t="shared" si="32"/>
        <v>588438.4478271032</v>
      </c>
      <c r="J129" s="54">
        <f t="shared" si="17"/>
        <v>0</v>
      </c>
      <c r="K129" s="54"/>
      <c r="L129" s="129"/>
      <c r="M129" s="54">
        <f t="shared" si="33"/>
        <v>0</v>
      </c>
      <c r="N129" s="129"/>
      <c r="O129" s="54">
        <f t="shared" si="19"/>
        <v>0</v>
      </c>
      <c r="P129" s="54">
        <f t="shared" si="20"/>
        <v>0</v>
      </c>
    </row>
    <row r="130" spans="2:16" ht="12.5">
      <c r="B130" s="7" t="str">
        <f t="shared" si="21"/>
        <v/>
      </c>
      <c r="C130" s="50">
        <f>IF(D93="","-",+C129+1)</f>
        <v>2050</v>
      </c>
      <c r="D130" s="12">
        <f>IF(F129+SUM(E$99:E129)=D$92,F129,D$92-SUM(E$99:E129))</f>
        <v>2858763.5920978715</v>
      </c>
      <c r="E130" s="378">
        <f>IF(+J96&lt;F129,J96,D130)</f>
        <v>218822.49863636363</v>
      </c>
      <c r="F130" s="55">
        <f t="shared" si="29"/>
        <v>2639941.0934615079</v>
      </c>
      <c r="G130" s="55">
        <f t="shared" si="30"/>
        <v>2749352.3427796895</v>
      </c>
      <c r="H130" s="380">
        <f t="shared" si="31"/>
        <v>561189.28298370645</v>
      </c>
      <c r="I130" s="399">
        <f t="shared" si="32"/>
        <v>561189.28298370645</v>
      </c>
      <c r="J130" s="54">
        <f t="shared" si="17"/>
        <v>0</v>
      </c>
      <c r="K130" s="54"/>
      <c r="L130" s="129"/>
      <c r="M130" s="54">
        <f t="shared" si="33"/>
        <v>0</v>
      </c>
      <c r="N130" s="129"/>
      <c r="O130" s="54">
        <f t="shared" si="19"/>
        <v>0</v>
      </c>
      <c r="P130" s="54">
        <f t="shared" si="20"/>
        <v>0</v>
      </c>
    </row>
    <row r="131" spans="2:16" ht="12.5">
      <c r="B131" s="7" t="str">
        <f t="shared" si="21"/>
        <v/>
      </c>
      <c r="C131" s="50">
        <f>IF(D93="","-",+C130+1)</f>
        <v>2051</v>
      </c>
      <c r="D131" s="12">
        <f>IF(F130+SUM(E$99:E130)=D$92,F130,D$92-SUM(E$99:E130))</f>
        <v>2639941.0934615079</v>
      </c>
      <c r="E131" s="378">
        <f>IF(+J96&lt;F130,J96,D131)</f>
        <v>218822.49863636363</v>
      </c>
      <c r="F131" s="55">
        <f t="shared" si="29"/>
        <v>2421118.5948251444</v>
      </c>
      <c r="G131" s="55">
        <f t="shared" si="30"/>
        <v>2530529.8441433264</v>
      </c>
      <c r="H131" s="380">
        <f t="shared" si="31"/>
        <v>533940.11814030982</v>
      </c>
      <c r="I131" s="399">
        <f t="shared" si="32"/>
        <v>533940.11814030982</v>
      </c>
      <c r="J131" s="54">
        <f t="shared" ref="J131:J154" si="34">+I541-H541</f>
        <v>0</v>
      </c>
      <c r="K131" s="54"/>
      <c r="L131" s="129"/>
      <c r="M131" s="54">
        <f t="shared" ref="M131:M154" si="35">IF(L541&lt;&gt;0,+H541-L541,0)</f>
        <v>0</v>
      </c>
      <c r="N131" s="129"/>
      <c r="O131" s="54">
        <f t="shared" ref="O131:O154" si="36">IF(N541&lt;&gt;0,+I541-N541,0)</f>
        <v>0</v>
      </c>
      <c r="P131" s="54">
        <f t="shared" ref="P131:P154" si="37">+O541-M541</f>
        <v>0</v>
      </c>
    </row>
    <row r="132" spans="2:16" ht="12.5">
      <c r="B132" s="7" t="str">
        <f t="shared" si="21"/>
        <v/>
      </c>
      <c r="C132" s="50">
        <f>IF(D93="","-",+C131+1)</f>
        <v>2052</v>
      </c>
      <c r="D132" s="12">
        <f>IF(F131+SUM(E$99:E131)=D$92,F131,D$92-SUM(E$99:E131))</f>
        <v>2421118.5948251444</v>
      </c>
      <c r="E132" s="378">
        <f>IF(+J96&lt;F131,J96,D132)</f>
        <v>218822.49863636363</v>
      </c>
      <c r="F132" s="55">
        <f t="shared" si="29"/>
        <v>2202296.0961887809</v>
      </c>
      <c r="G132" s="55">
        <f t="shared" si="30"/>
        <v>2311707.3455069624</v>
      </c>
      <c r="H132" s="380">
        <f t="shared" si="31"/>
        <v>506690.95329691307</v>
      </c>
      <c r="I132" s="399">
        <f t="shared" si="32"/>
        <v>506690.95329691307</v>
      </c>
      <c r="J132" s="54">
        <f t="shared" si="34"/>
        <v>0</v>
      </c>
      <c r="K132" s="54"/>
      <c r="L132" s="129"/>
      <c r="M132" s="54">
        <f t="shared" si="35"/>
        <v>0</v>
      </c>
      <c r="N132" s="129"/>
      <c r="O132" s="54">
        <f t="shared" si="36"/>
        <v>0</v>
      </c>
      <c r="P132" s="54">
        <f t="shared" si="37"/>
        <v>0</v>
      </c>
    </row>
    <row r="133" spans="2:16" ht="12.5">
      <c r="B133" s="7" t="str">
        <f t="shared" si="21"/>
        <v/>
      </c>
      <c r="C133" s="50">
        <f>IF(D93="","-",+C132+1)</f>
        <v>2053</v>
      </c>
      <c r="D133" s="12">
        <f>IF(F132+SUM(E$99:E132)=D$92,F132,D$92-SUM(E$99:E132))</f>
        <v>2202296.0961887809</v>
      </c>
      <c r="E133" s="378">
        <f>IF(+J96&lt;F132,J96,D133)</f>
        <v>218822.49863636363</v>
      </c>
      <c r="F133" s="55">
        <f t="shared" si="29"/>
        <v>1983473.5975524173</v>
      </c>
      <c r="G133" s="55">
        <f t="shared" si="30"/>
        <v>2092884.8468705991</v>
      </c>
      <c r="H133" s="380">
        <f t="shared" si="31"/>
        <v>479441.78845351643</v>
      </c>
      <c r="I133" s="399">
        <f t="shared" si="32"/>
        <v>479441.78845351643</v>
      </c>
      <c r="J133" s="54">
        <f t="shared" si="34"/>
        <v>0</v>
      </c>
      <c r="K133" s="54"/>
      <c r="L133" s="129"/>
      <c r="M133" s="54">
        <f t="shared" si="35"/>
        <v>0</v>
      </c>
      <c r="N133" s="129"/>
      <c r="O133" s="54">
        <f t="shared" si="36"/>
        <v>0</v>
      </c>
      <c r="P133" s="54">
        <f t="shared" si="37"/>
        <v>0</v>
      </c>
    </row>
    <row r="134" spans="2:16" ht="12.5">
      <c r="B134" s="7" t="str">
        <f t="shared" si="21"/>
        <v/>
      </c>
      <c r="C134" s="50">
        <f>IF(D93="","-",+C133+1)</f>
        <v>2054</v>
      </c>
      <c r="D134" s="12">
        <f>IF(F133+SUM(E$99:E133)=D$92,F133,D$92-SUM(E$99:E133))</f>
        <v>1983473.5975524173</v>
      </c>
      <c r="E134" s="378">
        <f>IF(+J96&lt;F133,J96,D134)</f>
        <v>218822.49863636363</v>
      </c>
      <c r="F134" s="55">
        <f t="shared" si="29"/>
        <v>1764651.0989160538</v>
      </c>
      <c r="G134" s="55">
        <f t="shared" si="30"/>
        <v>1874062.3482342355</v>
      </c>
      <c r="H134" s="380">
        <f t="shared" si="31"/>
        <v>452192.6236101198</v>
      </c>
      <c r="I134" s="399">
        <f t="shared" si="32"/>
        <v>452192.6236101198</v>
      </c>
      <c r="J134" s="54">
        <f t="shared" si="34"/>
        <v>0</v>
      </c>
      <c r="K134" s="54"/>
      <c r="L134" s="129"/>
      <c r="M134" s="54">
        <f t="shared" si="35"/>
        <v>0</v>
      </c>
      <c r="N134" s="129"/>
      <c r="O134" s="54">
        <f t="shared" si="36"/>
        <v>0</v>
      </c>
      <c r="P134" s="54">
        <f t="shared" si="37"/>
        <v>0</v>
      </c>
    </row>
    <row r="135" spans="2:16" ht="12.5">
      <c r="B135" s="7" t="str">
        <f t="shared" si="21"/>
        <v/>
      </c>
      <c r="C135" s="50">
        <f>IF(D93="","-",+C134+1)</f>
        <v>2055</v>
      </c>
      <c r="D135" s="12">
        <f>IF(F134+SUM(E$99:E134)=D$92,F134,D$92-SUM(E$99:E134))</f>
        <v>1764651.0989160491</v>
      </c>
      <c r="E135" s="378">
        <f>IF(+J96&lt;F134,J96,D135)</f>
        <v>218822.49863636363</v>
      </c>
      <c r="F135" s="55">
        <f t="shared" si="29"/>
        <v>1545828.6002796856</v>
      </c>
      <c r="G135" s="55">
        <f t="shared" si="30"/>
        <v>1655239.8495978673</v>
      </c>
      <c r="H135" s="380">
        <f t="shared" si="31"/>
        <v>424943.45876672247</v>
      </c>
      <c r="I135" s="399">
        <f t="shared" si="32"/>
        <v>424943.45876672247</v>
      </c>
      <c r="J135" s="54">
        <f t="shared" si="34"/>
        <v>0</v>
      </c>
      <c r="K135" s="54"/>
      <c r="L135" s="129"/>
      <c r="M135" s="54">
        <f t="shared" si="35"/>
        <v>0</v>
      </c>
      <c r="N135" s="129"/>
      <c r="O135" s="54">
        <f t="shared" si="36"/>
        <v>0</v>
      </c>
      <c r="P135" s="54">
        <f t="shared" si="37"/>
        <v>0</v>
      </c>
    </row>
    <row r="136" spans="2:16" ht="12.5">
      <c r="B136" s="7" t="str">
        <f t="shared" si="21"/>
        <v/>
      </c>
      <c r="C136" s="50">
        <f>IF(D93="","-",+C135+1)</f>
        <v>2056</v>
      </c>
      <c r="D136" s="12">
        <f>IF(F135+SUM(E$99:E135)=D$92,F135,D$92-SUM(E$99:E135))</f>
        <v>1545828.6002796856</v>
      </c>
      <c r="E136" s="378">
        <f>IF(+J96&lt;F135,J96,D136)</f>
        <v>218822.49863636363</v>
      </c>
      <c r="F136" s="55">
        <f t="shared" si="29"/>
        <v>1327006.101643322</v>
      </c>
      <c r="G136" s="55">
        <f t="shared" si="30"/>
        <v>1436417.3509615038</v>
      </c>
      <c r="H136" s="380">
        <f t="shared" si="31"/>
        <v>397694.29392332584</v>
      </c>
      <c r="I136" s="399">
        <f t="shared" si="32"/>
        <v>397694.29392332584</v>
      </c>
      <c r="J136" s="54">
        <f t="shared" si="34"/>
        <v>0</v>
      </c>
      <c r="K136" s="54"/>
      <c r="L136" s="129"/>
      <c r="M136" s="54">
        <f t="shared" si="35"/>
        <v>0</v>
      </c>
      <c r="N136" s="129"/>
      <c r="O136" s="54">
        <f t="shared" si="36"/>
        <v>0</v>
      </c>
      <c r="P136" s="54">
        <f t="shared" si="37"/>
        <v>0</v>
      </c>
    </row>
    <row r="137" spans="2:16" ht="12.5">
      <c r="B137" s="7" t="str">
        <f t="shared" si="21"/>
        <v/>
      </c>
      <c r="C137" s="50">
        <f>IF(D93="","-",+C136+1)</f>
        <v>2057</v>
      </c>
      <c r="D137" s="12">
        <f>IF(F136+SUM(E$99:E136)=D$92,F136,D$92-SUM(E$99:E136))</f>
        <v>1327006.101643322</v>
      </c>
      <c r="E137" s="378">
        <f>IF(+J96&lt;F136,J96,D137)</f>
        <v>218822.49863636363</v>
      </c>
      <c r="F137" s="55">
        <f t="shared" si="29"/>
        <v>1108183.6030069585</v>
      </c>
      <c r="G137" s="55">
        <f t="shared" si="30"/>
        <v>1217594.8523251403</v>
      </c>
      <c r="H137" s="380">
        <f t="shared" si="31"/>
        <v>370445.1290799292</v>
      </c>
      <c r="I137" s="399">
        <f t="shared" si="32"/>
        <v>370445.1290799292</v>
      </c>
      <c r="J137" s="54">
        <f t="shared" si="34"/>
        <v>0</v>
      </c>
      <c r="K137" s="54"/>
      <c r="L137" s="129"/>
      <c r="M137" s="54">
        <f t="shared" si="35"/>
        <v>0</v>
      </c>
      <c r="N137" s="129"/>
      <c r="O137" s="54">
        <f t="shared" si="36"/>
        <v>0</v>
      </c>
      <c r="P137" s="54">
        <f t="shared" si="37"/>
        <v>0</v>
      </c>
    </row>
    <row r="138" spans="2:16" ht="12.5">
      <c r="B138" s="7" t="str">
        <f t="shared" si="21"/>
        <v/>
      </c>
      <c r="C138" s="50">
        <f>IF(D93="","-",+C137+1)</f>
        <v>2058</v>
      </c>
      <c r="D138" s="12">
        <f>IF(F137+SUM(E$99:E137)=D$92,F137,D$92-SUM(E$99:E137))</f>
        <v>1108183.6030069585</v>
      </c>
      <c r="E138" s="378">
        <f>IF(+J96&lt;F137,J96,D138)</f>
        <v>218822.49863636363</v>
      </c>
      <c r="F138" s="55">
        <f t="shared" si="29"/>
        <v>889361.10437059484</v>
      </c>
      <c r="G138" s="55">
        <f t="shared" si="30"/>
        <v>998772.35368877673</v>
      </c>
      <c r="H138" s="380">
        <f t="shared" si="31"/>
        <v>343195.96423653251</v>
      </c>
      <c r="I138" s="399">
        <f t="shared" si="32"/>
        <v>343195.96423653251</v>
      </c>
      <c r="J138" s="54">
        <f t="shared" si="34"/>
        <v>0</v>
      </c>
      <c r="K138" s="54"/>
      <c r="L138" s="129"/>
      <c r="M138" s="54">
        <f t="shared" si="35"/>
        <v>0</v>
      </c>
      <c r="N138" s="129"/>
      <c r="O138" s="54">
        <f t="shared" si="36"/>
        <v>0</v>
      </c>
      <c r="P138" s="54">
        <f t="shared" si="37"/>
        <v>0</v>
      </c>
    </row>
    <row r="139" spans="2:16" ht="12.5">
      <c r="B139" s="7" t="str">
        <f t="shared" si="21"/>
        <v/>
      </c>
      <c r="C139" s="50">
        <f>IF(D93="","-",+C138+1)</f>
        <v>2059</v>
      </c>
      <c r="D139" s="12">
        <f>IF(F138+SUM(E$99:E138)=D$92,F138,D$92-SUM(E$99:E138))</f>
        <v>889361.10437059484</v>
      </c>
      <c r="E139" s="378">
        <f>IF(+J96&lt;F138,J96,D139)</f>
        <v>218822.49863636363</v>
      </c>
      <c r="F139" s="55">
        <f t="shared" si="29"/>
        <v>670538.60573423118</v>
      </c>
      <c r="G139" s="55">
        <f t="shared" si="30"/>
        <v>779949.85505241295</v>
      </c>
      <c r="H139" s="380">
        <f t="shared" si="31"/>
        <v>315946.79939313582</v>
      </c>
      <c r="I139" s="399">
        <f t="shared" si="32"/>
        <v>315946.79939313582</v>
      </c>
      <c r="J139" s="54">
        <f t="shared" si="34"/>
        <v>0</v>
      </c>
      <c r="K139" s="54"/>
      <c r="L139" s="129"/>
      <c r="M139" s="54">
        <f t="shared" si="35"/>
        <v>0</v>
      </c>
      <c r="N139" s="129"/>
      <c r="O139" s="54">
        <f t="shared" si="36"/>
        <v>0</v>
      </c>
      <c r="P139" s="54">
        <f t="shared" si="37"/>
        <v>0</v>
      </c>
    </row>
    <row r="140" spans="2:16" ht="12.5">
      <c r="B140" s="7" t="str">
        <f t="shared" si="21"/>
        <v/>
      </c>
      <c r="C140" s="50">
        <f>IF(D93="","-",+C139+1)</f>
        <v>2060</v>
      </c>
      <c r="D140" s="12">
        <f>IF(F139+SUM(E$99:E139)=D$92,F139,D$92-SUM(E$99:E139))</f>
        <v>670538.60573423118</v>
      </c>
      <c r="E140" s="378">
        <f>IF(+J96&lt;F139,J96,D140)</f>
        <v>218822.49863636363</v>
      </c>
      <c r="F140" s="55">
        <f t="shared" si="29"/>
        <v>451716.10709786753</v>
      </c>
      <c r="G140" s="55">
        <f t="shared" si="30"/>
        <v>561127.35641604941</v>
      </c>
      <c r="H140" s="380">
        <f t="shared" si="31"/>
        <v>288697.63454973913</v>
      </c>
      <c r="I140" s="399">
        <f t="shared" si="32"/>
        <v>288697.63454973913</v>
      </c>
      <c r="J140" s="54">
        <f t="shared" si="34"/>
        <v>0</v>
      </c>
      <c r="K140" s="54"/>
      <c r="L140" s="129"/>
      <c r="M140" s="54">
        <f t="shared" si="35"/>
        <v>0</v>
      </c>
      <c r="N140" s="129"/>
      <c r="O140" s="54">
        <f t="shared" si="36"/>
        <v>0</v>
      </c>
      <c r="P140" s="54">
        <f t="shared" si="37"/>
        <v>0</v>
      </c>
    </row>
    <row r="141" spans="2:16" ht="12.5">
      <c r="B141" s="7" t="str">
        <f t="shared" si="21"/>
        <v/>
      </c>
      <c r="C141" s="50">
        <f>IF(D93="","-",+C140+1)</f>
        <v>2061</v>
      </c>
      <c r="D141" s="12">
        <f>IF(F140+SUM(E$99:E140)=D$92,F140,D$92-SUM(E$99:E140))</f>
        <v>451716.10709786753</v>
      </c>
      <c r="E141" s="378">
        <f>IF(+J96&lt;F140,J96,D141)</f>
        <v>218822.49863636363</v>
      </c>
      <c r="F141" s="55">
        <f t="shared" si="29"/>
        <v>232893.6084615039</v>
      </c>
      <c r="G141" s="55">
        <f t="shared" si="30"/>
        <v>342304.8577796857</v>
      </c>
      <c r="H141" s="380">
        <f t="shared" si="31"/>
        <v>261448.46970634244</v>
      </c>
      <c r="I141" s="399">
        <f t="shared" si="32"/>
        <v>261448.46970634244</v>
      </c>
      <c r="J141" s="54">
        <f t="shared" si="34"/>
        <v>0</v>
      </c>
      <c r="K141" s="54"/>
      <c r="L141" s="129"/>
      <c r="M141" s="54">
        <f t="shared" si="35"/>
        <v>0</v>
      </c>
      <c r="N141" s="129"/>
      <c r="O141" s="54">
        <f t="shared" si="36"/>
        <v>0</v>
      </c>
      <c r="P141" s="54">
        <f t="shared" si="37"/>
        <v>0</v>
      </c>
    </row>
    <row r="142" spans="2:16" ht="12.5">
      <c r="B142" s="7" t="str">
        <f t="shared" si="21"/>
        <v/>
      </c>
      <c r="C142" s="50">
        <f>IF(D93="","-",+C141+1)</f>
        <v>2062</v>
      </c>
      <c r="D142" s="12">
        <f>IF(F141+SUM(E$99:E141)=D$92,F141,D$92-SUM(E$99:E141))</f>
        <v>232893.6084615039</v>
      </c>
      <c r="E142" s="378">
        <f>IF(+J96&lt;F141,J96,D142)</f>
        <v>218822.49863636363</v>
      </c>
      <c r="F142" s="55">
        <f t="shared" si="29"/>
        <v>14071.109825140273</v>
      </c>
      <c r="G142" s="55">
        <f t="shared" si="30"/>
        <v>123482.35914332209</v>
      </c>
      <c r="H142" s="380">
        <f t="shared" si="31"/>
        <v>234199.30486294575</v>
      </c>
      <c r="I142" s="399">
        <f t="shared" si="32"/>
        <v>234199.30486294575</v>
      </c>
      <c r="J142" s="54">
        <f t="shared" si="34"/>
        <v>0</v>
      </c>
      <c r="K142" s="54"/>
      <c r="L142" s="129"/>
      <c r="M142" s="54">
        <f t="shared" si="35"/>
        <v>0</v>
      </c>
      <c r="N142" s="129"/>
      <c r="O142" s="54">
        <f t="shared" si="36"/>
        <v>0</v>
      </c>
      <c r="P142" s="54">
        <f t="shared" si="37"/>
        <v>0</v>
      </c>
    </row>
    <row r="143" spans="2:16" ht="12.5">
      <c r="B143" s="7" t="str">
        <f t="shared" si="21"/>
        <v/>
      </c>
      <c r="C143" s="50">
        <f>IF(D93="","-",+C142+1)</f>
        <v>2063</v>
      </c>
      <c r="D143" s="12">
        <f>IF(F142+SUM(E$99:E142)=D$92,F142,D$92-SUM(E$99:E142))</f>
        <v>14071.109825140273</v>
      </c>
      <c r="E143" s="378">
        <f>IF(+J96&lt;F142,J96,D143)</f>
        <v>14071.109825140273</v>
      </c>
      <c r="F143" s="55">
        <f t="shared" si="29"/>
        <v>0</v>
      </c>
      <c r="G143" s="55">
        <f t="shared" si="30"/>
        <v>7035.5549125701364</v>
      </c>
      <c r="H143" s="380">
        <f t="shared" si="31"/>
        <v>14947.221727582166</v>
      </c>
      <c r="I143" s="399">
        <f t="shared" si="32"/>
        <v>14947.221727582166</v>
      </c>
      <c r="J143" s="54">
        <f t="shared" si="34"/>
        <v>0</v>
      </c>
      <c r="K143" s="54"/>
      <c r="L143" s="129"/>
      <c r="M143" s="54">
        <f t="shared" si="35"/>
        <v>0</v>
      </c>
      <c r="N143" s="129"/>
      <c r="O143" s="54">
        <f t="shared" si="36"/>
        <v>0</v>
      </c>
      <c r="P143" s="54">
        <f t="shared" si="37"/>
        <v>0</v>
      </c>
    </row>
    <row r="144" spans="2:16" ht="12.5">
      <c r="B144" s="7" t="str">
        <f t="shared" si="21"/>
        <v/>
      </c>
      <c r="C144" s="50">
        <f>IF(D93="","-",+C143+1)</f>
        <v>2064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29"/>
        <v>0</v>
      </c>
      <c r="G144" s="55">
        <f t="shared" si="30"/>
        <v>0</v>
      </c>
      <c r="H144" s="380">
        <f t="shared" si="31"/>
        <v>0</v>
      </c>
      <c r="I144" s="399">
        <f t="shared" si="32"/>
        <v>0</v>
      </c>
      <c r="J144" s="54">
        <f t="shared" si="34"/>
        <v>0</v>
      </c>
      <c r="K144" s="54"/>
      <c r="L144" s="129"/>
      <c r="M144" s="54">
        <f t="shared" si="35"/>
        <v>0</v>
      </c>
      <c r="N144" s="129"/>
      <c r="O144" s="54">
        <f t="shared" si="36"/>
        <v>0</v>
      </c>
      <c r="P144" s="54">
        <f t="shared" si="37"/>
        <v>0</v>
      </c>
    </row>
    <row r="145" spans="2:16" ht="12.5">
      <c r="B145" s="7" t="str">
        <f t="shared" si="21"/>
        <v/>
      </c>
      <c r="C145" s="50">
        <f>IF(D93="","-",+C144+1)</f>
        <v>2065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29"/>
        <v>0</v>
      </c>
      <c r="G145" s="55">
        <f t="shared" si="30"/>
        <v>0</v>
      </c>
      <c r="H145" s="380">
        <f t="shared" si="31"/>
        <v>0</v>
      </c>
      <c r="I145" s="399">
        <f t="shared" si="32"/>
        <v>0</v>
      </c>
      <c r="J145" s="54">
        <f t="shared" si="34"/>
        <v>0</v>
      </c>
      <c r="K145" s="54"/>
      <c r="L145" s="129"/>
      <c r="M145" s="54">
        <f t="shared" si="35"/>
        <v>0</v>
      </c>
      <c r="N145" s="129"/>
      <c r="O145" s="54">
        <f t="shared" si="36"/>
        <v>0</v>
      </c>
      <c r="P145" s="54">
        <f t="shared" si="37"/>
        <v>0</v>
      </c>
    </row>
    <row r="146" spans="2:16" ht="12.5">
      <c r="B146" s="7" t="str">
        <f t="shared" si="21"/>
        <v/>
      </c>
      <c r="C146" s="50">
        <f>IF(D93="","-",+C145+1)</f>
        <v>2066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29"/>
        <v>0</v>
      </c>
      <c r="G146" s="55">
        <f t="shared" si="30"/>
        <v>0</v>
      </c>
      <c r="H146" s="380">
        <f t="shared" si="31"/>
        <v>0</v>
      </c>
      <c r="I146" s="399">
        <f t="shared" si="32"/>
        <v>0</v>
      </c>
      <c r="J146" s="54">
        <f t="shared" si="34"/>
        <v>0</v>
      </c>
      <c r="K146" s="54"/>
      <c r="L146" s="129"/>
      <c r="M146" s="54">
        <f t="shared" si="35"/>
        <v>0</v>
      </c>
      <c r="N146" s="129"/>
      <c r="O146" s="54">
        <f t="shared" si="36"/>
        <v>0</v>
      </c>
      <c r="P146" s="54">
        <f t="shared" si="37"/>
        <v>0</v>
      </c>
    </row>
    <row r="147" spans="2:16" ht="12.5">
      <c r="B147" s="7" t="str">
        <f t="shared" si="21"/>
        <v/>
      </c>
      <c r="C147" s="50">
        <f>IF(D93="","-",+C146+1)</f>
        <v>2067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29"/>
        <v>0</v>
      </c>
      <c r="G147" s="55">
        <f t="shared" si="30"/>
        <v>0</v>
      </c>
      <c r="H147" s="380">
        <f t="shared" si="31"/>
        <v>0</v>
      </c>
      <c r="I147" s="399">
        <f t="shared" si="32"/>
        <v>0</v>
      </c>
      <c r="J147" s="54">
        <f t="shared" si="34"/>
        <v>0</v>
      </c>
      <c r="K147" s="54"/>
      <c r="L147" s="129"/>
      <c r="M147" s="54">
        <f t="shared" si="35"/>
        <v>0</v>
      </c>
      <c r="N147" s="129"/>
      <c r="O147" s="54">
        <f t="shared" si="36"/>
        <v>0</v>
      </c>
      <c r="P147" s="54">
        <f t="shared" si="37"/>
        <v>0</v>
      </c>
    </row>
    <row r="148" spans="2:16" ht="12.5">
      <c r="B148" s="7" t="str">
        <f t="shared" si="21"/>
        <v/>
      </c>
      <c r="C148" s="50">
        <f>IF(D93="","-",+C147+1)</f>
        <v>2068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29"/>
        <v>0</v>
      </c>
      <c r="G148" s="55">
        <f t="shared" si="30"/>
        <v>0</v>
      </c>
      <c r="H148" s="380">
        <f t="shared" si="31"/>
        <v>0</v>
      </c>
      <c r="I148" s="399">
        <f t="shared" si="32"/>
        <v>0</v>
      </c>
      <c r="J148" s="54">
        <f t="shared" si="34"/>
        <v>0</v>
      </c>
      <c r="K148" s="54"/>
      <c r="L148" s="129"/>
      <c r="M148" s="54">
        <f t="shared" si="35"/>
        <v>0</v>
      </c>
      <c r="N148" s="129"/>
      <c r="O148" s="54">
        <f t="shared" si="36"/>
        <v>0</v>
      </c>
      <c r="P148" s="54">
        <f t="shared" si="37"/>
        <v>0</v>
      </c>
    </row>
    <row r="149" spans="2:16" ht="12.5">
      <c r="B149" s="7" t="str">
        <f t="shared" si="21"/>
        <v/>
      </c>
      <c r="C149" s="50">
        <f>IF(D93="","-",+C148+1)</f>
        <v>2069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29"/>
        <v>0</v>
      </c>
      <c r="G149" s="55">
        <f t="shared" si="30"/>
        <v>0</v>
      </c>
      <c r="H149" s="380">
        <f t="shared" si="31"/>
        <v>0</v>
      </c>
      <c r="I149" s="399">
        <f t="shared" si="32"/>
        <v>0</v>
      </c>
      <c r="J149" s="54">
        <f t="shared" si="34"/>
        <v>0</v>
      </c>
      <c r="K149" s="54"/>
      <c r="L149" s="129"/>
      <c r="M149" s="54">
        <f t="shared" si="35"/>
        <v>0</v>
      </c>
      <c r="N149" s="129"/>
      <c r="O149" s="54">
        <f t="shared" si="36"/>
        <v>0</v>
      </c>
      <c r="P149" s="54">
        <f t="shared" si="37"/>
        <v>0</v>
      </c>
    </row>
    <row r="150" spans="2:16" ht="12.5">
      <c r="B150" s="7" t="str">
        <f t="shared" si="21"/>
        <v/>
      </c>
      <c r="C150" s="50">
        <f>IF(D93="","-",+C149+1)</f>
        <v>2070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29"/>
        <v>0</v>
      </c>
      <c r="G150" s="55">
        <f t="shared" si="30"/>
        <v>0</v>
      </c>
      <c r="H150" s="380">
        <f t="shared" si="31"/>
        <v>0</v>
      </c>
      <c r="I150" s="399">
        <f t="shared" si="32"/>
        <v>0</v>
      </c>
      <c r="J150" s="54">
        <f t="shared" si="34"/>
        <v>0</v>
      </c>
      <c r="K150" s="54"/>
      <c r="L150" s="129"/>
      <c r="M150" s="54">
        <f t="shared" si="35"/>
        <v>0</v>
      </c>
      <c r="N150" s="129"/>
      <c r="O150" s="54">
        <f t="shared" si="36"/>
        <v>0</v>
      </c>
      <c r="P150" s="54">
        <f t="shared" si="37"/>
        <v>0</v>
      </c>
    </row>
    <row r="151" spans="2:16" ht="12.5">
      <c r="B151" s="7" t="str">
        <f t="shared" si="21"/>
        <v/>
      </c>
      <c r="C151" s="50">
        <f>IF(D93="","-",+C150+1)</f>
        <v>2071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29"/>
        <v>0</v>
      </c>
      <c r="G151" s="55">
        <f t="shared" si="30"/>
        <v>0</v>
      </c>
      <c r="H151" s="380">
        <f t="shared" si="31"/>
        <v>0</v>
      </c>
      <c r="I151" s="399">
        <f t="shared" si="32"/>
        <v>0</v>
      </c>
      <c r="J151" s="54">
        <f t="shared" si="34"/>
        <v>0</v>
      </c>
      <c r="K151" s="54"/>
      <c r="L151" s="129"/>
      <c r="M151" s="54">
        <f t="shared" si="35"/>
        <v>0</v>
      </c>
      <c r="N151" s="129"/>
      <c r="O151" s="54">
        <f t="shared" si="36"/>
        <v>0</v>
      </c>
      <c r="P151" s="54">
        <f t="shared" si="37"/>
        <v>0</v>
      </c>
    </row>
    <row r="152" spans="2:16" ht="12.5">
      <c r="B152" s="7" t="str">
        <f t="shared" si="21"/>
        <v/>
      </c>
      <c r="C152" s="50">
        <f>IF(D93="","-",+C151+1)</f>
        <v>2072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29"/>
        <v>0</v>
      </c>
      <c r="G152" s="55">
        <f t="shared" si="30"/>
        <v>0</v>
      </c>
      <c r="H152" s="380">
        <f t="shared" si="31"/>
        <v>0</v>
      </c>
      <c r="I152" s="399">
        <f t="shared" si="32"/>
        <v>0</v>
      </c>
      <c r="J152" s="54">
        <f t="shared" si="34"/>
        <v>0</v>
      </c>
      <c r="K152" s="54"/>
      <c r="L152" s="129"/>
      <c r="M152" s="54">
        <f t="shared" si="35"/>
        <v>0</v>
      </c>
      <c r="N152" s="129"/>
      <c r="O152" s="54">
        <f t="shared" si="36"/>
        <v>0</v>
      </c>
      <c r="P152" s="54">
        <f t="shared" si="37"/>
        <v>0</v>
      </c>
    </row>
    <row r="153" spans="2:16" ht="12.5">
      <c r="B153" s="7" t="str">
        <f t="shared" si="21"/>
        <v/>
      </c>
      <c r="C153" s="50">
        <f>IF(D93="","-",+C152+1)</f>
        <v>2073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29"/>
        <v>0</v>
      </c>
      <c r="G153" s="55">
        <f t="shared" si="30"/>
        <v>0</v>
      </c>
      <c r="H153" s="380">
        <f t="shared" si="31"/>
        <v>0</v>
      </c>
      <c r="I153" s="399">
        <f t="shared" si="32"/>
        <v>0</v>
      </c>
      <c r="J153" s="54">
        <f t="shared" si="34"/>
        <v>0</v>
      </c>
      <c r="K153" s="54"/>
      <c r="L153" s="129"/>
      <c r="M153" s="54">
        <f t="shared" si="35"/>
        <v>0</v>
      </c>
      <c r="N153" s="129"/>
      <c r="O153" s="54">
        <f t="shared" si="36"/>
        <v>0</v>
      </c>
      <c r="P153" s="54">
        <f t="shared" si="37"/>
        <v>0</v>
      </c>
    </row>
    <row r="154" spans="2:16" ht="13" thickBot="1">
      <c r="B154" s="7" t="str">
        <f t="shared" si="21"/>
        <v/>
      </c>
      <c r="C154" s="59">
        <f>IF(D93="","-",+C153+1)</f>
        <v>2074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29"/>
        <v>0</v>
      </c>
      <c r="G154" s="60">
        <f t="shared" si="30"/>
        <v>0</v>
      </c>
      <c r="H154" s="382">
        <f t="shared" si="31"/>
        <v>0</v>
      </c>
      <c r="I154" s="400">
        <f t="shared" si="32"/>
        <v>0</v>
      </c>
      <c r="J154" s="64">
        <f t="shared" si="34"/>
        <v>0</v>
      </c>
      <c r="K154" s="54"/>
      <c r="L154" s="130"/>
      <c r="M154" s="64">
        <f t="shared" si="35"/>
        <v>0</v>
      </c>
      <c r="N154" s="130"/>
      <c r="O154" s="64">
        <f t="shared" si="36"/>
        <v>0</v>
      </c>
      <c r="P154" s="64">
        <f t="shared" si="37"/>
        <v>0</v>
      </c>
    </row>
    <row r="155" spans="2:16" ht="12.5">
      <c r="C155" s="12" t="s">
        <v>78</v>
      </c>
      <c r="D155" s="293"/>
      <c r="E155" s="293">
        <f>SUM(E99:E154)</f>
        <v>9628189.9399999976</v>
      </c>
      <c r="F155" s="293"/>
      <c r="G155" s="293"/>
      <c r="H155" s="293">
        <f>SUM(H99:H154)</f>
        <v>35077735.444811761</v>
      </c>
      <c r="I155" s="293">
        <f>SUM(I99:I154)</f>
        <v>35077735.444811761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 ht="12.5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 ht="13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13" priority="1" stopIfTrue="1" operator="equal">
      <formula>$I$10</formula>
    </cfRule>
  </conditionalFormatting>
  <conditionalFormatting sqref="C99:C154">
    <cfRule type="cellIs" dxfId="12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</headerFooter>
  <rowBreaks count="1" manualBreakCount="1">
    <brk id="81" max="16383" man="1"/>
  </rowBreaks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P162"/>
  <sheetViews>
    <sheetView topLeftCell="A74" zoomScale="70" zoomScaleNormal="70" zoomScaleSheetLayoutView="80" workbookViewId="0">
      <selection activeCell="D22" sqref="D22:H22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73 of 77</v>
      </c>
    </row>
    <row r="2" spans="1:16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494465.64890946052</v>
      </c>
      <c r="P5" s="1"/>
    </row>
    <row r="6" spans="1:16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494465.64890946052</v>
      </c>
      <c r="O6" s="1"/>
      <c r="P6" s="1"/>
    </row>
    <row r="7" spans="1:16" ht="13.5" thickBot="1">
      <c r="C7" s="25" t="s">
        <v>48</v>
      </c>
      <c r="D7" s="90" t="s">
        <v>457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471</v>
      </c>
      <c r="E9" s="436" t="s">
        <v>470</v>
      </c>
      <c r="F9" s="31"/>
      <c r="G9" s="31"/>
      <c r="H9" s="31"/>
      <c r="I9" s="32"/>
      <c r="J9" s="33"/>
      <c r="P9" s="1"/>
    </row>
    <row r="10" spans="1:16" ht="13">
      <c r="C10" s="34" t="s">
        <v>51</v>
      </c>
      <c r="D10" s="363">
        <v>3820524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6" ht="12.5">
      <c r="C11" s="34" t="s">
        <v>54</v>
      </c>
      <c r="D11" s="37">
        <v>2019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3">
        <v>6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86830.090909090912</v>
      </c>
      <c r="J14" s="293"/>
      <c r="K14" s="293"/>
      <c r="L14" s="293"/>
      <c r="M14" s="293"/>
      <c r="N14" s="293"/>
      <c r="O14" s="1"/>
      <c r="P14" s="1"/>
    </row>
    <row r="15" spans="1:16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3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2019</v>
      </c>
      <c r="D17" s="431">
        <v>0</v>
      </c>
      <c r="E17" s="430">
        <v>9.9555672459071778E-2</v>
      </c>
      <c r="F17" s="431">
        <v>3857999.9004443274</v>
      </c>
      <c r="G17" s="430">
        <v>192042.98677355595</v>
      </c>
      <c r="H17" s="438">
        <v>192042.98677355595</v>
      </c>
      <c r="I17" s="52">
        <f t="shared" ref="I17:I72" si="0">H17-G17</f>
        <v>0</v>
      </c>
      <c r="J17" s="52"/>
      <c r="K17" s="112">
        <f t="shared" ref="K17:K22" si="1">+G17</f>
        <v>192042.98677355595</v>
      </c>
      <c r="L17" s="53">
        <f t="shared" ref="L17:L18" si="2">IF(K17&lt;&gt;0,+G17-K17,0)</f>
        <v>0</v>
      </c>
      <c r="M17" s="112">
        <f t="shared" ref="M17:M22" si="3">+H17</f>
        <v>192042.98677355595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2020</v>
      </c>
      <c r="D18" s="431">
        <v>3857999.9004443274</v>
      </c>
      <c r="E18" s="430">
        <v>94097.560975609755</v>
      </c>
      <c r="F18" s="431">
        <v>3763902.3394687176</v>
      </c>
      <c r="G18" s="430">
        <v>484092.97891210701</v>
      </c>
      <c r="H18" s="438">
        <v>484092.97891210701</v>
      </c>
      <c r="I18" s="52">
        <f t="shared" si="0"/>
        <v>0</v>
      </c>
      <c r="J18" s="52"/>
      <c r="K18" s="113">
        <f t="shared" si="1"/>
        <v>484092.97891210701</v>
      </c>
      <c r="L18" s="54">
        <f t="shared" si="2"/>
        <v>0</v>
      </c>
      <c r="M18" s="113">
        <f t="shared" si="3"/>
        <v>484092.97891210701</v>
      </c>
      <c r="N18" s="54">
        <f t="shared" si="4"/>
        <v>0</v>
      </c>
      <c r="O18" s="54">
        <f t="shared" si="5"/>
        <v>0</v>
      </c>
      <c r="P18" s="1"/>
    </row>
    <row r="19" spans="2:16" ht="12.5">
      <c r="B19" s="7" t="str">
        <f>IF(D19=F18,"","IU")</f>
        <v>IU</v>
      </c>
      <c r="C19" s="50">
        <f>IF(D11="","-",+C18+1)</f>
        <v>2021</v>
      </c>
      <c r="D19" s="431">
        <v>3727564.3394687176</v>
      </c>
      <c r="E19" s="430">
        <v>90991.952380952382</v>
      </c>
      <c r="F19" s="431">
        <v>3636572.3870877651</v>
      </c>
      <c r="G19" s="430">
        <v>481307.93404609448</v>
      </c>
      <c r="H19" s="438">
        <v>481307.93404609448</v>
      </c>
      <c r="I19" s="52">
        <f t="shared" si="0"/>
        <v>0</v>
      </c>
      <c r="J19" s="52"/>
      <c r="K19" s="113">
        <f t="shared" si="1"/>
        <v>481307.93404609448</v>
      </c>
      <c r="L19" s="54">
        <f t="shared" ref="L19" si="6">IF(K19&lt;&gt;0,+G19-K19,0)</f>
        <v>0</v>
      </c>
      <c r="M19" s="113">
        <f t="shared" si="3"/>
        <v>481307.93404609448</v>
      </c>
      <c r="N19" s="54">
        <f t="shared" si="4"/>
        <v>0</v>
      </c>
      <c r="O19" s="54">
        <f t="shared" si="5"/>
        <v>0</v>
      </c>
      <c r="P19" s="1"/>
    </row>
    <row r="20" spans="2:16" ht="12.5">
      <c r="B20" s="7" t="str">
        <f t="shared" ref="B20:B72" si="7">IF(D20=F19,"","IU")</f>
        <v>IU</v>
      </c>
      <c r="C20" s="50">
        <f>IF(D11="","-",+C19+1)</f>
        <v>2022</v>
      </c>
      <c r="D20" s="431">
        <v>3628876.3870877656</v>
      </c>
      <c r="E20" s="430">
        <v>90808.71428571429</v>
      </c>
      <c r="F20" s="431">
        <v>3538067.6728020515</v>
      </c>
      <c r="G20" s="430">
        <v>493748.99039861257</v>
      </c>
      <c r="H20" s="438">
        <v>493748.99039861257</v>
      </c>
      <c r="I20" s="52">
        <f t="shared" si="0"/>
        <v>0</v>
      </c>
      <c r="J20" s="52"/>
      <c r="K20" s="113">
        <f t="shared" si="1"/>
        <v>493748.99039861257</v>
      </c>
      <c r="L20" s="54">
        <f t="shared" ref="L20" si="8">IF(K20&lt;&gt;0,+G20-K20,0)</f>
        <v>0</v>
      </c>
      <c r="M20" s="113">
        <f t="shared" si="3"/>
        <v>493748.99039861257</v>
      </c>
      <c r="N20" s="54">
        <f t="shared" si="4"/>
        <v>0</v>
      </c>
      <c r="O20" s="54">
        <f t="shared" si="5"/>
        <v>0</v>
      </c>
      <c r="P20" s="1"/>
    </row>
    <row r="21" spans="2:16" ht="12.5">
      <c r="B21" s="7" t="str">
        <f t="shared" si="7"/>
        <v>IU</v>
      </c>
      <c r="C21" s="50">
        <f>IF(D11="","-",+C20+1)</f>
        <v>2023</v>
      </c>
      <c r="D21" s="431">
        <v>3538067.8328020507</v>
      </c>
      <c r="E21" s="430">
        <v>90808.718095238088</v>
      </c>
      <c r="F21" s="431">
        <v>3447259.1147068124</v>
      </c>
      <c r="G21" s="430">
        <v>532025.67622840172</v>
      </c>
      <c r="H21" s="438">
        <v>532025.67622840172</v>
      </c>
      <c r="I21" s="52">
        <f t="shared" si="0"/>
        <v>0</v>
      </c>
      <c r="J21" s="52"/>
      <c r="K21" s="113">
        <f t="shared" si="1"/>
        <v>532025.67622840172</v>
      </c>
      <c r="L21" s="54">
        <f t="shared" ref="L21" si="9">IF(K21&lt;&gt;0,+G21-K21,0)</f>
        <v>0</v>
      </c>
      <c r="M21" s="113">
        <f t="shared" si="3"/>
        <v>532025.67622840172</v>
      </c>
      <c r="N21" s="54">
        <f t="shared" si="4"/>
        <v>0</v>
      </c>
      <c r="O21" s="54">
        <f t="shared" si="5"/>
        <v>0</v>
      </c>
      <c r="P21" s="1"/>
    </row>
    <row r="22" spans="2:16" ht="12.5">
      <c r="B22" s="7" t="str">
        <f t="shared" si="7"/>
        <v>IU</v>
      </c>
      <c r="C22" s="50">
        <f>IF(D11="","-",+C21+1)</f>
        <v>2024</v>
      </c>
      <c r="D22" s="431">
        <v>3453816.9547068132</v>
      </c>
      <c r="E22" s="430">
        <v>86830.090909090912</v>
      </c>
      <c r="F22" s="431">
        <v>3366986.8637977224</v>
      </c>
      <c r="G22" s="430">
        <v>494465.64890946052</v>
      </c>
      <c r="H22" s="438">
        <v>494465.64890946052</v>
      </c>
      <c r="I22" s="52">
        <f t="shared" si="0"/>
        <v>0</v>
      </c>
      <c r="J22" s="52"/>
      <c r="K22" s="113">
        <f t="shared" si="1"/>
        <v>494465.64890946052</v>
      </c>
      <c r="L22" s="54">
        <f t="shared" ref="L22" si="10">IF(K22&lt;&gt;0,+G22-K22,0)</f>
        <v>0</v>
      </c>
      <c r="M22" s="113">
        <f t="shared" si="3"/>
        <v>494465.64890946052</v>
      </c>
      <c r="N22" s="54">
        <f t="shared" ref="N22" si="11">IF(M22&lt;&gt;0,+H22-M22,0)</f>
        <v>0</v>
      </c>
      <c r="O22" s="54">
        <f t="shared" ref="O22" si="12">+N22-L22</f>
        <v>0</v>
      </c>
      <c r="P22" s="1"/>
    </row>
    <row r="23" spans="2:16" ht="12.5">
      <c r="B23" s="7" t="str">
        <f t="shared" si="7"/>
        <v/>
      </c>
      <c r="C23" s="50">
        <f>IF(D11="","-",+C22+1)</f>
        <v>2025</v>
      </c>
      <c r="D23" s="55">
        <f>IF(F22+SUM(E$17:E22)=D$10,F22,D$10-SUM(E$17:E22))</f>
        <v>3366986.8637977224</v>
      </c>
      <c r="E23" s="378">
        <f>IF(+I14&lt;F22,I14,D23)</f>
        <v>86830.090909090912</v>
      </c>
      <c r="F23" s="55">
        <f t="shared" ref="F23:F72" si="13">+D23-E23</f>
        <v>3280156.7728886316</v>
      </c>
      <c r="G23" s="379">
        <f t="shared" ref="G23:G72" si="14">+I$12*((D23+F23)/2)+E23</f>
        <v>484087.09720183781</v>
      </c>
      <c r="H23" s="364">
        <f t="shared" ref="H23:H72" si="15">+I$13*((D23+F23)/2)+E23</f>
        <v>484087.09720183781</v>
      </c>
      <c r="I23" s="52">
        <f t="shared" si="0"/>
        <v>0</v>
      </c>
      <c r="J23" s="52"/>
      <c r="K23" s="129"/>
      <c r="L23" s="54">
        <f t="shared" ref="L23:L72" si="16">IF(K23&lt;&gt;0,+G23-K23,0)</f>
        <v>0</v>
      </c>
      <c r="M23" s="129"/>
      <c r="N23" s="54">
        <f t="shared" si="4"/>
        <v>0</v>
      </c>
      <c r="O23" s="54">
        <f t="shared" si="5"/>
        <v>0</v>
      </c>
      <c r="P23" s="1"/>
    </row>
    <row r="24" spans="2:16" ht="12.5">
      <c r="B24" s="7" t="str">
        <f t="shared" si="7"/>
        <v/>
      </c>
      <c r="C24" s="50">
        <f>IF(D11="","-",+C23+1)</f>
        <v>2026</v>
      </c>
      <c r="D24" s="55">
        <f>IF(F23+SUM(E$17:E23)=D$10,F23,D$10-SUM(E$17:E23))</f>
        <v>3280156.7728886316</v>
      </c>
      <c r="E24" s="378">
        <f>IF(+I14&lt;F23,I14,D24)</f>
        <v>86830.090909090912</v>
      </c>
      <c r="F24" s="55">
        <f t="shared" si="13"/>
        <v>3193326.6819795407</v>
      </c>
      <c r="G24" s="379">
        <f t="shared" si="14"/>
        <v>473708.54549421498</v>
      </c>
      <c r="H24" s="364">
        <f t="shared" si="15"/>
        <v>473708.54549421498</v>
      </c>
      <c r="I24" s="52">
        <f t="shared" si="0"/>
        <v>0</v>
      </c>
      <c r="J24" s="52"/>
      <c r="K24" s="129"/>
      <c r="L24" s="54">
        <f t="shared" si="16"/>
        <v>0</v>
      </c>
      <c r="M24" s="129"/>
      <c r="N24" s="54">
        <f t="shared" si="4"/>
        <v>0</v>
      </c>
      <c r="O24" s="54">
        <f t="shared" si="5"/>
        <v>0</v>
      </c>
      <c r="P24" s="1"/>
    </row>
    <row r="25" spans="2:16" ht="12.5">
      <c r="B25" s="7" t="str">
        <f t="shared" si="7"/>
        <v/>
      </c>
      <c r="C25" s="50">
        <f>IF(D11="","-",+C24+1)</f>
        <v>2027</v>
      </c>
      <c r="D25" s="55">
        <f>IF(F24+SUM(E$17:E24)=D$10,F24,D$10-SUM(E$17:E24))</f>
        <v>3193326.6819795407</v>
      </c>
      <c r="E25" s="378">
        <f>IF(+I14&lt;F24,I14,D25)</f>
        <v>86830.090909090912</v>
      </c>
      <c r="F25" s="55">
        <f t="shared" si="13"/>
        <v>3106496.5910704499</v>
      </c>
      <c r="G25" s="379">
        <f t="shared" si="14"/>
        <v>463329.99378659227</v>
      </c>
      <c r="H25" s="364">
        <f t="shared" si="15"/>
        <v>463329.99378659227</v>
      </c>
      <c r="I25" s="52">
        <f t="shared" si="0"/>
        <v>0</v>
      </c>
      <c r="J25" s="52"/>
      <c r="K25" s="129"/>
      <c r="L25" s="54">
        <f t="shared" si="16"/>
        <v>0</v>
      </c>
      <c r="M25" s="129"/>
      <c r="N25" s="54">
        <f t="shared" si="4"/>
        <v>0</v>
      </c>
      <c r="O25" s="54">
        <f t="shared" si="5"/>
        <v>0</v>
      </c>
      <c r="P25" s="1"/>
    </row>
    <row r="26" spans="2:16" ht="12.5">
      <c r="B26" s="7" t="str">
        <f t="shared" si="7"/>
        <v/>
      </c>
      <c r="C26" s="50">
        <f>IF(D11="","-",+C25+1)</f>
        <v>2028</v>
      </c>
      <c r="D26" s="55">
        <f>IF(F25+SUM(E$17:E25)=D$10,F25,D$10-SUM(E$17:E25))</f>
        <v>3106496.5910704499</v>
      </c>
      <c r="E26" s="378">
        <f>IF(+I14&lt;F25,I14,D26)</f>
        <v>86830.090909090912</v>
      </c>
      <c r="F26" s="55">
        <f t="shared" si="13"/>
        <v>3019666.5001613591</v>
      </c>
      <c r="G26" s="379">
        <f t="shared" si="14"/>
        <v>452951.44207896956</v>
      </c>
      <c r="H26" s="364">
        <f t="shared" si="15"/>
        <v>452951.44207896956</v>
      </c>
      <c r="I26" s="52">
        <f t="shared" si="0"/>
        <v>0</v>
      </c>
      <c r="J26" s="52"/>
      <c r="K26" s="129"/>
      <c r="L26" s="54">
        <f t="shared" si="16"/>
        <v>0</v>
      </c>
      <c r="M26" s="129"/>
      <c r="N26" s="54">
        <f t="shared" si="4"/>
        <v>0</v>
      </c>
      <c r="O26" s="54">
        <f t="shared" si="5"/>
        <v>0</v>
      </c>
      <c r="P26" s="1"/>
    </row>
    <row r="27" spans="2:16" ht="12.5">
      <c r="B27" s="7" t="str">
        <f t="shared" si="7"/>
        <v/>
      </c>
      <c r="C27" s="50">
        <f>IF(D11="","-",+C26+1)</f>
        <v>2029</v>
      </c>
      <c r="D27" s="55">
        <f>IF(F26+SUM(E$17:E26)=D$10,F26,D$10-SUM(E$17:E26))</f>
        <v>3019666.5001613591</v>
      </c>
      <c r="E27" s="378">
        <f>IF(+I14&lt;F26,I14,D27)</f>
        <v>86830.090909090912</v>
      </c>
      <c r="F27" s="55">
        <f t="shared" si="13"/>
        <v>2932836.4092522683</v>
      </c>
      <c r="G27" s="379">
        <f t="shared" si="14"/>
        <v>442572.89037134673</v>
      </c>
      <c r="H27" s="364">
        <f t="shared" si="15"/>
        <v>442572.89037134673</v>
      </c>
      <c r="I27" s="52">
        <f t="shared" si="0"/>
        <v>0</v>
      </c>
      <c r="J27" s="52"/>
      <c r="K27" s="129"/>
      <c r="L27" s="54">
        <f t="shared" si="16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7"/>
        <v/>
      </c>
      <c r="C28" s="50">
        <f>IF(D11="","-",+C27+1)</f>
        <v>2030</v>
      </c>
      <c r="D28" s="55">
        <f>IF(F27+SUM(E$17:E27)=D$10,F27,D$10-SUM(E$17:E27))</f>
        <v>2932836.4092522683</v>
      </c>
      <c r="E28" s="378">
        <f>IF(+I14&lt;F27,I14,D28)</f>
        <v>86830.090909090912</v>
      </c>
      <c r="F28" s="55">
        <f t="shared" si="13"/>
        <v>2846006.3183431774</v>
      </c>
      <c r="G28" s="379">
        <f t="shared" si="14"/>
        <v>432194.33866372402</v>
      </c>
      <c r="H28" s="364">
        <f t="shared" si="15"/>
        <v>432194.33866372402</v>
      </c>
      <c r="I28" s="52">
        <f t="shared" si="0"/>
        <v>0</v>
      </c>
      <c r="J28" s="52"/>
      <c r="K28" s="129"/>
      <c r="L28" s="54">
        <f t="shared" si="16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7"/>
        <v/>
      </c>
      <c r="C29" s="50">
        <f>IF(D11="","-",+C28+1)</f>
        <v>2031</v>
      </c>
      <c r="D29" s="55">
        <f>IF(F28+SUM(E$17:E28)=D$10,F28,D$10-SUM(E$17:E28))</f>
        <v>2846006.3183431774</v>
      </c>
      <c r="E29" s="378">
        <f>IF(+I14&lt;F28,I14,D29)</f>
        <v>86830.090909090912</v>
      </c>
      <c r="F29" s="55">
        <f t="shared" si="13"/>
        <v>2759176.2274340866</v>
      </c>
      <c r="G29" s="379">
        <f t="shared" si="14"/>
        <v>421815.78695610119</v>
      </c>
      <c r="H29" s="364">
        <f t="shared" si="15"/>
        <v>421815.78695610119</v>
      </c>
      <c r="I29" s="52">
        <f t="shared" si="0"/>
        <v>0</v>
      </c>
      <c r="J29" s="52"/>
      <c r="K29" s="129"/>
      <c r="L29" s="54">
        <f t="shared" si="16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7"/>
        <v/>
      </c>
      <c r="C30" s="50">
        <f>IF(D11="","-",+C29+1)</f>
        <v>2032</v>
      </c>
      <c r="D30" s="55">
        <f>IF(F29+SUM(E$17:E29)=D$10,F29,D$10-SUM(E$17:E29))</f>
        <v>2759176.2274340866</v>
      </c>
      <c r="E30" s="378">
        <f>IF(+I14&lt;F29,I14,D30)</f>
        <v>86830.090909090912</v>
      </c>
      <c r="F30" s="55">
        <f t="shared" si="13"/>
        <v>2672346.1365249958</v>
      </c>
      <c r="G30" s="379">
        <f t="shared" si="14"/>
        <v>411437.23524847848</v>
      </c>
      <c r="H30" s="364">
        <f t="shared" si="15"/>
        <v>411437.23524847848</v>
      </c>
      <c r="I30" s="52">
        <f t="shared" si="0"/>
        <v>0</v>
      </c>
      <c r="J30" s="52"/>
      <c r="K30" s="129"/>
      <c r="L30" s="54">
        <f t="shared" si="16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7"/>
        <v/>
      </c>
      <c r="C31" s="50">
        <f>IF(D11="","-",+C30+1)</f>
        <v>2033</v>
      </c>
      <c r="D31" s="55">
        <f>IF(F30+SUM(E$17:E30)=D$10,F30,D$10-SUM(E$17:E30))</f>
        <v>2672346.1365249958</v>
      </c>
      <c r="E31" s="378">
        <f>IF(+I14&lt;F30,I14,D31)</f>
        <v>86830.090909090912</v>
      </c>
      <c r="F31" s="55">
        <f t="shared" si="13"/>
        <v>2585516.045615905</v>
      </c>
      <c r="G31" s="379">
        <f t="shared" si="14"/>
        <v>401058.68354085565</v>
      </c>
      <c r="H31" s="364">
        <f t="shared" si="15"/>
        <v>401058.68354085565</v>
      </c>
      <c r="I31" s="52">
        <f t="shared" si="0"/>
        <v>0</v>
      </c>
      <c r="J31" s="52"/>
      <c r="K31" s="129"/>
      <c r="L31" s="54">
        <f t="shared" si="16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7"/>
        <v/>
      </c>
      <c r="C32" s="50">
        <f>IF(D11="","-",+C31+1)</f>
        <v>2034</v>
      </c>
      <c r="D32" s="55">
        <f>IF(F31+SUM(E$17:E31)=D$10,F31,D$10-SUM(E$17:E31))</f>
        <v>2585516.045615905</v>
      </c>
      <c r="E32" s="378">
        <f>IF(+I14&lt;F31,I14,D32)</f>
        <v>86830.090909090912</v>
      </c>
      <c r="F32" s="55">
        <f t="shared" si="13"/>
        <v>2498685.9547068141</v>
      </c>
      <c r="G32" s="379">
        <f t="shared" si="14"/>
        <v>390680.13183323294</v>
      </c>
      <c r="H32" s="364">
        <f t="shared" si="15"/>
        <v>390680.13183323294</v>
      </c>
      <c r="I32" s="52">
        <f t="shared" si="0"/>
        <v>0</v>
      </c>
      <c r="J32" s="52"/>
      <c r="K32" s="129"/>
      <c r="L32" s="54">
        <f t="shared" si="16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7"/>
        <v/>
      </c>
      <c r="C33" s="50">
        <f>IF(D11="","-",+C32+1)</f>
        <v>2035</v>
      </c>
      <c r="D33" s="55">
        <f>IF(F32+SUM(E$17:E32)=D$10,F32,D$10-SUM(E$17:E32))</f>
        <v>2498685.9547068141</v>
      </c>
      <c r="E33" s="378">
        <f>IF(+I14&lt;F32,I14,D33)</f>
        <v>86830.090909090912</v>
      </c>
      <c r="F33" s="55">
        <f t="shared" si="13"/>
        <v>2411855.8637977233</v>
      </c>
      <c r="G33" s="379">
        <f t="shared" si="14"/>
        <v>380301.58012561011</v>
      </c>
      <c r="H33" s="364">
        <f t="shared" si="15"/>
        <v>380301.58012561011</v>
      </c>
      <c r="I33" s="52">
        <f t="shared" si="0"/>
        <v>0</v>
      </c>
      <c r="J33" s="52"/>
      <c r="K33" s="129"/>
      <c r="L33" s="54">
        <f t="shared" si="16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7"/>
        <v/>
      </c>
      <c r="C34" s="50">
        <f>IF(D11="","-",+C33+1)</f>
        <v>2036</v>
      </c>
      <c r="D34" s="55">
        <f>IF(F33+SUM(E$17:E33)=D$10,F33,D$10-SUM(E$17:E33))</f>
        <v>2411855.8637977233</v>
      </c>
      <c r="E34" s="378">
        <f>IF(+I14&lt;F33,I14,D34)</f>
        <v>86830.090909090912</v>
      </c>
      <c r="F34" s="55">
        <f t="shared" si="13"/>
        <v>2325025.7728886325</v>
      </c>
      <c r="G34" s="379">
        <f t="shared" si="14"/>
        <v>369923.0284179874</v>
      </c>
      <c r="H34" s="364">
        <f t="shared" si="15"/>
        <v>369923.0284179874</v>
      </c>
      <c r="I34" s="52">
        <f t="shared" si="0"/>
        <v>0</v>
      </c>
      <c r="J34" s="52"/>
      <c r="K34" s="129"/>
      <c r="L34" s="54">
        <f t="shared" si="16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7"/>
        <v/>
      </c>
      <c r="C35" s="50">
        <f>IF(D11="","-",+C34+1)</f>
        <v>2037</v>
      </c>
      <c r="D35" s="55">
        <f>IF(F34+SUM(E$17:E34)=D$10,F34,D$10-SUM(E$17:E34))</f>
        <v>2325025.7728886325</v>
      </c>
      <c r="E35" s="378">
        <f>IF(+I14&lt;F34,I14,D35)</f>
        <v>86830.090909090912</v>
      </c>
      <c r="F35" s="55">
        <f t="shared" si="13"/>
        <v>2238195.6819795417</v>
      </c>
      <c r="G35" s="379">
        <f t="shared" si="14"/>
        <v>359544.47671036457</v>
      </c>
      <c r="H35" s="364">
        <f t="shared" si="15"/>
        <v>359544.47671036457</v>
      </c>
      <c r="I35" s="52">
        <f t="shared" si="0"/>
        <v>0</v>
      </c>
      <c r="J35" s="52"/>
      <c r="K35" s="129"/>
      <c r="L35" s="54">
        <f t="shared" si="16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7"/>
        <v/>
      </c>
      <c r="C36" s="50">
        <f>IF(D11="","-",+C35+1)</f>
        <v>2038</v>
      </c>
      <c r="D36" s="55">
        <f>IF(F35+SUM(E$17:E35)=D$10,F35,D$10-SUM(E$17:E35))</f>
        <v>2238195.6819795417</v>
      </c>
      <c r="E36" s="378">
        <f>IF(+I14&lt;F35,I14,D36)</f>
        <v>86830.090909090912</v>
      </c>
      <c r="F36" s="55">
        <f t="shared" si="13"/>
        <v>2151365.5910704508</v>
      </c>
      <c r="G36" s="379">
        <f t="shared" si="14"/>
        <v>349165.92500274186</v>
      </c>
      <c r="H36" s="364">
        <f t="shared" si="15"/>
        <v>349165.92500274186</v>
      </c>
      <c r="I36" s="52">
        <f t="shared" si="0"/>
        <v>0</v>
      </c>
      <c r="J36" s="52"/>
      <c r="K36" s="129"/>
      <c r="L36" s="54">
        <f t="shared" si="16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7"/>
        <v/>
      </c>
      <c r="C37" s="50">
        <f>IF(D11="","-",+C36+1)</f>
        <v>2039</v>
      </c>
      <c r="D37" s="55">
        <f>IF(F36+SUM(E$17:E36)=D$10,F36,D$10-SUM(E$17:E36))</f>
        <v>2151365.5910704508</v>
      </c>
      <c r="E37" s="378">
        <f>IF(+I14&lt;F36,I14,D37)</f>
        <v>86830.090909090912</v>
      </c>
      <c r="F37" s="55">
        <f t="shared" si="13"/>
        <v>2064535.50016136</v>
      </c>
      <c r="G37" s="379">
        <f t="shared" si="14"/>
        <v>338787.37329511909</v>
      </c>
      <c r="H37" s="364">
        <f t="shared" si="15"/>
        <v>338787.37329511909</v>
      </c>
      <c r="I37" s="52">
        <f t="shared" si="0"/>
        <v>0</v>
      </c>
      <c r="J37" s="52"/>
      <c r="K37" s="129"/>
      <c r="L37" s="54">
        <f t="shared" si="16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7"/>
        <v/>
      </c>
      <c r="C38" s="50">
        <f>IF(D11="","-",+C37+1)</f>
        <v>2040</v>
      </c>
      <c r="D38" s="55">
        <f>IF(F37+SUM(E$17:E37)=D$10,F37,D$10-SUM(E$17:E37))</f>
        <v>2064535.50016136</v>
      </c>
      <c r="E38" s="378">
        <f>IF(+I14&lt;F37,I14,D38)</f>
        <v>86830.090909090912</v>
      </c>
      <c r="F38" s="55">
        <f t="shared" si="13"/>
        <v>1977705.4092522692</v>
      </c>
      <c r="G38" s="379">
        <f t="shared" si="14"/>
        <v>328408.82158749632</v>
      </c>
      <c r="H38" s="364">
        <f t="shared" si="15"/>
        <v>328408.82158749632</v>
      </c>
      <c r="I38" s="52">
        <f t="shared" si="0"/>
        <v>0</v>
      </c>
      <c r="J38" s="52"/>
      <c r="K38" s="129"/>
      <c r="L38" s="54">
        <f t="shared" si="16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7"/>
        <v/>
      </c>
      <c r="C39" s="50">
        <f>IF(D11="","-",+C38+1)</f>
        <v>2041</v>
      </c>
      <c r="D39" s="55">
        <f>IF(F38+SUM(E$17:E38)=D$10,F38,D$10-SUM(E$17:E38))</f>
        <v>1977705.4092522692</v>
      </c>
      <c r="E39" s="378">
        <f>IF(+I14&lt;F38,I14,D39)</f>
        <v>86830.090909090912</v>
      </c>
      <c r="F39" s="55">
        <f t="shared" si="13"/>
        <v>1890875.3183431784</v>
      </c>
      <c r="G39" s="379">
        <f t="shared" si="14"/>
        <v>318030.26987987355</v>
      </c>
      <c r="H39" s="364">
        <f t="shared" si="15"/>
        <v>318030.26987987355</v>
      </c>
      <c r="I39" s="52">
        <f t="shared" si="0"/>
        <v>0</v>
      </c>
      <c r="J39" s="52"/>
      <c r="K39" s="129"/>
      <c r="L39" s="54">
        <f t="shared" si="16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7"/>
        <v/>
      </c>
      <c r="C40" s="50">
        <f>IF(D11="","-",+C39+1)</f>
        <v>2042</v>
      </c>
      <c r="D40" s="55">
        <f>IF(F39+SUM(E$17:E39)=D$10,F39,D$10-SUM(E$17:E39))</f>
        <v>1890875.3183431784</v>
      </c>
      <c r="E40" s="378">
        <f>IF(+I14&lt;F39,I14,D40)</f>
        <v>86830.090909090912</v>
      </c>
      <c r="F40" s="55">
        <f t="shared" si="13"/>
        <v>1804045.2274340875</v>
      </c>
      <c r="G40" s="379">
        <f t="shared" si="14"/>
        <v>307651.71817225078</v>
      </c>
      <c r="H40" s="364">
        <f t="shared" si="15"/>
        <v>307651.71817225078</v>
      </c>
      <c r="I40" s="52">
        <f t="shared" si="0"/>
        <v>0</v>
      </c>
      <c r="J40" s="52"/>
      <c r="K40" s="129"/>
      <c r="L40" s="54">
        <f t="shared" si="16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7"/>
        <v/>
      </c>
      <c r="C41" s="50">
        <f>IF(D11="","-",+C40+1)</f>
        <v>2043</v>
      </c>
      <c r="D41" s="55">
        <f>IF(F40+SUM(E$17:E40)=D$10,F40,D$10-SUM(E$17:E40))</f>
        <v>1804045.2274340875</v>
      </c>
      <c r="E41" s="378">
        <f>IF(+I14&lt;F40,I14,D41)</f>
        <v>86830.090909090912</v>
      </c>
      <c r="F41" s="55">
        <f t="shared" si="13"/>
        <v>1717215.1365249967</v>
      </c>
      <c r="G41" s="379">
        <f t="shared" si="14"/>
        <v>297273.16646462807</v>
      </c>
      <c r="H41" s="364">
        <f t="shared" si="15"/>
        <v>297273.16646462807</v>
      </c>
      <c r="I41" s="52">
        <f t="shared" si="0"/>
        <v>0</v>
      </c>
      <c r="J41" s="52"/>
      <c r="K41" s="129"/>
      <c r="L41" s="54">
        <f t="shared" si="16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7"/>
        <v/>
      </c>
      <c r="C42" s="50">
        <f>IF(D11="","-",+C41+1)</f>
        <v>2044</v>
      </c>
      <c r="D42" s="55">
        <f>IF(F41+SUM(E$17:E41)=D$10,F41,D$10-SUM(E$17:E41))</f>
        <v>1717215.1365249967</v>
      </c>
      <c r="E42" s="378">
        <f>IF(+I14&lt;F41,I14,D42)</f>
        <v>86830.090909090912</v>
      </c>
      <c r="F42" s="55">
        <f t="shared" si="13"/>
        <v>1630385.0456159059</v>
      </c>
      <c r="G42" s="379">
        <f t="shared" si="14"/>
        <v>286894.61475700524</v>
      </c>
      <c r="H42" s="364">
        <f t="shared" si="15"/>
        <v>286894.61475700524</v>
      </c>
      <c r="I42" s="52">
        <f t="shared" si="0"/>
        <v>0</v>
      </c>
      <c r="J42" s="52"/>
      <c r="K42" s="129"/>
      <c r="L42" s="54">
        <f t="shared" si="16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7"/>
        <v/>
      </c>
      <c r="C43" s="50">
        <f>IF(D11="","-",+C42+1)</f>
        <v>2045</v>
      </c>
      <c r="D43" s="55">
        <f>IF(F42+SUM(E$17:E42)=D$10,F42,D$10-SUM(E$17:E42))</f>
        <v>1630385.0456159059</v>
      </c>
      <c r="E43" s="378">
        <f>IF(+I14&lt;F42,I14,D43)</f>
        <v>86830.090909090912</v>
      </c>
      <c r="F43" s="55">
        <f t="shared" si="13"/>
        <v>1543554.9547068151</v>
      </c>
      <c r="G43" s="379">
        <f t="shared" si="14"/>
        <v>276516.06304938253</v>
      </c>
      <c r="H43" s="364">
        <f t="shared" si="15"/>
        <v>276516.06304938253</v>
      </c>
      <c r="I43" s="52">
        <f t="shared" si="0"/>
        <v>0</v>
      </c>
      <c r="J43" s="52"/>
      <c r="K43" s="129"/>
      <c r="L43" s="54">
        <f t="shared" si="16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7"/>
        <v/>
      </c>
      <c r="C44" s="50">
        <f>IF(D11="","-",+C43+1)</f>
        <v>2046</v>
      </c>
      <c r="D44" s="55">
        <f>IF(F43+SUM(E$17:E43)=D$10,F43,D$10-SUM(E$17:E43))</f>
        <v>1543554.9547068151</v>
      </c>
      <c r="E44" s="378">
        <f>IF(+I14&lt;F43,I14,D44)</f>
        <v>86830.090909090912</v>
      </c>
      <c r="F44" s="55">
        <f t="shared" si="13"/>
        <v>1456724.8637977242</v>
      </c>
      <c r="G44" s="379">
        <f t="shared" si="14"/>
        <v>266137.5113417597</v>
      </c>
      <c r="H44" s="364">
        <f t="shared" si="15"/>
        <v>266137.5113417597</v>
      </c>
      <c r="I44" s="52">
        <f t="shared" si="0"/>
        <v>0</v>
      </c>
      <c r="J44" s="52"/>
      <c r="K44" s="129"/>
      <c r="L44" s="54">
        <f t="shared" si="16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7"/>
        <v/>
      </c>
      <c r="C45" s="50">
        <f>IF(D11="","-",+C44+1)</f>
        <v>2047</v>
      </c>
      <c r="D45" s="55">
        <f>IF(F44+SUM(E$17:E44)=D$10,F44,D$10-SUM(E$17:E44))</f>
        <v>1456724.8637977242</v>
      </c>
      <c r="E45" s="378">
        <f>IF(+I14&lt;F44,I14,D45)</f>
        <v>86830.090909090912</v>
      </c>
      <c r="F45" s="55">
        <f t="shared" si="13"/>
        <v>1369894.7728886334</v>
      </c>
      <c r="G45" s="379">
        <f t="shared" si="14"/>
        <v>255758.95963413696</v>
      </c>
      <c r="H45" s="364">
        <f t="shared" si="15"/>
        <v>255758.95963413696</v>
      </c>
      <c r="I45" s="52">
        <f t="shared" si="0"/>
        <v>0</v>
      </c>
      <c r="J45" s="52"/>
      <c r="K45" s="129"/>
      <c r="L45" s="54">
        <f t="shared" si="16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7"/>
        <v/>
      </c>
      <c r="C46" s="50">
        <f>IF(D11="","-",+C45+1)</f>
        <v>2048</v>
      </c>
      <c r="D46" s="55">
        <f>IF(F45+SUM(E$17:E45)=D$10,F45,D$10-SUM(E$17:E45))</f>
        <v>1369894.7728886334</v>
      </c>
      <c r="E46" s="378">
        <f>IF(+I14&lt;F45,I14,D46)</f>
        <v>86830.090909090912</v>
      </c>
      <c r="F46" s="55">
        <f t="shared" si="13"/>
        <v>1283064.6819795426</v>
      </c>
      <c r="G46" s="379">
        <f t="shared" si="14"/>
        <v>245380.40792651419</v>
      </c>
      <c r="H46" s="364">
        <f t="shared" si="15"/>
        <v>245380.40792651419</v>
      </c>
      <c r="I46" s="52">
        <f t="shared" si="0"/>
        <v>0</v>
      </c>
      <c r="J46" s="52"/>
      <c r="K46" s="129"/>
      <c r="L46" s="54">
        <f t="shared" si="16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7"/>
        <v/>
      </c>
      <c r="C47" s="50">
        <f>IF(D11="","-",+C46+1)</f>
        <v>2049</v>
      </c>
      <c r="D47" s="55">
        <f>IF(F46+SUM(E$17:E46)=D$10,F46,D$10-SUM(E$17:E46))</f>
        <v>1283064.6819795426</v>
      </c>
      <c r="E47" s="378">
        <f>IF(+I14&lt;F46,I14,D47)</f>
        <v>86830.090909090912</v>
      </c>
      <c r="F47" s="55">
        <f t="shared" si="13"/>
        <v>1196234.5910704518</v>
      </c>
      <c r="G47" s="379">
        <f t="shared" si="14"/>
        <v>235001.85621889145</v>
      </c>
      <c r="H47" s="364">
        <f t="shared" si="15"/>
        <v>235001.85621889145</v>
      </c>
      <c r="I47" s="52">
        <f t="shared" si="0"/>
        <v>0</v>
      </c>
      <c r="J47" s="52"/>
      <c r="K47" s="129"/>
      <c r="L47" s="54">
        <f t="shared" si="16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7"/>
        <v/>
      </c>
      <c r="C48" s="50">
        <f>IF(D11="","-",+C47+1)</f>
        <v>2050</v>
      </c>
      <c r="D48" s="55">
        <f>IF(F47+SUM(E$17:E47)=D$10,F47,D$10-SUM(E$17:E47))</f>
        <v>1196234.5910704518</v>
      </c>
      <c r="E48" s="378">
        <f>IF(+I14&lt;F47,I14,D48)</f>
        <v>86830.090909090912</v>
      </c>
      <c r="F48" s="55">
        <f t="shared" si="13"/>
        <v>1109404.5001613609</v>
      </c>
      <c r="G48" s="379">
        <f t="shared" si="14"/>
        <v>224623.30451126868</v>
      </c>
      <c r="H48" s="364">
        <f t="shared" si="15"/>
        <v>224623.30451126868</v>
      </c>
      <c r="I48" s="52">
        <f t="shared" si="0"/>
        <v>0</v>
      </c>
      <c r="J48" s="52"/>
      <c r="K48" s="129"/>
      <c r="L48" s="54">
        <f t="shared" si="16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 ht="12.5">
      <c r="B49" s="7" t="str">
        <f t="shared" si="7"/>
        <v/>
      </c>
      <c r="C49" s="50">
        <f>IF(D11="","-",+C48+1)</f>
        <v>2051</v>
      </c>
      <c r="D49" s="55">
        <f>IF(F48+SUM(E$17:E48)=D$10,F48,D$10-SUM(E$17:E48))</f>
        <v>1109404.5001613609</v>
      </c>
      <c r="E49" s="378">
        <f>IF(+I14&lt;F48,I14,D49)</f>
        <v>86830.090909090912</v>
      </c>
      <c r="F49" s="55">
        <f t="shared" si="13"/>
        <v>1022574.40925227</v>
      </c>
      <c r="G49" s="379">
        <f t="shared" si="14"/>
        <v>214244.75280364591</v>
      </c>
      <c r="H49" s="364">
        <f t="shared" si="15"/>
        <v>214244.75280364591</v>
      </c>
      <c r="I49" s="52">
        <f t="shared" si="0"/>
        <v>0</v>
      </c>
      <c r="J49" s="52"/>
      <c r="K49" s="129"/>
      <c r="L49" s="54">
        <f t="shared" si="16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 ht="12.5">
      <c r="B50" s="7" t="str">
        <f t="shared" si="7"/>
        <v/>
      </c>
      <c r="C50" s="50">
        <f>IF(D11="","-",+C49+1)</f>
        <v>2052</v>
      </c>
      <c r="D50" s="55">
        <f>IF(F49+SUM(E$17:E49)=D$10,F49,D$10-SUM(E$17:E49))</f>
        <v>1022574.40925227</v>
      </c>
      <c r="E50" s="378">
        <f>IF(+I14&lt;F49,I14,D50)</f>
        <v>86830.090909090912</v>
      </c>
      <c r="F50" s="55">
        <f t="shared" si="13"/>
        <v>935744.31834317907</v>
      </c>
      <c r="G50" s="379">
        <f t="shared" si="14"/>
        <v>203866.20109602311</v>
      </c>
      <c r="H50" s="364">
        <f t="shared" si="15"/>
        <v>203866.20109602311</v>
      </c>
      <c r="I50" s="52">
        <f t="shared" si="0"/>
        <v>0</v>
      </c>
      <c r="J50" s="52"/>
      <c r="K50" s="129"/>
      <c r="L50" s="54">
        <f t="shared" si="16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 ht="12.5">
      <c r="B51" s="7" t="str">
        <f t="shared" si="7"/>
        <v/>
      </c>
      <c r="C51" s="50">
        <f>IF(D11="","-",+C50+1)</f>
        <v>2053</v>
      </c>
      <c r="D51" s="55">
        <f>IF(F50+SUM(E$17:E50)=D$10,F50,D$10-SUM(E$17:E50))</f>
        <v>935744.31834317907</v>
      </c>
      <c r="E51" s="378">
        <f>IF(+I14&lt;F50,I14,D51)</f>
        <v>86830.090909090912</v>
      </c>
      <c r="F51" s="55">
        <f t="shared" si="13"/>
        <v>848914.22743408813</v>
      </c>
      <c r="G51" s="379">
        <f t="shared" si="14"/>
        <v>193487.64938840034</v>
      </c>
      <c r="H51" s="364">
        <f t="shared" si="15"/>
        <v>193487.64938840034</v>
      </c>
      <c r="I51" s="52">
        <f t="shared" si="0"/>
        <v>0</v>
      </c>
      <c r="J51" s="52"/>
      <c r="K51" s="129"/>
      <c r="L51" s="54">
        <f t="shared" si="16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 ht="12.5">
      <c r="B52" s="7" t="str">
        <f t="shared" si="7"/>
        <v/>
      </c>
      <c r="C52" s="50">
        <f>IF(D11="","-",+C51+1)</f>
        <v>2054</v>
      </c>
      <c r="D52" s="55">
        <f>IF(F51+SUM(E$17:E51)=D$10,F51,D$10-SUM(E$17:E51))</f>
        <v>848914.22743408813</v>
      </c>
      <c r="E52" s="378">
        <f>IF(+I14&lt;F51,I14,D52)</f>
        <v>86830.090909090912</v>
      </c>
      <c r="F52" s="55">
        <f t="shared" si="13"/>
        <v>762084.13652499719</v>
      </c>
      <c r="G52" s="379">
        <f t="shared" si="14"/>
        <v>183109.09768077754</v>
      </c>
      <c r="H52" s="364">
        <f t="shared" si="15"/>
        <v>183109.09768077754</v>
      </c>
      <c r="I52" s="52">
        <f t="shared" si="0"/>
        <v>0</v>
      </c>
      <c r="J52" s="52"/>
      <c r="K52" s="129"/>
      <c r="L52" s="54">
        <f t="shared" si="16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 ht="12.5">
      <c r="B53" s="7" t="str">
        <f t="shared" si="7"/>
        <v/>
      </c>
      <c r="C53" s="50">
        <f>IF(D11="","-",+C52+1)</f>
        <v>2055</v>
      </c>
      <c r="D53" s="55">
        <f>IF(F52+SUM(E$17:E52)=D$10,F52,D$10-SUM(E$17:E52))</f>
        <v>762084.13652499719</v>
      </c>
      <c r="E53" s="378">
        <f>IF(+I14&lt;F52,I14,D53)</f>
        <v>86830.090909090912</v>
      </c>
      <c r="F53" s="55">
        <f t="shared" si="13"/>
        <v>675254.04561590625</v>
      </c>
      <c r="G53" s="379">
        <f t="shared" si="14"/>
        <v>172730.54597315477</v>
      </c>
      <c r="H53" s="364">
        <f t="shared" si="15"/>
        <v>172730.54597315477</v>
      </c>
      <c r="I53" s="52">
        <f t="shared" si="0"/>
        <v>0</v>
      </c>
      <c r="J53" s="52"/>
      <c r="K53" s="129"/>
      <c r="L53" s="54">
        <f t="shared" si="16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 ht="12.5">
      <c r="B54" s="7" t="str">
        <f t="shared" si="7"/>
        <v/>
      </c>
      <c r="C54" s="50">
        <f>IF(D11="","-",+C53+1)</f>
        <v>2056</v>
      </c>
      <c r="D54" s="55">
        <f>IF(F53+SUM(E$17:E53)=D$10,F53,D$10-SUM(E$17:E53))</f>
        <v>675254.04561590625</v>
      </c>
      <c r="E54" s="378">
        <f>IF(+I14&lt;F53,I14,D54)</f>
        <v>86830.090909090912</v>
      </c>
      <c r="F54" s="55">
        <f t="shared" si="13"/>
        <v>588423.9547068153</v>
      </c>
      <c r="G54" s="379">
        <f t="shared" si="14"/>
        <v>162351.994265532</v>
      </c>
      <c r="H54" s="364">
        <f t="shared" si="15"/>
        <v>162351.994265532</v>
      </c>
      <c r="I54" s="52">
        <f t="shared" si="0"/>
        <v>0</v>
      </c>
      <c r="J54" s="52"/>
      <c r="K54" s="129"/>
      <c r="L54" s="54">
        <f t="shared" si="16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 ht="12.5">
      <c r="B55" s="7" t="str">
        <f t="shared" si="7"/>
        <v/>
      </c>
      <c r="C55" s="50">
        <f>IF(D11="","-",+C54+1)</f>
        <v>2057</v>
      </c>
      <c r="D55" s="55">
        <f>IF(F54+SUM(E$17:E54)=D$10,F54,D$10-SUM(E$17:E54))</f>
        <v>588423.9547068153</v>
      </c>
      <c r="E55" s="378">
        <f>IF(+I14&lt;F54,I14,D55)</f>
        <v>86830.090909090912</v>
      </c>
      <c r="F55" s="55">
        <f t="shared" si="13"/>
        <v>501593.86379772436</v>
      </c>
      <c r="G55" s="379">
        <f t="shared" si="14"/>
        <v>151973.44255790923</v>
      </c>
      <c r="H55" s="364">
        <f t="shared" si="15"/>
        <v>151973.44255790923</v>
      </c>
      <c r="I55" s="52">
        <f t="shared" si="0"/>
        <v>0</v>
      </c>
      <c r="J55" s="52"/>
      <c r="K55" s="129"/>
      <c r="L55" s="54">
        <f t="shared" si="16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 ht="12.5">
      <c r="B56" s="7" t="str">
        <f t="shared" si="7"/>
        <v/>
      </c>
      <c r="C56" s="50">
        <f>IF(D11="","-",+C55+1)</f>
        <v>2058</v>
      </c>
      <c r="D56" s="55">
        <f>IF(F55+SUM(E$17:E55)=D$10,F55,D$10-SUM(E$17:E55))</f>
        <v>501593.86379772436</v>
      </c>
      <c r="E56" s="378">
        <f>IF(+I14&lt;F55,I14,D56)</f>
        <v>86830.090909090912</v>
      </c>
      <c r="F56" s="55">
        <f t="shared" si="13"/>
        <v>414763.77288863342</v>
      </c>
      <c r="G56" s="379">
        <f t="shared" si="14"/>
        <v>141594.89085028644</v>
      </c>
      <c r="H56" s="364">
        <f t="shared" si="15"/>
        <v>141594.89085028644</v>
      </c>
      <c r="I56" s="52">
        <f t="shared" si="0"/>
        <v>0</v>
      </c>
      <c r="J56" s="52"/>
      <c r="K56" s="129"/>
      <c r="L56" s="54">
        <f t="shared" si="16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 ht="12.5">
      <c r="B57" s="7" t="str">
        <f t="shared" si="7"/>
        <v/>
      </c>
      <c r="C57" s="50">
        <f>IF(D11="","-",+C56+1)</f>
        <v>2059</v>
      </c>
      <c r="D57" s="55">
        <f>IF(F56+SUM(E$17:E56)=D$10,F56,D$10-SUM(E$17:E56))</f>
        <v>414763.77288863342</v>
      </c>
      <c r="E57" s="378">
        <f>IF(+I14&lt;F56,I14,D57)</f>
        <v>86830.090909090912</v>
      </c>
      <c r="F57" s="55">
        <f t="shared" si="13"/>
        <v>327933.68197954248</v>
      </c>
      <c r="G57" s="379">
        <f t="shared" si="14"/>
        <v>131216.33914266367</v>
      </c>
      <c r="H57" s="364">
        <f t="shared" si="15"/>
        <v>131216.33914266367</v>
      </c>
      <c r="I57" s="52">
        <f t="shared" si="0"/>
        <v>0</v>
      </c>
      <c r="J57" s="52"/>
      <c r="K57" s="129"/>
      <c r="L57" s="54">
        <f t="shared" si="16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 ht="12.5">
      <c r="B58" s="7" t="str">
        <f t="shared" si="7"/>
        <v/>
      </c>
      <c r="C58" s="50">
        <f>IF(D11="","-",+C57+1)</f>
        <v>2060</v>
      </c>
      <c r="D58" s="55">
        <f>IF(F57+SUM(E$17:E57)=D$10,F57,D$10-SUM(E$17:E57))</f>
        <v>327933.68197954248</v>
      </c>
      <c r="E58" s="378">
        <f>IF(+I14&lt;F57,I14,D58)</f>
        <v>86830.090909090912</v>
      </c>
      <c r="F58" s="55">
        <f t="shared" si="13"/>
        <v>241103.59107045157</v>
      </c>
      <c r="G58" s="379">
        <f t="shared" si="14"/>
        <v>120837.7874350409</v>
      </c>
      <c r="H58" s="364">
        <f t="shared" si="15"/>
        <v>120837.7874350409</v>
      </c>
      <c r="I58" s="52">
        <f t="shared" si="0"/>
        <v>0</v>
      </c>
      <c r="J58" s="52"/>
      <c r="K58" s="129"/>
      <c r="L58" s="54">
        <f t="shared" si="16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 ht="12.5">
      <c r="B59" s="7" t="str">
        <f t="shared" si="7"/>
        <v/>
      </c>
      <c r="C59" s="50">
        <f>IF(D11="","-",+C58+1)</f>
        <v>2061</v>
      </c>
      <c r="D59" s="55">
        <f>IF(F58+SUM(E$17:E58)=D$10,F58,D$10-SUM(E$17:E58))</f>
        <v>241103.59107045157</v>
      </c>
      <c r="E59" s="378">
        <f>IF(+I14&lt;F58,I14,D59)</f>
        <v>86830.090909090912</v>
      </c>
      <c r="F59" s="55">
        <f t="shared" si="13"/>
        <v>154273.50016136066</v>
      </c>
      <c r="G59" s="379">
        <f t="shared" si="14"/>
        <v>110459.23572741811</v>
      </c>
      <c r="H59" s="364">
        <f t="shared" si="15"/>
        <v>110459.23572741811</v>
      </c>
      <c r="I59" s="52">
        <f t="shared" si="0"/>
        <v>0</v>
      </c>
      <c r="J59" s="52"/>
      <c r="K59" s="129"/>
      <c r="L59" s="54">
        <f t="shared" si="16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 ht="12.5">
      <c r="B60" s="7" t="str">
        <f t="shared" si="7"/>
        <v/>
      </c>
      <c r="C60" s="50">
        <f>IF(D11="","-",+C59+1)</f>
        <v>2062</v>
      </c>
      <c r="D60" s="55">
        <f>IF(F59+SUM(E$17:E59)=D$10,F59,D$10-SUM(E$17:E59))</f>
        <v>154273.50016136066</v>
      </c>
      <c r="E60" s="378">
        <f>IF(+I14&lt;F59,I14,D60)</f>
        <v>86830.090909090912</v>
      </c>
      <c r="F60" s="55">
        <f t="shared" si="13"/>
        <v>67443.409252269747</v>
      </c>
      <c r="G60" s="379">
        <f t="shared" si="14"/>
        <v>100080.68401979534</v>
      </c>
      <c r="H60" s="364">
        <f t="shared" si="15"/>
        <v>100080.68401979534</v>
      </c>
      <c r="I60" s="52">
        <f t="shared" si="0"/>
        <v>0</v>
      </c>
      <c r="J60" s="52"/>
      <c r="K60" s="129"/>
      <c r="L60" s="54">
        <f t="shared" si="16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 ht="12.5">
      <c r="B61" s="7" t="str">
        <f t="shared" si="7"/>
        <v/>
      </c>
      <c r="C61" s="50">
        <f>IF(D11="","-",+C60+1)</f>
        <v>2063</v>
      </c>
      <c r="D61" s="55">
        <f>IF(F60+SUM(E$17:E60)=D$10,F60,D$10-SUM(E$17:E60))</f>
        <v>67443.409252269747</v>
      </c>
      <c r="E61" s="378">
        <f>IF(+I14&lt;F60,I14,D61)</f>
        <v>67443.409252269747</v>
      </c>
      <c r="F61" s="55">
        <f t="shared" si="13"/>
        <v>0</v>
      </c>
      <c r="G61" s="380">
        <f t="shared" si="14"/>
        <v>71474.067880716262</v>
      </c>
      <c r="H61" s="364">
        <f t="shared" si="15"/>
        <v>71474.067880716262</v>
      </c>
      <c r="I61" s="52">
        <f t="shared" si="0"/>
        <v>0</v>
      </c>
      <c r="J61" s="52"/>
      <c r="K61" s="129"/>
      <c r="L61" s="54">
        <f t="shared" si="16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 ht="12.5">
      <c r="B62" s="7" t="str">
        <f t="shared" si="7"/>
        <v/>
      </c>
      <c r="C62" s="50">
        <f>IF(D11="","-",+C61+1)</f>
        <v>2064</v>
      </c>
      <c r="D62" s="55">
        <f>IF(F61+SUM(E$17:E61)=D$10,F61,D$10-SUM(E$17:E61))</f>
        <v>0</v>
      </c>
      <c r="E62" s="378">
        <f>IF(+I14&lt;F61,I14,D62)</f>
        <v>0</v>
      </c>
      <c r="F62" s="55">
        <f t="shared" si="13"/>
        <v>0</v>
      </c>
      <c r="G62" s="380">
        <f t="shared" si="14"/>
        <v>0</v>
      </c>
      <c r="H62" s="364">
        <f t="shared" si="15"/>
        <v>0</v>
      </c>
      <c r="I62" s="52">
        <f t="shared" si="0"/>
        <v>0</v>
      </c>
      <c r="J62" s="52"/>
      <c r="K62" s="129"/>
      <c r="L62" s="54">
        <f t="shared" si="16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 ht="12.5">
      <c r="B63" s="7" t="str">
        <f t="shared" si="7"/>
        <v/>
      </c>
      <c r="C63" s="50">
        <f>IF(D11="","-",+C62+1)</f>
        <v>2065</v>
      </c>
      <c r="D63" s="55">
        <f>IF(F62+SUM(E$17:E62)=D$10,F62,D$10-SUM(E$17:E62))</f>
        <v>0</v>
      </c>
      <c r="E63" s="378">
        <f>IF(+I14&lt;F62,I14,D63)</f>
        <v>0</v>
      </c>
      <c r="F63" s="55">
        <f t="shared" si="13"/>
        <v>0</v>
      </c>
      <c r="G63" s="380">
        <f t="shared" si="14"/>
        <v>0</v>
      </c>
      <c r="H63" s="364">
        <f t="shared" si="15"/>
        <v>0</v>
      </c>
      <c r="I63" s="52">
        <f t="shared" si="0"/>
        <v>0</v>
      </c>
      <c r="J63" s="52"/>
      <c r="K63" s="129"/>
      <c r="L63" s="54">
        <f t="shared" si="16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 ht="12.5">
      <c r="B64" s="7" t="str">
        <f t="shared" si="7"/>
        <v/>
      </c>
      <c r="C64" s="50">
        <f>IF(D11="","-",+C63+1)</f>
        <v>2066</v>
      </c>
      <c r="D64" s="55">
        <f>IF(F63+SUM(E$17:E63)=D$10,F63,D$10-SUM(E$17:E63))</f>
        <v>0</v>
      </c>
      <c r="E64" s="378">
        <f>IF(+I14&lt;F63,I14,D64)</f>
        <v>0</v>
      </c>
      <c r="F64" s="55">
        <f t="shared" si="13"/>
        <v>0</v>
      </c>
      <c r="G64" s="380">
        <f t="shared" si="14"/>
        <v>0</v>
      </c>
      <c r="H64" s="364">
        <f t="shared" si="15"/>
        <v>0</v>
      </c>
      <c r="I64" s="52">
        <f t="shared" si="0"/>
        <v>0</v>
      </c>
      <c r="J64" s="52"/>
      <c r="K64" s="129"/>
      <c r="L64" s="54">
        <f t="shared" si="16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 ht="12.5">
      <c r="B65" s="7" t="str">
        <f t="shared" si="7"/>
        <v/>
      </c>
      <c r="C65" s="50">
        <f>IF(D11="","-",+C64+1)</f>
        <v>2067</v>
      </c>
      <c r="D65" s="55">
        <f>IF(F64+SUM(E$17:E64)=D$10,F64,D$10-SUM(E$17:E64))</f>
        <v>0</v>
      </c>
      <c r="E65" s="378">
        <f>IF(+I14&lt;F64,I14,D65)</f>
        <v>0</v>
      </c>
      <c r="F65" s="55">
        <f t="shared" si="13"/>
        <v>0</v>
      </c>
      <c r="G65" s="380">
        <f t="shared" si="14"/>
        <v>0</v>
      </c>
      <c r="H65" s="364">
        <f t="shared" si="15"/>
        <v>0</v>
      </c>
      <c r="I65" s="52">
        <f t="shared" si="0"/>
        <v>0</v>
      </c>
      <c r="J65" s="52"/>
      <c r="K65" s="129"/>
      <c r="L65" s="54">
        <f t="shared" si="16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 ht="12.5">
      <c r="B66" s="7" t="str">
        <f t="shared" si="7"/>
        <v/>
      </c>
      <c r="C66" s="50">
        <f>IF(D11="","-",+C65+1)</f>
        <v>2068</v>
      </c>
      <c r="D66" s="55">
        <f>IF(F65+SUM(E$17:E65)=D$10,F65,D$10-SUM(E$17:E65))</f>
        <v>0</v>
      </c>
      <c r="E66" s="378">
        <f>IF(+I14&lt;F65,I14,D66)</f>
        <v>0</v>
      </c>
      <c r="F66" s="55">
        <f t="shared" si="13"/>
        <v>0</v>
      </c>
      <c r="G66" s="380">
        <f t="shared" si="14"/>
        <v>0</v>
      </c>
      <c r="H66" s="364">
        <f t="shared" si="15"/>
        <v>0</v>
      </c>
      <c r="I66" s="52">
        <f t="shared" si="0"/>
        <v>0</v>
      </c>
      <c r="J66" s="52"/>
      <c r="K66" s="129"/>
      <c r="L66" s="54">
        <f t="shared" si="16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 ht="12.5">
      <c r="B67" s="7" t="str">
        <f t="shared" si="7"/>
        <v/>
      </c>
      <c r="C67" s="50">
        <f>IF(D11="","-",+C66+1)</f>
        <v>2069</v>
      </c>
      <c r="D67" s="55">
        <f>IF(F66+SUM(E$17:E66)=D$10,F66,D$10-SUM(E$17:E66))</f>
        <v>0</v>
      </c>
      <c r="E67" s="378">
        <f>IF(+I14&lt;F66,I14,D67)</f>
        <v>0</v>
      </c>
      <c r="F67" s="55">
        <f t="shared" si="13"/>
        <v>0</v>
      </c>
      <c r="G67" s="380">
        <f t="shared" si="14"/>
        <v>0</v>
      </c>
      <c r="H67" s="364">
        <f t="shared" si="15"/>
        <v>0</v>
      </c>
      <c r="I67" s="52">
        <f t="shared" si="0"/>
        <v>0</v>
      </c>
      <c r="J67" s="52"/>
      <c r="K67" s="129"/>
      <c r="L67" s="54">
        <f t="shared" si="16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 ht="12.5">
      <c r="B68" s="7" t="str">
        <f t="shared" si="7"/>
        <v/>
      </c>
      <c r="C68" s="50">
        <f>IF(D11="","-",+C67+1)</f>
        <v>2070</v>
      </c>
      <c r="D68" s="55">
        <f>IF(F67+SUM(E$17:E67)=D$10,F67,D$10-SUM(E$17:E67))</f>
        <v>0</v>
      </c>
      <c r="E68" s="378">
        <f>IF(+I14&lt;F67,I14,D68)</f>
        <v>0</v>
      </c>
      <c r="F68" s="55">
        <f t="shared" si="13"/>
        <v>0</v>
      </c>
      <c r="G68" s="380">
        <f t="shared" si="14"/>
        <v>0</v>
      </c>
      <c r="H68" s="364">
        <f t="shared" si="15"/>
        <v>0</v>
      </c>
      <c r="I68" s="52">
        <f t="shared" si="0"/>
        <v>0</v>
      </c>
      <c r="J68" s="52"/>
      <c r="K68" s="129"/>
      <c r="L68" s="54">
        <f t="shared" si="16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 ht="12.5">
      <c r="B69" s="7" t="str">
        <f t="shared" si="7"/>
        <v/>
      </c>
      <c r="C69" s="50">
        <f>IF(D11="","-",+C68+1)</f>
        <v>2071</v>
      </c>
      <c r="D69" s="55">
        <f>IF(F68+SUM(E$17:E68)=D$10,F68,D$10-SUM(E$17:E68))</f>
        <v>0</v>
      </c>
      <c r="E69" s="378">
        <f>IF(+I14&lt;F68,I14,D69)</f>
        <v>0</v>
      </c>
      <c r="F69" s="55">
        <f t="shared" si="13"/>
        <v>0</v>
      </c>
      <c r="G69" s="380">
        <f t="shared" si="14"/>
        <v>0</v>
      </c>
      <c r="H69" s="364">
        <f t="shared" si="15"/>
        <v>0</v>
      </c>
      <c r="I69" s="52">
        <f t="shared" si="0"/>
        <v>0</v>
      </c>
      <c r="J69" s="52"/>
      <c r="K69" s="129"/>
      <c r="L69" s="54">
        <f t="shared" si="16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 ht="12.5">
      <c r="B70" s="7" t="str">
        <f t="shared" si="7"/>
        <v/>
      </c>
      <c r="C70" s="50">
        <f>IF(D11="","-",+C69+1)</f>
        <v>2072</v>
      </c>
      <c r="D70" s="55">
        <f>IF(F69+SUM(E$17:E69)=D$10,F69,D$10-SUM(E$17:E69))</f>
        <v>0</v>
      </c>
      <c r="E70" s="378">
        <f>IF(+I14&lt;F69,I14,D70)</f>
        <v>0</v>
      </c>
      <c r="F70" s="55">
        <f t="shared" si="13"/>
        <v>0</v>
      </c>
      <c r="G70" s="380">
        <f t="shared" si="14"/>
        <v>0</v>
      </c>
      <c r="H70" s="364">
        <f t="shared" si="15"/>
        <v>0</v>
      </c>
      <c r="I70" s="52">
        <f t="shared" si="0"/>
        <v>0</v>
      </c>
      <c r="J70" s="52"/>
      <c r="K70" s="129"/>
      <c r="L70" s="54">
        <f t="shared" si="16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 ht="12.5">
      <c r="B71" s="7" t="str">
        <f t="shared" si="7"/>
        <v/>
      </c>
      <c r="C71" s="50">
        <f>IF(D11="","-",+C70+1)</f>
        <v>2073</v>
      </c>
      <c r="D71" s="55">
        <f>IF(F70+SUM(E$17:E70)=D$10,F70,D$10-SUM(E$17:E70))</f>
        <v>0</v>
      </c>
      <c r="E71" s="378">
        <f>IF(+I14&lt;F70,I14,D71)</f>
        <v>0</v>
      </c>
      <c r="F71" s="55">
        <f t="shared" si="13"/>
        <v>0</v>
      </c>
      <c r="G71" s="380">
        <f t="shared" si="14"/>
        <v>0</v>
      </c>
      <c r="H71" s="364">
        <f t="shared" si="15"/>
        <v>0</v>
      </c>
      <c r="I71" s="52">
        <f t="shared" si="0"/>
        <v>0</v>
      </c>
      <c r="J71" s="52"/>
      <c r="K71" s="129"/>
      <c r="L71" s="54">
        <f t="shared" si="16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" thickBot="1">
      <c r="B72" s="7" t="str">
        <f t="shared" si="7"/>
        <v/>
      </c>
      <c r="C72" s="59">
        <f>IF(D11="","-",+C71+1)</f>
        <v>2074</v>
      </c>
      <c r="D72" s="60">
        <f>IF(F71+SUM(E$17:E71)=D$10,F71,D$10-SUM(E$17:E71))</f>
        <v>0</v>
      </c>
      <c r="E72" s="381">
        <f>IF(+I14&lt;F71,I14,D72)</f>
        <v>0</v>
      </c>
      <c r="F72" s="60">
        <f t="shared" si="13"/>
        <v>0</v>
      </c>
      <c r="G72" s="382">
        <f t="shared" si="14"/>
        <v>0</v>
      </c>
      <c r="H72" s="362">
        <f t="shared" si="15"/>
        <v>0</v>
      </c>
      <c r="I72" s="63">
        <f t="shared" si="0"/>
        <v>0</v>
      </c>
      <c r="J72" s="52"/>
      <c r="K72" s="130"/>
      <c r="L72" s="64">
        <f t="shared" si="16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 ht="12.5">
      <c r="C73" s="12" t="s">
        <v>78</v>
      </c>
      <c r="D73" s="293"/>
      <c r="E73" s="293">
        <f>SUM(E17:E72)</f>
        <v>3820523.9999999995</v>
      </c>
      <c r="F73" s="293"/>
      <c r="G73" s="293">
        <f>SUM(G17:G72)</f>
        <v>13848346.126359982</v>
      </c>
      <c r="H73" s="293">
        <f>SUM(H17:H72)</f>
        <v>13848346.126359982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 ht="13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73 of 77</v>
      </c>
    </row>
    <row r="84" spans="1:16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494465.64890946052</v>
      </c>
      <c r="N87" s="387">
        <f>IF(J92&lt;D11,0,VLOOKUP(J92,C17:O72,11))</f>
        <v>494465.64890946052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512166.97380008188</v>
      </c>
      <c r="N88" s="390">
        <f>IF(J92&lt;D11,0,VLOOKUP(J92,C99:P154,7))</f>
        <v>512166.97380008188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Siloam Springs - Siloam Springs City 161 kV Rebuild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17701.324890621356</v>
      </c>
      <c r="N89" s="392">
        <f>+N88-N87</f>
        <v>17701.324890621356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TP2017010</v>
      </c>
      <c r="E91" s="76" t="str">
        <f>E9</f>
        <v xml:space="preserve">  SPP Project ID = 31131</v>
      </c>
      <c r="F91" s="76"/>
      <c r="G91" s="76"/>
      <c r="H91" s="76"/>
      <c r="I91" s="76"/>
      <c r="J91" s="76"/>
    </row>
    <row r="92" spans="1:16" ht="13">
      <c r="C92" s="34" t="s">
        <v>51</v>
      </c>
      <c r="D92" s="394">
        <f>D10</f>
        <v>3820524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</row>
    <row r="93" spans="1:16" ht="12.5">
      <c r="C93" s="34" t="s">
        <v>54</v>
      </c>
      <c r="D93" s="88">
        <f>+D11</f>
        <v>2019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4">
        <f>D12</f>
        <v>6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86830.090909090912</v>
      </c>
      <c r="K96" s="293"/>
      <c r="L96" s="293"/>
      <c r="M96" s="293"/>
      <c r="N96" s="293"/>
      <c r="O96" s="293"/>
      <c r="P96" s="1"/>
    </row>
    <row r="97" spans="1:16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5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 ht="12.5">
      <c r="C99" s="50">
        <f>IF(D93= "","-",D93)</f>
        <v>2019</v>
      </c>
      <c r="D99" s="429">
        <v>0</v>
      </c>
      <c r="E99" s="430">
        <v>0</v>
      </c>
      <c r="F99" s="431">
        <v>3813966</v>
      </c>
      <c r="G99" s="431">
        <v>1906983</v>
      </c>
      <c r="H99" s="433">
        <v>204124.50256642039</v>
      </c>
      <c r="I99" s="434">
        <v>204124.50256642039</v>
      </c>
      <c r="J99" s="54">
        <f t="shared" ref="J99:J130" si="17">+I99-H99</f>
        <v>0</v>
      </c>
      <c r="K99" s="54"/>
      <c r="L99" s="112">
        <f>+H99</f>
        <v>204124.50256642039</v>
      </c>
      <c r="M99" s="53">
        <f t="shared" ref="M99:M100" si="18">IF(L99&lt;&gt;0,+H99-L99,0)</f>
        <v>0</v>
      </c>
      <c r="N99" s="112">
        <f>+I99</f>
        <v>204124.50256642039</v>
      </c>
      <c r="O99" s="53">
        <f t="shared" ref="O99:O130" si="19">IF(N99&lt;&gt;0,+I99-N99,0)</f>
        <v>0</v>
      </c>
      <c r="P99" s="53">
        <f t="shared" ref="P99:P130" si="20">+O99-M99</f>
        <v>0</v>
      </c>
    </row>
    <row r="100" spans="1:16" ht="12.5">
      <c r="B100" s="7" t="str">
        <f>IF(D100=F99,"","IU")</f>
        <v/>
      </c>
      <c r="C100" s="50">
        <f>IF(D93="","-",+C99+1)</f>
        <v>2020</v>
      </c>
      <c r="D100" s="429">
        <v>3813966</v>
      </c>
      <c r="E100" s="430">
        <v>90808.71428571429</v>
      </c>
      <c r="F100" s="431">
        <v>3723157.2857142859</v>
      </c>
      <c r="G100" s="431">
        <v>3768561.6428571427</v>
      </c>
      <c r="H100" s="433">
        <v>496207.33322313288</v>
      </c>
      <c r="I100" s="434">
        <v>496207.33322313288</v>
      </c>
      <c r="J100" s="54">
        <f t="shared" si="17"/>
        <v>0</v>
      </c>
      <c r="K100" s="54"/>
      <c r="L100" s="450">
        <f>+H100</f>
        <v>496207.33322313288</v>
      </c>
      <c r="M100" s="54">
        <f t="shared" si="18"/>
        <v>0</v>
      </c>
      <c r="N100" s="450">
        <f>+I100</f>
        <v>496207.33322313288</v>
      </c>
      <c r="O100" s="54">
        <f t="shared" si="19"/>
        <v>0</v>
      </c>
      <c r="P100" s="54">
        <f t="shared" si="20"/>
        <v>0</v>
      </c>
    </row>
    <row r="101" spans="1:16" ht="12.5">
      <c r="B101" s="7" t="str">
        <f t="shared" ref="B101:B154" si="21">IF(D101=F100,"","IU")</f>
        <v/>
      </c>
      <c r="C101" s="50">
        <f>IF(D93="","-",+C100+1)</f>
        <v>2021</v>
      </c>
      <c r="D101" s="429">
        <v>3723157.2857142859</v>
      </c>
      <c r="E101" s="430">
        <v>93023.560975609755</v>
      </c>
      <c r="F101" s="431">
        <v>3630133.7247386761</v>
      </c>
      <c r="G101" s="431">
        <v>3676645.5052264808</v>
      </c>
      <c r="H101" s="433">
        <v>510375.13114474603</v>
      </c>
      <c r="I101" s="434">
        <v>510375.13114474603</v>
      </c>
      <c r="J101" s="54">
        <f t="shared" si="17"/>
        <v>0</v>
      </c>
      <c r="K101" s="54"/>
      <c r="L101" s="450">
        <f>+H101</f>
        <v>510375.13114474603</v>
      </c>
      <c r="M101" s="54">
        <f t="shared" ref="M101" si="22">IF(L101&lt;&gt;0,+H101-L101,0)</f>
        <v>0</v>
      </c>
      <c r="N101" s="450">
        <f>+I101</f>
        <v>510375.13114474603</v>
      </c>
      <c r="O101" s="54">
        <f t="shared" si="19"/>
        <v>0</v>
      </c>
      <c r="P101" s="54">
        <f t="shared" si="20"/>
        <v>0</v>
      </c>
    </row>
    <row r="102" spans="1:16" ht="12.5">
      <c r="B102" s="7" t="str">
        <f t="shared" si="21"/>
        <v/>
      </c>
      <c r="C102" s="50">
        <f>IF(D93="","-",+C101+1)</f>
        <v>2022</v>
      </c>
      <c r="D102" s="429">
        <v>3630133.7247386761</v>
      </c>
      <c r="E102" s="430">
        <v>90808.71428571429</v>
      </c>
      <c r="F102" s="431">
        <v>3539325.010452962</v>
      </c>
      <c r="G102" s="431">
        <v>3584729.3675958188</v>
      </c>
      <c r="H102" s="433">
        <v>511863.29369430547</v>
      </c>
      <c r="I102" s="434">
        <v>511863.29369430547</v>
      </c>
      <c r="J102" s="54">
        <f t="shared" si="17"/>
        <v>0</v>
      </c>
      <c r="K102" s="54"/>
      <c r="L102" s="450">
        <f>+H102</f>
        <v>511863.29369430547</v>
      </c>
      <c r="M102" s="54">
        <f t="shared" ref="M102" si="23">IF(L102&lt;&gt;0,+H102-L102,0)</f>
        <v>0</v>
      </c>
      <c r="N102" s="450">
        <f>+I102</f>
        <v>511863.29369430547</v>
      </c>
      <c r="O102" s="54">
        <f t="shared" ref="O102" si="24">IF(N102&lt;&gt;0,+I102-N102,0)</f>
        <v>0</v>
      </c>
      <c r="P102" s="54">
        <f t="shared" ref="P102" si="25">+O102-M102</f>
        <v>0</v>
      </c>
    </row>
    <row r="103" spans="1:16" ht="12.5">
      <c r="B103" s="7" t="str">
        <f t="shared" si="21"/>
        <v>IU</v>
      </c>
      <c r="C103" s="50">
        <f>IF(D93="","-",+C102+1)</f>
        <v>2023</v>
      </c>
      <c r="D103" s="429">
        <v>3545883.0104529615</v>
      </c>
      <c r="E103" s="430">
        <v>86830.090909090912</v>
      </c>
      <c r="F103" s="431">
        <v>3459052.9195438707</v>
      </c>
      <c r="G103" s="431">
        <v>3502467.9649984161</v>
      </c>
      <c r="H103" s="433">
        <v>518912.24830265855</v>
      </c>
      <c r="I103" s="434">
        <v>518912.24830265855</v>
      </c>
      <c r="J103" s="54">
        <f t="shared" si="17"/>
        <v>0</v>
      </c>
      <c r="K103" s="54"/>
      <c r="L103" s="450">
        <f>+H103</f>
        <v>518912.24830265855</v>
      </c>
      <c r="M103" s="54">
        <f t="shared" ref="M103" si="26">IF(L103&lt;&gt;0,+H103-L103,0)</f>
        <v>0</v>
      </c>
      <c r="N103" s="450">
        <f>+I103</f>
        <v>518912.24830265855</v>
      </c>
      <c r="O103" s="54">
        <f t="shared" ref="O103" si="27">IF(N103&lt;&gt;0,+I103-N103,0)</f>
        <v>0</v>
      </c>
      <c r="P103" s="54">
        <f t="shared" ref="P103" si="28">+O103-M103</f>
        <v>0</v>
      </c>
    </row>
    <row r="104" spans="1:16" ht="12.5">
      <c r="B104" s="7" t="str">
        <f t="shared" si="21"/>
        <v/>
      </c>
      <c r="C104" s="50">
        <f>IF(D93="","-",+C103+1)</f>
        <v>2024</v>
      </c>
      <c r="D104" s="12">
        <f>IF(F103+SUM(E$99:E103)=D$92,F103,D$92-SUM(E$99:E103))</f>
        <v>3459052.9195438707</v>
      </c>
      <c r="E104" s="378">
        <f>IF(+J96&lt;F103,J96,D104)</f>
        <v>86830.090909090912</v>
      </c>
      <c r="F104" s="55">
        <f t="shared" ref="F104:F154" si="29">+D104-E104</f>
        <v>3372222.8286347799</v>
      </c>
      <c r="G104" s="55">
        <f t="shared" ref="G104:G154" si="30">+(F104+D104)/2</f>
        <v>3415637.8740893253</v>
      </c>
      <c r="H104" s="380">
        <f t="shared" ref="H104:H154" si="31">+J$94*G104+E104</f>
        <v>512166.97380008188</v>
      </c>
      <c r="I104" s="399">
        <f t="shared" ref="I104:I154" si="32">+J$95*G104+E104</f>
        <v>512166.97380008188</v>
      </c>
      <c r="J104" s="54">
        <f t="shared" si="17"/>
        <v>0</v>
      </c>
      <c r="K104" s="54"/>
      <c r="L104" s="129"/>
      <c r="M104" s="54">
        <f t="shared" ref="M104:M130" si="33">IF(L104&lt;&gt;0,+H104-L104,0)</f>
        <v>0</v>
      </c>
      <c r="N104" s="129"/>
      <c r="O104" s="54">
        <f t="shared" si="19"/>
        <v>0</v>
      </c>
      <c r="P104" s="54">
        <f t="shared" si="20"/>
        <v>0</v>
      </c>
    </row>
    <row r="105" spans="1:16" ht="12.5">
      <c r="B105" s="7" t="str">
        <f t="shared" si="21"/>
        <v/>
      </c>
      <c r="C105" s="50">
        <f>IF(D93="","-",+C104+1)</f>
        <v>2025</v>
      </c>
      <c r="D105" s="12">
        <f>IF(F104+SUM(E$99:E104)=D$92,F104,D$92-SUM(E$99:E104))</f>
        <v>3372222.8286347799</v>
      </c>
      <c r="E105" s="378">
        <f>IF(+J96&lt;F104,J96,D105)</f>
        <v>86830.090909090912</v>
      </c>
      <c r="F105" s="55">
        <f t="shared" si="29"/>
        <v>3285392.7377256891</v>
      </c>
      <c r="G105" s="55">
        <f t="shared" si="30"/>
        <v>3328807.7831802345</v>
      </c>
      <c r="H105" s="380">
        <f t="shared" si="31"/>
        <v>501354.3403858149</v>
      </c>
      <c r="I105" s="399">
        <f t="shared" si="32"/>
        <v>501354.3403858149</v>
      </c>
      <c r="J105" s="54">
        <f t="shared" si="17"/>
        <v>0</v>
      </c>
      <c r="K105" s="54"/>
      <c r="L105" s="129"/>
      <c r="M105" s="54">
        <f t="shared" si="33"/>
        <v>0</v>
      </c>
      <c r="N105" s="129"/>
      <c r="O105" s="54">
        <f t="shared" si="19"/>
        <v>0</v>
      </c>
      <c r="P105" s="54">
        <f t="shared" si="20"/>
        <v>0</v>
      </c>
    </row>
    <row r="106" spans="1:16" ht="12.5">
      <c r="B106" s="7" t="str">
        <f t="shared" si="21"/>
        <v/>
      </c>
      <c r="C106" s="50">
        <f>IF(D93="","-",+C105+1)</f>
        <v>2026</v>
      </c>
      <c r="D106" s="12">
        <f>IF(F105+SUM(E$99:E105)=D$92,F105,D$92-SUM(E$99:E105))</f>
        <v>3285392.7377256891</v>
      </c>
      <c r="E106" s="378">
        <f>IF(+J96&lt;F105,J96,D106)</f>
        <v>86830.090909090912</v>
      </c>
      <c r="F106" s="55">
        <f t="shared" si="29"/>
        <v>3198562.6468165983</v>
      </c>
      <c r="G106" s="55">
        <f t="shared" si="30"/>
        <v>3241977.6922711437</v>
      </c>
      <c r="H106" s="380">
        <f t="shared" si="31"/>
        <v>490541.70697154792</v>
      </c>
      <c r="I106" s="399">
        <f t="shared" si="32"/>
        <v>490541.70697154792</v>
      </c>
      <c r="J106" s="54">
        <f t="shared" si="17"/>
        <v>0</v>
      </c>
      <c r="K106" s="54"/>
      <c r="L106" s="129"/>
      <c r="M106" s="54">
        <f t="shared" si="33"/>
        <v>0</v>
      </c>
      <c r="N106" s="129"/>
      <c r="O106" s="54">
        <f t="shared" si="19"/>
        <v>0</v>
      </c>
      <c r="P106" s="54">
        <f t="shared" si="20"/>
        <v>0</v>
      </c>
    </row>
    <row r="107" spans="1:16" ht="12.5">
      <c r="B107" s="7" t="str">
        <f t="shared" si="21"/>
        <v/>
      </c>
      <c r="C107" s="50">
        <f>IF(D93="","-",+C106+1)</f>
        <v>2027</v>
      </c>
      <c r="D107" s="12">
        <f>IF(F106+SUM(E$99:E106)=D$92,F106,D$92-SUM(E$99:E106))</f>
        <v>3198562.6468165983</v>
      </c>
      <c r="E107" s="378">
        <f>IF(+J96&lt;F106,J96,D107)</f>
        <v>86830.090909090912</v>
      </c>
      <c r="F107" s="55">
        <f t="shared" si="29"/>
        <v>3111732.5559075074</v>
      </c>
      <c r="G107" s="55">
        <f t="shared" si="30"/>
        <v>3155147.6013620528</v>
      </c>
      <c r="H107" s="380">
        <f t="shared" si="31"/>
        <v>479729.07355728094</v>
      </c>
      <c r="I107" s="399">
        <f t="shared" si="32"/>
        <v>479729.07355728094</v>
      </c>
      <c r="J107" s="54">
        <f t="shared" si="17"/>
        <v>0</v>
      </c>
      <c r="K107" s="54"/>
      <c r="L107" s="129"/>
      <c r="M107" s="54">
        <f t="shared" si="33"/>
        <v>0</v>
      </c>
      <c r="N107" s="129"/>
      <c r="O107" s="54">
        <f t="shared" si="19"/>
        <v>0</v>
      </c>
      <c r="P107" s="54">
        <f t="shared" si="20"/>
        <v>0</v>
      </c>
    </row>
    <row r="108" spans="1:16" ht="12.5">
      <c r="B108" s="7" t="str">
        <f t="shared" si="21"/>
        <v/>
      </c>
      <c r="C108" s="50">
        <f>IF(D93="","-",+C107+1)</f>
        <v>2028</v>
      </c>
      <c r="D108" s="12">
        <f>IF(F107+SUM(E$99:E107)=D$92,F107,D$92-SUM(E$99:E107))</f>
        <v>3111732.5559075074</v>
      </c>
      <c r="E108" s="378">
        <f>IF(+J96&lt;F107,J96,D108)</f>
        <v>86830.090909090912</v>
      </c>
      <c r="F108" s="55">
        <f t="shared" si="29"/>
        <v>3024902.4649984166</v>
      </c>
      <c r="G108" s="55">
        <f t="shared" si="30"/>
        <v>3068317.510452962</v>
      </c>
      <c r="H108" s="380">
        <f t="shared" si="31"/>
        <v>468916.44014301396</v>
      </c>
      <c r="I108" s="399">
        <f t="shared" si="32"/>
        <v>468916.44014301396</v>
      </c>
      <c r="J108" s="54">
        <f t="shared" si="17"/>
        <v>0</v>
      </c>
      <c r="K108" s="54"/>
      <c r="L108" s="129"/>
      <c r="M108" s="54">
        <f t="shared" si="33"/>
        <v>0</v>
      </c>
      <c r="N108" s="129"/>
      <c r="O108" s="54">
        <f t="shared" si="19"/>
        <v>0</v>
      </c>
      <c r="P108" s="54">
        <f t="shared" si="20"/>
        <v>0</v>
      </c>
    </row>
    <row r="109" spans="1:16" ht="12.5">
      <c r="B109" s="7" t="str">
        <f t="shared" si="21"/>
        <v/>
      </c>
      <c r="C109" s="50">
        <f>IF(D93="","-",+C108+1)</f>
        <v>2029</v>
      </c>
      <c r="D109" s="12">
        <f>IF(F108+SUM(E$99:E108)=D$92,F108,D$92-SUM(E$99:E108))</f>
        <v>3024902.4649984166</v>
      </c>
      <c r="E109" s="378">
        <f>IF(+J96&lt;F108,J96,D109)</f>
        <v>86830.090909090912</v>
      </c>
      <c r="F109" s="55">
        <f t="shared" si="29"/>
        <v>2938072.3740893258</v>
      </c>
      <c r="G109" s="55">
        <f t="shared" si="30"/>
        <v>2981487.4195438712</v>
      </c>
      <c r="H109" s="380">
        <f t="shared" si="31"/>
        <v>458103.80672874697</v>
      </c>
      <c r="I109" s="399">
        <f t="shared" si="32"/>
        <v>458103.80672874697</v>
      </c>
      <c r="J109" s="54">
        <f t="shared" si="17"/>
        <v>0</v>
      </c>
      <c r="K109" s="54"/>
      <c r="L109" s="129"/>
      <c r="M109" s="54">
        <f t="shared" si="33"/>
        <v>0</v>
      </c>
      <c r="N109" s="129"/>
      <c r="O109" s="54">
        <f t="shared" si="19"/>
        <v>0</v>
      </c>
      <c r="P109" s="54">
        <f t="shared" si="20"/>
        <v>0</v>
      </c>
    </row>
    <row r="110" spans="1:16" ht="12.5">
      <c r="B110" s="7" t="str">
        <f t="shared" si="21"/>
        <v/>
      </c>
      <c r="C110" s="50">
        <f>IF(D93="","-",+C109+1)</f>
        <v>2030</v>
      </c>
      <c r="D110" s="12">
        <f>IF(F109+SUM(E$99:E109)=D$92,F109,D$92-SUM(E$99:E109))</f>
        <v>2938072.3740893258</v>
      </c>
      <c r="E110" s="378">
        <f>IF(+J96&lt;F109,J96,D110)</f>
        <v>86830.090909090912</v>
      </c>
      <c r="F110" s="55">
        <f t="shared" si="29"/>
        <v>2851242.283180235</v>
      </c>
      <c r="G110" s="55">
        <f t="shared" si="30"/>
        <v>2894657.3286347804</v>
      </c>
      <c r="H110" s="380">
        <f t="shared" si="31"/>
        <v>447291.17331447999</v>
      </c>
      <c r="I110" s="399">
        <f t="shared" si="32"/>
        <v>447291.17331447999</v>
      </c>
      <c r="J110" s="54">
        <f t="shared" si="17"/>
        <v>0</v>
      </c>
      <c r="K110" s="54"/>
      <c r="L110" s="129"/>
      <c r="M110" s="54">
        <f t="shared" si="33"/>
        <v>0</v>
      </c>
      <c r="N110" s="129"/>
      <c r="O110" s="54">
        <f t="shared" si="19"/>
        <v>0</v>
      </c>
      <c r="P110" s="54">
        <f t="shared" si="20"/>
        <v>0</v>
      </c>
    </row>
    <row r="111" spans="1:16" ht="12.5">
      <c r="B111" s="7" t="str">
        <f t="shared" si="21"/>
        <v/>
      </c>
      <c r="C111" s="50">
        <f>IF(D93="","-",+C110+1)</f>
        <v>2031</v>
      </c>
      <c r="D111" s="12">
        <f>IF(F110+SUM(E$99:E110)=D$92,F110,D$92-SUM(E$99:E110))</f>
        <v>2851242.283180235</v>
      </c>
      <c r="E111" s="378">
        <f>IF(+J96&lt;F110,J96,D111)</f>
        <v>86830.090909090912</v>
      </c>
      <c r="F111" s="55">
        <f t="shared" si="29"/>
        <v>2764412.1922711441</v>
      </c>
      <c r="G111" s="55">
        <f t="shared" si="30"/>
        <v>2807827.2377256895</v>
      </c>
      <c r="H111" s="380">
        <f t="shared" si="31"/>
        <v>436478.53990021301</v>
      </c>
      <c r="I111" s="399">
        <f t="shared" si="32"/>
        <v>436478.53990021301</v>
      </c>
      <c r="J111" s="54">
        <f t="shared" si="17"/>
        <v>0</v>
      </c>
      <c r="K111" s="54"/>
      <c r="L111" s="129"/>
      <c r="M111" s="54">
        <f t="shared" si="33"/>
        <v>0</v>
      </c>
      <c r="N111" s="129"/>
      <c r="O111" s="54">
        <f t="shared" si="19"/>
        <v>0</v>
      </c>
      <c r="P111" s="54">
        <f t="shared" si="20"/>
        <v>0</v>
      </c>
    </row>
    <row r="112" spans="1:16" ht="12.5">
      <c r="B112" s="7" t="str">
        <f t="shared" si="21"/>
        <v/>
      </c>
      <c r="C112" s="50">
        <f>IF(D93="","-",+C111+1)</f>
        <v>2032</v>
      </c>
      <c r="D112" s="12">
        <f>IF(F111+SUM(E$99:E111)=D$92,F111,D$92-SUM(E$99:E111))</f>
        <v>2764412.1922711441</v>
      </c>
      <c r="E112" s="378">
        <f>IF(+J96&lt;F111,J96,D112)</f>
        <v>86830.090909090912</v>
      </c>
      <c r="F112" s="55">
        <f t="shared" si="29"/>
        <v>2677582.1013620533</v>
      </c>
      <c r="G112" s="55">
        <f t="shared" si="30"/>
        <v>2720997.1468165987</v>
      </c>
      <c r="H112" s="380">
        <f t="shared" si="31"/>
        <v>425665.90648594603</v>
      </c>
      <c r="I112" s="399">
        <f t="shared" si="32"/>
        <v>425665.90648594603</v>
      </c>
      <c r="J112" s="54">
        <f t="shared" si="17"/>
        <v>0</v>
      </c>
      <c r="K112" s="54"/>
      <c r="L112" s="129"/>
      <c r="M112" s="54">
        <f t="shared" si="33"/>
        <v>0</v>
      </c>
      <c r="N112" s="129"/>
      <c r="O112" s="54">
        <f t="shared" si="19"/>
        <v>0</v>
      </c>
      <c r="P112" s="54">
        <f t="shared" si="20"/>
        <v>0</v>
      </c>
    </row>
    <row r="113" spans="2:16" ht="12.5">
      <c r="B113" s="7" t="str">
        <f t="shared" si="21"/>
        <v/>
      </c>
      <c r="C113" s="50">
        <f>IF(D93="","-",+C112+1)</f>
        <v>2033</v>
      </c>
      <c r="D113" s="12">
        <f>IF(F112+SUM(E$99:E112)=D$92,F112,D$92-SUM(E$99:E112))</f>
        <v>2677582.1013620533</v>
      </c>
      <c r="E113" s="378">
        <f>IF(+J96&lt;F112,J96,D113)</f>
        <v>86830.090909090912</v>
      </c>
      <c r="F113" s="55">
        <f t="shared" si="29"/>
        <v>2590752.0104529625</v>
      </c>
      <c r="G113" s="55">
        <f t="shared" si="30"/>
        <v>2634167.0559075079</v>
      </c>
      <c r="H113" s="380">
        <f t="shared" si="31"/>
        <v>414853.27307167905</v>
      </c>
      <c r="I113" s="399">
        <f t="shared" si="32"/>
        <v>414853.27307167905</v>
      </c>
      <c r="J113" s="54">
        <f t="shared" si="17"/>
        <v>0</v>
      </c>
      <c r="K113" s="54"/>
      <c r="L113" s="129"/>
      <c r="M113" s="54">
        <f t="shared" si="33"/>
        <v>0</v>
      </c>
      <c r="N113" s="129"/>
      <c r="O113" s="54">
        <f t="shared" si="19"/>
        <v>0</v>
      </c>
      <c r="P113" s="54">
        <f t="shared" si="20"/>
        <v>0</v>
      </c>
    </row>
    <row r="114" spans="2:16" ht="12.5">
      <c r="B114" s="7" t="str">
        <f t="shared" si="21"/>
        <v/>
      </c>
      <c r="C114" s="50">
        <f>IF(D93="","-",+C113+1)</f>
        <v>2034</v>
      </c>
      <c r="D114" s="12">
        <f>IF(F113+SUM(E$99:E113)=D$92,F113,D$92-SUM(E$99:E113))</f>
        <v>2590752.0104529625</v>
      </c>
      <c r="E114" s="378">
        <f>IF(+J96&lt;F113,J96,D114)</f>
        <v>86830.090909090912</v>
      </c>
      <c r="F114" s="55">
        <f t="shared" si="29"/>
        <v>2503921.9195438717</v>
      </c>
      <c r="G114" s="55">
        <f t="shared" si="30"/>
        <v>2547336.9649984171</v>
      </c>
      <c r="H114" s="380">
        <f t="shared" si="31"/>
        <v>404040.63965741207</v>
      </c>
      <c r="I114" s="399">
        <f t="shared" si="32"/>
        <v>404040.63965741207</v>
      </c>
      <c r="J114" s="54">
        <f t="shared" si="17"/>
        <v>0</v>
      </c>
      <c r="K114" s="54"/>
      <c r="L114" s="129"/>
      <c r="M114" s="54">
        <f t="shared" si="33"/>
        <v>0</v>
      </c>
      <c r="N114" s="129"/>
      <c r="O114" s="54">
        <f t="shared" si="19"/>
        <v>0</v>
      </c>
      <c r="P114" s="54">
        <f t="shared" si="20"/>
        <v>0</v>
      </c>
    </row>
    <row r="115" spans="2:16" ht="12.5">
      <c r="B115" s="7" t="str">
        <f t="shared" si="21"/>
        <v/>
      </c>
      <c r="C115" s="50">
        <f>IF(D93="","-",+C114+1)</f>
        <v>2035</v>
      </c>
      <c r="D115" s="12">
        <f>IF(F114+SUM(E$99:E114)=D$92,F114,D$92-SUM(E$99:E114))</f>
        <v>2503921.9195438717</v>
      </c>
      <c r="E115" s="378">
        <f>IF(+J96&lt;F114,J96,D115)</f>
        <v>86830.090909090912</v>
      </c>
      <c r="F115" s="55">
        <f t="shared" si="29"/>
        <v>2417091.8286347808</v>
      </c>
      <c r="G115" s="55">
        <f t="shared" si="30"/>
        <v>2460506.8740893262</v>
      </c>
      <c r="H115" s="380">
        <f t="shared" si="31"/>
        <v>393228.00624314509</v>
      </c>
      <c r="I115" s="399">
        <f t="shared" si="32"/>
        <v>393228.00624314509</v>
      </c>
      <c r="J115" s="54">
        <f t="shared" si="17"/>
        <v>0</v>
      </c>
      <c r="K115" s="54"/>
      <c r="L115" s="129"/>
      <c r="M115" s="54">
        <f t="shared" si="33"/>
        <v>0</v>
      </c>
      <c r="N115" s="129"/>
      <c r="O115" s="54">
        <f t="shared" si="19"/>
        <v>0</v>
      </c>
      <c r="P115" s="54">
        <f t="shared" si="20"/>
        <v>0</v>
      </c>
    </row>
    <row r="116" spans="2:16" ht="12.5">
      <c r="B116" s="7" t="str">
        <f t="shared" si="21"/>
        <v/>
      </c>
      <c r="C116" s="50">
        <f>IF(D93="","-",+C115+1)</f>
        <v>2036</v>
      </c>
      <c r="D116" s="12">
        <f>IF(F115+SUM(E$99:E115)=D$92,F115,D$92-SUM(E$99:E115))</f>
        <v>2417091.8286347808</v>
      </c>
      <c r="E116" s="378">
        <f>IF(+J96&lt;F115,J96,D116)</f>
        <v>86830.090909090912</v>
      </c>
      <c r="F116" s="55">
        <f t="shared" si="29"/>
        <v>2330261.73772569</v>
      </c>
      <c r="G116" s="55">
        <f t="shared" si="30"/>
        <v>2373676.7831802354</v>
      </c>
      <c r="H116" s="380">
        <f t="shared" si="31"/>
        <v>382415.37282887811</v>
      </c>
      <c r="I116" s="399">
        <f t="shared" si="32"/>
        <v>382415.37282887811</v>
      </c>
      <c r="J116" s="54">
        <f t="shared" si="17"/>
        <v>0</v>
      </c>
      <c r="K116" s="54"/>
      <c r="L116" s="129"/>
      <c r="M116" s="54">
        <f t="shared" si="33"/>
        <v>0</v>
      </c>
      <c r="N116" s="129"/>
      <c r="O116" s="54">
        <f t="shared" si="19"/>
        <v>0</v>
      </c>
      <c r="P116" s="54">
        <f t="shared" si="20"/>
        <v>0</v>
      </c>
    </row>
    <row r="117" spans="2:16" ht="12.5">
      <c r="B117" s="7" t="str">
        <f t="shared" si="21"/>
        <v/>
      </c>
      <c r="C117" s="50">
        <f>IF(D93="","-",+C116+1)</f>
        <v>2037</v>
      </c>
      <c r="D117" s="12">
        <f>IF(F116+SUM(E$99:E116)=D$92,F116,D$92-SUM(E$99:E116))</f>
        <v>2330261.73772569</v>
      </c>
      <c r="E117" s="378">
        <f>IF(+J96&lt;F116,J96,D117)</f>
        <v>86830.090909090912</v>
      </c>
      <c r="F117" s="55">
        <f t="shared" si="29"/>
        <v>2243431.6468165992</v>
      </c>
      <c r="G117" s="55">
        <f t="shared" si="30"/>
        <v>2286846.6922711446</v>
      </c>
      <c r="H117" s="380">
        <f t="shared" si="31"/>
        <v>371602.73941461113</v>
      </c>
      <c r="I117" s="399">
        <f t="shared" si="32"/>
        <v>371602.73941461113</v>
      </c>
      <c r="J117" s="54">
        <f t="shared" si="17"/>
        <v>0</v>
      </c>
      <c r="K117" s="54"/>
      <c r="L117" s="129"/>
      <c r="M117" s="54">
        <f t="shared" si="33"/>
        <v>0</v>
      </c>
      <c r="N117" s="129"/>
      <c r="O117" s="54">
        <f t="shared" si="19"/>
        <v>0</v>
      </c>
      <c r="P117" s="54">
        <f t="shared" si="20"/>
        <v>0</v>
      </c>
    </row>
    <row r="118" spans="2:16" ht="12.5">
      <c r="B118" s="7" t="str">
        <f t="shared" si="21"/>
        <v/>
      </c>
      <c r="C118" s="50">
        <f>IF(D93="","-",+C117+1)</f>
        <v>2038</v>
      </c>
      <c r="D118" s="12">
        <f>IF(F117+SUM(E$99:E117)=D$92,F117,D$92-SUM(E$99:E117))</f>
        <v>2243431.6468165992</v>
      </c>
      <c r="E118" s="378">
        <f>IF(+J96&lt;F117,J96,D118)</f>
        <v>86830.090909090912</v>
      </c>
      <c r="F118" s="55">
        <f t="shared" si="29"/>
        <v>2156601.5559075084</v>
      </c>
      <c r="G118" s="55">
        <f t="shared" si="30"/>
        <v>2200016.6013620538</v>
      </c>
      <c r="H118" s="380">
        <f t="shared" si="31"/>
        <v>360790.10600034415</v>
      </c>
      <c r="I118" s="399">
        <f t="shared" si="32"/>
        <v>360790.10600034415</v>
      </c>
      <c r="J118" s="54">
        <f t="shared" si="17"/>
        <v>0</v>
      </c>
      <c r="K118" s="54"/>
      <c r="L118" s="129"/>
      <c r="M118" s="54">
        <f t="shared" si="33"/>
        <v>0</v>
      </c>
      <c r="N118" s="129"/>
      <c r="O118" s="54">
        <f t="shared" si="19"/>
        <v>0</v>
      </c>
      <c r="P118" s="54">
        <f t="shared" si="20"/>
        <v>0</v>
      </c>
    </row>
    <row r="119" spans="2:16" ht="12.5">
      <c r="B119" s="7" t="str">
        <f t="shared" si="21"/>
        <v/>
      </c>
      <c r="C119" s="50">
        <f>IF(D93="","-",+C118+1)</f>
        <v>2039</v>
      </c>
      <c r="D119" s="12">
        <f>IF(F118+SUM(E$99:E118)=D$92,F118,D$92-SUM(E$99:E118))</f>
        <v>2156601.5559075084</v>
      </c>
      <c r="E119" s="378">
        <f>IF(+J96&lt;F118,J96,D119)</f>
        <v>86830.090909090912</v>
      </c>
      <c r="F119" s="55">
        <f t="shared" si="29"/>
        <v>2069771.4649984175</v>
      </c>
      <c r="G119" s="55">
        <f t="shared" si="30"/>
        <v>2113186.5104529629</v>
      </c>
      <c r="H119" s="380">
        <f t="shared" si="31"/>
        <v>349977.47258607717</v>
      </c>
      <c r="I119" s="399">
        <f t="shared" si="32"/>
        <v>349977.47258607717</v>
      </c>
      <c r="J119" s="54">
        <f t="shared" si="17"/>
        <v>0</v>
      </c>
      <c r="K119" s="54"/>
      <c r="L119" s="129"/>
      <c r="M119" s="54">
        <f t="shared" si="33"/>
        <v>0</v>
      </c>
      <c r="N119" s="129"/>
      <c r="O119" s="54">
        <f t="shared" si="19"/>
        <v>0</v>
      </c>
      <c r="P119" s="54">
        <f t="shared" si="20"/>
        <v>0</v>
      </c>
    </row>
    <row r="120" spans="2:16" ht="12.5">
      <c r="B120" s="7" t="str">
        <f t="shared" si="21"/>
        <v/>
      </c>
      <c r="C120" s="50">
        <f>IF(D93="","-",+C119+1)</f>
        <v>2040</v>
      </c>
      <c r="D120" s="12">
        <f>IF(F119+SUM(E$99:E119)=D$92,F119,D$92-SUM(E$99:E119))</f>
        <v>2069771.4649984175</v>
      </c>
      <c r="E120" s="378">
        <f>IF(+J96&lt;F119,J96,D120)</f>
        <v>86830.090909090912</v>
      </c>
      <c r="F120" s="55">
        <f t="shared" si="29"/>
        <v>1982941.3740893267</v>
      </c>
      <c r="G120" s="55">
        <f t="shared" si="30"/>
        <v>2026356.4195438721</v>
      </c>
      <c r="H120" s="380">
        <f t="shared" si="31"/>
        <v>339164.83917181019</v>
      </c>
      <c r="I120" s="399">
        <f t="shared" si="32"/>
        <v>339164.83917181019</v>
      </c>
      <c r="J120" s="54">
        <f t="shared" si="17"/>
        <v>0</v>
      </c>
      <c r="K120" s="54"/>
      <c r="L120" s="129"/>
      <c r="M120" s="54">
        <f t="shared" si="33"/>
        <v>0</v>
      </c>
      <c r="N120" s="129"/>
      <c r="O120" s="54">
        <f t="shared" si="19"/>
        <v>0</v>
      </c>
      <c r="P120" s="54">
        <f t="shared" si="20"/>
        <v>0</v>
      </c>
    </row>
    <row r="121" spans="2:16" ht="12.5">
      <c r="B121" s="7" t="str">
        <f t="shared" si="21"/>
        <v/>
      </c>
      <c r="C121" s="50">
        <f>IF(D93="","-",+C120+1)</f>
        <v>2041</v>
      </c>
      <c r="D121" s="12">
        <f>IF(F120+SUM(E$99:E120)=D$92,F120,D$92-SUM(E$99:E120))</f>
        <v>1982941.3740893267</v>
      </c>
      <c r="E121" s="378">
        <f>IF(+J96&lt;F120,J96,D121)</f>
        <v>86830.090909090912</v>
      </c>
      <c r="F121" s="55">
        <f t="shared" si="29"/>
        <v>1896111.2831802359</v>
      </c>
      <c r="G121" s="55">
        <f t="shared" si="30"/>
        <v>1939526.3286347813</v>
      </c>
      <c r="H121" s="380">
        <f t="shared" si="31"/>
        <v>328352.20575754321</v>
      </c>
      <c r="I121" s="399">
        <f t="shared" si="32"/>
        <v>328352.20575754321</v>
      </c>
      <c r="J121" s="54">
        <f t="shared" si="17"/>
        <v>0</v>
      </c>
      <c r="K121" s="54"/>
      <c r="L121" s="129"/>
      <c r="M121" s="54">
        <f t="shared" si="33"/>
        <v>0</v>
      </c>
      <c r="N121" s="129"/>
      <c r="O121" s="54">
        <f t="shared" si="19"/>
        <v>0</v>
      </c>
      <c r="P121" s="54">
        <f t="shared" si="20"/>
        <v>0</v>
      </c>
    </row>
    <row r="122" spans="2:16" ht="12.5">
      <c r="B122" s="7" t="str">
        <f t="shared" si="21"/>
        <v/>
      </c>
      <c r="C122" s="50">
        <f>IF(D93="","-",+C121+1)</f>
        <v>2042</v>
      </c>
      <c r="D122" s="12">
        <f>IF(F121+SUM(E$99:E121)=D$92,F121,D$92-SUM(E$99:E121))</f>
        <v>1896111.2831802359</v>
      </c>
      <c r="E122" s="378">
        <f>IF(+J96&lt;F121,J96,D122)</f>
        <v>86830.090909090912</v>
      </c>
      <c r="F122" s="55">
        <f t="shared" si="29"/>
        <v>1809281.1922711451</v>
      </c>
      <c r="G122" s="55">
        <f t="shared" si="30"/>
        <v>1852696.2377256905</v>
      </c>
      <c r="H122" s="380">
        <f t="shared" si="31"/>
        <v>317539.57234327629</v>
      </c>
      <c r="I122" s="399">
        <f t="shared" si="32"/>
        <v>317539.57234327629</v>
      </c>
      <c r="J122" s="54">
        <f t="shared" si="17"/>
        <v>0</v>
      </c>
      <c r="K122" s="54"/>
      <c r="L122" s="129"/>
      <c r="M122" s="54">
        <f t="shared" si="33"/>
        <v>0</v>
      </c>
      <c r="N122" s="129"/>
      <c r="O122" s="54">
        <f t="shared" si="19"/>
        <v>0</v>
      </c>
      <c r="P122" s="54">
        <f t="shared" si="20"/>
        <v>0</v>
      </c>
    </row>
    <row r="123" spans="2:16" ht="12.5">
      <c r="B123" s="7" t="str">
        <f t="shared" si="21"/>
        <v/>
      </c>
      <c r="C123" s="50">
        <f>IF(D93="","-",+C122+1)</f>
        <v>2043</v>
      </c>
      <c r="D123" s="12">
        <f>IF(F122+SUM(E$99:E122)=D$92,F122,D$92-SUM(E$99:E122))</f>
        <v>1809281.1922711451</v>
      </c>
      <c r="E123" s="378">
        <f>IF(+J96&lt;F122,J96,D123)</f>
        <v>86830.090909090912</v>
      </c>
      <c r="F123" s="55">
        <f t="shared" si="29"/>
        <v>1722451.1013620542</v>
      </c>
      <c r="G123" s="55">
        <f t="shared" si="30"/>
        <v>1765866.1468165996</v>
      </c>
      <c r="H123" s="380">
        <f t="shared" si="31"/>
        <v>306726.93892900931</v>
      </c>
      <c r="I123" s="399">
        <f t="shared" si="32"/>
        <v>306726.93892900931</v>
      </c>
      <c r="J123" s="54">
        <f t="shared" si="17"/>
        <v>0</v>
      </c>
      <c r="K123" s="54"/>
      <c r="L123" s="129"/>
      <c r="M123" s="54">
        <f t="shared" si="33"/>
        <v>0</v>
      </c>
      <c r="N123" s="129"/>
      <c r="O123" s="54">
        <f t="shared" si="19"/>
        <v>0</v>
      </c>
      <c r="P123" s="54">
        <f t="shared" si="20"/>
        <v>0</v>
      </c>
    </row>
    <row r="124" spans="2:16" ht="12.5">
      <c r="B124" s="7" t="str">
        <f t="shared" si="21"/>
        <v/>
      </c>
      <c r="C124" s="50">
        <f>IF(D93="","-",+C123+1)</f>
        <v>2044</v>
      </c>
      <c r="D124" s="12">
        <f>IF(F123+SUM(E$99:E123)=D$92,F123,D$92-SUM(E$99:E123))</f>
        <v>1722451.1013620542</v>
      </c>
      <c r="E124" s="378">
        <f>IF(+J96&lt;F123,J96,D124)</f>
        <v>86830.090909090912</v>
      </c>
      <c r="F124" s="55">
        <f t="shared" si="29"/>
        <v>1635621.0104529634</v>
      </c>
      <c r="G124" s="55">
        <f t="shared" si="30"/>
        <v>1679036.0559075088</v>
      </c>
      <c r="H124" s="380">
        <f t="shared" si="31"/>
        <v>295914.30551474233</v>
      </c>
      <c r="I124" s="399">
        <f t="shared" si="32"/>
        <v>295914.30551474233</v>
      </c>
      <c r="J124" s="54">
        <f t="shared" si="17"/>
        <v>0</v>
      </c>
      <c r="K124" s="54"/>
      <c r="L124" s="129"/>
      <c r="M124" s="54">
        <f t="shared" si="33"/>
        <v>0</v>
      </c>
      <c r="N124" s="129"/>
      <c r="O124" s="54">
        <f t="shared" si="19"/>
        <v>0</v>
      </c>
      <c r="P124" s="54">
        <f t="shared" si="20"/>
        <v>0</v>
      </c>
    </row>
    <row r="125" spans="2:16" ht="12.5">
      <c r="B125" s="7" t="str">
        <f t="shared" si="21"/>
        <v/>
      </c>
      <c r="C125" s="50">
        <f>IF(D93="","-",+C124+1)</f>
        <v>2045</v>
      </c>
      <c r="D125" s="12">
        <f>IF(F124+SUM(E$99:E124)=D$92,F124,D$92-SUM(E$99:E124))</f>
        <v>1635621.0104529634</v>
      </c>
      <c r="E125" s="378">
        <f>IF(+J96&lt;F124,J96,D125)</f>
        <v>86830.090909090912</v>
      </c>
      <c r="F125" s="55">
        <f t="shared" si="29"/>
        <v>1548790.9195438726</v>
      </c>
      <c r="G125" s="55">
        <f t="shared" si="30"/>
        <v>1592205.964998418</v>
      </c>
      <c r="H125" s="380">
        <f t="shared" si="31"/>
        <v>285101.67210047535</v>
      </c>
      <c r="I125" s="399">
        <f t="shared" si="32"/>
        <v>285101.67210047535</v>
      </c>
      <c r="J125" s="54">
        <f t="shared" si="17"/>
        <v>0</v>
      </c>
      <c r="K125" s="54"/>
      <c r="L125" s="129"/>
      <c r="M125" s="54">
        <f t="shared" si="33"/>
        <v>0</v>
      </c>
      <c r="N125" s="129"/>
      <c r="O125" s="54">
        <f t="shared" si="19"/>
        <v>0</v>
      </c>
      <c r="P125" s="54">
        <f t="shared" si="20"/>
        <v>0</v>
      </c>
    </row>
    <row r="126" spans="2:16" ht="12.5">
      <c r="B126" s="7" t="str">
        <f t="shared" si="21"/>
        <v/>
      </c>
      <c r="C126" s="50">
        <f>IF(D93="","-",+C125+1)</f>
        <v>2046</v>
      </c>
      <c r="D126" s="12">
        <f>IF(F125+SUM(E$99:E125)=D$92,F125,D$92-SUM(E$99:E125))</f>
        <v>1548790.9195438726</v>
      </c>
      <c r="E126" s="378">
        <f>IF(+J96&lt;F125,J96,D126)</f>
        <v>86830.090909090912</v>
      </c>
      <c r="F126" s="55">
        <f t="shared" si="29"/>
        <v>1461960.8286347818</v>
      </c>
      <c r="G126" s="55">
        <f t="shared" si="30"/>
        <v>1505375.8740893272</v>
      </c>
      <c r="H126" s="380">
        <f t="shared" si="31"/>
        <v>274289.03868620837</v>
      </c>
      <c r="I126" s="399">
        <f t="shared" si="32"/>
        <v>274289.03868620837</v>
      </c>
      <c r="J126" s="54">
        <f t="shared" si="17"/>
        <v>0</v>
      </c>
      <c r="K126" s="54"/>
      <c r="L126" s="129"/>
      <c r="M126" s="54">
        <f t="shared" si="33"/>
        <v>0</v>
      </c>
      <c r="N126" s="129"/>
      <c r="O126" s="54">
        <f t="shared" si="19"/>
        <v>0</v>
      </c>
      <c r="P126" s="54">
        <f t="shared" si="20"/>
        <v>0</v>
      </c>
    </row>
    <row r="127" spans="2:16" ht="12.5">
      <c r="B127" s="7" t="str">
        <f t="shared" si="21"/>
        <v/>
      </c>
      <c r="C127" s="50">
        <f>IF(D93="","-",+C126+1)</f>
        <v>2047</v>
      </c>
      <c r="D127" s="12">
        <f>IF(F126+SUM(E$99:E126)=D$92,F126,D$92-SUM(E$99:E126))</f>
        <v>1461960.8286347818</v>
      </c>
      <c r="E127" s="378">
        <f>IF(+J96&lt;F126,J96,D127)</f>
        <v>86830.090909090912</v>
      </c>
      <c r="F127" s="55">
        <f t="shared" si="29"/>
        <v>1375130.7377256909</v>
      </c>
      <c r="G127" s="55">
        <f t="shared" si="30"/>
        <v>1418545.7831802364</v>
      </c>
      <c r="H127" s="380">
        <f t="shared" si="31"/>
        <v>263476.40527194139</v>
      </c>
      <c r="I127" s="399">
        <f t="shared" si="32"/>
        <v>263476.40527194139</v>
      </c>
      <c r="J127" s="54">
        <f t="shared" si="17"/>
        <v>0</v>
      </c>
      <c r="K127" s="54"/>
      <c r="L127" s="129"/>
      <c r="M127" s="54">
        <f t="shared" si="33"/>
        <v>0</v>
      </c>
      <c r="N127" s="129"/>
      <c r="O127" s="54">
        <f t="shared" si="19"/>
        <v>0</v>
      </c>
      <c r="P127" s="54">
        <f t="shared" si="20"/>
        <v>0</v>
      </c>
    </row>
    <row r="128" spans="2:16" ht="12.5">
      <c r="B128" s="7" t="str">
        <f t="shared" si="21"/>
        <v/>
      </c>
      <c r="C128" s="50">
        <f>IF(D93="","-",+C127+1)</f>
        <v>2048</v>
      </c>
      <c r="D128" s="12">
        <f>IF(F127+SUM(E$99:E127)=D$92,F127,D$92-SUM(E$99:E127))</f>
        <v>1375130.7377256909</v>
      </c>
      <c r="E128" s="378">
        <f>IF(+J96&lt;F127,J96,D128)</f>
        <v>86830.090909090912</v>
      </c>
      <c r="F128" s="55">
        <f t="shared" si="29"/>
        <v>1288300.6468166001</v>
      </c>
      <c r="G128" s="55">
        <f t="shared" si="30"/>
        <v>1331715.6922711455</v>
      </c>
      <c r="H128" s="380">
        <f t="shared" si="31"/>
        <v>252663.77185767441</v>
      </c>
      <c r="I128" s="399">
        <f t="shared" si="32"/>
        <v>252663.77185767441</v>
      </c>
      <c r="J128" s="54">
        <f t="shared" si="17"/>
        <v>0</v>
      </c>
      <c r="K128" s="54"/>
      <c r="L128" s="129"/>
      <c r="M128" s="54">
        <f t="shared" si="33"/>
        <v>0</v>
      </c>
      <c r="N128" s="129"/>
      <c r="O128" s="54">
        <f t="shared" si="19"/>
        <v>0</v>
      </c>
      <c r="P128" s="54">
        <f t="shared" si="20"/>
        <v>0</v>
      </c>
    </row>
    <row r="129" spans="2:16" ht="12.5">
      <c r="B129" s="7" t="str">
        <f t="shared" si="21"/>
        <v/>
      </c>
      <c r="C129" s="50">
        <f>IF(D93="","-",+C128+1)</f>
        <v>2049</v>
      </c>
      <c r="D129" s="12">
        <f>IF(F128+SUM(E$99:E128)=D$92,F128,D$92-SUM(E$99:E128))</f>
        <v>1288300.6468166001</v>
      </c>
      <c r="E129" s="378">
        <f>IF(+J96&lt;F128,J96,D129)</f>
        <v>86830.090909090912</v>
      </c>
      <c r="F129" s="55">
        <f t="shared" si="29"/>
        <v>1201470.5559075093</v>
      </c>
      <c r="G129" s="55">
        <f t="shared" si="30"/>
        <v>1244885.6013620547</v>
      </c>
      <c r="H129" s="380">
        <f t="shared" si="31"/>
        <v>241851.13844340743</v>
      </c>
      <c r="I129" s="399">
        <f t="shared" si="32"/>
        <v>241851.13844340743</v>
      </c>
      <c r="J129" s="54">
        <f t="shared" si="17"/>
        <v>0</v>
      </c>
      <c r="K129" s="54"/>
      <c r="L129" s="129"/>
      <c r="M129" s="54">
        <f t="shared" si="33"/>
        <v>0</v>
      </c>
      <c r="N129" s="129"/>
      <c r="O129" s="54">
        <f t="shared" si="19"/>
        <v>0</v>
      </c>
      <c r="P129" s="54">
        <f t="shared" si="20"/>
        <v>0</v>
      </c>
    </row>
    <row r="130" spans="2:16" ht="12.5">
      <c r="B130" s="7" t="str">
        <f t="shared" si="21"/>
        <v/>
      </c>
      <c r="C130" s="50">
        <f>IF(D93="","-",+C129+1)</f>
        <v>2050</v>
      </c>
      <c r="D130" s="12">
        <f>IF(F129+SUM(E$99:E129)=D$92,F129,D$92-SUM(E$99:E129))</f>
        <v>1201470.5559075093</v>
      </c>
      <c r="E130" s="378">
        <f>IF(+J96&lt;F129,J96,D130)</f>
        <v>86830.090909090912</v>
      </c>
      <c r="F130" s="55">
        <f t="shared" si="29"/>
        <v>1114640.4649984185</v>
      </c>
      <c r="G130" s="55">
        <f t="shared" si="30"/>
        <v>1158055.5104529639</v>
      </c>
      <c r="H130" s="380">
        <f t="shared" si="31"/>
        <v>231038.50502914045</v>
      </c>
      <c r="I130" s="399">
        <f t="shared" si="32"/>
        <v>231038.50502914045</v>
      </c>
      <c r="J130" s="54">
        <f t="shared" si="17"/>
        <v>0</v>
      </c>
      <c r="K130" s="54"/>
      <c r="L130" s="129"/>
      <c r="M130" s="54">
        <f t="shared" si="33"/>
        <v>0</v>
      </c>
      <c r="N130" s="129"/>
      <c r="O130" s="54">
        <f t="shared" si="19"/>
        <v>0</v>
      </c>
      <c r="P130" s="54">
        <f t="shared" si="20"/>
        <v>0</v>
      </c>
    </row>
    <row r="131" spans="2:16" ht="12.5">
      <c r="B131" s="7" t="str">
        <f t="shared" si="21"/>
        <v/>
      </c>
      <c r="C131" s="50">
        <f>IF(D93="","-",+C130+1)</f>
        <v>2051</v>
      </c>
      <c r="D131" s="12">
        <f>IF(F130+SUM(E$99:E130)=D$92,F130,D$92-SUM(E$99:E130))</f>
        <v>1114640.4649984185</v>
      </c>
      <c r="E131" s="378">
        <f>IF(+J96&lt;F130,J96,D131)</f>
        <v>86830.090909090912</v>
      </c>
      <c r="F131" s="55">
        <f t="shared" si="29"/>
        <v>1027810.3740893275</v>
      </c>
      <c r="G131" s="55">
        <f t="shared" si="30"/>
        <v>1071225.4195438731</v>
      </c>
      <c r="H131" s="380">
        <f t="shared" si="31"/>
        <v>220225.87161487347</v>
      </c>
      <c r="I131" s="399">
        <f t="shared" si="32"/>
        <v>220225.87161487347</v>
      </c>
      <c r="J131" s="54">
        <f t="shared" ref="J131:J154" si="34">+I541-H541</f>
        <v>0</v>
      </c>
      <c r="K131" s="54"/>
      <c r="L131" s="129"/>
      <c r="M131" s="54">
        <f t="shared" ref="M131:M154" si="35">IF(L541&lt;&gt;0,+H541-L541,0)</f>
        <v>0</v>
      </c>
      <c r="N131" s="129"/>
      <c r="O131" s="54">
        <f t="shared" ref="O131:O154" si="36">IF(N541&lt;&gt;0,+I541-N541,0)</f>
        <v>0</v>
      </c>
      <c r="P131" s="54">
        <f t="shared" ref="P131:P154" si="37">+O541-M541</f>
        <v>0</v>
      </c>
    </row>
    <row r="132" spans="2:16" ht="12.5">
      <c r="B132" s="7" t="str">
        <f t="shared" si="21"/>
        <v/>
      </c>
      <c r="C132" s="50">
        <f>IF(D93="","-",+C131+1)</f>
        <v>2052</v>
      </c>
      <c r="D132" s="12">
        <f>IF(F131+SUM(E$99:E131)=D$92,F131,D$92-SUM(E$99:E131))</f>
        <v>1027810.3740893275</v>
      </c>
      <c r="E132" s="378">
        <f>IF(+J96&lt;F131,J96,D132)</f>
        <v>86830.090909090912</v>
      </c>
      <c r="F132" s="55">
        <f t="shared" si="29"/>
        <v>940980.28318023658</v>
      </c>
      <c r="G132" s="55">
        <f t="shared" si="30"/>
        <v>984395.328634782</v>
      </c>
      <c r="H132" s="380">
        <f t="shared" si="31"/>
        <v>209413.23820060649</v>
      </c>
      <c r="I132" s="399">
        <f t="shared" si="32"/>
        <v>209413.23820060649</v>
      </c>
      <c r="J132" s="54">
        <f t="shared" si="34"/>
        <v>0</v>
      </c>
      <c r="K132" s="54"/>
      <c r="L132" s="129"/>
      <c r="M132" s="54">
        <f t="shared" si="35"/>
        <v>0</v>
      </c>
      <c r="N132" s="129"/>
      <c r="O132" s="54">
        <f t="shared" si="36"/>
        <v>0</v>
      </c>
      <c r="P132" s="54">
        <f t="shared" si="37"/>
        <v>0</v>
      </c>
    </row>
    <row r="133" spans="2:16" ht="12.5">
      <c r="B133" s="7" t="str">
        <f t="shared" si="21"/>
        <v/>
      </c>
      <c r="C133" s="50">
        <f>IF(D93="","-",+C132+1)</f>
        <v>2053</v>
      </c>
      <c r="D133" s="12">
        <f>IF(F132+SUM(E$99:E132)=D$92,F132,D$92-SUM(E$99:E132))</f>
        <v>940980.28318023658</v>
      </c>
      <c r="E133" s="378">
        <f>IF(+J96&lt;F132,J96,D133)</f>
        <v>86830.090909090912</v>
      </c>
      <c r="F133" s="55">
        <f t="shared" si="29"/>
        <v>854150.19227114564</v>
      </c>
      <c r="G133" s="55">
        <f t="shared" si="30"/>
        <v>897565.23772569117</v>
      </c>
      <c r="H133" s="380">
        <f t="shared" si="31"/>
        <v>198600.60478633951</v>
      </c>
      <c r="I133" s="399">
        <f t="shared" si="32"/>
        <v>198600.60478633951</v>
      </c>
      <c r="J133" s="54">
        <f t="shared" si="34"/>
        <v>0</v>
      </c>
      <c r="K133" s="54"/>
      <c r="L133" s="129"/>
      <c r="M133" s="54">
        <f t="shared" si="35"/>
        <v>0</v>
      </c>
      <c r="N133" s="129"/>
      <c r="O133" s="54">
        <f t="shared" si="36"/>
        <v>0</v>
      </c>
      <c r="P133" s="54">
        <f t="shared" si="37"/>
        <v>0</v>
      </c>
    </row>
    <row r="134" spans="2:16" ht="12.5">
      <c r="B134" s="7" t="str">
        <f t="shared" si="21"/>
        <v/>
      </c>
      <c r="C134" s="50">
        <f>IF(D93="","-",+C133+1)</f>
        <v>2054</v>
      </c>
      <c r="D134" s="12">
        <f>IF(F133+SUM(E$99:E133)=D$92,F133,D$92-SUM(E$99:E133))</f>
        <v>854150.19227114564</v>
      </c>
      <c r="E134" s="378">
        <f>IF(+J96&lt;F133,J96,D134)</f>
        <v>86830.090909090912</v>
      </c>
      <c r="F134" s="55">
        <f t="shared" si="29"/>
        <v>767320.1013620547</v>
      </c>
      <c r="G134" s="55">
        <f t="shared" si="30"/>
        <v>810735.14681660011</v>
      </c>
      <c r="H134" s="380">
        <f t="shared" si="31"/>
        <v>187787.97137207247</v>
      </c>
      <c r="I134" s="399">
        <f t="shared" si="32"/>
        <v>187787.97137207247</v>
      </c>
      <c r="J134" s="54">
        <f t="shared" si="34"/>
        <v>0</v>
      </c>
      <c r="K134" s="54"/>
      <c r="L134" s="129"/>
      <c r="M134" s="54">
        <f t="shared" si="35"/>
        <v>0</v>
      </c>
      <c r="N134" s="129"/>
      <c r="O134" s="54">
        <f t="shared" si="36"/>
        <v>0</v>
      </c>
      <c r="P134" s="54">
        <f t="shared" si="37"/>
        <v>0</v>
      </c>
    </row>
    <row r="135" spans="2:16" ht="12.5">
      <c r="B135" s="7" t="str">
        <f t="shared" si="21"/>
        <v/>
      </c>
      <c r="C135" s="50">
        <f>IF(D93="","-",+C134+1)</f>
        <v>2055</v>
      </c>
      <c r="D135" s="12">
        <f>IF(F134+SUM(E$99:E134)=D$92,F134,D$92-SUM(E$99:E134))</f>
        <v>767320.1013620547</v>
      </c>
      <c r="E135" s="378">
        <f>IF(+J96&lt;F134,J96,D135)</f>
        <v>86830.090909090912</v>
      </c>
      <c r="F135" s="55">
        <f t="shared" si="29"/>
        <v>680490.01045296376</v>
      </c>
      <c r="G135" s="55">
        <f t="shared" si="30"/>
        <v>723905.05590750929</v>
      </c>
      <c r="H135" s="380">
        <f t="shared" si="31"/>
        <v>176975.33795780549</v>
      </c>
      <c r="I135" s="399">
        <f t="shared" si="32"/>
        <v>176975.33795780549</v>
      </c>
      <c r="J135" s="54">
        <f t="shared" si="34"/>
        <v>0</v>
      </c>
      <c r="K135" s="54"/>
      <c r="L135" s="129"/>
      <c r="M135" s="54">
        <f t="shared" si="35"/>
        <v>0</v>
      </c>
      <c r="N135" s="129"/>
      <c r="O135" s="54">
        <f t="shared" si="36"/>
        <v>0</v>
      </c>
      <c r="P135" s="54">
        <f t="shared" si="37"/>
        <v>0</v>
      </c>
    </row>
    <row r="136" spans="2:16" ht="12.5">
      <c r="B136" s="7" t="str">
        <f t="shared" si="21"/>
        <v/>
      </c>
      <c r="C136" s="50">
        <f>IF(D93="","-",+C135+1)</f>
        <v>2056</v>
      </c>
      <c r="D136" s="12">
        <f>IF(F135+SUM(E$99:E135)=D$92,F135,D$92-SUM(E$99:E135))</f>
        <v>680490.01045296376</v>
      </c>
      <c r="E136" s="378">
        <f>IF(+J96&lt;F135,J96,D136)</f>
        <v>86830.090909090912</v>
      </c>
      <c r="F136" s="55">
        <f t="shared" si="29"/>
        <v>593659.91954387282</v>
      </c>
      <c r="G136" s="55">
        <f t="shared" si="30"/>
        <v>637074.96499841823</v>
      </c>
      <c r="H136" s="380">
        <f t="shared" si="31"/>
        <v>166162.70454353851</v>
      </c>
      <c r="I136" s="399">
        <f t="shared" si="32"/>
        <v>166162.70454353851</v>
      </c>
      <c r="J136" s="54">
        <f t="shared" si="34"/>
        <v>0</v>
      </c>
      <c r="K136" s="54"/>
      <c r="L136" s="129"/>
      <c r="M136" s="54">
        <f t="shared" si="35"/>
        <v>0</v>
      </c>
      <c r="N136" s="129"/>
      <c r="O136" s="54">
        <f t="shared" si="36"/>
        <v>0</v>
      </c>
      <c r="P136" s="54">
        <f t="shared" si="37"/>
        <v>0</v>
      </c>
    </row>
    <row r="137" spans="2:16" ht="12.5">
      <c r="B137" s="7" t="str">
        <f t="shared" si="21"/>
        <v/>
      </c>
      <c r="C137" s="50">
        <f>IF(D93="","-",+C136+1)</f>
        <v>2057</v>
      </c>
      <c r="D137" s="12">
        <f>IF(F136+SUM(E$99:E136)=D$92,F136,D$92-SUM(E$99:E136))</f>
        <v>593659.91954387282</v>
      </c>
      <c r="E137" s="378">
        <f>IF(+J96&lt;F136,J96,D137)</f>
        <v>86830.090909090912</v>
      </c>
      <c r="F137" s="55">
        <f t="shared" si="29"/>
        <v>506829.82863478188</v>
      </c>
      <c r="G137" s="55">
        <f t="shared" si="30"/>
        <v>550244.87408932741</v>
      </c>
      <c r="H137" s="380">
        <f t="shared" si="31"/>
        <v>155350.07112927153</v>
      </c>
      <c r="I137" s="399">
        <f t="shared" si="32"/>
        <v>155350.07112927153</v>
      </c>
      <c r="J137" s="54">
        <f t="shared" si="34"/>
        <v>0</v>
      </c>
      <c r="K137" s="54"/>
      <c r="L137" s="129"/>
      <c r="M137" s="54">
        <f t="shared" si="35"/>
        <v>0</v>
      </c>
      <c r="N137" s="129"/>
      <c r="O137" s="54">
        <f t="shared" si="36"/>
        <v>0</v>
      </c>
      <c r="P137" s="54">
        <f t="shared" si="37"/>
        <v>0</v>
      </c>
    </row>
    <row r="138" spans="2:16" ht="12.5">
      <c r="B138" s="7" t="str">
        <f t="shared" si="21"/>
        <v/>
      </c>
      <c r="C138" s="50">
        <f>IF(D93="","-",+C137+1)</f>
        <v>2058</v>
      </c>
      <c r="D138" s="12">
        <f>IF(F137+SUM(E$99:E137)=D$92,F137,D$92-SUM(E$99:E137))</f>
        <v>506829.82863478188</v>
      </c>
      <c r="E138" s="378">
        <f>IF(+J96&lt;F137,J96,D138)</f>
        <v>86830.090909090912</v>
      </c>
      <c r="F138" s="55">
        <f t="shared" si="29"/>
        <v>419999.73772569094</v>
      </c>
      <c r="G138" s="55">
        <f t="shared" si="30"/>
        <v>463414.78318023641</v>
      </c>
      <c r="H138" s="380">
        <f t="shared" si="31"/>
        <v>144537.43771500452</v>
      </c>
      <c r="I138" s="399">
        <f t="shared" si="32"/>
        <v>144537.43771500452</v>
      </c>
      <c r="J138" s="54">
        <f t="shared" si="34"/>
        <v>0</v>
      </c>
      <c r="K138" s="54"/>
      <c r="L138" s="129"/>
      <c r="M138" s="54">
        <f t="shared" si="35"/>
        <v>0</v>
      </c>
      <c r="N138" s="129"/>
      <c r="O138" s="54">
        <f t="shared" si="36"/>
        <v>0</v>
      </c>
      <c r="P138" s="54">
        <f t="shared" si="37"/>
        <v>0</v>
      </c>
    </row>
    <row r="139" spans="2:16" ht="12.5">
      <c r="B139" s="7" t="str">
        <f t="shared" si="21"/>
        <v/>
      </c>
      <c r="C139" s="50">
        <f>IF(D93="","-",+C138+1)</f>
        <v>2059</v>
      </c>
      <c r="D139" s="12">
        <f>IF(F138+SUM(E$99:E138)=D$92,F138,D$92-SUM(E$99:E138))</f>
        <v>419999.73772569094</v>
      </c>
      <c r="E139" s="378">
        <f>IF(+J96&lt;F138,J96,D139)</f>
        <v>86830.090909090912</v>
      </c>
      <c r="F139" s="55">
        <f t="shared" si="29"/>
        <v>333169.6468166</v>
      </c>
      <c r="G139" s="55">
        <f t="shared" si="30"/>
        <v>376584.69227114547</v>
      </c>
      <c r="H139" s="380">
        <f t="shared" si="31"/>
        <v>133724.80430073754</v>
      </c>
      <c r="I139" s="399">
        <f t="shared" si="32"/>
        <v>133724.80430073754</v>
      </c>
      <c r="J139" s="54">
        <f t="shared" si="34"/>
        <v>0</v>
      </c>
      <c r="K139" s="54"/>
      <c r="L139" s="129"/>
      <c r="M139" s="54">
        <f t="shared" si="35"/>
        <v>0</v>
      </c>
      <c r="N139" s="129"/>
      <c r="O139" s="54">
        <f t="shared" si="36"/>
        <v>0</v>
      </c>
      <c r="P139" s="54">
        <f t="shared" si="37"/>
        <v>0</v>
      </c>
    </row>
    <row r="140" spans="2:16" ht="12.5">
      <c r="B140" s="7" t="str">
        <f t="shared" si="21"/>
        <v/>
      </c>
      <c r="C140" s="50">
        <f>IF(D93="","-",+C139+1)</f>
        <v>2060</v>
      </c>
      <c r="D140" s="12">
        <f>IF(F139+SUM(E$99:E139)=D$92,F139,D$92-SUM(E$99:E139))</f>
        <v>333169.6468166</v>
      </c>
      <c r="E140" s="378">
        <f>IF(+J96&lt;F139,J96,D140)</f>
        <v>86830.090909090912</v>
      </c>
      <c r="F140" s="55">
        <f t="shared" si="29"/>
        <v>246339.55590750909</v>
      </c>
      <c r="G140" s="55">
        <f t="shared" si="30"/>
        <v>289754.60136205453</v>
      </c>
      <c r="H140" s="380">
        <f t="shared" si="31"/>
        <v>122912.17088647053</v>
      </c>
      <c r="I140" s="399">
        <f t="shared" si="32"/>
        <v>122912.17088647053</v>
      </c>
      <c r="J140" s="54">
        <f t="shared" si="34"/>
        <v>0</v>
      </c>
      <c r="K140" s="54"/>
      <c r="L140" s="129"/>
      <c r="M140" s="54">
        <f t="shared" si="35"/>
        <v>0</v>
      </c>
      <c r="N140" s="129"/>
      <c r="O140" s="54">
        <f t="shared" si="36"/>
        <v>0</v>
      </c>
      <c r="P140" s="54">
        <f t="shared" si="37"/>
        <v>0</v>
      </c>
    </row>
    <row r="141" spans="2:16" ht="12.5">
      <c r="B141" s="7" t="str">
        <f t="shared" si="21"/>
        <v/>
      </c>
      <c r="C141" s="50">
        <f>IF(D93="","-",+C140+1)</f>
        <v>2061</v>
      </c>
      <c r="D141" s="12">
        <f>IF(F140+SUM(E$99:E140)=D$92,F140,D$92-SUM(E$99:E140))</f>
        <v>246339.55590750909</v>
      </c>
      <c r="E141" s="378">
        <f>IF(+J96&lt;F140,J96,D141)</f>
        <v>86830.090909090912</v>
      </c>
      <c r="F141" s="55">
        <f t="shared" si="29"/>
        <v>159509.46499841817</v>
      </c>
      <c r="G141" s="55">
        <f t="shared" si="30"/>
        <v>202924.51045296364</v>
      </c>
      <c r="H141" s="380">
        <f t="shared" si="31"/>
        <v>112099.53747220355</v>
      </c>
      <c r="I141" s="399">
        <f t="shared" si="32"/>
        <v>112099.53747220355</v>
      </c>
      <c r="J141" s="54">
        <f t="shared" si="34"/>
        <v>0</v>
      </c>
      <c r="K141" s="54"/>
      <c r="L141" s="129"/>
      <c r="M141" s="54">
        <f t="shared" si="35"/>
        <v>0</v>
      </c>
      <c r="N141" s="129"/>
      <c r="O141" s="54">
        <f t="shared" si="36"/>
        <v>0</v>
      </c>
      <c r="P141" s="54">
        <f t="shared" si="37"/>
        <v>0</v>
      </c>
    </row>
    <row r="142" spans="2:16" ht="12.5">
      <c r="B142" s="7" t="str">
        <f t="shared" si="21"/>
        <v/>
      </c>
      <c r="C142" s="50">
        <f>IF(D93="","-",+C141+1)</f>
        <v>2062</v>
      </c>
      <c r="D142" s="12">
        <f>IF(F141+SUM(E$99:E141)=D$92,F141,D$92-SUM(E$99:E141))</f>
        <v>159509.46499841817</v>
      </c>
      <c r="E142" s="378">
        <f>IF(+J96&lt;F141,J96,D142)</f>
        <v>86830.090909090912</v>
      </c>
      <c r="F142" s="55">
        <f t="shared" si="29"/>
        <v>72679.374089327262</v>
      </c>
      <c r="G142" s="55">
        <f t="shared" si="30"/>
        <v>116094.41954387272</v>
      </c>
      <c r="H142" s="380">
        <f t="shared" si="31"/>
        <v>101286.90405793657</v>
      </c>
      <c r="I142" s="399">
        <f t="shared" si="32"/>
        <v>101286.90405793657</v>
      </c>
      <c r="J142" s="54">
        <f t="shared" si="34"/>
        <v>0</v>
      </c>
      <c r="K142" s="54"/>
      <c r="L142" s="129"/>
      <c r="M142" s="54">
        <f t="shared" si="35"/>
        <v>0</v>
      </c>
      <c r="N142" s="129"/>
      <c r="O142" s="54">
        <f t="shared" si="36"/>
        <v>0</v>
      </c>
      <c r="P142" s="54">
        <f t="shared" si="37"/>
        <v>0</v>
      </c>
    </row>
    <row r="143" spans="2:16" ht="12.5">
      <c r="B143" s="7" t="str">
        <f t="shared" si="21"/>
        <v/>
      </c>
      <c r="C143" s="50">
        <f>IF(D93="","-",+C142+1)</f>
        <v>2063</v>
      </c>
      <c r="D143" s="12">
        <f>IF(F142+SUM(E$99:E142)=D$92,F142,D$92-SUM(E$99:E142))</f>
        <v>72679.374089327262</v>
      </c>
      <c r="E143" s="378">
        <f>IF(+J96&lt;F142,J96,D143)</f>
        <v>72679.374089327262</v>
      </c>
      <c r="F143" s="55">
        <f t="shared" si="29"/>
        <v>0</v>
      </c>
      <c r="G143" s="55">
        <f t="shared" si="30"/>
        <v>36339.687044663631</v>
      </c>
      <c r="H143" s="380">
        <f t="shared" si="31"/>
        <v>77204.622310183346</v>
      </c>
      <c r="I143" s="399">
        <f t="shared" si="32"/>
        <v>77204.622310183346</v>
      </c>
      <c r="J143" s="54">
        <f t="shared" si="34"/>
        <v>0</v>
      </c>
      <c r="K143" s="54"/>
      <c r="L143" s="129"/>
      <c r="M143" s="54">
        <f t="shared" si="35"/>
        <v>0</v>
      </c>
      <c r="N143" s="129"/>
      <c r="O143" s="54">
        <f t="shared" si="36"/>
        <v>0</v>
      </c>
      <c r="P143" s="54">
        <f t="shared" si="37"/>
        <v>0</v>
      </c>
    </row>
    <row r="144" spans="2:16" ht="12.5">
      <c r="B144" s="7" t="str">
        <f t="shared" si="21"/>
        <v/>
      </c>
      <c r="C144" s="50">
        <f>IF(D93="","-",+C143+1)</f>
        <v>2064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29"/>
        <v>0</v>
      </c>
      <c r="G144" s="55">
        <f t="shared" si="30"/>
        <v>0</v>
      </c>
      <c r="H144" s="380">
        <f t="shared" si="31"/>
        <v>0</v>
      </c>
      <c r="I144" s="399">
        <f t="shared" si="32"/>
        <v>0</v>
      </c>
      <c r="J144" s="54">
        <f t="shared" si="34"/>
        <v>0</v>
      </c>
      <c r="K144" s="54"/>
      <c r="L144" s="129"/>
      <c r="M144" s="54">
        <f t="shared" si="35"/>
        <v>0</v>
      </c>
      <c r="N144" s="129"/>
      <c r="O144" s="54">
        <f t="shared" si="36"/>
        <v>0</v>
      </c>
      <c r="P144" s="54">
        <f t="shared" si="37"/>
        <v>0</v>
      </c>
    </row>
    <row r="145" spans="2:16" ht="12.5">
      <c r="B145" s="7" t="str">
        <f t="shared" si="21"/>
        <v/>
      </c>
      <c r="C145" s="50">
        <f>IF(D93="","-",+C144+1)</f>
        <v>2065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29"/>
        <v>0</v>
      </c>
      <c r="G145" s="55">
        <f t="shared" si="30"/>
        <v>0</v>
      </c>
      <c r="H145" s="380">
        <f t="shared" si="31"/>
        <v>0</v>
      </c>
      <c r="I145" s="399">
        <f t="shared" si="32"/>
        <v>0</v>
      </c>
      <c r="J145" s="54">
        <f t="shared" si="34"/>
        <v>0</v>
      </c>
      <c r="K145" s="54"/>
      <c r="L145" s="129"/>
      <c r="M145" s="54">
        <f t="shared" si="35"/>
        <v>0</v>
      </c>
      <c r="N145" s="129"/>
      <c r="O145" s="54">
        <f t="shared" si="36"/>
        <v>0</v>
      </c>
      <c r="P145" s="54">
        <f t="shared" si="37"/>
        <v>0</v>
      </c>
    </row>
    <row r="146" spans="2:16" ht="12.5">
      <c r="B146" s="7" t="str">
        <f t="shared" si="21"/>
        <v/>
      </c>
      <c r="C146" s="50">
        <f>IF(D93="","-",+C145+1)</f>
        <v>2066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29"/>
        <v>0</v>
      </c>
      <c r="G146" s="55">
        <f t="shared" si="30"/>
        <v>0</v>
      </c>
      <c r="H146" s="380">
        <f t="shared" si="31"/>
        <v>0</v>
      </c>
      <c r="I146" s="399">
        <f t="shared" si="32"/>
        <v>0</v>
      </c>
      <c r="J146" s="54">
        <f t="shared" si="34"/>
        <v>0</v>
      </c>
      <c r="K146" s="54"/>
      <c r="L146" s="129"/>
      <c r="M146" s="54">
        <f t="shared" si="35"/>
        <v>0</v>
      </c>
      <c r="N146" s="129"/>
      <c r="O146" s="54">
        <f t="shared" si="36"/>
        <v>0</v>
      </c>
      <c r="P146" s="54">
        <f t="shared" si="37"/>
        <v>0</v>
      </c>
    </row>
    <row r="147" spans="2:16" ht="12.5">
      <c r="B147" s="7" t="str">
        <f t="shared" si="21"/>
        <v/>
      </c>
      <c r="C147" s="50">
        <f>IF(D93="","-",+C146+1)</f>
        <v>2067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29"/>
        <v>0</v>
      </c>
      <c r="G147" s="55">
        <f t="shared" si="30"/>
        <v>0</v>
      </c>
      <c r="H147" s="380">
        <f t="shared" si="31"/>
        <v>0</v>
      </c>
      <c r="I147" s="399">
        <f t="shared" si="32"/>
        <v>0</v>
      </c>
      <c r="J147" s="54">
        <f t="shared" si="34"/>
        <v>0</v>
      </c>
      <c r="K147" s="54"/>
      <c r="L147" s="129"/>
      <c r="M147" s="54">
        <f t="shared" si="35"/>
        <v>0</v>
      </c>
      <c r="N147" s="129"/>
      <c r="O147" s="54">
        <f t="shared" si="36"/>
        <v>0</v>
      </c>
      <c r="P147" s="54">
        <f t="shared" si="37"/>
        <v>0</v>
      </c>
    </row>
    <row r="148" spans="2:16" ht="12.5">
      <c r="B148" s="7" t="str">
        <f t="shared" si="21"/>
        <v/>
      </c>
      <c r="C148" s="50">
        <f>IF(D93="","-",+C147+1)</f>
        <v>2068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29"/>
        <v>0</v>
      </c>
      <c r="G148" s="55">
        <f t="shared" si="30"/>
        <v>0</v>
      </c>
      <c r="H148" s="380">
        <f t="shared" si="31"/>
        <v>0</v>
      </c>
      <c r="I148" s="399">
        <f t="shared" si="32"/>
        <v>0</v>
      </c>
      <c r="J148" s="54">
        <f t="shared" si="34"/>
        <v>0</v>
      </c>
      <c r="K148" s="54"/>
      <c r="L148" s="129"/>
      <c r="M148" s="54">
        <f t="shared" si="35"/>
        <v>0</v>
      </c>
      <c r="N148" s="129"/>
      <c r="O148" s="54">
        <f t="shared" si="36"/>
        <v>0</v>
      </c>
      <c r="P148" s="54">
        <f t="shared" si="37"/>
        <v>0</v>
      </c>
    </row>
    <row r="149" spans="2:16" ht="12.5">
      <c r="B149" s="7" t="str">
        <f t="shared" si="21"/>
        <v/>
      </c>
      <c r="C149" s="50">
        <f>IF(D93="","-",+C148+1)</f>
        <v>2069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29"/>
        <v>0</v>
      </c>
      <c r="G149" s="55">
        <f t="shared" si="30"/>
        <v>0</v>
      </c>
      <c r="H149" s="380">
        <f t="shared" si="31"/>
        <v>0</v>
      </c>
      <c r="I149" s="399">
        <f t="shared" si="32"/>
        <v>0</v>
      </c>
      <c r="J149" s="54">
        <f t="shared" si="34"/>
        <v>0</v>
      </c>
      <c r="K149" s="54"/>
      <c r="L149" s="129"/>
      <c r="M149" s="54">
        <f t="shared" si="35"/>
        <v>0</v>
      </c>
      <c r="N149" s="129"/>
      <c r="O149" s="54">
        <f t="shared" si="36"/>
        <v>0</v>
      </c>
      <c r="P149" s="54">
        <f t="shared" si="37"/>
        <v>0</v>
      </c>
    </row>
    <row r="150" spans="2:16" ht="12.5">
      <c r="B150" s="7" t="str">
        <f t="shared" si="21"/>
        <v/>
      </c>
      <c r="C150" s="50">
        <f>IF(D93="","-",+C149+1)</f>
        <v>2070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29"/>
        <v>0</v>
      </c>
      <c r="G150" s="55">
        <f t="shared" si="30"/>
        <v>0</v>
      </c>
      <c r="H150" s="380">
        <f t="shared" si="31"/>
        <v>0</v>
      </c>
      <c r="I150" s="399">
        <f t="shared" si="32"/>
        <v>0</v>
      </c>
      <c r="J150" s="54">
        <f t="shared" si="34"/>
        <v>0</v>
      </c>
      <c r="K150" s="54"/>
      <c r="L150" s="129"/>
      <c r="M150" s="54">
        <f t="shared" si="35"/>
        <v>0</v>
      </c>
      <c r="N150" s="129"/>
      <c r="O150" s="54">
        <f t="shared" si="36"/>
        <v>0</v>
      </c>
      <c r="P150" s="54">
        <f t="shared" si="37"/>
        <v>0</v>
      </c>
    </row>
    <row r="151" spans="2:16" ht="12.5">
      <c r="B151" s="7" t="str">
        <f t="shared" si="21"/>
        <v/>
      </c>
      <c r="C151" s="50">
        <f>IF(D93="","-",+C150+1)</f>
        <v>2071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29"/>
        <v>0</v>
      </c>
      <c r="G151" s="55">
        <f t="shared" si="30"/>
        <v>0</v>
      </c>
      <c r="H151" s="380">
        <f t="shared" si="31"/>
        <v>0</v>
      </c>
      <c r="I151" s="399">
        <f t="shared" si="32"/>
        <v>0</v>
      </c>
      <c r="J151" s="54">
        <f t="shared" si="34"/>
        <v>0</v>
      </c>
      <c r="K151" s="54"/>
      <c r="L151" s="129"/>
      <c r="M151" s="54">
        <f t="shared" si="35"/>
        <v>0</v>
      </c>
      <c r="N151" s="129"/>
      <c r="O151" s="54">
        <f t="shared" si="36"/>
        <v>0</v>
      </c>
      <c r="P151" s="54">
        <f t="shared" si="37"/>
        <v>0</v>
      </c>
    </row>
    <row r="152" spans="2:16" ht="12.5">
      <c r="B152" s="7" t="str">
        <f t="shared" si="21"/>
        <v/>
      </c>
      <c r="C152" s="50">
        <f>IF(D93="","-",+C151+1)</f>
        <v>2072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29"/>
        <v>0</v>
      </c>
      <c r="G152" s="55">
        <f t="shared" si="30"/>
        <v>0</v>
      </c>
      <c r="H152" s="380">
        <f t="shared" si="31"/>
        <v>0</v>
      </c>
      <c r="I152" s="399">
        <f t="shared" si="32"/>
        <v>0</v>
      </c>
      <c r="J152" s="54">
        <f t="shared" si="34"/>
        <v>0</v>
      </c>
      <c r="K152" s="54"/>
      <c r="L152" s="129"/>
      <c r="M152" s="54">
        <f t="shared" si="35"/>
        <v>0</v>
      </c>
      <c r="N152" s="129"/>
      <c r="O152" s="54">
        <f t="shared" si="36"/>
        <v>0</v>
      </c>
      <c r="P152" s="54">
        <f t="shared" si="37"/>
        <v>0</v>
      </c>
    </row>
    <row r="153" spans="2:16" ht="12.5">
      <c r="B153" s="7" t="str">
        <f t="shared" si="21"/>
        <v/>
      </c>
      <c r="C153" s="50">
        <f>IF(D93="","-",+C152+1)</f>
        <v>2073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29"/>
        <v>0</v>
      </c>
      <c r="G153" s="55">
        <f t="shared" si="30"/>
        <v>0</v>
      </c>
      <c r="H153" s="380">
        <f t="shared" si="31"/>
        <v>0</v>
      </c>
      <c r="I153" s="399">
        <f t="shared" si="32"/>
        <v>0</v>
      </c>
      <c r="J153" s="54">
        <f t="shared" si="34"/>
        <v>0</v>
      </c>
      <c r="K153" s="54"/>
      <c r="L153" s="129"/>
      <c r="M153" s="54">
        <f t="shared" si="35"/>
        <v>0</v>
      </c>
      <c r="N153" s="129"/>
      <c r="O153" s="54">
        <f t="shared" si="36"/>
        <v>0</v>
      </c>
      <c r="P153" s="54">
        <f t="shared" si="37"/>
        <v>0</v>
      </c>
    </row>
    <row r="154" spans="2:16" ht="13" thickBot="1">
      <c r="B154" s="7" t="str">
        <f t="shared" si="21"/>
        <v/>
      </c>
      <c r="C154" s="59">
        <f>IF(D93="","-",+C153+1)</f>
        <v>2074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29"/>
        <v>0</v>
      </c>
      <c r="G154" s="60">
        <f t="shared" si="30"/>
        <v>0</v>
      </c>
      <c r="H154" s="382">
        <f t="shared" si="31"/>
        <v>0</v>
      </c>
      <c r="I154" s="400">
        <f t="shared" si="32"/>
        <v>0</v>
      </c>
      <c r="J154" s="64">
        <f t="shared" si="34"/>
        <v>0</v>
      </c>
      <c r="K154" s="54"/>
      <c r="L154" s="130"/>
      <c r="M154" s="64">
        <f t="shared" si="35"/>
        <v>0</v>
      </c>
      <c r="N154" s="130"/>
      <c r="O154" s="64">
        <f t="shared" si="36"/>
        <v>0</v>
      </c>
      <c r="P154" s="64">
        <f t="shared" si="37"/>
        <v>0</v>
      </c>
    </row>
    <row r="155" spans="2:16" ht="12.5">
      <c r="C155" s="12" t="s">
        <v>78</v>
      </c>
      <c r="D155" s="293"/>
      <c r="E155" s="293">
        <f>SUM(E99:E154)</f>
        <v>3820523.9999999995</v>
      </c>
      <c r="F155" s="293"/>
      <c r="G155" s="293"/>
      <c r="H155" s="293">
        <f>SUM(H99:H154)</f>
        <v>14281037.749472808</v>
      </c>
      <c r="I155" s="293">
        <f>SUM(I99:I154)</f>
        <v>14281037.749472808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 ht="12.5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 ht="13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11" priority="1" stopIfTrue="1" operator="equal">
      <formula>$I$10</formula>
    </cfRule>
  </conditionalFormatting>
  <conditionalFormatting sqref="C99:C154">
    <cfRule type="cellIs" dxfId="10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</headerFooter>
  <rowBreaks count="1" manualBreakCount="1">
    <brk id="81" max="16383" man="1"/>
  </rowBreaks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P162"/>
  <sheetViews>
    <sheetView topLeftCell="C75" zoomScale="80" zoomScaleNormal="80" workbookViewId="0">
      <selection activeCell="D22" sqref="D22:H22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74 of 77</v>
      </c>
    </row>
    <row r="2" spans="1:16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388601.82821898186</v>
      </c>
      <c r="P5" s="1"/>
    </row>
    <row r="6" spans="1:16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388601.82821898186</v>
      </c>
      <c r="O6" s="1"/>
      <c r="P6" s="1"/>
    </row>
    <row r="7" spans="1:16" ht="13.5" thickBot="1">
      <c r="C7" s="25" t="s">
        <v>48</v>
      </c>
      <c r="D7" s="90" t="s">
        <v>459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460</v>
      </c>
      <c r="E9" s="436" t="s">
        <v>472</v>
      </c>
      <c r="F9" s="31"/>
      <c r="G9" s="31"/>
      <c r="H9" s="31"/>
      <c r="I9" s="32"/>
      <c r="J9" s="33"/>
      <c r="P9" s="1"/>
    </row>
    <row r="10" spans="1:16" ht="13">
      <c r="C10" s="34" t="s">
        <v>51</v>
      </c>
      <c r="D10" s="363">
        <v>3013320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6" ht="12.5">
      <c r="C11" s="34" t="s">
        <v>54</v>
      </c>
      <c r="D11" s="37">
        <v>2019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63">
        <v>4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68484.545454545456</v>
      </c>
      <c r="J14" s="293"/>
      <c r="K14" s="293"/>
      <c r="L14" s="293"/>
      <c r="M14" s="293"/>
      <c r="N14" s="293"/>
      <c r="O14" s="1"/>
      <c r="P14" s="1"/>
    </row>
    <row r="15" spans="1:16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3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2019</v>
      </c>
      <c r="D17" s="431">
        <v>0</v>
      </c>
      <c r="E17" s="430">
        <v>45372</v>
      </c>
      <c r="F17" s="431">
        <v>1905628</v>
      </c>
      <c r="G17" s="430">
        <v>140230</v>
      </c>
      <c r="H17" s="438">
        <v>140230</v>
      </c>
      <c r="I17" s="52">
        <f t="shared" ref="I17:I72" si="0">H17-G17</f>
        <v>0</v>
      </c>
      <c r="J17" s="52"/>
      <c r="K17" s="112">
        <f t="shared" ref="K17:K22" si="1">+G17</f>
        <v>140230</v>
      </c>
      <c r="L17" s="53">
        <f t="shared" ref="L17:L18" si="2">IF(K17&lt;&gt;0,+G17-K17,0)</f>
        <v>0</v>
      </c>
      <c r="M17" s="112">
        <f t="shared" ref="M17:M22" si="3">+H17</f>
        <v>140230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2020</v>
      </c>
      <c r="D18" s="431">
        <v>1905628</v>
      </c>
      <c r="E18" s="430">
        <v>47585.365853658535</v>
      </c>
      <c r="F18" s="431">
        <v>1858042.6341463414</v>
      </c>
      <c r="G18" s="430">
        <v>240163.83980112415</v>
      </c>
      <c r="H18" s="438">
        <v>240163.83980112415</v>
      </c>
      <c r="I18" s="52">
        <f t="shared" si="0"/>
        <v>0</v>
      </c>
      <c r="J18" s="52"/>
      <c r="K18" s="113">
        <f t="shared" si="1"/>
        <v>240163.83980112415</v>
      </c>
      <c r="L18" s="54">
        <f t="shared" si="2"/>
        <v>0</v>
      </c>
      <c r="M18" s="113">
        <f t="shared" si="3"/>
        <v>240163.83980112415</v>
      </c>
      <c r="N18" s="54">
        <f t="shared" si="4"/>
        <v>0</v>
      </c>
      <c r="O18" s="54">
        <f t="shared" si="5"/>
        <v>0</v>
      </c>
      <c r="P18" s="1"/>
    </row>
    <row r="19" spans="2:16" ht="12.5">
      <c r="B19" s="7" t="str">
        <f>IF(D19=F18,"","IU")</f>
        <v>IU</v>
      </c>
      <c r="C19" s="50">
        <f>IF(D11="","-",+C18+1)</f>
        <v>2021</v>
      </c>
      <c r="D19" s="431">
        <v>2863332.534590669</v>
      </c>
      <c r="E19" s="430">
        <v>69307.571428571435</v>
      </c>
      <c r="F19" s="431">
        <v>2794024.9631620976</v>
      </c>
      <c r="G19" s="430">
        <v>369160.37527494592</v>
      </c>
      <c r="H19" s="438">
        <v>369160.37527494592</v>
      </c>
      <c r="I19" s="52">
        <f t="shared" si="0"/>
        <v>0</v>
      </c>
      <c r="J19" s="52"/>
      <c r="K19" s="113">
        <f t="shared" si="1"/>
        <v>369160.37527494592</v>
      </c>
      <c r="L19" s="54">
        <f t="shared" ref="L19" si="6">IF(K19&lt;&gt;0,+G19-K19,0)</f>
        <v>0</v>
      </c>
      <c r="M19" s="113">
        <f t="shared" si="3"/>
        <v>369160.37527494592</v>
      </c>
      <c r="N19" s="54">
        <f t="shared" si="4"/>
        <v>0</v>
      </c>
      <c r="O19" s="54">
        <f t="shared" si="5"/>
        <v>0</v>
      </c>
      <c r="P19" s="1"/>
    </row>
    <row r="20" spans="2:16" ht="12.5">
      <c r="B20" s="7" t="str">
        <f t="shared" ref="B20:B72" si="7">IF(D20=F19,"","IU")</f>
        <v>IU</v>
      </c>
      <c r="C20" s="50">
        <f>IF(D11="","-",+C19+1)</f>
        <v>2022</v>
      </c>
      <c r="D20" s="431">
        <v>2748653.0627177702</v>
      </c>
      <c r="E20" s="430">
        <v>69307.571428571435</v>
      </c>
      <c r="F20" s="431">
        <v>2679345.4912891989</v>
      </c>
      <c r="G20" s="430">
        <v>374480.76907253434</v>
      </c>
      <c r="H20" s="438">
        <v>374480.76907253434</v>
      </c>
      <c r="I20" s="52">
        <f t="shared" si="0"/>
        <v>0</v>
      </c>
      <c r="J20" s="52"/>
      <c r="K20" s="113">
        <f t="shared" si="1"/>
        <v>374480.76907253434</v>
      </c>
      <c r="L20" s="54">
        <f t="shared" ref="L20" si="8">IF(K20&lt;&gt;0,+G20-K20,0)</f>
        <v>0</v>
      </c>
      <c r="M20" s="113">
        <f t="shared" si="3"/>
        <v>374480.76907253434</v>
      </c>
      <c r="N20" s="54">
        <f t="shared" si="4"/>
        <v>0</v>
      </c>
      <c r="O20" s="54">
        <f t="shared" si="5"/>
        <v>0</v>
      </c>
      <c r="P20" s="1"/>
    </row>
    <row r="21" spans="2:16" ht="12.5">
      <c r="B21" s="7" t="str">
        <f t="shared" si="7"/>
        <v/>
      </c>
      <c r="C21" s="50">
        <f>IF(D11="","-",+C20+1)</f>
        <v>2023</v>
      </c>
      <c r="D21" s="431">
        <v>2679345.4912891989</v>
      </c>
      <c r="E21" s="430">
        <v>69307.571428571435</v>
      </c>
      <c r="F21" s="431">
        <v>2610037.9198606275</v>
      </c>
      <c r="G21" s="430">
        <v>403402.9797902116</v>
      </c>
      <c r="H21" s="438">
        <v>403402.9797902116</v>
      </c>
      <c r="I21" s="52">
        <f t="shared" si="0"/>
        <v>0</v>
      </c>
      <c r="J21" s="52"/>
      <c r="K21" s="113">
        <f t="shared" si="1"/>
        <v>403402.9797902116</v>
      </c>
      <c r="L21" s="54">
        <f t="shared" ref="L21" si="9">IF(K21&lt;&gt;0,+G21-K21,0)</f>
        <v>0</v>
      </c>
      <c r="M21" s="113">
        <f t="shared" si="3"/>
        <v>403402.9797902116</v>
      </c>
      <c r="N21" s="54">
        <f t="shared" si="4"/>
        <v>0</v>
      </c>
      <c r="O21" s="54">
        <f t="shared" si="5"/>
        <v>0</v>
      </c>
      <c r="P21" s="1"/>
    </row>
    <row r="22" spans="2:16" ht="12.5">
      <c r="B22" s="7" t="str">
        <f t="shared" si="7"/>
        <v>IU</v>
      </c>
      <c r="C22" s="50">
        <f>IF(D11="","-",+C21+1)</f>
        <v>2024</v>
      </c>
      <c r="D22" s="431">
        <v>2712439.919860627</v>
      </c>
      <c r="E22" s="430">
        <v>68484.545454545456</v>
      </c>
      <c r="F22" s="431">
        <v>2643955.3744060816</v>
      </c>
      <c r="G22" s="430">
        <v>388601.82821898186</v>
      </c>
      <c r="H22" s="438">
        <v>388601.82821898186</v>
      </c>
      <c r="I22" s="52">
        <f t="shared" si="0"/>
        <v>0</v>
      </c>
      <c r="J22" s="52"/>
      <c r="K22" s="113">
        <f t="shared" si="1"/>
        <v>388601.82821898186</v>
      </c>
      <c r="L22" s="54">
        <f t="shared" ref="L22" si="10">IF(K22&lt;&gt;0,+G22-K22,0)</f>
        <v>0</v>
      </c>
      <c r="M22" s="113">
        <f t="shared" si="3"/>
        <v>388601.82821898186</v>
      </c>
      <c r="N22" s="54">
        <f t="shared" ref="N22" si="11">IF(M22&lt;&gt;0,+H22-M22,0)</f>
        <v>0</v>
      </c>
      <c r="O22" s="54">
        <f t="shared" ref="O22" si="12">+N22-L22</f>
        <v>0</v>
      </c>
      <c r="P22" s="1"/>
    </row>
    <row r="23" spans="2:16" ht="12.5">
      <c r="B23" s="7" t="str">
        <f t="shared" si="7"/>
        <v/>
      </c>
      <c r="C23" s="50">
        <f>IF(D11="","-",+C22+1)</f>
        <v>2025</v>
      </c>
      <c r="D23" s="55">
        <f>IF(F22+SUM(E$17:E22)=D$10,F22,D$10-SUM(E$17:E22))</f>
        <v>2643955.3744060816</v>
      </c>
      <c r="E23" s="378">
        <f>IF(+I14&lt;F22,I14,D23)</f>
        <v>68484.545454545456</v>
      </c>
      <c r="F23" s="55">
        <f t="shared" ref="F23:F72" si="13">+D23-E23</f>
        <v>2575470.8289515362</v>
      </c>
      <c r="G23" s="379">
        <f t="shared" ref="G23:G72" si="14">+I$12*((D23+F23)/2)+E23</f>
        <v>380416.06693816971</v>
      </c>
      <c r="H23" s="364">
        <f t="shared" ref="H23:H72" si="15">+I$13*((D23+F23)/2)+E23</f>
        <v>380416.06693816971</v>
      </c>
      <c r="I23" s="52">
        <f t="shared" si="0"/>
        <v>0</v>
      </c>
      <c r="J23" s="52"/>
      <c r="K23" s="129"/>
      <c r="L23" s="54">
        <f t="shared" ref="L23:L72" si="16">IF(K23&lt;&gt;0,+G23-K23,0)</f>
        <v>0</v>
      </c>
      <c r="M23" s="129"/>
      <c r="N23" s="54">
        <f t="shared" si="4"/>
        <v>0</v>
      </c>
      <c r="O23" s="54">
        <f t="shared" si="5"/>
        <v>0</v>
      </c>
      <c r="P23" s="1"/>
    </row>
    <row r="24" spans="2:16" ht="12.5">
      <c r="B24" s="7" t="str">
        <f t="shared" si="7"/>
        <v/>
      </c>
      <c r="C24" s="50">
        <f>IF(D11="","-",+C23+1)</f>
        <v>2026</v>
      </c>
      <c r="D24" s="55">
        <f>IF(F23+SUM(E$17:E23)=D$10,F23,D$10-SUM(E$17:E23))</f>
        <v>2575470.8289515362</v>
      </c>
      <c r="E24" s="378">
        <f>IF(+I14&lt;F23,I14,D24)</f>
        <v>68484.545454545456</v>
      </c>
      <c r="F24" s="55">
        <f t="shared" si="13"/>
        <v>2506986.2834969908</v>
      </c>
      <c r="G24" s="379">
        <f t="shared" si="14"/>
        <v>372230.30565735738</v>
      </c>
      <c r="H24" s="364">
        <f t="shared" si="15"/>
        <v>372230.30565735738</v>
      </c>
      <c r="I24" s="52">
        <f t="shared" si="0"/>
        <v>0</v>
      </c>
      <c r="J24" s="52"/>
      <c r="K24" s="129"/>
      <c r="L24" s="54">
        <f t="shared" si="16"/>
        <v>0</v>
      </c>
      <c r="M24" s="129"/>
      <c r="N24" s="54">
        <f t="shared" si="4"/>
        <v>0</v>
      </c>
      <c r="O24" s="54">
        <f t="shared" si="5"/>
        <v>0</v>
      </c>
      <c r="P24" s="1"/>
    </row>
    <row r="25" spans="2:16" ht="12.5">
      <c r="B25" s="7" t="str">
        <f t="shared" si="7"/>
        <v/>
      </c>
      <c r="C25" s="50">
        <f>IF(D11="","-",+C24+1)</f>
        <v>2027</v>
      </c>
      <c r="D25" s="55">
        <f>IF(F24+SUM(E$17:E24)=D$10,F24,D$10-SUM(E$17:E24))</f>
        <v>2506986.2834969908</v>
      </c>
      <c r="E25" s="378">
        <f>IF(+I14&lt;F24,I14,D25)</f>
        <v>68484.545454545456</v>
      </c>
      <c r="F25" s="55">
        <f t="shared" si="13"/>
        <v>2438501.7380424454</v>
      </c>
      <c r="G25" s="379">
        <f t="shared" si="14"/>
        <v>364044.54437654524</v>
      </c>
      <c r="H25" s="364">
        <f t="shared" si="15"/>
        <v>364044.54437654524</v>
      </c>
      <c r="I25" s="52">
        <f t="shared" si="0"/>
        <v>0</v>
      </c>
      <c r="J25" s="52"/>
      <c r="K25" s="129"/>
      <c r="L25" s="54">
        <f t="shared" si="16"/>
        <v>0</v>
      </c>
      <c r="M25" s="129"/>
      <c r="N25" s="54">
        <f t="shared" si="4"/>
        <v>0</v>
      </c>
      <c r="O25" s="54">
        <f t="shared" si="5"/>
        <v>0</v>
      </c>
      <c r="P25" s="1"/>
    </row>
    <row r="26" spans="2:16" ht="12.5">
      <c r="B26" s="7" t="str">
        <f t="shared" si="7"/>
        <v/>
      </c>
      <c r="C26" s="50">
        <f>IF(D11="","-",+C25+1)</f>
        <v>2028</v>
      </c>
      <c r="D26" s="55">
        <f>IF(F25+SUM(E$17:E25)=D$10,F25,D$10-SUM(E$17:E25))</f>
        <v>2438501.7380424454</v>
      </c>
      <c r="E26" s="378">
        <f>IF(+I14&lt;F25,I14,D26)</f>
        <v>68484.545454545456</v>
      </c>
      <c r="F26" s="55">
        <f t="shared" si="13"/>
        <v>2370017.1925879</v>
      </c>
      <c r="G26" s="379">
        <f t="shared" si="14"/>
        <v>355858.78309573297</v>
      </c>
      <c r="H26" s="364">
        <f t="shared" si="15"/>
        <v>355858.78309573297</v>
      </c>
      <c r="I26" s="52">
        <f t="shared" si="0"/>
        <v>0</v>
      </c>
      <c r="J26" s="52"/>
      <c r="K26" s="129"/>
      <c r="L26" s="54">
        <f t="shared" si="16"/>
        <v>0</v>
      </c>
      <c r="M26" s="129"/>
      <c r="N26" s="54">
        <f t="shared" si="4"/>
        <v>0</v>
      </c>
      <c r="O26" s="54">
        <f t="shared" si="5"/>
        <v>0</v>
      </c>
      <c r="P26" s="1"/>
    </row>
    <row r="27" spans="2:16" ht="12.5">
      <c r="B27" s="7" t="str">
        <f t="shared" si="7"/>
        <v/>
      </c>
      <c r="C27" s="50">
        <f>IF(D11="","-",+C26+1)</f>
        <v>2029</v>
      </c>
      <c r="D27" s="55">
        <f>IF(F26+SUM(E$17:E26)=D$10,F26,D$10-SUM(E$17:E26))</f>
        <v>2370017.1925879</v>
      </c>
      <c r="E27" s="378">
        <f>IF(+I14&lt;F26,I14,D27)</f>
        <v>68484.545454545456</v>
      </c>
      <c r="F27" s="55">
        <f t="shared" si="13"/>
        <v>2301532.6471333546</v>
      </c>
      <c r="G27" s="379">
        <f t="shared" si="14"/>
        <v>347673.02181492076</v>
      </c>
      <c r="H27" s="364">
        <f t="shared" si="15"/>
        <v>347673.02181492076</v>
      </c>
      <c r="I27" s="52">
        <f t="shared" si="0"/>
        <v>0</v>
      </c>
      <c r="J27" s="52"/>
      <c r="K27" s="129"/>
      <c r="L27" s="54">
        <f t="shared" si="16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7"/>
        <v/>
      </c>
      <c r="C28" s="50">
        <f>IF(D11="","-",+C27+1)</f>
        <v>2030</v>
      </c>
      <c r="D28" s="55">
        <f>IF(F27+SUM(E$17:E27)=D$10,F27,D$10-SUM(E$17:E27))</f>
        <v>2301532.6471333546</v>
      </c>
      <c r="E28" s="378">
        <f>IF(+I14&lt;F27,I14,D28)</f>
        <v>68484.545454545456</v>
      </c>
      <c r="F28" s="55">
        <f t="shared" si="13"/>
        <v>2233048.1016788092</v>
      </c>
      <c r="G28" s="379">
        <f t="shared" si="14"/>
        <v>339487.2605341085</v>
      </c>
      <c r="H28" s="364">
        <f t="shared" si="15"/>
        <v>339487.2605341085</v>
      </c>
      <c r="I28" s="52">
        <f t="shared" si="0"/>
        <v>0</v>
      </c>
      <c r="J28" s="52"/>
      <c r="K28" s="129"/>
      <c r="L28" s="54">
        <f t="shared" si="16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7"/>
        <v/>
      </c>
      <c r="C29" s="50">
        <f>IF(D11="","-",+C28+1)</f>
        <v>2031</v>
      </c>
      <c r="D29" s="55">
        <f>IF(F28+SUM(E$17:E28)=D$10,F28,D$10-SUM(E$17:E28))</f>
        <v>2233048.1016788092</v>
      </c>
      <c r="E29" s="378">
        <f>IF(+I14&lt;F28,I14,D29)</f>
        <v>68484.545454545456</v>
      </c>
      <c r="F29" s="55">
        <f t="shared" si="13"/>
        <v>2164563.5562242637</v>
      </c>
      <c r="G29" s="379">
        <f t="shared" si="14"/>
        <v>331301.49925329635</v>
      </c>
      <c r="H29" s="364">
        <f t="shared" si="15"/>
        <v>331301.49925329635</v>
      </c>
      <c r="I29" s="52">
        <f t="shared" si="0"/>
        <v>0</v>
      </c>
      <c r="J29" s="52"/>
      <c r="K29" s="129"/>
      <c r="L29" s="54">
        <f t="shared" si="16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7"/>
        <v/>
      </c>
      <c r="C30" s="50">
        <f>IF(D11="","-",+C29+1)</f>
        <v>2032</v>
      </c>
      <c r="D30" s="55">
        <f>IF(F29+SUM(E$17:E29)=D$10,F29,D$10-SUM(E$17:E29))</f>
        <v>2164563.5562242637</v>
      </c>
      <c r="E30" s="378">
        <f>IF(+I14&lt;F29,I14,D30)</f>
        <v>68484.545454545456</v>
      </c>
      <c r="F30" s="55">
        <f t="shared" si="13"/>
        <v>2096079.0107697183</v>
      </c>
      <c r="G30" s="379">
        <f t="shared" si="14"/>
        <v>323115.73797248403</v>
      </c>
      <c r="H30" s="364">
        <f t="shared" si="15"/>
        <v>323115.73797248403</v>
      </c>
      <c r="I30" s="52">
        <f t="shared" si="0"/>
        <v>0</v>
      </c>
      <c r="J30" s="52"/>
      <c r="K30" s="129"/>
      <c r="L30" s="54">
        <f t="shared" si="16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7"/>
        <v/>
      </c>
      <c r="C31" s="50">
        <f>IF(D11="","-",+C30+1)</f>
        <v>2033</v>
      </c>
      <c r="D31" s="55">
        <f>IF(F30+SUM(E$17:E30)=D$10,F30,D$10-SUM(E$17:E30))</f>
        <v>2096079.0107697183</v>
      </c>
      <c r="E31" s="378">
        <f>IF(+I14&lt;F30,I14,D31)</f>
        <v>68484.545454545456</v>
      </c>
      <c r="F31" s="55">
        <f t="shared" si="13"/>
        <v>2027594.4653151729</v>
      </c>
      <c r="G31" s="379">
        <f t="shared" si="14"/>
        <v>314929.97669167182</v>
      </c>
      <c r="H31" s="364">
        <f t="shared" si="15"/>
        <v>314929.97669167182</v>
      </c>
      <c r="I31" s="52">
        <f t="shared" si="0"/>
        <v>0</v>
      </c>
      <c r="J31" s="52"/>
      <c r="K31" s="129"/>
      <c r="L31" s="54">
        <f t="shared" si="16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7"/>
        <v/>
      </c>
      <c r="C32" s="50">
        <f>IF(D11="","-",+C31+1)</f>
        <v>2034</v>
      </c>
      <c r="D32" s="55">
        <f>IF(F31+SUM(E$17:E31)=D$10,F31,D$10-SUM(E$17:E31))</f>
        <v>2027594.4653151729</v>
      </c>
      <c r="E32" s="378">
        <f>IF(+I14&lt;F31,I14,D32)</f>
        <v>68484.545454545456</v>
      </c>
      <c r="F32" s="55">
        <f t="shared" si="13"/>
        <v>1959109.9198606275</v>
      </c>
      <c r="G32" s="379">
        <f t="shared" si="14"/>
        <v>306744.21541085962</v>
      </c>
      <c r="H32" s="364">
        <f t="shared" si="15"/>
        <v>306744.21541085962</v>
      </c>
      <c r="I32" s="52">
        <f t="shared" si="0"/>
        <v>0</v>
      </c>
      <c r="J32" s="52"/>
      <c r="K32" s="129"/>
      <c r="L32" s="54">
        <f t="shared" si="16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7"/>
        <v/>
      </c>
      <c r="C33" s="50">
        <f>IF(D11="","-",+C32+1)</f>
        <v>2035</v>
      </c>
      <c r="D33" s="55">
        <f>IF(F32+SUM(E$17:E32)=D$10,F32,D$10-SUM(E$17:E32))</f>
        <v>1959109.9198606275</v>
      </c>
      <c r="E33" s="378">
        <f>IF(+I14&lt;F32,I14,D33)</f>
        <v>68484.545454545456</v>
      </c>
      <c r="F33" s="55">
        <f t="shared" si="13"/>
        <v>1890625.3744060821</v>
      </c>
      <c r="G33" s="379">
        <f t="shared" si="14"/>
        <v>298558.45413004741</v>
      </c>
      <c r="H33" s="364">
        <f t="shared" si="15"/>
        <v>298558.45413004741</v>
      </c>
      <c r="I33" s="52">
        <f t="shared" si="0"/>
        <v>0</v>
      </c>
      <c r="J33" s="52"/>
      <c r="K33" s="129"/>
      <c r="L33" s="54">
        <f t="shared" si="16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7"/>
        <v/>
      </c>
      <c r="C34" s="50">
        <f>IF(D11="","-",+C33+1)</f>
        <v>2036</v>
      </c>
      <c r="D34" s="55">
        <f>IF(F33+SUM(E$17:E33)=D$10,F33,D$10-SUM(E$17:E33))</f>
        <v>1890625.3744060821</v>
      </c>
      <c r="E34" s="378">
        <f>IF(+I14&lt;F33,I14,D34)</f>
        <v>68484.545454545456</v>
      </c>
      <c r="F34" s="55">
        <f t="shared" si="13"/>
        <v>1822140.8289515367</v>
      </c>
      <c r="G34" s="379">
        <f t="shared" si="14"/>
        <v>290372.6928492352</v>
      </c>
      <c r="H34" s="364">
        <f t="shared" si="15"/>
        <v>290372.6928492352</v>
      </c>
      <c r="I34" s="52">
        <f t="shared" si="0"/>
        <v>0</v>
      </c>
      <c r="J34" s="52"/>
      <c r="K34" s="129"/>
      <c r="L34" s="54">
        <f t="shared" si="16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7"/>
        <v/>
      </c>
      <c r="C35" s="50">
        <f>IF(D11="","-",+C34+1)</f>
        <v>2037</v>
      </c>
      <c r="D35" s="55">
        <f>IF(F34+SUM(E$17:E34)=D$10,F34,D$10-SUM(E$17:E34))</f>
        <v>1822140.8289515367</v>
      </c>
      <c r="E35" s="378">
        <f>IF(+I14&lt;F34,I14,D35)</f>
        <v>68484.545454545456</v>
      </c>
      <c r="F35" s="55">
        <f t="shared" si="13"/>
        <v>1753656.2834969913</v>
      </c>
      <c r="G35" s="379">
        <f t="shared" si="14"/>
        <v>282186.93156842294</v>
      </c>
      <c r="H35" s="364">
        <f t="shared" si="15"/>
        <v>282186.93156842294</v>
      </c>
      <c r="I35" s="52">
        <f t="shared" si="0"/>
        <v>0</v>
      </c>
      <c r="J35" s="52"/>
      <c r="K35" s="129"/>
      <c r="L35" s="54">
        <f t="shared" si="16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7"/>
        <v/>
      </c>
      <c r="C36" s="50">
        <f>IF(D11="","-",+C35+1)</f>
        <v>2038</v>
      </c>
      <c r="D36" s="55">
        <f>IF(F35+SUM(E$17:E35)=D$10,F35,D$10-SUM(E$17:E35))</f>
        <v>1753656.2834969913</v>
      </c>
      <c r="E36" s="378">
        <f>IF(+I14&lt;F35,I14,D36)</f>
        <v>68484.545454545456</v>
      </c>
      <c r="F36" s="55">
        <f t="shared" si="13"/>
        <v>1685171.7380424459</v>
      </c>
      <c r="G36" s="379">
        <f t="shared" si="14"/>
        <v>274001.17028761073</v>
      </c>
      <c r="H36" s="364">
        <f t="shared" si="15"/>
        <v>274001.17028761073</v>
      </c>
      <c r="I36" s="52">
        <f t="shared" si="0"/>
        <v>0</v>
      </c>
      <c r="J36" s="52"/>
      <c r="K36" s="129"/>
      <c r="L36" s="54">
        <f t="shared" si="16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7"/>
        <v/>
      </c>
      <c r="C37" s="50">
        <f>IF(D11="","-",+C36+1)</f>
        <v>2039</v>
      </c>
      <c r="D37" s="55">
        <f>IF(F36+SUM(E$17:E36)=D$10,F36,D$10-SUM(E$17:E36))</f>
        <v>1685171.7380424459</v>
      </c>
      <c r="E37" s="378">
        <f>IF(+I14&lt;F36,I14,D37)</f>
        <v>68484.545454545456</v>
      </c>
      <c r="F37" s="55">
        <f t="shared" si="13"/>
        <v>1616687.1925879004</v>
      </c>
      <c r="G37" s="379">
        <f t="shared" si="14"/>
        <v>265815.40900679852</v>
      </c>
      <c r="H37" s="364">
        <f t="shared" si="15"/>
        <v>265815.40900679852</v>
      </c>
      <c r="I37" s="52">
        <f t="shared" si="0"/>
        <v>0</v>
      </c>
      <c r="J37" s="52"/>
      <c r="K37" s="129"/>
      <c r="L37" s="54">
        <f t="shared" si="16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7"/>
        <v/>
      </c>
      <c r="C38" s="50">
        <f>IF(D11="","-",+C37+1)</f>
        <v>2040</v>
      </c>
      <c r="D38" s="55">
        <f>IF(F37+SUM(E$17:E37)=D$10,F37,D$10-SUM(E$17:E37))</f>
        <v>1616687.1925879004</v>
      </c>
      <c r="E38" s="378">
        <f>IF(+I14&lt;F37,I14,D38)</f>
        <v>68484.545454545456</v>
      </c>
      <c r="F38" s="55">
        <f t="shared" si="13"/>
        <v>1548202.647133355</v>
      </c>
      <c r="G38" s="379">
        <f t="shared" si="14"/>
        <v>257629.64772598626</v>
      </c>
      <c r="H38" s="364">
        <f t="shared" si="15"/>
        <v>257629.64772598626</v>
      </c>
      <c r="I38" s="52">
        <f t="shared" si="0"/>
        <v>0</v>
      </c>
      <c r="J38" s="52"/>
      <c r="K38" s="129"/>
      <c r="L38" s="54">
        <f t="shared" si="16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7"/>
        <v/>
      </c>
      <c r="C39" s="50">
        <f>IF(D11="","-",+C38+1)</f>
        <v>2041</v>
      </c>
      <c r="D39" s="55">
        <f>IF(F38+SUM(E$17:E38)=D$10,F38,D$10-SUM(E$17:E38))</f>
        <v>1548202.647133355</v>
      </c>
      <c r="E39" s="378">
        <f>IF(+I14&lt;F38,I14,D39)</f>
        <v>68484.545454545456</v>
      </c>
      <c r="F39" s="55">
        <f t="shared" si="13"/>
        <v>1479718.1016788096</v>
      </c>
      <c r="G39" s="379">
        <f t="shared" si="14"/>
        <v>249443.88644517405</v>
      </c>
      <c r="H39" s="364">
        <f t="shared" si="15"/>
        <v>249443.88644517405</v>
      </c>
      <c r="I39" s="52">
        <f t="shared" si="0"/>
        <v>0</v>
      </c>
      <c r="J39" s="52"/>
      <c r="K39" s="129"/>
      <c r="L39" s="54">
        <f t="shared" si="16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7"/>
        <v/>
      </c>
      <c r="C40" s="50">
        <f>IF(D11="","-",+C39+1)</f>
        <v>2042</v>
      </c>
      <c r="D40" s="55">
        <f>IF(F39+SUM(E$17:E39)=D$10,F39,D$10-SUM(E$17:E39))</f>
        <v>1479718.1016788096</v>
      </c>
      <c r="E40" s="378">
        <f>IF(+I14&lt;F39,I14,D40)</f>
        <v>68484.545454545456</v>
      </c>
      <c r="F40" s="55">
        <f t="shared" si="13"/>
        <v>1411233.5562242642</v>
      </c>
      <c r="G40" s="379">
        <f t="shared" si="14"/>
        <v>241258.12516436185</v>
      </c>
      <c r="H40" s="364">
        <f t="shared" si="15"/>
        <v>241258.12516436185</v>
      </c>
      <c r="I40" s="52">
        <f t="shared" si="0"/>
        <v>0</v>
      </c>
      <c r="J40" s="52"/>
      <c r="K40" s="129"/>
      <c r="L40" s="54">
        <f t="shared" si="16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7"/>
        <v/>
      </c>
      <c r="C41" s="50">
        <f>IF(D11="","-",+C40+1)</f>
        <v>2043</v>
      </c>
      <c r="D41" s="55">
        <f>IF(F40+SUM(E$17:E40)=D$10,F40,D$10-SUM(E$17:E40))</f>
        <v>1411233.5562242642</v>
      </c>
      <c r="E41" s="378">
        <f>IF(+I14&lt;F40,I14,D41)</f>
        <v>68484.545454545456</v>
      </c>
      <c r="F41" s="55">
        <f t="shared" si="13"/>
        <v>1342749.0107697188</v>
      </c>
      <c r="G41" s="379">
        <f t="shared" si="14"/>
        <v>233072.36388354958</v>
      </c>
      <c r="H41" s="364">
        <f t="shared" si="15"/>
        <v>233072.36388354958</v>
      </c>
      <c r="I41" s="52">
        <f t="shared" si="0"/>
        <v>0</v>
      </c>
      <c r="J41" s="52"/>
      <c r="K41" s="129"/>
      <c r="L41" s="54">
        <f t="shared" si="16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7"/>
        <v/>
      </c>
      <c r="C42" s="50">
        <f>IF(D11="","-",+C41+1)</f>
        <v>2044</v>
      </c>
      <c r="D42" s="55">
        <f>IF(F41+SUM(E$17:E41)=D$10,F41,D$10-SUM(E$17:E41))</f>
        <v>1342749.0107697188</v>
      </c>
      <c r="E42" s="378">
        <f>IF(+I14&lt;F41,I14,D42)</f>
        <v>68484.545454545456</v>
      </c>
      <c r="F42" s="55">
        <f t="shared" si="13"/>
        <v>1274264.4653151734</v>
      </c>
      <c r="G42" s="379">
        <f t="shared" si="14"/>
        <v>224886.60260273737</v>
      </c>
      <c r="H42" s="364">
        <f t="shared" si="15"/>
        <v>224886.60260273737</v>
      </c>
      <c r="I42" s="52">
        <f t="shared" si="0"/>
        <v>0</v>
      </c>
      <c r="J42" s="52"/>
      <c r="K42" s="129"/>
      <c r="L42" s="54">
        <f t="shared" si="16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7"/>
        <v/>
      </c>
      <c r="C43" s="50">
        <f>IF(D11="","-",+C42+1)</f>
        <v>2045</v>
      </c>
      <c r="D43" s="55">
        <f>IF(F42+SUM(E$17:E42)=D$10,F42,D$10-SUM(E$17:E42))</f>
        <v>1274264.4653151734</v>
      </c>
      <c r="E43" s="378">
        <f>IF(+I14&lt;F42,I14,D43)</f>
        <v>68484.545454545456</v>
      </c>
      <c r="F43" s="55">
        <f t="shared" si="13"/>
        <v>1205779.919860628</v>
      </c>
      <c r="G43" s="379">
        <f t="shared" si="14"/>
        <v>216700.84132192517</v>
      </c>
      <c r="H43" s="364">
        <f t="shared" si="15"/>
        <v>216700.84132192517</v>
      </c>
      <c r="I43" s="52">
        <f t="shared" si="0"/>
        <v>0</v>
      </c>
      <c r="J43" s="52"/>
      <c r="K43" s="129"/>
      <c r="L43" s="54">
        <f t="shared" si="16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7"/>
        <v/>
      </c>
      <c r="C44" s="50">
        <f>IF(D11="","-",+C43+1)</f>
        <v>2046</v>
      </c>
      <c r="D44" s="55">
        <f>IF(F43+SUM(E$17:E43)=D$10,F43,D$10-SUM(E$17:E43))</f>
        <v>1205779.919860628</v>
      </c>
      <c r="E44" s="378">
        <f>IF(+I14&lt;F43,I14,D44)</f>
        <v>68484.545454545456</v>
      </c>
      <c r="F44" s="55">
        <f t="shared" si="13"/>
        <v>1137295.3744060826</v>
      </c>
      <c r="G44" s="379">
        <f t="shared" si="14"/>
        <v>208515.08004111296</v>
      </c>
      <c r="H44" s="364">
        <f t="shared" si="15"/>
        <v>208515.08004111296</v>
      </c>
      <c r="I44" s="52">
        <f t="shared" si="0"/>
        <v>0</v>
      </c>
      <c r="J44" s="52"/>
      <c r="K44" s="129"/>
      <c r="L44" s="54">
        <f t="shared" si="16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7"/>
        <v/>
      </c>
      <c r="C45" s="50">
        <f>IF(D11="","-",+C44+1)</f>
        <v>2047</v>
      </c>
      <c r="D45" s="55">
        <f>IF(F44+SUM(E$17:E44)=D$10,F44,D$10-SUM(E$17:E44))</f>
        <v>1137295.3744060826</v>
      </c>
      <c r="E45" s="378">
        <f>IF(+I14&lt;F44,I14,D45)</f>
        <v>68484.545454545456</v>
      </c>
      <c r="F45" s="55">
        <f t="shared" si="13"/>
        <v>1068810.8289515371</v>
      </c>
      <c r="G45" s="379">
        <f t="shared" si="14"/>
        <v>200329.3187603007</v>
      </c>
      <c r="H45" s="364">
        <f t="shared" si="15"/>
        <v>200329.3187603007</v>
      </c>
      <c r="I45" s="52">
        <f t="shared" si="0"/>
        <v>0</v>
      </c>
      <c r="J45" s="52"/>
      <c r="K45" s="129"/>
      <c r="L45" s="54">
        <f t="shared" si="16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7"/>
        <v/>
      </c>
      <c r="C46" s="50">
        <f>IF(D11="","-",+C45+1)</f>
        <v>2048</v>
      </c>
      <c r="D46" s="55">
        <f>IF(F45+SUM(E$17:E45)=D$10,F45,D$10-SUM(E$17:E45))</f>
        <v>1068810.8289515371</v>
      </c>
      <c r="E46" s="378">
        <f>IF(+I14&lt;F45,I14,D46)</f>
        <v>68484.545454545456</v>
      </c>
      <c r="F46" s="55">
        <f t="shared" si="13"/>
        <v>1000326.2834969917</v>
      </c>
      <c r="G46" s="379">
        <f t="shared" si="14"/>
        <v>192143.55747948849</v>
      </c>
      <c r="H46" s="364">
        <f t="shared" si="15"/>
        <v>192143.55747948849</v>
      </c>
      <c r="I46" s="52">
        <f t="shared" si="0"/>
        <v>0</v>
      </c>
      <c r="J46" s="52"/>
      <c r="K46" s="129"/>
      <c r="L46" s="54">
        <f t="shared" si="16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7"/>
        <v/>
      </c>
      <c r="C47" s="50">
        <f>IF(D11="","-",+C46+1)</f>
        <v>2049</v>
      </c>
      <c r="D47" s="55">
        <f>IF(F46+SUM(E$17:E46)=D$10,F46,D$10-SUM(E$17:E46))</f>
        <v>1000326.2834969917</v>
      </c>
      <c r="E47" s="378">
        <f>IF(+I14&lt;F46,I14,D47)</f>
        <v>68484.545454545456</v>
      </c>
      <c r="F47" s="55">
        <f t="shared" si="13"/>
        <v>931841.73804244632</v>
      </c>
      <c r="G47" s="379">
        <f t="shared" si="14"/>
        <v>183957.79619867625</v>
      </c>
      <c r="H47" s="364">
        <f t="shared" si="15"/>
        <v>183957.79619867625</v>
      </c>
      <c r="I47" s="52">
        <f t="shared" si="0"/>
        <v>0</v>
      </c>
      <c r="J47" s="52"/>
      <c r="K47" s="129"/>
      <c r="L47" s="54">
        <f t="shared" si="16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7"/>
        <v/>
      </c>
      <c r="C48" s="50">
        <f>IF(D11="","-",+C47+1)</f>
        <v>2050</v>
      </c>
      <c r="D48" s="55">
        <f>IF(F47+SUM(E$17:E47)=D$10,F47,D$10-SUM(E$17:E47))</f>
        <v>931841.73804244632</v>
      </c>
      <c r="E48" s="378">
        <f>IF(+I14&lt;F47,I14,D48)</f>
        <v>68484.545454545456</v>
      </c>
      <c r="F48" s="55">
        <f t="shared" si="13"/>
        <v>863357.19258790091</v>
      </c>
      <c r="G48" s="379">
        <f t="shared" si="14"/>
        <v>175772.03491786402</v>
      </c>
      <c r="H48" s="364">
        <f t="shared" si="15"/>
        <v>175772.03491786402</v>
      </c>
      <c r="I48" s="52">
        <f t="shared" si="0"/>
        <v>0</v>
      </c>
      <c r="J48" s="52"/>
      <c r="K48" s="129"/>
      <c r="L48" s="54">
        <f t="shared" si="16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 ht="12.5">
      <c r="B49" s="7" t="str">
        <f t="shared" si="7"/>
        <v/>
      </c>
      <c r="C49" s="50">
        <f>IF(D11="","-",+C48+1)</f>
        <v>2051</v>
      </c>
      <c r="D49" s="55">
        <f>IF(F48+SUM(E$17:E48)=D$10,F48,D$10-SUM(E$17:E48))</f>
        <v>863357.19258790091</v>
      </c>
      <c r="E49" s="378">
        <f>IF(+I14&lt;F48,I14,D49)</f>
        <v>68484.545454545456</v>
      </c>
      <c r="F49" s="55">
        <f t="shared" si="13"/>
        <v>794872.64713335549</v>
      </c>
      <c r="G49" s="379">
        <f t="shared" si="14"/>
        <v>167586.27363705181</v>
      </c>
      <c r="H49" s="364">
        <f t="shared" si="15"/>
        <v>167586.27363705181</v>
      </c>
      <c r="I49" s="52">
        <f t="shared" si="0"/>
        <v>0</v>
      </c>
      <c r="J49" s="52"/>
      <c r="K49" s="129"/>
      <c r="L49" s="54">
        <f t="shared" si="16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 ht="12.5">
      <c r="B50" s="7" t="str">
        <f t="shared" si="7"/>
        <v/>
      </c>
      <c r="C50" s="50">
        <f>IF(D11="","-",+C49+1)</f>
        <v>2052</v>
      </c>
      <c r="D50" s="55">
        <f>IF(F49+SUM(E$17:E49)=D$10,F49,D$10-SUM(E$17:E49))</f>
        <v>794872.64713335549</v>
      </c>
      <c r="E50" s="378">
        <f>IF(+I14&lt;F49,I14,D50)</f>
        <v>68484.545454545456</v>
      </c>
      <c r="F50" s="55">
        <f t="shared" si="13"/>
        <v>726388.10167881008</v>
      </c>
      <c r="G50" s="379">
        <f t="shared" si="14"/>
        <v>159400.5123562396</v>
      </c>
      <c r="H50" s="364">
        <f t="shared" si="15"/>
        <v>159400.5123562396</v>
      </c>
      <c r="I50" s="52">
        <f t="shared" si="0"/>
        <v>0</v>
      </c>
      <c r="J50" s="52"/>
      <c r="K50" s="129"/>
      <c r="L50" s="54">
        <f t="shared" si="16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 ht="12.5">
      <c r="B51" s="7" t="str">
        <f t="shared" si="7"/>
        <v/>
      </c>
      <c r="C51" s="50">
        <f>IF(D11="","-",+C50+1)</f>
        <v>2053</v>
      </c>
      <c r="D51" s="55">
        <f>IF(F50+SUM(E$17:E50)=D$10,F50,D$10-SUM(E$17:E50))</f>
        <v>726388.10167881008</v>
      </c>
      <c r="E51" s="378">
        <f>IF(+I14&lt;F50,I14,D51)</f>
        <v>68484.545454545456</v>
      </c>
      <c r="F51" s="55">
        <f t="shared" si="13"/>
        <v>657903.55622426467</v>
      </c>
      <c r="G51" s="379">
        <f t="shared" si="14"/>
        <v>151214.75107542737</v>
      </c>
      <c r="H51" s="364">
        <f t="shared" si="15"/>
        <v>151214.75107542737</v>
      </c>
      <c r="I51" s="52">
        <f t="shared" si="0"/>
        <v>0</v>
      </c>
      <c r="J51" s="52"/>
      <c r="K51" s="129"/>
      <c r="L51" s="54">
        <f t="shared" si="16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 ht="12.5">
      <c r="B52" s="7" t="str">
        <f t="shared" si="7"/>
        <v/>
      </c>
      <c r="C52" s="50">
        <f>IF(D11="","-",+C51+1)</f>
        <v>2054</v>
      </c>
      <c r="D52" s="55">
        <f>IF(F51+SUM(E$17:E51)=D$10,F51,D$10-SUM(E$17:E51))</f>
        <v>657903.55622426467</v>
      </c>
      <c r="E52" s="378">
        <f>IF(+I14&lt;F51,I14,D52)</f>
        <v>68484.545454545456</v>
      </c>
      <c r="F52" s="55">
        <f t="shared" si="13"/>
        <v>589419.01076971926</v>
      </c>
      <c r="G52" s="379">
        <f t="shared" si="14"/>
        <v>143028.98979461513</v>
      </c>
      <c r="H52" s="364">
        <f t="shared" si="15"/>
        <v>143028.98979461513</v>
      </c>
      <c r="I52" s="52">
        <f t="shared" si="0"/>
        <v>0</v>
      </c>
      <c r="J52" s="52"/>
      <c r="K52" s="129"/>
      <c r="L52" s="54">
        <f t="shared" si="16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 ht="12.5">
      <c r="B53" s="7" t="str">
        <f t="shared" si="7"/>
        <v/>
      </c>
      <c r="C53" s="50">
        <f>IF(D11="","-",+C52+1)</f>
        <v>2055</v>
      </c>
      <c r="D53" s="55">
        <f>IF(F52+SUM(E$17:E52)=D$10,F52,D$10-SUM(E$17:E52))</f>
        <v>589419.01076971926</v>
      </c>
      <c r="E53" s="378">
        <f>IF(+I14&lt;F52,I14,D53)</f>
        <v>68484.545454545456</v>
      </c>
      <c r="F53" s="55">
        <f t="shared" si="13"/>
        <v>520934.46531517379</v>
      </c>
      <c r="G53" s="379">
        <f t="shared" si="14"/>
        <v>134843.22851380293</v>
      </c>
      <c r="H53" s="364">
        <f t="shared" si="15"/>
        <v>134843.22851380293</v>
      </c>
      <c r="I53" s="52">
        <f t="shared" si="0"/>
        <v>0</v>
      </c>
      <c r="J53" s="52"/>
      <c r="K53" s="129"/>
      <c r="L53" s="54">
        <f t="shared" si="16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 ht="12.5">
      <c r="B54" s="7" t="str">
        <f t="shared" si="7"/>
        <v/>
      </c>
      <c r="C54" s="50">
        <f>IF(D11="","-",+C53+1)</f>
        <v>2056</v>
      </c>
      <c r="D54" s="55">
        <f>IF(F53+SUM(E$17:E53)=D$10,F53,D$10-SUM(E$17:E53))</f>
        <v>520934.46531517379</v>
      </c>
      <c r="E54" s="378">
        <f>IF(+I14&lt;F53,I14,D54)</f>
        <v>68484.545454545456</v>
      </c>
      <c r="F54" s="55">
        <f t="shared" si="13"/>
        <v>452449.91986062832</v>
      </c>
      <c r="G54" s="379">
        <f t="shared" si="14"/>
        <v>126657.46723299068</v>
      </c>
      <c r="H54" s="364">
        <f t="shared" si="15"/>
        <v>126657.46723299068</v>
      </c>
      <c r="I54" s="52">
        <f t="shared" si="0"/>
        <v>0</v>
      </c>
      <c r="J54" s="52"/>
      <c r="K54" s="129"/>
      <c r="L54" s="54">
        <f t="shared" si="16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 ht="12.5">
      <c r="B55" s="7" t="str">
        <f t="shared" si="7"/>
        <v/>
      </c>
      <c r="C55" s="50">
        <f>IF(D11="","-",+C54+1)</f>
        <v>2057</v>
      </c>
      <c r="D55" s="55">
        <f>IF(F54+SUM(E$17:E54)=D$10,F54,D$10-SUM(E$17:E54))</f>
        <v>452449.91986062832</v>
      </c>
      <c r="E55" s="378">
        <f>IF(+I14&lt;F54,I14,D55)</f>
        <v>68484.545454545456</v>
      </c>
      <c r="F55" s="55">
        <f t="shared" si="13"/>
        <v>383965.37440608285</v>
      </c>
      <c r="G55" s="379">
        <f t="shared" si="14"/>
        <v>118471.70595217845</v>
      </c>
      <c r="H55" s="364">
        <f t="shared" si="15"/>
        <v>118471.70595217845</v>
      </c>
      <c r="I55" s="52">
        <f t="shared" si="0"/>
        <v>0</v>
      </c>
      <c r="J55" s="52"/>
      <c r="K55" s="129"/>
      <c r="L55" s="54">
        <f t="shared" si="16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 ht="12.5">
      <c r="B56" s="7" t="str">
        <f t="shared" si="7"/>
        <v/>
      </c>
      <c r="C56" s="50">
        <f>IF(D11="","-",+C55+1)</f>
        <v>2058</v>
      </c>
      <c r="D56" s="55">
        <f>IF(F55+SUM(E$17:E55)=D$10,F55,D$10-SUM(E$17:E55))</f>
        <v>383965.37440608285</v>
      </c>
      <c r="E56" s="378">
        <f>IF(+I14&lt;F55,I14,D56)</f>
        <v>68484.545454545456</v>
      </c>
      <c r="F56" s="55">
        <f t="shared" si="13"/>
        <v>315480.82895153738</v>
      </c>
      <c r="G56" s="379">
        <f t="shared" si="14"/>
        <v>110285.94467136622</v>
      </c>
      <c r="H56" s="364">
        <f t="shared" si="15"/>
        <v>110285.94467136622</v>
      </c>
      <c r="I56" s="52">
        <f t="shared" si="0"/>
        <v>0</v>
      </c>
      <c r="J56" s="52"/>
      <c r="K56" s="129"/>
      <c r="L56" s="54">
        <f t="shared" si="16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 ht="12.5">
      <c r="B57" s="7" t="str">
        <f t="shared" si="7"/>
        <v/>
      </c>
      <c r="C57" s="50">
        <f>IF(D11="","-",+C56+1)</f>
        <v>2059</v>
      </c>
      <c r="D57" s="55">
        <f>IF(F56+SUM(E$17:E56)=D$10,F56,D$10-SUM(E$17:E56))</f>
        <v>315480.82895153738</v>
      </c>
      <c r="E57" s="378">
        <f>IF(+I14&lt;F56,I14,D57)</f>
        <v>68484.545454545456</v>
      </c>
      <c r="F57" s="55">
        <f t="shared" si="13"/>
        <v>246996.28349699191</v>
      </c>
      <c r="G57" s="379">
        <f t="shared" si="14"/>
        <v>102100.18339055398</v>
      </c>
      <c r="H57" s="364">
        <f t="shared" si="15"/>
        <v>102100.18339055398</v>
      </c>
      <c r="I57" s="52">
        <f t="shared" si="0"/>
        <v>0</v>
      </c>
      <c r="J57" s="52"/>
      <c r="K57" s="129"/>
      <c r="L57" s="54">
        <f t="shared" si="16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 ht="12.5">
      <c r="B58" s="7" t="str">
        <f t="shared" si="7"/>
        <v/>
      </c>
      <c r="C58" s="50">
        <f>IF(D11="","-",+C57+1)</f>
        <v>2060</v>
      </c>
      <c r="D58" s="55">
        <f>IF(F57+SUM(E$17:E57)=D$10,F57,D$10-SUM(E$17:E57))</f>
        <v>246996.28349699191</v>
      </c>
      <c r="E58" s="378">
        <f>IF(+I14&lt;F57,I14,D58)</f>
        <v>68484.545454545456</v>
      </c>
      <c r="F58" s="55">
        <f t="shared" si="13"/>
        <v>178511.73804244644</v>
      </c>
      <c r="G58" s="379">
        <f t="shared" si="14"/>
        <v>93914.422109741747</v>
      </c>
      <c r="H58" s="364">
        <f t="shared" si="15"/>
        <v>93914.422109741747</v>
      </c>
      <c r="I58" s="52">
        <f t="shared" si="0"/>
        <v>0</v>
      </c>
      <c r="J58" s="52"/>
      <c r="K58" s="129"/>
      <c r="L58" s="54">
        <f t="shared" si="16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 ht="12.5">
      <c r="B59" s="7" t="str">
        <f t="shared" si="7"/>
        <v/>
      </c>
      <c r="C59" s="50">
        <f>IF(D11="","-",+C58+1)</f>
        <v>2061</v>
      </c>
      <c r="D59" s="55">
        <f>IF(F58+SUM(E$17:E58)=D$10,F58,D$10-SUM(E$17:E58))</f>
        <v>178511.73804244644</v>
      </c>
      <c r="E59" s="378">
        <f>IF(+I14&lt;F58,I14,D59)</f>
        <v>68484.545454545456</v>
      </c>
      <c r="F59" s="55">
        <f t="shared" si="13"/>
        <v>110027.19258790098</v>
      </c>
      <c r="G59" s="379">
        <f t="shared" si="14"/>
        <v>85728.660828929525</v>
      </c>
      <c r="H59" s="364">
        <f t="shared" si="15"/>
        <v>85728.660828929525</v>
      </c>
      <c r="I59" s="52">
        <f t="shared" si="0"/>
        <v>0</v>
      </c>
      <c r="J59" s="52"/>
      <c r="K59" s="129"/>
      <c r="L59" s="54">
        <f t="shared" si="16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 ht="12.5">
      <c r="B60" s="7" t="str">
        <f t="shared" si="7"/>
        <v/>
      </c>
      <c r="C60" s="50">
        <f>IF(D11="","-",+C59+1)</f>
        <v>2062</v>
      </c>
      <c r="D60" s="55">
        <f>IF(F59+SUM(E$17:E59)=D$10,F59,D$10-SUM(E$17:E59))</f>
        <v>110027.19258790098</v>
      </c>
      <c r="E60" s="378">
        <f>IF(+I14&lt;F59,I14,D60)</f>
        <v>68484.545454545456</v>
      </c>
      <c r="F60" s="55">
        <f t="shared" si="13"/>
        <v>41542.647133355524</v>
      </c>
      <c r="G60" s="379">
        <f t="shared" si="14"/>
        <v>77542.89954811729</v>
      </c>
      <c r="H60" s="364">
        <f t="shared" si="15"/>
        <v>77542.89954811729</v>
      </c>
      <c r="I60" s="52">
        <f t="shared" si="0"/>
        <v>0</v>
      </c>
      <c r="J60" s="52"/>
      <c r="K60" s="129"/>
      <c r="L60" s="54">
        <f t="shared" si="16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 ht="12.5">
      <c r="B61" s="7" t="str">
        <f t="shared" si="7"/>
        <v/>
      </c>
      <c r="C61" s="50">
        <f>IF(D11="","-",+C60+1)</f>
        <v>2063</v>
      </c>
      <c r="D61" s="55">
        <f>IF(F60+SUM(E$17:E60)=D$10,F60,D$10-SUM(E$17:E60))</f>
        <v>41542.647133355524</v>
      </c>
      <c r="E61" s="378">
        <f>IF(+I14&lt;F60,I14,D61)</f>
        <v>41542.647133355524</v>
      </c>
      <c r="F61" s="55">
        <f t="shared" si="13"/>
        <v>0</v>
      </c>
      <c r="G61" s="380">
        <f t="shared" si="14"/>
        <v>44025.383859938389</v>
      </c>
      <c r="H61" s="364">
        <f t="shared" si="15"/>
        <v>44025.383859938389</v>
      </c>
      <c r="I61" s="52">
        <f t="shared" si="0"/>
        <v>0</v>
      </c>
      <c r="J61" s="52"/>
      <c r="K61" s="129"/>
      <c r="L61" s="54">
        <f t="shared" si="16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 ht="12.5">
      <c r="B62" s="7" t="str">
        <f t="shared" si="7"/>
        <v/>
      </c>
      <c r="C62" s="50">
        <f>IF(D11="","-",+C61+1)</f>
        <v>2064</v>
      </c>
      <c r="D62" s="55">
        <f>IF(F61+SUM(E$17:E61)=D$10,F61,D$10-SUM(E$17:E61))</f>
        <v>0</v>
      </c>
      <c r="E62" s="378">
        <f>IF(+I14&lt;F61,I14,D62)</f>
        <v>0</v>
      </c>
      <c r="F62" s="55">
        <f t="shared" si="13"/>
        <v>0</v>
      </c>
      <c r="G62" s="380">
        <f t="shared" si="14"/>
        <v>0</v>
      </c>
      <c r="H62" s="364">
        <f t="shared" si="15"/>
        <v>0</v>
      </c>
      <c r="I62" s="52">
        <f t="shared" si="0"/>
        <v>0</v>
      </c>
      <c r="J62" s="52"/>
      <c r="K62" s="129"/>
      <c r="L62" s="54">
        <f t="shared" si="16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 ht="12.5">
      <c r="B63" s="7" t="str">
        <f t="shared" si="7"/>
        <v/>
      </c>
      <c r="C63" s="50">
        <f>IF(D11="","-",+C62+1)</f>
        <v>2065</v>
      </c>
      <c r="D63" s="55">
        <f>IF(F62+SUM(E$17:E62)=D$10,F62,D$10-SUM(E$17:E62))</f>
        <v>0</v>
      </c>
      <c r="E63" s="378">
        <f>IF(+I14&lt;F62,I14,D63)</f>
        <v>0</v>
      </c>
      <c r="F63" s="55">
        <f t="shared" si="13"/>
        <v>0</v>
      </c>
      <c r="G63" s="380">
        <f t="shared" si="14"/>
        <v>0</v>
      </c>
      <c r="H63" s="364">
        <f t="shared" si="15"/>
        <v>0</v>
      </c>
      <c r="I63" s="52">
        <f t="shared" si="0"/>
        <v>0</v>
      </c>
      <c r="J63" s="52"/>
      <c r="K63" s="129"/>
      <c r="L63" s="54">
        <f t="shared" si="16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 ht="12.5">
      <c r="B64" s="7" t="str">
        <f t="shared" si="7"/>
        <v/>
      </c>
      <c r="C64" s="50">
        <f>IF(D11="","-",+C63+1)</f>
        <v>2066</v>
      </c>
      <c r="D64" s="55">
        <f>IF(F63+SUM(E$17:E63)=D$10,F63,D$10-SUM(E$17:E63))</f>
        <v>0</v>
      </c>
      <c r="E64" s="378">
        <f>IF(+I14&lt;F63,I14,D64)</f>
        <v>0</v>
      </c>
      <c r="F64" s="55">
        <f t="shared" si="13"/>
        <v>0</v>
      </c>
      <c r="G64" s="380">
        <f t="shared" si="14"/>
        <v>0</v>
      </c>
      <c r="H64" s="364">
        <f t="shared" si="15"/>
        <v>0</v>
      </c>
      <c r="I64" s="52">
        <f t="shared" si="0"/>
        <v>0</v>
      </c>
      <c r="J64" s="52"/>
      <c r="K64" s="129"/>
      <c r="L64" s="54">
        <f t="shared" si="16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 ht="12.5">
      <c r="B65" s="7" t="str">
        <f t="shared" si="7"/>
        <v/>
      </c>
      <c r="C65" s="50">
        <f>IF(D11="","-",+C64+1)</f>
        <v>2067</v>
      </c>
      <c r="D65" s="55">
        <f>IF(F64+SUM(E$17:E64)=D$10,F64,D$10-SUM(E$17:E64))</f>
        <v>0</v>
      </c>
      <c r="E65" s="378">
        <f>IF(+I14&lt;F64,I14,D65)</f>
        <v>0</v>
      </c>
      <c r="F65" s="55">
        <f t="shared" si="13"/>
        <v>0</v>
      </c>
      <c r="G65" s="380">
        <f t="shared" si="14"/>
        <v>0</v>
      </c>
      <c r="H65" s="364">
        <f t="shared" si="15"/>
        <v>0</v>
      </c>
      <c r="I65" s="52">
        <f t="shared" si="0"/>
        <v>0</v>
      </c>
      <c r="J65" s="52"/>
      <c r="K65" s="129"/>
      <c r="L65" s="54">
        <f t="shared" si="16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 ht="12.5">
      <c r="B66" s="7" t="str">
        <f t="shared" si="7"/>
        <v/>
      </c>
      <c r="C66" s="50">
        <f>IF(D11="","-",+C65+1)</f>
        <v>2068</v>
      </c>
      <c r="D66" s="55">
        <f>IF(F65+SUM(E$17:E65)=D$10,F65,D$10-SUM(E$17:E65))</f>
        <v>0</v>
      </c>
      <c r="E66" s="378">
        <f>IF(+I14&lt;F65,I14,D66)</f>
        <v>0</v>
      </c>
      <c r="F66" s="55">
        <f t="shared" si="13"/>
        <v>0</v>
      </c>
      <c r="G66" s="380">
        <f t="shared" si="14"/>
        <v>0</v>
      </c>
      <c r="H66" s="364">
        <f t="shared" si="15"/>
        <v>0</v>
      </c>
      <c r="I66" s="52">
        <f t="shared" si="0"/>
        <v>0</v>
      </c>
      <c r="J66" s="52"/>
      <c r="K66" s="129"/>
      <c r="L66" s="54">
        <f t="shared" si="16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 ht="12.5">
      <c r="B67" s="7" t="str">
        <f t="shared" si="7"/>
        <v/>
      </c>
      <c r="C67" s="50">
        <f>IF(D11="","-",+C66+1)</f>
        <v>2069</v>
      </c>
      <c r="D67" s="55">
        <f>IF(F66+SUM(E$17:E66)=D$10,F66,D$10-SUM(E$17:E66))</f>
        <v>0</v>
      </c>
      <c r="E67" s="378">
        <f>IF(+I14&lt;F66,I14,D67)</f>
        <v>0</v>
      </c>
      <c r="F67" s="55">
        <f t="shared" si="13"/>
        <v>0</v>
      </c>
      <c r="G67" s="380">
        <f t="shared" si="14"/>
        <v>0</v>
      </c>
      <c r="H67" s="364">
        <f t="shared" si="15"/>
        <v>0</v>
      </c>
      <c r="I67" s="52">
        <f t="shared" si="0"/>
        <v>0</v>
      </c>
      <c r="J67" s="52"/>
      <c r="K67" s="129"/>
      <c r="L67" s="54">
        <f t="shared" si="16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 ht="12.5">
      <c r="B68" s="7" t="str">
        <f t="shared" si="7"/>
        <v/>
      </c>
      <c r="C68" s="50">
        <f>IF(D11="","-",+C67+1)</f>
        <v>2070</v>
      </c>
      <c r="D68" s="55">
        <f>IF(F67+SUM(E$17:E67)=D$10,F67,D$10-SUM(E$17:E67))</f>
        <v>0</v>
      </c>
      <c r="E68" s="378">
        <f>IF(+I14&lt;F67,I14,D68)</f>
        <v>0</v>
      </c>
      <c r="F68" s="55">
        <f t="shared" si="13"/>
        <v>0</v>
      </c>
      <c r="G68" s="380">
        <f t="shared" si="14"/>
        <v>0</v>
      </c>
      <c r="H68" s="364">
        <f t="shared" si="15"/>
        <v>0</v>
      </c>
      <c r="I68" s="52">
        <f t="shared" si="0"/>
        <v>0</v>
      </c>
      <c r="J68" s="52"/>
      <c r="K68" s="129"/>
      <c r="L68" s="54">
        <f t="shared" si="16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 ht="12.5">
      <c r="B69" s="7" t="str">
        <f t="shared" si="7"/>
        <v/>
      </c>
      <c r="C69" s="50">
        <f>IF(D11="","-",+C68+1)</f>
        <v>2071</v>
      </c>
      <c r="D69" s="55">
        <f>IF(F68+SUM(E$17:E68)=D$10,F68,D$10-SUM(E$17:E68))</f>
        <v>0</v>
      </c>
      <c r="E69" s="378">
        <f>IF(+I14&lt;F68,I14,D69)</f>
        <v>0</v>
      </c>
      <c r="F69" s="55">
        <f t="shared" si="13"/>
        <v>0</v>
      </c>
      <c r="G69" s="380">
        <f t="shared" si="14"/>
        <v>0</v>
      </c>
      <c r="H69" s="364">
        <f t="shared" si="15"/>
        <v>0</v>
      </c>
      <c r="I69" s="52">
        <f t="shared" si="0"/>
        <v>0</v>
      </c>
      <c r="J69" s="52"/>
      <c r="K69" s="129"/>
      <c r="L69" s="54">
        <f t="shared" si="16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 ht="12.5">
      <c r="B70" s="7" t="str">
        <f t="shared" si="7"/>
        <v/>
      </c>
      <c r="C70" s="50">
        <f>IF(D11="","-",+C69+1)</f>
        <v>2072</v>
      </c>
      <c r="D70" s="55">
        <f>IF(F69+SUM(E$17:E69)=D$10,F69,D$10-SUM(E$17:E69))</f>
        <v>0</v>
      </c>
      <c r="E70" s="378">
        <f>IF(+I14&lt;F69,I14,D70)</f>
        <v>0</v>
      </c>
      <c r="F70" s="55">
        <f t="shared" si="13"/>
        <v>0</v>
      </c>
      <c r="G70" s="380">
        <f t="shared" si="14"/>
        <v>0</v>
      </c>
      <c r="H70" s="364">
        <f t="shared" si="15"/>
        <v>0</v>
      </c>
      <c r="I70" s="52">
        <f t="shared" si="0"/>
        <v>0</v>
      </c>
      <c r="J70" s="52"/>
      <c r="K70" s="129"/>
      <c r="L70" s="54">
        <f t="shared" si="16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 ht="12.5">
      <c r="B71" s="7" t="str">
        <f t="shared" si="7"/>
        <v/>
      </c>
      <c r="C71" s="50">
        <f>IF(D11="","-",+C70+1)</f>
        <v>2073</v>
      </c>
      <c r="D71" s="55">
        <f>IF(F70+SUM(E$17:E70)=D$10,F70,D$10-SUM(E$17:E70))</f>
        <v>0</v>
      </c>
      <c r="E71" s="378">
        <f>IF(+I14&lt;F70,I14,D71)</f>
        <v>0</v>
      </c>
      <c r="F71" s="55">
        <f t="shared" si="13"/>
        <v>0</v>
      </c>
      <c r="G71" s="380">
        <f t="shared" si="14"/>
        <v>0</v>
      </c>
      <c r="H71" s="364">
        <f t="shared" si="15"/>
        <v>0</v>
      </c>
      <c r="I71" s="52">
        <f t="shared" si="0"/>
        <v>0</v>
      </c>
      <c r="J71" s="52"/>
      <c r="K71" s="129"/>
      <c r="L71" s="54">
        <f t="shared" si="16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" thickBot="1">
      <c r="B72" s="7" t="str">
        <f t="shared" si="7"/>
        <v/>
      </c>
      <c r="C72" s="59">
        <f>IF(D11="","-",+C71+1)</f>
        <v>2074</v>
      </c>
      <c r="D72" s="60">
        <f>IF(F71+SUM(E$17:E71)=D$10,F71,D$10-SUM(E$17:E71))</f>
        <v>0</v>
      </c>
      <c r="E72" s="381">
        <f>IF(+I14&lt;F71,I14,D72)</f>
        <v>0</v>
      </c>
      <c r="F72" s="60">
        <f t="shared" si="13"/>
        <v>0</v>
      </c>
      <c r="G72" s="382">
        <f t="shared" si="14"/>
        <v>0</v>
      </c>
      <c r="H72" s="362">
        <f t="shared" si="15"/>
        <v>0</v>
      </c>
      <c r="I72" s="63">
        <f t="shared" si="0"/>
        <v>0</v>
      </c>
      <c r="J72" s="52"/>
      <c r="K72" s="130"/>
      <c r="L72" s="64">
        <f t="shared" si="16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 ht="12.5">
      <c r="C73" s="12" t="s">
        <v>78</v>
      </c>
      <c r="D73" s="293"/>
      <c r="E73" s="293">
        <f>SUM(E17:E72)</f>
        <v>3013319.9999999995</v>
      </c>
      <c r="F73" s="293"/>
      <c r="G73" s="293">
        <f>SUM(G17:G72)</f>
        <v>10661285.539257189</v>
      </c>
      <c r="H73" s="293">
        <f>SUM(H17:H72)</f>
        <v>10661285.539257189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 ht="13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74 of 77</v>
      </c>
    </row>
    <row r="84" spans="1:16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388601.82821898186</v>
      </c>
      <c r="N87" s="387">
        <f>IF(J92&lt;D11,0,VLOOKUP(J92,C17:O72,11))</f>
        <v>388601.82821898186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399207.7664237963</v>
      </c>
      <c r="N88" s="390">
        <f>IF(J92&lt;D11,0,VLOOKUP(J92,C99:P154,7))</f>
        <v>399207.7664237963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Figure Five - VBI North 69 kV Rebuild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10605.938204814447</v>
      </c>
      <c r="N89" s="392">
        <f>+N88-N87</f>
        <v>10605.938204814447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TA2016806</v>
      </c>
      <c r="E91" s="76" t="str">
        <f>E9</f>
        <v xml:space="preserve">  SPP Project ID = 51300</v>
      </c>
      <c r="F91" s="76"/>
      <c r="G91" s="76"/>
      <c r="H91" s="76"/>
      <c r="I91" s="76"/>
      <c r="J91" s="76"/>
    </row>
    <row r="92" spans="1:16" ht="13">
      <c r="C92" s="34" t="s">
        <v>51</v>
      </c>
      <c r="D92" s="394">
        <f>D10</f>
        <v>3013320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</row>
    <row r="93" spans="1:16" ht="12.5">
      <c r="C93" s="34" t="s">
        <v>54</v>
      </c>
      <c r="D93" s="88">
        <f>+D11</f>
        <v>2019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394">
        <f>D12</f>
        <v>4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68484.545454545456</v>
      </c>
      <c r="K96" s="293"/>
      <c r="L96" s="293"/>
      <c r="M96" s="293"/>
      <c r="N96" s="293"/>
      <c r="O96" s="293"/>
      <c r="P96" s="1"/>
    </row>
    <row r="97" spans="1:16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5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 ht="12.5">
      <c r="C99" s="50">
        <f>IF(D93= "","-",D93)</f>
        <v>2019</v>
      </c>
      <c r="D99" s="429">
        <v>0</v>
      </c>
      <c r="E99" s="430">
        <v>45130.51162790697</v>
      </c>
      <c r="F99" s="431">
        <v>2865787.4883720931</v>
      </c>
      <c r="G99" s="431">
        <v>1432893.7441860465</v>
      </c>
      <c r="H99" s="433">
        <v>198508.2411422825</v>
      </c>
      <c r="I99" s="434">
        <v>198508.2411422825</v>
      </c>
      <c r="J99" s="54">
        <f t="shared" ref="J99:J130" si="17">+I99-H99</f>
        <v>0</v>
      </c>
      <c r="K99" s="54"/>
      <c r="L99" s="112">
        <f>+H99</f>
        <v>198508.2411422825</v>
      </c>
      <c r="M99" s="53">
        <f t="shared" ref="M99:M100" si="18">IF(L99&lt;&gt;0,+H99-L99,0)</f>
        <v>0</v>
      </c>
      <c r="N99" s="112">
        <f>+I99</f>
        <v>198508.2411422825</v>
      </c>
      <c r="O99" s="53">
        <f t="shared" ref="O99:O130" si="19">IF(N99&lt;&gt;0,+I99-N99,0)</f>
        <v>0</v>
      </c>
      <c r="P99" s="53">
        <f t="shared" ref="P99:P130" si="20">+O99-M99</f>
        <v>0</v>
      </c>
    </row>
    <row r="100" spans="1:16" ht="12.5">
      <c r="B100" s="7" t="str">
        <f>IF(D100=F99,"","IU")</f>
        <v/>
      </c>
      <c r="C100" s="50">
        <f>IF(D93="","-",+C99+1)</f>
        <v>2020</v>
      </c>
      <c r="D100" s="429">
        <v>2865787.4883720931</v>
      </c>
      <c r="E100" s="430">
        <v>69307.571428571435</v>
      </c>
      <c r="F100" s="431">
        <v>2796479.9169435217</v>
      </c>
      <c r="G100" s="431">
        <v>2831133.7026578076</v>
      </c>
      <c r="H100" s="433">
        <v>373863.47414547531</v>
      </c>
      <c r="I100" s="434">
        <v>373863.47414547531</v>
      </c>
      <c r="J100" s="54">
        <f t="shared" si="17"/>
        <v>0</v>
      </c>
      <c r="K100" s="54"/>
      <c r="L100" s="450">
        <f>+H100</f>
        <v>373863.47414547531</v>
      </c>
      <c r="M100" s="54">
        <f t="shared" si="18"/>
        <v>0</v>
      </c>
      <c r="N100" s="450">
        <f>+I100</f>
        <v>373863.47414547531</v>
      </c>
      <c r="O100" s="54">
        <f t="shared" si="19"/>
        <v>0</v>
      </c>
      <c r="P100" s="54">
        <f t="shared" si="20"/>
        <v>0</v>
      </c>
    </row>
    <row r="101" spans="1:16" ht="12.5">
      <c r="B101" s="7" t="str">
        <f t="shared" ref="B101:B154" si="21">IF(D101=F100,"","IU")</f>
        <v/>
      </c>
      <c r="C101" s="50">
        <f>IF(D93="","-",+C100+1)</f>
        <v>2021</v>
      </c>
      <c r="D101" s="429">
        <v>2796479.9169435217</v>
      </c>
      <c r="E101" s="430">
        <v>70998</v>
      </c>
      <c r="F101" s="431">
        <v>2725481.9169435217</v>
      </c>
      <c r="G101" s="431">
        <v>2760980.9169435217</v>
      </c>
      <c r="H101" s="433">
        <v>384408.61281414429</v>
      </c>
      <c r="I101" s="434">
        <v>384408.61281414429</v>
      </c>
      <c r="J101" s="54">
        <f t="shared" si="17"/>
        <v>0</v>
      </c>
      <c r="K101" s="54"/>
      <c r="L101" s="450">
        <f>+H101</f>
        <v>384408.61281414429</v>
      </c>
      <c r="M101" s="54">
        <f t="shared" ref="M101" si="22">IF(L101&lt;&gt;0,+H101-L101,0)</f>
        <v>0</v>
      </c>
      <c r="N101" s="450">
        <f>+I101</f>
        <v>384408.61281414429</v>
      </c>
      <c r="O101" s="54">
        <f t="shared" si="19"/>
        <v>0</v>
      </c>
      <c r="P101" s="54">
        <f t="shared" si="20"/>
        <v>0</v>
      </c>
    </row>
    <row r="102" spans="1:16" ht="12.5">
      <c r="B102" s="7" t="str">
        <f t="shared" si="21"/>
        <v/>
      </c>
      <c r="C102" s="50">
        <f>IF(D93="","-",+C101+1)</f>
        <v>2022</v>
      </c>
      <c r="D102" s="429">
        <v>2725481.9169435217</v>
      </c>
      <c r="E102" s="430">
        <v>69307.571428571435</v>
      </c>
      <c r="F102" s="431">
        <v>2656174.3455149503</v>
      </c>
      <c r="G102" s="431">
        <v>2690828.1312292358</v>
      </c>
      <c r="H102" s="433">
        <v>385366.43972059927</v>
      </c>
      <c r="I102" s="434">
        <v>385366.43972059927</v>
      </c>
      <c r="J102" s="54">
        <f t="shared" si="17"/>
        <v>0</v>
      </c>
      <c r="K102" s="54"/>
      <c r="L102" s="450">
        <f>+H102</f>
        <v>385366.43972059927</v>
      </c>
      <c r="M102" s="54">
        <f t="shared" ref="M102" si="23">IF(L102&lt;&gt;0,+H102-L102,0)</f>
        <v>0</v>
      </c>
      <c r="N102" s="450">
        <f>+I102</f>
        <v>385366.43972059927</v>
      </c>
      <c r="O102" s="54">
        <f t="shared" ref="O102" si="24">IF(N102&lt;&gt;0,+I102-N102,0)</f>
        <v>0</v>
      </c>
      <c r="P102" s="54">
        <f t="shared" ref="P102" si="25">+O102-M102</f>
        <v>0</v>
      </c>
    </row>
    <row r="103" spans="1:16" ht="12.5">
      <c r="B103" s="7" t="str">
        <f t="shared" si="21"/>
        <v>IU</v>
      </c>
      <c r="C103" s="50">
        <f>IF(D93="","-",+C102+1)</f>
        <v>2023</v>
      </c>
      <c r="D103" s="429">
        <v>2758576.3455149503</v>
      </c>
      <c r="E103" s="430">
        <v>68484.545454545456</v>
      </c>
      <c r="F103" s="431">
        <v>2690091.8000604049</v>
      </c>
      <c r="G103" s="431">
        <v>2724334.0727876779</v>
      </c>
      <c r="H103" s="433">
        <v>404572.17149267165</v>
      </c>
      <c r="I103" s="434">
        <v>404572.17149267165</v>
      </c>
      <c r="J103" s="54">
        <f t="shared" si="17"/>
        <v>0</v>
      </c>
      <c r="K103" s="54"/>
      <c r="L103" s="450">
        <f>+H103</f>
        <v>404572.17149267165</v>
      </c>
      <c r="M103" s="54">
        <f t="shared" ref="M103" si="26">IF(L103&lt;&gt;0,+H103-L103,0)</f>
        <v>0</v>
      </c>
      <c r="N103" s="450">
        <f>+I103</f>
        <v>404572.17149267165</v>
      </c>
      <c r="O103" s="54">
        <f t="shared" ref="O103" si="27">IF(N103&lt;&gt;0,+I103-N103,0)</f>
        <v>0</v>
      </c>
      <c r="P103" s="54">
        <f t="shared" ref="P103" si="28">+O103-M103</f>
        <v>0</v>
      </c>
    </row>
    <row r="104" spans="1:16" ht="12.5">
      <c r="B104" s="7" t="str">
        <f t="shared" si="21"/>
        <v/>
      </c>
      <c r="C104" s="50">
        <f>IF(D93="","-",+C103+1)</f>
        <v>2024</v>
      </c>
      <c r="D104" s="12">
        <f>IF(F103+SUM(E$99:E103)=D$92,F103,D$92-SUM(E$99:E103))</f>
        <v>2690091.8000604049</v>
      </c>
      <c r="E104" s="378">
        <f>IF(+J96&lt;F103,J96,D104)</f>
        <v>68484.545454545456</v>
      </c>
      <c r="F104" s="55">
        <f t="shared" ref="F104:F154" si="29">+D104-E104</f>
        <v>2621607.2546058595</v>
      </c>
      <c r="G104" s="55">
        <f t="shared" ref="G104:G154" si="30">+(F104+D104)/2</f>
        <v>2655849.527333132</v>
      </c>
      <c r="H104" s="380">
        <f t="shared" ref="H104:H154" si="31">+J$94*G104+E104</f>
        <v>399207.7664237963</v>
      </c>
      <c r="I104" s="399">
        <f t="shared" ref="I104:I154" si="32">+J$95*G104+E104</f>
        <v>399207.7664237963</v>
      </c>
      <c r="J104" s="54">
        <f t="shared" si="17"/>
        <v>0</v>
      </c>
      <c r="K104" s="54"/>
      <c r="L104" s="129"/>
      <c r="M104" s="54">
        <f t="shared" ref="M104:M130" si="33">IF(L104&lt;&gt;0,+H104-L104,0)</f>
        <v>0</v>
      </c>
      <c r="N104" s="129"/>
      <c r="O104" s="54">
        <f t="shared" si="19"/>
        <v>0</v>
      </c>
      <c r="P104" s="54">
        <f t="shared" si="20"/>
        <v>0</v>
      </c>
    </row>
    <row r="105" spans="1:16" ht="12.5">
      <c r="B105" s="7" t="str">
        <f t="shared" si="21"/>
        <v/>
      </c>
      <c r="C105" s="50">
        <f>IF(D93="","-",+C104+1)</f>
        <v>2025</v>
      </c>
      <c r="D105" s="12">
        <f>IF(F104+SUM(E$99:E104)=D$92,F104,D$92-SUM(E$99:E104))</f>
        <v>2621607.2546058595</v>
      </c>
      <c r="E105" s="378">
        <f>IF(+J96&lt;F104,J96,D105)</f>
        <v>68484.545454545456</v>
      </c>
      <c r="F105" s="55">
        <f t="shared" si="29"/>
        <v>2553122.7091513141</v>
      </c>
      <c r="G105" s="55">
        <f t="shared" si="30"/>
        <v>2587364.981878587</v>
      </c>
      <c r="H105" s="380">
        <f t="shared" si="31"/>
        <v>390679.63663848967</v>
      </c>
      <c r="I105" s="399">
        <f t="shared" si="32"/>
        <v>390679.63663848967</v>
      </c>
      <c r="J105" s="54">
        <f t="shared" si="17"/>
        <v>0</v>
      </c>
      <c r="K105" s="54"/>
      <c r="L105" s="129"/>
      <c r="M105" s="54">
        <f t="shared" si="33"/>
        <v>0</v>
      </c>
      <c r="N105" s="129"/>
      <c r="O105" s="54">
        <f t="shared" si="19"/>
        <v>0</v>
      </c>
      <c r="P105" s="54">
        <f t="shared" si="20"/>
        <v>0</v>
      </c>
    </row>
    <row r="106" spans="1:16" ht="12.5">
      <c r="B106" s="7" t="str">
        <f t="shared" si="21"/>
        <v/>
      </c>
      <c r="C106" s="50">
        <f>IF(D93="","-",+C105+1)</f>
        <v>2026</v>
      </c>
      <c r="D106" s="12">
        <f>IF(F105+SUM(E$99:E105)=D$92,F105,D$92-SUM(E$99:E105))</f>
        <v>2553122.7091513141</v>
      </c>
      <c r="E106" s="378">
        <f>IF(+J96&lt;F105,J96,D106)</f>
        <v>68484.545454545456</v>
      </c>
      <c r="F106" s="55">
        <f t="shared" si="29"/>
        <v>2484638.1636967687</v>
      </c>
      <c r="G106" s="55">
        <f t="shared" si="30"/>
        <v>2518880.4364240412</v>
      </c>
      <c r="H106" s="380">
        <f t="shared" si="31"/>
        <v>382151.50685318297</v>
      </c>
      <c r="I106" s="399">
        <f t="shared" si="32"/>
        <v>382151.50685318297</v>
      </c>
      <c r="J106" s="54">
        <f t="shared" si="17"/>
        <v>0</v>
      </c>
      <c r="K106" s="54"/>
      <c r="L106" s="129"/>
      <c r="M106" s="54">
        <f t="shared" si="33"/>
        <v>0</v>
      </c>
      <c r="N106" s="129"/>
      <c r="O106" s="54">
        <f t="shared" si="19"/>
        <v>0</v>
      </c>
      <c r="P106" s="54">
        <f t="shared" si="20"/>
        <v>0</v>
      </c>
    </row>
    <row r="107" spans="1:16" ht="12.5">
      <c r="B107" s="7" t="str">
        <f t="shared" si="21"/>
        <v/>
      </c>
      <c r="C107" s="50">
        <f>IF(D93="","-",+C106+1)</f>
        <v>2027</v>
      </c>
      <c r="D107" s="12">
        <f>IF(F106+SUM(E$99:E106)=D$92,F106,D$92-SUM(E$99:E106))</f>
        <v>2484638.1636967687</v>
      </c>
      <c r="E107" s="378">
        <f>IF(+J96&lt;F106,J96,D107)</f>
        <v>68484.545454545456</v>
      </c>
      <c r="F107" s="55">
        <f t="shared" si="29"/>
        <v>2416153.6182422233</v>
      </c>
      <c r="G107" s="55">
        <f t="shared" si="30"/>
        <v>2450395.8909694962</v>
      </c>
      <c r="H107" s="380">
        <f t="shared" si="31"/>
        <v>373623.37706787634</v>
      </c>
      <c r="I107" s="399">
        <f t="shared" si="32"/>
        <v>373623.37706787634</v>
      </c>
      <c r="J107" s="54">
        <f t="shared" si="17"/>
        <v>0</v>
      </c>
      <c r="K107" s="54"/>
      <c r="L107" s="129"/>
      <c r="M107" s="54">
        <f t="shared" si="33"/>
        <v>0</v>
      </c>
      <c r="N107" s="129"/>
      <c r="O107" s="54">
        <f t="shared" si="19"/>
        <v>0</v>
      </c>
      <c r="P107" s="54">
        <f t="shared" si="20"/>
        <v>0</v>
      </c>
    </row>
    <row r="108" spans="1:16" ht="12.5">
      <c r="B108" s="7" t="str">
        <f t="shared" si="21"/>
        <v/>
      </c>
      <c r="C108" s="50">
        <f>IF(D93="","-",+C107+1)</f>
        <v>2028</v>
      </c>
      <c r="D108" s="12">
        <f>IF(F107+SUM(E$99:E107)=D$92,F107,D$92-SUM(E$99:E107))</f>
        <v>2416153.6182422233</v>
      </c>
      <c r="E108" s="378">
        <f>IF(+J96&lt;F107,J96,D108)</f>
        <v>68484.545454545456</v>
      </c>
      <c r="F108" s="55">
        <f t="shared" si="29"/>
        <v>2347669.0727876779</v>
      </c>
      <c r="G108" s="55">
        <f t="shared" si="30"/>
        <v>2381911.3455149503</v>
      </c>
      <c r="H108" s="380">
        <f t="shared" si="31"/>
        <v>365095.24728256965</v>
      </c>
      <c r="I108" s="399">
        <f t="shared" si="32"/>
        <v>365095.24728256965</v>
      </c>
      <c r="J108" s="54">
        <f t="shared" si="17"/>
        <v>0</v>
      </c>
      <c r="K108" s="54"/>
      <c r="L108" s="129"/>
      <c r="M108" s="54">
        <f t="shared" si="33"/>
        <v>0</v>
      </c>
      <c r="N108" s="129"/>
      <c r="O108" s="54">
        <f t="shared" si="19"/>
        <v>0</v>
      </c>
      <c r="P108" s="54">
        <f t="shared" si="20"/>
        <v>0</v>
      </c>
    </row>
    <row r="109" spans="1:16" ht="12.5">
      <c r="B109" s="7" t="str">
        <f t="shared" si="21"/>
        <v/>
      </c>
      <c r="C109" s="50">
        <f>IF(D93="","-",+C108+1)</f>
        <v>2029</v>
      </c>
      <c r="D109" s="12">
        <f>IF(F108+SUM(E$99:E108)=D$92,F108,D$92-SUM(E$99:E108))</f>
        <v>2347669.0727876779</v>
      </c>
      <c r="E109" s="378">
        <f>IF(+J96&lt;F108,J96,D109)</f>
        <v>68484.545454545456</v>
      </c>
      <c r="F109" s="55">
        <f t="shared" si="29"/>
        <v>2279184.5273331325</v>
      </c>
      <c r="G109" s="55">
        <f t="shared" si="30"/>
        <v>2313426.8000604054</v>
      </c>
      <c r="H109" s="380">
        <f t="shared" si="31"/>
        <v>356567.11749726301</v>
      </c>
      <c r="I109" s="399">
        <f t="shared" si="32"/>
        <v>356567.11749726301</v>
      </c>
      <c r="J109" s="54">
        <f t="shared" si="17"/>
        <v>0</v>
      </c>
      <c r="K109" s="54"/>
      <c r="L109" s="129"/>
      <c r="M109" s="54">
        <f t="shared" si="33"/>
        <v>0</v>
      </c>
      <c r="N109" s="129"/>
      <c r="O109" s="54">
        <f t="shared" si="19"/>
        <v>0</v>
      </c>
      <c r="P109" s="54">
        <f t="shared" si="20"/>
        <v>0</v>
      </c>
    </row>
    <row r="110" spans="1:16" ht="12.5">
      <c r="B110" s="7" t="str">
        <f t="shared" si="21"/>
        <v/>
      </c>
      <c r="C110" s="50">
        <f>IF(D93="","-",+C109+1)</f>
        <v>2030</v>
      </c>
      <c r="D110" s="12">
        <f>IF(F109+SUM(E$99:E109)=D$92,F109,D$92-SUM(E$99:E109))</f>
        <v>2279184.5273331325</v>
      </c>
      <c r="E110" s="378">
        <f>IF(+J96&lt;F109,J96,D110)</f>
        <v>68484.545454545456</v>
      </c>
      <c r="F110" s="55">
        <f t="shared" si="29"/>
        <v>2210699.981878587</v>
      </c>
      <c r="G110" s="55">
        <f t="shared" si="30"/>
        <v>2244942.2546058595</v>
      </c>
      <c r="H110" s="380">
        <f t="shared" si="31"/>
        <v>348038.98771195626</v>
      </c>
      <c r="I110" s="399">
        <f t="shared" si="32"/>
        <v>348038.98771195626</v>
      </c>
      <c r="J110" s="54">
        <f t="shared" si="17"/>
        <v>0</v>
      </c>
      <c r="K110" s="54"/>
      <c r="L110" s="129"/>
      <c r="M110" s="54">
        <f t="shared" si="33"/>
        <v>0</v>
      </c>
      <c r="N110" s="129"/>
      <c r="O110" s="54">
        <f t="shared" si="19"/>
        <v>0</v>
      </c>
      <c r="P110" s="54">
        <f t="shared" si="20"/>
        <v>0</v>
      </c>
    </row>
    <row r="111" spans="1:16" ht="12.5">
      <c r="B111" s="7" t="str">
        <f t="shared" si="21"/>
        <v/>
      </c>
      <c r="C111" s="50">
        <f>IF(D93="","-",+C110+1)</f>
        <v>2031</v>
      </c>
      <c r="D111" s="12">
        <f>IF(F110+SUM(E$99:E110)=D$92,F110,D$92-SUM(E$99:E110))</f>
        <v>2210699.981878587</v>
      </c>
      <c r="E111" s="378">
        <f>IF(+J96&lt;F110,J96,D111)</f>
        <v>68484.545454545456</v>
      </c>
      <c r="F111" s="55">
        <f t="shared" si="29"/>
        <v>2142215.4364240416</v>
      </c>
      <c r="G111" s="55">
        <f t="shared" si="30"/>
        <v>2176457.7091513146</v>
      </c>
      <c r="H111" s="380">
        <f t="shared" si="31"/>
        <v>339510.85792664968</v>
      </c>
      <c r="I111" s="399">
        <f t="shared" si="32"/>
        <v>339510.85792664968</v>
      </c>
      <c r="J111" s="54">
        <f t="shared" si="17"/>
        <v>0</v>
      </c>
      <c r="K111" s="54"/>
      <c r="L111" s="129"/>
      <c r="M111" s="54">
        <f t="shared" si="33"/>
        <v>0</v>
      </c>
      <c r="N111" s="129"/>
      <c r="O111" s="54">
        <f t="shared" si="19"/>
        <v>0</v>
      </c>
      <c r="P111" s="54">
        <f t="shared" si="20"/>
        <v>0</v>
      </c>
    </row>
    <row r="112" spans="1:16" ht="12.5">
      <c r="B112" s="7" t="str">
        <f t="shared" si="21"/>
        <v/>
      </c>
      <c r="C112" s="50">
        <f>IF(D93="","-",+C111+1)</f>
        <v>2032</v>
      </c>
      <c r="D112" s="12">
        <f>IF(F111+SUM(E$99:E111)=D$92,F111,D$92-SUM(E$99:E111))</f>
        <v>2142215.4364240416</v>
      </c>
      <c r="E112" s="378">
        <f>IF(+J96&lt;F111,J96,D112)</f>
        <v>68484.545454545456</v>
      </c>
      <c r="F112" s="55">
        <f t="shared" si="29"/>
        <v>2073730.8909694962</v>
      </c>
      <c r="G112" s="55">
        <f t="shared" si="30"/>
        <v>2107973.1636967687</v>
      </c>
      <c r="H112" s="380">
        <f t="shared" si="31"/>
        <v>330982.72814134293</v>
      </c>
      <c r="I112" s="399">
        <f t="shared" si="32"/>
        <v>330982.72814134293</v>
      </c>
      <c r="J112" s="54">
        <f t="shared" si="17"/>
        <v>0</v>
      </c>
      <c r="K112" s="54"/>
      <c r="L112" s="129"/>
      <c r="M112" s="54">
        <f t="shared" si="33"/>
        <v>0</v>
      </c>
      <c r="N112" s="129"/>
      <c r="O112" s="54">
        <f t="shared" si="19"/>
        <v>0</v>
      </c>
      <c r="P112" s="54">
        <f t="shared" si="20"/>
        <v>0</v>
      </c>
    </row>
    <row r="113" spans="2:16" ht="12.5">
      <c r="B113" s="7" t="str">
        <f t="shared" si="21"/>
        <v/>
      </c>
      <c r="C113" s="50">
        <f>IF(D93="","-",+C112+1)</f>
        <v>2033</v>
      </c>
      <c r="D113" s="12">
        <f>IF(F112+SUM(E$99:E112)=D$92,F112,D$92-SUM(E$99:E112))</f>
        <v>2073730.8909694962</v>
      </c>
      <c r="E113" s="378">
        <f>IF(+J96&lt;F112,J96,D113)</f>
        <v>68484.545454545456</v>
      </c>
      <c r="F113" s="55">
        <f t="shared" si="29"/>
        <v>2005246.3455149508</v>
      </c>
      <c r="G113" s="55">
        <f t="shared" si="30"/>
        <v>2039488.6182422235</v>
      </c>
      <c r="H113" s="380">
        <f t="shared" si="31"/>
        <v>322454.59835603629</v>
      </c>
      <c r="I113" s="399">
        <f t="shared" si="32"/>
        <v>322454.59835603629</v>
      </c>
      <c r="J113" s="54">
        <f t="shared" si="17"/>
        <v>0</v>
      </c>
      <c r="K113" s="54"/>
      <c r="L113" s="129"/>
      <c r="M113" s="54">
        <f t="shared" si="33"/>
        <v>0</v>
      </c>
      <c r="N113" s="129"/>
      <c r="O113" s="54">
        <f t="shared" si="19"/>
        <v>0</v>
      </c>
      <c r="P113" s="54">
        <f t="shared" si="20"/>
        <v>0</v>
      </c>
    </row>
    <row r="114" spans="2:16" ht="12.5">
      <c r="B114" s="7" t="str">
        <f t="shared" si="21"/>
        <v/>
      </c>
      <c r="C114" s="50">
        <f>IF(D93="","-",+C113+1)</f>
        <v>2034</v>
      </c>
      <c r="D114" s="12">
        <f>IF(F113+SUM(E$99:E113)=D$92,F113,D$92-SUM(E$99:E113))</f>
        <v>2005246.3455149508</v>
      </c>
      <c r="E114" s="378">
        <f>IF(+J96&lt;F113,J96,D114)</f>
        <v>68484.545454545456</v>
      </c>
      <c r="F114" s="55">
        <f t="shared" si="29"/>
        <v>1936761.8000604054</v>
      </c>
      <c r="G114" s="55">
        <f t="shared" si="30"/>
        <v>1971004.0727876781</v>
      </c>
      <c r="H114" s="380">
        <f t="shared" si="31"/>
        <v>313926.4685707296</v>
      </c>
      <c r="I114" s="399">
        <f t="shared" si="32"/>
        <v>313926.4685707296</v>
      </c>
      <c r="J114" s="54">
        <f t="shared" si="17"/>
        <v>0</v>
      </c>
      <c r="K114" s="54"/>
      <c r="L114" s="129"/>
      <c r="M114" s="54">
        <f t="shared" si="33"/>
        <v>0</v>
      </c>
      <c r="N114" s="129"/>
      <c r="O114" s="54">
        <f t="shared" si="19"/>
        <v>0</v>
      </c>
      <c r="P114" s="54">
        <f t="shared" si="20"/>
        <v>0</v>
      </c>
    </row>
    <row r="115" spans="2:16" ht="12.5">
      <c r="B115" s="7" t="str">
        <f t="shared" si="21"/>
        <v/>
      </c>
      <c r="C115" s="50">
        <f>IF(D93="","-",+C114+1)</f>
        <v>2035</v>
      </c>
      <c r="D115" s="12">
        <f>IF(F114+SUM(E$99:E114)=D$92,F114,D$92-SUM(E$99:E114))</f>
        <v>1936761.8000604054</v>
      </c>
      <c r="E115" s="378">
        <f>IF(+J96&lt;F114,J96,D115)</f>
        <v>68484.545454545456</v>
      </c>
      <c r="F115" s="55">
        <f t="shared" si="29"/>
        <v>1868277.25460586</v>
      </c>
      <c r="G115" s="55">
        <f t="shared" si="30"/>
        <v>1902519.5273331327</v>
      </c>
      <c r="H115" s="380">
        <f t="shared" si="31"/>
        <v>305398.33878542297</v>
      </c>
      <c r="I115" s="399">
        <f t="shared" si="32"/>
        <v>305398.33878542297</v>
      </c>
      <c r="J115" s="54">
        <f t="shared" si="17"/>
        <v>0</v>
      </c>
      <c r="K115" s="54"/>
      <c r="L115" s="129"/>
      <c r="M115" s="54">
        <f t="shared" si="33"/>
        <v>0</v>
      </c>
      <c r="N115" s="129"/>
      <c r="O115" s="54">
        <f t="shared" si="19"/>
        <v>0</v>
      </c>
      <c r="P115" s="54">
        <f t="shared" si="20"/>
        <v>0</v>
      </c>
    </row>
    <row r="116" spans="2:16" ht="12.5">
      <c r="B116" s="7" t="str">
        <f t="shared" si="21"/>
        <v/>
      </c>
      <c r="C116" s="50">
        <f>IF(D93="","-",+C115+1)</f>
        <v>2036</v>
      </c>
      <c r="D116" s="12">
        <f>IF(F115+SUM(E$99:E115)=D$92,F115,D$92-SUM(E$99:E115))</f>
        <v>1868277.25460586</v>
      </c>
      <c r="E116" s="378">
        <f>IF(+J96&lt;F115,J96,D116)</f>
        <v>68484.545454545456</v>
      </c>
      <c r="F116" s="55">
        <f t="shared" si="29"/>
        <v>1799792.7091513146</v>
      </c>
      <c r="G116" s="55">
        <f t="shared" si="30"/>
        <v>1834034.9818785873</v>
      </c>
      <c r="H116" s="380">
        <f t="shared" si="31"/>
        <v>296870.20900011627</v>
      </c>
      <c r="I116" s="399">
        <f t="shared" si="32"/>
        <v>296870.20900011627</v>
      </c>
      <c r="J116" s="54">
        <f t="shared" si="17"/>
        <v>0</v>
      </c>
      <c r="K116" s="54"/>
      <c r="L116" s="129"/>
      <c r="M116" s="54">
        <f t="shared" si="33"/>
        <v>0</v>
      </c>
      <c r="N116" s="129"/>
      <c r="O116" s="54">
        <f t="shared" si="19"/>
        <v>0</v>
      </c>
      <c r="P116" s="54">
        <f t="shared" si="20"/>
        <v>0</v>
      </c>
    </row>
    <row r="117" spans="2:16" ht="12.5">
      <c r="B117" s="7" t="str">
        <f t="shared" si="21"/>
        <v/>
      </c>
      <c r="C117" s="50">
        <f>IF(D93="","-",+C116+1)</f>
        <v>2037</v>
      </c>
      <c r="D117" s="12">
        <f>IF(F116+SUM(E$99:E116)=D$92,F116,D$92-SUM(E$99:E116))</f>
        <v>1799792.7091513146</v>
      </c>
      <c r="E117" s="378">
        <f>IF(+J96&lt;F116,J96,D117)</f>
        <v>68484.545454545456</v>
      </c>
      <c r="F117" s="55">
        <f t="shared" si="29"/>
        <v>1731308.1636967692</v>
      </c>
      <c r="G117" s="55">
        <f t="shared" si="30"/>
        <v>1765550.4364240419</v>
      </c>
      <c r="H117" s="380">
        <f t="shared" si="31"/>
        <v>288342.07921480958</v>
      </c>
      <c r="I117" s="399">
        <f t="shared" si="32"/>
        <v>288342.07921480958</v>
      </c>
      <c r="J117" s="54">
        <f t="shared" si="17"/>
        <v>0</v>
      </c>
      <c r="K117" s="54"/>
      <c r="L117" s="129"/>
      <c r="M117" s="54">
        <f t="shared" si="33"/>
        <v>0</v>
      </c>
      <c r="N117" s="129"/>
      <c r="O117" s="54">
        <f t="shared" si="19"/>
        <v>0</v>
      </c>
      <c r="P117" s="54">
        <f t="shared" si="20"/>
        <v>0</v>
      </c>
    </row>
    <row r="118" spans="2:16" ht="12.5">
      <c r="B118" s="7" t="str">
        <f t="shared" si="21"/>
        <v/>
      </c>
      <c r="C118" s="50">
        <f>IF(D93="","-",+C117+1)</f>
        <v>2038</v>
      </c>
      <c r="D118" s="12">
        <f>IF(F117+SUM(E$99:E117)=D$92,F117,D$92-SUM(E$99:E117))</f>
        <v>1731308.1636967692</v>
      </c>
      <c r="E118" s="378">
        <f>IF(+J96&lt;F117,J96,D118)</f>
        <v>68484.545454545456</v>
      </c>
      <c r="F118" s="55">
        <f t="shared" si="29"/>
        <v>1662823.6182422237</v>
      </c>
      <c r="G118" s="55">
        <f t="shared" si="30"/>
        <v>1697065.8909694965</v>
      </c>
      <c r="H118" s="380">
        <f t="shared" si="31"/>
        <v>279813.94942950294</v>
      </c>
      <c r="I118" s="399">
        <f t="shared" si="32"/>
        <v>279813.94942950294</v>
      </c>
      <c r="J118" s="54">
        <f t="shared" si="17"/>
        <v>0</v>
      </c>
      <c r="K118" s="54"/>
      <c r="L118" s="129"/>
      <c r="M118" s="54">
        <f t="shared" si="33"/>
        <v>0</v>
      </c>
      <c r="N118" s="129"/>
      <c r="O118" s="54">
        <f t="shared" si="19"/>
        <v>0</v>
      </c>
      <c r="P118" s="54">
        <f t="shared" si="20"/>
        <v>0</v>
      </c>
    </row>
    <row r="119" spans="2:16" ht="12.5">
      <c r="B119" s="7" t="str">
        <f t="shared" si="21"/>
        <v/>
      </c>
      <c r="C119" s="50">
        <f>IF(D93="","-",+C118+1)</f>
        <v>2039</v>
      </c>
      <c r="D119" s="12">
        <f>IF(F118+SUM(E$99:E118)=D$92,F118,D$92-SUM(E$99:E118))</f>
        <v>1662823.6182422237</v>
      </c>
      <c r="E119" s="378">
        <f>IF(+J96&lt;F118,J96,D119)</f>
        <v>68484.545454545456</v>
      </c>
      <c r="F119" s="55">
        <f t="shared" si="29"/>
        <v>1594339.0727876783</v>
      </c>
      <c r="G119" s="55">
        <f t="shared" si="30"/>
        <v>1628581.345514951</v>
      </c>
      <c r="H119" s="380">
        <f t="shared" si="31"/>
        <v>271285.81964419625</v>
      </c>
      <c r="I119" s="399">
        <f t="shared" si="32"/>
        <v>271285.81964419625</v>
      </c>
      <c r="J119" s="54">
        <f t="shared" si="17"/>
        <v>0</v>
      </c>
      <c r="K119" s="54"/>
      <c r="L119" s="129"/>
      <c r="M119" s="54">
        <f t="shared" si="33"/>
        <v>0</v>
      </c>
      <c r="N119" s="129"/>
      <c r="O119" s="54">
        <f t="shared" si="19"/>
        <v>0</v>
      </c>
      <c r="P119" s="54">
        <f t="shared" si="20"/>
        <v>0</v>
      </c>
    </row>
    <row r="120" spans="2:16" ht="12.5">
      <c r="B120" s="7" t="str">
        <f t="shared" si="21"/>
        <v/>
      </c>
      <c r="C120" s="50">
        <f>IF(D93="","-",+C119+1)</f>
        <v>2040</v>
      </c>
      <c r="D120" s="12">
        <f>IF(F119+SUM(E$99:E119)=D$92,F119,D$92-SUM(E$99:E119))</f>
        <v>1594339.0727876783</v>
      </c>
      <c r="E120" s="378">
        <f>IF(+J96&lt;F119,J96,D120)</f>
        <v>68484.545454545456</v>
      </c>
      <c r="F120" s="55">
        <f t="shared" si="29"/>
        <v>1525854.5273331329</v>
      </c>
      <c r="G120" s="55">
        <f t="shared" si="30"/>
        <v>1560096.8000604056</v>
      </c>
      <c r="H120" s="380">
        <f t="shared" si="31"/>
        <v>262757.68985888961</v>
      </c>
      <c r="I120" s="399">
        <f t="shared" si="32"/>
        <v>262757.68985888961</v>
      </c>
      <c r="J120" s="54">
        <f t="shared" si="17"/>
        <v>0</v>
      </c>
      <c r="K120" s="54"/>
      <c r="L120" s="129"/>
      <c r="M120" s="54">
        <f t="shared" si="33"/>
        <v>0</v>
      </c>
      <c r="N120" s="129"/>
      <c r="O120" s="54">
        <f t="shared" si="19"/>
        <v>0</v>
      </c>
      <c r="P120" s="54">
        <f t="shared" si="20"/>
        <v>0</v>
      </c>
    </row>
    <row r="121" spans="2:16" ht="12.5">
      <c r="B121" s="7" t="str">
        <f t="shared" si="21"/>
        <v/>
      </c>
      <c r="C121" s="50">
        <f>IF(D93="","-",+C120+1)</f>
        <v>2041</v>
      </c>
      <c r="D121" s="12">
        <f>IF(F120+SUM(E$99:E120)=D$92,F120,D$92-SUM(E$99:E120))</f>
        <v>1525854.5273331329</v>
      </c>
      <c r="E121" s="378">
        <f>IF(+J96&lt;F120,J96,D121)</f>
        <v>68484.545454545456</v>
      </c>
      <c r="F121" s="55">
        <f t="shared" si="29"/>
        <v>1457369.9818785875</v>
      </c>
      <c r="G121" s="55">
        <f t="shared" si="30"/>
        <v>1491612.2546058602</v>
      </c>
      <c r="H121" s="380">
        <f t="shared" si="31"/>
        <v>254229.56007358292</v>
      </c>
      <c r="I121" s="399">
        <f t="shared" si="32"/>
        <v>254229.56007358292</v>
      </c>
      <c r="J121" s="54">
        <f t="shared" si="17"/>
        <v>0</v>
      </c>
      <c r="K121" s="54"/>
      <c r="L121" s="129"/>
      <c r="M121" s="54">
        <f t="shared" si="33"/>
        <v>0</v>
      </c>
      <c r="N121" s="129"/>
      <c r="O121" s="54">
        <f t="shared" si="19"/>
        <v>0</v>
      </c>
      <c r="P121" s="54">
        <f t="shared" si="20"/>
        <v>0</v>
      </c>
    </row>
    <row r="122" spans="2:16" ht="12.5">
      <c r="B122" s="7" t="str">
        <f t="shared" si="21"/>
        <v/>
      </c>
      <c r="C122" s="50">
        <f>IF(D93="","-",+C121+1)</f>
        <v>2042</v>
      </c>
      <c r="D122" s="12">
        <f>IF(F121+SUM(E$99:E121)=D$92,F121,D$92-SUM(E$99:E121))</f>
        <v>1457369.9818785875</v>
      </c>
      <c r="E122" s="378">
        <f>IF(+J96&lt;F121,J96,D122)</f>
        <v>68484.545454545456</v>
      </c>
      <c r="F122" s="55">
        <f t="shared" si="29"/>
        <v>1388885.4364240421</v>
      </c>
      <c r="G122" s="55">
        <f t="shared" si="30"/>
        <v>1423127.7091513148</v>
      </c>
      <c r="H122" s="380">
        <f t="shared" si="31"/>
        <v>245701.43028827623</v>
      </c>
      <c r="I122" s="399">
        <f t="shared" si="32"/>
        <v>245701.43028827623</v>
      </c>
      <c r="J122" s="54">
        <f t="shared" si="17"/>
        <v>0</v>
      </c>
      <c r="K122" s="54"/>
      <c r="L122" s="129"/>
      <c r="M122" s="54">
        <f t="shared" si="33"/>
        <v>0</v>
      </c>
      <c r="N122" s="129"/>
      <c r="O122" s="54">
        <f t="shared" si="19"/>
        <v>0</v>
      </c>
      <c r="P122" s="54">
        <f t="shared" si="20"/>
        <v>0</v>
      </c>
    </row>
    <row r="123" spans="2:16" ht="12.5">
      <c r="B123" s="7" t="str">
        <f t="shared" si="21"/>
        <v/>
      </c>
      <c r="C123" s="50">
        <f>IF(D93="","-",+C122+1)</f>
        <v>2043</v>
      </c>
      <c r="D123" s="12">
        <f>IF(F122+SUM(E$99:E122)=D$92,F122,D$92-SUM(E$99:E122))</f>
        <v>1388885.4364240421</v>
      </c>
      <c r="E123" s="378">
        <f>IF(+J96&lt;F122,J96,D123)</f>
        <v>68484.545454545456</v>
      </c>
      <c r="F123" s="55">
        <f t="shared" si="29"/>
        <v>1320400.8909694967</v>
      </c>
      <c r="G123" s="55">
        <f t="shared" si="30"/>
        <v>1354643.1636967694</v>
      </c>
      <c r="H123" s="380">
        <f t="shared" si="31"/>
        <v>237173.30050296959</v>
      </c>
      <c r="I123" s="399">
        <f t="shared" si="32"/>
        <v>237173.30050296959</v>
      </c>
      <c r="J123" s="54">
        <f t="shared" si="17"/>
        <v>0</v>
      </c>
      <c r="K123" s="54"/>
      <c r="L123" s="129"/>
      <c r="M123" s="54">
        <f t="shared" si="33"/>
        <v>0</v>
      </c>
      <c r="N123" s="129"/>
      <c r="O123" s="54">
        <f t="shared" si="19"/>
        <v>0</v>
      </c>
      <c r="P123" s="54">
        <f t="shared" si="20"/>
        <v>0</v>
      </c>
    </row>
    <row r="124" spans="2:16" ht="12.5">
      <c r="B124" s="7" t="str">
        <f t="shared" si="21"/>
        <v/>
      </c>
      <c r="C124" s="50">
        <f>IF(D93="","-",+C123+1)</f>
        <v>2044</v>
      </c>
      <c r="D124" s="12">
        <f>IF(F123+SUM(E$99:E123)=D$92,F123,D$92-SUM(E$99:E123))</f>
        <v>1320400.8909694967</v>
      </c>
      <c r="E124" s="378">
        <f>IF(+J96&lt;F123,J96,D124)</f>
        <v>68484.545454545456</v>
      </c>
      <c r="F124" s="55">
        <f t="shared" si="29"/>
        <v>1251916.3455149513</v>
      </c>
      <c r="G124" s="55">
        <f t="shared" si="30"/>
        <v>1286158.618242224</v>
      </c>
      <c r="H124" s="380">
        <f t="shared" si="31"/>
        <v>228645.1707176629</v>
      </c>
      <c r="I124" s="399">
        <f t="shared" si="32"/>
        <v>228645.1707176629</v>
      </c>
      <c r="J124" s="54">
        <f t="shared" si="17"/>
        <v>0</v>
      </c>
      <c r="K124" s="54"/>
      <c r="L124" s="129"/>
      <c r="M124" s="54">
        <f t="shared" si="33"/>
        <v>0</v>
      </c>
      <c r="N124" s="129"/>
      <c r="O124" s="54">
        <f t="shared" si="19"/>
        <v>0</v>
      </c>
      <c r="P124" s="54">
        <f t="shared" si="20"/>
        <v>0</v>
      </c>
    </row>
    <row r="125" spans="2:16" ht="12.5">
      <c r="B125" s="7" t="str">
        <f t="shared" si="21"/>
        <v/>
      </c>
      <c r="C125" s="50">
        <f>IF(D93="","-",+C124+1)</f>
        <v>2045</v>
      </c>
      <c r="D125" s="12">
        <f>IF(F124+SUM(E$99:E124)=D$92,F124,D$92-SUM(E$99:E124))</f>
        <v>1251916.3455149513</v>
      </c>
      <c r="E125" s="378">
        <f>IF(+J96&lt;F124,J96,D125)</f>
        <v>68484.545454545456</v>
      </c>
      <c r="F125" s="55">
        <f t="shared" si="29"/>
        <v>1183431.8000604059</v>
      </c>
      <c r="G125" s="55">
        <f t="shared" si="30"/>
        <v>1217674.0727876786</v>
      </c>
      <c r="H125" s="380">
        <f t="shared" si="31"/>
        <v>220117.04093235626</v>
      </c>
      <c r="I125" s="399">
        <f t="shared" si="32"/>
        <v>220117.04093235626</v>
      </c>
      <c r="J125" s="54">
        <f t="shared" si="17"/>
        <v>0</v>
      </c>
      <c r="K125" s="54"/>
      <c r="L125" s="129"/>
      <c r="M125" s="54">
        <f t="shared" si="33"/>
        <v>0</v>
      </c>
      <c r="N125" s="129"/>
      <c r="O125" s="54">
        <f t="shared" si="19"/>
        <v>0</v>
      </c>
      <c r="P125" s="54">
        <f t="shared" si="20"/>
        <v>0</v>
      </c>
    </row>
    <row r="126" spans="2:16" ht="12.5">
      <c r="B126" s="7" t="str">
        <f t="shared" si="21"/>
        <v/>
      </c>
      <c r="C126" s="50">
        <f>IF(D93="","-",+C125+1)</f>
        <v>2046</v>
      </c>
      <c r="D126" s="12">
        <f>IF(F125+SUM(E$99:E125)=D$92,F125,D$92-SUM(E$99:E125))</f>
        <v>1183431.8000604059</v>
      </c>
      <c r="E126" s="378">
        <f>IF(+J96&lt;F125,J96,D126)</f>
        <v>68484.545454545456</v>
      </c>
      <c r="F126" s="55">
        <f t="shared" si="29"/>
        <v>1114947.2546058604</v>
      </c>
      <c r="G126" s="55">
        <f t="shared" si="30"/>
        <v>1149189.5273331332</v>
      </c>
      <c r="H126" s="380">
        <f t="shared" si="31"/>
        <v>211588.91114704957</v>
      </c>
      <c r="I126" s="399">
        <f t="shared" si="32"/>
        <v>211588.91114704957</v>
      </c>
      <c r="J126" s="54">
        <f t="shared" si="17"/>
        <v>0</v>
      </c>
      <c r="K126" s="54"/>
      <c r="L126" s="129"/>
      <c r="M126" s="54">
        <f t="shared" si="33"/>
        <v>0</v>
      </c>
      <c r="N126" s="129"/>
      <c r="O126" s="54">
        <f t="shared" si="19"/>
        <v>0</v>
      </c>
      <c r="P126" s="54">
        <f t="shared" si="20"/>
        <v>0</v>
      </c>
    </row>
    <row r="127" spans="2:16" ht="12.5">
      <c r="B127" s="7" t="str">
        <f t="shared" si="21"/>
        <v/>
      </c>
      <c r="C127" s="50">
        <f>IF(D93="","-",+C126+1)</f>
        <v>2047</v>
      </c>
      <c r="D127" s="12">
        <f>IF(F126+SUM(E$99:E126)=D$92,F126,D$92-SUM(E$99:E126))</f>
        <v>1114947.2546058604</v>
      </c>
      <c r="E127" s="378">
        <f>IF(+J96&lt;F126,J96,D127)</f>
        <v>68484.545454545456</v>
      </c>
      <c r="F127" s="55">
        <f t="shared" si="29"/>
        <v>1046462.709151315</v>
      </c>
      <c r="G127" s="55">
        <f t="shared" si="30"/>
        <v>1080704.9818785877</v>
      </c>
      <c r="H127" s="380">
        <f t="shared" si="31"/>
        <v>203060.78136174288</v>
      </c>
      <c r="I127" s="399">
        <f t="shared" si="32"/>
        <v>203060.78136174288</v>
      </c>
      <c r="J127" s="54">
        <f t="shared" si="17"/>
        <v>0</v>
      </c>
      <c r="K127" s="54"/>
      <c r="L127" s="129"/>
      <c r="M127" s="54">
        <f t="shared" si="33"/>
        <v>0</v>
      </c>
      <c r="N127" s="129"/>
      <c r="O127" s="54">
        <f t="shared" si="19"/>
        <v>0</v>
      </c>
      <c r="P127" s="54">
        <f t="shared" si="20"/>
        <v>0</v>
      </c>
    </row>
    <row r="128" spans="2:16" ht="12.5">
      <c r="B128" s="7" t="str">
        <f t="shared" si="21"/>
        <v/>
      </c>
      <c r="C128" s="50">
        <f>IF(D93="","-",+C127+1)</f>
        <v>2048</v>
      </c>
      <c r="D128" s="12">
        <f>IF(F127+SUM(E$99:E127)=D$92,F127,D$92-SUM(E$99:E127))</f>
        <v>1046462.709151315</v>
      </c>
      <c r="E128" s="378">
        <f>IF(+J96&lt;F127,J96,D128)</f>
        <v>68484.545454545456</v>
      </c>
      <c r="F128" s="55">
        <f t="shared" si="29"/>
        <v>977978.16369676962</v>
      </c>
      <c r="G128" s="55">
        <f t="shared" si="30"/>
        <v>1012220.4364240423</v>
      </c>
      <c r="H128" s="380">
        <f t="shared" si="31"/>
        <v>194532.65157643624</v>
      </c>
      <c r="I128" s="399">
        <f t="shared" si="32"/>
        <v>194532.65157643624</v>
      </c>
      <c r="J128" s="54">
        <f t="shared" si="17"/>
        <v>0</v>
      </c>
      <c r="K128" s="54"/>
      <c r="L128" s="129"/>
      <c r="M128" s="54">
        <f t="shared" si="33"/>
        <v>0</v>
      </c>
      <c r="N128" s="129"/>
      <c r="O128" s="54">
        <f t="shared" si="19"/>
        <v>0</v>
      </c>
      <c r="P128" s="54">
        <f t="shared" si="20"/>
        <v>0</v>
      </c>
    </row>
    <row r="129" spans="2:16" ht="12.5">
      <c r="B129" s="7" t="str">
        <f t="shared" si="21"/>
        <v/>
      </c>
      <c r="C129" s="50">
        <f>IF(D93="","-",+C128+1)</f>
        <v>2049</v>
      </c>
      <c r="D129" s="12">
        <f>IF(F128+SUM(E$99:E128)=D$92,F128,D$92-SUM(E$99:E128))</f>
        <v>977978.16369676962</v>
      </c>
      <c r="E129" s="378">
        <f>IF(+J96&lt;F128,J96,D129)</f>
        <v>68484.545454545456</v>
      </c>
      <c r="F129" s="55">
        <f t="shared" si="29"/>
        <v>909493.61824222421</v>
      </c>
      <c r="G129" s="55">
        <f t="shared" si="30"/>
        <v>943735.89096949692</v>
      </c>
      <c r="H129" s="380">
        <f t="shared" si="31"/>
        <v>186004.52179112955</v>
      </c>
      <c r="I129" s="399">
        <f t="shared" si="32"/>
        <v>186004.52179112955</v>
      </c>
      <c r="J129" s="54">
        <f t="shared" si="17"/>
        <v>0</v>
      </c>
      <c r="K129" s="54"/>
      <c r="L129" s="129"/>
      <c r="M129" s="54">
        <f t="shared" si="33"/>
        <v>0</v>
      </c>
      <c r="N129" s="129"/>
      <c r="O129" s="54">
        <f t="shared" si="19"/>
        <v>0</v>
      </c>
      <c r="P129" s="54">
        <f t="shared" si="20"/>
        <v>0</v>
      </c>
    </row>
    <row r="130" spans="2:16" ht="12.5">
      <c r="B130" s="7" t="str">
        <f t="shared" si="21"/>
        <v/>
      </c>
      <c r="C130" s="50">
        <f>IF(D93="","-",+C129+1)</f>
        <v>2050</v>
      </c>
      <c r="D130" s="12">
        <f>IF(F129+SUM(E$99:E129)=D$92,F129,D$92-SUM(E$99:E129))</f>
        <v>909493.61824222421</v>
      </c>
      <c r="E130" s="378">
        <f>IF(+J96&lt;F129,J96,D130)</f>
        <v>68484.545454545456</v>
      </c>
      <c r="F130" s="55">
        <f t="shared" si="29"/>
        <v>841009.0727876788</v>
      </c>
      <c r="G130" s="55">
        <f t="shared" si="30"/>
        <v>875251.34551495151</v>
      </c>
      <c r="H130" s="380">
        <f t="shared" si="31"/>
        <v>177476.39200582288</v>
      </c>
      <c r="I130" s="399">
        <f t="shared" si="32"/>
        <v>177476.39200582288</v>
      </c>
      <c r="J130" s="54">
        <f t="shared" si="17"/>
        <v>0</v>
      </c>
      <c r="K130" s="54"/>
      <c r="L130" s="129"/>
      <c r="M130" s="54">
        <f t="shared" si="33"/>
        <v>0</v>
      </c>
      <c r="N130" s="129"/>
      <c r="O130" s="54">
        <f t="shared" si="19"/>
        <v>0</v>
      </c>
      <c r="P130" s="54">
        <f t="shared" si="20"/>
        <v>0</v>
      </c>
    </row>
    <row r="131" spans="2:16" ht="12.5">
      <c r="B131" s="7" t="str">
        <f t="shared" si="21"/>
        <v/>
      </c>
      <c r="C131" s="50">
        <f>IF(D93="","-",+C130+1)</f>
        <v>2051</v>
      </c>
      <c r="D131" s="12">
        <f>IF(F130+SUM(E$99:E130)=D$92,F130,D$92-SUM(E$99:E130))</f>
        <v>841009.0727876788</v>
      </c>
      <c r="E131" s="378">
        <f>IF(+J96&lt;F130,J96,D131)</f>
        <v>68484.545454545456</v>
      </c>
      <c r="F131" s="55">
        <f t="shared" si="29"/>
        <v>772524.52733313339</v>
      </c>
      <c r="G131" s="55">
        <f t="shared" si="30"/>
        <v>806766.80006040609</v>
      </c>
      <c r="H131" s="380">
        <f t="shared" si="31"/>
        <v>168948.26222051622</v>
      </c>
      <c r="I131" s="399">
        <f t="shared" si="32"/>
        <v>168948.26222051622</v>
      </c>
      <c r="J131" s="54">
        <f t="shared" ref="J131:J154" si="34">+I541-H541</f>
        <v>0</v>
      </c>
      <c r="K131" s="54"/>
      <c r="L131" s="129"/>
      <c r="M131" s="54">
        <f t="shared" ref="M131:M154" si="35">IF(L541&lt;&gt;0,+H541-L541,0)</f>
        <v>0</v>
      </c>
      <c r="N131" s="129"/>
      <c r="O131" s="54">
        <f t="shared" ref="O131:O154" si="36">IF(N541&lt;&gt;0,+I541-N541,0)</f>
        <v>0</v>
      </c>
      <c r="P131" s="54">
        <f t="shared" ref="P131:P154" si="37">+O541-M541</f>
        <v>0</v>
      </c>
    </row>
    <row r="132" spans="2:16" ht="12.5">
      <c r="B132" s="7" t="str">
        <f t="shared" si="21"/>
        <v/>
      </c>
      <c r="C132" s="50">
        <f>IF(D93="","-",+C131+1)</f>
        <v>2052</v>
      </c>
      <c r="D132" s="12">
        <f>IF(F131+SUM(E$99:E131)=D$92,F131,D$92-SUM(E$99:E131))</f>
        <v>772524.52733313339</v>
      </c>
      <c r="E132" s="378">
        <f>IF(+J96&lt;F131,J96,D132)</f>
        <v>68484.545454545456</v>
      </c>
      <c r="F132" s="55">
        <f t="shared" si="29"/>
        <v>704039.98187858798</v>
      </c>
      <c r="G132" s="55">
        <f t="shared" si="30"/>
        <v>738282.25460586068</v>
      </c>
      <c r="H132" s="380">
        <f t="shared" si="31"/>
        <v>160420.13243520953</v>
      </c>
      <c r="I132" s="399">
        <f t="shared" si="32"/>
        <v>160420.13243520953</v>
      </c>
      <c r="J132" s="54">
        <f t="shared" si="34"/>
        <v>0</v>
      </c>
      <c r="K132" s="54"/>
      <c r="L132" s="129"/>
      <c r="M132" s="54">
        <f t="shared" si="35"/>
        <v>0</v>
      </c>
      <c r="N132" s="129"/>
      <c r="O132" s="54">
        <f t="shared" si="36"/>
        <v>0</v>
      </c>
      <c r="P132" s="54">
        <f t="shared" si="37"/>
        <v>0</v>
      </c>
    </row>
    <row r="133" spans="2:16" ht="12.5">
      <c r="B133" s="7" t="str">
        <f t="shared" si="21"/>
        <v/>
      </c>
      <c r="C133" s="50">
        <f>IF(D93="","-",+C132+1)</f>
        <v>2053</v>
      </c>
      <c r="D133" s="12">
        <f>IF(F132+SUM(E$99:E132)=D$92,F132,D$92-SUM(E$99:E132))</f>
        <v>704039.98187858798</v>
      </c>
      <c r="E133" s="378">
        <f>IF(+J96&lt;F132,J96,D133)</f>
        <v>68484.545454545456</v>
      </c>
      <c r="F133" s="55">
        <f t="shared" si="29"/>
        <v>635555.43642404256</v>
      </c>
      <c r="G133" s="55">
        <f t="shared" si="30"/>
        <v>669797.70915131527</v>
      </c>
      <c r="H133" s="380">
        <f t="shared" si="31"/>
        <v>151892.00264990289</v>
      </c>
      <c r="I133" s="399">
        <f t="shared" si="32"/>
        <v>151892.00264990289</v>
      </c>
      <c r="J133" s="54">
        <f t="shared" si="34"/>
        <v>0</v>
      </c>
      <c r="K133" s="54"/>
      <c r="L133" s="129"/>
      <c r="M133" s="54">
        <f t="shared" si="35"/>
        <v>0</v>
      </c>
      <c r="N133" s="129"/>
      <c r="O133" s="54">
        <f t="shared" si="36"/>
        <v>0</v>
      </c>
      <c r="P133" s="54">
        <f t="shared" si="37"/>
        <v>0</v>
      </c>
    </row>
    <row r="134" spans="2:16" ht="12.5">
      <c r="B134" s="7" t="str">
        <f t="shared" si="21"/>
        <v/>
      </c>
      <c r="C134" s="50">
        <f>IF(D93="","-",+C133+1)</f>
        <v>2054</v>
      </c>
      <c r="D134" s="12">
        <f>IF(F133+SUM(E$99:E133)=D$92,F133,D$92-SUM(E$99:E133))</f>
        <v>635555.43642404256</v>
      </c>
      <c r="E134" s="378">
        <f>IF(+J96&lt;F133,J96,D134)</f>
        <v>68484.545454545456</v>
      </c>
      <c r="F134" s="55">
        <f t="shared" si="29"/>
        <v>567070.89096949715</v>
      </c>
      <c r="G134" s="55">
        <f t="shared" si="30"/>
        <v>601313.16369676986</v>
      </c>
      <c r="H134" s="380">
        <f t="shared" si="31"/>
        <v>143363.8728645962</v>
      </c>
      <c r="I134" s="399">
        <f t="shared" si="32"/>
        <v>143363.8728645962</v>
      </c>
      <c r="J134" s="54">
        <f t="shared" si="34"/>
        <v>0</v>
      </c>
      <c r="K134" s="54"/>
      <c r="L134" s="129"/>
      <c r="M134" s="54">
        <f t="shared" si="35"/>
        <v>0</v>
      </c>
      <c r="N134" s="129"/>
      <c r="O134" s="54">
        <f t="shared" si="36"/>
        <v>0</v>
      </c>
      <c r="P134" s="54">
        <f t="shared" si="37"/>
        <v>0</v>
      </c>
    </row>
    <row r="135" spans="2:16" ht="12.5">
      <c r="B135" s="7" t="str">
        <f t="shared" si="21"/>
        <v/>
      </c>
      <c r="C135" s="50">
        <f>IF(D93="","-",+C134+1)</f>
        <v>2055</v>
      </c>
      <c r="D135" s="12">
        <f>IF(F134+SUM(E$99:E134)=D$92,F134,D$92-SUM(E$99:E134))</f>
        <v>567070.89096949715</v>
      </c>
      <c r="E135" s="378">
        <f>IF(+J96&lt;F134,J96,D135)</f>
        <v>68484.545454545456</v>
      </c>
      <c r="F135" s="55">
        <f t="shared" si="29"/>
        <v>498586.34551495168</v>
      </c>
      <c r="G135" s="55">
        <f t="shared" si="30"/>
        <v>532828.61824222445</v>
      </c>
      <c r="H135" s="380">
        <f t="shared" si="31"/>
        <v>134835.74307928953</v>
      </c>
      <c r="I135" s="399">
        <f t="shared" si="32"/>
        <v>134835.74307928953</v>
      </c>
      <c r="J135" s="54">
        <f t="shared" si="34"/>
        <v>0</v>
      </c>
      <c r="K135" s="54"/>
      <c r="L135" s="129"/>
      <c r="M135" s="54">
        <f t="shared" si="35"/>
        <v>0</v>
      </c>
      <c r="N135" s="129"/>
      <c r="O135" s="54">
        <f t="shared" si="36"/>
        <v>0</v>
      </c>
      <c r="P135" s="54">
        <f t="shared" si="37"/>
        <v>0</v>
      </c>
    </row>
    <row r="136" spans="2:16" ht="12.5">
      <c r="B136" s="7" t="str">
        <f t="shared" si="21"/>
        <v/>
      </c>
      <c r="C136" s="50">
        <f>IF(D93="","-",+C135+1)</f>
        <v>2056</v>
      </c>
      <c r="D136" s="12">
        <f>IF(F135+SUM(E$99:E135)=D$92,F135,D$92-SUM(E$99:E135))</f>
        <v>498586.34551495168</v>
      </c>
      <c r="E136" s="378">
        <f>IF(+J96&lt;F135,J96,D136)</f>
        <v>68484.545454545456</v>
      </c>
      <c r="F136" s="55">
        <f t="shared" si="29"/>
        <v>430101.80006040621</v>
      </c>
      <c r="G136" s="55">
        <f t="shared" si="30"/>
        <v>464344.07278767892</v>
      </c>
      <c r="H136" s="380">
        <f t="shared" si="31"/>
        <v>126307.61329398284</v>
      </c>
      <c r="I136" s="399">
        <f t="shared" si="32"/>
        <v>126307.61329398284</v>
      </c>
      <c r="J136" s="54">
        <f t="shared" si="34"/>
        <v>0</v>
      </c>
      <c r="K136" s="54"/>
      <c r="L136" s="129"/>
      <c r="M136" s="54">
        <f t="shared" si="35"/>
        <v>0</v>
      </c>
      <c r="N136" s="129"/>
      <c r="O136" s="54">
        <f t="shared" si="36"/>
        <v>0</v>
      </c>
      <c r="P136" s="54">
        <f t="shared" si="37"/>
        <v>0</v>
      </c>
    </row>
    <row r="137" spans="2:16" ht="12.5">
      <c r="B137" s="7" t="str">
        <f t="shared" si="21"/>
        <v/>
      </c>
      <c r="C137" s="50">
        <f>IF(D93="","-",+C136+1)</f>
        <v>2057</v>
      </c>
      <c r="D137" s="12">
        <f>IF(F136+SUM(E$99:E136)=D$92,F136,D$92-SUM(E$99:E136))</f>
        <v>430101.80006040621</v>
      </c>
      <c r="E137" s="378">
        <f>IF(+J96&lt;F136,J96,D137)</f>
        <v>68484.545454545456</v>
      </c>
      <c r="F137" s="55">
        <f t="shared" si="29"/>
        <v>361617.25460586074</v>
      </c>
      <c r="G137" s="55">
        <f t="shared" si="30"/>
        <v>395859.5273331335</v>
      </c>
      <c r="H137" s="380">
        <f t="shared" si="31"/>
        <v>117779.48350867617</v>
      </c>
      <c r="I137" s="399">
        <f t="shared" si="32"/>
        <v>117779.48350867617</v>
      </c>
      <c r="J137" s="54">
        <f t="shared" si="34"/>
        <v>0</v>
      </c>
      <c r="K137" s="54"/>
      <c r="L137" s="129"/>
      <c r="M137" s="54">
        <f t="shared" si="35"/>
        <v>0</v>
      </c>
      <c r="N137" s="129"/>
      <c r="O137" s="54">
        <f t="shared" si="36"/>
        <v>0</v>
      </c>
      <c r="P137" s="54">
        <f t="shared" si="37"/>
        <v>0</v>
      </c>
    </row>
    <row r="138" spans="2:16" ht="12.5">
      <c r="B138" s="7" t="str">
        <f t="shared" si="21"/>
        <v/>
      </c>
      <c r="C138" s="50">
        <f>IF(D93="","-",+C137+1)</f>
        <v>2058</v>
      </c>
      <c r="D138" s="12">
        <f>IF(F137+SUM(E$99:E137)=D$92,F137,D$92-SUM(E$99:E137))</f>
        <v>361617.25460586074</v>
      </c>
      <c r="E138" s="378">
        <f>IF(+J96&lt;F137,J96,D138)</f>
        <v>68484.545454545456</v>
      </c>
      <c r="F138" s="55">
        <f t="shared" si="29"/>
        <v>293132.70915131527</v>
      </c>
      <c r="G138" s="55">
        <f t="shared" si="30"/>
        <v>327374.98187858798</v>
      </c>
      <c r="H138" s="380">
        <f t="shared" si="31"/>
        <v>109251.3537233695</v>
      </c>
      <c r="I138" s="399">
        <f t="shared" si="32"/>
        <v>109251.3537233695</v>
      </c>
      <c r="J138" s="54">
        <f t="shared" si="34"/>
        <v>0</v>
      </c>
      <c r="K138" s="54"/>
      <c r="L138" s="129"/>
      <c r="M138" s="54">
        <f t="shared" si="35"/>
        <v>0</v>
      </c>
      <c r="N138" s="129"/>
      <c r="O138" s="54">
        <f t="shared" si="36"/>
        <v>0</v>
      </c>
      <c r="P138" s="54">
        <f t="shared" si="37"/>
        <v>0</v>
      </c>
    </row>
    <row r="139" spans="2:16" ht="12.5">
      <c r="B139" s="7" t="str">
        <f t="shared" si="21"/>
        <v/>
      </c>
      <c r="C139" s="50">
        <f>IF(D93="","-",+C138+1)</f>
        <v>2059</v>
      </c>
      <c r="D139" s="12">
        <f>IF(F138+SUM(E$99:E138)=D$92,F138,D$92-SUM(E$99:E138))</f>
        <v>293132.70915131527</v>
      </c>
      <c r="E139" s="378">
        <f>IF(+J96&lt;F138,J96,D139)</f>
        <v>68484.545454545456</v>
      </c>
      <c r="F139" s="55">
        <f t="shared" si="29"/>
        <v>224648.1636967698</v>
      </c>
      <c r="G139" s="55">
        <f t="shared" si="30"/>
        <v>258890.43642404253</v>
      </c>
      <c r="H139" s="380">
        <f t="shared" si="31"/>
        <v>100723.22393806282</v>
      </c>
      <c r="I139" s="399">
        <f t="shared" si="32"/>
        <v>100723.22393806282</v>
      </c>
      <c r="J139" s="54">
        <f t="shared" si="34"/>
        <v>0</v>
      </c>
      <c r="K139" s="54"/>
      <c r="L139" s="129"/>
      <c r="M139" s="54">
        <f t="shared" si="35"/>
        <v>0</v>
      </c>
      <c r="N139" s="129"/>
      <c r="O139" s="54">
        <f t="shared" si="36"/>
        <v>0</v>
      </c>
      <c r="P139" s="54">
        <f t="shared" si="37"/>
        <v>0</v>
      </c>
    </row>
    <row r="140" spans="2:16" ht="12.5">
      <c r="B140" s="7" t="str">
        <f t="shared" si="21"/>
        <v/>
      </c>
      <c r="C140" s="50">
        <f>IF(D93="","-",+C139+1)</f>
        <v>2060</v>
      </c>
      <c r="D140" s="12">
        <f>IF(F139+SUM(E$99:E139)=D$92,F139,D$92-SUM(E$99:E139))</f>
        <v>224648.1636967698</v>
      </c>
      <c r="E140" s="378">
        <f>IF(+J96&lt;F139,J96,D140)</f>
        <v>68484.545454545456</v>
      </c>
      <c r="F140" s="55">
        <f t="shared" si="29"/>
        <v>156163.61824222433</v>
      </c>
      <c r="G140" s="55">
        <f t="shared" si="30"/>
        <v>190405.89096949706</v>
      </c>
      <c r="H140" s="380">
        <f t="shared" si="31"/>
        <v>92195.094152756137</v>
      </c>
      <c r="I140" s="399">
        <f t="shared" si="32"/>
        <v>92195.094152756137</v>
      </c>
      <c r="J140" s="54">
        <f t="shared" si="34"/>
        <v>0</v>
      </c>
      <c r="K140" s="54"/>
      <c r="L140" s="129"/>
      <c r="M140" s="54">
        <f t="shared" si="35"/>
        <v>0</v>
      </c>
      <c r="N140" s="129"/>
      <c r="O140" s="54">
        <f t="shared" si="36"/>
        <v>0</v>
      </c>
      <c r="P140" s="54">
        <f t="shared" si="37"/>
        <v>0</v>
      </c>
    </row>
    <row r="141" spans="2:16" ht="12.5">
      <c r="B141" s="7" t="str">
        <f t="shared" si="21"/>
        <v/>
      </c>
      <c r="C141" s="50">
        <f>IF(D93="","-",+C140+1)</f>
        <v>2061</v>
      </c>
      <c r="D141" s="12">
        <f>IF(F140+SUM(E$99:E140)=D$92,F140,D$92-SUM(E$99:E140))</f>
        <v>156163.61824222433</v>
      </c>
      <c r="E141" s="378">
        <f>IF(+J96&lt;F140,J96,D141)</f>
        <v>68484.545454545456</v>
      </c>
      <c r="F141" s="55">
        <f t="shared" si="29"/>
        <v>87679.072787678873</v>
      </c>
      <c r="G141" s="55">
        <f t="shared" si="30"/>
        <v>121921.34551495159</v>
      </c>
      <c r="H141" s="380">
        <f t="shared" si="31"/>
        <v>83666.964367449458</v>
      </c>
      <c r="I141" s="399">
        <f t="shared" si="32"/>
        <v>83666.964367449458</v>
      </c>
      <c r="J141" s="54">
        <f t="shared" si="34"/>
        <v>0</v>
      </c>
      <c r="K141" s="54"/>
      <c r="L141" s="129"/>
      <c r="M141" s="54">
        <f t="shared" si="35"/>
        <v>0</v>
      </c>
      <c r="N141" s="129"/>
      <c r="O141" s="54">
        <f t="shared" si="36"/>
        <v>0</v>
      </c>
      <c r="P141" s="54">
        <f t="shared" si="37"/>
        <v>0</v>
      </c>
    </row>
    <row r="142" spans="2:16" ht="12.5">
      <c r="B142" s="7" t="str">
        <f t="shared" si="21"/>
        <v/>
      </c>
      <c r="C142" s="50">
        <f>IF(D93="","-",+C141+1)</f>
        <v>2062</v>
      </c>
      <c r="D142" s="12">
        <f>IF(F141+SUM(E$99:E141)=D$92,F141,D$92-SUM(E$99:E141))</f>
        <v>87679.072787678873</v>
      </c>
      <c r="E142" s="378">
        <f>IF(+J96&lt;F141,J96,D142)</f>
        <v>68484.545454545456</v>
      </c>
      <c r="F142" s="55">
        <f t="shared" si="29"/>
        <v>19194.527333133417</v>
      </c>
      <c r="G142" s="55">
        <f t="shared" si="30"/>
        <v>53436.800060406145</v>
      </c>
      <c r="H142" s="380">
        <f t="shared" si="31"/>
        <v>75138.834582142794</v>
      </c>
      <c r="I142" s="399">
        <f t="shared" si="32"/>
        <v>75138.834582142794</v>
      </c>
      <c r="J142" s="54">
        <f t="shared" si="34"/>
        <v>0</v>
      </c>
      <c r="K142" s="54"/>
      <c r="L142" s="129"/>
      <c r="M142" s="54">
        <f t="shared" si="35"/>
        <v>0</v>
      </c>
      <c r="N142" s="129"/>
      <c r="O142" s="54">
        <f t="shared" si="36"/>
        <v>0</v>
      </c>
      <c r="P142" s="54">
        <f t="shared" si="37"/>
        <v>0</v>
      </c>
    </row>
    <row r="143" spans="2:16" ht="12.5">
      <c r="B143" s="7" t="str">
        <f t="shared" si="21"/>
        <v/>
      </c>
      <c r="C143" s="50">
        <f>IF(D93="","-",+C142+1)</f>
        <v>2063</v>
      </c>
      <c r="D143" s="12">
        <f>IF(F142+SUM(E$99:E142)=D$92,F142,D$92-SUM(E$99:E142))</f>
        <v>19194.527333133417</v>
      </c>
      <c r="E143" s="378">
        <f>IF(+J96&lt;F142,J96,D143)</f>
        <v>19194.527333133417</v>
      </c>
      <c r="F143" s="55">
        <f t="shared" si="29"/>
        <v>0</v>
      </c>
      <c r="G143" s="55">
        <f t="shared" si="30"/>
        <v>9597.2636665667087</v>
      </c>
      <c r="H143" s="380">
        <f t="shared" si="31"/>
        <v>20389.639450605417</v>
      </c>
      <c r="I143" s="399">
        <f t="shared" si="32"/>
        <v>20389.639450605417</v>
      </c>
      <c r="J143" s="54">
        <f t="shared" si="34"/>
        <v>0</v>
      </c>
      <c r="K143" s="54"/>
      <c r="L143" s="129"/>
      <c r="M143" s="54">
        <f t="shared" si="35"/>
        <v>0</v>
      </c>
      <c r="N143" s="129"/>
      <c r="O143" s="54">
        <f t="shared" si="36"/>
        <v>0</v>
      </c>
      <c r="P143" s="54">
        <f t="shared" si="37"/>
        <v>0</v>
      </c>
    </row>
    <row r="144" spans="2:16" ht="12.5">
      <c r="B144" s="7" t="str">
        <f t="shared" si="21"/>
        <v/>
      </c>
      <c r="C144" s="50">
        <f>IF(D93="","-",+C143+1)</f>
        <v>2064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29"/>
        <v>0</v>
      </c>
      <c r="G144" s="55">
        <f t="shared" si="30"/>
        <v>0</v>
      </c>
      <c r="H144" s="380">
        <f t="shared" si="31"/>
        <v>0</v>
      </c>
      <c r="I144" s="399">
        <f t="shared" si="32"/>
        <v>0</v>
      </c>
      <c r="J144" s="54">
        <f t="shared" si="34"/>
        <v>0</v>
      </c>
      <c r="K144" s="54"/>
      <c r="L144" s="129"/>
      <c r="M144" s="54">
        <f t="shared" si="35"/>
        <v>0</v>
      </c>
      <c r="N144" s="129"/>
      <c r="O144" s="54">
        <f t="shared" si="36"/>
        <v>0</v>
      </c>
      <c r="P144" s="54">
        <f t="shared" si="37"/>
        <v>0</v>
      </c>
    </row>
    <row r="145" spans="2:16" ht="12.5">
      <c r="B145" s="7" t="str">
        <f t="shared" si="21"/>
        <v/>
      </c>
      <c r="C145" s="50">
        <f>IF(D93="","-",+C144+1)</f>
        <v>2065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29"/>
        <v>0</v>
      </c>
      <c r="G145" s="55">
        <f t="shared" si="30"/>
        <v>0</v>
      </c>
      <c r="H145" s="380">
        <f t="shared" si="31"/>
        <v>0</v>
      </c>
      <c r="I145" s="399">
        <f t="shared" si="32"/>
        <v>0</v>
      </c>
      <c r="J145" s="54">
        <f t="shared" si="34"/>
        <v>0</v>
      </c>
      <c r="K145" s="54"/>
      <c r="L145" s="129"/>
      <c r="M145" s="54">
        <f t="shared" si="35"/>
        <v>0</v>
      </c>
      <c r="N145" s="129"/>
      <c r="O145" s="54">
        <f t="shared" si="36"/>
        <v>0</v>
      </c>
      <c r="P145" s="54">
        <f t="shared" si="37"/>
        <v>0</v>
      </c>
    </row>
    <row r="146" spans="2:16" ht="12.5">
      <c r="B146" s="7" t="str">
        <f t="shared" si="21"/>
        <v/>
      </c>
      <c r="C146" s="50">
        <f>IF(D93="","-",+C145+1)</f>
        <v>2066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29"/>
        <v>0</v>
      </c>
      <c r="G146" s="55">
        <f t="shared" si="30"/>
        <v>0</v>
      </c>
      <c r="H146" s="380">
        <f t="shared" si="31"/>
        <v>0</v>
      </c>
      <c r="I146" s="399">
        <f t="shared" si="32"/>
        <v>0</v>
      </c>
      <c r="J146" s="54">
        <f t="shared" si="34"/>
        <v>0</v>
      </c>
      <c r="K146" s="54"/>
      <c r="L146" s="129"/>
      <c r="M146" s="54">
        <f t="shared" si="35"/>
        <v>0</v>
      </c>
      <c r="N146" s="129"/>
      <c r="O146" s="54">
        <f t="shared" si="36"/>
        <v>0</v>
      </c>
      <c r="P146" s="54">
        <f t="shared" si="37"/>
        <v>0</v>
      </c>
    </row>
    <row r="147" spans="2:16" ht="12.5">
      <c r="B147" s="7" t="str">
        <f t="shared" si="21"/>
        <v/>
      </c>
      <c r="C147" s="50">
        <f>IF(D93="","-",+C146+1)</f>
        <v>2067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29"/>
        <v>0</v>
      </c>
      <c r="G147" s="55">
        <f t="shared" si="30"/>
        <v>0</v>
      </c>
      <c r="H147" s="380">
        <f t="shared" si="31"/>
        <v>0</v>
      </c>
      <c r="I147" s="399">
        <f t="shared" si="32"/>
        <v>0</v>
      </c>
      <c r="J147" s="54">
        <f t="shared" si="34"/>
        <v>0</v>
      </c>
      <c r="K147" s="54"/>
      <c r="L147" s="129"/>
      <c r="M147" s="54">
        <f t="shared" si="35"/>
        <v>0</v>
      </c>
      <c r="N147" s="129"/>
      <c r="O147" s="54">
        <f t="shared" si="36"/>
        <v>0</v>
      </c>
      <c r="P147" s="54">
        <f t="shared" si="37"/>
        <v>0</v>
      </c>
    </row>
    <row r="148" spans="2:16" ht="12.5">
      <c r="B148" s="7" t="str">
        <f t="shared" si="21"/>
        <v/>
      </c>
      <c r="C148" s="50">
        <f>IF(D93="","-",+C147+1)</f>
        <v>2068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29"/>
        <v>0</v>
      </c>
      <c r="G148" s="55">
        <f t="shared" si="30"/>
        <v>0</v>
      </c>
      <c r="H148" s="380">
        <f t="shared" si="31"/>
        <v>0</v>
      </c>
      <c r="I148" s="399">
        <f t="shared" si="32"/>
        <v>0</v>
      </c>
      <c r="J148" s="54">
        <f t="shared" si="34"/>
        <v>0</v>
      </c>
      <c r="K148" s="54"/>
      <c r="L148" s="129"/>
      <c r="M148" s="54">
        <f t="shared" si="35"/>
        <v>0</v>
      </c>
      <c r="N148" s="129"/>
      <c r="O148" s="54">
        <f t="shared" si="36"/>
        <v>0</v>
      </c>
      <c r="P148" s="54">
        <f t="shared" si="37"/>
        <v>0</v>
      </c>
    </row>
    <row r="149" spans="2:16" ht="12.5">
      <c r="B149" s="7" t="str">
        <f t="shared" si="21"/>
        <v/>
      </c>
      <c r="C149" s="50">
        <f>IF(D93="","-",+C148+1)</f>
        <v>2069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29"/>
        <v>0</v>
      </c>
      <c r="G149" s="55">
        <f t="shared" si="30"/>
        <v>0</v>
      </c>
      <c r="H149" s="380">
        <f t="shared" si="31"/>
        <v>0</v>
      </c>
      <c r="I149" s="399">
        <f t="shared" si="32"/>
        <v>0</v>
      </c>
      <c r="J149" s="54">
        <f t="shared" si="34"/>
        <v>0</v>
      </c>
      <c r="K149" s="54"/>
      <c r="L149" s="129"/>
      <c r="M149" s="54">
        <f t="shared" si="35"/>
        <v>0</v>
      </c>
      <c r="N149" s="129"/>
      <c r="O149" s="54">
        <f t="shared" si="36"/>
        <v>0</v>
      </c>
      <c r="P149" s="54">
        <f t="shared" si="37"/>
        <v>0</v>
      </c>
    </row>
    <row r="150" spans="2:16" ht="12.5">
      <c r="B150" s="7" t="str">
        <f t="shared" si="21"/>
        <v/>
      </c>
      <c r="C150" s="50">
        <f>IF(D93="","-",+C149+1)</f>
        <v>2070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29"/>
        <v>0</v>
      </c>
      <c r="G150" s="55">
        <f t="shared" si="30"/>
        <v>0</v>
      </c>
      <c r="H150" s="380">
        <f t="shared" si="31"/>
        <v>0</v>
      </c>
      <c r="I150" s="399">
        <f t="shared" si="32"/>
        <v>0</v>
      </c>
      <c r="J150" s="54">
        <f t="shared" si="34"/>
        <v>0</v>
      </c>
      <c r="K150" s="54"/>
      <c r="L150" s="129"/>
      <c r="M150" s="54">
        <f t="shared" si="35"/>
        <v>0</v>
      </c>
      <c r="N150" s="129"/>
      <c r="O150" s="54">
        <f t="shared" si="36"/>
        <v>0</v>
      </c>
      <c r="P150" s="54">
        <f t="shared" si="37"/>
        <v>0</v>
      </c>
    </row>
    <row r="151" spans="2:16" ht="12.5">
      <c r="B151" s="7" t="str">
        <f t="shared" si="21"/>
        <v/>
      </c>
      <c r="C151" s="50">
        <f>IF(D93="","-",+C150+1)</f>
        <v>2071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29"/>
        <v>0</v>
      </c>
      <c r="G151" s="55">
        <f t="shared" si="30"/>
        <v>0</v>
      </c>
      <c r="H151" s="380">
        <f t="shared" si="31"/>
        <v>0</v>
      </c>
      <c r="I151" s="399">
        <f t="shared" si="32"/>
        <v>0</v>
      </c>
      <c r="J151" s="54">
        <f t="shared" si="34"/>
        <v>0</v>
      </c>
      <c r="K151" s="54"/>
      <c r="L151" s="129"/>
      <c r="M151" s="54">
        <f t="shared" si="35"/>
        <v>0</v>
      </c>
      <c r="N151" s="129"/>
      <c r="O151" s="54">
        <f t="shared" si="36"/>
        <v>0</v>
      </c>
      <c r="P151" s="54">
        <f t="shared" si="37"/>
        <v>0</v>
      </c>
    </row>
    <row r="152" spans="2:16" ht="12.5">
      <c r="B152" s="7" t="str">
        <f t="shared" si="21"/>
        <v/>
      </c>
      <c r="C152" s="50">
        <f>IF(D93="","-",+C151+1)</f>
        <v>2072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29"/>
        <v>0</v>
      </c>
      <c r="G152" s="55">
        <f t="shared" si="30"/>
        <v>0</v>
      </c>
      <c r="H152" s="380">
        <f t="shared" si="31"/>
        <v>0</v>
      </c>
      <c r="I152" s="399">
        <f t="shared" si="32"/>
        <v>0</v>
      </c>
      <c r="J152" s="54">
        <f t="shared" si="34"/>
        <v>0</v>
      </c>
      <c r="K152" s="54"/>
      <c r="L152" s="129"/>
      <c r="M152" s="54">
        <f t="shared" si="35"/>
        <v>0</v>
      </c>
      <c r="N152" s="129"/>
      <c r="O152" s="54">
        <f t="shared" si="36"/>
        <v>0</v>
      </c>
      <c r="P152" s="54">
        <f t="shared" si="37"/>
        <v>0</v>
      </c>
    </row>
    <row r="153" spans="2:16" ht="12.5">
      <c r="B153" s="7" t="str">
        <f t="shared" si="21"/>
        <v/>
      </c>
      <c r="C153" s="50">
        <f>IF(D93="","-",+C152+1)</f>
        <v>2073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29"/>
        <v>0</v>
      </c>
      <c r="G153" s="55">
        <f t="shared" si="30"/>
        <v>0</v>
      </c>
      <c r="H153" s="380">
        <f t="shared" si="31"/>
        <v>0</v>
      </c>
      <c r="I153" s="399">
        <f t="shared" si="32"/>
        <v>0</v>
      </c>
      <c r="J153" s="54">
        <f t="shared" si="34"/>
        <v>0</v>
      </c>
      <c r="K153" s="54"/>
      <c r="L153" s="129"/>
      <c r="M153" s="54">
        <f t="shared" si="35"/>
        <v>0</v>
      </c>
      <c r="N153" s="129"/>
      <c r="O153" s="54">
        <f t="shared" si="36"/>
        <v>0</v>
      </c>
      <c r="P153" s="54">
        <f t="shared" si="37"/>
        <v>0</v>
      </c>
    </row>
    <row r="154" spans="2:16" ht="13" thickBot="1">
      <c r="B154" s="7" t="str">
        <f t="shared" si="21"/>
        <v/>
      </c>
      <c r="C154" s="59">
        <f>IF(D93="","-",+C153+1)</f>
        <v>2074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29"/>
        <v>0</v>
      </c>
      <c r="G154" s="60">
        <f t="shared" si="30"/>
        <v>0</v>
      </c>
      <c r="H154" s="382">
        <f t="shared" si="31"/>
        <v>0</v>
      </c>
      <c r="I154" s="400">
        <f t="shared" si="32"/>
        <v>0</v>
      </c>
      <c r="J154" s="64">
        <f t="shared" si="34"/>
        <v>0</v>
      </c>
      <c r="K154" s="54"/>
      <c r="L154" s="130"/>
      <c r="M154" s="64">
        <f t="shared" si="35"/>
        <v>0</v>
      </c>
      <c r="N154" s="130"/>
      <c r="O154" s="64">
        <f t="shared" si="36"/>
        <v>0</v>
      </c>
      <c r="P154" s="64">
        <f t="shared" si="37"/>
        <v>0</v>
      </c>
    </row>
    <row r="155" spans="2:16" ht="12.5">
      <c r="C155" s="12" t="s">
        <v>78</v>
      </c>
      <c r="D155" s="293"/>
      <c r="E155" s="293">
        <f>SUM(E99:E154)</f>
        <v>3013320</v>
      </c>
      <c r="F155" s="293"/>
      <c r="G155" s="293"/>
      <c r="H155" s="293">
        <f>SUM(H99:H154)</f>
        <v>11016867.298381597</v>
      </c>
      <c r="I155" s="293">
        <f>SUM(I99:I154)</f>
        <v>11016867.298381597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 ht="12.5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 ht="13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9" priority="1" stopIfTrue="1" operator="equal">
      <formula>$I$10</formula>
    </cfRule>
  </conditionalFormatting>
  <conditionalFormatting sqref="C99:C154">
    <cfRule type="cellIs" dxfId="8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</headerFooter>
  <rowBreaks count="1" manualBreakCount="1">
    <brk id="80" max="16383" man="1"/>
  </rowBreaks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58"/>
  <dimension ref="A1:P162"/>
  <sheetViews>
    <sheetView topLeftCell="A83" zoomScaleNormal="100" zoomScaleSheetLayoutView="80" workbookViewId="0">
      <selection activeCell="D13" sqref="D13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3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75 of 77</v>
      </c>
    </row>
    <row r="2" spans="1:16" ht="17.5">
      <c r="B2" s="1"/>
      <c r="C2" s="1"/>
      <c r="D2" s="2"/>
      <c r="E2" s="1"/>
      <c r="F2" s="1"/>
      <c r="G2" s="1"/>
      <c r="H2" s="3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3"/>
      <c r="I3" s="3"/>
      <c r="J3" s="15"/>
      <c r="K3" s="3"/>
      <c r="L3" s="3"/>
      <c r="M3" s="3"/>
      <c r="N3" s="3"/>
      <c r="O3" s="1"/>
      <c r="P3" s="97">
        <v>1</v>
      </c>
    </row>
    <row r="4" spans="1:16" ht="16" thickBot="1">
      <c r="C4" s="9"/>
      <c r="D4" s="2"/>
      <c r="E4" s="1"/>
      <c r="F4" s="1"/>
      <c r="G4" s="1"/>
      <c r="H4" s="3"/>
      <c r="I4" s="3"/>
      <c r="J4" s="15"/>
      <c r="K4" s="3"/>
      <c r="L4" s="3"/>
      <c r="M4" s="3"/>
      <c r="N4" s="3"/>
      <c r="O4" s="1"/>
      <c r="P4" s="1"/>
    </row>
    <row r="5" spans="1:16" ht="15.5">
      <c r="C5" s="16" t="s">
        <v>46</v>
      </c>
      <c r="D5" s="2"/>
      <c r="E5" s="1"/>
      <c r="F5" s="1"/>
      <c r="G5" s="17"/>
      <c r="H5" s="1" t="s">
        <v>47</v>
      </c>
      <c r="I5" s="1"/>
      <c r="J5" s="1"/>
      <c r="K5" s="123" t="s">
        <v>157</v>
      </c>
      <c r="L5" s="18"/>
      <c r="M5" s="19"/>
      <c r="N5" s="20">
        <f>VLOOKUP(I10,C17:I72,5)</f>
        <v>219.09323232184698</v>
      </c>
      <c r="P5" s="1"/>
    </row>
    <row r="6" spans="1:16" ht="15.5">
      <c r="C6" s="6"/>
      <c r="D6" s="2"/>
      <c r="E6" s="1"/>
      <c r="F6" s="1"/>
      <c r="G6" s="1"/>
      <c r="H6" s="21"/>
      <c r="I6" s="21"/>
      <c r="J6" s="22"/>
      <c r="K6" s="124" t="s">
        <v>158</v>
      </c>
      <c r="L6" s="23"/>
      <c r="M6" s="1"/>
      <c r="N6" s="24">
        <f>VLOOKUP(I10,C17:I72,6)</f>
        <v>219.09323232184698</v>
      </c>
      <c r="O6" s="1"/>
      <c r="P6" s="1"/>
    </row>
    <row r="7" spans="1:16" ht="13.5" thickBot="1">
      <c r="C7" s="25" t="s">
        <v>48</v>
      </c>
      <c r="D7" s="90" t="s">
        <v>484</v>
      </c>
      <c r="E7" s="1"/>
      <c r="F7" s="1"/>
      <c r="G7" s="1"/>
      <c r="H7" s="3"/>
      <c r="I7" s="3"/>
      <c r="J7" s="15"/>
      <c r="K7" s="26" t="s">
        <v>49</v>
      </c>
      <c r="L7" s="27"/>
      <c r="M7" s="27"/>
      <c r="N7" s="28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>DOES NOT MEET SPP $100,000 MINIMUM INVESTMENT FOR REGIONAL BPU SHARING.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485</v>
      </c>
      <c r="E9" s="462" t="s">
        <v>486</v>
      </c>
      <c r="F9" s="31"/>
      <c r="G9" s="31"/>
      <c r="H9" s="31"/>
      <c r="I9" s="32"/>
      <c r="J9" s="33"/>
      <c r="P9" s="1"/>
    </row>
    <row r="10" spans="1:16" ht="13">
      <c r="C10" s="34" t="s">
        <v>51</v>
      </c>
      <c r="D10" s="35">
        <v>3666</v>
      </c>
      <c r="E10" s="1" t="s">
        <v>52</v>
      </c>
      <c r="G10" s="2"/>
      <c r="H10" s="2"/>
      <c r="I10" s="36">
        <f>+'SWE.WS.F.BPU.ATRR.Projected'!L19</f>
        <v>2024</v>
      </c>
      <c r="J10" s="33"/>
      <c r="K10" s="15" t="s">
        <v>53</v>
      </c>
      <c r="O10" s="1"/>
      <c r="P10" s="1"/>
    </row>
    <row r="11" spans="1:16" ht="12.5">
      <c r="C11" s="34" t="s">
        <v>54</v>
      </c>
      <c r="D11" s="37">
        <v>2024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5">
        <v>10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15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41">
        <f>IF(D10=0,0,D10/D13)</f>
        <v>83.318181818181813</v>
      </c>
      <c r="J14" s="15"/>
      <c r="K14" s="15"/>
      <c r="L14" s="15"/>
      <c r="M14" s="15"/>
      <c r="N14" s="15"/>
      <c r="O14" s="1"/>
      <c r="P14" s="1"/>
    </row>
    <row r="15" spans="1:16" ht="39">
      <c r="C15" s="42" t="s">
        <v>51</v>
      </c>
      <c r="D15" s="43" t="s">
        <v>65</v>
      </c>
      <c r="E15" s="43" t="s">
        <v>66</v>
      </c>
      <c r="F15" s="43" t="s">
        <v>67</v>
      </c>
      <c r="G15" s="157" t="s">
        <v>391</v>
      </c>
      <c r="H15" s="158" t="s">
        <v>392</v>
      </c>
      <c r="I15" s="42" t="s">
        <v>68</v>
      </c>
      <c r="J15" s="44"/>
      <c r="K15" s="126" t="s">
        <v>227</v>
      </c>
      <c r="L15" s="45" t="s">
        <v>69</v>
      </c>
      <c r="M15" s="126" t="s">
        <v>227</v>
      </c>
      <c r="N15" s="45" t="s">
        <v>69</v>
      </c>
      <c r="O15" s="45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111" t="s">
        <v>74</v>
      </c>
      <c r="H16" s="47" t="s">
        <v>75</v>
      </c>
      <c r="I16" s="46" t="s">
        <v>94</v>
      </c>
      <c r="J16" s="44" t="s">
        <v>76</v>
      </c>
      <c r="K16" s="48" t="s">
        <v>77</v>
      </c>
      <c r="L16" s="48" t="s">
        <v>77</v>
      </c>
      <c r="M16" s="48" t="s">
        <v>95</v>
      </c>
      <c r="N16" s="49" t="s">
        <v>95</v>
      </c>
      <c r="O16" s="48" t="s">
        <v>95</v>
      </c>
      <c r="P16" s="1"/>
    </row>
    <row r="17" spans="2:16" ht="12.5">
      <c r="C17" s="50">
        <f>IF(D11= "","-",D11)</f>
        <v>2024</v>
      </c>
      <c r="D17" s="12">
        <v>0</v>
      </c>
      <c r="E17" s="159">
        <f>IF(D10&gt;=100000,I$14/12*(12-D12),0)</f>
        <v>0</v>
      </c>
      <c r="F17" s="55">
        <f>IF(D11=C17,+D10-E17,+D17-E17)</f>
        <v>3666</v>
      </c>
      <c r="G17" s="51">
        <f t="shared" ref="G17:G48" si="0">+I$12*((D17+F17)/2)+E17</f>
        <v>219.09323232184698</v>
      </c>
      <c r="H17" s="41">
        <f t="shared" ref="H17:H48" si="1">+I$13*((D17+F17)/2)+E17</f>
        <v>219.09323232184698</v>
      </c>
      <c r="I17" s="52">
        <f t="shared" ref="I17:I48" si="2">H17-G17</f>
        <v>0</v>
      </c>
      <c r="J17" s="52"/>
      <c r="K17" s="112">
        <f>G17</f>
        <v>219.09323232184698</v>
      </c>
      <c r="L17" s="53">
        <f t="shared" ref="L17" si="3">IF(K17&lt;&gt;0,+G17-K17,0)</f>
        <v>0</v>
      </c>
      <c r="M17" s="112">
        <f t="shared" ref="M17" si="4">+H17</f>
        <v>219.09323232184698</v>
      </c>
      <c r="N17" s="53">
        <f t="shared" ref="N17" si="5">IF(M17&lt;&gt;0,+H17-M17,0)</f>
        <v>0</v>
      </c>
      <c r="O17" s="54">
        <f t="shared" ref="O17" si="6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2025</v>
      </c>
      <c r="D18" s="55">
        <f>IF(F17+SUM(E$17:E17)=D$10,F17,D$10-SUM(E$17:E17))</f>
        <v>3666</v>
      </c>
      <c r="E18" s="56">
        <f>IF(+I14&lt;F17,I14,D18)</f>
        <v>83.318181818181813</v>
      </c>
      <c r="F18" s="55">
        <f t="shared" ref="F18:F48" si="7">+D18-E18</f>
        <v>3582.681818181818</v>
      </c>
      <c r="G18" s="57">
        <f t="shared" si="0"/>
        <v>516.52525481819748</v>
      </c>
      <c r="H18" s="41">
        <f t="shared" si="1"/>
        <v>516.52525481819748</v>
      </c>
      <c r="I18" s="52">
        <f t="shared" si="2"/>
        <v>0</v>
      </c>
      <c r="J18" s="52"/>
      <c r="K18" s="129"/>
      <c r="L18" s="54">
        <f t="shared" ref="L18:L48" si="8">IF(K18&lt;&gt;0,+G18-K18,0)</f>
        <v>0</v>
      </c>
      <c r="M18" s="129"/>
      <c r="N18" s="54">
        <f t="shared" ref="N18:N48" si="9">IF(M18&lt;&gt;0,+H18-M18,0)</f>
        <v>0</v>
      </c>
      <c r="O18" s="54">
        <f t="shared" ref="O18:O48" si="10">+N18-L18</f>
        <v>0</v>
      </c>
      <c r="P18" s="1"/>
    </row>
    <row r="19" spans="2:16" ht="12.5">
      <c r="B19" s="7" t="str">
        <f>IF(D19=F18,"","IU")</f>
        <v/>
      </c>
      <c r="C19" s="50">
        <f>IF(D11="","-",+C18+1)</f>
        <v>2026</v>
      </c>
      <c r="D19" s="55">
        <f>IF(F18+SUM(E$17:E18)=D$10,F18,D$10-SUM(E$17:E18))</f>
        <v>3582.681818181818</v>
      </c>
      <c r="E19" s="56">
        <f>IF(+I14&lt;F18,I14,D19)</f>
        <v>83.318181818181813</v>
      </c>
      <c r="F19" s="55">
        <f t="shared" si="7"/>
        <v>3499.363636363636</v>
      </c>
      <c r="G19" s="57">
        <f t="shared" si="0"/>
        <v>506.56647153084072</v>
      </c>
      <c r="H19" s="41">
        <f t="shared" si="1"/>
        <v>506.56647153084072</v>
      </c>
      <c r="I19" s="52">
        <f t="shared" si="2"/>
        <v>0</v>
      </c>
      <c r="J19" s="52"/>
      <c r="K19" s="129"/>
      <c r="L19" s="54">
        <f t="shared" si="8"/>
        <v>0</v>
      </c>
      <c r="M19" s="129"/>
      <c r="N19" s="54">
        <f t="shared" si="9"/>
        <v>0</v>
      </c>
      <c r="O19" s="54">
        <f t="shared" si="10"/>
        <v>0</v>
      </c>
      <c r="P19" s="1"/>
    </row>
    <row r="20" spans="2:16" ht="12.5">
      <c r="B20" s="7" t="str">
        <f t="shared" ref="B20:B72" si="11">IF(D20=F19,"","IU")</f>
        <v/>
      </c>
      <c r="C20" s="50">
        <f>IF(D11="","-",+C19+1)</f>
        <v>2027</v>
      </c>
      <c r="D20" s="55">
        <f>IF(F19+SUM(E$17:E19)=D$10,F19,D$10-SUM(E$17:E19))</f>
        <v>3499.363636363636</v>
      </c>
      <c r="E20" s="56">
        <f>IF(+I14&lt;F19,I14,D20)</f>
        <v>83.318181818181813</v>
      </c>
      <c r="F20" s="55">
        <f t="shared" si="7"/>
        <v>3416.045454545454</v>
      </c>
      <c r="G20" s="57">
        <f t="shared" si="0"/>
        <v>496.60768824348401</v>
      </c>
      <c r="H20" s="41">
        <f t="shared" si="1"/>
        <v>496.60768824348401</v>
      </c>
      <c r="I20" s="52">
        <f t="shared" si="2"/>
        <v>0</v>
      </c>
      <c r="J20" s="52"/>
      <c r="K20" s="129"/>
      <c r="L20" s="54">
        <f t="shared" si="8"/>
        <v>0</v>
      </c>
      <c r="M20" s="129"/>
      <c r="N20" s="54">
        <f t="shared" si="9"/>
        <v>0</v>
      </c>
      <c r="O20" s="54">
        <f t="shared" si="10"/>
        <v>0</v>
      </c>
      <c r="P20" s="1"/>
    </row>
    <row r="21" spans="2:16" ht="12.5">
      <c r="B21" s="7" t="str">
        <f t="shared" si="11"/>
        <v/>
      </c>
      <c r="C21" s="50">
        <f>IF(D11="","-",+C20+1)</f>
        <v>2028</v>
      </c>
      <c r="D21" s="55">
        <f>IF(F20+SUM(E$17:E20)=D$10,F20,D$10-SUM(E$17:E20))</f>
        <v>3416.045454545454</v>
      </c>
      <c r="E21" s="56">
        <f>IF(+I14&lt;F20,I14,D21)</f>
        <v>83.318181818181813</v>
      </c>
      <c r="F21" s="55">
        <f t="shared" si="7"/>
        <v>3332.7272727272721</v>
      </c>
      <c r="G21" s="57">
        <f t="shared" si="0"/>
        <v>486.6489049561273</v>
      </c>
      <c r="H21" s="41">
        <f t="shared" si="1"/>
        <v>486.6489049561273</v>
      </c>
      <c r="I21" s="52">
        <f t="shared" si="2"/>
        <v>0</v>
      </c>
      <c r="J21" s="52"/>
      <c r="K21" s="129"/>
      <c r="L21" s="54">
        <f t="shared" si="8"/>
        <v>0</v>
      </c>
      <c r="M21" s="129"/>
      <c r="N21" s="54">
        <f t="shared" si="9"/>
        <v>0</v>
      </c>
      <c r="O21" s="54">
        <f t="shared" si="10"/>
        <v>0</v>
      </c>
      <c r="P21" s="1"/>
    </row>
    <row r="22" spans="2:16" ht="12.5">
      <c r="B22" s="7" t="str">
        <f t="shared" si="11"/>
        <v/>
      </c>
      <c r="C22" s="50">
        <f>IF(D11="","-",+C21+1)</f>
        <v>2029</v>
      </c>
      <c r="D22" s="55">
        <f>IF(F21+SUM(E$17:E21)=D$10,F21,D$10-SUM(E$17:E21))</f>
        <v>3332.7272727272721</v>
      </c>
      <c r="E22" s="56">
        <f>IF(+I14&lt;F21,I14,D22)</f>
        <v>83.318181818181813</v>
      </c>
      <c r="F22" s="55">
        <f t="shared" si="7"/>
        <v>3249.4090909090901</v>
      </c>
      <c r="G22" s="57">
        <f t="shared" si="0"/>
        <v>476.69012166877059</v>
      </c>
      <c r="H22" s="41">
        <f t="shared" si="1"/>
        <v>476.69012166877059</v>
      </c>
      <c r="I22" s="52">
        <f t="shared" si="2"/>
        <v>0</v>
      </c>
      <c r="J22" s="52"/>
      <c r="K22" s="129"/>
      <c r="L22" s="54">
        <f t="shared" si="8"/>
        <v>0</v>
      </c>
      <c r="M22" s="129"/>
      <c r="N22" s="54">
        <f t="shared" si="9"/>
        <v>0</v>
      </c>
      <c r="O22" s="54">
        <f t="shared" si="10"/>
        <v>0</v>
      </c>
      <c r="P22" s="1"/>
    </row>
    <row r="23" spans="2:16" ht="12.5">
      <c r="B23" s="7" t="str">
        <f t="shared" si="11"/>
        <v/>
      </c>
      <c r="C23" s="50">
        <f>IF(D11="","-",+C22+1)</f>
        <v>2030</v>
      </c>
      <c r="D23" s="55">
        <f>IF(F22+SUM(E$17:E22)=D$10,F22,D$10-SUM(E$17:E22))</f>
        <v>3249.4090909090901</v>
      </c>
      <c r="E23" s="56">
        <f>IF(+I14&lt;F22,I14,D23)</f>
        <v>83.318181818181813</v>
      </c>
      <c r="F23" s="55">
        <f t="shared" si="7"/>
        <v>3166.0909090909081</v>
      </c>
      <c r="G23" s="57">
        <f t="shared" si="0"/>
        <v>466.73133838141388</v>
      </c>
      <c r="H23" s="41">
        <f t="shared" si="1"/>
        <v>466.73133838141388</v>
      </c>
      <c r="I23" s="52">
        <f t="shared" si="2"/>
        <v>0</v>
      </c>
      <c r="J23" s="52"/>
      <c r="K23" s="129"/>
      <c r="L23" s="54">
        <f t="shared" si="8"/>
        <v>0</v>
      </c>
      <c r="M23" s="129"/>
      <c r="N23" s="54">
        <f t="shared" si="9"/>
        <v>0</v>
      </c>
      <c r="O23" s="54">
        <f t="shared" si="10"/>
        <v>0</v>
      </c>
      <c r="P23" s="1"/>
    </row>
    <row r="24" spans="2:16" ht="12.5">
      <c r="B24" s="7" t="str">
        <f t="shared" si="11"/>
        <v/>
      </c>
      <c r="C24" s="50">
        <f>IF(D11="","-",+C23+1)</f>
        <v>2031</v>
      </c>
      <c r="D24" s="55">
        <f>IF(F23+SUM(E$17:E23)=D$10,F23,D$10-SUM(E$17:E23))</f>
        <v>3166.0909090909081</v>
      </c>
      <c r="E24" s="56">
        <f>IF(+I14&lt;F23,I14,D24)</f>
        <v>83.318181818181813</v>
      </c>
      <c r="F24" s="55">
        <f t="shared" si="7"/>
        <v>3082.7727272727261</v>
      </c>
      <c r="G24" s="57">
        <f t="shared" si="0"/>
        <v>456.77255509405722</v>
      </c>
      <c r="H24" s="41">
        <f t="shared" si="1"/>
        <v>456.77255509405722</v>
      </c>
      <c r="I24" s="52">
        <f t="shared" si="2"/>
        <v>0</v>
      </c>
      <c r="J24" s="52"/>
      <c r="K24" s="129"/>
      <c r="L24" s="54">
        <f t="shared" si="8"/>
        <v>0</v>
      </c>
      <c r="M24" s="129"/>
      <c r="N24" s="54">
        <f t="shared" si="9"/>
        <v>0</v>
      </c>
      <c r="O24" s="54">
        <f t="shared" si="10"/>
        <v>0</v>
      </c>
      <c r="P24" s="1"/>
    </row>
    <row r="25" spans="2:16" ht="12.5">
      <c r="B25" s="7" t="str">
        <f t="shared" si="11"/>
        <v/>
      </c>
      <c r="C25" s="50">
        <f>IF(D11="","-",+C24+1)</f>
        <v>2032</v>
      </c>
      <c r="D25" s="55">
        <f>IF(F24+SUM(E$17:E24)=D$10,F24,D$10-SUM(E$17:E24))</f>
        <v>3082.7727272727261</v>
      </c>
      <c r="E25" s="56">
        <f>IF(+I14&lt;F24,I14,D25)</f>
        <v>83.318181818181813</v>
      </c>
      <c r="F25" s="55">
        <f t="shared" si="7"/>
        <v>2999.4545454545441</v>
      </c>
      <c r="G25" s="57">
        <f t="shared" si="0"/>
        <v>446.81377180670052</v>
      </c>
      <c r="H25" s="41">
        <f t="shared" si="1"/>
        <v>446.81377180670052</v>
      </c>
      <c r="I25" s="52">
        <f t="shared" si="2"/>
        <v>0</v>
      </c>
      <c r="J25" s="52"/>
      <c r="K25" s="129"/>
      <c r="L25" s="54">
        <f t="shared" si="8"/>
        <v>0</v>
      </c>
      <c r="M25" s="129"/>
      <c r="N25" s="54">
        <f t="shared" si="9"/>
        <v>0</v>
      </c>
      <c r="O25" s="54">
        <f t="shared" si="10"/>
        <v>0</v>
      </c>
      <c r="P25" s="1"/>
    </row>
    <row r="26" spans="2:16" ht="12.5">
      <c r="B26" s="7" t="str">
        <f t="shared" si="11"/>
        <v/>
      </c>
      <c r="C26" s="50">
        <f>IF(D11="","-",+C25+1)</f>
        <v>2033</v>
      </c>
      <c r="D26" s="55">
        <f>IF(F25+SUM(E$17:E25)=D$10,F25,D$10-SUM(E$17:E25))</f>
        <v>2999.4545454545441</v>
      </c>
      <c r="E26" s="56">
        <f>IF(+I14&lt;F25,I14,D26)</f>
        <v>83.318181818181813</v>
      </c>
      <c r="F26" s="55">
        <f t="shared" si="7"/>
        <v>2916.1363636363621</v>
      </c>
      <c r="G26" s="57">
        <f t="shared" si="0"/>
        <v>436.85498851934381</v>
      </c>
      <c r="H26" s="41">
        <f t="shared" si="1"/>
        <v>436.85498851934381</v>
      </c>
      <c r="I26" s="52">
        <f t="shared" si="2"/>
        <v>0</v>
      </c>
      <c r="J26" s="52"/>
      <c r="K26" s="129"/>
      <c r="L26" s="54">
        <f t="shared" si="8"/>
        <v>0</v>
      </c>
      <c r="M26" s="129"/>
      <c r="N26" s="54">
        <f t="shared" si="9"/>
        <v>0</v>
      </c>
      <c r="O26" s="54">
        <f t="shared" si="10"/>
        <v>0</v>
      </c>
      <c r="P26" s="1"/>
    </row>
    <row r="27" spans="2:16" ht="12.5">
      <c r="B27" s="7" t="str">
        <f t="shared" si="11"/>
        <v/>
      </c>
      <c r="C27" s="50">
        <f>IF(D11="","-",+C26+1)</f>
        <v>2034</v>
      </c>
      <c r="D27" s="55">
        <f>IF(F26+SUM(E$17:E26)=D$10,F26,D$10-SUM(E$17:E26))</f>
        <v>2916.1363636363621</v>
      </c>
      <c r="E27" s="56">
        <f>IF(+I14&lt;F26,I14,D27)</f>
        <v>83.318181818181813</v>
      </c>
      <c r="F27" s="55">
        <f t="shared" si="7"/>
        <v>2832.8181818181802</v>
      </c>
      <c r="G27" s="57">
        <f t="shared" si="0"/>
        <v>426.8962052319871</v>
      </c>
      <c r="H27" s="41">
        <f t="shared" si="1"/>
        <v>426.8962052319871</v>
      </c>
      <c r="I27" s="52">
        <f t="shared" si="2"/>
        <v>0</v>
      </c>
      <c r="J27" s="52"/>
      <c r="K27" s="129"/>
      <c r="L27" s="54">
        <f t="shared" si="8"/>
        <v>0</v>
      </c>
      <c r="M27" s="129"/>
      <c r="N27" s="54">
        <f t="shared" si="9"/>
        <v>0</v>
      </c>
      <c r="O27" s="54">
        <f t="shared" si="10"/>
        <v>0</v>
      </c>
      <c r="P27" s="1"/>
    </row>
    <row r="28" spans="2:16" ht="12.5">
      <c r="B28" s="7" t="str">
        <f t="shared" si="11"/>
        <v/>
      </c>
      <c r="C28" s="50">
        <f>IF(D11="","-",+C27+1)</f>
        <v>2035</v>
      </c>
      <c r="D28" s="55">
        <f>IF(F27+SUM(E$17:E27)=D$10,F27,D$10-SUM(E$17:E27))</f>
        <v>2832.8181818181802</v>
      </c>
      <c r="E28" s="56">
        <f>IF(+I14&lt;F27,I14,D28)</f>
        <v>83.318181818181813</v>
      </c>
      <c r="F28" s="55">
        <f t="shared" si="7"/>
        <v>2749.4999999999982</v>
      </c>
      <c r="G28" s="57">
        <f t="shared" si="0"/>
        <v>416.93742194463039</v>
      </c>
      <c r="H28" s="41">
        <f t="shared" si="1"/>
        <v>416.93742194463039</v>
      </c>
      <c r="I28" s="52">
        <f t="shared" si="2"/>
        <v>0</v>
      </c>
      <c r="J28" s="52"/>
      <c r="K28" s="129"/>
      <c r="L28" s="54">
        <f t="shared" si="8"/>
        <v>0</v>
      </c>
      <c r="M28" s="129"/>
      <c r="N28" s="54">
        <f t="shared" si="9"/>
        <v>0</v>
      </c>
      <c r="O28" s="54">
        <f t="shared" si="10"/>
        <v>0</v>
      </c>
      <c r="P28" s="1"/>
    </row>
    <row r="29" spans="2:16" ht="12.5">
      <c r="B29" s="7" t="str">
        <f t="shared" si="11"/>
        <v/>
      </c>
      <c r="C29" s="50">
        <f>IF(D11="","-",+C28+1)</f>
        <v>2036</v>
      </c>
      <c r="D29" s="55">
        <f>IF(F28+SUM(E$17:E28)=D$10,F28,D$10-SUM(E$17:E28))</f>
        <v>2749.4999999999982</v>
      </c>
      <c r="E29" s="56">
        <f>IF(+I14&lt;F28,I14,D29)</f>
        <v>83.318181818181813</v>
      </c>
      <c r="F29" s="55">
        <f t="shared" si="7"/>
        <v>2666.1818181818162</v>
      </c>
      <c r="G29" s="57">
        <f t="shared" si="0"/>
        <v>406.97863865727368</v>
      </c>
      <c r="H29" s="41">
        <f t="shared" si="1"/>
        <v>406.97863865727368</v>
      </c>
      <c r="I29" s="52">
        <f t="shared" si="2"/>
        <v>0</v>
      </c>
      <c r="J29" s="52"/>
      <c r="K29" s="129"/>
      <c r="L29" s="54">
        <f t="shared" si="8"/>
        <v>0</v>
      </c>
      <c r="M29" s="129"/>
      <c r="N29" s="54">
        <f t="shared" si="9"/>
        <v>0</v>
      </c>
      <c r="O29" s="54">
        <f t="shared" si="10"/>
        <v>0</v>
      </c>
      <c r="P29" s="1"/>
    </row>
    <row r="30" spans="2:16" ht="12.5">
      <c r="B30" s="7" t="str">
        <f t="shared" si="11"/>
        <v/>
      </c>
      <c r="C30" s="50">
        <f>IF(D11="","-",+C29+1)</f>
        <v>2037</v>
      </c>
      <c r="D30" s="55">
        <f>IF(F29+SUM(E$17:E29)=D$10,F29,D$10-SUM(E$17:E29))</f>
        <v>2666.1818181818162</v>
      </c>
      <c r="E30" s="56">
        <f>IF(+I14&lt;F29,I14,D30)</f>
        <v>83.318181818181813</v>
      </c>
      <c r="F30" s="55">
        <f t="shared" si="7"/>
        <v>2582.8636363636342</v>
      </c>
      <c r="G30" s="57">
        <f t="shared" si="0"/>
        <v>397.01985536991702</v>
      </c>
      <c r="H30" s="41">
        <f t="shared" si="1"/>
        <v>397.01985536991702</v>
      </c>
      <c r="I30" s="52">
        <f t="shared" si="2"/>
        <v>0</v>
      </c>
      <c r="J30" s="52"/>
      <c r="K30" s="129"/>
      <c r="L30" s="54">
        <f t="shared" si="8"/>
        <v>0</v>
      </c>
      <c r="M30" s="129"/>
      <c r="N30" s="54">
        <f t="shared" si="9"/>
        <v>0</v>
      </c>
      <c r="O30" s="54">
        <f t="shared" si="10"/>
        <v>0</v>
      </c>
      <c r="P30" s="1"/>
    </row>
    <row r="31" spans="2:16" ht="12.5">
      <c r="B31" s="7" t="str">
        <f t="shared" si="11"/>
        <v/>
      </c>
      <c r="C31" s="50">
        <f>IF(D11="","-",+C30+1)</f>
        <v>2038</v>
      </c>
      <c r="D31" s="55">
        <f>IF(F30+SUM(E$17:E30)=D$10,F30,D$10-SUM(E$17:E30))</f>
        <v>2582.8636363636342</v>
      </c>
      <c r="E31" s="56">
        <f>IF(+I14&lt;F30,I14,D31)</f>
        <v>83.318181818181813</v>
      </c>
      <c r="F31" s="55">
        <f t="shared" si="7"/>
        <v>2499.5454545454522</v>
      </c>
      <c r="G31" s="57">
        <f t="shared" si="0"/>
        <v>387.06107208256032</v>
      </c>
      <c r="H31" s="41">
        <f t="shared" si="1"/>
        <v>387.06107208256032</v>
      </c>
      <c r="I31" s="52">
        <f t="shared" si="2"/>
        <v>0</v>
      </c>
      <c r="J31" s="52"/>
      <c r="K31" s="129"/>
      <c r="L31" s="54">
        <f t="shared" si="8"/>
        <v>0</v>
      </c>
      <c r="M31" s="129"/>
      <c r="N31" s="54">
        <f t="shared" si="9"/>
        <v>0</v>
      </c>
      <c r="O31" s="54">
        <f t="shared" si="10"/>
        <v>0</v>
      </c>
      <c r="P31" s="1"/>
    </row>
    <row r="32" spans="2:16" ht="12.5">
      <c r="B32" s="7" t="str">
        <f t="shared" si="11"/>
        <v/>
      </c>
      <c r="C32" s="50">
        <f>IF(D11="","-",+C31+1)</f>
        <v>2039</v>
      </c>
      <c r="D32" s="55">
        <f>IF(F31+SUM(E$17:E31)=D$10,F31,D$10-SUM(E$17:E31))</f>
        <v>2499.5454545454522</v>
      </c>
      <c r="E32" s="56">
        <f>IF(+I14&lt;F31,I14,D32)</f>
        <v>83.318181818181813</v>
      </c>
      <c r="F32" s="55">
        <f t="shared" si="7"/>
        <v>2416.2272727272702</v>
      </c>
      <c r="G32" s="57">
        <f t="shared" si="0"/>
        <v>377.10228879520361</v>
      </c>
      <c r="H32" s="41">
        <f t="shared" si="1"/>
        <v>377.10228879520361</v>
      </c>
      <c r="I32" s="52">
        <f t="shared" si="2"/>
        <v>0</v>
      </c>
      <c r="J32" s="52"/>
      <c r="K32" s="129"/>
      <c r="L32" s="54">
        <f t="shared" si="8"/>
        <v>0</v>
      </c>
      <c r="M32" s="129"/>
      <c r="N32" s="54">
        <f t="shared" si="9"/>
        <v>0</v>
      </c>
      <c r="O32" s="54">
        <f t="shared" si="10"/>
        <v>0</v>
      </c>
      <c r="P32" s="1"/>
    </row>
    <row r="33" spans="2:16" ht="12.5">
      <c r="B33" s="7" t="str">
        <f t="shared" si="11"/>
        <v/>
      </c>
      <c r="C33" s="50">
        <f>IF(D11="","-",+C32+1)</f>
        <v>2040</v>
      </c>
      <c r="D33" s="55">
        <f>IF(F32+SUM(E$17:E32)=D$10,F32,D$10-SUM(E$17:E32))</f>
        <v>2416.2272727272702</v>
      </c>
      <c r="E33" s="56">
        <f>IF(+I14&lt;F32,I14,D33)</f>
        <v>83.318181818181813</v>
      </c>
      <c r="F33" s="55">
        <f t="shared" si="7"/>
        <v>2332.9090909090883</v>
      </c>
      <c r="G33" s="57">
        <f t="shared" si="0"/>
        <v>367.1435055078469</v>
      </c>
      <c r="H33" s="41">
        <f t="shared" si="1"/>
        <v>367.1435055078469</v>
      </c>
      <c r="I33" s="52">
        <f t="shared" si="2"/>
        <v>0</v>
      </c>
      <c r="J33" s="52"/>
      <c r="K33" s="129"/>
      <c r="L33" s="54">
        <f t="shared" si="8"/>
        <v>0</v>
      </c>
      <c r="M33" s="129"/>
      <c r="N33" s="54">
        <f t="shared" si="9"/>
        <v>0</v>
      </c>
      <c r="O33" s="54">
        <f t="shared" si="10"/>
        <v>0</v>
      </c>
      <c r="P33" s="1"/>
    </row>
    <row r="34" spans="2:16" ht="12.5">
      <c r="B34" s="7" t="str">
        <f t="shared" si="11"/>
        <v/>
      </c>
      <c r="C34" s="50">
        <f>IF(D11="","-",+C33+1)</f>
        <v>2041</v>
      </c>
      <c r="D34" s="55">
        <f>IF(F33+SUM(E$17:E33)=D$10,F33,D$10-SUM(E$17:E33))</f>
        <v>2332.9090909090883</v>
      </c>
      <c r="E34" s="56">
        <f>IF(+I14&lt;F33,I14,D34)</f>
        <v>83.318181818181813</v>
      </c>
      <c r="F34" s="55">
        <f t="shared" si="7"/>
        <v>2249.5909090909063</v>
      </c>
      <c r="G34" s="57">
        <f t="shared" si="0"/>
        <v>357.18472222049019</v>
      </c>
      <c r="H34" s="41">
        <f t="shared" si="1"/>
        <v>357.18472222049019</v>
      </c>
      <c r="I34" s="52">
        <f t="shared" si="2"/>
        <v>0</v>
      </c>
      <c r="J34" s="52"/>
      <c r="K34" s="129"/>
      <c r="L34" s="54">
        <f t="shared" si="8"/>
        <v>0</v>
      </c>
      <c r="M34" s="129"/>
      <c r="N34" s="54">
        <f t="shared" si="9"/>
        <v>0</v>
      </c>
      <c r="O34" s="54">
        <f t="shared" si="10"/>
        <v>0</v>
      </c>
      <c r="P34" s="1"/>
    </row>
    <row r="35" spans="2:16" ht="12.5">
      <c r="B35" s="7" t="str">
        <f t="shared" si="11"/>
        <v/>
      </c>
      <c r="C35" s="50">
        <f>IF(D11="","-",+C34+1)</f>
        <v>2042</v>
      </c>
      <c r="D35" s="55">
        <f>IF(F34+SUM(E$17:E34)=D$10,F34,D$10-SUM(E$17:E34))</f>
        <v>2249.5909090909063</v>
      </c>
      <c r="E35" s="56">
        <f>IF(+I14&lt;F34,I14,D35)</f>
        <v>83.318181818181813</v>
      </c>
      <c r="F35" s="55">
        <f t="shared" si="7"/>
        <v>2166.2727272727243</v>
      </c>
      <c r="G35" s="57">
        <f t="shared" si="0"/>
        <v>347.22593893313348</v>
      </c>
      <c r="H35" s="41">
        <f t="shared" si="1"/>
        <v>347.22593893313348</v>
      </c>
      <c r="I35" s="52">
        <f t="shared" si="2"/>
        <v>0</v>
      </c>
      <c r="J35" s="52"/>
      <c r="K35" s="129"/>
      <c r="L35" s="54">
        <f t="shared" si="8"/>
        <v>0</v>
      </c>
      <c r="M35" s="129"/>
      <c r="N35" s="54">
        <f t="shared" si="9"/>
        <v>0</v>
      </c>
      <c r="O35" s="54">
        <f t="shared" si="10"/>
        <v>0</v>
      </c>
      <c r="P35" s="1"/>
    </row>
    <row r="36" spans="2:16" ht="12.5">
      <c r="B36" s="7" t="str">
        <f t="shared" si="11"/>
        <v/>
      </c>
      <c r="C36" s="50">
        <f>IF(D11="","-",+C35+1)</f>
        <v>2043</v>
      </c>
      <c r="D36" s="55">
        <f>IF(F35+SUM(E$17:E35)=D$10,F35,D$10-SUM(E$17:E35))</f>
        <v>2166.2727272727243</v>
      </c>
      <c r="E36" s="56">
        <f>IF(+I14&lt;F35,I14,D36)</f>
        <v>83.318181818181813</v>
      </c>
      <c r="F36" s="55">
        <f t="shared" si="7"/>
        <v>2082.9545454545423</v>
      </c>
      <c r="G36" s="57">
        <f t="shared" si="0"/>
        <v>337.26715564577682</v>
      </c>
      <c r="H36" s="41">
        <f t="shared" si="1"/>
        <v>337.26715564577682</v>
      </c>
      <c r="I36" s="52">
        <f t="shared" si="2"/>
        <v>0</v>
      </c>
      <c r="J36" s="52"/>
      <c r="K36" s="129"/>
      <c r="L36" s="54">
        <f t="shared" si="8"/>
        <v>0</v>
      </c>
      <c r="M36" s="129"/>
      <c r="N36" s="54">
        <f t="shared" si="9"/>
        <v>0</v>
      </c>
      <c r="O36" s="54">
        <f t="shared" si="10"/>
        <v>0</v>
      </c>
      <c r="P36" s="1"/>
    </row>
    <row r="37" spans="2:16" ht="12.5">
      <c r="B37" s="7" t="str">
        <f t="shared" si="11"/>
        <v/>
      </c>
      <c r="C37" s="50">
        <f>IF(D11="","-",+C36+1)</f>
        <v>2044</v>
      </c>
      <c r="D37" s="55">
        <f>IF(F36+SUM(E$17:E36)=D$10,F36,D$10-SUM(E$17:E36))</f>
        <v>2082.9545454545423</v>
      </c>
      <c r="E37" s="56">
        <f>IF(+I14&lt;F36,I14,D37)</f>
        <v>83.318181818181813</v>
      </c>
      <c r="F37" s="55">
        <f t="shared" si="7"/>
        <v>1999.6363636363606</v>
      </c>
      <c r="G37" s="57">
        <f t="shared" si="0"/>
        <v>327.30837235842012</v>
      </c>
      <c r="H37" s="41">
        <f t="shared" si="1"/>
        <v>327.30837235842012</v>
      </c>
      <c r="I37" s="52">
        <f t="shared" si="2"/>
        <v>0</v>
      </c>
      <c r="J37" s="52"/>
      <c r="K37" s="129"/>
      <c r="L37" s="54">
        <f t="shared" si="8"/>
        <v>0</v>
      </c>
      <c r="M37" s="129"/>
      <c r="N37" s="54">
        <f t="shared" si="9"/>
        <v>0</v>
      </c>
      <c r="O37" s="54">
        <f t="shared" si="10"/>
        <v>0</v>
      </c>
      <c r="P37" s="1"/>
    </row>
    <row r="38" spans="2:16" ht="12.5">
      <c r="B38" s="7" t="str">
        <f t="shared" si="11"/>
        <v/>
      </c>
      <c r="C38" s="50">
        <f>IF(D11="","-",+C37+1)</f>
        <v>2045</v>
      </c>
      <c r="D38" s="55">
        <f>IF(F37+SUM(E$17:E37)=D$10,F37,D$10-SUM(E$17:E37))</f>
        <v>1999.6363636363606</v>
      </c>
      <c r="E38" s="56">
        <f>IF(+I14&lt;F37,I14,D38)</f>
        <v>83.318181818181813</v>
      </c>
      <c r="F38" s="55">
        <f t="shared" si="7"/>
        <v>1916.3181818181788</v>
      </c>
      <c r="G38" s="57">
        <f t="shared" si="0"/>
        <v>317.34958907106346</v>
      </c>
      <c r="H38" s="41">
        <f t="shared" si="1"/>
        <v>317.34958907106346</v>
      </c>
      <c r="I38" s="52">
        <f t="shared" si="2"/>
        <v>0</v>
      </c>
      <c r="J38" s="52"/>
      <c r="K38" s="129"/>
      <c r="L38" s="54">
        <f t="shared" si="8"/>
        <v>0</v>
      </c>
      <c r="M38" s="129"/>
      <c r="N38" s="54">
        <f t="shared" si="9"/>
        <v>0</v>
      </c>
      <c r="O38" s="54">
        <f t="shared" si="10"/>
        <v>0</v>
      </c>
      <c r="P38" s="1"/>
    </row>
    <row r="39" spans="2:16" ht="12.5">
      <c r="B39" s="7" t="str">
        <f t="shared" si="11"/>
        <v/>
      </c>
      <c r="C39" s="50">
        <f>IF(D11="","-",+C38+1)</f>
        <v>2046</v>
      </c>
      <c r="D39" s="55">
        <f>IF(F38+SUM(E$17:E38)=D$10,F38,D$10-SUM(E$17:E38))</f>
        <v>1916.3181818181788</v>
      </c>
      <c r="E39" s="56">
        <f>IF(+I14&lt;F38,I14,D39)</f>
        <v>83.318181818181813</v>
      </c>
      <c r="F39" s="55">
        <f t="shared" si="7"/>
        <v>1832.999999999997</v>
      </c>
      <c r="G39" s="57">
        <f t="shared" si="0"/>
        <v>307.39080578370675</v>
      </c>
      <c r="H39" s="41">
        <f t="shared" si="1"/>
        <v>307.39080578370675</v>
      </c>
      <c r="I39" s="52">
        <f t="shared" si="2"/>
        <v>0</v>
      </c>
      <c r="J39" s="52"/>
      <c r="K39" s="129"/>
      <c r="L39" s="54">
        <f t="shared" si="8"/>
        <v>0</v>
      </c>
      <c r="M39" s="129"/>
      <c r="N39" s="54">
        <f t="shared" si="9"/>
        <v>0</v>
      </c>
      <c r="O39" s="54">
        <f t="shared" si="10"/>
        <v>0</v>
      </c>
      <c r="P39" s="1"/>
    </row>
    <row r="40" spans="2:16" ht="12.5">
      <c r="B40" s="7" t="str">
        <f t="shared" si="11"/>
        <v/>
      </c>
      <c r="C40" s="50">
        <f>IF(D11="","-",+C39+1)</f>
        <v>2047</v>
      </c>
      <c r="D40" s="55">
        <f>IF(F39+SUM(E$17:E39)=D$10,F39,D$10-SUM(E$17:E39))</f>
        <v>1832.999999999997</v>
      </c>
      <c r="E40" s="56">
        <f>IF(+I14&lt;F39,I14,D40)</f>
        <v>83.318181818181813</v>
      </c>
      <c r="F40" s="55">
        <f t="shared" si="7"/>
        <v>1749.6818181818153</v>
      </c>
      <c r="G40" s="57">
        <f t="shared" si="0"/>
        <v>297.4320224963501</v>
      </c>
      <c r="H40" s="41">
        <f t="shared" si="1"/>
        <v>297.4320224963501</v>
      </c>
      <c r="I40" s="52">
        <f t="shared" si="2"/>
        <v>0</v>
      </c>
      <c r="J40" s="52"/>
      <c r="K40" s="129"/>
      <c r="L40" s="54">
        <f t="shared" si="8"/>
        <v>0</v>
      </c>
      <c r="M40" s="129"/>
      <c r="N40" s="54">
        <f t="shared" si="9"/>
        <v>0</v>
      </c>
      <c r="O40" s="54">
        <f t="shared" si="10"/>
        <v>0</v>
      </c>
      <c r="P40" s="1"/>
    </row>
    <row r="41" spans="2:16" ht="12.5">
      <c r="B41" s="7" t="str">
        <f t="shared" si="11"/>
        <v/>
      </c>
      <c r="C41" s="50">
        <f>IF(D11="","-",+C40+1)</f>
        <v>2048</v>
      </c>
      <c r="D41" s="55">
        <f>IF(F40+SUM(E$17:E40)=D$10,F40,D$10-SUM(E$17:E40))</f>
        <v>1749.6818181818153</v>
      </c>
      <c r="E41" s="56">
        <f>IF(+I14&lt;F40,I14,D41)</f>
        <v>83.318181818181813</v>
      </c>
      <c r="F41" s="55">
        <f t="shared" si="7"/>
        <v>1666.3636363636335</v>
      </c>
      <c r="G41" s="57">
        <f t="shared" si="0"/>
        <v>287.47323920899339</v>
      </c>
      <c r="H41" s="41">
        <f t="shared" si="1"/>
        <v>287.47323920899339</v>
      </c>
      <c r="I41" s="52">
        <f t="shared" si="2"/>
        <v>0</v>
      </c>
      <c r="J41" s="52"/>
      <c r="K41" s="129"/>
      <c r="L41" s="54">
        <f t="shared" si="8"/>
        <v>0</v>
      </c>
      <c r="M41" s="129"/>
      <c r="N41" s="54">
        <f t="shared" si="9"/>
        <v>0</v>
      </c>
      <c r="O41" s="54">
        <f t="shared" si="10"/>
        <v>0</v>
      </c>
      <c r="P41" s="1"/>
    </row>
    <row r="42" spans="2:16" ht="12.5">
      <c r="B42" s="7" t="str">
        <f t="shared" si="11"/>
        <v/>
      </c>
      <c r="C42" s="50">
        <f>IF(D11="","-",+C41+1)</f>
        <v>2049</v>
      </c>
      <c r="D42" s="55">
        <f>IF(F41+SUM(E$17:E41)=D$10,F41,D$10-SUM(E$17:E41))</f>
        <v>1666.3636363636335</v>
      </c>
      <c r="E42" s="56">
        <f>IF(+I14&lt;F41,I14,D42)</f>
        <v>83.318181818181813</v>
      </c>
      <c r="F42" s="55">
        <f t="shared" si="7"/>
        <v>1583.0454545454518</v>
      </c>
      <c r="G42" s="57">
        <f t="shared" si="0"/>
        <v>277.5144559216368</v>
      </c>
      <c r="H42" s="41">
        <f t="shared" si="1"/>
        <v>277.5144559216368</v>
      </c>
      <c r="I42" s="52">
        <f t="shared" si="2"/>
        <v>0</v>
      </c>
      <c r="J42" s="52"/>
      <c r="K42" s="129"/>
      <c r="L42" s="54">
        <f t="shared" si="8"/>
        <v>0</v>
      </c>
      <c r="M42" s="129"/>
      <c r="N42" s="54">
        <f t="shared" si="9"/>
        <v>0</v>
      </c>
      <c r="O42" s="54">
        <f t="shared" si="10"/>
        <v>0</v>
      </c>
      <c r="P42" s="1"/>
    </row>
    <row r="43" spans="2:16" ht="12.5">
      <c r="B43" s="7" t="str">
        <f t="shared" si="11"/>
        <v/>
      </c>
      <c r="C43" s="50">
        <f>IF(D11="","-",+C42+1)</f>
        <v>2050</v>
      </c>
      <c r="D43" s="55">
        <f>IF(F42+SUM(E$17:E42)=D$10,F42,D$10-SUM(E$17:E42))</f>
        <v>1583.0454545454518</v>
      </c>
      <c r="E43" s="56">
        <f>IF(+I14&lt;F42,I14,D43)</f>
        <v>83.318181818181813</v>
      </c>
      <c r="F43" s="55">
        <f t="shared" si="7"/>
        <v>1499.72727272727</v>
      </c>
      <c r="G43" s="57">
        <f t="shared" si="0"/>
        <v>267.55567263428009</v>
      </c>
      <c r="H43" s="41">
        <f t="shared" si="1"/>
        <v>267.55567263428009</v>
      </c>
      <c r="I43" s="52">
        <f t="shared" si="2"/>
        <v>0</v>
      </c>
      <c r="J43" s="52"/>
      <c r="K43" s="129"/>
      <c r="L43" s="54">
        <f t="shared" si="8"/>
        <v>0</v>
      </c>
      <c r="M43" s="129"/>
      <c r="N43" s="54">
        <f t="shared" si="9"/>
        <v>0</v>
      </c>
      <c r="O43" s="54">
        <f t="shared" si="10"/>
        <v>0</v>
      </c>
      <c r="P43" s="1"/>
    </row>
    <row r="44" spans="2:16" ht="12.5">
      <c r="B44" s="7" t="str">
        <f t="shared" si="11"/>
        <v/>
      </c>
      <c r="C44" s="50">
        <f>IF(D11="","-",+C43+1)</f>
        <v>2051</v>
      </c>
      <c r="D44" s="55">
        <f>IF(F43+SUM(E$17:E43)=D$10,F43,D$10-SUM(E$17:E43))</f>
        <v>1499.72727272727</v>
      </c>
      <c r="E44" s="56">
        <f>IF(+I14&lt;F43,I14,D44)</f>
        <v>83.318181818181813</v>
      </c>
      <c r="F44" s="55">
        <f t="shared" si="7"/>
        <v>1416.4090909090883</v>
      </c>
      <c r="G44" s="57">
        <f t="shared" si="0"/>
        <v>257.59688934692338</v>
      </c>
      <c r="H44" s="41">
        <f t="shared" si="1"/>
        <v>257.59688934692338</v>
      </c>
      <c r="I44" s="52">
        <f t="shared" si="2"/>
        <v>0</v>
      </c>
      <c r="J44" s="52"/>
      <c r="K44" s="129"/>
      <c r="L44" s="54">
        <f t="shared" si="8"/>
        <v>0</v>
      </c>
      <c r="M44" s="129"/>
      <c r="N44" s="54">
        <f t="shared" si="9"/>
        <v>0</v>
      </c>
      <c r="O44" s="54">
        <f t="shared" si="10"/>
        <v>0</v>
      </c>
      <c r="P44" s="1"/>
    </row>
    <row r="45" spans="2:16" ht="12.5">
      <c r="B45" s="7" t="str">
        <f t="shared" si="11"/>
        <v/>
      </c>
      <c r="C45" s="50">
        <f>IF(D11="","-",+C44+1)</f>
        <v>2052</v>
      </c>
      <c r="D45" s="55">
        <f>IF(F44+SUM(E$17:E44)=D$10,F44,D$10-SUM(E$17:E44))</f>
        <v>1416.4090909090883</v>
      </c>
      <c r="E45" s="56">
        <f>IF(+I14&lt;F44,I14,D45)</f>
        <v>83.318181818181813</v>
      </c>
      <c r="F45" s="55">
        <f t="shared" si="7"/>
        <v>1333.0909090909065</v>
      </c>
      <c r="G45" s="57">
        <f t="shared" si="0"/>
        <v>247.63810605956672</v>
      </c>
      <c r="H45" s="41">
        <f t="shared" si="1"/>
        <v>247.63810605956672</v>
      </c>
      <c r="I45" s="52">
        <f t="shared" si="2"/>
        <v>0</v>
      </c>
      <c r="J45" s="52"/>
      <c r="K45" s="129"/>
      <c r="L45" s="54">
        <f t="shared" si="8"/>
        <v>0</v>
      </c>
      <c r="M45" s="129"/>
      <c r="N45" s="54">
        <f t="shared" si="9"/>
        <v>0</v>
      </c>
      <c r="O45" s="54">
        <f t="shared" si="10"/>
        <v>0</v>
      </c>
      <c r="P45" s="1"/>
    </row>
    <row r="46" spans="2:16" ht="12.5">
      <c r="B46" s="7" t="str">
        <f t="shared" si="11"/>
        <v/>
      </c>
      <c r="C46" s="50">
        <f>IF(D11="","-",+C45+1)</f>
        <v>2053</v>
      </c>
      <c r="D46" s="55">
        <f>IF(F45+SUM(E$17:E45)=D$10,F45,D$10-SUM(E$17:E45))</f>
        <v>1333.0909090909065</v>
      </c>
      <c r="E46" s="56">
        <f>IF(+I14&lt;F45,I14,D46)</f>
        <v>83.318181818181813</v>
      </c>
      <c r="F46" s="55">
        <f t="shared" si="7"/>
        <v>1249.7727272727248</v>
      </c>
      <c r="G46" s="57">
        <f t="shared" si="0"/>
        <v>237.67932277221007</v>
      </c>
      <c r="H46" s="41">
        <f t="shared" si="1"/>
        <v>237.67932277221007</v>
      </c>
      <c r="I46" s="52">
        <f t="shared" si="2"/>
        <v>0</v>
      </c>
      <c r="J46" s="52"/>
      <c r="K46" s="129"/>
      <c r="L46" s="54">
        <f t="shared" si="8"/>
        <v>0</v>
      </c>
      <c r="M46" s="129"/>
      <c r="N46" s="54">
        <f t="shared" si="9"/>
        <v>0</v>
      </c>
      <c r="O46" s="54">
        <f t="shared" si="10"/>
        <v>0</v>
      </c>
      <c r="P46" s="1"/>
    </row>
    <row r="47" spans="2:16" ht="12.5">
      <c r="B47" s="7" t="str">
        <f t="shared" si="11"/>
        <v/>
      </c>
      <c r="C47" s="50">
        <f>IF(D11="","-",+C46+1)</f>
        <v>2054</v>
      </c>
      <c r="D47" s="55">
        <f>IF(F46+SUM(E$17:E46)=D$10,F46,D$10-SUM(E$17:E46))</f>
        <v>1249.7727272727248</v>
      </c>
      <c r="E47" s="56">
        <f>IF(+I14&lt;F46,I14,D47)</f>
        <v>83.318181818181813</v>
      </c>
      <c r="F47" s="55">
        <f t="shared" si="7"/>
        <v>1166.454545454543</v>
      </c>
      <c r="G47" s="57">
        <f t="shared" si="0"/>
        <v>227.72053948485336</v>
      </c>
      <c r="H47" s="41">
        <f t="shared" si="1"/>
        <v>227.72053948485336</v>
      </c>
      <c r="I47" s="52">
        <f t="shared" si="2"/>
        <v>0</v>
      </c>
      <c r="J47" s="52"/>
      <c r="K47" s="129"/>
      <c r="L47" s="54">
        <f t="shared" si="8"/>
        <v>0</v>
      </c>
      <c r="M47" s="129"/>
      <c r="N47" s="54">
        <f t="shared" si="9"/>
        <v>0</v>
      </c>
      <c r="O47" s="54">
        <f t="shared" si="10"/>
        <v>0</v>
      </c>
      <c r="P47" s="1"/>
    </row>
    <row r="48" spans="2:16" ht="12.5">
      <c r="B48" s="7" t="str">
        <f t="shared" si="11"/>
        <v/>
      </c>
      <c r="C48" s="50">
        <f>IF(D11="","-",+C47+1)</f>
        <v>2055</v>
      </c>
      <c r="D48" s="55">
        <f>IF(F47+SUM(E$17:E47)=D$10,F47,D$10-SUM(E$17:E47))</f>
        <v>1166.454545454543</v>
      </c>
      <c r="E48" s="56">
        <f>IF(+I14&lt;F47,I14,D48)</f>
        <v>83.318181818181813</v>
      </c>
      <c r="F48" s="55">
        <f t="shared" si="7"/>
        <v>1083.1363636363612</v>
      </c>
      <c r="G48" s="57">
        <f t="shared" si="0"/>
        <v>217.76175619749674</v>
      </c>
      <c r="H48" s="41">
        <f t="shared" si="1"/>
        <v>217.76175619749674</v>
      </c>
      <c r="I48" s="52">
        <f t="shared" si="2"/>
        <v>0</v>
      </c>
      <c r="J48" s="52"/>
      <c r="K48" s="129"/>
      <c r="L48" s="54">
        <f t="shared" si="8"/>
        <v>0</v>
      </c>
      <c r="M48" s="129"/>
      <c r="N48" s="54">
        <f t="shared" si="9"/>
        <v>0</v>
      </c>
      <c r="O48" s="54">
        <f t="shared" si="10"/>
        <v>0</v>
      </c>
      <c r="P48" s="1"/>
    </row>
    <row r="49" spans="2:16" ht="12.5">
      <c r="B49" s="7" t="str">
        <f t="shared" si="11"/>
        <v/>
      </c>
      <c r="C49" s="50">
        <f>IF(D11="","-",+C48+1)</f>
        <v>2056</v>
      </c>
      <c r="D49" s="55">
        <f>IF(F48+SUM(E$17:E48)=D$10,F48,D$10-SUM(E$17:E48))</f>
        <v>1083.1363636363612</v>
      </c>
      <c r="E49" s="56">
        <f>IF(+I14&lt;F48,I14,D49)</f>
        <v>83.318181818181813</v>
      </c>
      <c r="F49" s="55">
        <f t="shared" ref="F49:F72" si="12">+D49-E49</f>
        <v>999.81818181817948</v>
      </c>
      <c r="G49" s="57">
        <f t="shared" ref="G49:G72" si="13">+I$12*((D49+F49)/2)+E49</f>
        <v>207.80297291014003</v>
      </c>
      <c r="H49" s="41">
        <f t="shared" ref="H49:H72" si="14">+I$13*((D49+F49)/2)+E49</f>
        <v>207.80297291014003</v>
      </c>
      <c r="I49" s="52">
        <f t="shared" ref="I49:I72" si="15">H49-G49</f>
        <v>0</v>
      </c>
      <c r="J49" s="52"/>
      <c r="K49" s="129"/>
      <c r="L49" s="54">
        <f t="shared" ref="L49:L72" si="16">IF(K49&lt;&gt;0,+G49-K49,0)</f>
        <v>0</v>
      </c>
      <c r="M49" s="129"/>
      <c r="N49" s="54">
        <f t="shared" ref="N49:N72" si="17">IF(M49&lt;&gt;0,+H49-M49,0)</f>
        <v>0</v>
      </c>
      <c r="O49" s="54">
        <f t="shared" ref="O49:O72" si="18">+N49-L49</f>
        <v>0</v>
      </c>
      <c r="P49" s="1"/>
    </row>
    <row r="50" spans="2:16" ht="12.5">
      <c r="B50" s="7" t="str">
        <f t="shared" si="11"/>
        <v/>
      </c>
      <c r="C50" s="50">
        <f>IF(D11="","-",+C49+1)</f>
        <v>2057</v>
      </c>
      <c r="D50" s="55">
        <f>IF(F49+SUM(E$17:E49)=D$10,F49,D$10-SUM(E$17:E49))</f>
        <v>999.81818181817948</v>
      </c>
      <c r="E50" s="56">
        <f>IF(+I14&lt;F49,I14,D50)</f>
        <v>83.318181818181813</v>
      </c>
      <c r="F50" s="55">
        <f t="shared" si="12"/>
        <v>916.49999999999773</v>
      </c>
      <c r="G50" s="57">
        <f t="shared" si="13"/>
        <v>197.84418962278335</v>
      </c>
      <c r="H50" s="41">
        <f t="shared" si="14"/>
        <v>197.84418962278335</v>
      </c>
      <c r="I50" s="52">
        <f t="shared" si="15"/>
        <v>0</v>
      </c>
      <c r="J50" s="52"/>
      <c r="K50" s="129"/>
      <c r="L50" s="54">
        <f t="shared" si="16"/>
        <v>0</v>
      </c>
      <c r="M50" s="129"/>
      <c r="N50" s="54">
        <f t="shared" si="17"/>
        <v>0</v>
      </c>
      <c r="O50" s="54">
        <f t="shared" si="18"/>
        <v>0</v>
      </c>
      <c r="P50" s="1"/>
    </row>
    <row r="51" spans="2:16" ht="12.5">
      <c r="B51" s="7" t="str">
        <f t="shared" si="11"/>
        <v/>
      </c>
      <c r="C51" s="50">
        <f>IF(D11="","-",+C50+1)</f>
        <v>2058</v>
      </c>
      <c r="D51" s="55">
        <f>IF(F50+SUM(E$17:E50)=D$10,F50,D$10-SUM(E$17:E50))</f>
        <v>916.49999999999773</v>
      </c>
      <c r="E51" s="56">
        <f>IF(+I14&lt;F50,I14,D51)</f>
        <v>83.318181818181813</v>
      </c>
      <c r="F51" s="55">
        <f t="shared" si="12"/>
        <v>833.18181818181597</v>
      </c>
      <c r="G51" s="57">
        <f t="shared" si="13"/>
        <v>187.88540633542669</v>
      </c>
      <c r="H51" s="41">
        <f t="shared" si="14"/>
        <v>187.88540633542669</v>
      </c>
      <c r="I51" s="52">
        <f t="shared" si="15"/>
        <v>0</v>
      </c>
      <c r="J51" s="52"/>
      <c r="K51" s="129"/>
      <c r="L51" s="54">
        <f t="shared" si="16"/>
        <v>0</v>
      </c>
      <c r="M51" s="129"/>
      <c r="N51" s="54">
        <f t="shared" si="17"/>
        <v>0</v>
      </c>
      <c r="O51" s="54">
        <f t="shared" si="18"/>
        <v>0</v>
      </c>
      <c r="P51" s="1"/>
    </row>
    <row r="52" spans="2:16" ht="12.5">
      <c r="B52" s="7" t="str">
        <f t="shared" si="11"/>
        <v/>
      </c>
      <c r="C52" s="50">
        <f>IF(D11="","-",+C51+1)</f>
        <v>2059</v>
      </c>
      <c r="D52" s="55">
        <f>IF(F51+SUM(E$17:E51)=D$10,F51,D$10-SUM(E$17:E51))</f>
        <v>833.18181818181597</v>
      </c>
      <c r="E52" s="56">
        <f>IF(+I14&lt;F51,I14,D52)</f>
        <v>83.318181818181813</v>
      </c>
      <c r="F52" s="55">
        <f t="shared" si="12"/>
        <v>749.86363636363421</v>
      </c>
      <c r="G52" s="57">
        <f t="shared" si="13"/>
        <v>177.92662304807001</v>
      </c>
      <c r="H52" s="41">
        <f t="shared" si="14"/>
        <v>177.92662304807001</v>
      </c>
      <c r="I52" s="52">
        <f t="shared" si="15"/>
        <v>0</v>
      </c>
      <c r="J52" s="52"/>
      <c r="K52" s="129"/>
      <c r="L52" s="54">
        <f t="shared" si="16"/>
        <v>0</v>
      </c>
      <c r="M52" s="129"/>
      <c r="N52" s="54">
        <f t="shared" si="17"/>
        <v>0</v>
      </c>
      <c r="O52" s="54">
        <f t="shared" si="18"/>
        <v>0</v>
      </c>
      <c r="P52" s="1"/>
    </row>
    <row r="53" spans="2:16" ht="12.5">
      <c r="B53" s="7" t="str">
        <f t="shared" si="11"/>
        <v/>
      </c>
      <c r="C53" s="50">
        <f>IF(D11="","-",+C52+1)</f>
        <v>2060</v>
      </c>
      <c r="D53" s="55">
        <f>IF(F52+SUM(E$17:E52)=D$10,F52,D$10-SUM(E$17:E52))</f>
        <v>749.86363636363421</v>
      </c>
      <c r="E53" s="56">
        <f>IF(+I14&lt;F52,I14,D53)</f>
        <v>83.318181818181813</v>
      </c>
      <c r="F53" s="55">
        <f t="shared" si="12"/>
        <v>666.54545454545246</v>
      </c>
      <c r="G53" s="57">
        <f t="shared" si="13"/>
        <v>167.96783976071333</v>
      </c>
      <c r="H53" s="41">
        <f t="shared" si="14"/>
        <v>167.96783976071333</v>
      </c>
      <c r="I53" s="52">
        <f t="shared" si="15"/>
        <v>0</v>
      </c>
      <c r="J53" s="52"/>
      <c r="K53" s="129"/>
      <c r="L53" s="54">
        <f t="shared" si="16"/>
        <v>0</v>
      </c>
      <c r="M53" s="129"/>
      <c r="N53" s="54">
        <f t="shared" si="17"/>
        <v>0</v>
      </c>
      <c r="O53" s="54">
        <f t="shared" si="18"/>
        <v>0</v>
      </c>
      <c r="P53" s="1"/>
    </row>
    <row r="54" spans="2:16" ht="12.5">
      <c r="B54" s="7" t="str">
        <f t="shared" si="11"/>
        <v/>
      </c>
      <c r="C54" s="50">
        <f>IF(D11="","-",+C53+1)</f>
        <v>2061</v>
      </c>
      <c r="D54" s="55">
        <f>IF(F53+SUM(E$17:E53)=D$10,F53,D$10-SUM(E$17:E53))</f>
        <v>666.54545454545246</v>
      </c>
      <c r="E54" s="56">
        <f>IF(+I14&lt;F53,I14,D54)</f>
        <v>83.318181818181813</v>
      </c>
      <c r="F54" s="55">
        <f t="shared" si="12"/>
        <v>583.2272727272707</v>
      </c>
      <c r="G54" s="57">
        <f t="shared" si="13"/>
        <v>158.00905647335668</v>
      </c>
      <c r="H54" s="41">
        <f t="shared" si="14"/>
        <v>158.00905647335668</v>
      </c>
      <c r="I54" s="52">
        <f t="shared" si="15"/>
        <v>0</v>
      </c>
      <c r="J54" s="52"/>
      <c r="K54" s="129"/>
      <c r="L54" s="54">
        <f t="shared" si="16"/>
        <v>0</v>
      </c>
      <c r="M54" s="129"/>
      <c r="N54" s="54">
        <f t="shared" si="17"/>
        <v>0</v>
      </c>
      <c r="O54" s="54">
        <f t="shared" si="18"/>
        <v>0</v>
      </c>
      <c r="P54" s="1"/>
    </row>
    <row r="55" spans="2:16" ht="12.5">
      <c r="B55" s="7" t="str">
        <f t="shared" si="11"/>
        <v/>
      </c>
      <c r="C55" s="50">
        <f>IF(D11="","-",+C54+1)</f>
        <v>2062</v>
      </c>
      <c r="D55" s="55">
        <f>IF(F54+SUM(E$17:E54)=D$10,F54,D$10-SUM(E$17:E54))</f>
        <v>583.2272727272707</v>
      </c>
      <c r="E55" s="56">
        <f>IF(+I14&lt;F54,I14,D55)</f>
        <v>83.318181818181813</v>
      </c>
      <c r="F55" s="55">
        <f t="shared" si="12"/>
        <v>499.90909090908889</v>
      </c>
      <c r="G55" s="57">
        <f t="shared" si="13"/>
        <v>148.050273186</v>
      </c>
      <c r="H55" s="41">
        <f t="shared" si="14"/>
        <v>148.050273186</v>
      </c>
      <c r="I55" s="52">
        <f t="shared" si="15"/>
        <v>0</v>
      </c>
      <c r="J55" s="52"/>
      <c r="K55" s="129"/>
      <c r="L55" s="54">
        <f t="shared" si="16"/>
        <v>0</v>
      </c>
      <c r="M55" s="129"/>
      <c r="N55" s="54">
        <f t="shared" si="17"/>
        <v>0</v>
      </c>
      <c r="O55" s="54">
        <f t="shared" si="18"/>
        <v>0</v>
      </c>
      <c r="P55" s="1"/>
    </row>
    <row r="56" spans="2:16" ht="12.5">
      <c r="B56" s="7" t="str">
        <f t="shared" si="11"/>
        <v/>
      </c>
      <c r="C56" s="50">
        <f>IF(D11="","-",+C55+1)</f>
        <v>2063</v>
      </c>
      <c r="D56" s="55">
        <f>IF(F55+SUM(E$17:E55)=D$10,F55,D$10-SUM(E$17:E55))</f>
        <v>499.90909090908889</v>
      </c>
      <c r="E56" s="56">
        <f>IF(+I14&lt;F55,I14,D56)</f>
        <v>83.318181818181813</v>
      </c>
      <c r="F56" s="55">
        <f t="shared" si="12"/>
        <v>416.59090909090708</v>
      </c>
      <c r="G56" s="57">
        <f t="shared" si="13"/>
        <v>138.09148989864332</v>
      </c>
      <c r="H56" s="41">
        <f t="shared" si="14"/>
        <v>138.09148989864332</v>
      </c>
      <c r="I56" s="52">
        <f t="shared" si="15"/>
        <v>0</v>
      </c>
      <c r="J56" s="52"/>
      <c r="K56" s="129"/>
      <c r="L56" s="54">
        <f t="shared" si="16"/>
        <v>0</v>
      </c>
      <c r="M56" s="129"/>
      <c r="N56" s="54">
        <f t="shared" si="17"/>
        <v>0</v>
      </c>
      <c r="O56" s="54">
        <f t="shared" si="18"/>
        <v>0</v>
      </c>
      <c r="P56" s="1"/>
    </row>
    <row r="57" spans="2:16" ht="12.5">
      <c r="B57" s="7" t="str">
        <f t="shared" si="11"/>
        <v/>
      </c>
      <c r="C57" s="50">
        <f>IF(D11="","-",+C56+1)</f>
        <v>2064</v>
      </c>
      <c r="D57" s="55">
        <f>IF(F56+SUM(E$17:E56)=D$10,F56,D$10-SUM(E$17:E56))</f>
        <v>416.59090909090708</v>
      </c>
      <c r="E57" s="56">
        <f>IF(+I14&lt;F56,I14,D57)</f>
        <v>83.318181818181813</v>
      </c>
      <c r="F57" s="55">
        <f t="shared" si="12"/>
        <v>333.27272727272526</v>
      </c>
      <c r="G57" s="57">
        <f t="shared" si="13"/>
        <v>128.13270661128664</v>
      </c>
      <c r="H57" s="41">
        <f t="shared" si="14"/>
        <v>128.13270661128664</v>
      </c>
      <c r="I57" s="52">
        <f t="shared" si="15"/>
        <v>0</v>
      </c>
      <c r="J57" s="52"/>
      <c r="K57" s="129"/>
      <c r="L57" s="54">
        <f t="shared" si="16"/>
        <v>0</v>
      </c>
      <c r="M57" s="129"/>
      <c r="N57" s="54">
        <f t="shared" si="17"/>
        <v>0</v>
      </c>
      <c r="O57" s="54">
        <f t="shared" si="18"/>
        <v>0</v>
      </c>
      <c r="P57" s="1"/>
    </row>
    <row r="58" spans="2:16" ht="12.5">
      <c r="B58" s="7" t="str">
        <f t="shared" si="11"/>
        <v/>
      </c>
      <c r="C58" s="50">
        <f>IF(D11="","-",+C57+1)</f>
        <v>2065</v>
      </c>
      <c r="D58" s="55">
        <f>IF(F57+SUM(E$17:E57)=D$10,F57,D$10-SUM(E$17:E57))</f>
        <v>333.27272727272526</v>
      </c>
      <c r="E58" s="56">
        <f>IF(+I14&lt;F57,I14,D58)</f>
        <v>83.318181818181813</v>
      </c>
      <c r="F58" s="55">
        <f t="shared" si="12"/>
        <v>249.95454545454345</v>
      </c>
      <c r="G58" s="57">
        <f t="shared" si="13"/>
        <v>118.17392332392996</v>
      </c>
      <c r="H58" s="41">
        <f t="shared" si="14"/>
        <v>118.17392332392996</v>
      </c>
      <c r="I58" s="52">
        <f t="shared" si="15"/>
        <v>0</v>
      </c>
      <c r="J58" s="52"/>
      <c r="K58" s="129"/>
      <c r="L58" s="54">
        <f t="shared" si="16"/>
        <v>0</v>
      </c>
      <c r="M58" s="129"/>
      <c r="N58" s="54">
        <f t="shared" si="17"/>
        <v>0</v>
      </c>
      <c r="O58" s="54">
        <f t="shared" si="18"/>
        <v>0</v>
      </c>
      <c r="P58" s="1"/>
    </row>
    <row r="59" spans="2:16" ht="12.5">
      <c r="B59" s="7" t="str">
        <f t="shared" si="11"/>
        <v/>
      </c>
      <c r="C59" s="50">
        <f>IF(D11="","-",+C58+1)</f>
        <v>2066</v>
      </c>
      <c r="D59" s="55">
        <f>IF(F58+SUM(E$17:E58)=D$10,F58,D$10-SUM(E$17:E58))</f>
        <v>249.95454545454345</v>
      </c>
      <c r="E59" s="56">
        <f>IF(+I14&lt;F58,I14,D59)</f>
        <v>83.318181818181813</v>
      </c>
      <c r="F59" s="55">
        <f t="shared" si="12"/>
        <v>166.63636363636164</v>
      </c>
      <c r="G59" s="57">
        <f t="shared" si="13"/>
        <v>108.21514003657327</v>
      </c>
      <c r="H59" s="41">
        <f t="shared" si="14"/>
        <v>108.21514003657327</v>
      </c>
      <c r="I59" s="52">
        <f t="shared" si="15"/>
        <v>0</v>
      </c>
      <c r="J59" s="52"/>
      <c r="K59" s="129"/>
      <c r="L59" s="54">
        <f t="shared" si="16"/>
        <v>0</v>
      </c>
      <c r="M59" s="129"/>
      <c r="N59" s="54">
        <f t="shared" si="17"/>
        <v>0</v>
      </c>
      <c r="O59" s="54">
        <f t="shared" si="18"/>
        <v>0</v>
      </c>
      <c r="P59" s="1"/>
    </row>
    <row r="60" spans="2:16" ht="12.5">
      <c r="B60" s="7" t="str">
        <f t="shared" si="11"/>
        <v/>
      </c>
      <c r="C60" s="50">
        <f>IF(D11="","-",+C59+1)</f>
        <v>2067</v>
      </c>
      <c r="D60" s="55">
        <f>IF(F59+SUM(E$17:E59)=D$10,F59,D$10-SUM(E$17:E59))</f>
        <v>166.63636363636164</v>
      </c>
      <c r="E60" s="56">
        <f>IF(+I14&lt;F59,I14,D60)</f>
        <v>83.318181818181813</v>
      </c>
      <c r="F60" s="55">
        <f t="shared" si="12"/>
        <v>83.318181818179823</v>
      </c>
      <c r="G60" s="57">
        <f t="shared" si="13"/>
        <v>98.256356749216593</v>
      </c>
      <c r="H60" s="41">
        <f t="shared" si="14"/>
        <v>98.256356749216593</v>
      </c>
      <c r="I60" s="52">
        <f t="shared" si="15"/>
        <v>0</v>
      </c>
      <c r="J60" s="52"/>
      <c r="K60" s="129"/>
      <c r="L60" s="54">
        <f t="shared" si="16"/>
        <v>0</v>
      </c>
      <c r="M60" s="129"/>
      <c r="N60" s="54">
        <f t="shared" si="17"/>
        <v>0</v>
      </c>
      <c r="O60" s="54">
        <f t="shared" si="18"/>
        <v>0</v>
      </c>
      <c r="P60" s="1"/>
    </row>
    <row r="61" spans="2:16" ht="12.5">
      <c r="B61" s="7" t="str">
        <f t="shared" si="11"/>
        <v/>
      </c>
      <c r="C61" s="50">
        <f>IF(D11="","-",+C60+1)</f>
        <v>2068</v>
      </c>
      <c r="D61" s="55">
        <f>IF(F60+SUM(E$17:E60)=D$10,F60,D$10-SUM(E$17:E60))</f>
        <v>83.318181818179823</v>
      </c>
      <c r="E61" s="56">
        <f>IF(+I14&lt;F60,I14,D61)</f>
        <v>83.318181818179823</v>
      </c>
      <c r="F61" s="55">
        <f t="shared" si="12"/>
        <v>0</v>
      </c>
      <c r="G61" s="58">
        <f t="shared" si="13"/>
        <v>88.29757346185805</v>
      </c>
      <c r="H61" s="41">
        <f t="shared" si="14"/>
        <v>88.29757346185805</v>
      </c>
      <c r="I61" s="52">
        <f t="shared" si="15"/>
        <v>0</v>
      </c>
      <c r="J61" s="52"/>
      <c r="K61" s="129"/>
      <c r="L61" s="54">
        <f t="shared" si="16"/>
        <v>0</v>
      </c>
      <c r="M61" s="129"/>
      <c r="N61" s="54">
        <f t="shared" si="17"/>
        <v>0</v>
      </c>
      <c r="O61" s="54">
        <f t="shared" si="18"/>
        <v>0</v>
      </c>
      <c r="P61" s="1"/>
    </row>
    <row r="62" spans="2:16" ht="12.5">
      <c r="B62" s="7" t="str">
        <f t="shared" si="11"/>
        <v/>
      </c>
      <c r="C62" s="50">
        <f>IF(D11="","-",+C61+1)</f>
        <v>2069</v>
      </c>
      <c r="D62" s="55">
        <f>IF(F61+SUM(E$17:E61)=D$10,F61,D$10-SUM(E$17:E61))</f>
        <v>0</v>
      </c>
      <c r="E62" s="56">
        <f>IF(+I14&lt;F61,I14,D62)</f>
        <v>0</v>
      </c>
      <c r="F62" s="55">
        <f t="shared" si="12"/>
        <v>0</v>
      </c>
      <c r="G62" s="58">
        <f t="shared" si="13"/>
        <v>0</v>
      </c>
      <c r="H62" s="41">
        <f t="shared" si="14"/>
        <v>0</v>
      </c>
      <c r="I62" s="52">
        <f t="shared" si="15"/>
        <v>0</v>
      </c>
      <c r="J62" s="52"/>
      <c r="K62" s="129"/>
      <c r="L62" s="54">
        <f t="shared" si="16"/>
        <v>0</v>
      </c>
      <c r="M62" s="129"/>
      <c r="N62" s="54">
        <f t="shared" si="17"/>
        <v>0</v>
      </c>
      <c r="O62" s="54">
        <f t="shared" si="18"/>
        <v>0</v>
      </c>
      <c r="P62" s="1"/>
    </row>
    <row r="63" spans="2:16" ht="12.5">
      <c r="B63" s="7" t="str">
        <f t="shared" si="11"/>
        <v/>
      </c>
      <c r="C63" s="50">
        <f>IF(D11="","-",+C62+1)</f>
        <v>2070</v>
      </c>
      <c r="D63" s="55">
        <f>IF(F62+SUM(E$17:E62)=D$10,F62,D$10-SUM(E$17:E62))</f>
        <v>0</v>
      </c>
      <c r="E63" s="56">
        <f>IF(+I14&lt;F62,I14,D63)</f>
        <v>0</v>
      </c>
      <c r="F63" s="55">
        <f t="shared" si="12"/>
        <v>0</v>
      </c>
      <c r="G63" s="58">
        <f t="shared" si="13"/>
        <v>0</v>
      </c>
      <c r="H63" s="41">
        <f t="shared" si="14"/>
        <v>0</v>
      </c>
      <c r="I63" s="52">
        <f t="shared" si="15"/>
        <v>0</v>
      </c>
      <c r="J63" s="52"/>
      <c r="K63" s="129"/>
      <c r="L63" s="54">
        <f t="shared" si="16"/>
        <v>0</v>
      </c>
      <c r="M63" s="129"/>
      <c r="N63" s="54">
        <f t="shared" si="17"/>
        <v>0</v>
      </c>
      <c r="O63" s="54">
        <f t="shared" si="18"/>
        <v>0</v>
      </c>
      <c r="P63" s="1"/>
    </row>
    <row r="64" spans="2:16" ht="12.5">
      <c r="B64" s="7" t="str">
        <f t="shared" si="11"/>
        <v/>
      </c>
      <c r="C64" s="50">
        <f>IF(D11="","-",+C63+1)</f>
        <v>2071</v>
      </c>
      <c r="D64" s="55">
        <f>IF(F63+SUM(E$17:E63)=D$10,F63,D$10-SUM(E$17:E63))</f>
        <v>0</v>
      </c>
      <c r="E64" s="56">
        <f>IF(+I14&lt;F63,I14,D64)</f>
        <v>0</v>
      </c>
      <c r="F64" s="55">
        <f t="shared" si="12"/>
        <v>0</v>
      </c>
      <c r="G64" s="58">
        <f t="shared" si="13"/>
        <v>0</v>
      </c>
      <c r="H64" s="41">
        <f t="shared" si="14"/>
        <v>0</v>
      </c>
      <c r="I64" s="52">
        <f t="shared" si="15"/>
        <v>0</v>
      </c>
      <c r="J64" s="52"/>
      <c r="K64" s="129"/>
      <c r="L64" s="54">
        <f t="shared" si="16"/>
        <v>0</v>
      </c>
      <c r="M64" s="129"/>
      <c r="N64" s="54">
        <f t="shared" si="17"/>
        <v>0</v>
      </c>
      <c r="O64" s="54">
        <f t="shared" si="18"/>
        <v>0</v>
      </c>
      <c r="P64" s="1"/>
    </row>
    <row r="65" spans="2:16" ht="12.5">
      <c r="B65" s="7" t="str">
        <f t="shared" si="11"/>
        <v/>
      </c>
      <c r="C65" s="50">
        <f>IF(D11="","-",+C64+1)</f>
        <v>2072</v>
      </c>
      <c r="D65" s="55">
        <f>IF(F64+SUM(E$17:E64)=D$10,F64,D$10-SUM(E$17:E64))</f>
        <v>0</v>
      </c>
      <c r="E65" s="56">
        <f>IF(+I14&lt;F64,I14,D65)</f>
        <v>0</v>
      </c>
      <c r="F65" s="55">
        <f t="shared" si="12"/>
        <v>0</v>
      </c>
      <c r="G65" s="58">
        <f t="shared" si="13"/>
        <v>0</v>
      </c>
      <c r="H65" s="41">
        <f t="shared" si="14"/>
        <v>0</v>
      </c>
      <c r="I65" s="52">
        <f t="shared" si="15"/>
        <v>0</v>
      </c>
      <c r="J65" s="52"/>
      <c r="K65" s="129"/>
      <c r="L65" s="54">
        <f t="shared" si="16"/>
        <v>0</v>
      </c>
      <c r="M65" s="129"/>
      <c r="N65" s="54">
        <f t="shared" si="17"/>
        <v>0</v>
      </c>
      <c r="O65" s="54">
        <f t="shared" si="18"/>
        <v>0</v>
      </c>
      <c r="P65" s="1"/>
    </row>
    <row r="66" spans="2:16" ht="12.5">
      <c r="B66" s="7" t="str">
        <f t="shared" si="11"/>
        <v/>
      </c>
      <c r="C66" s="50">
        <f>IF(D11="","-",+C65+1)</f>
        <v>2073</v>
      </c>
      <c r="D66" s="55">
        <f>IF(F65+SUM(E$17:E65)=D$10,F65,D$10-SUM(E$17:E65))</f>
        <v>0</v>
      </c>
      <c r="E66" s="56">
        <f>IF(+I14&lt;F65,I14,D66)</f>
        <v>0</v>
      </c>
      <c r="F66" s="55">
        <f t="shared" si="12"/>
        <v>0</v>
      </c>
      <c r="G66" s="58">
        <f t="shared" si="13"/>
        <v>0</v>
      </c>
      <c r="H66" s="41">
        <f t="shared" si="14"/>
        <v>0</v>
      </c>
      <c r="I66" s="52">
        <f t="shared" si="15"/>
        <v>0</v>
      </c>
      <c r="J66" s="52"/>
      <c r="K66" s="129"/>
      <c r="L66" s="54">
        <f t="shared" si="16"/>
        <v>0</v>
      </c>
      <c r="M66" s="129"/>
      <c r="N66" s="54">
        <f t="shared" si="17"/>
        <v>0</v>
      </c>
      <c r="O66" s="54">
        <f t="shared" si="18"/>
        <v>0</v>
      </c>
      <c r="P66" s="1"/>
    </row>
    <row r="67" spans="2:16" ht="12.5">
      <c r="B67" s="7" t="str">
        <f t="shared" si="11"/>
        <v/>
      </c>
      <c r="C67" s="50">
        <f>IF(D11="","-",+C66+1)</f>
        <v>2074</v>
      </c>
      <c r="D67" s="55">
        <f>IF(F66+SUM(E$17:E66)=D$10,F66,D$10-SUM(E$17:E66))</f>
        <v>0</v>
      </c>
      <c r="E67" s="56">
        <f>IF(+I14&lt;F66,I14,D67)</f>
        <v>0</v>
      </c>
      <c r="F67" s="55">
        <f t="shared" si="12"/>
        <v>0</v>
      </c>
      <c r="G67" s="58">
        <f t="shared" si="13"/>
        <v>0</v>
      </c>
      <c r="H67" s="41">
        <f t="shared" si="14"/>
        <v>0</v>
      </c>
      <c r="I67" s="52">
        <f t="shared" si="15"/>
        <v>0</v>
      </c>
      <c r="J67" s="52"/>
      <c r="K67" s="129"/>
      <c r="L67" s="54">
        <f t="shared" si="16"/>
        <v>0</v>
      </c>
      <c r="M67" s="129"/>
      <c r="N67" s="54">
        <f t="shared" si="17"/>
        <v>0</v>
      </c>
      <c r="O67" s="54">
        <f t="shared" si="18"/>
        <v>0</v>
      </c>
      <c r="P67" s="1"/>
    </row>
    <row r="68" spans="2:16" ht="12.5">
      <c r="B68" s="7" t="str">
        <f t="shared" si="11"/>
        <v/>
      </c>
      <c r="C68" s="50">
        <f>IF(D11="","-",+C67+1)</f>
        <v>2075</v>
      </c>
      <c r="D68" s="55">
        <f>IF(F67+SUM(E$17:E67)=D$10,F67,D$10-SUM(E$17:E67))</f>
        <v>0</v>
      </c>
      <c r="E68" s="56">
        <f>IF(+I14&lt;F67,I14,D68)</f>
        <v>0</v>
      </c>
      <c r="F68" s="55">
        <f t="shared" si="12"/>
        <v>0</v>
      </c>
      <c r="G68" s="58">
        <f t="shared" si="13"/>
        <v>0</v>
      </c>
      <c r="H68" s="41">
        <f t="shared" si="14"/>
        <v>0</v>
      </c>
      <c r="I68" s="52">
        <f t="shared" si="15"/>
        <v>0</v>
      </c>
      <c r="J68" s="52"/>
      <c r="K68" s="129"/>
      <c r="L68" s="54">
        <f t="shared" si="16"/>
        <v>0</v>
      </c>
      <c r="M68" s="129"/>
      <c r="N68" s="54">
        <f t="shared" si="17"/>
        <v>0</v>
      </c>
      <c r="O68" s="54">
        <f t="shared" si="18"/>
        <v>0</v>
      </c>
      <c r="P68" s="1"/>
    </row>
    <row r="69" spans="2:16" ht="12.5">
      <c r="B69" s="7" t="str">
        <f t="shared" si="11"/>
        <v/>
      </c>
      <c r="C69" s="50">
        <f>IF(D11="","-",+C68+1)</f>
        <v>2076</v>
      </c>
      <c r="D69" s="55">
        <f>IF(F68+SUM(E$17:E68)=D$10,F68,D$10-SUM(E$17:E68))</f>
        <v>0</v>
      </c>
      <c r="E69" s="56">
        <f>IF(+I14&lt;F68,I14,D69)</f>
        <v>0</v>
      </c>
      <c r="F69" s="55">
        <f t="shared" si="12"/>
        <v>0</v>
      </c>
      <c r="G69" s="58">
        <f t="shared" si="13"/>
        <v>0</v>
      </c>
      <c r="H69" s="41">
        <f t="shared" si="14"/>
        <v>0</v>
      </c>
      <c r="I69" s="52">
        <f t="shared" si="15"/>
        <v>0</v>
      </c>
      <c r="J69" s="52"/>
      <c r="K69" s="129"/>
      <c r="L69" s="54">
        <f t="shared" si="16"/>
        <v>0</v>
      </c>
      <c r="M69" s="129"/>
      <c r="N69" s="54">
        <f t="shared" si="17"/>
        <v>0</v>
      </c>
      <c r="O69" s="54">
        <f t="shared" si="18"/>
        <v>0</v>
      </c>
      <c r="P69" s="1"/>
    </row>
    <row r="70" spans="2:16" ht="12.5">
      <c r="B70" s="7" t="str">
        <f t="shared" si="11"/>
        <v/>
      </c>
      <c r="C70" s="50">
        <f>IF(D11="","-",+C69+1)</f>
        <v>2077</v>
      </c>
      <c r="D70" s="55">
        <f>IF(F69+SUM(E$17:E69)=D$10,F69,D$10-SUM(E$17:E69))</f>
        <v>0</v>
      </c>
      <c r="E70" s="56">
        <f>IF(+I14&lt;F69,I14,D70)</f>
        <v>0</v>
      </c>
      <c r="F70" s="55">
        <f t="shared" si="12"/>
        <v>0</v>
      </c>
      <c r="G70" s="58">
        <f t="shared" si="13"/>
        <v>0</v>
      </c>
      <c r="H70" s="41">
        <f t="shared" si="14"/>
        <v>0</v>
      </c>
      <c r="I70" s="52">
        <f t="shared" si="15"/>
        <v>0</v>
      </c>
      <c r="J70" s="52"/>
      <c r="K70" s="129"/>
      <c r="L70" s="54">
        <f t="shared" si="16"/>
        <v>0</v>
      </c>
      <c r="M70" s="129"/>
      <c r="N70" s="54">
        <f t="shared" si="17"/>
        <v>0</v>
      </c>
      <c r="O70" s="54">
        <f t="shared" si="18"/>
        <v>0</v>
      </c>
      <c r="P70" s="1"/>
    </row>
    <row r="71" spans="2:16" ht="12.5">
      <c r="B71" s="7" t="str">
        <f t="shared" si="11"/>
        <v/>
      </c>
      <c r="C71" s="50">
        <f>IF(D11="","-",+C70+1)</f>
        <v>2078</v>
      </c>
      <c r="D71" s="55">
        <f>IF(F70+SUM(E$17:E70)=D$10,F70,D$10-SUM(E$17:E70))</f>
        <v>0</v>
      </c>
      <c r="E71" s="56">
        <f>IF(+I14&lt;F70,I14,D71)</f>
        <v>0</v>
      </c>
      <c r="F71" s="55">
        <f t="shared" si="12"/>
        <v>0</v>
      </c>
      <c r="G71" s="58">
        <f t="shared" si="13"/>
        <v>0</v>
      </c>
      <c r="H71" s="41">
        <f t="shared" si="14"/>
        <v>0</v>
      </c>
      <c r="I71" s="52">
        <f t="shared" si="15"/>
        <v>0</v>
      </c>
      <c r="J71" s="52"/>
      <c r="K71" s="129"/>
      <c r="L71" s="54">
        <f t="shared" si="16"/>
        <v>0</v>
      </c>
      <c r="M71" s="129"/>
      <c r="N71" s="54">
        <f t="shared" si="17"/>
        <v>0</v>
      </c>
      <c r="O71" s="54">
        <f t="shared" si="18"/>
        <v>0</v>
      </c>
      <c r="P71" s="1"/>
    </row>
    <row r="72" spans="2:16" ht="13" thickBot="1">
      <c r="B72" s="7" t="str">
        <f t="shared" si="11"/>
        <v/>
      </c>
      <c r="C72" s="59">
        <f>IF(D11="","-",+C71+1)</f>
        <v>2079</v>
      </c>
      <c r="D72" s="60">
        <f>IF(F71+SUM(E$17:E71)=D$10,F71,D$10-SUM(E$17:E71))</f>
        <v>0</v>
      </c>
      <c r="E72" s="61">
        <f>IF(+I14&lt;F71,I14,D72)</f>
        <v>0</v>
      </c>
      <c r="F72" s="60">
        <f t="shared" si="12"/>
        <v>0</v>
      </c>
      <c r="G72" s="62">
        <f t="shared" si="13"/>
        <v>0</v>
      </c>
      <c r="H72" s="28">
        <f t="shared" si="14"/>
        <v>0</v>
      </c>
      <c r="I72" s="63">
        <f t="shared" si="15"/>
        <v>0</v>
      </c>
      <c r="J72" s="52"/>
      <c r="K72" s="130"/>
      <c r="L72" s="64">
        <f t="shared" si="16"/>
        <v>0</v>
      </c>
      <c r="M72" s="130"/>
      <c r="N72" s="64">
        <f t="shared" si="17"/>
        <v>0</v>
      </c>
      <c r="O72" s="64">
        <f t="shared" si="18"/>
        <v>0</v>
      </c>
      <c r="P72" s="1"/>
    </row>
    <row r="73" spans="2:16" ht="12.5">
      <c r="C73" s="12" t="s">
        <v>78</v>
      </c>
      <c r="D73" s="15"/>
      <c r="E73" s="15">
        <f>SUM(E17:E72)</f>
        <v>3666</v>
      </c>
      <c r="F73" s="15"/>
      <c r="G73" s="15">
        <f>SUM(G17:G72)</f>
        <v>13525.195454483102</v>
      </c>
      <c r="H73" s="15">
        <f>SUM(H17:H72)</f>
        <v>13525.195454483102</v>
      </c>
      <c r="I73" s="15">
        <f>SUM(I17:I72)</f>
        <v>0</v>
      </c>
      <c r="J73" s="15"/>
      <c r="K73" s="15"/>
      <c r="L73" s="15"/>
      <c r="M73" s="15"/>
      <c r="N73" s="15"/>
      <c r="O73" s="1"/>
      <c r="P73" s="1"/>
    </row>
    <row r="74" spans="2:16" ht="12.5">
      <c r="D74" s="2"/>
      <c r="E74" s="1"/>
      <c r="F74" s="1"/>
      <c r="G74" s="1"/>
      <c r="H74" s="3"/>
      <c r="I74" s="3"/>
      <c r="J74" s="15"/>
      <c r="K74" s="3"/>
      <c r="L74" s="3"/>
      <c r="M74" s="3"/>
      <c r="N74" s="3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3"/>
      <c r="I75" s="3"/>
      <c r="J75" s="15"/>
      <c r="K75" s="3"/>
      <c r="L75" s="3"/>
      <c r="M75" s="3"/>
      <c r="N75" s="3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3"/>
      <c r="I76" s="3"/>
      <c r="J76" s="15"/>
      <c r="K76" s="3"/>
      <c r="L76" s="3"/>
      <c r="M76" s="3"/>
      <c r="N76" s="3"/>
      <c r="O76" s="1"/>
      <c r="P76" s="1"/>
    </row>
    <row r="77" spans="2:16" ht="13">
      <c r="C77" s="25" t="s">
        <v>80</v>
      </c>
      <c r="D77" s="12"/>
      <c r="E77" s="12"/>
      <c r="F77" s="12"/>
      <c r="G77" s="15"/>
      <c r="H77" s="15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15"/>
      <c r="H78" s="15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3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3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3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3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3"/>
      <c r="L83" s="14"/>
      <c r="M83" s="14"/>
      <c r="P83" s="14" t="str">
        <f ca="1">P1</f>
        <v>SWEPCO Project 75 of 77</v>
      </c>
    </row>
    <row r="84" spans="1:16" ht="17.5">
      <c r="B84" s="1"/>
      <c r="C84" s="1"/>
      <c r="D84" s="2"/>
      <c r="E84" s="1"/>
      <c r="F84" s="1"/>
      <c r="G84" s="1"/>
      <c r="H84" s="1"/>
      <c r="I84" s="3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3"/>
      <c r="J85" s="3"/>
      <c r="K85" s="15"/>
      <c r="L85" s="3"/>
      <c r="M85" s="3"/>
      <c r="N85" s="3"/>
      <c r="O85" s="15"/>
      <c r="P85" s="1"/>
    </row>
    <row r="86" spans="1:16" ht="16" thickBot="1">
      <c r="C86" s="9"/>
      <c r="D86" s="2"/>
      <c r="E86" s="1"/>
      <c r="F86" s="1"/>
      <c r="G86" s="1"/>
      <c r="H86" s="1"/>
      <c r="I86" s="3"/>
      <c r="J86" s="3"/>
      <c r="K86" s="15"/>
      <c r="L86" s="120">
        <f>+J92</f>
        <v>2024</v>
      </c>
      <c r="M86" s="121" t="s">
        <v>9</v>
      </c>
      <c r="N86" s="125" t="s">
        <v>159</v>
      </c>
      <c r="O86" s="122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17"/>
      <c r="I87" s="1" t="s">
        <v>47</v>
      </c>
      <c r="J87" s="1"/>
      <c r="K87" s="116"/>
      <c r="L87" s="114" t="s">
        <v>394</v>
      </c>
      <c r="M87" s="68">
        <f>IF(J92&lt;D11,0,VLOOKUP(J92,C17:O72,9))</f>
        <v>219.09323232184698</v>
      </c>
      <c r="N87" s="68">
        <f>IF(J92&lt;D11,0,VLOOKUP(J92,C17:O72,11))</f>
        <v>219.09323232184698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21"/>
      <c r="J88" s="21"/>
      <c r="K88" s="118"/>
      <c r="L88" s="119" t="s">
        <v>395</v>
      </c>
      <c r="M88" s="70">
        <f>IF(J92&lt;D11,0,VLOOKUP(J92,C99:P154,6))</f>
        <v>18602.36168257493</v>
      </c>
      <c r="N88" s="70">
        <f>IF(J92&lt;D11,0,VLOOKUP(J92,C99:P154,7))</f>
        <v>18602.36168257493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Siloam Springs 161 kV Rebuild</v>
      </c>
      <c r="E89" s="1"/>
      <c r="F89" s="1"/>
      <c r="G89" s="1"/>
      <c r="H89" s="1"/>
      <c r="I89" s="3"/>
      <c r="J89" s="3"/>
      <c r="K89" s="117"/>
      <c r="L89" s="115" t="s">
        <v>156</v>
      </c>
      <c r="M89" s="73">
        <f>+M88-M87</f>
        <v>18383.268450253083</v>
      </c>
      <c r="N89" s="73">
        <f>+N88-N87</f>
        <v>18383.268450253083</v>
      </c>
      <c r="O89" s="74">
        <f>+O88-O87</f>
        <v>0</v>
      </c>
      <c r="P89" s="1"/>
    </row>
    <row r="90" spans="1:16" ht="13.5" thickBot="1">
      <c r="C90" s="29"/>
      <c r="D90" s="66" t="str">
        <f>D8</f>
        <v>DOES NOT MEET SPP $100,000 MINIMUM INVESTMENT FOR REGIONAL BPU SHARING.</v>
      </c>
      <c r="E90" s="12"/>
      <c r="F90" s="12"/>
      <c r="G90" s="12"/>
      <c r="H90" s="11"/>
      <c r="I90" s="3"/>
      <c r="J90" s="3"/>
      <c r="K90" s="15"/>
      <c r="L90" s="3"/>
      <c r="M90" s="3"/>
      <c r="N90" s="3"/>
      <c r="O90" s="15"/>
      <c r="P90" s="1"/>
    </row>
    <row r="91" spans="1:16" ht="13.5" thickBot="1">
      <c r="C91" s="75" t="s">
        <v>85</v>
      </c>
      <c r="D91" s="91" t="str">
        <f>+D9</f>
        <v>TP2022737_____</v>
      </c>
      <c r="E91" s="76" t="str">
        <f>E9</f>
        <v>SPP Project ID = 92393</v>
      </c>
      <c r="F91" s="76"/>
      <c r="G91" s="76"/>
      <c r="H91" s="76"/>
      <c r="I91" s="76"/>
      <c r="J91" s="76"/>
    </row>
    <row r="92" spans="1:16" ht="13">
      <c r="C92" s="34" t="s">
        <v>51</v>
      </c>
      <c r="D92" s="87">
        <v>298769.91000000003</v>
      </c>
      <c r="E92" s="1" t="s">
        <v>86</v>
      </c>
      <c r="H92" s="2"/>
      <c r="I92" s="2"/>
      <c r="J92" s="36">
        <f>+'SWE.WS.G.BPU.ATRR.True-up'!M16</f>
        <v>2024</v>
      </c>
      <c r="K92" s="33"/>
      <c r="L92" s="15" t="s">
        <v>87</v>
      </c>
      <c r="P92" s="1"/>
    </row>
    <row r="93" spans="1:16" ht="12.5">
      <c r="C93" s="34" t="s">
        <v>54</v>
      </c>
      <c r="D93" s="88">
        <v>2024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87">
        <v>12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15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28">
        <f>IF(D92=0,0,D92/D95)</f>
        <v>6790.2252272727283</v>
      </c>
      <c r="K96" s="15"/>
      <c r="L96" s="15"/>
      <c r="M96" s="15"/>
      <c r="N96" s="15"/>
      <c r="O96" s="15"/>
      <c r="P96" s="1"/>
    </row>
    <row r="97" spans="1:16" ht="39">
      <c r="A97" s="5"/>
      <c r="B97" s="5"/>
      <c r="C97" s="79" t="s">
        <v>51</v>
      </c>
      <c r="D97" s="80" t="s">
        <v>65</v>
      </c>
      <c r="E97" s="45" t="s">
        <v>66</v>
      </c>
      <c r="F97" s="45" t="s">
        <v>67</v>
      </c>
      <c r="G97" s="43" t="s">
        <v>89</v>
      </c>
      <c r="H97" s="157" t="s">
        <v>391</v>
      </c>
      <c r="I97" s="158" t="s">
        <v>392</v>
      </c>
      <c r="J97" s="79" t="s">
        <v>90</v>
      </c>
      <c r="K97" s="81"/>
      <c r="L97" s="126" t="s">
        <v>228</v>
      </c>
      <c r="M97" s="45" t="s">
        <v>91</v>
      </c>
      <c r="N97" s="126" t="s">
        <v>228</v>
      </c>
      <c r="O97" s="45" t="s">
        <v>91</v>
      </c>
      <c r="P97" s="45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110" t="s">
        <v>74</v>
      </c>
      <c r="I98" s="47" t="s">
        <v>75</v>
      </c>
      <c r="J98" s="46" t="s">
        <v>94</v>
      </c>
      <c r="K98" s="44"/>
      <c r="L98" s="48" t="s">
        <v>77</v>
      </c>
      <c r="M98" s="48" t="s">
        <v>77</v>
      </c>
      <c r="N98" s="48" t="s">
        <v>95</v>
      </c>
      <c r="O98" s="48" t="s">
        <v>95</v>
      </c>
      <c r="P98" s="48" t="s">
        <v>95</v>
      </c>
    </row>
    <row r="99" spans="1:16" ht="12.5">
      <c r="C99" s="50">
        <f>IF(D93= "","-",D93)</f>
        <v>2024</v>
      </c>
      <c r="D99" s="12">
        <f>IF(D93=C99,0,D92)</f>
        <v>0</v>
      </c>
      <c r="E99" s="57">
        <f>IF(D11=I10,0,J96/12*(12-D94))</f>
        <v>0</v>
      </c>
      <c r="F99" s="55">
        <f>IF(D93=C99,+D92-E99,+D99-E99)</f>
        <v>298769.91000000003</v>
      </c>
      <c r="G99" s="83">
        <f t="shared" ref="G99:G130" si="19">+(F99+D99)/2</f>
        <v>149384.95500000002</v>
      </c>
      <c r="H99" s="106">
        <f>+J94*G99+E99</f>
        <v>18602.36168257493</v>
      </c>
      <c r="I99" s="107">
        <f>+J95*G99+E99</f>
        <v>18602.36168257493</v>
      </c>
      <c r="J99" s="54">
        <f t="shared" ref="J99:J130" si="20">+I99-H99</f>
        <v>0</v>
      </c>
      <c r="K99" s="54"/>
      <c r="L99" s="128"/>
      <c r="M99" s="53">
        <f t="shared" ref="M99:M130" si="21">IF(L99&lt;&gt;0,+H99-L99,0)</f>
        <v>0</v>
      </c>
      <c r="N99" s="128"/>
      <c r="O99" s="53">
        <f t="shared" ref="O99:O130" si="22">IF(N99&lt;&gt;0,+I99-N99,0)</f>
        <v>0</v>
      </c>
      <c r="P99" s="53">
        <f t="shared" ref="P99:P130" si="23">+O99-M99</f>
        <v>0</v>
      </c>
    </row>
    <row r="100" spans="1:16" ht="12.5">
      <c r="B100" s="7" t="str">
        <f>IF(D100=F99,"","IU")</f>
        <v/>
      </c>
      <c r="C100" s="50">
        <f>IF(D93="","-",+C99+1)</f>
        <v>2025</v>
      </c>
      <c r="D100" s="12">
        <f>IF(F99+SUM(E$99:E99)=D$92,F99,D$92-SUM(E$99:E99))</f>
        <v>298769.91000000003</v>
      </c>
      <c r="E100" s="56">
        <f>IF(+J96&lt;F99,J96,D100)</f>
        <v>6790.2252272727283</v>
      </c>
      <c r="F100" s="55">
        <f t="shared" ref="F100:F130" si="24">+D100-E100</f>
        <v>291979.68477272731</v>
      </c>
      <c r="G100" s="55">
        <f t="shared" si="19"/>
        <v>295374.79738636367</v>
      </c>
      <c r="H100" s="58">
        <f t="shared" ref="H100:H112" si="25">+J$94*G100+E100</f>
        <v>43572.167645091344</v>
      </c>
      <c r="I100" s="108">
        <f t="shared" ref="I100:I112" si="26">+J$95*G100+E100</f>
        <v>43572.167645091344</v>
      </c>
      <c r="J100" s="54">
        <f t="shared" si="20"/>
        <v>0</v>
      </c>
      <c r="K100" s="54"/>
      <c r="L100" s="129"/>
      <c r="M100" s="54">
        <f t="shared" si="21"/>
        <v>0</v>
      </c>
      <c r="N100" s="129"/>
      <c r="O100" s="54">
        <f t="shared" si="22"/>
        <v>0</v>
      </c>
      <c r="P100" s="54">
        <f t="shared" si="23"/>
        <v>0</v>
      </c>
    </row>
    <row r="101" spans="1:16" ht="12.5">
      <c r="B101" s="7" t="str">
        <f t="shared" ref="B101:B154" si="27">IF(D101=F100,"","IU")</f>
        <v/>
      </c>
      <c r="C101" s="50">
        <f>IF(D93="","-",+C100+1)</f>
        <v>2026</v>
      </c>
      <c r="D101" s="12">
        <f>IF(F100+SUM(E$99:E100)=D$92,F100,D$92-SUM(E$99:E100))</f>
        <v>291979.68477272731</v>
      </c>
      <c r="E101" s="56">
        <f>IF(+J96&lt;F100,J96,D101)</f>
        <v>6790.2252272727283</v>
      </c>
      <c r="F101" s="55">
        <f t="shared" si="24"/>
        <v>285189.45954545459</v>
      </c>
      <c r="G101" s="55">
        <f t="shared" si="19"/>
        <v>288584.57215909095</v>
      </c>
      <c r="H101" s="58">
        <f t="shared" si="25"/>
        <v>42726.605750428847</v>
      </c>
      <c r="I101" s="108">
        <f t="shared" si="26"/>
        <v>42726.605750428847</v>
      </c>
      <c r="J101" s="54">
        <f t="shared" si="20"/>
        <v>0</v>
      </c>
      <c r="K101" s="54"/>
      <c r="L101" s="129"/>
      <c r="M101" s="54">
        <f t="shared" si="21"/>
        <v>0</v>
      </c>
      <c r="N101" s="129"/>
      <c r="O101" s="54">
        <f t="shared" si="22"/>
        <v>0</v>
      </c>
      <c r="P101" s="54">
        <f t="shared" si="23"/>
        <v>0</v>
      </c>
    </row>
    <row r="102" spans="1:16" ht="12.5">
      <c r="B102" s="7" t="str">
        <f t="shared" si="27"/>
        <v/>
      </c>
      <c r="C102" s="50">
        <f>IF(D93="","-",+C101+1)</f>
        <v>2027</v>
      </c>
      <c r="D102" s="12">
        <f>IF(F101+SUM(E$99:E101)=D$92,F101,D$92-SUM(E$99:E101))</f>
        <v>285189.45954545459</v>
      </c>
      <c r="E102" s="56">
        <f>IF(+J96&lt;F101,J96,D102)</f>
        <v>6790.2252272727283</v>
      </c>
      <c r="F102" s="55">
        <f t="shared" si="24"/>
        <v>278399.23431818187</v>
      </c>
      <c r="G102" s="55">
        <f t="shared" si="19"/>
        <v>281794.34693181823</v>
      </c>
      <c r="H102" s="58">
        <f t="shared" si="25"/>
        <v>41881.043855766351</v>
      </c>
      <c r="I102" s="108">
        <f t="shared" si="26"/>
        <v>41881.043855766351</v>
      </c>
      <c r="J102" s="54">
        <f t="shared" si="20"/>
        <v>0</v>
      </c>
      <c r="K102" s="54"/>
      <c r="L102" s="129"/>
      <c r="M102" s="54">
        <f t="shared" si="21"/>
        <v>0</v>
      </c>
      <c r="N102" s="129"/>
      <c r="O102" s="54">
        <f t="shared" si="22"/>
        <v>0</v>
      </c>
      <c r="P102" s="54">
        <f t="shared" si="23"/>
        <v>0</v>
      </c>
    </row>
    <row r="103" spans="1:16" ht="12.5">
      <c r="B103" s="7" t="str">
        <f t="shared" si="27"/>
        <v/>
      </c>
      <c r="C103" s="50">
        <f>IF(D93="","-",+C102+1)</f>
        <v>2028</v>
      </c>
      <c r="D103" s="12">
        <f>IF(F102+SUM(E$99:E102)=D$92,F102,D$92-SUM(E$99:E102))</f>
        <v>278399.23431818187</v>
      </c>
      <c r="E103" s="56">
        <f>IF(+J96&lt;F102,J96,D103)</f>
        <v>6790.2252272727283</v>
      </c>
      <c r="F103" s="55">
        <f t="shared" si="24"/>
        <v>271609.00909090915</v>
      </c>
      <c r="G103" s="55">
        <f t="shared" si="19"/>
        <v>275004.12170454551</v>
      </c>
      <c r="H103" s="58">
        <f t="shared" si="25"/>
        <v>41035.481961103855</v>
      </c>
      <c r="I103" s="108">
        <f t="shared" si="26"/>
        <v>41035.481961103855</v>
      </c>
      <c r="J103" s="54">
        <f t="shared" si="20"/>
        <v>0</v>
      </c>
      <c r="K103" s="54"/>
      <c r="L103" s="129"/>
      <c r="M103" s="54">
        <f t="shared" si="21"/>
        <v>0</v>
      </c>
      <c r="N103" s="129"/>
      <c r="O103" s="54">
        <f t="shared" si="22"/>
        <v>0</v>
      </c>
      <c r="P103" s="54">
        <f t="shared" si="23"/>
        <v>0</v>
      </c>
    </row>
    <row r="104" spans="1:16" ht="12.5">
      <c r="B104" s="7" t="str">
        <f t="shared" si="27"/>
        <v/>
      </c>
      <c r="C104" s="50">
        <f>IF(D93="","-",+C103+1)</f>
        <v>2029</v>
      </c>
      <c r="D104" s="12">
        <f>IF(F103+SUM(E$99:E103)=D$92,F103,D$92-SUM(E$99:E103))</f>
        <v>271609.00909090915</v>
      </c>
      <c r="E104" s="56">
        <f>IF(+J96&lt;F103,J96,D104)</f>
        <v>6790.2252272727283</v>
      </c>
      <c r="F104" s="55">
        <f t="shared" si="24"/>
        <v>264818.78386363643</v>
      </c>
      <c r="G104" s="55">
        <f t="shared" si="19"/>
        <v>268213.89647727279</v>
      </c>
      <c r="H104" s="58">
        <f t="shared" si="25"/>
        <v>40189.920066441358</v>
      </c>
      <c r="I104" s="108">
        <f t="shared" si="26"/>
        <v>40189.920066441358</v>
      </c>
      <c r="J104" s="54">
        <f t="shared" si="20"/>
        <v>0</v>
      </c>
      <c r="K104" s="54"/>
      <c r="L104" s="129"/>
      <c r="M104" s="54">
        <f t="shared" si="21"/>
        <v>0</v>
      </c>
      <c r="N104" s="129"/>
      <c r="O104" s="54">
        <f t="shared" si="22"/>
        <v>0</v>
      </c>
      <c r="P104" s="54">
        <f t="shared" si="23"/>
        <v>0</v>
      </c>
    </row>
    <row r="105" spans="1:16" ht="12.5">
      <c r="B105" s="7" t="str">
        <f t="shared" si="27"/>
        <v/>
      </c>
      <c r="C105" s="50">
        <f>IF(D93="","-",+C104+1)</f>
        <v>2030</v>
      </c>
      <c r="D105" s="12">
        <f>IF(F104+SUM(E$99:E104)=D$92,F104,D$92-SUM(E$99:E104))</f>
        <v>264818.78386363643</v>
      </c>
      <c r="E105" s="56">
        <f>IF(+J96&lt;F104,J96,D105)</f>
        <v>6790.2252272727283</v>
      </c>
      <c r="F105" s="55">
        <f t="shared" si="24"/>
        <v>258028.55863636371</v>
      </c>
      <c r="G105" s="55">
        <f t="shared" si="19"/>
        <v>261423.67125000007</v>
      </c>
      <c r="H105" s="58">
        <f t="shared" si="25"/>
        <v>39344.358171778862</v>
      </c>
      <c r="I105" s="108">
        <f t="shared" si="26"/>
        <v>39344.358171778862</v>
      </c>
      <c r="J105" s="54">
        <f t="shared" si="20"/>
        <v>0</v>
      </c>
      <c r="K105" s="54"/>
      <c r="L105" s="129"/>
      <c r="M105" s="54">
        <f t="shared" si="21"/>
        <v>0</v>
      </c>
      <c r="N105" s="129"/>
      <c r="O105" s="54">
        <f t="shared" si="22"/>
        <v>0</v>
      </c>
      <c r="P105" s="54">
        <f t="shared" si="23"/>
        <v>0</v>
      </c>
    </row>
    <row r="106" spans="1:16" ht="12.5">
      <c r="B106" s="7" t="str">
        <f t="shared" si="27"/>
        <v/>
      </c>
      <c r="C106" s="50">
        <f>IF(D93="","-",+C105+1)</f>
        <v>2031</v>
      </c>
      <c r="D106" s="12">
        <f>IF(F105+SUM(E$99:E105)=D$92,F105,D$92-SUM(E$99:E105))</f>
        <v>258028.55863636371</v>
      </c>
      <c r="E106" s="56">
        <f>IF(+J96&lt;F105,J96,D106)</f>
        <v>6790.2252272727283</v>
      </c>
      <c r="F106" s="55">
        <f t="shared" si="24"/>
        <v>251238.33340909099</v>
      </c>
      <c r="G106" s="55">
        <f t="shared" si="19"/>
        <v>254633.44602272735</v>
      </c>
      <c r="H106" s="58">
        <f t="shared" si="25"/>
        <v>38498.796277116366</v>
      </c>
      <c r="I106" s="108">
        <f t="shared" si="26"/>
        <v>38498.796277116366</v>
      </c>
      <c r="J106" s="54">
        <f t="shared" si="20"/>
        <v>0</v>
      </c>
      <c r="K106" s="54"/>
      <c r="L106" s="129"/>
      <c r="M106" s="54">
        <f t="shared" si="21"/>
        <v>0</v>
      </c>
      <c r="N106" s="129"/>
      <c r="O106" s="54">
        <f t="shared" si="22"/>
        <v>0</v>
      </c>
      <c r="P106" s="54">
        <f t="shared" si="23"/>
        <v>0</v>
      </c>
    </row>
    <row r="107" spans="1:16" ht="12.5">
      <c r="B107" s="7" t="str">
        <f t="shared" si="27"/>
        <v/>
      </c>
      <c r="C107" s="50">
        <f>IF(D93="","-",+C106+1)</f>
        <v>2032</v>
      </c>
      <c r="D107" s="12">
        <f>IF(F106+SUM(E$99:E106)=D$92,F106,D$92-SUM(E$99:E106))</f>
        <v>251238.33340909099</v>
      </c>
      <c r="E107" s="56">
        <f>IF(+J96&lt;F106,J96,D107)</f>
        <v>6790.2252272727283</v>
      </c>
      <c r="F107" s="55">
        <f t="shared" si="24"/>
        <v>244448.10818181827</v>
      </c>
      <c r="G107" s="55">
        <f t="shared" si="19"/>
        <v>247843.22079545463</v>
      </c>
      <c r="H107" s="58">
        <f t="shared" si="25"/>
        <v>37653.234382453869</v>
      </c>
      <c r="I107" s="108">
        <f t="shared" si="26"/>
        <v>37653.234382453869</v>
      </c>
      <c r="J107" s="54">
        <f t="shared" si="20"/>
        <v>0</v>
      </c>
      <c r="K107" s="54"/>
      <c r="L107" s="129"/>
      <c r="M107" s="54">
        <f t="shared" si="21"/>
        <v>0</v>
      </c>
      <c r="N107" s="129"/>
      <c r="O107" s="54">
        <f t="shared" si="22"/>
        <v>0</v>
      </c>
      <c r="P107" s="54">
        <f t="shared" si="23"/>
        <v>0</v>
      </c>
    </row>
    <row r="108" spans="1:16" ht="12.5">
      <c r="B108" s="7" t="str">
        <f t="shared" si="27"/>
        <v/>
      </c>
      <c r="C108" s="50">
        <f>IF(D93="","-",+C107+1)</f>
        <v>2033</v>
      </c>
      <c r="D108" s="12">
        <f>IF(F107+SUM(E$99:E107)=D$92,F107,D$92-SUM(E$99:E107))</f>
        <v>244448.10818181827</v>
      </c>
      <c r="E108" s="56">
        <f>IF(+J96&lt;F107,J96,D108)</f>
        <v>6790.2252272727283</v>
      </c>
      <c r="F108" s="55">
        <f t="shared" si="24"/>
        <v>237657.88295454555</v>
      </c>
      <c r="G108" s="55">
        <f t="shared" si="19"/>
        <v>241052.99556818191</v>
      </c>
      <c r="H108" s="58">
        <f t="shared" si="25"/>
        <v>36807.672487791373</v>
      </c>
      <c r="I108" s="108">
        <f t="shared" si="26"/>
        <v>36807.672487791373</v>
      </c>
      <c r="J108" s="54">
        <f t="shared" si="20"/>
        <v>0</v>
      </c>
      <c r="K108" s="54"/>
      <c r="L108" s="129"/>
      <c r="M108" s="54">
        <f t="shared" si="21"/>
        <v>0</v>
      </c>
      <c r="N108" s="129"/>
      <c r="O108" s="54">
        <f t="shared" si="22"/>
        <v>0</v>
      </c>
      <c r="P108" s="54">
        <f t="shared" si="23"/>
        <v>0</v>
      </c>
    </row>
    <row r="109" spans="1:16" ht="12.5">
      <c r="B109" s="7" t="str">
        <f t="shared" si="27"/>
        <v/>
      </c>
      <c r="C109" s="50">
        <f>IF(D93="","-",+C108+1)</f>
        <v>2034</v>
      </c>
      <c r="D109" s="12">
        <f>IF(F108+SUM(E$99:E108)=D$92,F108,D$92-SUM(E$99:E108))</f>
        <v>237657.88295454555</v>
      </c>
      <c r="E109" s="56">
        <f>IF(+J96&lt;F108,J96,D109)</f>
        <v>6790.2252272727283</v>
      </c>
      <c r="F109" s="55">
        <f t="shared" si="24"/>
        <v>230867.65772727283</v>
      </c>
      <c r="G109" s="55">
        <f t="shared" si="19"/>
        <v>234262.77034090919</v>
      </c>
      <c r="H109" s="58">
        <f t="shared" si="25"/>
        <v>35962.110593128884</v>
      </c>
      <c r="I109" s="108">
        <f t="shared" si="26"/>
        <v>35962.110593128884</v>
      </c>
      <c r="J109" s="54">
        <f t="shared" si="20"/>
        <v>0</v>
      </c>
      <c r="K109" s="54"/>
      <c r="L109" s="129"/>
      <c r="M109" s="54">
        <f t="shared" si="21"/>
        <v>0</v>
      </c>
      <c r="N109" s="129"/>
      <c r="O109" s="54">
        <f t="shared" si="22"/>
        <v>0</v>
      </c>
      <c r="P109" s="54">
        <f t="shared" si="23"/>
        <v>0</v>
      </c>
    </row>
    <row r="110" spans="1:16" ht="12.5">
      <c r="B110" s="7" t="str">
        <f t="shared" si="27"/>
        <v/>
      </c>
      <c r="C110" s="50">
        <f>IF(D93="","-",+C109+1)</f>
        <v>2035</v>
      </c>
      <c r="D110" s="12">
        <f>IF(F109+SUM(E$99:E109)=D$92,F109,D$92-SUM(E$99:E109))</f>
        <v>230867.65772727283</v>
      </c>
      <c r="E110" s="56">
        <f>IF(+J96&lt;F109,J96,D110)</f>
        <v>6790.2252272727283</v>
      </c>
      <c r="F110" s="55">
        <f t="shared" si="24"/>
        <v>224077.43250000011</v>
      </c>
      <c r="G110" s="55">
        <f t="shared" si="19"/>
        <v>227472.54511363647</v>
      </c>
      <c r="H110" s="58">
        <f t="shared" si="25"/>
        <v>35116.548698466388</v>
      </c>
      <c r="I110" s="108">
        <f t="shared" si="26"/>
        <v>35116.548698466388</v>
      </c>
      <c r="J110" s="54">
        <f t="shared" si="20"/>
        <v>0</v>
      </c>
      <c r="K110" s="54"/>
      <c r="L110" s="129"/>
      <c r="M110" s="54">
        <f t="shared" si="21"/>
        <v>0</v>
      </c>
      <c r="N110" s="129"/>
      <c r="O110" s="54">
        <f t="shared" si="22"/>
        <v>0</v>
      </c>
      <c r="P110" s="54">
        <f t="shared" si="23"/>
        <v>0</v>
      </c>
    </row>
    <row r="111" spans="1:16" ht="12.5">
      <c r="B111" s="7" t="str">
        <f t="shared" si="27"/>
        <v/>
      </c>
      <c r="C111" s="50">
        <f>IF(D93="","-",+C110+1)</f>
        <v>2036</v>
      </c>
      <c r="D111" s="12">
        <f>IF(F110+SUM(E$99:E110)=D$92,F110,D$92-SUM(E$99:E110))</f>
        <v>224077.43250000011</v>
      </c>
      <c r="E111" s="56">
        <f>IF(+J96&lt;F110,J96,D111)</f>
        <v>6790.2252272727283</v>
      </c>
      <c r="F111" s="55">
        <f t="shared" si="24"/>
        <v>217287.20727272739</v>
      </c>
      <c r="G111" s="55">
        <f t="shared" si="19"/>
        <v>220682.31988636375</v>
      </c>
      <c r="H111" s="58">
        <f t="shared" si="25"/>
        <v>34270.986803803891</v>
      </c>
      <c r="I111" s="108">
        <f t="shared" si="26"/>
        <v>34270.986803803891</v>
      </c>
      <c r="J111" s="54">
        <f t="shared" si="20"/>
        <v>0</v>
      </c>
      <c r="K111" s="54"/>
      <c r="L111" s="129"/>
      <c r="M111" s="54">
        <f t="shared" si="21"/>
        <v>0</v>
      </c>
      <c r="N111" s="129"/>
      <c r="O111" s="54">
        <f t="shared" si="22"/>
        <v>0</v>
      </c>
      <c r="P111" s="54">
        <f t="shared" si="23"/>
        <v>0</v>
      </c>
    </row>
    <row r="112" spans="1:16" ht="12.5">
      <c r="B112" s="7" t="str">
        <f t="shared" si="27"/>
        <v/>
      </c>
      <c r="C112" s="50">
        <f>IF(D93="","-",+C111+1)</f>
        <v>2037</v>
      </c>
      <c r="D112" s="12">
        <f>IF(F111+SUM(E$99:E111)=D$92,F111,D$92-SUM(E$99:E111))</f>
        <v>217287.20727272739</v>
      </c>
      <c r="E112" s="56">
        <f>IF(+J96&lt;F111,J96,D112)</f>
        <v>6790.2252272727283</v>
      </c>
      <c r="F112" s="55">
        <f t="shared" si="24"/>
        <v>210496.98204545467</v>
      </c>
      <c r="G112" s="55">
        <f t="shared" si="19"/>
        <v>213892.09465909103</v>
      </c>
      <c r="H112" s="58">
        <f t="shared" si="25"/>
        <v>33425.424909141395</v>
      </c>
      <c r="I112" s="108">
        <f t="shared" si="26"/>
        <v>33425.424909141395</v>
      </c>
      <c r="J112" s="54">
        <f t="shared" si="20"/>
        <v>0</v>
      </c>
      <c r="K112" s="54"/>
      <c r="L112" s="129"/>
      <c r="M112" s="54">
        <f t="shared" si="21"/>
        <v>0</v>
      </c>
      <c r="N112" s="129"/>
      <c r="O112" s="54">
        <f t="shared" si="22"/>
        <v>0</v>
      </c>
      <c r="P112" s="54">
        <f t="shared" si="23"/>
        <v>0</v>
      </c>
    </row>
    <row r="113" spans="2:16" ht="12.5">
      <c r="B113" s="7" t="str">
        <f t="shared" si="27"/>
        <v/>
      </c>
      <c r="C113" s="50">
        <f>IF(D93="","-",+C112+1)</f>
        <v>2038</v>
      </c>
      <c r="D113" s="12">
        <f>IF(F112+SUM(E$99:E112)=D$92,F112,D$92-SUM(E$99:E112))</f>
        <v>210496.98204545467</v>
      </c>
      <c r="E113" s="56">
        <f>IF(+J96&lt;F112,J96,D113)</f>
        <v>6790.2252272727283</v>
      </c>
      <c r="F113" s="55">
        <f t="shared" si="24"/>
        <v>203706.75681818195</v>
      </c>
      <c r="G113" s="55">
        <f t="shared" si="19"/>
        <v>207101.86943181831</v>
      </c>
      <c r="H113" s="58">
        <f t="shared" ref="H113:H154" si="28">+J$94*G113+E113</f>
        <v>32579.863014478895</v>
      </c>
      <c r="I113" s="108">
        <f t="shared" ref="I113:I154" si="29">+J$95*G113+E113</f>
        <v>32579.863014478895</v>
      </c>
      <c r="J113" s="54">
        <f t="shared" si="20"/>
        <v>0</v>
      </c>
      <c r="K113" s="54"/>
      <c r="L113" s="129"/>
      <c r="M113" s="54">
        <f t="shared" si="21"/>
        <v>0</v>
      </c>
      <c r="N113" s="129"/>
      <c r="O113" s="54">
        <f t="shared" si="22"/>
        <v>0</v>
      </c>
      <c r="P113" s="54">
        <f t="shared" si="23"/>
        <v>0</v>
      </c>
    </row>
    <row r="114" spans="2:16" ht="12.5">
      <c r="B114" s="7" t="str">
        <f t="shared" si="27"/>
        <v/>
      </c>
      <c r="C114" s="50">
        <f>IF(D93="","-",+C113+1)</f>
        <v>2039</v>
      </c>
      <c r="D114" s="12">
        <f>IF(F113+SUM(E$99:E113)=D$92,F113,D$92-SUM(E$99:E113))</f>
        <v>203706.75681818195</v>
      </c>
      <c r="E114" s="56">
        <f>IF(+J96&lt;F113,J96,D114)</f>
        <v>6790.2252272727283</v>
      </c>
      <c r="F114" s="55">
        <f t="shared" si="24"/>
        <v>196916.53159090923</v>
      </c>
      <c r="G114" s="55">
        <f t="shared" si="19"/>
        <v>200311.64420454559</v>
      </c>
      <c r="H114" s="58">
        <f t="shared" si="28"/>
        <v>31734.301119816399</v>
      </c>
      <c r="I114" s="108">
        <f t="shared" si="29"/>
        <v>31734.301119816399</v>
      </c>
      <c r="J114" s="54">
        <f t="shared" si="20"/>
        <v>0</v>
      </c>
      <c r="K114" s="54"/>
      <c r="L114" s="129"/>
      <c r="M114" s="54">
        <f t="shared" si="21"/>
        <v>0</v>
      </c>
      <c r="N114" s="129"/>
      <c r="O114" s="54">
        <f t="shared" si="22"/>
        <v>0</v>
      </c>
      <c r="P114" s="54">
        <f t="shared" si="23"/>
        <v>0</v>
      </c>
    </row>
    <row r="115" spans="2:16" ht="12.5">
      <c r="B115" s="7" t="str">
        <f t="shared" si="27"/>
        <v/>
      </c>
      <c r="C115" s="50">
        <f>IF(D93="","-",+C114+1)</f>
        <v>2040</v>
      </c>
      <c r="D115" s="12">
        <f>IF(F114+SUM(E$99:E114)=D$92,F114,D$92-SUM(E$99:E114))</f>
        <v>196916.53159090923</v>
      </c>
      <c r="E115" s="56">
        <f>IF(+J96&lt;F114,J96,D115)</f>
        <v>6790.2252272727283</v>
      </c>
      <c r="F115" s="55">
        <f t="shared" si="24"/>
        <v>190126.30636363651</v>
      </c>
      <c r="G115" s="55">
        <f t="shared" si="19"/>
        <v>193521.41897727287</v>
      </c>
      <c r="H115" s="58">
        <f t="shared" si="28"/>
        <v>30888.739225153902</v>
      </c>
      <c r="I115" s="108">
        <f t="shared" si="29"/>
        <v>30888.739225153902</v>
      </c>
      <c r="J115" s="54">
        <f t="shared" si="20"/>
        <v>0</v>
      </c>
      <c r="K115" s="54"/>
      <c r="L115" s="129"/>
      <c r="M115" s="54">
        <f t="shared" si="21"/>
        <v>0</v>
      </c>
      <c r="N115" s="129"/>
      <c r="O115" s="54">
        <f t="shared" si="22"/>
        <v>0</v>
      </c>
      <c r="P115" s="54">
        <f t="shared" si="23"/>
        <v>0</v>
      </c>
    </row>
    <row r="116" spans="2:16" ht="12.5">
      <c r="B116" s="7" t="str">
        <f t="shared" si="27"/>
        <v/>
      </c>
      <c r="C116" s="50">
        <f>IF(D93="","-",+C115+1)</f>
        <v>2041</v>
      </c>
      <c r="D116" s="12">
        <f>IF(F115+SUM(E$99:E115)=D$92,F115,D$92-SUM(E$99:E115))</f>
        <v>190126.30636363651</v>
      </c>
      <c r="E116" s="56">
        <f>IF(+J96&lt;F115,J96,D116)</f>
        <v>6790.2252272727283</v>
      </c>
      <c r="F116" s="55">
        <f t="shared" si="24"/>
        <v>183336.08113636379</v>
      </c>
      <c r="G116" s="55">
        <f t="shared" si="19"/>
        <v>186731.19375000015</v>
      </c>
      <c r="H116" s="58">
        <f t="shared" si="28"/>
        <v>30043.177330491406</v>
      </c>
      <c r="I116" s="108">
        <f t="shared" si="29"/>
        <v>30043.177330491406</v>
      </c>
      <c r="J116" s="54">
        <f t="shared" si="20"/>
        <v>0</v>
      </c>
      <c r="K116" s="54"/>
      <c r="L116" s="129"/>
      <c r="M116" s="54">
        <f t="shared" si="21"/>
        <v>0</v>
      </c>
      <c r="N116" s="129"/>
      <c r="O116" s="54">
        <f t="shared" si="22"/>
        <v>0</v>
      </c>
      <c r="P116" s="54">
        <f t="shared" si="23"/>
        <v>0</v>
      </c>
    </row>
    <row r="117" spans="2:16" ht="12.5">
      <c r="B117" s="7" t="str">
        <f t="shared" si="27"/>
        <v/>
      </c>
      <c r="C117" s="50">
        <f>IF(D93="","-",+C116+1)</f>
        <v>2042</v>
      </c>
      <c r="D117" s="12">
        <f>IF(F116+SUM(E$99:E116)=D$92,F116,D$92-SUM(E$99:E116))</f>
        <v>183336.08113636379</v>
      </c>
      <c r="E117" s="56">
        <f>IF(+J96&lt;F116,J96,D117)</f>
        <v>6790.2252272727283</v>
      </c>
      <c r="F117" s="55">
        <f t="shared" si="24"/>
        <v>176545.85590909107</v>
      </c>
      <c r="G117" s="55">
        <f t="shared" si="19"/>
        <v>179940.96852272743</v>
      </c>
      <c r="H117" s="58">
        <f t="shared" si="28"/>
        <v>29197.615435828913</v>
      </c>
      <c r="I117" s="108">
        <f t="shared" si="29"/>
        <v>29197.615435828913</v>
      </c>
      <c r="J117" s="54">
        <f t="shared" si="20"/>
        <v>0</v>
      </c>
      <c r="K117" s="54"/>
      <c r="L117" s="129"/>
      <c r="M117" s="54">
        <f t="shared" si="21"/>
        <v>0</v>
      </c>
      <c r="N117" s="129"/>
      <c r="O117" s="54">
        <f t="shared" si="22"/>
        <v>0</v>
      </c>
      <c r="P117" s="54">
        <f t="shared" si="23"/>
        <v>0</v>
      </c>
    </row>
    <row r="118" spans="2:16" ht="12.5">
      <c r="B118" s="7" t="str">
        <f t="shared" si="27"/>
        <v/>
      </c>
      <c r="C118" s="50">
        <f>IF(D93="","-",+C117+1)</f>
        <v>2043</v>
      </c>
      <c r="D118" s="12">
        <f>IF(F117+SUM(E$99:E117)=D$92,F117,D$92-SUM(E$99:E117))</f>
        <v>176545.85590909107</v>
      </c>
      <c r="E118" s="56">
        <f>IF(+J96&lt;F117,J96,D118)</f>
        <v>6790.2252272727283</v>
      </c>
      <c r="F118" s="55">
        <f t="shared" si="24"/>
        <v>169755.63068181835</v>
      </c>
      <c r="G118" s="55">
        <f t="shared" si="19"/>
        <v>173150.74329545471</v>
      </c>
      <c r="H118" s="58">
        <f t="shared" si="28"/>
        <v>28352.053541166417</v>
      </c>
      <c r="I118" s="108">
        <f t="shared" si="29"/>
        <v>28352.053541166417</v>
      </c>
      <c r="J118" s="54">
        <f t="shared" si="20"/>
        <v>0</v>
      </c>
      <c r="K118" s="54"/>
      <c r="L118" s="129"/>
      <c r="M118" s="54">
        <f t="shared" si="21"/>
        <v>0</v>
      </c>
      <c r="N118" s="129"/>
      <c r="O118" s="54">
        <f t="shared" si="22"/>
        <v>0</v>
      </c>
      <c r="P118" s="54">
        <f t="shared" si="23"/>
        <v>0</v>
      </c>
    </row>
    <row r="119" spans="2:16" ht="12.5">
      <c r="B119" s="7" t="str">
        <f t="shared" si="27"/>
        <v/>
      </c>
      <c r="C119" s="50">
        <f>IF(D93="","-",+C118+1)</f>
        <v>2044</v>
      </c>
      <c r="D119" s="12">
        <f>IF(F118+SUM(E$99:E118)=D$92,F118,D$92-SUM(E$99:E118))</f>
        <v>169755.63068181835</v>
      </c>
      <c r="E119" s="56">
        <f>IF(+J96&lt;F118,J96,D119)</f>
        <v>6790.2252272727283</v>
      </c>
      <c r="F119" s="55">
        <f t="shared" si="24"/>
        <v>162965.40545454563</v>
      </c>
      <c r="G119" s="55">
        <f t="shared" si="19"/>
        <v>166360.51806818199</v>
      </c>
      <c r="H119" s="58">
        <f t="shared" si="28"/>
        <v>27506.49164650392</v>
      </c>
      <c r="I119" s="108">
        <f t="shared" si="29"/>
        <v>27506.49164650392</v>
      </c>
      <c r="J119" s="54">
        <f t="shared" si="20"/>
        <v>0</v>
      </c>
      <c r="K119" s="54"/>
      <c r="L119" s="129"/>
      <c r="M119" s="54">
        <f t="shared" si="21"/>
        <v>0</v>
      </c>
      <c r="N119" s="129"/>
      <c r="O119" s="54">
        <f t="shared" si="22"/>
        <v>0</v>
      </c>
      <c r="P119" s="54">
        <f t="shared" si="23"/>
        <v>0</v>
      </c>
    </row>
    <row r="120" spans="2:16" ht="12.5">
      <c r="B120" s="7" t="str">
        <f t="shared" si="27"/>
        <v/>
      </c>
      <c r="C120" s="50">
        <f>IF(D93="","-",+C119+1)</f>
        <v>2045</v>
      </c>
      <c r="D120" s="12">
        <f>IF(F119+SUM(E$99:E119)=D$92,F119,D$92-SUM(E$99:E119))</f>
        <v>162965.40545454563</v>
      </c>
      <c r="E120" s="56">
        <f>IF(+J96&lt;F119,J96,D120)</f>
        <v>6790.2252272727283</v>
      </c>
      <c r="F120" s="55">
        <f t="shared" si="24"/>
        <v>156175.18022727291</v>
      </c>
      <c r="G120" s="55">
        <f t="shared" si="19"/>
        <v>159570.29284090927</v>
      </c>
      <c r="H120" s="58">
        <f t="shared" si="28"/>
        <v>26660.929751841424</v>
      </c>
      <c r="I120" s="108">
        <f t="shared" si="29"/>
        <v>26660.929751841424</v>
      </c>
      <c r="J120" s="54">
        <f t="shared" si="20"/>
        <v>0</v>
      </c>
      <c r="K120" s="54"/>
      <c r="L120" s="129"/>
      <c r="M120" s="54">
        <f t="shared" si="21"/>
        <v>0</v>
      </c>
      <c r="N120" s="129"/>
      <c r="O120" s="54">
        <f t="shared" si="22"/>
        <v>0</v>
      </c>
      <c r="P120" s="54">
        <f t="shared" si="23"/>
        <v>0</v>
      </c>
    </row>
    <row r="121" spans="2:16" ht="12.5">
      <c r="B121" s="7" t="str">
        <f t="shared" si="27"/>
        <v/>
      </c>
      <c r="C121" s="50">
        <f>IF(D93="","-",+C120+1)</f>
        <v>2046</v>
      </c>
      <c r="D121" s="12">
        <f>IF(F120+SUM(E$99:E120)=D$92,F120,D$92-SUM(E$99:E120))</f>
        <v>156175.18022727291</v>
      </c>
      <c r="E121" s="56">
        <f>IF(+J96&lt;F120,J96,D121)</f>
        <v>6790.2252272727283</v>
      </c>
      <c r="F121" s="55">
        <f t="shared" si="24"/>
        <v>149384.95500000019</v>
      </c>
      <c r="G121" s="55">
        <f t="shared" si="19"/>
        <v>152780.06761363655</v>
      </c>
      <c r="H121" s="58">
        <f t="shared" si="28"/>
        <v>25815.367857178928</v>
      </c>
      <c r="I121" s="108">
        <f t="shared" si="29"/>
        <v>25815.367857178928</v>
      </c>
      <c r="J121" s="54">
        <f t="shared" si="20"/>
        <v>0</v>
      </c>
      <c r="K121" s="54"/>
      <c r="L121" s="129"/>
      <c r="M121" s="54">
        <f t="shared" si="21"/>
        <v>0</v>
      </c>
      <c r="N121" s="129"/>
      <c r="O121" s="54">
        <f t="shared" si="22"/>
        <v>0</v>
      </c>
      <c r="P121" s="54">
        <f t="shared" si="23"/>
        <v>0</v>
      </c>
    </row>
    <row r="122" spans="2:16" ht="12.5">
      <c r="B122" s="7" t="str">
        <f t="shared" si="27"/>
        <v/>
      </c>
      <c r="C122" s="50">
        <f>IF(D93="","-",+C121+1)</f>
        <v>2047</v>
      </c>
      <c r="D122" s="12">
        <f>IF(F121+SUM(E$99:E121)=D$92,F121,D$92-SUM(E$99:E121))</f>
        <v>149384.95500000019</v>
      </c>
      <c r="E122" s="56">
        <f>IF(+J96&lt;F121,J96,D122)</f>
        <v>6790.2252272727283</v>
      </c>
      <c r="F122" s="55">
        <f t="shared" si="24"/>
        <v>142594.72977272747</v>
      </c>
      <c r="G122" s="55">
        <f t="shared" si="19"/>
        <v>145989.84238636383</v>
      </c>
      <c r="H122" s="58">
        <f t="shared" si="28"/>
        <v>24969.805962516431</v>
      </c>
      <c r="I122" s="108">
        <f t="shared" si="29"/>
        <v>24969.805962516431</v>
      </c>
      <c r="J122" s="54">
        <f t="shared" si="20"/>
        <v>0</v>
      </c>
      <c r="K122" s="54"/>
      <c r="L122" s="129"/>
      <c r="M122" s="54">
        <f t="shared" si="21"/>
        <v>0</v>
      </c>
      <c r="N122" s="129"/>
      <c r="O122" s="54">
        <f t="shared" si="22"/>
        <v>0</v>
      </c>
      <c r="P122" s="54">
        <f t="shared" si="23"/>
        <v>0</v>
      </c>
    </row>
    <row r="123" spans="2:16" ht="12.5">
      <c r="B123" s="7" t="str">
        <f t="shared" si="27"/>
        <v/>
      </c>
      <c r="C123" s="50">
        <f>IF(D93="","-",+C122+1)</f>
        <v>2048</v>
      </c>
      <c r="D123" s="12">
        <f>IF(F122+SUM(E$99:E122)=D$92,F122,D$92-SUM(E$99:E122))</f>
        <v>142594.72977272747</v>
      </c>
      <c r="E123" s="56">
        <f>IF(+J96&lt;F122,J96,D123)</f>
        <v>6790.2252272727283</v>
      </c>
      <c r="F123" s="55">
        <f t="shared" si="24"/>
        <v>135804.50454545475</v>
      </c>
      <c r="G123" s="55">
        <f t="shared" si="19"/>
        <v>139199.61715909111</v>
      </c>
      <c r="H123" s="58">
        <f t="shared" si="28"/>
        <v>24124.244067853935</v>
      </c>
      <c r="I123" s="108">
        <f t="shared" si="29"/>
        <v>24124.244067853935</v>
      </c>
      <c r="J123" s="54">
        <f t="shared" si="20"/>
        <v>0</v>
      </c>
      <c r="K123" s="54"/>
      <c r="L123" s="129"/>
      <c r="M123" s="54">
        <f t="shared" si="21"/>
        <v>0</v>
      </c>
      <c r="N123" s="129"/>
      <c r="O123" s="54">
        <f t="shared" si="22"/>
        <v>0</v>
      </c>
      <c r="P123" s="54">
        <f t="shared" si="23"/>
        <v>0</v>
      </c>
    </row>
    <row r="124" spans="2:16" ht="12.5">
      <c r="B124" s="7" t="str">
        <f t="shared" si="27"/>
        <v/>
      </c>
      <c r="C124" s="50">
        <f>IF(D93="","-",+C123+1)</f>
        <v>2049</v>
      </c>
      <c r="D124" s="12">
        <f>IF(F123+SUM(E$99:E123)=D$92,F123,D$92-SUM(E$99:E123))</f>
        <v>135804.50454545475</v>
      </c>
      <c r="E124" s="56">
        <f>IF(+J96&lt;F123,J96,D124)</f>
        <v>6790.2252272727283</v>
      </c>
      <c r="F124" s="55">
        <f t="shared" si="24"/>
        <v>129014.27931818202</v>
      </c>
      <c r="G124" s="55">
        <f t="shared" si="19"/>
        <v>132409.39193181839</v>
      </c>
      <c r="H124" s="58">
        <f t="shared" si="28"/>
        <v>23278.682173191439</v>
      </c>
      <c r="I124" s="108">
        <f t="shared" si="29"/>
        <v>23278.682173191439</v>
      </c>
      <c r="J124" s="54">
        <f t="shared" si="20"/>
        <v>0</v>
      </c>
      <c r="K124" s="54"/>
      <c r="L124" s="129"/>
      <c r="M124" s="54">
        <f t="shared" si="21"/>
        <v>0</v>
      </c>
      <c r="N124" s="129"/>
      <c r="O124" s="54">
        <f t="shared" si="22"/>
        <v>0</v>
      </c>
      <c r="P124" s="54">
        <f t="shared" si="23"/>
        <v>0</v>
      </c>
    </row>
    <row r="125" spans="2:16" ht="12.5">
      <c r="B125" s="7" t="str">
        <f t="shared" si="27"/>
        <v/>
      </c>
      <c r="C125" s="50">
        <f>IF(D93="","-",+C124+1)</f>
        <v>2050</v>
      </c>
      <c r="D125" s="12">
        <f>IF(F124+SUM(E$99:E124)=D$92,F124,D$92-SUM(E$99:E124))</f>
        <v>129014.27931818202</v>
      </c>
      <c r="E125" s="56">
        <f>IF(+J96&lt;F124,J96,D125)</f>
        <v>6790.2252272727283</v>
      </c>
      <c r="F125" s="55">
        <f t="shared" si="24"/>
        <v>122224.05409090928</v>
      </c>
      <c r="G125" s="55">
        <f t="shared" si="19"/>
        <v>125619.16670454564</v>
      </c>
      <c r="H125" s="58">
        <f t="shared" si="28"/>
        <v>22433.120278528942</v>
      </c>
      <c r="I125" s="108">
        <f t="shared" si="29"/>
        <v>22433.120278528942</v>
      </c>
      <c r="J125" s="54">
        <f t="shared" si="20"/>
        <v>0</v>
      </c>
      <c r="K125" s="54"/>
      <c r="L125" s="129"/>
      <c r="M125" s="54">
        <f t="shared" si="21"/>
        <v>0</v>
      </c>
      <c r="N125" s="129"/>
      <c r="O125" s="54">
        <f t="shared" si="22"/>
        <v>0</v>
      </c>
      <c r="P125" s="54">
        <f t="shared" si="23"/>
        <v>0</v>
      </c>
    </row>
    <row r="126" spans="2:16" ht="12.5">
      <c r="B126" s="7" t="str">
        <f t="shared" si="27"/>
        <v/>
      </c>
      <c r="C126" s="50">
        <f>IF(D93="","-",+C125+1)</f>
        <v>2051</v>
      </c>
      <c r="D126" s="12">
        <f>IF(F125+SUM(E$99:E125)=D$92,F125,D$92-SUM(E$99:E125))</f>
        <v>122224.05409090928</v>
      </c>
      <c r="E126" s="56">
        <f>IF(+J96&lt;F125,J96,D126)</f>
        <v>6790.2252272727283</v>
      </c>
      <c r="F126" s="55">
        <f t="shared" si="24"/>
        <v>115433.82886363655</v>
      </c>
      <c r="G126" s="55">
        <f t="shared" si="19"/>
        <v>118828.94147727292</v>
      </c>
      <c r="H126" s="58">
        <f t="shared" si="28"/>
        <v>21587.558383866446</v>
      </c>
      <c r="I126" s="108">
        <f t="shared" si="29"/>
        <v>21587.558383866446</v>
      </c>
      <c r="J126" s="54">
        <f t="shared" si="20"/>
        <v>0</v>
      </c>
      <c r="K126" s="54"/>
      <c r="L126" s="129"/>
      <c r="M126" s="54">
        <f t="shared" si="21"/>
        <v>0</v>
      </c>
      <c r="N126" s="129"/>
      <c r="O126" s="54">
        <f t="shared" si="22"/>
        <v>0</v>
      </c>
      <c r="P126" s="54">
        <f t="shared" si="23"/>
        <v>0</v>
      </c>
    </row>
    <row r="127" spans="2:16" ht="12.5">
      <c r="B127" s="7" t="str">
        <f t="shared" si="27"/>
        <v/>
      </c>
      <c r="C127" s="50">
        <f>IF(D93="","-",+C126+1)</f>
        <v>2052</v>
      </c>
      <c r="D127" s="12">
        <f>IF(F126+SUM(E$99:E126)=D$92,F126,D$92-SUM(E$99:E126))</f>
        <v>115433.82886363655</v>
      </c>
      <c r="E127" s="56">
        <f>IF(+J96&lt;F126,J96,D127)</f>
        <v>6790.2252272727283</v>
      </c>
      <c r="F127" s="55">
        <f t="shared" si="24"/>
        <v>108643.60363636381</v>
      </c>
      <c r="G127" s="55">
        <f t="shared" si="19"/>
        <v>112038.71625000017</v>
      </c>
      <c r="H127" s="58">
        <f t="shared" si="28"/>
        <v>20741.996489203946</v>
      </c>
      <c r="I127" s="108">
        <f t="shared" si="29"/>
        <v>20741.996489203946</v>
      </c>
      <c r="J127" s="54">
        <f t="shared" si="20"/>
        <v>0</v>
      </c>
      <c r="K127" s="54"/>
      <c r="L127" s="129"/>
      <c r="M127" s="54">
        <f t="shared" si="21"/>
        <v>0</v>
      </c>
      <c r="N127" s="129"/>
      <c r="O127" s="54">
        <f t="shared" si="22"/>
        <v>0</v>
      </c>
      <c r="P127" s="54">
        <f t="shared" si="23"/>
        <v>0</v>
      </c>
    </row>
    <row r="128" spans="2:16" ht="12.5">
      <c r="B128" s="7" t="str">
        <f t="shared" si="27"/>
        <v/>
      </c>
      <c r="C128" s="50">
        <f>IF(D93="","-",+C127+1)</f>
        <v>2053</v>
      </c>
      <c r="D128" s="12">
        <f>IF(F127+SUM(E$99:E127)=D$92,F127,D$92-SUM(E$99:E127))</f>
        <v>108643.60363636381</v>
      </c>
      <c r="E128" s="56">
        <f>IF(+J96&lt;F127,J96,D128)</f>
        <v>6790.2252272727283</v>
      </c>
      <c r="F128" s="55">
        <f t="shared" si="24"/>
        <v>101853.37840909108</v>
      </c>
      <c r="G128" s="55">
        <f t="shared" si="19"/>
        <v>105248.49102272745</v>
      </c>
      <c r="H128" s="58">
        <f t="shared" si="28"/>
        <v>19896.43459454145</v>
      </c>
      <c r="I128" s="108">
        <f t="shared" si="29"/>
        <v>19896.43459454145</v>
      </c>
      <c r="J128" s="54">
        <f t="shared" si="20"/>
        <v>0</v>
      </c>
      <c r="K128" s="54"/>
      <c r="L128" s="129"/>
      <c r="M128" s="54">
        <f t="shared" si="21"/>
        <v>0</v>
      </c>
      <c r="N128" s="129"/>
      <c r="O128" s="54">
        <f t="shared" si="22"/>
        <v>0</v>
      </c>
      <c r="P128" s="54">
        <f t="shared" si="23"/>
        <v>0</v>
      </c>
    </row>
    <row r="129" spans="2:16" ht="12.5">
      <c r="B129" s="7" t="str">
        <f t="shared" si="27"/>
        <v/>
      </c>
      <c r="C129" s="50">
        <f>IF(D93="","-",+C128+1)</f>
        <v>2054</v>
      </c>
      <c r="D129" s="12">
        <f>IF(F128+SUM(E$99:E128)=D$92,F128,D$92-SUM(E$99:E128))</f>
        <v>101853.37840909108</v>
      </c>
      <c r="E129" s="56">
        <f>IF(+J96&lt;F128,J96,D129)</f>
        <v>6790.2252272727283</v>
      </c>
      <c r="F129" s="55">
        <f t="shared" si="24"/>
        <v>95063.153181818343</v>
      </c>
      <c r="G129" s="55">
        <f t="shared" si="19"/>
        <v>98458.265795454703</v>
      </c>
      <c r="H129" s="58">
        <f t="shared" si="28"/>
        <v>19050.87269987895</v>
      </c>
      <c r="I129" s="108">
        <f t="shared" si="29"/>
        <v>19050.87269987895</v>
      </c>
      <c r="J129" s="54">
        <f t="shared" si="20"/>
        <v>0</v>
      </c>
      <c r="K129" s="54"/>
      <c r="L129" s="129"/>
      <c r="M129" s="54">
        <f t="shared" si="21"/>
        <v>0</v>
      </c>
      <c r="N129" s="129"/>
      <c r="O129" s="54">
        <f t="shared" si="22"/>
        <v>0</v>
      </c>
      <c r="P129" s="54">
        <f t="shared" si="23"/>
        <v>0</v>
      </c>
    </row>
    <row r="130" spans="2:16" ht="12.5">
      <c r="B130" s="7" t="str">
        <f t="shared" si="27"/>
        <v/>
      </c>
      <c r="C130" s="50">
        <f>IF(D93="","-",+C129+1)</f>
        <v>2055</v>
      </c>
      <c r="D130" s="12">
        <f>IF(F129+SUM(E$99:E129)=D$92,F129,D$92-SUM(E$99:E129))</f>
        <v>95063.153181818343</v>
      </c>
      <c r="E130" s="56">
        <f>IF(+J96&lt;F129,J96,D130)</f>
        <v>6790.2252272727283</v>
      </c>
      <c r="F130" s="55">
        <f t="shared" si="24"/>
        <v>88272.927954545608</v>
      </c>
      <c r="G130" s="55">
        <f t="shared" si="19"/>
        <v>91668.040568181983</v>
      </c>
      <c r="H130" s="58">
        <f t="shared" si="28"/>
        <v>18205.310805216457</v>
      </c>
      <c r="I130" s="108">
        <f t="shared" si="29"/>
        <v>18205.310805216457</v>
      </c>
      <c r="J130" s="54">
        <f t="shared" si="20"/>
        <v>0</v>
      </c>
      <c r="K130" s="54"/>
      <c r="L130" s="129"/>
      <c r="M130" s="54">
        <f t="shared" si="21"/>
        <v>0</v>
      </c>
      <c r="N130" s="129"/>
      <c r="O130" s="54">
        <f t="shared" si="22"/>
        <v>0</v>
      </c>
      <c r="P130" s="54">
        <f t="shared" si="23"/>
        <v>0</v>
      </c>
    </row>
    <row r="131" spans="2:16" ht="12.5">
      <c r="B131" s="7" t="str">
        <f t="shared" si="27"/>
        <v/>
      </c>
      <c r="C131" s="50">
        <f>IF(D93="","-",+C130+1)</f>
        <v>2056</v>
      </c>
      <c r="D131" s="12">
        <f>IF(F130+SUM(E$99:E130)=D$92,F130,D$92-SUM(E$99:E130))</f>
        <v>88272.927954545608</v>
      </c>
      <c r="E131" s="56">
        <f>IF(+J96&lt;F130,J96,D131)</f>
        <v>6790.2252272727283</v>
      </c>
      <c r="F131" s="55">
        <f t="shared" ref="F131:F154" si="30">+D131-E131</f>
        <v>81482.702727272874</v>
      </c>
      <c r="G131" s="55">
        <f t="shared" ref="G131:G154" si="31">+(F131+D131)/2</f>
        <v>84877.815340909234</v>
      </c>
      <c r="H131" s="58">
        <f t="shared" si="28"/>
        <v>17359.748910553957</v>
      </c>
      <c r="I131" s="108">
        <f t="shared" si="29"/>
        <v>17359.748910553957</v>
      </c>
      <c r="J131" s="54">
        <f t="shared" ref="J131:J154" si="32">+I541-H541</f>
        <v>0</v>
      </c>
      <c r="K131" s="54"/>
      <c r="L131" s="129"/>
      <c r="M131" s="54">
        <f t="shared" ref="M131:M154" si="33">IF(L541&lt;&gt;0,+H541-L541,0)</f>
        <v>0</v>
      </c>
      <c r="N131" s="129"/>
      <c r="O131" s="54">
        <f t="shared" ref="O131:O154" si="34">IF(N541&lt;&gt;0,+I541-N541,0)</f>
        <v>0</v>
      </c>
      <c r="P131" s="54">
        <f t="shared" ref="P131:P154" si="35">+O541-M541</f>
        <v>0</v>
      </c>
    </row>
    <row r="132" spans="2:16" ht="12.5">
      <c r="B132" s="7" t="str">
        <f t="shared" si="27"/>
        <v/>
      </c>
      <c r="C132" s="50">
        <f>IF(D93="","-",+C131+1)</f>
        <v>2057</v>
      </c>
      <c r="D132" s="12">
        <f>IF(F131+SUM(E$99:E131)=D$92,F131,D$92-SUM(E$99:E131))</f>
        <v>81482.702727272874</v>
      </c>
      <c r="E132" s="56">
        <f>IF(+J96&lt;F131,J96,D132)</f>
        <v>6790.2252272727283</v>
      </c>
      <c r="F132" s="55">
        <f t="shared" si="30"/>
        <v>74692.477500000139</v>
      </c>
      <c r="G132" s="55">
        <f t="shared" si="31"/>
        <v>78087.590113636514</v>
      </c>
      <c r="H132" s="58">
        <f t="shared" si="28"/>
        <v>16514.187015891461</v>
      </c>
      <c r="I132" s="108">
        <f t="shared" si="29"/>
        <v>16514.187015891461</v>
      </c>
      <c r="J132" s="54">
        <f t="shared" si="32"/>
        <v>0</v>
      </c>
      <c r="K132" s="54"/>
      <c r="L132" s="129"/>
      <c r="M132" s="54">
        <f t="shared" si="33"/>
        <v>0</v>
      </c>
      <c r="N132" s="129"/>
      <c r="O132" s="54">
        <f t="shared" si="34"/>
        <v>0</v>
      </c>
      <c r="P132" s="54">
        <f t="shared" si="35"/>
        <v>0</v>
      </c>
    </row>
    <row r="133" spans="2:16" ht="12.5">
      <c r="B133" s="7" t="str">
        <f t="shared" si="27"/>
        <v/>
      </c>
      <c r="C133" s="50">
        <f>IF(D93="","-",+C132+1)</f>
        <v>2058</v>
      </c>
      <c r="D133" s="12">
        <f>IF(F132+SUM(E$99:E132)=D$92,F132,D$92-SUM(E$99:E132))</f>
        <v>74692.477500000139</v>
      </c>
      <c r="E133" s="56">
        <f>IF(+J96&lt;F132,J96,D133)</f>
        <v>6790.2252272727283</v>
      </c>
      <c r="F133" s="55">
        <f t="shared" si="30"/>
        <v>67902.252272727404</v>
      </c>
      <c r="G133" s="55">
        <f t="shared" si="31"/>
        <v>71297.364886363765</v>
      </c>
      <c r="H133" s="58">
        <f t="shared" si="28"/>
        <v>15668.625121228961</v>
      </c>
      <c r="I133" s="108">
        <f t="shared" si="29"/>
        <v>15668.625121228961</v>
      </c>
      <c r="J133" s="54">
        <f t="shared" si="32"/>
        <v>0</v>
      </c>
      <c r="K133" s="54"/>
      <c r="L133" s="129"/>
      <c r="M133" s="54">
        <f t="shared" si="33"/>
        <v>0</v>
      </c>
      <c r="N133" s="129"/>
      <c r="O133" s="54">
        <f t="shared" si="34"/>
        <v>0</v>
      </c>
      <c r="P133" s="54">
        <f t="shared" si="35"/>
        <v>0</v>
      </c>
    </row>
    <row r="134" spans="2:16" ht="12.5">
      <c r="B134" s="7" t="str">
        <f t="shared" si="27"/>
        <v/>
      </c>
      <c r="C134" s="50">
        <f>IF(D93="","-",+C133+1)</f>
        <v>2059</v>
      </c>
      <c r="D134" s="12">
        <f>IF(F133+SUM(E$99:E133)=D$92,F133,D$92-SUM(E$99:E133))</f>
        <v>67902.252272727404</v>
      </c>
      <c r="E134" s="56">
        <f>IF(+J96&lt;F133,J96,D134)</f>
        <v>6790.2252272727283</v>
      </c>
      <c r="F134" s="55">
        <f t="shared" si="30"/>
        <v>61112.027045454677</v>
      </c>
      <c r="G134" s="55">
        <f t="shared" si="31"/>
        <v>64507.139659091044</v>
      </c>
      <c r="H134" s="58">
        <f t="shared" si="28"/>
        <v>14823.063226566464</v>
      </c>
      <c r="I134" s="108">
        <f t="shared" si="29"/>
        <v>14823.063226566464</v>
      </c>
      <c r="J134" s="54">
        <f t="shared" si="32"/>
        <v>0</v>
      </c>
      <c r="K134" s="54"/>
      <c r="L134" s="129"/>
      <c r="M134" s="54">
        <f t="shared" si="33"/>
        <v>0</v>
      </c>
      <c r="N134" s="129"/>
      <c r="O134" s="54">
        <f t="shared" si="34"/>
        <v>0</v>
      </c>
      <c r="P134" s="54">
        <f t="shared" si="35"/>
        <v>0</v>
      </c>
    </row>
    <row r="135" spans="2:16" ht="12.5">
      <c r="B135" s="7" t="str">
        <f t="shared" si="27"/>
        <v/>
      </c>
      <c r="C135" s="50">
        <f>IF(D93="","-",+C134+1)</f>
        <v>2060</v>
      </c>
      <c r="D135" s="12">
        <f>IF(F134+SUM(E$99:E134)=D$92,F134,D$92-SUM(E$99:E134))</f>
        <v>61112.027045454677</v>
      </c>
      <c r="E135" s="56">
        <f>IF(+J96&lt;F134,J96,D135)</f>
        <v>6790.2252272727283</v>
      </c>
      <c r="F135" s="55">
        <f t="shared" si="30"/>
        <v>54321.80181818195</v>
      </c>
      <c r="G135" s="55">
        <f t="shared" si="31"/>
        <v>57716.91443181831</v>
      </c>
      <c r="H135" s="58">
        <f t="shared" si="28"/>
        <v>13977.501331903968</v>
      </c>
      <c r="I135" s="108">
        <f t="shared" si="29"/>
        <v>13977.501331903968</v>
      </c>
      <c r="J135" s="54">
        <f t="shared" si="32"/>
        <v>0</v>
      </c>
      <c r="K135" s="54"/>
      <c r="L135" s="129"/>
      <c r="M135" s="54">
        <f t="shared" si="33"/>
        <v>0</v>
      </c>
      <c r="N135" s="129"/>
      <c r="O135" s="54">
        <f t="shared" si="34"/>
        <v>0</v>
      </c>
      <c r="P135" s="54">
        <f t="shared" si="35"/>
        <v>0</v>
      </c>
    </row>
    <row r="136" spans="2:16" ht="12.5">
      <c r="B136" s="7" t="str">
        <f t="shared" si="27"/>
        <v/>
      </c>
      <c r="C136" s="50">
        <f>IF(D93="","-",+C135+1)</f>
        <v>2061</v>
      </c>
      <c r="D136" s="12">
        <f>IF(F135+SUM(E$99:E135)=D$92,F135,D$92-SUM(E$99:E135))</f>
        <v>54321.80181818195</v>
      </c>
      <c r="E136" s="56">
        <f>IF(+J96&lt;F135,J96,D136)</f>
        <v>6790.2252272727283</v>
      </c>
      <c r="F136" s="55">
        <f t="shared" si="30"/>
        <v>47531.576590909222</v>
      </c>
      <c r="G136" s="55">
        <f t="shared" si="31"/>
        <v>50926.68920454559</v>
      </c>
      <c r="H136" s="58">
        <f t="shared" si="28"/>
        <v>13131.939437241472</v>
      </c>
      <c r="I136" s="108">
        <f t="shared" si="29"/>
        <v>13131.939437241472</v>
      </c>
      <c r="J136" s="54">
        <f t="shared" si="32"/>
        <v>0</v>
      </c>
      <c r="K136" s="54"/>
      <c r="L136" s="129"/>
      <c r="M136" s="54">
        <f t="shared" si="33"/>
        <v>0</v>
      </c>
      <c r="N136" s="129"/>
      <c r="O136" s="54">
        <f t="shared" si="34"/>
        <v>0</v>
      </c>
      <c r="P136" s="54">
        <f t="shared" si="35"/>
        <v>0</v>
      </c>
    </row>
    <row r="137" spans="2:16" ht="12.5">
      <c r="B137" s="7" t="str">
        <f t="shared" si="27"/>
        <v/>
      </c>
      <c r="C137" s="50">
        <f>IF(D93="","-",+C136+1)</f>
        <v>2062</v>
      </c>
      <c r="D137" s="12">
        <f>IF(F136+SUM(E$99:E136)=D$92,F136,D$92-SUM(E$99:E136))</f>
        <v>47531.576590909222</v>
      </c>
      <c r="E137" s="56">
        <f>IF(+J96&lt;F136,J96,D137)</f>
        <v>6790.2252272727283</v>
      </c>
      <c r="F137" s="55">
        <f t="shared" si="30"/>
        <v>40741.351363636495</v>
      </c>
      <c r="G137" s="55">
        <f t="shared" si="31"/>
        <v>44136.463977272855</v>
      </c>
      <c r="H137" s="58">
        <f t="shared" si="28"/>
        <v>12286.377542578974</v>
      </c>
      <c r="I137" s="108">
        <f t="shared" si="29"/>
        <v>12286.377542578974</v>
      </c>
      <c r="J137" s="54">
        <f t="shared" si="32"/>
        <v>0</v>
      </c>
      <c r="K137" s="54"/>
      <c r="L137" s="129"/>
      <c r="M137" s="54">
        <f t="shared" si="33"/>
        <v>0</v>
      </c>
      <c r="N137" s="129"/>
      <c r="O137" s="54">
        <f t="shared" si="34"/>
        <v>0</v>
      </c>
      <c r="P137" s="54">
        <f t="shared" si="35"/>
        <v>0</v>
      </c>
    </row>
    <row r="138" spans="2:16" ht="12.5">
      <c r="B138" s="7" t="str">
        <f t="shared" si="27"/>
        <v/>
      </c>
      <c r="C138" s="50">
        <f>IF(D93="","-",+C137+1)</f>
        <v>2063</v>
      </c>
      <c r="D138" s="12">
        <f>IF(F137+SUM(E$99:E137)=D$92,F137,D$92-SUM(E$99:E137))</f>
        <v>40741.351363636495</v>
      </c>
      <c r="E138" s="56">
        <f>IF(+J96&lt;F137,J96,D138)</f>
        <v>6790.2252272727283</v>
      </c>
      <c r="F138" s="55">
        <f t="shared" si="30"/>
        <v>33951.126136363768</v>
      </c>
      <c r="G138" s="55">
        <f t="shared" si="31"/>
        <v>37346.238750000135</v>
      </c>
      <c r="H138" s="58">
        <f t="shared" si="28"/>
        <v>11440.815647916477</v>
      </c>
      <c r="I138" s="108">
        <f t="shared" si="29"/>
        <v>11440.815647916477</v>
      </c>
      <c r="J138" s="54">
        <f t="shared" si="32"/>
        <v>0</v>
      </c>
      <c r="K138" s="54"/>
      <c r="L138" s="129"/>
      <c r="M138" s="54">
        <f t="shared" si="33"/>
        <v>0</v>
      </c>
      <c r="N138" s="129"/>
      <c r="O138" s="54">
        <f t="shared" si="34"/>
        <v>0</v>
      </c>
      <c r="P138" s="54">
        <f t="shared" si="35"/>
        <v>0</v>
      </c>
    </row>
    <row r="139" spans="2:16" ht="12.5">
      <c r="B139" s="7" t="str">
        <f t="shared" si="27"/>
        <v/>
      </c>
      <c r="C139" s="50">
        <f>IF(D93="","-",+C138+1)</f>
        <v>2064</v>
      </c>
      <c r="D139" s="12">
        <f>IF(F138+SUM(E$99:E138)=D$92,F138,D$92-SUM(E$99:E138))</f>
        <v>33951.126136363768</v>
      </c>
      <c r="E139" s="56">
        <f>IF(+J96&lt;F138,J96,D139)</f>
        <v>6790.2252272727283</v>
      </c>
      <c r="F139" s="55">
        <f t="shared" si="30"/>
        <v>27160.90090909104</v>
      </c>
      <c r="G139" s="55">
        <f t="shared" si="31"/>
        <v>30556.013522727404</v>
      </c>
      <c r="H139" s="58">
        <f t="shared" si="28"/>
        <v>10595.253753253979</v>
      </c>
      <c r="I139" s="108">
        <f t="shared" si="29"/>
        <v>10595.253753253979</v>
      </c>
      <c r="J139" s="54">
        <f t="shared" si="32"/>
        <v>0</v>
      </c>
      <c r="K139" s="54"/>
      <c r="L139" s="129"/>
      <c r="M139" s="54">
        <f t="shared" si="33"/>
        <v>0</v>
      </c>
      <c r="N139" s="129"/>
      <c r="O139" s="54">
        <f t="shared" si="34"/>
        <v>0</v>
      </c>
      <c r="P139" s="54">
        <f t="shared" si="35"/>
        <v>0</v>
      </c>
    </row>
    <row r="140" spans="2:16" ht="12.5">
      <c r="B140" s="7" t="str">
        <f t="shared" si="27"/>
        <v/>
      </c>
      <c r="C140" s="50">
        <f>IF(D93="","-",+C139+1)</f>
        <v>2065</v>
      </c>
      <c r="D140" s="12">
        <f>IF(F139+SUM(E$99:E139)=D$92,F139,D$92-SUM(E$99:E139))</f>
        <v>27160.90090909104</v>
      </c>
      <c r="E140" s="56">
        <f>IF(+J96&lt;F139,J96,D140)</f>
        <v>6790.2252272727283</v>
      </c>
      <c r="F140" s="55">
        <f t="shared" si="30"/>
        <v>20370.675681818313</v>
      </c>
      <c r="G140" s="55">
        <f t="shared" si="31"/>
        <v>23765.788295454677</v>
      </c>
      <c r="H140" s="58">
        <f t="shared" si="28"/>
        <v>9749.6918585914827</v>
      </c>
      <c r="I140" s="108">
        <f t="shared" si="29"/>
        <v>9749.6918585914827</v>
      </c>
      <c r="J140" s="54">
        <f t="shared" si="32"/>
        <v>0</v>
      </c>
      <c r="K140" s="54"/>
      <c r="L140" s="129"/>
      <c r="M140" s="54">
        <f t="shared" si="33"/>
        <v>0</v>
      </c>
      <c r="N140" s="129"/>
      <c r="O140" s="54">
        <f t="shared" si="34"/>
        <v>0</v>
      </c>
      <c r="P140" s="54">
        <f t="shared" si="35"/>
        <v>0</v>
      </c>
    </row>
    <row r="141" spans="2:16" ht="12.5">
      <c r="B141" s="7" t="str">
        <f t="shared" si="27"/>
        <v/>
      </c>
      <c r="C141" s="50">
        <f>IF(D93="","-",+C140+1)</f>
        <v>2066</v>
      </c>
      <c r="D141" s="12">
        <f>IF(F140+SUM(E$99:E140)=D$92,F140,D$92-SUM(E$99:E140))</f>
        <v>20370.675681818313</v>
      </c>
      <c r="E141" s="56">
        <f>IF(+J96&lt;F140,J96,D141)</f>
        <v>6790.2252272727283</v>
      </c>
      <c r="F141" s="55">
        <f t="shared" si="30"/>
        <v>13580.450454545586</v>
      </c>
      <c r="G141" s="55">
        <f t="shared" si="31"/>
        <v>16975.563068181949</v>
      </c>
      <c r="H141" s="58">
        <f t="shared" si="28"/>
        <v>8904.1299639289864</v>
      </c>
      <c r="I141" s="108">
        <f t="shared" si="29"/>
        <v>8904.1299639289864</v>
      </c>
      <c r="J141" s="54">
        <f t="shared" si="32"/>
        <v>0</v>
      </c>
      <c r="K141" s="54"/>
      <c r="L141" s="129"/>
      <c r="M141" s="54">
        <f t="shared" si="33"/>
        <v>0</v>
      </c>
      <c r="N141" s="129"/>
      <c r="O141" s="54">
        <f t="shared" si="34"/>
        <v>0</v>
      </c>
      <c r="P141" s="54">
        <f t="shared" si="35"/>
        <v>0</v>
      </c>
    </row>
    <row r="142" spans="2:16" ht="12.5">
      <c r="B142" s="7" t="str">
        <f t="shared" si="27"/>
        <v/>
      </c>
      <c r="C142" s="50">
        <f>IF(D93="","-",+C141+1)</f>
        <v>2067</v>
      </c>
      <c r="D142" s="12">
        <f>IF(F141+SUM(E$99:E141)=D$92,F141,D$92-SUM(E$99:E141))</f>
        <v>13580.450454545586</v>
      </c>
      <c r="E142" s="56">
        <f>IF(+J96&lt;F141,J96,D142)</f>
        <v>6790.2252272727283</v>
      </c>
      <c r="F142" s="55">
        <f t="shared" si="30"/>
        <v>6790.2252272728574</v>
      </c>
      <c r="G142" s="55">
        <f t="shared" si="31"/>
        <v>10185.337840909222</v>
      </c>
      <c r="H142" s="58">
        <f t="shared" si="28"/>
        <v>8058.5680692664901</v>
      </c>
      <c r="I142" s="108">
        <f t="shared" si="29"/>
        <v>8058.5680692664901</v>
      </c>
      <c r="J142" s="54">
        <f t="shared" si="32"/>
        <v>0</v>
      </c>
      <c r="K142" s="54"/>
      <c r="L142" s="129"/>
      <c r="M142" s="54">
        <f t="shared" si="33"/>
        <v>0</v>
      </c>
      <c r="N142" s="129"/>
      <c r="O142" s="54">
        <f t="shared" si="34"/>
        <v>0</v>
      </c>
      <c r="P142" s="54">
        <f t="shared" si="35"/>
        <v>0</v>
      </c>
    </row>
    <row r="143" spans="2:16" ht="12.5">
      <c r="B143" s="7" t="str">
        <f t="shared" si="27"/>
        <v/>
      </c>
      <c r="C143" s="50">
        <f>IF(D93="","-",+C142+1)</f>
        <v>2068</v>
      </c>
      <c r="D143" s="12">
        <f>IF(F142+SUM(E$99:E142)=D$92,F142,D$92-SUM(E$99:E142))</f>
        <v>6790.2252272728574</v>
      </c>
      <c r="E143" s="56">
        <f>IF(+J96&lt;F142,J96,D143)</f>
        <v>6790.2252272727283</v>
      </c>
      <c r="F143" s="55">
        <f t="shared" si="30"/>
        <v>1.2914824765175581E-10</v>
      </c>
      <c r="G143" s="55">
        <f t="shared" si="31"/>
        <v>3395.1126136364933</v>
      </c>
      <c r="H143" s="58">
        <f t="shared" si="28"/>
        <v>7213.0061746039928</v>
      </c>
      <c r="I143" s="108">
        <f t="shared" si="29"/>
        <v>7213.0061746039928</v>
      </c>
      <c r="J143" s="54">
        <f t="shared" si="32"/>
        <v>0</v>
      </c>
      <c r="K143" s="54"/>
      <c r="L143" s="129"/>
      <c r="M143" s="54">
        <f t="shared" si="33"/>
        <v>0</v>
      </c>
      <c r="N143" s="129"/>
      <c r="O143" s="54">
        <f t="shared" si="34"/>
        <v>0</v>
      </c>
      <c r="P143" s="54">
        <f t="shared" si="35"/>
        <v>0</v>
      </c>
    </row>
    <row r="144" spans="2:16" ht="12.5">
      <c r="B144" s="7" t="str">
        <f t="shared" si="27"/>
        <v/>
      </c>
      <c r="C144" s="50">
        <f>IF(D93="","-",+C143+1)</f>
        <v>2069</v>
      </c>
      <c r="D144" s="12">
        <f>IF(F143+SUM(E$99:E143)=D$92,F143,D$92-SUM(E$99:E143))</f>
        <v>1.2914824765175581E-10</v>
      </c>
      <c r="E144" s="56">
        <f>IF(+J96&lt;F143,J96,D144)</f>
        <v>1.2914824765175581E-10</v>
      </c>
      <c r="F144" s="55">
        <f t="shared" si="30"/>
        <v>0</v>
      </c>
      <c r="G144" s="55">
        <f t="shared" si="31"/>
        <v>6.4574123825877905E-11</v>
      </c>
      <c r="H144" s="58">
        <f t="shared" si="28"/>
        <v>1.371894269441709E-10</v>
      </c>
      <c r="I144" s="108">
        <f t="shared" si="29"/>
        <v>1.371894269441709E-10</v>
      </c>
      <c r="J144" s="54">
        <f t="shared" si="32"/>
        <v>0</v>
      </c>
      <c r="K144" s="54"/>
      <c r="L144" s="129"/>
      <c r="M144" s="54">
        <f t="shared" si="33"/>
        <v>0</v>
      </c>
      <c r="N144" s="129"/>
      <c r="O144" s="54">
        <f t="shared" si="34"/>
        <v>0</v>
      </c>
      <c r="P144" s="54">
        <f t="shared" si="35"/>
        <v>0</v>
      </c>
    </row>
    <row r="145" spans="2:16" ht="12.5">
      <c r="B145" s="7" t="str">
        <f t="shared" si="27"/>
        <v/>
      </c>
      <c r="C145" s="50">
        <f>IF(D93="","-",+C144+1)</f>
        <v>2070</v>
      </c>
      <c r="D145" s="12">
        <f>IF(F144+SUM(E$99:E144)=D$92,F144,D$92-SUM(E$99:E144))</f>
        <v>0</v>
      </c>
      <c r="E145" s="56">
        <f>IF(+J96&lt;F144,J96,D145)</f>
        <v>0</v>
      </c>
      <c r="F145" s="55">
        <f t="shared" si="30"/>
        <v>0</v>
      </c>
      <c r="G145" s="55">
        <f t="shared" si="31"/>
        <v>0</v>
      </c>
      <c r="H145" s="58">
        <f t="shared" si="28"/>
        <v>0</v>
      </c>
      <c r="I145" s="108">
        <f t="shared" si="29"/>
        <v>0</v>
      </c>
      <c r="J145" s="54">
        <f t="shared" si="32"/>
        <v>0</v>
      </c>
      <c r="K145" s="54"/>
      <c r="L145" s="129"/>
      <c r="M145" s="54">
        <f t="shared" si="33"/>
        <v>0</v>
      </c>
      <c r="N145" s="129"/>
      <c r="O145" s="54">
        <f t="shared" si="34"/>
        <v>0</v>
      </c>
      <c r="P145" s="54">
        <f t="shared" si="35"/>
        <v>0</v>
      </c>
    </row>
    <row r="146" spans="2:16" ht="12.5">
      <c r="B146" s="7" t="str">
        <f t="shared" si="27"/>
        <v/>
      </c>
      <c r="C146" s="50">
        <f>IF(D93="","-",+C145+1)</f>
        <v>2071</v>
      </c>
      <c r="D146" s="12">
        <f>IF(F145+SUM(E$99:E145)=D$92,F145,D$92-SUM(E$99:E145))</f>
        <v>0</v>
      </c>
      <c r="E146" s="56">
        <f>IF(+J96&lt;F145,J96,D146)</f>
        <v>0</v>
      </c>
      <c r="F146" s="55">
        <f t="shared" si="30"/>
        <v>0</v>
      </c>
      <c r="G146" s="55">
        <f t="shared" si="31"/>
        <v>0</v>
      </c>
      <c r="H146" s="58">
        <f t="shared" si="28"/>
        <v>0</v>
      </c>
      <c r="I146" s="108">
        <f t="shared" si="29"/>
        <v>0</v>
      </c>
      <c r="J146" s="54">
        <f t="shared" si="32"/>
        <v>0</v>
      </c>
      <c r="K146" s="54"/>
      <c r="L146" s="129"/>
      <c r="M146" s="54">
        <f t="shared" si="33"/>
        <v>0</v>
      </c>
      <c r="N146" s="129"/>
      <c r="O146" s="54">
        <f t="shared" si="34"/>
        <v>0</v>
      </c>
      <c r="P146" s="54">
        <f t="shared" si="35"/>
        <v>0</v>
      </c>
    </row>
    <row r="147" spans="2:16" ht="12.5">
      <c r="B147" s="7" t="str">
        <f t="shared" si="27"/>
        <v/>
      </c>
      <c r="C147" s="50">
        <f>IF(D93="","-",+C146+1)</f>
        <v>2072</v>
      </c>
      <c r="D147" s="12">
        <f>IF(F146+SUM(E$99:E146)=D$92,F146,D$92-SUM(E$99:E146))</f>
        <v>0</v>
      </c>
      <c r="E147" s="56">
        <f>IF(+J96&lt;F146,J96,D147)</f>
        <v>0</v>
      </c>
      <c r="F147" s="55">
        <f t="shared" si="30"/>
        <v>0</v>
      </c>
      <c r="G147" s="55">
        <f t="shared" si="31"/>
        <v>0</v>
      </c>
      <c r="H147" s="58">
        <f t="shared" si="28"/>
        <v>0</v>
      </c>
      <c r="I147" s="108">
        <f t="shared" si="29"/>
        <v>0</v>
      </c>
      <c r="J147" s="54">
        <f t="shared" si="32"/>
        <v>0</v>
      </c>
      <c r="K147" s="54"/>
      <c r="L147" s="129"/>
      <c r="M147" s="54">
        <f t="shared" si="33"/>
        <v>0</v>
      </c>
      <c r="N147" s="129"/>
      <c r="O147" s="54">
        <f t="shared" si="34"/>
        <v>0</v>
      </c>
      <c r="P147" s="54">
        <f t="shared" si="35"/>
        <v>0</v>
      </c>
    </row>
    <row r="148" spans="2:16" ht="12.5">
      <c r="B148" s="7" t="str">
        <f t="shared" si="27"/>
        <v/>
      </c>
      <c r="C148" s="50">
        <f>IF(D93="","-",+C147+1)</f>
        <v>2073</v>
      </c>
      <c r="D148" s="12">
        <f>IF(F147+SUM(E$99:E147)=D$92,F147,D$92-SUM(E$99:E147))</f>
        <v>0</v>
      </c>
      <c r="E148" s="56">
        <f>IF(+J96&lt;F147,J96,D148)</f>
        <v>0</v>
      </c>
      <c r="F148" s="55">
        <f t="shared" si="30"/>
        <v>0</v>
      </c>
      <c r="G148" s="55">
        <f t="shared" si="31"/>
        <v>0</v>
      </c>
      <c r="H148" s="58">
        <f t="shared" si="28"/>
        <v>0</v>
      </c>
      <c r="I148" s="108">
        <f t="shared" si="29"/>
        <v>0</v>
      </c>
      <c r="J148" s="54">
        <f t="shared" si="32"/>
        <v>0</v>
      </c>
      <c r="K148" s="54"/>
      <c r="L148" s="129"/>
      <c r="M148" s="54">
        <f t="shared" si="33"/>
        <v>0</v>
      </c>
      <c r="N148" s="129"/>
      <c r="O148" s="54">
        <f t="shared" si="34"/>
        <v>0</v>
      </c>
      <c r="P148" s="54">
        <f t="shared" si="35"/>
        <v>0</v>
      </c>
    </row>
    <row r="149" spans="2:16" ht="12.5">
      <c r="B149" s="7" t="str">
        <f t="shared" si="27"/>
        <v/>
      </c>
      <c r="C149" s="50">
        <f>IF(D93="","-",+C148+1)</f>
        <v>2074</v>
      </c>
      <c r="D149" s="12">
        <f>IF(F148+SUM(E$99:E148)=D$92,F148,D$92-SUM(E$99:E148))</f>
        <v>0</v>
      </c>
      <c r="E149" s="56">
        <f>IF(+J96&lt;F148,J96,D149)</f>
        <v>0</v>
      </c>
      <c r="F149" s="55">
        <f t="shared" si="30"/>
        <v>0</v>
      </c>
      <c r="G149" s="55">
        <f t="shared" si="31"/>
        <v>0</v>
      </c>
      <c r="H149" s="58">
        <f t="shared" si="28"/>
        <v>0</v>
      </c>
      <c r="I149" s="108">
        <f t="shared" si="29"/>
        <v>0</v>
      </c>
      <c r="J149" s="54">
        <f t="shared" si="32"/>
        <v>0</v>
      </c>
      <c r="K149" s="54"/>
      <c r="L149" s="129"/>
      <c r="M149" s="54">
        <f t="shared" si="33"/>
        <v>0</v>
      </c>
      <c r="N149" s="129"/>
      <c r="O149" s="54">
        <f t="shared" si="34"/>
        <v>0</v>
      </c>
      <c r="P149" s="54">
        <f t="shared" si="35"/>
        <v>0</v>
      </c>
    </row>
    <row r="150" spans="2:16" ht="12.5">
      <c r="B150" s="7" t="str">
        <f t="shared" si="27"/>
        <v/>
      </c>
      <c r="C150" s="50">
        <f>IF(D93="","-",+C149+1)</f>
        <v>2075</v>
      </c>
      <c r="D150" s="12">
        <f>IF(F149+SUM(E$99:E149)=D$92,F149,D$92-SUM(E$99:E149))</f>
        <v>0</v>
      </c>
      <c r="E150" s="56">
        <f>IF(+J96&lt;F149,J96,D150)</f>
        <v>0</v>
      </c>
      <c r="F150" s="55">
        <f t="shared" si="30"/>
        <v>0</v>
      </c>
      <c r="G150" s="55">
        <f t="shared" si="31"/>
        <v>0</v>
      </c>
      <c r="H150" s="58">
        <f t="shared" si="28"/>
        <v>0</v>
      </c>
      <c r="I150" s="108">
        <f t="shared" si="29"/>
        <v>0</v>
      </c>
      <c r="J150" s="54">
        <f t="shared" si="32"/>
        <v>0</v>
      </c>
      <c r="K150" s="54"/>
      <c r="L150" s="129"/>
      <c r="M150" s="54">
        <f t="shared" si="33"/>
        <v>0</v>
      </c>
      <c r="N150" s="129"/>
      <c r="O150" s="54">
        <f t="shared" si="34"/>
        <v>0</v>
      </c>
      <c r="P150" s="54">
        <f t="shared" si="35"/>
        <v>0</v>
      </c>
    </row>
    <row r="151" spans="2:16" ht="12.5">
      <c r="B151" s="7" t="str">
        <f t="shared" si="27"/>
        <v/>
      </c>
      <c r="C151" s="50">
        <f>IF(D93="","-",+C150+1)</f>
        <v>2076</v>
      </c>
      <c r="D151" s="12">
        <f>IF(F150+SUM(E$99:E150)=D$92,F150,D$92-SUM(E$99:E150))</f>
        <v>0</v>
      </c>
      <c r="E151" s="56">
        <f>IF(+J96&lt;F150,J96,D151)</f>
        <v>0</v>
      </c>
      <c r="F151" s="55">
        <f t="shared" si="30"/>
        <v>0</v>
      </c>
      <c r="G151" s="55">
        <f t="shared" si="31"/>
        <v>0</v>
      </c>
      <c r="H151" s="58">
        <f t="shared" si="28"/>
        <v>0</v>
      </c>
      <c r="I151" s="108">
        <f t="shared" si="29"/>
        <v>0</v>
      </c>
      <c r="J151" s="54">
        <f t="shared" si="32"/>
        <v>0</v>
      </c>
      <c r="K151" s="54"/>
      <c r="L151" s="129"/>
      <c r="M151" s="54">
        <f t="shared" si="33"/>
        <v>0</v>
      </c>
      <c r="N151" s="129"/>
      <c r="O151" s="54">
        <f t="shared" si="34"/>
        <v>0</v>
      </c>
      <c r="P151" s="54">
        <f t="shared" si="35"/>
        <v>0</v>
      </c>
    </row>
    <row r="152" spans="2:16" ht="12.5">
      <c r="B152" s="7" t="str">
        <f t="shared" si="27"/>
        <v/>
      </c>
      <c r="C152" s="50">
        <f>IF(D93="","-",+C151+1)</f>
        <v>2077</v>
      </c>
      <c r="D152" s="12">
        <f>IF(F151+SUM(E$99:E151)=D$92,F151,D$92-SUM(E$99:E151))</f>
        <v>0</v>
      </c>
      <c r="E152" s="56">
        <f>IF(+J96&lt;F151,J96,D152)</f>
        <v>0</v>
      </c>
      <c r="F152" s="55">
        <f t="shared" si="30"/>
        <v>0</v>
      </c>
      <c r="G152" s="55">
        <f t="shared" si="31"/>
        <v>0</v>
      </c>
      <c r="H152" s="58">
        <f t="shared" si="28"/>
        <v>0</v>
      </c>
      <c r="I152" s="108">
        <f t="shared" si="29"/>
        <v>0</v>
      </c>
      <c r="J152" s="54">
        <f t="shared" si="32"/>
        <v>0</v>
      </c>
      <c r="K152" s="54"/>
      <c r="L152" s="129"/>
      <c r="M152" s="54">
        <f t="shared" si="33"/>
        <v>0</v>
      </c>
      <c r="N152" s="129"/>
      <c r="O152" s="54">
        <f t="shared" si="34"/>
        <v>0</v>
      </c>
      <c r="P152" s="54">
        <f t="shared" si="35"/>
        <v>0</v>
      </c>
    </row>
    <row r="153" spans="2:16" ht="12.5">
      <c r="B153" s="7" t="str">
        <f t="shared" si="27"/>
        <v/>
      </c>
      <c r="C153" s="50">
        <f>IF(D93="","-",+C152+1)</f>
        <v>2078</v>
      </c>
      <c r="D153" s="12">
        <f>IF(F152+SUM(E$99:E152)=D$92,F152,D$92-SUM(E$99:E152))</f>
        <v>0</v>
      </c>
      <c r="E153" s="56">
        <f>IF(+J96&lt;F152,J96,D153)</f>
        <v>0</v>
      </c>
      <c r="F153" s="55">
        <f t="shared" si="30"/>
        <v>0</v>
      </c>
      <c r="G153" s="55">
        <f t="shared" si="31"/>
        <v>0</v>
      </c>
      <c r="H153" s="58">
        <f t="shared" si="28"/>
        <v>0</v>
      </c>
      <c r="I153" s="108">
        <f t="shared" si="29"/>
        <v>0</v>
      </c>
      <c r="J153" s="54">
        <f t="shared" si="32"/>
        <v>0</v>
      </c>
      <c r="K153" s="54"/>
      <c r="L153" s="129"/>
      <c r="M153" s="54">
        <f t="shared" si="33"/>
        <v>0</v>
      </c>
      <c r="N153" s="129"/>
      <c r="O153" s="54">
        <f t="shared" si="34"/>
        <v>0</v>
      </c>
      <c r="P153" s="54">
        <f t="shared" si="35"/>
        <v>0</v>
      </c>
    </row>
    <row r="154" spans="2:16" ht="13" thickBot="1">
      <c r="B154" s="7" t="str">
        <f t="shared" si="27"/>
        <v/>
      </c>
      <c r="C154" s="59">
        <f>IF(D93="","-",+C153+1)</f>
        <v>2079</v>
      </c>
      <c r="D154" s="84">
        <f>IF(F153+SUM(E$99:E153)=D$92,F153,D$92-SUM(E$99:E153))</f>
        <v>0</v>
      </c>
      <c r="E154" s="61">
        <f>IF(+J96&lt;F153,J96,D154)</f>
        <v>0</v>
      </c>
      <c r="F154" s="60">
        <f t="shared" si="30"/>
        <v>0</v>
      </c>
      <c r="G154" s="60">
        <f t="shared" si="31"/>
        <v>0</v>
      </c>
      <c r="H154" s="62">
        <f t="shared" si="28"/>
        <v>0</v>
      </c>
      <c r="I154" s="109">
        <f t="shared" si="29"/>
        <v>0</v>
      </c>
      <c r="J154" s="64">
        <f t="shared" si="32"/>
        <v>0</v>
      </c>
      <c r="K154" s="54"/>
      <c r="L154" s="130"/>
      <c r="M154" s="64">
        <f t="shared" si="33"/>
        <v>0</v>
      </c>
      <c r="N154" s="130"/>
      <c r="O154" s="64">
        <f t="shared" si="34"/>
        <v>0</v>
      </c>
      <c r="P154" s="64">
        <f t="shared" si="35"/>
        <v>0</v>
      </c>
    </row>
    <row r="155" spans="2:16" ht="12.5">
      <c r="C155" s="12" t="s">
        <v>78</v>
      </c>
      <c r="D155" s="15"/>
      <c r="E155" s="15">
        <f>SUM(E99:E154)</f>
        <v>298769.91000000003</v>
      </c>
      <c r="F155" s="15"/>
      <c r="G155" s="15"/>
      <c r="H155" s="15">
        <f>SUM(H99:H154)</f>
        <v>1135876.1857158728</v>
      </c>
      <c r="I155" s="15">
        <f>SUM(I99:I154)</f>
        <v>1135876.1857158728</v>
      </c>
      <c r="J155" s="15">
        <f>SUM(J99:J154)</f>
        <v>0</v>
      </c>
      <c r="K155" s="15"/>
      <c r="L155" s="15"/>
      <c r="M155" s="15"/>
      <c r="N155" s="15"/>
      <c r="O155" s="15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3"/>
      <c r="J156" s="3"/>
      <c r="K156" s="15"/>
      <c r="L156" s="3"/>
      <c r="M156" s="3"/>
      <c r="N156" s="3"/>
      <c r="O156" s="3"/>
      <c r="P156" s="1"/>
    </row>
    <row r="157" spans="2:16" ht="12.5">
      <c r="C157" s="85"/>
      <c r="D157" s="2"/>
      <c r="E157" s="1"/>
      <c r="F157" s="1"/>
      <c r="G157" s="1"/>
      <c r="H157" s="1"/>
      <c r="I157" s="3"/>
      <c r="J157" s="3"/>
      <c r="K157" s="15"/>
      <c r="L157" s="3"/>
      <c r="M157" s="3"/>
      <c r="N157" s="3"/>
      <c r="O157" s="3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3"/>
      <c r="J158" s="3"/>
      <c r="K158" s="15"/>
      <c r="L158" s="3"/>
      <c r="M158" s="3"/>
      <c r="N158" s="3"/>
      <c r="O158" s="3"/>
      <c r="P158" s="1"/>
    </row>
    <row r="159" spans="2:16" ht="13">
      <c r="C159" s="25" t="s">
        <v>79</v>
      </c>
      <c r="D159" s="12"/>
      <c r="E159" s="12"/>
      <c r="F159" s="12"/>
      <c r="G159" s="12"/>
      <c r="H159" s="15"/>
      <c r="I159" s="15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15"/>
      <c r="I160" s="15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15"/>
      <c r="I161" s="15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15"/>
      <c r="I162" s="15"/>
      <c r="J162" s="65"/>
      <c r="K162" s="65"/>
      <c r="L162" s="65"/>
      <c r="M162" s="65"/>
      <c r="N162" s="65"/>
      <c r="P162" s="102" t="s">
        <v>131</v>
      </c>
    </row>
  </sheetData>
  <phoneticPr fontId="0" type="noConversion"/>
  <conditionalFormatting sqref="C17:C72">
    <cfRule type="cellIs" dxfId="7" priority="1" stopIfTrue="1" operator="equal">
      <formula>$I$10</formula>
    </cfRule>
  </conditionalFormatting>
  <conditionalFormatting sqref="C99:C154">
    <cfRule type="cellIs" dxfId="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80BD0-3226-419A-9A0C-EEC63B03344F}">
  <dimension ref="A1:P162"/>
  <sheetViews>
    <sheetView topLeftCell="A87" zoomScaleNormal="100" zoomScaleSheetLayoutView="80" workbookViewId="0">
      <selection activeCell="D11" sqref="D11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3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76 of 77</v>
      </c>
    </row>
    <row r="2" spans="1:16" ht="17.5">
      <c r="B2" s="1"/>
      <c r="C2" s="1"/>
      <c r="D2" s="2"/>
      <c r="E2" s="1"/>
      <c r="F2" s="1"/>
      <c r="G2" s="1"/>
      <c r="H2" s="3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3"/>
      <c r="I3" s="3"/>
      <c r="J3" s="15"/>
      <c r="K3" s="3"/>
      <c r="L3" s="3"/>
      <c r="M3" s="3"/>
      <c r="N3" s="3"/>
      <c r="O3" s="1"/>
      <c r="P3" s="97">
        <v>1</v>
      </c>
    </row>
    <row r="4" spans="1:16" ht="16" thickBot="1">
      <c r="C4" s="9"/>
      <c r="D4" s="2"/>
      <c r="E4" s="1"/>
      <c r="F4" s="1"/>
      <c r="G4" s="1"/>
      <c r="H4" s="3"/>
      <c r="I4" s="3"/>
      <c r="J4" s="15"/>
      <c r="K4" s="3"/>
      <c r="L4" s="3"/>
      <c r="M4" s="3"/>
      <c r="N4" s="3"/>
      <c r="O4" s="1"/>
      <c r="P4" s="1"/>
    </row>
    <row r="5" spans="1:16" ht="15.5">
      <c r="C5" s="16" t="s">
        <v>46</v>
      </c>
      <c r="D5" s="2"/>
      <c r="E5" s="1"/>
      <c r="F5" s="1"/>
      <c r="G5" s="17"/>
      <c r="H5" s="1" t="s">
        <v>47</v>
      </c>
      <c r="I5" s="1"/>
      <c r="J5" s="1"/>
      <c r="K5" s="123" t="s">
        <v>157</v>
      </c>
      <c r="L5" s="18"/>
      <c r="M5" s="19"/>
      <c r="N5" s="20">
        <f>VLOOKUP(I10,C17:I72,5)</f>
        <v>0</v>
      </c>
      <c r="P5" s="1"/>
    </row>
    <row r="6" spans="1:16" ht="15.5">
      <c r="C6" s="6"/>
      <c r="D6" s="2"/>
      <c r="E6" s="1"/>
      <c r="F6" s="1"/>
      <c r="G6" s="1"/>
      <c r="H6" s="21"/>
      <c r="I6" s="21"/>
      <c r="J6" s="22"/>
      <c r="K6" s="124" t="s">
        <v>158</v>
      </c>
      <c r="L6" s="23"/>
      <c r="M6" s="1"/>
      <c r="N6" s="24">
        <f>VLOOKUP(I10,C17:I72,6)</f>
        <v>0</v>
      </c>
      <c r="O6" s="1"/>
      <c r="P6" s="1"/>
    </row>
    <row r="7" spans="1:16" ht="13.5" thickBot="1">
      <c r="C7" s="25" t="s">
        <v>48</v>
      </c>
      <c r="D7" s="90" t="s">
        <v>487</v>
      </c>
      <c r="E7" s="1"/>
      <c r="F7" s="1"/>
      <c r="G7" s="1"/>
      <c r="H7" s="3"/>
      <c r="I7" s="3"/>
      <c r="J7" s="15"/>
      <c r="K7" s="26" t="s">
        <v>49</v>
      </c>
      <c r="L7" s="27"/>
      <c r="M7" s="27"/>
      <c r="N7" s="28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>DOES NOT MEET SPP $100,000 MINIMUM INVESTMENT FOR REGIONAL BPU SHARING.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488</v>
      </c>
      <c r="E9" s="462" t="s">
        <v>489</v>
      </c>
      <c r="F9" s="31"/>
      <c r="G9" s="31"/>
      <c r="H9" s="31"/>
      <c r="I9" s="32"/>
      <c r="J9" s="33"/>
      <c r="P9" s="1"/>
    </row>
    <row r="10" spans="1:16" ht="13">
      <c r="C10" s="34" t="s">
        <v>51</v>
      </c>
      <c r="D10" s="35">
        <v>0</v>
      </c>
      <c r="E10" s="1" t="s">
        <v>52</v>
      </c>
      <c r="G10" s="2"/>
      <c r="H10" s="2"/>
      <c r="I10" s="36">
        <f>+'SWE.WS.F.BPU.ATRR.Projected'!L19</f>
        <v>2024</v>
      </c>
      <c r="J10" s="33"/>
      <c r="K10" s="15" t="s">
        <v>53</v>
      </c>
      <c r="O10" s="1"/>
      <c r="P10" s="1"/>
    </row>
    <row r="11" spans="1:16" ht="12.5">
      <c r="C11" s="34" t="s">
        <v>54</v>
      </c>
      <c r="D11" s="37">
        <v>2024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5">
        <v>12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15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41">
        <f>IF(D10=0,0,D10/D13)</f>
        <v>0</v>
      </c>
      <c r="J14" s="15"/>
      <c r="K14" s="15"/>
      <c r="L14" s="15"/>
      <c r="M14" s="15"/>
      <c r="N14" s="15"/>
      <c r="O14" s="1"/>
      <c r="P14" s="1"/>
    </row>
    <row r="15" spans="1:16" ht="39">
      <c r="C15" s="42" t="s">
        <v>51</v>
      </c>
      <c r="D15" s="43" t="s">
        <v>65</v>
      </c>
      <c r="E15" s="43" t="s">
        <v>66</v>
      </c>
      <c r="F15" s="43" t="s">
        <v>67</v>
      </c>
      <c r="G15" s="157" t="s">
        <v>391</v>
      </c>
      <c r="H15" s="158" t="s">
        <v>392</v>
      </c>
      <c r="I15" s="42" t="s">
        <v>68</v>
      </c>
      <c r="J15" s="44"/>
      <c r="K15" s="126" t="s">
        <v>227</v>
      </c>
      <c r="L15" s="45" t="s">
        <v>69</v>
      </c>
      <c r="M15" s="126" t="s">
        <v>227</v>
      </c>
      <c r="N15" s="45" t="s">
        <v>69</v>
      </c>
      <c r="O15" s="45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111" t="s">
        <v>74</v>
      </c>
      <c r="H16" s="47" t="s">
        <v>75</v>
      </c>
      <c r="I16" s="46" t="s">
        <v>94</v>
      </c>
      <c r="J16" s="44" t="s">
        <v>76</v>
      </c>
      <c r="K16" s="48" t="s">
        <v>77</v>
      </c>
      <c r="L16" s="48" t="s">
        <v>77</v>
      </c>
      <c r="M16" s="48" t="s">
        <v>95</v>
      </c>
      <c r="N16" s="49" t="s">
        <v>95</v>
      </c>
      <c r="O16" s="48" t="s">
        <v>95</v>
      </c>
      <c r="P16" s="1"/>
    </row>
    <row r="17" spans="2:16" ht="12.5">
      <c r="C17" s="50">
        <f>IF(D11= "","-",D11)</f>
        <v>2024</v>
      </c>
      <c r="D17" s="12">
        <v>0</v>
      </c>
      <c r="E17" s="159">
        <f>IF(D10&gt;=100000,I$14/12*(12-D12),0)</f>
        <v>0</v>
      </c>
      <c r="F17" s="55">
        <f>IF(D11=C17,+D10-E17,+D17-E17)</f>
        <v>0</v>
      </c>
      <c r="G17" s="51">
        <f t="shared" ref="G17:G72" si="0">+I$12*((D17+F17)/2)+E17</f>
        <v>0</v>
      </c>
      <c r="H17" s="41">
        <f t="shared" ref="H17:H72" si="1">+I$13*((D17+F17)/2)+E17</f>
        <v>0</v>
      </c>
      <c r="I17" s="52">
        <f t="shared" ref="I17:I72" si="2">H17-G17</f>
        <v>0</v>
      </c>
      <c r="J17" s="52"/>
      <c r="K17" s="112">
        <f>G17</f>
        <v>0</v>
      </c>
      <c r="L17" s="53">
        <f t="shared" ref="L17" si="3">IF(K17&lt;&gt;0,+G17-K17,0)</f>
        <v>0</v>
      </c>
      <c r="M17" s="112">
        <f t="shared" ref="M17" si="4">+H17</f>
        <v>0</v>
      </c>
      <c r="N17" s="53">
        <f t="shared" ref="N17" si="5">IF(M17&lt;&gt;0,+H17-M17,0)</f>
        <v>0</v>
      </c>
      <c r="O17" s="54">
        <f t="shared" ref="O17" si="6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2025</v>
      </c>
      <c r="D18" s="55">
        <f>IF(F17+SUM(E$17:E17)=D$10,F17,D$10-SUM(E$17:E17))</f>
        <v>0</v>
      </c>
      <c r="E18" s="56">
        <f>IF(+I14&lt;F17,I14,D18)</f>
        <v>0</v>
      </c>
      <c r="F18" s="55">
        <f t="shared" ref="F18:F72" si="7">+D18-E18</f>
        <v>0</v>
      </c>
      <c r="G18" s="57">
        <f t="shared" si="0"/>
        <v>0</v>
      </c>
      <c r="H18" s="41">
        <f t="shared" si="1"/>
        <v>0</v>
      </c>
      <c r="I18" s="52">
        <f t="shared" si="2"/>
        <v>0</v>
      </c>
      <c r="J18" s="52"/>
      <c r="K18" s="129"/>
      <c r="L18" s="54">
        <f t="shared" ref="L18:L72" si="8">IF(K18&lt;&gt;0,+G18-K18,0)</f>
        <v>0</v>
      </c>
      <c r="M18" s="129"/>
      <c r="N18" s="54">
        <f t="shared" ref="N18:N72" si="9">IF(M18&lt;&gt;0,+H18-M18,0)</f>
        <v>0</v>
      </c>
      <c r="O18" s="54">
        <f t="shared" ref="O18:O72" si="10">+N18-L18</f>
        <v>0</v>
      </c>
      <c r="P18" s="1"/>
    </row>
    <row r="19" spans="2:16" ht="12.5">
      <c r="B19" s="7" t="str">
        <f>IF(D19=F18,"","IU")</f>
        <v/>
      </c>
      <c r="C19" s="50">
        <f>IF(D11="","-",+C18+1)</f>
        <v>2026</v>
      </c>
      <c r="D19" s="55">
        <f>IF(F18+SUM(E$17:E18)=D$10,F18,D$10-SUM(E$17:E18))</f>
        <v>0</v>
      </c>
      <c r="E19" s="56">
        <f>IF(+I14&lt;F18,I14,D19)</f>
        <v>0</v>
      </c>
      <c r="F19" s="55">
        <f t="shared" si="7"/>
        <v>0</v>
      </c>
      <c r="G19" s="57">
        <f t="shared" si="0"/>
        <v>0</v>
      </c>
      <c r="H19" s="41">
        <f t="shared" si="1"/>
        <v>0</v>
      </c>
      <c r="I19" s="52">
        <f t="shared" si="2"/>
        <v>0</v>
      </c>
      <c r="J19" s="52"/>
      <c r="K19" s="129"/>
      <c r="L19" s="54">
        <f t="shared" si="8"/>
        <v>0</v>
      </c>
      <c r="M19" s="129"/>
      <c r="N19" s="54">
        <f t="shared" si="9"/>
        <v>0</v>
      </c>
      <c r="O19" s="54">
        <f t="shared" si="10"/>
        <v>0</v>
      </c>
      <c r="P19" s="1"/>
    </row>
    <row r="20" spans="2:16" ht="12.5">
      <c r="B20" s="7" t="str">
        <f t="shared" ref="B20:B72" si="11">IF(D20=F19,"","IU")</f>
        <v/>
      </c>
      <c r="C20" s="50">
        <f>IF(D11="","-",+C19+1)</f>
        <v>2027</v>
      </c>
      <c r="D20" s="55">
        <f>IF(F19+SUM(E$17:E19)=D$10,F19,D$10-SUM(E$17:E19))</f>
        <v>0</v>
      </c>
      <c r="E20" s="56">
        <f>IF(+I14&lt;F19,I14,D20)</f>
        <v>0</v>
      </c>
      <c r="F20" s="55">
        <f t="shared" si="7"/>
        <v>0</v>
      </c>
      <c r="G20" s="57">
        <f t="shared" si="0"/>
        <v>0</v>
      </c>
      <c r="H20" s="41">
        <f t="shared" si="1"/>
        <v>0</v>
      </c>
      <c r="I20" s="52">
        <f t="shared" si="2"/>
        <v>0</v>
      </c>
      <c r="J20" s="52"/>
      <c r="K20" s="129"/>
      <c r="L20" s="54">
        <f t="shared" si="8"/>
        <v>0</v>
      </c>
      <c r="M20" s="129"/>
      <c r="N20" s="54">
        <f t="shared" si="9"/>
        <v>0</v>
      </c>
      <c r="O20" s="54">
        <f t="shared" si="10"/>
        <v>0</v>
      </c>
      <c r="P20" s="1"/>
    </row>
    <row r="21" spans="2:16" ht="12.5">
      <c r="B21" s="7" t="str">
        <f t="shared" si="11"/>
        <v/>
      </c>
      <c r="C21" s="50">
        <f>IF(D11="","-",+C20+1)</f>
        <v>2028</v>
      </c>
      <c r="D21" s="55">
        <f>IF(F20+SUM(E$17:E20)=D$10,F20,D$10-SUM(E$17:E20))</f>
        <v>0</v>
      </c>
      <c r="E21" s="56">
        <f>IF(+I14&lt;F20,I14,D21)</f>
        <v>0</v>
      </c>
      <c r="F21" s="55">
        <f t="shared" si="7"/>
        <v>0</v>
      </c>
      <c r="G21" s="57">
        <f t="shared" si="0"/>
        <v>0</v>
      </c>
      <c r="H21" s="41">
        <f t="shared" si="1"/>
        <v>0</v>
      </c>
      <c r="I21" s="52">
        <f t="shared" si="2"/>
        <v>0</v>
      </c>
      <c r="J21" s="52"/>
      <c r="K21" s="129"/>
      <c r="L21" s="54">
        <f t="shared" si="8"/>
        <v>0</v>
      </c>
      <c r="M21" s="129"/>
      <c r="N21" s="54">
        <f t="shared" si="9"/>
        <v>0</v>
      </c>
      <c r="O21" s="54">
        <f t="shared" si="10"/>
        <v>0</v>
      </c>
      <c r="P21" s="1"/>
    </row>
    <row r="22" spans="2:16" ht="12.5">
      <c r="B22" s="7" t="str">
        <f t="shared" si="11"/>
        <v/>
      </c>
      <c r="C22" s="50">
        <f>IF(D11="","-",+C21+1)</f>
        <v>2029</v>
      </c>
      <c r="D22" s="55">
        <f>IF(F21+SUM(E$17:E21)=D$10,F21,D$10-SUM(E$17:E21))</f>
        <v>0</v>
      </c>
      <c r="E22" s="56">
        <f>IF(+I14&lt;F21,I14,D22)</f>
        <v>0</v>
      </c>
      <c r="F22" s="55">
        <f t="shared" si="7"/>
        <v>0</v>
      </c>
      <c r="G22" s="57">
        <f t="shared" si="0"/>
        <v>0</v>
      </c>
      <c r="H22" s="41">
        <f t="shared" si="1"/>
        <v>0</v>
      </c>
      <c r="I22" s="52">
        <f t="shared" si="2"/>
        <v>0</v>
      </c>
      <c r="J22" s="52"/>
      <c r="K22" s="129"/>
      <c r="L22" s="54">
        <f t="shared" si="8"/>
        <v>0</v>
      </c>
      <c r="M22" s="129"/>
      <c r="N22" s="54">
        <f t="shared" si="9"/>
        <v>0</v>
      </c>
      <c r="O22" s="54">
        <f t="shared" si="10"/>
        <v>0</v>
      </c>
      <c r="P22" s="1"/>
    </row>
    <row r="23" spans="2:16" ht="12.5">
      <c r="B23" s="7" t="str">
        <f t="shared" si="11"/>
        <v/>
      </c>
      <c r="C23" s="50">
        <f>IF(D11="","-",+C22+1)</f>
        <v>2030</v>
      </c>
      <c r="D23" s="55">
        <f>IF(F22+SUM(E$17:E22)=D$10,F22,D$10-SUM(E$17:E22))</f>
        <v>0</v>
      </c>
      <c r="E23" s="56">
        <f>IF(+I14&lt;F22,I14,D23)</f>
        <v>0</v>
      </c>
      <c r="F23" s="55">
        <f t="shared" si="7"/>
        <v>0</v>
      </c>
      <c r="G23" s="57">
        <f t="shared" si="0"/>
        <v>0</v>
      </c>
      <c r="H23" s="41">
        <f t="shared" si="1"/>
        <v>0</v>
      </c>
      <c r="I23" s="52">
        <f t="shared" si="2"/>
        <v>0</v>
      </c>
      <c r="J23" s="52"/>
      <c r="K23" s="129"/>
      <c r="L23" s="54">
        <f t="shared" si="8"/>
        <v>0</v>
      </c>
      <c r="M23" s="129"/>
      <c r="N23" s="54">
        <f t="shared" si="9"/>
        <v>0</v>
      </c>
      <c r="O23" s="54">
        <f t="shared" si="10"/>
        <v>0</v>
      </c>
      <c r="P23" s="1"/>
    </row>
    <row r="24" spans="2:16" ht="12.5">
      <c r="B24" s="7" t="str">
        <f t="shared" si="11"/>
        <v/>
      </c>
      <c r="C24" s="50">
        <f>IF(D11="","-",+C23+1)</f>
        <v>2031</v>
      </c>
      <c r="D24" s="55">
        <f>IF(F23+SUM(E$17:E23)=D$10,F23,D$10-SUM(E$17:E23))</f>
        <v>0</v>
      </c>
      <c r="E24" s="56">
        <f>IF(+I14&lt;F23,I14,D24)</f>
        <v>0</v>
      </c>
      <c r="F24" s="55">
        <f t="shared" si="7"/>
        <v>0</v>
      </c>
      <c r="G24" s="57">
        <f t="shared" si="0"/>
        <v>0</v>
      </c>
      <c r="H24" s="41">
        <f t="shared" si="1"/>
        <v>0</v>
      </c>
      <c r="I24" s="52">
        <f t="shared" si="2"/>
        <v>0</v>
      </c>
      <c r="J24" s="52"/>
      <c r="K24" s="129"/>
      <c r="L24" s="54">
        <f t="shared" si="8"/>
        <v>0</v>
      </c>
      <c r="M24" s="129"/>
      <c r="N24" s="54">
        <f t="shared" si="9"/>
        <v>0</v>
      </c>
      <c r="O24" s="54">
        <f t="shared" si="10"/>
        <v>0</v>
      </c>
      <c r="P24" s="1"/>
    </row>
    <row r="25" spans="2:16" ht="12.5">
      <c r="B25" s="7" t="str">
        <f t="shared" si="11"/>
        <v/>
      </c>
      <c r="C25" s="50">
        <f>IF(D11="","-",+C24+1)</f>
        <v>2032</v>
      </c>
      <c r="D25" s="55">
        <f>IF(F24+SUM(E$17:E24)=D$10,F24,D$10-SUM(E$17:E24))</f>
        <v>0</v>
      </c>
      <c r="E25" s="56">
        <f>IF(+I14&lt;F24,I14,D25)</f>
        <v>0</v>
      </c>
      <c r="F25" s="55">
        <f t="shared" si="7"/>
        <v>0</v>
      </c>
      <c r="G25" s="57">
        <f t="shared" si="0"/>
        <v>0</v>
      </c>
      <c r="H25" s="41">
        <f t="shared" si="1"/>
        <v>0</v>
      </c>
      <c r="I25" s="52">
        <f t="shared" si="2"/>
        <v>0</v>
      </c>
      <c r="J25" s="52"/>
      <c r="K25" s="129"/>
      <c r="L25" s="54">
        <f t="shared" si="8"/>
        <v>0</v>
      </c>
      <c r="M25" s="129"/>
      <c r="N25" s="54">
        <f t="shared" si="9"/>
        <v>0</v>
      </c>
      <c r="O25" s="54">
        <f t="shared" si="10"/>
        <v>0</v>
      </c>
      <c r="P25" s="1"/>
    </row>
    <row r="26" spans="2:16" ht="12.5">
      <c r="B26" s="7" t="str">
        <f t="shared" si="11"/>
        <v/>
      </c>
      <c r="C26" s="50">
        <f>IF(D11="","-",+C25+1)</f>
        <v>2033</v>
      </c>
      <c r="D26" s="55">
        <f>IF(F25+SUM(E$17:E25)=D$10,F25,D$10-SUM(E$17:E25))</f>
        <v>0</v>
      </c>
      <c r="E26" s="56">
        <f>IF(+I14&lt;F25,I14,D26)</f>
        <v>0</v>
      </c>
      <c r="F26" s="55">
        <f t="shared" si="7"/>
        <v>0</v>
      </c>
      <c r="G26" s="57">
        <f t="shared" si="0"/>
        <v>0</v>
      </c>
      <c r="H26" s="41">
        <f t="shared" si="1"/>
        <v>0</v>
      </c>
      <c r="I26" s="52">
        <f t="shared" si="2"/>
        <v>0</v>
      </c>
      <c r="J26" s="52"/>
      <c r="K26" s="129"/>
      <c r="L26" s="54">
        <f t="shared" si="8"/>
        <v>0</v>
      </c>
      <c r="M26" s="129"/>
      <c r="N26" s="54">
        <f t="shared" si="9"/>
        <v>0</v>
      </c>
      <c r="O26" s="54">
        <f t="shared" si="10"/>
        <v>0</v>
      </c>
      <c r="P26" s="1"/>
    </row>
    <row r="27" spans="2:16" ht="12.5">
      <c r="B27" s="7" t="str">
        <f t="shared" si="11"/>
        <v/>
      </c>
      <c r="C27" s="50">
        <f>IF(D11="","-",+C26+1)</f>
        <v>2034</v>
      </c>
      <c r="D27" s="55">
        <f>IF(F26+SUM(E$17:E26)=D$10,F26,D$10-SUM(E$17:E26))</f>
        <v>0</v>
      </c>
      <c r="E27" s="56">
        <f>IF(+I14&lt;F26,I14,D27)</f>
        <v>0</v>
      </c>
      <c r="F27" s="55">
        <f t="shared" si="7"/>
        <v>0</v>
      </c>
      <c r="G27" s="57">
        <f t="shared" si="0"/>
        <v>0</v>
      </c>
      <c r="H27" s="41">
        <f t="shared" si="1"/>
        <v>0</v>
      </c>
      <c r="I27" s="52">
        <f t="shared" si="2"/>
        <v>0</v>
      </c>
      <c r="J27" s="52"/>
      <c r="K27" s="129"/>
      <c r="L27" s="54">
        <f t="shared" si="8"/>
        <v>0</v>
      </c>
      <c r="M27" s="129"/>
      <c r="N27" s="54">
        <f t="shared" si="9"/>
        <v>0</v>
      </c>
      <c r="O27" s="54">
        <f t="shared" si="10"/>
        <v>0</v>
      </c>
      <c r="P27" s="1"/>
    </row>
    <row r="28" spans="2:16" ht="12.5">
      <c r="B28" s="7" t="str">
        <f t="shared" si="11"/>
        <v/>
      </c>
      <c r="C28" s="50">
        <f>IF(D11="","-",+C27+1)</f>
        <v>2035</v>
      </c>
      <c r="D28" s="55">
        <f>IF(F27+SUM(E$17:E27)=D$10,F27,D$10-SUM(E$17:E27))</f>
        <v>0</v>
      </c>
      <c r="E28" s="56">
        <f>IF(+I14&lt;F27,I14,D28)</f>
        <v>0</v>
      </c>
      <c r="F28" s="55">
        <f t="shared" si="7"/>
        <v>0</v>
      </c>
      <c r="G28" s="57">
        <f t="shared" si="0"/>
        <v>0</v>
      </c>
      <c r="H28" s="41">
        <f t="shared" si="1"/>
        <v>0</v>
      </c>
      <c r="I28" s="52">
        <f t="shared" si="2"/>
        <v>0</v>
      </c>
      <c r="J28" s="52"/>
      <c r="K28" s="129"/>
      <c r="L28" s="54">
        <f t="shared" si="8"/>
        <v>0</v>
      </c>
      <c r="M28" s="129"/>
      <c r="N28" s="54">
        <f t="shared" si="9"/>
        <v>0</v>
      </c>
      <c r="O28" s="54">
        <f t="shared" si="10"/>
        <v>0</v>
      </c>
      <c r="P28" s="1"/>
    </row>
    <row r="29" spans="2:16" ht="12.5">
      <c r="B29" s="7" t="str">
        <f t="shared" si="11"/>
        <v/>
      </c>
      <c r="C29" s="50">
        <f>IF(D11="","-",+C28+1)</f>
        <v>2036</v>
      </c>
      <c r="D29" s="55">
        <f>IF(F28+SUM(E$17:E28)=D$10,F28,D$10-SUM(E$17:E28))</f>
        <v>0</v>
      </c>
      <c r="E29" s="56">
        <f>IF(+I14&lt;F28,I14,D29)</f>
        <v>0</v>
      </c>
      <c r="F29" s="55">
        <f t="shared" si="7"/>
        <v>0</v>
      </c>
      <c r="G29" s="57">
        <f t="shared" si="0"/>
        <v>0</v>
      </c>
      <c r="H29" s="41">
        <f t="shared" si="1"/>
        <v>0</v>
      </c>
      <c r="I29" s="52">
        <f t="shared" si="2"/>
        <v>0</v>
      </c>
      <c r="J29" s="52"/>
      <c r="K29" s="129"/>
      <c r="L29" s="54">
        <f t="shared" si="8"/>
        <v>0</v>
      </c>
      <c r="M29" s="129"/>
      <c r="N29" s="54">
        <f t="shared" si="9"/>
        <v>0</v>
      </c>
      <c r="O29" s="54">
        <f t="shared" si="10"/>
        <v>0</v>
      </c>
      <c r="P29" s="1"/>
    </row>
    <row r="30" spans="2:16" ht="12.5">
      <c r="B30" s="7" t="str">
        <f t="shared" si="11"/>
        <v/>
      </c>
      <c r="C30" s="50">
        <f>IF(D11="","-",+C29+1)</f>
        <v>2037</v>
      </c>
      <c r="D30" s="55">
        <f>IF(F29+SUM(E$17:E29)=D$10,F29,D$10-SUM(E$17:E29))</f>
        <v>0</v>
      </c>
      <c r="E30" s="56">
        <f>IF(+I14&lt;F29,I14,D30)</f>
        <v>0</v>
      </c>
      <c r="F30" s="55">
        <f t="shared" si="7"/>
        <v>0</v>
      </c>
      <c r="G30" s="57">
        <f t="shared" si="0"/>
        <v>0</v>
      </c>
      <c r="H30" s="41">
        <f t="shared" si="1"/>
        <v>0</v>
      </c>
      <c r="I30" s="52">
        <f t="shared" si="2"/>
        <v>0</v>
      </c>
      <c r="J30" s="52"/>
      <c r="K30" s="129"/>
      <c r="L30" s="54">
        <f t="shared" si="8"/>
        <v>0</v>
      </c>
      <c r="M30" s="129"/>
      <c r="N30" s="54">
        <f t="shared" si="9"/>
        <v>0</v>
      </c>
      <c r="O30" s="54">
        <f t="shared" si="10"/>
        <v>0</v>
      </c>
      <c r="P30" s="1"/>
    </row>
    <row r="31" spans="2:16" ht="12.5">
      <c r="B31" s="7" t="str">
        <f t="shared" si="11"/>
        <v/>
      </c>
      <c r="C31" s="50">
        <f>IF(D11="","-",+C30+1)</f>
        <v>2038</v>
      </c>
      <c r="D31" s="55">
        <f>IF(F30+SUM(E$17:E30)=D$10,F30,D$10-SUM(E$17:E30))</f>
        <v>0</v>
      </c>
      <c r="E31" s="56">
        <f>IF(+I14&lt;F30,I14,D31)</f>
        <v>0</v>
      </c>
      <c r="F31" s="55">
        <f t="shared" si="7"/>
        <v>0</v>
      </c>
      <c r="G31" s="57">
        <f t="shared" si="0"/>
        <v>0</v>
      </c>
      <c r="H31" s="41">
        <f t="shared" si="1"/>
        <v>0</v>
      </c>
      <c r="I31" s="52">
        <f t="shared" si="2"/>
        <v>0</v>
      </c>
      <c r="J31" s="52"/>
      <c r="K31" s="129"/>
      <c r="L31" s="54">
        <f t="shared" si="8"/>
        <v>0</v>
      </c>
      <c r="M31" s="129"/>
      <c r="N31" s="54">
        <f t="shared" si="9"/>
        <v>0</v>
      </c>
      <c r="O31" s="54">
        <f t="shared" si="10"/>
        <v>0</v>
      </c>
      <c r="P31" s="1"/>
    </row>
    <row r="32" spans="2:16" ht="12.5">
      <c r="B32" s="7" t="str">
        <f t="shared" si="11"/>
        <v/>
      </c>
      <c r="C32" s="50">
        <f>IF(D11="","-",+C31+1)</f>
        <v>2039</v>
      </c>
      <c r="D32" s="55">
        <f>IF(F31+SUM(E$17:E31)=D$10,F31,D$10-SUM(E$17:E31))</f>
        <v>0</v>
      </c>
      <c r="E32" s="56">
        <f>IF(+I14&lt;F31,I14,D32)</f>
        <v>0</v>
      </c>
      <c r="F32" s="55">
        <f t="shared" si="7"/>
        <v>0</v>
      </c>
      <c r="G32" s="57">
        <f t="shared" si="0"/>
        <v>0</v>
      </c>
      <c r="H32" s="41">
        <f t="shared" si="1"/>
        <v>0</v>
      </c>
      <c r="I32" s="52">
        <f t="shared" si="2"/>
        <v>0</v>
      </c>
      <c r="J32" s="52"/>
      <c r="K32" s="129"/>
      <c r="L32" s="54">
        <f t="shared" si="8"/>
        <v>0</v>
      </c>
      <c r="M32" s="129"/>
      <c r="N32" s="54">
        <f t="shared" si="9"/>
        <v>0</v>
      </c>
      <c r="O32" s="54">
        <f t="shared" si="10"/>
        <v>0</v>
      </c>
      <c r="P32" s="1"/>
    </row>
    <row r="33" spans="2:16" ht="12.5">
      <c r="B33" s="7" t="str">
        <f t="shared" si="11"/>
        <v/>
      </c>
      <c r="C33" s="50">
        <f>IF(D11="","-",+C32+1)</f>
        <v>2040</v>
      </c>
      <c r="D33" s="55">
        <f>IF(F32+SUM(E$17:E32)=D$10,F32,D$10-SUM(E$17:E32))</f>
        <v>0</v>
      </c>
      <c r="E33" s="56">
        <f>IF(+I14&lt;F32,I14,D33)</f>
        <v>0</v>
      </c>
      <c r="F33" s="55">
        <f t="shared" si="7"/>
        <v>0</v>
      </c>
      <c r="G33" s="57">
        <f t="shared" si="0"/>
        <v>0</v>
      </c>
      <c r="H33" s="41">
        <f t="shared" si="1"/>
        <v>0</v>
      </c>
      <c r="I33" s="52">
        <f t="shared" si="2"/>
        <v>0</v>
      </c>
      <c r="J33" s="52"/>
      <c r="K33" s="129"/>
      <c r="L33" s="54">
        <f t="shared" si="8"/>
        <v>0</v>
      </c>
      <c r="M33" s="129"/>
      <c r="N33" s="54">
        <f t="shared" si="9"/>
        <v>0</v>
      </c>
      <c r="O33" s="54">
        <f t="shared" si="10"/>
        <v>0</v>
      </c>
      <c r="P33" s="1"/>
    </row>
    <row r="34" spans="2:16" ht="12.5">
      <c r="B34" s="7" t="str">
        <f t="shared" si="11"/>
        <v/>
      </c>
      <c r="C34" s="50">
        <f>IF(D11="","-",+C33+1)</f>
        <v>2041</v>
      </c>
      <c r="D34" s="55">
        <f>IF(F33+SUM(E$17:E33)=D$10,F33,D$10-SUM(E$17:E33))</f>
        <v>0</v>
      </c>
      <c r="E34" s="56">
        <f>IF(+I14&lt;F33,I14,D34)</f>
        <v>0</v>
      </c>
      <c r="F34" s="55">
        <f t="shared" si="7"/>
        <v>0</v>
      </c>
      <c r="G34" s="57">
        <f t="shared" si="0"/>
        <v>0</v>
      </c>
      <c r="H34" s="41">
        <f t="shared" si="1"/>
        <v>0</v>
      </c>
      <c r="I34" s="52">
        <f t="shared" si="2"/>
        <v>0</v>
      </c>
      <c r="J34" s="52"/>
      <c r="K34" s="129"/>
      <c r="L34" s="54">
        <f t="shared" si="8"/>
        <v>0</v>
      </c>
      <c r="M34" s="129"/>
      <c r="N34" s="54">
        <f t="shared" si="9"/>
        <v>0</v>
      </c>
      <c r="O34" s="54">
        <f t="shared" si="10"/>
        <v>0</v>
      </c>
      <c r="P34" s="1"/>
    </row>
    <row r="35" spans="2:16" ht="12.5">
      <c r="B35" s="7" t="str">
        <f t="shared" si="11"/>
        <v/>
      </c>
      <c r="C35" s="50">
        <f>IF(D11="","-",+C34+1)</f>
        <v>2042</v>
      </c>
      <c r="D35" s="55">
        <f>IF(F34+SUM(E$17:E34)=D$10,F34,D$10-SUM(E$17:E34))</f>
        <v>0</v>
      </c>
      <c r="E35" s="56">
        <f>IF(+I14&lt;F34,I14,D35)</f>
        <v>0</v>
      </c>
      <c r="F35" s="55">
        <f t="shared" si="7"/>
        <v>0</v>
      </c>
      <c r="G35" s="57">
        <f t="shared" si="0"/>
        <v>0</v>
      </c>
      <c r="H35" s="41">
        <f t="shared" si="1"/>
        <v>0</v>
      </c>
      <c r="I35" s="52">
        <f t="shared" si="2"/>
        <v>0</v>
      </c>
      <c r="J35" s="52"/>
      <c r="K35" s="129"/>
      <c r="L35" s="54">
        <f t="shared" si="8"/>
        <v>0</v>
      </c>
      <c r="M35" s="129"/>
      <c r="N35" s="54">
        <f t="shared" si="9"/>
        <v>0</v>
      </c>
      <c r="O35" s="54">
        <f t="shared" si="10"/>
        <v>0</v>
      </c>
      <c r="P35" s="1"/>
    </row>
    <row r="36" spans="2:16" ht="12.5">
      <c r="B36" s="7" t="str">
        <f t="shared" si="11"/>
        <v/>
      </c>
      <c r="C36" s="50">
        <f>IF(D11="","-",+C35+1)</f>
        <v>2043</v>
      </c>
      <c r="D36" s="55">
        <f>IF(F35+SUM(E$17:E35)=D$10,F35,D$10-SUM(E$17:E35))</f>
        <v>0</v>
      </c>
      <c r="E36" s="56">
        <f>IF(+I14&lt;F35,I14,D36)</f>
        <v>0</v>
      </c>
      <c r="F36" s="55">
        <f t="shared" si="7"/>
        <v>0</v>
      </c>
      <c r="G36" s="57">
        <f t="shared" si="0"/>
        <v>0</v>
      </c>
      <c r="H36" s="41">
        <f t="shared" si="1"/>
        <v>0</v>
      </c>
      <c r="I36" s="52">
        <f t="shared" si="2"/>
        <v>0</v>
      </c>
      <c r="J36" s="52"/>
      <c r="K36" s="129"/>
      <c r="L36" s="54">
        <f t="shared" si="8"/>
        <v>0</v>
      </c>
      <c r="M36" s="129"/>
      <c r="N36" s="54">
        <f t="shared" si="9"/>
        <v>0</v>
      </c>
      <c r="O36" s="54">
        <f t="shared" si="10"/>
        <v>0</v>
      </c>
      <c r="P36" s="1"/>
    </row>
    <row r="37" spans="2:16" ht="12.5">
      <c r="B37" s="7" t="str">
        <f t="shared" si="11"/>
        <v/>
      </c>
      <c r="C37" s="50">
        <f>IF(D11="","-",+C36+1)</f>
        <v>2044</v>
      </c>
      <c r="D37" s="55">
        <f>IF(F36+SUM(E$17:E36)=D$10,F36,D$10-SUM(E$17:E36))</f>
        <v>0</v>
      </c>
      <c r="E37" s="56">
        <f>IF(+I14&lt;F36,I14,D37)</f>
        <v>0</v>
      </c>
      <c r="F37" s="55">
        <f t="shared" si="7"/>
        <v>0</v>
      </c>
      <c r="G37" s="57">
        <f t="shared" si="0"/>
        <v>0</v>
      </c>
      <c r="H37" s="41">
        <f t="shared" si="1"/>
        <v>0</v>
      </c>
      <c r="I37" s="52">
        <f t="shared" si="2"/>
        <v>0</v>
      </c>
      <c r="J37" s="52"/>
      <c r="K37" s="129"/>
      <c r="L37" s="54">
        <f t="shared" si="8"/>
        <v>0</v>
      </c>
      <c r="M37" s="129"/>
      <c r="N37" s="54">
        <f t="shared" si="9"/>
        <v>0</v>
      </c>
      <c r="O37" s="54">
        <f t="shared" si="10"/>
        <v>0</v>
      </c>
      <c r="P37" s="1"/>
    </row>
    <row r="38" spans="2:16" ht="12.5">
      <c r="B38" s="7" t="str">
        <f t="shared" si="11"/>
        <v/>
      </c>
      <c r="C38" s="50">
        <f>IF(D11="","-",+C37+1)</f>
        <v>2045</v>
      </c>
      <c r="D38" s="55">
        <f>IF(F37+SUM(E$17:E37)=D$10,F37,D$10-SUM(E$17:E37))</f>
        <v>0</v>
      </c>
      <c r="E38" s="56">
        <f>IF(+I14&lt;F37,I14,D38)</f>
        <v>0</v>
      </c>
      <c r="F38" s="55">
        <f t="shared" si="7"/>
        <v>0</v>
      </c>
      <c r="G38" s="57">
        <f t="shared" si="0"/>
        <v>0</v>
      </c>
      <c r="H38" s="41">
        <f t="shared" si="1"/>
        <v>0</v>
      </c>
      <c r="I38" s="52">
        <f t="shared" si="2"/>
        <v>0</v>
      </c>
      <c r="J38" s="52"/>
      <c r="K38" s="129"/>
      <c r="L38" s="54">
        <f t="shared" si="8"/>
        <v>0</v>
      </c>
      <c r="M38" s="129"/>
      <c r="N38" s="54">
        <f t="shared" si="9"/>
        <v>0</v>
      </c>
      <c r="O38" s="54">
        <f t="shared" si="10"/>
        <v>0</v>
      </c>
      <c r="P38" s="1"/>
    </row>
    <row r="39" spans="2:16" ht="12.5">
      <c r="B39" s="7" t="str">
        <f t="shared" si="11"/>
        <v/>
      </c>
      <c r="C39" s="50">
        <f>IF(D11="","-",+C38+1)</f>
        <v>2046</v>
      </c>
      <c r="D39" s="55">
        <f>IF(F38+SUM(E$17:E38)=D$10,F38,D$10-SUM(E$17:E38))</f>
        <v>0</v>
      </c>
      <c r="E39" s="56">
        <f>IF(+I14&lt;F38,I14,D39)</f>
        <v>0</v>
      </c>
      <c r="F39" s="55">
        <f t="shared" si="7"/>
        <v>0</v>
      </c>
      <c r="G39" s="57">
        <f t="shared" si="0"/>
        <v>0</v>
      </c>
      <c r="H39" s="41">
        <f t="shared" si="1"/>
        <v>0</v>
      </c>
      <c r="I39" s="52">
        <f t="shared" si="2"/>
        <v>0</v>
      </c>
      <c r="J39" s="52"/>
      <c r="K39" s="129"/>
      <c r="L39" s="54">
        <f t="shared" si="8"/>
        <v>0</v>
      </c>
      <c r="M39" s="129"/>
      <c r="N39" s="54">
        <f t="shared" si="9"/>
        <v>0</v>
      </c>
      <c r="O39" s="54">
        <f t="shared" si="10"/>
        <v>0</v>
      </c>
      <c r="P39" s="1"/>
    </row>
    <row r="40" spans="2:16" ht="12.5">
      <c r="B40" s="7" t="str">
        <f t="shared" si="11"/>
        <v/>
      </c>
      <c r="C40" s="50">
        <f>IF(D11="","-",+C39+1)</f>
        <v>2047</v>
      </c>
      <c r="D40" s="55">
        <f>IF(F39+SUM(E$17:E39)=D$10,F39,D$10-SUM(E$17:E39))</f>
        <v>0</v>
      </c>
      <c r="E40" s="56">
        <f>IF(+I14&lt;F39,I14,D40)</f>
        <v>0</v>
      </c>
      <c r="F40" s="55">
        <f t="shared" si="7"/>
        <v>0</v>
      </c>
      <c r="G40" s="57">
        <f t="shared" si="0"/>
        <v>0</v>
      </c>
      <c r="H40" s="41">
        <f t="shared" si="1"/>
        <v>0</v>
      </c>
      <c r="I40" s="52">
        <f t="shared" si="2"/>
        <v>0</v>
      </c>
      <c r="J40" s="52"/>
      <c r="K40" s="129"/>
      <c r="L40" s="54">
        <f t="shared" si="8"/>
        <v>0</v>
      </c>
      <c r="M40" s="129"/>
      <c r="N40" s="54">
        <f t="shared" si="9"/>
        <v>0</v>
      </c>
      <c r="O40" s="54">
        <f t="shared" si="10"/>
        <v>0</v>
      </c>
      <c r="P40" s="1"/>
    </row>
    <row r="41" spans="2:16" ht="12.5">
      <c r="B41" s="7" t="str">
        <f t="shared" si="11"/>
        <v/>
      </c>
      <c r="C41" s="50">
        <f>IF(D11="","-",+C40+1)</f>
        <v>2048</v>
      </c>
      <c r="D41" s="55">
        <f>IF(F40+SUM(E$17:E40)=D$10,F40,D$10-SUM(E$17:E40))</f>
        <v>0</v>
      </c>
      <c r="E41" s="56">
        <f>IF(+I14&lt;F40,I14,D41)</f>
        <v>0</v>
      </c>
      <c r="F41" s="55">
        <f t="shared" si="7"/>
        <v>0</v>
      </c>
      <c r="G41" s="57">
        <f t="shared" si="0"/>
        <v>0</v>
      </c>
      <c r="H41" s="41">
        <f t="shared" si="1"/>
        <v>0</v>
      </c>
      <c r="I41" s="52">
        <f t="shared" si="2"/>
        <v>0</v>
      </c>
      <c r="J41" s="52"/>
      <c r="K41" s="129"/>
      <c r="L41" s="54">
        <f t="shared" si="8"/>
        <v>0</v>
      </c>
      <c r="M41" s="129"/>
      <c r="N41" s="54">
        <f t="shared" si="9"/>
        <v>0</v>
      </c>
      <c r="O41" s="54">
        <f t="shared" si="10"/>
        <v>0</v>
      </c>
      <c r="P41" s="1"/>
    </row>
    <row r="42" spans="2:16" ht="12.5">
      <c r="B42" s="7" t="str">
        <f t="shared" si="11"/>
        <v/>
      </c>
      <c r="C42" s="50">
        <f>IF(D11="","-",+C41+1)</f>
        <v>2049</v>
      </c>
      <c r="D42" s="55">
        <f>IF(F41+SUM(E$17:E41)=D$10,F41,D$10-SUM(E$17:E41))</f>
        <v>0</v>
      </c>
      <c r="E42" s="56">
        <f>IF(+I14&lt;F41,I14,D42)</f>
        <v>0</v>
      </c>
      <c r="F42" s="55">
        <f t="shared" si="7"/>
        <v>0</v>
      </c>
      <c r="G42" s="57">
        <f t="shared" si="0"/>
        <v>0</v>
      </c>
      <c r="H42" s="41">
        <f t="shared" si="1"/>
        <v>0</v>
      </c>
      <c r="I42" s="52">
        <f t="shared" si="2"/>
        <v>0</v>
      </c>
      <c r="J42" s="52"/>
      <c r="K42" s="129"/>
      <c r="L42" s="54">
        <f t="shared" si="8"/>
        <v>0</v>
      </c>
      <c r="M42" s="129"/>
      <c r="N42" s="54">
        <f t="shared" si="9"/>
        <v>0</v>
      </c>
      <c r="O42" s="54">
        <f t="shared" si="10"/>
        <v>0</v>
      </c>
      <c r="P42" s="1"/>
    </row>
    <row r="43" spans="2:16" ht="12.5">
      <c r="B43" s="7" t="str">
        <f t="shared" si="11"/>
        <v/>
      </c>
      <c r="C43" s="50">
        <f>IF(D11="","-",+C42+1)</f>
        <v>2050</v>
      </c>
      <c r="D43" s="55">
        <f>IF(F42+SUM(E$17:E42)=D$10,F42,D$10-SUM(E$17:E42))</f>
        <v>0</v>
      </c>
      <c r="E43" s="56">
        <f>IF(+I14&lt;F42,I14,D43)</f>
        <v>0</v>
      </c>
      <c r="F43" s="55">
        <f t="shared" si="7"/>
        <v>0</v>
      </c>
      <c r="G43" s="57">
        <f t="shared" si="0"/>
        <v>0</v>
      </c>
      <c r="H43" s="41">
        <f t="shared" si="1"/>
        <v>0</v>
      </c>
      <c r="I43" s="52">
        <f t="shared" si="2"/>
        <v>0</v>
      </c>
      <c r="J43" s="52"/>
      <c r="K43" s="129"/>
      <c r="L43" s="54">
        <f t="shared" si="8"/>
        <v>0</v>
      </c>
      <c r="M43" s="129"/>
      <c r="N43" s="54">
        <f t="shared" si="9"/>
        <v>0</v>
      </c>
      <c r="O43" s="54">
        <f t="shared" si="10"/>
        <v>0</v>
      </c>
      <c r="P43" s="1"/>
    </row>
    <row r="44" spans="2:16" ht="12.5">
      <c r="B44" s="7" t="str">
        <f t="shared" si="11"/>
        <v/>
      </c>
      <c r="C44" s="50">
        <f>IF(D11="","-",+C43+1)</f>
        <v>2051</v>
      </c>
      <c r="D44" s="55">
        <f>IF(F43+SUM(E$17:E43)=D$10,F43,D$10-SUM(E$17:E43))</f>
        <v>0</v>
      </c>
      <c r="E44" s="56">
        <f>IF(+I14&lt;F43,I14,D44)</f>
        <v>0</v>
      </c>
      <c r="F44" s="55">
        <f t="shared" si="7"/>
        <v>0</v>
      </c>
      <c r="G44" s="57">
        <f t="shared" si="0"/>
        <v>0</v>
      </c>
      <c r="H44" s="41">
        <f t="shared" si="1"/>
        <v>0</v>
      </c>
      <c r="I44" s="52">
        <f t="shared" si="2"/>
        <v>0</v>
      </c>
      <c r="J44" s="52"/>
      <c r="K44" s="129"/>
      <c r="L44" s="54">
        <f t="shared" si="8"/>
        <v>0</v>
      </c>
      <c r="M44" s="129"/>
      <c r="N44" s="54">
        <f t="shared" si="9"/>
        <v>0</v>
      </c>
      <c r="O44" s="54">
        <f t="shared" si="10"/>
        <v>0</v>
      </c>
      <c r="P44" s="1"/>
    </row>
    <row r="45" spans="2:16" ht="12.5">
      <c r="B45" s="7" t="str">
        <f t="shared" si="11"/>
        <v/>
      </c>
      <c r="C45" s="50">
        <f>IF(D11="","-",+C44+1)</f>
        <v>2052</v>
      </c>
      <c r="D45" s="55">
        <f>IF(F44+SUM(E$17:E44)=D$10,F44,D$10-SUM(E$17:E44))</f>
        <v>0</v>
      </c>
      <c r="E45" s="56">
        <f>IF(+I14&lt;F44,I14,D45)</f>
        <v>0</v>
      </c>
      <c r="F45" s="55">
        <f t="shared" si="7"/>
        <v>0</v>
      </c>
      <c r="G45" s="57">
        <f t="shared" si="0"/>
        <v>0</v>
      </c>
      <c r="H45" s="41">
        <f t="shared" si="1"/>
        <v>0</v>
      </c>
      <c r="I45" s="52">
        <f t="shared" si="2"/>
        <v>0</v>
      </c>
      <c r="J45" s="52"/>
      <c r="K45" s="129"/>
      <c r="L45" s="54">
        <f t="shared" si="8"/>
        <v>0</v>
      </c>
      <c r="M45" s="129"/>
      <c r="N45" s="54">
        <f t="shared" si="9"/>
        <v>0</v>
      </c>
      <c r="O45" s="54">
        <f t="shared" si="10"/>
        <v>0</v>
      </c>
      <c r="P45" s="1"/>
    </row>
    <row r="46" spans="2:16" ht="12.5">
      <c r="B46" s="7" t="str">
        <f t="shared" si="11"/>
        <v/>
      </c>
      <c r="C46" s="50">
        <f>IF(D11="","-",+C45+1)</f>
        <v>2053</v>
      </c>
      <c r="D46" s="55">
        <f>IF(F45+SUM(E$17:E45)=D$10,F45,D$10-SUM(E$17:E45))</f>
        <v>0</v>
      </c>
      <c r="E46" s="56">
        <f>IF(+I14&lt;F45,I14,D46)</f>
        <v>0</v>
      </c>
      <c r="F46" s="55">
        <f t="shared" si="7"/>
        <v>0</v>
      </c>
      <c r="G46" s="57">
        <f t="shared" si="0"/>
        <v>0</v>
      </c>
      <c r="H46" s="41">
        <f t="shared" si="1"/>
        <v>0</v>
      </c>
      <c r="I46" s="52">
        <f t="shared" si="2"/>
        <v>0</v>
      </c>
      <c r="J46" s="52"/>
      <c r="K46" s="129"/>
      <c r="L46" s="54">
        <f t="shared" si="8"/>
        <v>0</v>
      </c>
      <c r="M46" s="129"/>
      <c r="N46" s="54">
        <f t="shared" si="9"/>
        <v>0</v>
      </c>
      <c r="O46" s="54">
        <f t="shared" si="10"/>
        <v>0</v>
      </c>
      <c r="P46" s="1"/>
    </row>
    <row r="47" spans="2:16" ht="12.5">
      <c r="B47" s="7" t="str">
        <f t="shared" si="11"/>
        <v/>
      </c>
      <c r="C47" s="50">
        <f>IF(D11="","-",+C46+1)</f>
        <v>2054</v>
      </c>
      <c r="D47" s="55">
        <f>IF(F46+SUM(E$17:E46)=D$10,F46,D$10-SUM(E$17:E46))</f>
        <v>0</v>
      </c>
      <c r="E47" s="56">
        <f>IF(+I14&lt;F46,I14,D47)</f>
        <v>0</v>
      </c>
      <c r="F47" s="55">
        <f t="shared" si="7"/>
        <v>0</v>
      </c>
      <c r="G47" s="57">
        <f t="shared" si="0"/>
        <v>0</v>
      </c>
      <c r="H47" s="41">
        <f t="shared" si="1"/>
        <v>0</v>
      </c>
      <c r="I47" s="52">
        <f t="shared" si="2"/>
        <v>0</v>
      </c>
      <c r="J47" s="52"/>
      <c r="K47" s="129"/>
      <c r="L47" s="54">
        <f t="shared" si="8"/>
        <v>0</v>
      </c>
      <c r="M47" s="129"/>
      <c r="N47" s="54">
        <f t="shared" si="9"/>
        <v>0</v>
      </c>
      <c r="O47" s="54">
        <f t="shared" si="10"/>
        <v>0</v>
      </c>
      <c r="P47" s="1"/>
    </row>
    <row r="48" spans="2:16" ht="12.5">
      <c r="B48" s="7" t="str">
        <f t="shared" si="11"/>
        <v/>
      </c>
      <c r="C48" s="50">
        <f>IF(D11="","-",+C47+1)</f>
        <v>2055</v>
      </c>
      <c r="D48" s="55">
        <f>IF(F47+SUM(E$17:E47)=D$10,F47,D$10-SUM(E$17:E47))</f>
        <v>0</v>
      </c>
      <c r="E48" s="56">
        <f>IF(+I14&lt;F47,I14,D48)</f>
        <v>0</v>
      </c>
      <c r="F48" s="55">
        <f t="shared" si="7"/>
        <v>0</v>
      </c>
      <c r="G48" s="57">
        <f t="shared" si="0"/>
        <v>0</v>
      </c>
      <c r="H48" s="41">
        <f t="shared" si="1"/>
        <v>0</v>
      </c>
      <c r="I48" s="52">
        <f t="shared" si="2"/>
        <v>0</v>
      </c>
      <c r="J48" s="52"/>
      <c r="K48" s="129"/>
      <c r="L48" s="54">
        <f t="shared" si="8"/>
        <v>0</v>
      </c>
      <c r="M48" s="129"/>
      <c r="N48" s="54">
        <f t="shared" si="9"/>
        <v>0</v>
      </c>
      <c r="O48" s="54">
        <f t="shared" si="10"/>
        <v>0</v>
      </c>
      <c r="P48" s="1"/>
    </row>
    <row r="49" spans="2:16" ht="12.5">
      <c r="B49" s="7" t="str">
        <f t="shared" si="11"/>
        <v/>
      </c>
      <c r="C49" s="50">
        <f>IF(D11="","-",+C48+1)</f>
        <v>2056</v>
      </c>
      <c r="D49" s="55">
        <f>IF(F48+SUM(E$17:E48)=D$10,F48,D$10-SUM(E$17:E48))</f>
        <v>0</v>
      </c>
      <c r="E49" s="56">
        <f>IF(+I14&lt;F48,I14,D49)</f>
        <v>0</v>
      </c>
      <c r="F49" s="55">
        <f t="shared" si="7"/>
        <v>0</v>
      </c>
      <c r="G49" s="57">
        <f t="shared" si="0"/>
        <v>0</v>
      </c>
      <c r="H49" s="41">
        <f t="shared" si="1"/>
        <v>0</v>
      </c>
      <c r="I49" s="52">
        <f t="shared" si="2"/>
        <v>0</v>
      </c>
      <c r="J49" s="52"/>
      <c r="K49" s="129"/>
      <c r="L49" s="54">
        <f t="shared" si="8"/>
        <v>0</v>
      </c>
      <c r="M49" s="129"/>
      <c r="N49" s="54">
        <f t="shared" si="9"/>
        <v>0</v>
      </c>
      <c r="O49" s="54">
        <f t="shared" si="10"/>
        <v>0</v>
      </c>
      <c r="P49" s="1"/>
    </row>
    <row r="50" spans="2:16" ht="12.5">
      <c r="B50" s="7" t="str">
        <f t="shared" si="11"/>
        <v/>
      </c>
      <c r="C50" s="50">
        <f>IF(D11="","-",+C49+1)</f>
        <v>2057</v>
      </c>
      <c r="D50" s="55">
        <f>IF(F49+SUM(E$17:E49)=D$10,F49,D$10-SUM(E$17:E49))</f>
        <v>0</v>
      </c>
      <c r="E50" s="56">
        <f>IF(+I14&lt;F49,I14,D50)</f>
        <v>0</v>
      </c>
      <c r="F50" s="55">
        <f t="shared" si="7"/>
        <v>0</v>
      </c>
      <c r="G50" s="57">
        <f t="shared" si="0"/>
        <v>0</v>
      </c>
      <c r="H50" s="41">
        <f t="shared" si="1"/>
        <v>0</v>
      </c>
      <c r="I50" s="52">
        <f t="shared" si="2"/>
        <v>0</v>
      </c>
      <c r="J50" s="52"/>
      <c r="K50" s="129"/>
      <c r="L50" s="54">
        <f t="shared" si="8"/>
        <v>0</v>
      </c>
      <c r="M50" s="129"/>
      <c r="N50" s="54">
        <f t="shared" si="9"/>
        <v>0</v>
      </c>
      <c r="O50" s="54">
        <f t="shared" si="10"/>
        <v>0</v>
      </c>
      <c r="P50" s="1"/>
    </row>
    <row r="51" spans="2:16" ht="12.5">
      <c r="B51" s="7" t="str">
        <f t="shared" si="11"/>
        <v/>
      </c>
      <c r="C51" s="50">
        <f>IF(D11="","-",+C50+1)</f>
        <v>2058</v>
      </c>
      <c r="D51" s="55">
        <f>IF(F50+SUM(E$17:E50)=D$10,F50,D$10-SUM(E$17:E50))</f>
        <v>0</v>
      </c>
      <c r="E51" s="56">
        <f>IF(+I14&lt;F50,I14,D51)</f>
        <v>0</v>
      </c>
      <c r="F51" s="55">
        <f t="shared" si="7"/>
        <v>0</v>
      </c>
      <c r="G51" s="57">
        <f t="shared" si="0"/>
        <v>0</v>
      </c>
      <c r="H51" s="41">
        <f t="shared" si="1"/>
        <v>0</v>
      </c>
      <c r="I51" s="52">
        <f t="shared" si="2"/>
        <v>0</v>
      </c>
      <c r="J51" s="52"/>
      <c r="K51" s="129"/>
      <c r="L51" s="54">
        <f t="shared" si="8"/>
        <v>0</v>
      </c>
      <c r="M51" s="129"/>
      <c r="N51" s="54">
        <f t="shared" si="9"/>
        <v>0</v>
      </c>
      <c r="O51" s="54">
        <f t="shared" si="10"/>
        <v>0</v>
      </c>
      <c r="P51" s="1"/>
    </row>
    <row r="52" spans="2:16" ht="12.5">
      <c r="B52" s="7" t="str">
        <f t="shared" si="11"/>
        <v/>
      </c>
      <c r="C52" s="50">
        <f>IF(D11="","-",+C51+1)</f>
        <v>2059</v>
      </c>
      <c r="D52" s="55">
        <f>IF(F51+SUM(E$17:E51)=D$10,F51,D$10-SUM(E$17:E51))</f>
        <v>0</v>
      </c>
      <c r="E52" s="56">
        <f>IF(+I14&lt;F51,I14,D52)</f>
        <v>0</v>
      </c>
      <c r="F52" s="55">
        <f t="shared" si="7"/>
        <v>0</v>
      </c>
      <c r="G52" s="57">
        <f t="shared" si="0"/>
        <v>0</v>
      </c>
      <c r="H52" s="41">
        <f t="shared" si="1"/>
        <v>0</v>
      </c>
      <c r="I52" s="52">
        <f t="shared" si="2"/>
        <v>0</v>
      </c>
      <c r="J52" s="52"/>
      <c r="K52" s="129"/>
      <c r="L52" s="54">
        <f t="shared" si="8"/>
        <v>0</v>
      </c>
      <c r="M52" s="129"/>
      <c r="N52" s="54">
        <f t="shared" si="9"/>
        <v>0</v>
      </c>
      <c r="O52" s="54">
        <f t="shared" si="10"/>
        <v>0</v>
      </c>
      <c r="P52" s="1"/>
    </row>
    <row r="53" spans="2:16" ht="12.5">
      <c r="B53" s="7" t="str">
        <f t="shared" si="11"/>
        <v/>
      </c>
      <c r="C53" s="50">
        <f>IF(D11="","-",+C52+1)</f>
        <v>2060</v>
      </c>
      <c r="D53" s="55">
        <f>IF(F52+SUM(E$17:E52)=D$10,F52,D$10-SUM(E$17:E52))</f>
        <v>0</v>
      </c>
      <c r="E53" s="56">
        <f>IF(+I14&lt;F52,I14,D53)</f>
        <v>0</v>
      </c>
      <c r="F53" s="55">
        <f t="shared" si="7"/>
        <v>0</v>
      </c>
      <c r="G53" s="57">
        <f t="shared" si="0"/>
        <v>0</v>
      </c>
      <c r="H53" s="41">
        <f t="shared" si="1"/>
        <v>0</v>
      </c>
      <c r="I53" s="52">
        <f t="shared" si="2"/>
        <v>0</v>
      </c>
      <c r="J53" s="52"/>
      <c r="K53" s="129"/>
      <c r="L53" s="54">
        <f t="shared" si="8"/>
        <v>0</v>
      </c>
      <c r="M53" s="129"/>
      <c r="N53" s="54">
        <f t="shared" si="9"/>
        <v>0</v>
      </c>
      <c r="O53" s="54">
        <f t="shared" si="10"/>
        <v>0</v>
      </c>
      <c r="P53" s="1"/>
    </row>
    <row r="54" spans="2:16" ht="12.5">
      <c r="B54" s="7" t="str">
        <f t="shared" si="11"/>
        <v/>
      </c>
      <c r="C54" s="50">
        <f>IF(D11="","-",+C53+1)</f>
        <v>2061</v>
      </c>
      <c r="D54" s="55">
        <f>IF(F53+SUM(E$17:E53)=D$10,F53,D$10-SUM(E$17:E53))</f>
        <v>0</v>
      </c>
      <c r="E54" s="56">
        <f>IF(+I14&lt;F53,I14,D54)</f>
        <v>0</v>
      </c>
      <c r="F54" s="55">
        <f t="shared" si="7"/>
        <v>0</v>
      </c>
      <c r="G54" s="57">
        <f t="shared" si="0"/>
        <v>0</v>
      </c>
      <c r="H54" s="41">
        <f t="shared" si="1"/>
        <v>0</v>
      </c>
      <c r="I54" s="52">
        <f t="shared" si="2"/>
        <v>0</v>
      </c>
      <c r="J54" s="52"/>
      <c r="K54" s="129"/>
      <c r="L54" s="54">
        <f t="shared" si="8"/>
        <v>0</v>
      </c>
      <c r="M54" s="129"/>
      <c r="N54" s="54">
        <f t="shared" si="9"/>
        <v>0</v>
      </c>
      <c r="O54" s="54">
        <f t="shared" si="10"/>
        <v>0</v>
      </c>
      <c r="P54" s="1"/>
    </row>
    <row r="55" spans="2:16" ht="12.5">
      <c r="B55" s="7" t="str">
        <f t="shared" si="11"/>
        <v/>
      </c>
      <c r="C55" s="50">
        <f>IF(D11="","-",+C54+1)</f>
        <v>2062</v>
      </c>
      <c r="D55" s="55">
        <f>IF(F54+SUM(E$17:E54)=D$10,F54,D$10-SUM(E$17:E54))</f>
        <v>0</v>
      </c>
      <c r="E55" s="56">
        <f>IF(+I14&lt;F54,I14,D55)</f>
        <v>0</v>
      </c>
      <c r="F55" s="55">
        <f t="shared" si="7"/>
        <v>0</v>
      </c>
      <c r="G55" s="57">
        <f t="shared" si="0"/>
        <v>0</v>
      </c>
      <c r="H55" s="41">
        <f t="shared" si="1"/>
        <v>0</v>
      </c>
      <c r="I55" s="52">
        <f t="shared" si="2"/>
        <v>0</v>
      </c>
      <c r="J55" s="52"/>
      <c r="K55" s="129"/>
      <c r="L55" s="54">
        <f t="shared" si="8"/>
        <v>0</v>
      </c>
      <c r="M55" s="129"/>
      <c r="N55" s="54">
        <f t="shared" si="9"/>
        <v>0</v>
      </c>
      <c r="O55" s="54">
        <f t="shared" si="10"/>
        <v>0</v>
      </c>
      <c r="P55" s="1"/>
    </row>
    <row r="56" spans="2:16" ht="12.5">
      <c r="B56" s="7" t="str">
        <f t="shared" si="11"/>
        <v/>
      </c>
      <c r="C56" s="50">
        <f>IF(D11="","-",+C55+1)</f>
        <v>2063</v>
      </c>
      <c r="D56" s="55">
        <f>IF(F55+SUM(E$17:E55)=D$10,F55,D$10-SUM(E$17:E55))</f>
        <v>0</v>
      </c>
      <c r="E56" s="56">
        <f>IF(+I14&lt;F55,I14,D56)</f>
        <v>0</v>
      </c>
      <c r="F56" s="55">
        <f t="shared" si="7"/>
        <v>0</v>
      </c>
      <c r="G56" s="57">
        <f t="shared" si="0"/>
        <v>0</v>
      </c>
      <c r="H56" s="41">
        <f t="shared" si="1"/>
        <v>0</v>
      </c>
      <c r="I56" s="52">
        <f t="shared" si="2"/>
        <v>0</v>
      </c>
      <c r="J56" s="52"/>
      <c r="K56" s="129"/>
      <c r="L56" s="54">
        <f t="shared" si="8"/>
        <v>0</v>
      </c>
      <c r="M56" s="129"/>
      <c r="N56" s="54">
        <f t="shared" si="9"/>
        <v>0</v>
      </c>
      <c r="O56" s="54">
        <f t="shared" si="10"/>
        <v>0</v>
      </c>
      <c r="P56" s="1"/>
    </row>
    <row r="57" spans="2:16" ht="12.5">
      <c r="B57" s="7" t="str">
        <f t="shared" si="11"/>
        <v/>
      </c>
      <c r="C57" s="50">
        <f>IF(D11="","-",+C56+1)</f>
        <v>2064</v>
      </c>
      <c r="D57" s="55">
        <f>IF(F56+SUM(E$17:E56)=D$10,F56,D$10-SUM(E$17:E56))</f>
        <v>0</v>
      </c>
      <c r="E57" s="56">
        <f>IF(+I14&lt;F56,I14,D57)</f>
        <v>0</v>
      </c>
      <c r="F57" s="55">
        <f t="shared" si="7"/>
        <v>0</v>
      </c>
      <c r="G57" s="57">
        <f t="shared" si="0"/>
        <v>0</v>
      </c>
      <c r="H57" s="41">
        <f t="shared" si="1"/>
        <v>0</v>
      </c>
      <c r="I57" s="52">
        <f t="shared" si="2"/>
        <v>0</v>
      </c>
      <c r="J57" s="52"/>
      <c r="K57" s="129"/>
      <c r="L57" s="54">
        <f t="shared" si="8"/>
        <v>0</v>
      </c>
      <c r="M57" s="129"/>
      <c r="N57" s="54">
        <f t="shared" si="9"/>
        <v>0</v>
      </c>
      <c r="O57" s="54">
        <f t="shared" si="10"/>
        <v>0</v>
      </c>
      <c r="P57" s="1"/>
    </row>
    <row r="58" spans="2:16" ht="12.5">
      <c r="B58" s="7" t="str">
        <f t="shared" si="11"/>
        <v/>
      </c>
      <c r="C58" s="50">
        <f>IF(D11="","-",+C57+1)</f>
        <v>2065</v>
      </c>
      <c r="D58" s="55">
        <f>IF(F57+SUM(E$17:E57)=D$10,F57,D$10-SUM(E$17:E57))</f>
        <v>0</v>
      </c>
      <c r="E58" s="56">
        <f>IF(+I14&lt;F57,I14,D58)</f>
        <v>0</v>
      </c>
      <c r="F58" s="55">
        <f t="shared" si="7"/>
        <v>0</v>
      </c>
      <c r="G58" s="57">
        <f t="shared" si="0"/>
        <v>0</v>
      </c>
      <c r="H58" s="41">
        <f t="shared" si="1"/>
        <v>0</v>
      </c>
      <c r="I58" s="52">
        <f t="shared" si="2"/>
        <v>0</v>
      </c>
      <c r="J58" s="52"/>
      <c r="K58" s="129"/>
      <c r="L58" s="54">
        <f t="shared" si="8"/>
        <v>0</v>
      </c>
      <c r="M58" s="129"/>
      <c r="N58" s="54">
        <f t="shared" si="9"/>
        <v>0</v>
      </c>
      <c r="O58" s="54">
        <f t="shared" si="10"/>
        <v>0</v>
      </c>
      <c r="P58" s="1"/>
    </row>
    <row r="59" spans="2:16" ht="12.5">
      <c r="B59" s="7" t="str">
        <f t="shared" si="11"/>
        <v/>
      </c>
      <c r="C59" s="50">
        <f>IF(D11="","-",+C58+1)</f>
        <v>2066</v>
      </c>
      <c r="D59" s="55">
        <f>IF(F58+SUM(E$17:E58)=D$10,F58,D$10-SUM(E$17:E58))</f>
        <v>0</v>
      </c>
      <c r="E59" s="56">
        <f>IF(+I14&lt;F58,I14,D59)</f>
        <v>0</v>
      </c>
      <c r="F59" s="55">
        <f t="shared" si="7"/>
        <v>0</v>
      </c>
      <c r="G59" s="57">
        <f t="shared" si="0"/>
        <v>0</v>
      </c>
      <c r="H59" s="41">
        <f t="shared" si="1"/>
        <v>0</v>
      </c>
      <c r="I59" s="52">
        <f t="shared" si="2"/>
        <v>0</v>
      </c>
      <c r="J59" s="52"/>
      <c r="K59" s="129"/>
      <c r="L59" s="54">
        <f t="shared" si="8"/>
        <v>0</v>
      </c>
      <c r="M59" s="129"/>
      <c r="N59" s="54">
        <f t="shared" si="9"/>
        <v>0</v>
      </c>
      <c r="O59" s="54">
        <f t="shared" si="10"/>
        <v>0</v>
      </c>
      <c r="P59" s="1"/>
    </row>
    <row r="60" spans="2:16" ht="12.5">
      <c r="B60" s="7" t="str">
        <f t="shared" si="11"/>
        <v/>
      </c>
      <c r="C60" s="50">
        <f>IF(D11="","-",+C59+1)</f>
        <v>2067</v>
      </c>
      <c r="D60" s="55">
        <f>IF(F59+SUM(E$17:E59)=D$10,F59,D$10-SUM(E$17:E59))</f>
        <v>0</v>
      </c>
      <c r="E60" s="56">
        <f>IF(+I14&lt;F59,I14,D60)</f>
        <v>0</v>
      </c>
      <c r="F60" s="55">
        <f t="shared" si="7"/>
        <v>0</v>
      </c>
      <c r="G60" s="57">
        <f t="shared" si="0"/>
        <v>0</v>
      </c>
      <c r="H60" s="41">
        <f t="shared" si="1"/>
        <v>0</v>
      </c>
      <c r="I60" s="52">
        <f t="shared" si="2"/>
        <v>0</v>
      </c>
      <c r="J60" s="52"/>
      <c r="K60" s="129"/>
      <c r="L60" s="54">
        <f t="shared" si="8"/>
        <v>0</v>
      </c>
      <c r="M60" s="129"/>
      <c r="N60" s="54">
        <f t="shared" si="9"/>
        <v>0</v>
      </c>
      <c r="O60" s="54">
        <f t="shared" si="10"/>
        <v>0</v>
      </c>
      <c r="P60" s="1"/>
    </row>
    <row r="61" spans="2:16" ht="12.5">
      <c r="B61" s="7" t="str">
        <f t="shared" si="11"/>
        <v/>
      </c>
      <c r="C61" s="50">
        <f>IF(D11="","-",+C60+1)</f>
        <v>2068</v>
      </c>
      <c r="D61" s="55">
        <f>IF(F60+SUM(E$17:E60)=D$10,F60,D$10-SUM(E$17:E60))</f>
        <v>0</v>
      </c>
      <c r="E61" s="56">
        <f>IF(+I14&lt;F60,I14,D61)</f>
        <v>0</v>
      </c>
      <c r="F61" s="55">
        <f t="shared" si="7"/>
        <v>0</v>
      </c>
      <c r="G61" s="58">
        <f t="shared" si="0"/>
        <v>0</v>
      </c>
      <c r="H61" s="41">
        <f t="shared" si="1"/>
        <v>0</v>
      </c>
      <c r="I61" s="52">
        <f t="shared" si="2"/>
        <v>0</v>
      </c>
      <c r="J61" s="52"/>
      <c r="K61" s="129"/>
      <c r="L61" s="54">
        <f t="shared" si="8"/>
        <v>0</v>
      </c>
      <c r="M61" s="129"/>
      <c r="N61" s="54">
        <f t="shared" si="9"/>
        <v>0</v>
      </c>
      <c r="O61" s="54">
        <f t="shared" si="10"/>
        <v>0</v>
      </c>
      <c r="P61" s="1"/>
    </row>
    <row r="62" spans="2:16" ht="12.5">
      <c r="B62" s="7" t="str">
        <f t="shared" si="11"/>
        <v/>
      </c>
      <c r="C62" s="50">
        <f>IF(D11="","-",+C61+1)</f>
        <v>2069</v>
      </c>
      <c r="D62" s="55">
        <f>IF(F61+SUM(E$17:E61)=D$10,F61,D$10-SUM(E$17:E61))</f>
        <v>0</v>
      </c>
      <c r="E62" s="56">
        <f>IF(+I14&lt;F61,I14,D62)</f>
        <v>0</v>
      </c>
      <c r="F62" s="55">
        <f t="shared" si="7"/>
        <v>0</v>
      </c>
      <c r="G62" s="58">
        <f t="shared" si="0"/>
        <v>0</v>
      </c>
      <c r="H62" s="41">
        <f t="shared" si="1"/>
        <v>0</v>
      </c>
      <c r="I62" s="52">
        <f t="shared" si="2"/>
        <v>0</v>
      </c>
      <c r="J62" s="52"/>
      <c r="K62" s="129"/>
      <c r="L62" s="54">
        <f t="shared" si="8"/>
        <v>0</v>
      </c>
      <c r="M62" s="129"/>
      <c r="N62" s="54">
        <f t="shared" si="9"/>
        <v>0</v>
      </c>
      <c r="O62" s="54">
        <f t="shared" si="10"/>
        <v>0</v>
      </c>
      <c r="P62" s="1"/>
    </row>
    <row r="63" spans="2:16" ht="12.5">
      <c r="B63" s="7" t="str">
        <f t="shared" si="11"/>
        <v/>
      </c>
      <c r="C63" s="50">
        <f>IF(D11="","-",+C62+1)</f>
        <v>2070</v>
      </c>
      <c r="D63" s="55">
        <f>IF(F62+SUM(E$17:E62)=D$10,F62,D$10-SUM(E$17:E62))</f>
        <v>0</v>
      </c>
      <c r="E63" s="56">
        <f>IF(+I14&lt;F62,I14,D63)</f>
        <v>0</v>
      </c>
      <c r="F63" s="55">
        <f t="shared" si="7"/>
        <v>0</v>
      </c>
      <c r="G63" s="58">
        <f t="shared" si="0"/>
        <v>0</v>
      </c>
      <c r="H63" s="41">
        <f t="shared" si="1"/>
        <v>0</v>
      </c>
      <c r="I63" s="52">
        <f t="shared" si="2"/>
        <v>0</v>
      </c>
      <c r="J63" s="52"/>
      <c r="K63" s="129"/>
      <c r="L63" s="54">
        <f t="shared" si="8"/>
        <v>0</v>
      </c>
      <c r="M63" s="129"/>
      <c r="N63" s="54">
        <f t="shared" si="9"/>
        <v>0</v>
      </c>
      <c r="O63" s="54">
        <f t="shared" si="10"/>
        <v>0</v>
      </c>
      <c r="P63" s="1"/>
    </row>
    <row r="64" spans="2:16" ht="12.5">
      <c r="B64" s="7" t="str">
        <f t="shared" si="11"/>
        <v/>
      </c>
      <c r="C64" s="50">
        <f>IF(D11="","-",+C63+1)</f>
        <v>2071</v>
      </c>
      <c r="D64" s="55">
        <f>IF(F63+SUM(E$17:E63)=D$10,F63,D$10-SUM(E$17:E63))</f>
        <v>0</v>
      </c>
      <c r="E64" s="56">
        <f>IF(+I14&lt;F63,I14,D64)</f>
        <v>0</v>
      </c>
      <c r="F64" s="55">
        <f t="shared" si="7"/>
        <v>0</v>
      </c>
      <c r="G64" s="58">
        <f t="shared" si="0"/>
        <v>0</v>
      </c>
      <c r="H64" s="41">
        <f t="shared" si="1"/>
        <v>0</v>
      </c>
      <c r="I64" s="52">
        <f t="shared" si="2"/>
        <v>0</v>
      </c>
      <c r="J64" s="52"/>
      <c r="K64" s="129"/>
      <c r="L64" s="54">
        <f t="shared" si="8"/>
        <v>0</v>
      </c>
      <c r="M64" s="129"/>
      <c r="N64" s="54">
        <f t="shared" si="9"/>
        <v>0</v>
      </c>
      <c r="O64" s="54">
        <f t="shared" si="10"/>
        <v>0</v>
      </c>
      <c r="P64" s="1"/>
    </row>
    <row r="65" spans="2:16" ht="12.5">
      <c r="B65" s="7" t="str">
        <f t="shared" si="11"/>
        <v/>
      </c>
      <c r="C65" s="50">
        <f>IF(D11="","-",+C64+1)</f>
        <v>2072</v>
      </c>
      <c r="D65" s="55">
        <f>IF(F64+SUM(E$17:E64)=D$10,F64,D$10-SUM(E$17:E64))</f>
        <v>0</v>
      </c>
      <c r="E65" s="56">
        <f>IF(+I14&lt;F64,I14,D65)</f>
        <v>0</v>
      </c>
      <c r="F65" s="55">
        <f t="shared" si="7"/>
        <v>0</v>
      </c>
      <c r="G65" s="58">
        <f t="shared" si="0"/>
        <v>0</v>
      </c>
      <c r="H65" s="41">
        <f t="shared" si="1"/>
        <v>0</v>
      </c>
      <c r="I65" s="52">
        <f t="shared" si="2"/>
        <v>0</v>
      </c>
      <c r="J65" s="52"/>
      <c r="K65" s="129"/>
      <c r="L65" s="54">
        <f t="shared" si="8"/>
        <v>0</v>
      </c>
      <c r="M65" s="129"/>
      <c r="N65" s="54">
        <f t="shared" si="9"/>
        <v>0</v>
      </c>
      <c r="O65" s="54">
        <f t="shared" si="10"/>
        <v>0</v>
      </c>
      <c r="P65" s="1"/>
    </row>
    <row r="66" spans="2:16" ht="12.5">
      <c r="B66" s="7" t="str">
        <f t="shared" si="11"/>
        <v/>
      </c>
      <c r="C66" s="50">
        <f>IF(D11="","-",+C65+1)</f>
        <v>2073</v>
      </c>
      <c r="D66" s="55">
        <f>IF(F65+SUM(E$17:E65)=D$10,F65,D$10-SUM(E$17:E65))</f>
        <v>0</v>
      </c>
      <c r="E66" s="56">
        <f>IF(+I14&lt;F65,I14,D66)</f>
        <v>0</v>
      </c>
      <c r="F66" s="55">
        <f t="shared" si="7"/>
        <v>0</v>
      </c>
      <c r="G66" s="58">
        <f t="shared" si="0"/>
        <v>0</v>
      </c>
      <c r="H66" s="41">
        <f t="shared" si="1"/>
        <v>0</v>
      </c>
      <c r="I66" s="52">
        <f t="shared" si="2"/>
        <v>0</v>
      </c>
      <c r="J66" s="52"/>
      <c r="K66" s="129"/>
      <c r="L66" s="54">
        <f t="shared" si="8"/>
        <v>0</v>
      </c>
      <c r="M66" s="129"/>
      <c r="N66" s="54">
        <f t="shared" si="9"/>
        <v>0</v>
      </c>
      <c r="O66" s="54">
        <f t="shared" si="10"/>
        <v>0</v>
      </c>
      <c r="P66" s="1"/>
    </row>
    <row r="67" spans="2:16" ht="12.5">
      <c r="B67" s="7" t="str">
        <f t="shared" si="11"/>
        <v/>
      </c>
      <c r="C67" s="50">
        <f>IF(D11="","-",+C66+1)</f>
        <v>2074</v>
      </c>
      <c r="D67" s="55">
        <f>IF(F66+SUM(E$17:E66)=D$10,F66,D$10-SUM(E$17:E66))</f>
        <v>0</v>
      </c>
      <c r="E67" s="56">
        <f>IF(+I14&lt;F66,I14,D67)</f>
        <v>0</v>
      </c>
      <c r="F67" s="55">
        <f t="shared" si="7"/>
        <v>0</v>
      </c>
      <c r="G67" s="58">
        <f t="shared" si="0"/>
        <v>0</v>
      </c>
      <c r="H67" s="41">
        <f t="shared" si="1"/>
        <v>0</v>
      </c>
      <c r="I67" s="52">
        <f t="shared" si="2"/>
        <v>0</v>
      </c>
      <c r="J67" s="52"/>
      <c r="K67" s="129"/>
      <c r="L67" s="54">
        <f t="shared" si="8"/>
        <v>0</v>
      </c>
      <c r="M67" s="129"/>
      <c r="N67" s="54">
        <f t="shared" si="9"/>
        <v>0</v>
      </c>
      <c r="O67" s="54">
        <f t="shared" si="10"/>
        <v>0</v>
      </c>
      <c r="P67" s="1"/>
    </row>
    <row r="68" spans="2:16" ht="12.5">
      <c r="B68" s="7" t="str">
        <f t="shared" si="11"/>
        <v/>
      </c>
      <c r="C68" s="50">
        <f>IF(D11="","-",+C67+1)</f>
        <v>2075</v>
      </c>
      <c r="D68" s="55">
        <f>IF(F67+SUM(E$17:E67)=D$10,F67,D$10-SUM(E$17:E67))</f>
        <v>0</v>
      </c>
      <c r="E68" s="56">
        <f>IF(+I14&lt;F67,I14,D68)</f>
        <v>0</v>
      </c>
      <c r="F68" s="55">
        <f t="shared" si="7"/>
        <v>0</v>
      </c>
      <c r="G68" s="58">
        <f t="shared" si="0"/>
        <v>0</v>
      </c>
      <c r="H68" s="41">
        <f t="shared" si="1"/>
        <v>0</v>
      </c>
      <c r="I68" s="52">
        <f t="shared" si="2"/>
        <v>0</v>
      </c>
      <c r="J68" s="52"/>
      <c r="K68" s="129"/>
      <c r="L68" s="54">
        <f t="shared" si="8"/>
        <v>0</v>
      </c>
      <c r="M68" s="129"/>
      <c r="N68" s="54">
        <f t="shared" si="9"/>
        <v>0</v>
      </c>
      <c r="O68" s="54">
        <f t="shared" si="10"/>
        <v>0</v>
      </c>
      <c r="P68" s="1"/>
    </row>
    <row r="69" spans="2:16" ht="12.5">
      <c r="B69" s="7" t="str">
        <f t="shared" si="11"/>
        <v/>
      </c>
      <c r="C69" s="50">
        <f>IF(D11="","-",+C68+1)</f>
        <v>2076</v>
      </c>
      <c r="D69" s="55">
        <f>IF(F68+SUM(E$17:E68)=D$10,F68,D$10-SUM(E$17:E68))</f>
        <v>0</v>
      </c>
      <c r="E69" s="56">
        <f>IF(+I14&lt;F68,I14,D69)</f>
        <v>0</v>
      </c>
      <c r="F69" s="55">
        <f t="shared" si="7"/>
        <v>0</v>
      </c>
      <c r="G69" s="58">
        <f t="shared" si="0"/>
        <v>0</v>
      </c>
      <c r="H69" s="41">
        <f t="shared" si="1"/>
        <v>0</v>
      </c>
      <c r="I69" s="52">
        <f t="shared" si="2"/>
        <v>0</v>
      </c>
      <c r="J69" s="52"/>
      <c r="K69" s="129"/>
      <c r="L69" s="54">
        <f t="shared" si="8"/>
        <v>0</v>
      </c>
      <c r="M69" s="129"/>
      <c r="N69" s="54">
        <f t="shared" si="9"/>
        <v>0</v>
      </c>
      <c r="O69" s="54">
        <f t="shared" si="10"/>
        <v>0</v>
      </c>
      <c r="P69" s="1"/>
    </row>
    <row r="70" spans="2:16" ht="12.5">
      <c r="B70" s="7" t="str">
        <f t="shared" si="11"/>
        <v/>
      </c>
      <c r="C70" s="50">
        <f>IF(D11="","-",+C69+1)</f>
        <v>2077</v>
      </c>
      <c r="D70" s="55">
        <f>IF(F69+SUM(E$17:E69)=D$10,F69,D$10-SUM(E$17:E69))</f>
        <v>0</v>
      </c>
      <c r="E70" s="56">
        <f>IF(+I14&lt;F69,I14,D70)</f>
        <v>0</v>
      </c>
      <c r="F70" s="55">
        <f t="shared" si="7"/>
        <v>0</v>
      </c>
      <c r="G70" s="58">
        <f t="shared" si="0"/>
        <v>0</v>
      </c>
      <c r="H70" s="41">
        <f t="shared" si="1"/>
        <v>0</v>
      </c>
      <c r="I70" s="52">
        <f t="shared" si="2"/>
        <v>0</v>
      </c>
      <c r="J70" s="52"/>
      <c r="K70" s="129"/>
      <c r="L70" s="54">
        <f t="shared" si="8"/>
        <v>0</v>
      </c>
      <c r="M70" s="129"/>
      <c r="N70" s="54">
        <f t="shared" si="9"/>
        <v>0</v>
      </c>
      <c r="O70" s="54">
        <f t="shared" si="10"/>
        <v>0</v>
      </c>
      <c r="P70" s="1"/>
    </row>
    <row r="71" spans="2:16" ht="12.5">
      <c r="B71" s="7" t="str">
        <f t="shared" si="11"/>
        <v/>
      </c>
      <c r="C71" s="50">
        <f>IF(D11="","-",+C70+1)</f>
        <v>2078</v>
      </c>
      <c r="D71" s="55">
        <f>IF(F70+SUM(E$17:E70)=D$10,F70,D$10-SUM(E$17:E70))</f>
        <v>0</v>
      </c>
      <c r="E71" s="56">
        <f>IF(+I14&lt;F70,I14,D71)</f>
        <v>0</v>
      </c>
      <c r="F71" s="55">
        <f t="shared" si="7"/>
        <v>0</v>
      </c>
      <c r="G71" s="58">
        <f t="shared" si="0"/>
        <v>0</v>
      </c>
      <c r="H71" s="41">
        <f t="shared" si="1"/>
        <v>0</v>
      </c>
      <c r="I71" s="52">
        <f t="shared" si="2"/>
        <v>0</v>
      </c>
      <c r="J71" s="52"/>
      <c r="K71" s="129"/>
      <c r="L71" s="54">
        <f t="shared" si="8"/>
        <v>0</v>
      </c>
      <c r="M71" s="129"/>
      <c r="N71" s="54">
        <f t="shared" si="9"/>
        <v>0</v>
      </c>
      <c r="O71" s="54">
        <f t="shared" si="10"/>
        <v>0</v>
      </c>
      <c r="P71" s="1"/>
    </row>
    <row r="72" spans="2:16" ht="13" thickBot="1">
      <c r="B72" s="7" t="str">
        <f t="shared" si="11"/>
        <v/>
      </c>
      <c r="C72" s="59">
        <f>IF(D11="","-",+C71+1)</f>
        <v>2079</v>
      </c>
      <c r="D72" s="60">
        <f>IF(F71+SUM(E$17:E71)=D$10,F71,D$10-SUM(E$17:E71))</f>
        <v>0</v>
      </c>
      <c r="E72" s="61">
        <f>IF(+I14&lt;F71,I14,D72)</f>
        <v>0</v>
      </c>
      <c r="F72" s="60">
        <f t="shared" si="7"/>
        <v>0</v>
      </c>
      <c r="G72" s="62">
        <f t="shared" si="0"/>
        <v>0</v>
      </c>
      <c r="H72" s="28">
        <f t="shared" si="1"/>
        <v>0</v>
      </c>
      <c r="I72" s="63">
        <f t="shared" si="2"/>
        <v>0</v>
      </c>
      <c r="J72" s="52"/>
      <c r="K72" s="130"/>
      <c r="L72" s="64">
        <f t="shared" si="8"/>
        <v>0</v>
      </c>
      <c r="M72" s="130"/>
      <c r="N72" s="64">
        <f t="shared" si="9"/>
        <v>0</v>
      </c>
      <c r="O72" s="64">
        <f t="shared" si="10"/>
        <v>0</v>
      </c>
      <c r="P72" s="1"/>
    </row>
    <row r="73" spans="2:16" ht="12.5">
      <c r="C73" s="12" t="s">
        <v>78</v>
      </c>
      <c r="D73" s="15"/>
      <c r="E73" s="15">
        <f>SUM(E17:E72)</f>
        <v>0</v>
      </c>
      <c r="F73" s="15"/>
      <c r="G73" s="15">
        <f>SUM(G17:G72)</f>
        <v>0</v>
      </c>
      <c r="H73" s="15">
        <f>SUM(H17:H72)</f>
        <v>0</v>
      </c>
      <c r="I73" s="15">
        <f>SUM(I17:I72)</f>
        <v>0</v>
      </c>
      <c r="J73" s="15"/>
      <c r="K73" s="15"/>
      <c r="L73" s="15"/>
      <c r="M73" s="15"/>
      <c r="N73" s="15"/>
      <c r="O73" s="1"/>
      <c r="P73" s="1"/>
    </row>
    <row r="74" spans="2:16" ht="12.5">
      <c r="D74" s="2"/>
      <c r="E74" s="1"/>
      <c r="F74" s="1"/>
      <c r="G74" s="1"/>
      <c r="H74" s="3"/>
      <c r="I74" s="3"/>
      <c r="J74" s="15"/>
      <c r="K74" s="3"/>
      <c r="L74" s="3"/>
      <c r="M74" s="3"/>
      <c r="N74" s="3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3"/>
      <c r="I75" s="3"/>
      <c r="J75" s="15"/>
      <c r="K75" s="3"/>
      <c r="L75" s="3"/>
      <c r="M75" s="3"/>
      <c r="N75" s="3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3"/>
      <c r="I76" s="3"/>
      <c r="J76" s="15"/>
      <c r="K76" s="3"/>
      <c r="L76" s="3"/>
      <c r="M76" s="3"/>
      <c r="N76" s="3"/>
      <c r="O76" s="1"/>
      <c r="P76" s="1"/>
    </row>
    <row r="77" spans="2:16" ht="13">
      <c r="C77" s="25" t="s">
        <v>80</v>
      </c>
      <c r="D77" s="12"/>
      <c r="E77" s="12"/>
      <c r="F77" s="12"/>
      <c r="G77" s="15"/>
      <c r="H77" s="15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15"/>
      <c r="H78" s="15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3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3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3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3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3"/>
      <c r="L83" s="14"/>
      <c r="M83" s="14"/>
      <c r="P83" s="14" t="str">
        <f ca="1">P1</f>
        <v>SWEPCO Project 76 of 77</v>
      </c>
    </row>
    <row r="84" spans="1:16" ht="17.5">
      <c r="B84" s="1"/>
      <c r="C84" s="1"/>
      <c r="D84" s="2"/>
      <c r="E84" s="1"/>
      <c r="F84" s="1"/>
      <c r="G84" s="1"/>
      <c r="H84" s="1"/>
      <c r="I84" s="3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3"/>
      <c r="J85" s="3"/>
      <c r="K85" s="15"/>
      <c r="L85" s="3"/>
      <c r="M85" s="3"/>
      <c r="N85" s="3"/>
      <c r="O85" s="15"/>
      <c r="P85" s="1"/>
    </row>
    <row r="86" spans="1:16" ht="16" thickBot="1">
      <c r="C86" s="9"/>
      <c r="D86" s="2"/>
      <c r="E86" s="1"/>
      <c r="F86" s="1"/>
      <c r="G86" s="1"/>
      <c r="H86" s="1"/>
      <c r="I86" s="3"/>
      <c r="J86" s="3"/>
      <c r="K86" s="15"/>
      <c r="L86" s="120">
        <f>+J92</f>
        <v>2024</v>
      </c>
      <c r="M86" s="121" t="s">
        <v>9</v>
      </c>
      <c r="N86" s="125" t="s">
        <v>159</v>
      </c>
      <c r="O86" s="122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17"/>
      <c r="I87" s="1" t="s">
        <v>47</v>
      </c>
      <c r="J87" s="1"/>
      <c r="K87" s="116"/>
      <c r="L87" s="114" t="s">
        <v>394</v>
      </c>
      <c r="M87" s="68">
        <f>IF(J92&lt;D11,0,VLOOKUP(J92,C17:O72,9))</f>
        <v>0</v>
      </c>
      <c r="N87" s="68">
        <f>IF(J92&lt;D11,0,VLOOKUP(J92,C17:O72,11))</f>
        <v>0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21"/>
      <c r="J88" s="21"/>
      <c r="K88" s="118"/>
      <c r="L88" s="119" t="s">
        <v>395</v>
      </c>
      <c r="M88" s="70">
        <f>IF(J92&lt;D11,0,VLOOKUP(J92,C99:P154,6))</f>
        <v>780966.92014854506</v>
      </c>
      <c r="N88" s="70">
        <f>IF(J92&lt;D11,0,VLOOKUP(J92,C99:P154,7))</f>
        <v>780966.92014854506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Shreveport - Wallace Lake 138 kV Rebuild</v>
      </c>
      <c r="E89" s="1"/>
      <c r="F89" s="1"/>
      <c r="G89" s="1"/>
      <c r="H89" s="1"/>
      <c r="I89" s="3"/>
      <c r="J89" s="3"/>
      <c r="K89" s="117"/>
      <c r="L89" s="115" t="s">
        <v>156</v>
      </c>
      <c r="M89" s="73">
        <f>+M88-M87</f>
        <v>780966.92014854506</v>
      </c>
      <c r="N89" s="73">
        <f>+N88-N87</f>
        <v>780966.92014854506</v>
      </c>
      <c r="O89" s="74">
        <f>+O88-O87</f>
        <v>0</v>
      </c>
      <c r="P89" s="1"/>
    </row>
    <row r="90" spans="1:16" ht="13.5" thickBot="1">
      <c r="C90" s="29"/>
      <c r="D90" s="66" t="str">
        <f>D8</f>
        <v>DOES NOT MEET SPP $100,000 MINIMUM INVESTMENT FOR REGIONAL BPU SHARING.</v>
      </c>
      <c r="E90" s="12"/>
      <c r="F90" s="12"/>
      <c r="G90" s="12"/>
      <c r="H90" s="11"/>
      <c r="I90" s="3"/>
      <c r="J90" s="3"/>
      <c r="K90" s="15"/>
      <c r="L90" s="3"/>
      <c r="M90" s="3"/>
      <c r="N90" s="3"/>
      <c r="O90" s="15"/>
      <c r="P90" s="1"/>
    </row>
    <row r="91" spans="1:16" ht="13.5" thickBot="1">
      <c r="C91" s="75" t="s">
        <v>85</v>
      </c>
      <c r="D91" s="91" t="str">
        <f>+D9</f>
        <v>TP2020102</v>
      </c>
      <c r="E91" s="76" t="str">
        <f>E9</f>
        <v>SPP Project ID = 81687</v>
      </c>
      <c r="F91" s="76"/>
      <c r="G91" s="76"/>
      <c r="H91" s="76"/>
      <c r="I91" s="76"/>
      <c r="J91" s="76"/>
    </row>
    <row r="92" spans="1:16" ht="13">
      <c r="C92" s="34" t="s">
        <v>51</v>
      </c>
      <c r="D92" s="87">
        <v>12542999.67</v>
      </c>
      <c r="E92" s="1" t="s">
        <v>86</v>
      </c>
      <c r="H92" s="2"/>
      <c r="I92" s="2"/>
      <c r="J92" s="36">
        <f>+'SWE.WS.G.BPU.ATRR.True-up'!M16</f>
        <v>2024</v>
      </c>
      <c r="K92" s="33"/>
      <c r="L92" s="15" t="s">
        <v>87</v>
      </c>
      <c r="P92" s="1"/>
    </row>
    <row r="93" spans="1:16" ht="12.5">
      <c r="C93" s="34" t="s">
        <v>54</v>
      </c>
      <c r="D93" s="88">
        <v>2024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87">
        <v>12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15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28">
        <f>IF(D92=0,0,D92/D95)</f>
        <v>285068.17431818182</v>
      </c>
      <c r="K96" s="15"/>
      <c r="L96" s="15"/>
      <c r="M96" s="15"/>
      <c r="N96" s="15"/>
      <c r="O96" s="15"/>
      <c r="P96" s="1"/>
    </row>
    <row r="97" spans="1:16" ht="39">
      <c r="A97" s="5"/>
      <c r="B97" s="5"/>
      <c r="C97" s="79" t="s">
        <v>51</v>
      </c>
      <c r="D97" s="80" t="s">
        <v>65</v>
      </c>
      <c r="E97" s="45" t="s">
        <v>66</v>
      </c>
      <c r="F97" s="45" t="s">
        <v>67</v>
      </c>
      <c r="G97" s="43" t="s">
        <v>89</v>
      </c>
      <c r="H97" s="157" t="s">
        <v>391</v>
      </c>
      <c r="I97" s="158" t="s">
        <v>392</v>
      </c>
      <c r="J97" s="79" t="s">
        <v>90</v>
      </c>
      <c r="K97" s="81"/>
      <c r="L97" s="126" t="s">
        <v>228</v>
      </c>
      <c r="M97" s="45" t="s">
        <v>91</v>
      </c>
      <c r="N97" s="126" t="s">
        <v>228</v>
      </c>
      <c r="O97" s="45" t="s">
        <v>91</v>
      </c>
      <c r="P97" s="45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110" t="s">
        <v>74</v>
      </c>
      <c r="I98" s="47" t="s">
        <v>75</v>
      </c>
      <c r="J98" s="46" t="s">
        <v>94</v>
      </c>
      <c r="K98" s="44"/>
      <c r="L98" s="48" t="s">
        <v>77</v>
      </c>
      <c r="M98" s="48" t="s">
        <v>77</v>
      </c>
      <c r="N98" s="48" t="s">
        <v>95</v>
      </c>
      <c r="O98" s="48" t="s">
        <v>95</v>
      </c>
      <c r="P98" s="48" t="s">
        <v>95</v>
      </c>
    </row>
    <row r="99" spans="1:16" ht="12.5">
      <c r="C99" s="50">
        <f>IF(D93= "","-",D93)</f>
        <v>2024</v>
      </c>
      <c r="D99" s="12">
        <f>IF(D93=C99,0,D92)</f>
        <v>0</v>
      </c>
      <c r="E99" s="57">
        <f>IF(D11=I10,0,J96/12*(12-D94))</f>
        <v>0</v>
      </c>
      <c r="F99" s="55">
        <f>IF(D93=C99,+D92-E99,+D99-E99)</f>
        <v>12542999.67</v>
      </c>
      <c r="G99" s="83">
        <f t="shared" ref="G99:G154" si="12">+(F99+D99)/2</f>
        <v>6271499.835</v>
      </c>
      <c r="H99" s="106">
        <f>+J94*G99+E99</f>
        <v>780966.92014854506</v>
      </c>
      <c r="I99" s="107">
        <f>+J95*G99+E99</f>
        <v>780966.92014854506</v>
      </c>
      <c r="J99" s="54">
        <f t="shared" ref="J99:J130" si="13">+I99-H99</f>
        <v>0</v>
      </c>
      <c r="K99" s="54"/>
      <c r="L99" s="128"/>
      <c r="M99" s="53">
        <f t="shared" ref="M99:M130" si="14">IF(L99&lt;&gt;0,+H99-L99,0)</f>
        <v>0</v>
      </c>
      <c r="N99" s="128"/>
      <c r="O99" s="53">
        <f t="shared" ref="O99:O130" si="15">IF(N99&lt;&gt;0,+I99-N99,0)</f>
        <v>0</v>
      </c>
      <c r="P99" s="53">
        <f t="shared" ref="P99:P130" si="16">+O99-M99</f>
        <v>0</v>
      </c>
    </row>
    <row r="100" spans="1:16" ht="12.5">
      <c r="B100" s="7" t="str">
        <f>IF(D100=F99,"","IU")</f>
        <v/>
      </c>
      <c r="C100" s="50">
        <f>IF(D93="","-",+C99+1)</f>
        <v>2025</v>
      </c>
      <c r="D100" s="12">
        <f>IF(F99+SUM(E$99:E99)=D$92,F99,D$92-SUM(E$99:E99))</f>
        <v>12542999.67</v>
      </c>
      <c r="E100" s="56">
        <f>IF(+J96&lt;F99,J96,D100)</f>
        <v>285068.17431818182</v>
      </c>
      <c r="F100" s="55">
        <f t="shared" ref="F100:F154" si="17">+D100-E100</f>
        <v>12257931.495681819</v>
      </c>
      <c r="G100" s="55">
        <f t="shared" si="12"/>
        <v>12400465.582840908</v>
      </c>
      <c r="H100" s="58">
        <f t="shared" ref="H100:H154" si="18">+J$94*G100+E100</f>
        <v>1829252.7664300776</v>
      </c>
      <c r="I100" s="108">
        <f t="shared" ref="I100:I154" si="19">+J$95*G100+E100</f>
        <v>1829252.7664300776</v>
      </c>
      <c r="J100" s="54">
        <f t="shared" si="13"/>
        <v>0</v>
      </c>
      <c r="K100" s="54"/>
      <c r="L100" s="129"/>
      <c r="M100" s="54">
        <f t="shared" si="14"/>
        <v>0</v>
      </c>
      <c r="N100" s="129"/>
      <c r="O100" s="54">
        <f t="shared" si="15"/>
        <v>0</v>
      </c>
      <c r="P100" s="54">
        <f t="shared" si="16"/>
        <v>0</v>
      </c>
    </row>
    <row r="101" spans="1:16" ht="12.5">
      <c r="B101" s="7" t="str">
        <f t="shared" ref="B101:B154" si="20">IF(D101=F100,"","IU")</f>
        <v/>
      </c>
      <c r="C101" s="50">
        <f>IF(D93="","-",+C100+1)</f>
        <v>2026</v>
      </c>
      <c r="D101" s="12">
        <f>IF(F100+SUM(E$99:E100)=D$92,F100,D$92-SUM(E$99:E100))</f>
        <v>12257931.495681819</v>
      </c>
      <c r="E101" s="56">
        <f>IF(+J96&lt;F100,J96,D101)</f>
        <v>285068.17431818182</v>
      </c>
      <c r="F101" s="55">
        <f t="shared" si="17"/>
        <v>11972863.321363637</v>
      </c>
      <c r="G101" s="55">
        <f t="shared" si="12"/>
        <v>12115397.408522729</v>
      </c>
      <c r="H101" s="58">
        <f t="shared" si="18"/>
        <v>1793754.2700596894</v>
      </c>
      <c r="I101" s="108">
        <f t="shared" si="19"/>
        <v>1793754.2700596894</v>
      </c>
      <c r="J101" s="54">
        <f t="shared" si="13"/>
        <v>0</v>
      </c>
      <c r="K101" s="54"/>
      <c r="L101" s="129"/>
      <c r="M101" s="54">
        <f t="shared" si="14"/>
        <v>0</v>
      </c>
      <c r="N101" s="129"/>
      <c r="O101" s="54">
        <f t="shared" si="15"/>
        <v>0</v>
      </c>
      <c r="P101" s="54">
        <f t="shared" si="16"/>
        <v>0</v>
      </c>
    </row>
    <row r="102" spans="1:16" ht="12.5">
      <c r="B102" s="7" t="str">
        <f t="shared" si="20"/>
        <v/>
      </c>
      <c r="C102" s="50">
        <f>IF(D93="","-",+C101+1)</f>
        <v>2027</v>
      </c>
      <c r="D102" s="12">
        <f>IF(F101+SUM(E$99:E101)=D$92,F101,D$92-SUM(E$99:E101))</f>
        <v>11972863.321363637</v>
      </c>
      <c r="E102" s="56">
        <f>IF(+J96&lt;F101,J96,D102)</f>
        <v>285068.17431818182</v>
      </c>
      <c r="F102" s="55">
        <f t="shared" si="17"/>
        <v>11687795.147045456</v>
      </c>
      <c r="G102" s="55">
        <f t="shared" si="12"/>
        <v>11830329.234204546</v>
      </c>
      <c r="H102" s="58">
        <f t="shared" si="18"/>
        <v>1758255.7736893008</v>
      </c>
      <c r="I102" s="108">
        <f t="shared" si="19"/>
        <v>1758255.7736893008</v>
      </c>
      <c r="J102" s="54">
        <f t="shared" si="13"/>
        <v>0</v>
      </c>
      <c r="K102" s="54"/>
      <c r="L102" s="129"/>
      <c r="M102" s="54">
        <f t="shared" si="14"/>
        <v>0</v>
      </c>
      <c r="N102" s="129"/>
      <c r="O102" s="54">
        <f t="shared" si="15"/>
        <v>0</v>
      </c>
      <c r="P102" s="54">
        <f t="shared" si="16"/>
        <v>0</v>
      </c>
    </row>
    <row r="103" spans="1:16" ht="12.5">
      <c r="B103" s="7" t="str">
        <f t="shared" si="20"/>
        <v/>
      </c>
      <c r="C103" s="50">
        <f>IF(D93="","-",+C102+1)</f>
        <v>2028</v>
      </c>
      <c r="D103" s="12">
        <f>IF(F102+SUM(E$99:E102)=D$92,F102,D$92-SUM(E$99:E102))</f>
        <v>11687795.147045456</v>
      </c>
      <c r="E103" s="56">
        <f>IF(+J96&lt;F102,J96,D103)</f>
        <v>285068.17431818182</v>
      </c>
      <c r="F103" s="55">
        <f t="shared" si="17"/>
        <v>11402726.972727275</v>
      </c>
      <c r="G103" s="55">
        <f t="shared" si="12"/>
        <v>11545261.059886366</v>
      </c>
      <c r="H103" s="58">
        <f t="shared" si="18"/>
        <v>1722757.2773189128</v>
      </c>
      <c r="I103" s="108">
        <f t="shared" si="19"/>
        <v>1722757.2773189128</v>
      </c>
      <c r="J103" s="54">
        <f t="shared" si="13"/>
        <v>0</v>
      </c>
      <c r="K103" s="54"/>
      <c r="L103" s="129"/>
      <c r="M103" s="54">
        <f t="shared" si="14"/>
        <v>0</v>
      </c>
      <c r="N103" s="129"/>
      <c r="O103" s="54">
        <f t="shared" si="15"/>
        <v>0</v>
      </c>
      <c r="P103" s="54">
        <f t="shared" si="16"/>
        <v>0</v>
      </c>
    </row>
    <row r="104" spans="1:16" ht="12.5">
      <c r="B104" s="7" t="str">
        <f t="shared" si="20"/>
        <v/>
      </c>
      <c r="C104" s="50">
        <f>IF(D93="","-",+C103+1)</f>
        <v>2029</v>
      </c>
      <c r="D104" s="12">
        <f>IF(F103+SUM(E$99:E103)=D$92,F103,D$92-SUM(E$99:E103))</f>
        <v>11402726.972727275</v>
      </c>
      <c r="E104" s="56">
        <f>IF(+J96&lt;F103,J96,D104)</f>
        <v>285068.17431818182</v>
      </c>
      <c r="F104" s="55">
        <f t="shared" si="17"/>
        <v>11117658.798409093</v>
      </c>
      <c r="G104" s="55">
        <f t="shared" si="12"/>
        <v>11260192.885568183</v>
      </c>
      <c r="H104" s="58">
        <f t="shared" si="18"/>
        <v>1687258.7809485241</v>
      </c>
      <c r="I104" s="108">
        <f t="shared" si="19"/>
        <v>1687258.7809485241</v>
      </c>
      <c r="J104" s="54">
        <f t="shared" si="13"/>
        <v>0</v>
      </c>
      <c r="K104" s="54"/>
      <c r="L104" s="129"/>
      <c r="M104" s="54">
        <f t="shared" si="14"/>
        <v>0</v>
      </c>
      <c r="N104" s="129"/>
      <c r="O104" s="54">
        <f t="shared" si="15"/>
        <v>0</v>
      </c>
      <c r="P104" s="54">
        <f t="shared" si="16"/>
        <v>0</v>
      </c>
    </row>
    <row r="105" spans="1:16" ht="12.5">
      <c r="B105" s="7" t="str">
        <f t="shared" si="20"/>
        <v/>
      </c>
      <c r="C105" s="50">
        <f>IF(D93="","-",+C104+1)</f>
        <v>2030</v>
      </c>
      <c r="D105" s="12">
        <f>IF(F104+SUM(E$99:E104)=D$92,F104,D$92-SUM(E$99:E104))</f>
        <v>11117658.798409093</v>
      </c>
      <c r="E105" s="56">
        <f>IF(+J96&lt;F104,J96,D105)</f>
        <v>285068.17431818182</v>
      </c>
      <c r="F105" s="55">
        <f t="shared" si="17"/>
        <v>10832590.624090912</v>
      </c>
      <c r="G105" s="55">
        <f t="shared" si="12"/>
        <v>10975124.711250003</v>
      </c>
      <c r="H105" s="58">
        <f t="shared" si="18"/>
        <v>1651760.2845781359</v>
      </c>
      <c r="I105" s="108">
        <f t="shared" si="19"/>
        <v>1651760.2845781359</v>
      </c>
      <c r="J105" s="54">
        <f t="shared" si="13"/>
        <v>0</v>
      </c>
      <c r="K105" s="54"/>
      <c r="L105" s="129"/>
      <c r="M105" s="54">
        <f t="shared" si="14"/>
        <v>0</v>
      </c>
      <c r="N105" s="129"/>
      <c r="O105" s="54">
        <f t="shared" si="15"/>
        <v>0</v>
      </c>
      <c r="P105" s="54">
        <f t="shared" si="16"/>
        <v>0</v>
      </c>
    </row>
    <row r="106" spans="1:16" ht="12.5">
      <c r="B106" s="7" t="str">
        <f t="shared" si="20"/>
        <v/>
      </c>
      <c r="C106" s="50">
        <f>IF(D93="","-",+C105+1)</f>
        <v>2031</v>
      </c>
      <c r="D106" s="12">
        <f>IF(F105+SUM(E$99:E105)=D$92,F105,D$92-SUM(E$99:E105))</f>
        <v>10832590.624090912</v>
      </c>
      <c r="E106" s="56">
        <f>IF(+J96&lt;F105,J96,D106)</f>
        <v>285068.17431818182</v>
      </c>
      <c r="F106" s="55">
        <f t="shared" si="17"/>
        <v>10547522.44977273</v>
      </c>
      <c r="G106" s="55">
        <f t="shared" si="12"/>
        <v>10690056.53693182</v>
      </c>
      <c r="H106" s="58">
        <f t="shared" si="18"/>
        <v>1616261.7882077475</v>
      </c>
      <c r="I106" s="108">
        <f t="shared" si="19"/>
        <v>1616261.7882077475</v>
      </c>
      <c r="J106" s="54">
        <f t="shared" si="13"/>
        <v>0</v>
      </c>
      <c r="K106" s="54"/>
      <c r="L106" s="129"/>
      <c r="M106" s="54">
        <f t="shared" si="14"/>
        <v>0</v>
      </c>
      <c r="N106" s="129"/>
      <c r="O106" s="54">
        <f t="shared" si="15"/>
        <v>0</v>
      </c>
      <c r="P106" s="54">
        <f t="shared" si="16"/>
        <v>0</v>
      </c>
    </row>
    <row r="107" spans="1:16" ht="12.5">
      <c r="B107" s="7" t="str">
        <f t="shared" si="20"/>
        <v/>
      </c>
      <c r="C107" s="50">
        <f>IF(D93="","-",+C106+1)</f>
        <v>2032</v>
      </c>
      <c r="D107" s="12">
        <f>IF(F106+SUM(E$99:E106)=D$92,F106,D$92-SUM(E$99:E106))</f>
        <v>10547522.44977273</v>
      </c>
      <c r="E107" s="56">
        <f>IF(+J96&lt;F106,J96,D107)</f>
        <v>285068.17431818182</v>
      </c>
      <c r="F107" s="55">
        <f t="shared" si="17"/>
        <v>10262454.275454549</v>
      </c>
      <c r="G107" s="55">
        <f t="shared" si="12"/>
        <v>10404988.362613641</v>
      </c>
      <c r="H107" s="58">
        <f t="shared" si="18"/>
        <v>1580763.2918373593</v>
      </c>
      <c r="I107" s="108">
        <f t="shared" si="19"/>
        <v>1580763.2918373593</v>
      </c>
      <c r="J107" s="54">
        <f t="shared" si="13"/>
        <v>0</v>
      </c>
      <c r="K107" s="54"/>
      <c r="L107" s="129"/>
      <c r="M107" s="54">
        <f t="shared" si="14"/>
        <v>0</v>
      </c>
      <c r="N107" s="129"/>
      <c r="O107" s="54">
        <f t="shared" si="15"/>
        <v>0</v>
      </c>
      <c r="P107" s="54">
        <f t="shared" si="16"/>
        <v>0</v>
      </c>
    </row>
    <row r="108" spans="1:16" ht="12.5">
      <c r="B108" s="7" t="str">
        <f t="shared" si="20"/>
        <v/>
      </c>
      <c r="C108" s="50">
        <f>IF(D93="","-",+C107+1)</f>
        <v>2033</v>
      </c>
      <c r="D108" s="12">
        <f>IF(F107+SUM(E$99:E107)=D$92,F107,D$92-SUM(E$99:E107))</f>
        <v>10262454.275454549</v>
      </c>
      <c r="E108" s="56">
        <f>IF(+J96&lt;F107,J96,D108)</f>
        <v>285068.17431818182</v>
      </c>
      <c r="F108" s="55">
        <f t="shared" si="17"/>
        <v>9977386.1011363678</v>
      </c>
      <c r="G108" s="55">
        <f t="shared" si="12"/>
        <v>10119920.188295458</v>
      </c>
      <c r="H108" s="58">
        <f t="shared" si="18"/>
        <v>1545264.7954669707</v>
      </c>
      <c r="I108" s="108">
        <f t="shared" si="19"/>
        <v>1545264.7954669707</v>
      </c>
      <c r="J108" s="54">
        <f t="shared" si="13"/>
        <v>0</v>
      </c>
      <c r="K108" s="54"/>
      <c r="L108" s="129"/>
      <c r="M108" s="54">
        <f t="shared" si="14"/>
        <v>0</v>
      </c>
      <c r="N108" s="129"/>
      <c r="O108" s="54">
        <f t="shared" si="15"/>
        <v>0</v>
      </c>
      <c r="P108" s="54">
        <f t="shared" si="16"/>
        <v>0</v>
      </c>
    </row>
    <row r="109" spans="1:16" ht="12.5">
      <c r="B109" s="7" t="str">
        <f t="shared" si="20"/>
        <v/>
      </c>
      <c r="C109" s="50">
        <f>IF(D93="","-",+C108+1)</f>
        <v>2034</v>
      </c>
      <c r="D109" s="12">
        <f>IF(F108+SUM(E$99:E108)=D$92,F108,D$92-SUM(E$99:E108))</f>
        <v>9977386.1011363678</v>
      </c>
      <c r="E109" s="56">
        <f>IF(+J96&lt;F108,J96,D109)</f>
        <v>285068.17431818182</v>
      </c>
      <c r="F109" s="55">
        <f t="shared" si="17"/>
        <v>9692317.9268181864</v>
      </c>
      <c r="G109" s="55">
        <f t="shared" si="12"/>
        <v>9834852.013977278</v>
      </c>
      <c r="H109" s="58">
        <f t="shared" si="18"/>
        <v>1509766.2990965827</v>
      </c>
      <c r="I109" s="108">
        <f t="shared" si="19"/>
        <v>1509766.2990965827</v>
      </c>
      <c r="J109" s="54">
        <f t="shared" si="13"/>
        <v>0</v>
      </c>
      <c r="K109" s="54"/>
      <c r="L109" s="129"/>
      <c r="M109" s="54">
        <f t="shared" si="14"/>
        <v>0</v>
      </c>
      <c r="N109" s="129"/>
      <c r="O109" s="54">
        <f t="shared" si="15"/>
        <v>0</v>
      </c>
      <c r="P109" s="54">
        <f t="shared" si="16"/>
        <v>0</v>
      </c>
    </row>
    <row r="110" spans="1:16" ht="12.5">
      <c r="B110" s="7" t="str">
        <f t="shared" si="20"/>
        <v/>
      </c>
      <c r="C110" s="50">
        <f>IF(D93="","-",+C109+1)</f>
        <v>2035</v>
      </c>
      <c r="D110" s="12">
        <f>IF(F109+SUM(E$99:E109)=D$92,F109,D$92-SUM(E$99:E109))</f>
        <v>9692317.9268181864</v>
      </c>
      <c r="E110" s="56">
        <f>IF(+J96&lt;F109,J96,D110)</f>
        <v>285068.17431818182</v>
      </c>
      <c r="F110" s="55">
        <f t="shared" si="17"/>
        <v>9407249.7525000051</v>
      </c>
      <c r="G110" s="55">
        <f t="shared" si="12"/>
        <v>9549783.8396590948</v>
      </c>
      <c r="H110" s="58">
        <f t="shared" si="18"/>
        <v>1474267.802726194</v>
      </c>
      <c r="I110" s="108">
        <f t="shared" si="19"/>
        <v>1474267.802726194</v>
      </c>
      <c r="J110" s="54">
        <f t="shared" si="13"/>
        <v>0</v>
      </c>
      <c r="K110" s="54"/>
      <c r="L110" s="129"/>
      <c r="M110" s="54">
        <f t="shared" si="14"/>
        <v>0</v>
      </c>
      <c r="N110" s="129"/>
      <c r="O110" s="54">
        <f t="shared" si="15"/>
        <v>0</v>
      </c>
      <c r="P110" s="54">
        <f t="shared" si="16"/>
        <v>0</v>
      </c>
    </row>
    <row r="111" spans="1:16" ht="12.5">
      <c r="B111" s="7" t="str">
        <f t="shared" si="20"/>
        <v/>
      </c>
      <c r="C111" s="50">
        <f>IF(D93="","-",+C110+1)</f>
        <v>2036</v>
      </c>
      <c r="D111" s="12">
        <f>IF(F110+SUM(E$99:E110)=D$92,F110,D$92-SUM(E$99:E110))</f>
        <v>9407249.7525000051</v>
      </c>
      <c r="E111" s="56">
        <f>IF(+J96&lt;F110,J96,D111)</f>
        <v>285068.17431818182</v>
      </c>
      <c r="F111" s="55">
        <f t="shared" si="17"/>
        <v>9122181.5781818237</v>
      </c>
      <c r="G111" s="55">
        <f t="shared" si="12"/>
        <v>9264715.6653409153</v>
      </c>
      <c r="H111" s="58">
        <f t="shared" si="18"/>
        <v>1438769.3063558058</v>
      </c>
      <c r="I111" s="108">
        <f t="shared" si="19"/>
        <v>1438769.3063558058</v>
      </c>
      <c r="J111" s="54">
        <f t="shared" si="13"/>
        <v>0</v>
      </c>
      <c r="K111" s="54"/>
      <c r="L111" s="129"/>
      <c r="M111" s="54">
        <f t="shared" si="14"/>
        <v>0</v>
      </c>
      <c r="N111" s="129"/>
      <c r="O111" s="54">
        <f t="shared" si="15"/>
        <v>0</v>
      </c>
      <c r="P111" s="54">
        <f t="shared" si="16"/>
        <v>0</v>
      </c>
    </row>
    <row r="112" spans="1:16" ht="12.5">
      <c r="B112" s="7" t="str">
        <f t="shared" si="20"/>
        <v/>
      </c>
      <c r="C112" s="50">
        <f>IF(D93="","-",+C111+1)</f>
        <v>2037</v>
      </c>
      <c r="D112" s="12">
        <f>IF(F111+SUM(E$99:E111)=D$92,F111,D$92-SUM(E$99:E111))</f>
        <v>9122181.5781818237</v>
      </c>
      <c r="E112" s="56">
        <f>IF(+J96&lt;F111,J96,D112)</f>
        <v>285068.17431818182</v>
      </c>
      <c r="F112" s="55">
        <f t="shared" si="17"/>
        <v>8837113.4038636424</v>
      </c>
      <c r="G112" s="55">
        <f t="shared" si="12"/>
        <v>8979647.4910227321</v>
      </c>
      <c r="H112" s="58">
        <f t="shared" si="18"/>
        <v>1403270.8099854174</v>
      </c>
      <c r="I112" s="108">
        <f t="shared" si="19"/>
        <v>1403270.8099854174</v>
      </c>
      <c r="J112" s="54">
        <f t="shared" si="13"/>
        <v>0</v>
      </c>
      <c r="K112" s="54"/>
      <c r="L112" s="129"/>
      <c r="M112" s="54">
        <f t="shared" si="14"/>
        <v>0</v>
      </c>
      <c r="N112" s="129"/>
      <c r="O112" s="54">
        <f t="shared" si="15"/>
        <v>0</v>
      </c>
      <c r="P112" s="54">
        <f t="shared" si="16"/>
        <v>0</v>
      </c>
    </row>
    <row r="113" spans="2:16" ht="12.5">
      <c r="B113" s="7" t="str">
        <f t="shared" si="20"/>
        <v/>
      </c>
      <c r="C113" s="50">
        <f>IF(D93="","-",+C112+1)</f>
        <v>2038</v>
      </c>
      <c r="D113" s="12">
        <f>IF(F112+SUM(E$99:E112)=D$92,F112,D$92-SUM(E$99:E112))</f>
        <v>8837113.4038636424</v>
      </c>
      <c r="E113" s="56">
        <f>IF(+J96&lt;F112,J96,D113)</f>
        <v>285068.17431818182</v>
      </c>
      <c r="F113" s="55">
        <f t="shared" si="17"/>
        <v>8552045.229545461</v>
      </c>
      <c r="G113" s="55">
        <f t="shared" si="12"/>
        <v>8694579.3167045526</v>
      </c>
      <c r="H113" s="58">
        <f t="shared" si="18"/>
        <v>1367772.3136150292</v>
      </c>
      <c r="I113" s="108">
        <f t="shared" si="19"/>
        <v>1367772.3136150292</v>
      </c>
      <c r="J113" s="54">
        <f t="shared" si="13"/>
        <v>0</v>
      </c>
      <c r="K113" s="54"/>
      <c r="L113" s="129"/>
      <c r="M113" s="54">
        <f t="shared" si="14"/>
        <v>0</v>
      </c>
      <c r="N113" s="129"/>
      <c r="O113" s="54">
        <f t="shared" si="15"/>
        <v>0</v>
      </c>
      <c r="P113" s="54">
        <f t="shared" si="16"/>
        <v>0</v>
      </c>
    </row>
    <row r="114" spans="2:16" ht="12.5">
      <c r="B114" s="7" t="str">
        <f t="shared" si="20"/>
        <v/>
      </c>
      <c r="C114" s="50">
        <f>IF(D93="","-",+C113+1)</f>
        <v>2039</v>
      </c>
      <c r="D114" s="12">
        <f>IF(F113+SUM(E$99:E113)=D$92,F113,D$92-SUM(E$99:E113))</f>
        <v>8552045.229545461</v>
      </c>
      <c r="E114" s="56">
        <f>IF(+J96&lt;F113,J96,D114)</f>
        <v>285068.17431818182</v>
      </c>
      <c r="F114" s="55">
        <f t="shared" si="17"/>
        <v>8266977.0552272797</v>
      </c>
      <c r="G114" s="55">
        <f t="shared" si="12"/>
        <v>8409511.1423863694</v>
      </c>
      <c r="H114" s="58">
        <f t="shared" si="18"/>
        <v>1332273.8172446406</v>
      </c>
      <c r="I114" s="108">
        <f t="shared" si="19"/>
        <v>1332273.8172446406</v>
      </c>
      <c r="J114" s="54">
        <f t="shared" si="13"/>
        <v>0</v>
      </c>
      <c r="K114" s="54"/>
      <c r="L114" s="129"/>
      <c r="M114" s="54">
        <f t="shared" si="14"/>
        <v>0</v>
      </c>
      <c r="N114" s="129"/>
      <c r="O114" s="54">
        <f t="shared" si="15"/>
        <v>0</v>
      </c>
      <c r="P114" s="54">
        <f t="shared" si="16"/>
        <v>0</v>
      </c>
    </row>
    <row r="115" spans="2:16" ht="12.5">
      <c r="B115" s="7" t="str">
        <f t="shared" si="20"/>
        <v/>
      </c>
      <c r="C115" s="50">
        <f>IF(D93="","-",+C114+1)</f>
        <v>2040</v>
      </c>
      <c r="D115" s="12">
        <f>IF(F114+SUM(E$99:E114)=D$92,F114,D$92-SUM(E$99:E114))</f>
        <v>8266977.0552272797</v>
      </c>
      <c r="E115" s="56">
        <f>IF(+J96&lt;F114,J96,D115)</f>
        <v>285068.17431818182</v>
      </c>
      <c r="F115" s="55">
        <f t="shared" si="17"/>
        <v>7981908.8809090983</v>
      </c>
      <c r="G115" s="55">
        <f t="shared" si="12"/>
        <v>8124442.968068189</v>
      </c>
      <c r="H115" s="58">
        <f t="shared" si="18"/>
        <v>1296775.3208742524</v>
      </c>
      <c r="I115" s="108">
        <f t="shared" si="19"/>
        <v>1296775.3208742524</v>
      </c>
      <c r="J115" s="54">
        <f t="shared" si="13"/>
        <v>0</v>
      </c>
      <c r="K115" s="54"/>
      <c r="L115" s="129"/>
      <c r="M115" s="54">
        <f t="shared" si="14"/>
        <v>0</v>
      </c>
      <c r="N115" s="129"/>
      <c r="O115" s="54">
        <f t="shared" si="15"/>
        <v>0</v>
      </c>
      <c r="P115" s="54">
        <f t="shared" si="16"/>
        <v>0</v>
      </c>
    </row>
    <row r="116" spans="2:16" ht="12.5">
      <c r="B116" s="7" t="str">
        <f t="shared" si="20"/>
        <v/>
      </c>
      <c r="C116" s="50">
        <f>IF(D93="","-",+C115+1)</f>
        <v>2041</v>
      </c>
      <c r="D116" s="12">
        <f>IF(F115+SUM(E$99:E115)=D$92,F115,D$92-SUM(E$99:E115))</f>
        <v>7981908.8809090983</v>
      </c>
      <c r="E116" s="56">
        <f>IF(+J96&lt;F115,J96,D116)</f>
        <v>285068.17431818182</v>
      </c>
      <c r="F116" s="55">
        <f t="shared" si="17"/>
        <v>7696840.706590917</v>
      </c>
      <c r="G116" s="55">
        <f t="shared" si="12"/>
        <v>7839374.7937500076</v>
      </c>
      <c r="H116" s="58">
        <f t="shared" si="18"/>
        <v>1261276.8245038642</v>
      </c>
      <c r="I116" s="108">
        <f t="shared" si="19"/>
        <v>1261276.8245038642</v>
      </c>
      <c r="J116" s="54">
        <f t="shared" si="13"/>
        <v>0</v>
      </c>
      <c r="K116" s="54"/>
      <c r="L116" s="129"/>
      <c r="M116" s="54">
        <f t="shared" si="14"/>
        <v>0</v>
      </c>
      <c r="N116" s="129"/>
      <c r="O116" s="54">
        <f t="shared" si="15"/>
        <v>0</v>
      </c>
      <c r="P116" s="54">
        <f t="shared" si="16"/>
        <v>0</v>
      </c>
    </row>
    <row r="117" spans="2:16" ht="12.5">
      <c r="B117" s="7" t="str">
        <f t="shared" si="20"/>
        <v/>
      </c>
      <c r="C117" s="50">
        <f>IF(D93="","-",+C116+1)</f>
        <v>2042</v>
      </c>
      <c r="D117" s="12">
        <f>IF(F116+SUM(E$99:E116)=D$92,F116,D$92-SUM(E$99:E116))</f>
        <v>7696840.706590917</v>
      </c>
      <c r="E117" s="56">
        <f>IF(+J96&lt;F116,J96,D117)</f>
        <v>285068.17431818182</v>
      </c>
      <c r="F117" s="55">
        <f t="shared" si="17"/>
        <v>7411772.5322727356</v>
      </c>
      <c r="G117" s="55">
        <f t="shared" si="12"/>
        <v>7554306.6194318263</v>
      </c>
      <c r="H117" s="58">
        <f t="shared" si="18"/>
        <v>1225778.3281334757</v>
      </c>
      <c r="I117" s="108">
        <f t="shared" si="19"/>
        <v>1225778.3281334757</v>
      </c>
      <c r="J117" s="54">
        <f t="shared" si="13"/>
        <v>0</v>
      </c>
      <c r="K117" s="54"/>
      <c r="L117" s="129"/>
      <c r="M117" s="54">
        <f t="shared" si="14"/>
        <v>0</v>
      </c>
      <c r="N117" s="129"/>
      <c r="O117" s="54">
        <f t="shared" si="15"/>
        <v>0</v>
      </c>
      <c r="P117" s="54">
        <f t="shared" si="16"/>
        <v>0</v>
      </c>
    </row>
    <row r="118" spans="2:16" ht="12.5">
      <c r="B118" s="7" t="str">
        <f t="shared" si="20"/>
        <v/>
      </c>
      <c r="C118" s="50">
        <f>IF(D93="","-",+C117+1)</f>
        <v>2043</v>
      </c>
      <c r="D118" s="12">
        <f>IF(F117+SUM(E$99:E117)=D$92,F117,D$92-SUM(E$99:E117))</f>
        <v>7411772.5322727356</v>
      </c>
      <c r="E118" s="56">
        <f>IF(+J96&lt;F117,J96,D118)</f>
        <v>285068.17431818182</v>
      </c>
      <c r="F118" s="55">
        <f t="shared" si="17"/>
        <v>7126704.3579545543</v>
      </c>
      <c r="G118" s="55">
        <f t="shared" si="12"/>
        <v>7269238.4451136449</v>
      </c>
      <c r="H118" s="58">
        <f t="shared" si="18"/>
        <v>1190279.8317630873</v>
      </c>
      <c r="I118" s="108">
        <f t="shared" si="19"/>
        <v>1190279.8317630873</v>
      </c>
      <c r="J118" s="54">
        <f t="shared" si="13"/>
        <v>0</v>
      </c>
      <c r="K118" s="54"/>
      <c r="L118" s="129"/>
      <c r="M118" s="54">
        <f t="shared" si="14"/>
        <v>0</v>
      </c>
      <c r="N118" s="129"/>
      <c r="O118" s="54">
        <f t="shared" si="15"/>
        <v>0</v>
      </c>
      <c r="P118" s="54">
        <f t="shared" si="16"/>
        <v>0</v>
      </c>
    </row>
    <row r="119" spans="2:16" ht="12.5">
      <c r="B119" s="7" t="str">
        <f t="shared" si="20"/>
        <v/>
      </c>
      <c r="C119" s="50">
        <f>IF(D93="","-",+C118+1)</f>
        <v>2044</v>
      </c>
      <c r="D119" s="12">
        <f>IF(F118+SUM(E$99:E118)=D$92,F118,D$92-SUM(E$99:E118))</f>
        <v>7126704.3579545543</v>
      </c>
      <c r="E119" s="56">
        <f>IF(+J96&lt;F118,J96,D119)</f>
        <v>285068.17431818182</v>
      </c>
      <c r="F119" s="55">
        <f t="shared" si="17"/>
        <v>6841636.1836363729</v>
      </c>
      <c r="G119" s="55">
        <f t="shared" si="12"/>
        <v>6984170.2707954636</v>
      </c>
      <c r="H119" s="58">
        <f t="shared" si="18"/>
        <v>1154781.3353926991</v>
      </c>
      <c r="I119" s="108">
        <f t="shared" si="19"/>
        <v>1154781.3353926991</v>
      </c>
      <c r="J119" s="54">
        <f t="shared" si="13"/>
        <v>0</v>
      </c>
      <c r="K119" s="54"/>
      <c r="L119" s="129"/>
      <c r="M119" s="54">
        <f t="shared" si="14"/>
        <v>0</v>
      </c>
      <c r="N119" s="129"/>
      <c r="O119" s="54">
        <f t="shared" si="15"/>
        <v>0</v>
      </c>
      <c r="P119" s="54">
        <f t="shared" si="16"/>
        <v>0</v>
      </c>
    </row>
    <row r="120" spans="2:16" ht="12.5">
      <c r="B120" s="7" t="str">
        <f t="shared" si="20"/>
        <v/>
      </c>
      <c r="C120" s="50">
        <f>IF(D93="","-",+C119+1)</f>
        <v>2045</v>
      </c>
      <c r="D120" s="12">
        <f>IF(F119+SUM(E$99:E119)=D$92,F119,D$92-SUM(E$99:E119))</f>
        <v>6841636.1836363729</v>
      </c>
      <c r="E120" s="56">
        <f>IF(+J96&lt;F119,J96,D120)</f>
        <v>285068.17431818182</v>
      </c>
      <c r="F120" s="55">
        <f t="shared" si="17"/>
        <v>6556568.0093181916</v>
      </c>
      <c r="G120" s="55">
        <f t="shared" si="12"/>
        <v>6699102.0964772822</v>
      </c>
      <c r="H120" s="58">
        <f t="shared" si="18"/>
        <v>1119282.8390223107</v>
      </c>
      <c r="I120" s="108">
        <f t="shared" si="19"/>
        <v>1119282.8390223107</v>
      </c>
      <c r="J120" s="54">
        <f t="shared" si="13"/>
        <v>0</v>
      </c>
      <c r="K120" s="54"/>
      <c r="L120" s="129"/>
      <c r="M120" s="54">
        <f t="shared" si="14"/>
        <v>0</v>
      </c>
      <c r="N120" s="129"/>
      <c r="O120" s="54">
        <f t="shared" si="15"/>
        <v>0</v>
      </c>
      <c r="P120" s="54">
        <f t="shared" si="16"/>
        <v>0</v>
      </c>
    </row>
    <row r="121" spans="2:16" ht="12.5">
      <c r="B121" s="7" t="str">
        <f t="shared" si="20"/>
        <v/>
      </c>
      <c r="C121" s="50">
        <f>IF(D93="","-",+C120+1)</f>
        <v>2046</v>
      </c>
      <c r="D121" s="12">
        <f>IF(F120+SUM(E$99:E120)=D$92,F120,D$92-SUM(E$99:E120))</f>
        <v>6556568.0093181916</v>
      </c>
      <c r="E121" s="56">
        <f>IF(+J96&lt;F120,J96,D121)</f>
        <v>285068.17431818182</v>
      </c>
      <c r="F121" s="55">
        <f t="shared" si="17"/>
        <v>6271499.8350000102</v>
      </c>
      <c r="G121" s="55">
        <f t="shared" si="12"/>
        <v>6414033.9221591009</v>
      </c>
      <c r="H121" s="58">
        <f t="shared" si="18"/>
        <v>1083784.3426519223</v>
      </c>
      <c r="I121" s="108">
        <f t="shared" si="19"/>
        <v>1083784.3426519223</v>
      </c>
      <c r="J121" s="54">
        <f t="shared" si="13"/>
        <v>0</v>
      </c>
      <c r="K121" s="54"/>
      <c r="L121" s="129"/>
      <c r="M121" s="54">
        <f t="shared" si="14"/>
        <v>0</v>
      </c>
      <c r="N121" s="129"/>
      <c r="O121" s="54">
        <f t="shared" si="15"/>
        <v>0</v>
      </c>
      <c r="P121" s="54">
        <f t="shared" si="16"/>
        <v>0</v>
      </c>
    </row>
    <row r="122" spans="2:16" ht="12.5">
      <c r="B122" s="7" t="str">
        <f t="shared" si="20"/>
        <v/>
      </c>
      <c r="C122" s="50">
        <f>IF(D93="","-",+C121+1)</f>
        <v>2047</v>
      </c>
      <c r="D122" s="12">
        <f>IF(F121+SUM(E$99:E121)=D$92,F121,D$92-SUM(E$99:E121))</f>
        <v>6271499.8350000102</v>
      </c>
      <c r="E122" s="56">
        <f>IF(+J96&lt;F121,J96,D122)</f>
        <v>285068.17431818182</v>
      </c>
      <c r="F122" s="55">
        <f t="shared" si="17"/>
        <v>5986431.6606818289</v>
      </c>
      <c r="G122" s="55">
        <f t="shared" si="12"/>
        <v>6128965.7478409195</v>
      </c>
      <c r="H122" s="58">
        <f t="shared" si="18"/>
        <v>1048285.8462815339</v>
      </c>
      <c r="I122" s="108">
        <f t="shared" si="19"/>
        <v>1048285.8462815339</v>
      </c>
      <c r="J122" s="54">
        <f t="shared" si="13"/>
        <v>0</v>
      </c>
      <c r="K122" s="54"/>
      <c r="L122" s="129"/>
      <c r="M122" s="54">
        <f t="shared" si="14"/>
        <v>0</v>
      </c>
      <c r="N122" s="129"/>
      <c r="O122" s="54">
        <f t="shared" si="15"/>
        <v>0</v>
      </c>
      <c r="P122" s="54">
        <f t="shared" si="16"/>
        <v>0</v>
      </c>
    </row>
    <row r="123" spans="2:16" ht="12.5">
      <c r="B123" s="7" t="str">
        <f t="shared" si="20"/>
        <v/>
      </c>
      <c r="C123" s="50">
        <f>IF(D93="","-",+C122+1)</f>
        <v>2048</v>
      </c>
      <c r="D123" s="12">
        <f>IF(F122+SUM(E$99:E122)=D$92,F122,D$92-SUM(E$99:E122))</f>
        <v>5986431.6606818289</v>
      </c>
      <c r="E123" s="56">
        <f>IF(+J96&lt;F122,J96,D123)</f>
        <v>285068.17431818182</v>
      </c>
      <c r="F123" s="55">
        <f t="shared" si="17"/>
        <v>5701363.4863636475</v>
      </c>
      <c r="G123" s="55">
        <f t="shared" si="12"/>
        <v>5843897.5735227382</v>
      </c>
      <c r="H123" s="58">
        <f t="shared" si="18"/>
        <v>1012787.3499111456</v>
      </c>
      <c r="I123" s="108">
        <f t="shared" si="19"/>
        <v>1012787.3499111456</v>
      </c>
      <c r="J123" s="54">
        <f t="shared" si="13"/>
        <v>0</v>
      </c>
      <c r="K123" s="54"/>
      <c r="L123" s="129"/>
      <c r="M123" s="54">
        <f t="shared" si="14"/>
        <v>0</v>
      </c>
      <c r="N123" s="129"/>
      <c r="O123" s="54">
        <f t="shared" si="15"/>
        <v>0</v>
      </c>
      <c r="P123" s="54">
        <f t="shared" si="16"/>
        <v>0</v>
      </c>
    </row>
    <row r="124" spans="2:16" ht="12.5">
      <c r="B124" s="7" t="str">
        <f t="shared" si="20"/>
        <v/>
      </c>
      <c r="C124" s="50">
        <f>IF(D93="","-",+C123+1)</f>
        <v>2049</v>
      </c>
      <c r="D124" s="12">
        <f>IF(F123+SUM(E$99:E123)=D$92,F123,D$92-SUM(E$99:E123))</f>
        <v>5701363.4863636475</v>
      </c>
      <c r="E124" s="56">
        <f>IF(+J96&lt;F123,J96,D124)</f>
        <v>285068.17431818182</v>
      </c>
      <c r="F124" s="55">
        <f t="shared" si="17"/>
        <v>5416295.3120454662</v>
      </c>
      <c r="G124" s="55">
        <f t="shared" si="12"/>
        <v>5558829.3992045568</v>
      </c>
      <c r="H124" s="58">
        <f t="shared" si="18"/>
        <v>977288.85354075721</v>
      </c>
      <c r="I124" s="108">
        <f t="shared" si="19"/>
        <v>977288.85354075721</v>
      </c>
      <c r="J124" s="54">
        <f t="shared" si="13"/>
        <v>0</v>
      </c>
      <c r="K124" s="54"/>
      <c r="L124" s="129"/>
      <c r="M124" s="54">
        <f t="shared" si="14"/>
        <v>0</v>
      </c>
      <c r="N124" s="129"/>
      <c r="O124" s="54">
        <f t="shared" si="15"/>
        <v>0</v>
      </c>
      <c r="P124" s="54">
        <f t="shared" si="16"/>
        <v>0</v>
      </c>
    </row>
    <row r="125" spans="2:16" ht="12.5">
      <c r="B125" s="7" t="str">
        <f t="shared" si="20"/>
        <v/>
      </c>
      <c r="C125" s="50">
        <f>IF(D93="","-",+C124+1)</f>
        <v>2050</v>
      </c>
      <c r="D125" s="12">
        <f>IF(F124+SUM(E$99:E124)=D$92,F124,D$92-SUM(E$99:E124))</f>
        <v>5416295.3120454662</v>
      </c>
      <c r="E125" s="56">
        <f>IF(+J96&lt;F124,J96,D125)</f>
        <v>285068.17431818182</v>
      </c>
      <c r="F125" s="55">
        <f t="shared" si="17"/>
        <v>5131227.1377272848</v>
      </c>
      <c r="G125" s="55">
        <f t="shared" si="12"/>
        <v>5273761.2248863755</v>
      </c>
      <c r="H125" s="58">
        <f t="shared" si="18"/>
        <v>941790.35717036889</v>
      </c>
      <c r="I125" s="108">
        <f t="shared" si="19"/>
        <v>941790.35717036889</v>
      </c>
      <c r="J125" s="54">
        <f t="shared" si="13"/>
        <v>0</v>
      </c>
      <c r="K125" s="54"/>
      <c r="L125" s="129"/>
      <c r="M125" s="54">
        <f t="shared" si="14"/>
        <v>0</v>
      </c>
      <c r="N125" s="129"/>
      <c r="O125" s="54">
        <f t="shared" si="15"/>
        <v>0</v>
      </c>
      <c r="P125" s="54">
        <f t="shared" si="16"/>
        <v>0</v>
      </c>
    </row>
    <row r="126" spans="2:16" ht="12.5">
      <c r="B126" s="7" t="str">
        <f t="shared" si="20"/>
        <v/>
      </c>
      <c r="C126" s="50">
        <f>IF(D93="","-",+C125+1)</f>
        <v>2051</v>
      </c>
      <c r="D126" s="12">
        <f>IF(F125+SUM(E$99:E125)=D$92,F125,D$92-SUM(E$99:E125))</f>
        <v>5131227.1377272848</v>
      </c>
      <c r="E126" s="56">
        <f>IF(+J96&lt;F125,J96,D126)</f>
        <v>285068.17431818182</v>
      </c>
      <c r="F126" s="55">
        <f t="shared" si="17"/>
        <v>4846158.9634091035</v>
      </c>
      <c r="G126" s="55">
        <f t="shared" si="12"/>
        <v>4988693.0505681941</v>
      </c>
      <c r="H126" s="58">
        <f t="shared" si="18"/>
        <v>906291.86079998047</v>
      </c>
      <c r="I126" s="108">
        <f t="shared" si="19"/>
        <v>906291.86079998047</v>
      </c>
      <c r="J126" s="54">
        <f t="shared" si="13"/>
        <v>0</v>
      </c>
      <c r="K126" s="54"/>
      <c r="L126" s="129"/>
      <c r="M126" s="54">
        <f t="shared" si="14"/>
        <v>0</v>
      </c>
      <c r="N126" s="129"/>
      <c r="O126" s="54">
        <f t="shared" si="15"/>
        <v>0</v>
      </c>
      <c r="P126" s="54">
        <f t="shared" si="16"/>
        <v>0</v>
      </c>
    </row>
    <row r="127" spans="2:16" ht="12.5">
      <c r="B127" s="7" t="str">
        <f t="shared" si="20"/>
        <v/>
      </c>
      <c r="C127" s="50">
        <f>IF(D93="","-",+C126+1)</f>
        <v>2052</v>
      </c>
      <c r="D127" s="12">
        <f>IF(F126+SUM(E$99:E126)=D$92,F126,D$92-SUM(E$99:E126))</f>
        <v>4846158.9634091035</v>
      </c>
      <c r="E127" s="56">
        <f>IF(+J96&lt;F126,J96,D127)</f>
        <v>285068.17431818182</v>
      </c>
      <c r="F127" s="55">
        <f t="shared" si="17"/>
        <v>4561090.7890909221</v>
      </c>
      <c r="G127" s="55">
        <f t="shared" si="12"/>
        <v>4703624.8762500128</v>
      </c>
      <c r="H127" s="58">
        <f t="shared" si="18"/>
        <v>870793.36442959215</v>
      </c>
      <c r="I127" s="108">
        <f t="shared" si="19"/>
        <v>870793.36442959215</v>
      </c>
      <c r="J127" s="54">
        <f t="shared" si="13"/>
        <v>0</v>
      </c>
      <c r="K127" s="54"/>
      <c r="L127" s="129"/>
      <c r="M127" s="54">
        <f t="shared" si="14"/>
        <v>0</v>
      </c>
      <c r="N127" s="129"/>
      <c r="O127" s="54">
        <f t="shared" si="15"/>
        <v>0</v>
      </c>
      <c r="P127" s="54">
        <f t="shared" si="16"/>
        <v>0</v>
      </c>
    </row>
    <row r="128" spans="2:16" ht="12.5">
      <c r="B128" s="7" t="str">
        <f t="shared" si="20"/>
        <v/>
      </c>
      <c r="C128" s="50">
        <f>IF(D93="","-",+C127+1)</f>
        <v>2053</v>
      </c>
      <c r="D128" s="12">
        <f>IF(F127+SUM(E$99:E127)=D$92,F127,D$92-SUM(E$99:E127))</f>
        <v>4561090.7890909221</v>
      </c>
      <c r="E128" s="56">
        <f>IF(+J96&lt;F127,J96,D128)</f>
        <v>285068.17431818182</v>
      </c>
      <c r="F128" s="55">
        <f t="shared" si="17"/>
        <v>4276022.6147727408</v>
      </c>
      <c r="G128" s="55">
        <f t="shared" si="12"/>
        <v>4418556.7019318314</v>
      </c>
      <c r="H128" s="58">
        <f t="shared" si="18"/>
        <v>835294.86805920384</v>
      </c>
      <c r="I128" s="108">
        <f t="shared" si="19"/>
        <v>835294.86805920384</v>
      </c>
      <c r="J128" s="54">
        <f t="shared" si="13"/>
        <v>0</v>
      </c>
      <c r="K128" s="54"/>
      <c r="L128" s="129"/>
      <c r="M128" s="54">
        <f t="shared" si="14"/>
        <v>0</v>
      </c>
      <c r="N128" s="129"/>
      <c r="O128" s="54">
        <f t="shared" si="15"/>
        <v>0</v>
      </c>
      <c r="P128" s="54">
        <f t="shared" si="16"/>
        <v>0</v>
      </c>
    </row>
    <row r="129" spans="2:16" ht="12.5">
      <c r="B129" s="7" t="str">
        <f t="shared" si="20"/>
        <v/>
      </c>
      <c r="C129" s="50">
        <f>IF(D93="","-",+C128+1)</f>
        <v>2054</v>
      </c>
      <c r="D129" s="12">
        <f>IF(F128+SUM(E$99:E128)=D$92,F128,D$92-SUM(E$99:E128))</f>
        <v>4276022.6147727408</v>
      </c>
      <c r="E129" s="56">
        <f>IF(+J96&lt;F128,J96,D129)</f>
        <v>285068.17431818182</v>
      </c>
      <c r="F129" s="55">
        <f t="shared" si="17"/>
        <v>3990954.4404545589</v>
      </c>
      <c r="G129" s="55">
        <f t="shared" si="12"/>
        <v>4133488.5276136501</v>
      </c>
      <c r="H129" s="58">
        <f t="shared" si="18"/>
        <v>799796.37168881553</v>
      </c>
      <c r="I129" s="108">
        <f t="shared" si="19"/>
        <v>799796.37168881553</v>
      </c>
      <c r="J129" s="54">
        <f t="shared" si="13"/>
        <v>0</v>
      </c>
      <c r="K129" s="54"/>
      <c r="L129" s="129"/>
      <c r="M129" s="54">
        <f t="shared" si="14"/>
        <v>0</v>
      </c>
      <c r="N129" s="129"/>
      <c r="O129" s="54">
        <f t="shared" si="15"/>
        <v>0</v>
      </c>
      <c r="P129" s="54">
        <f t="shared" si="16"/>
        <v>0</v>
      </c>
    </row>
    <row r="130" spans="2:16" ht="12.5">
      <c r="B130" s="7" t="str">
        <f t="shared" si="20"/>
        <v/>
      </c>
      <c r="C130" s="50">
        <f>IF(D93="","-",+C129+1)</f>
        <v>2055</v>
      </c>
      <c r="D130" s="12">
        <f>IF(F129+SUM(E$99:E129)=D$92,F129,D$92-SUM(E$99:E129))</f>
        <v>3990954.4404545589</v>
      </c>
      <c r="E130" s="56">
        <f>IF(+J96&lt;F129,J96,D130)</f>
        <v>285068.17431818182</v>
      </c>
      <c r="F130" s="55">
        <f t="shared" si="17"/>
        <v>3705886.2661363771</v>
      </c>
      <c r="G130" s="55">
        <f t="shared" si="12"/>
        <v>3848420.3532954678</v>
      </c>
      <c r="H130" s="58">
        <f t="shared" si="18"/>
        <v>764297.87531842699</v>
      </c>
      <c r="I130" s="108">
        <f t="shared" si="19"/>
        <v>764297.87531842699</v>
      </c>
      <c r="J130" s="54">
        <f t="shared" si="13"/>
        <v>0</v>
      </c>
      <c r="K130" s="54"/>
      <c r="L130" s="129"/>
      <c r="M130" s="54">
        <f t="shared" si="14"/>
        <v>0</v>
      </c>
      <c r="N130" s="129"/>
      <c r="O130" s="54">
        <f t="shared" si="15"/>
        <v>0</v>
      </c>
      <c r="P130" s="54">
        <f t="shared" si="16"/>
        <v>0</v>
      </c>
    </row>
    <row r="131" spans="2:16" ht="12.5">
      <c r="B131" s="7" t="str">
        <f t="shared" si="20"/>
        <v/>
      </c>
      <c r="C131" s="50">
        <f>IF(D93="","-",+C130+1)</f>
        <v>2056</v>
      </c>
      <c r="D131" s="12">
        <f>IF(F130+SUM(E$99:E130)=D$92,F130,D$92-SUM(E$99:E130))</f>
        <v>3705886.2661363771</v>
      </c>
      <c r="E131" s="56">
        <f>IF(+J96&lt;F130,J96,D131)</f>
        <v>285068.17431818182</v>
      </c>
      <c r="F131" s="55">
        <f t="shared" si="17"/>
        <v>3420818.0918181953</v>
      </c>
      <c r="G131" s="55">
        <f t="shared" si="12"/>
        <v>3563352.1789772864</v>
      </c>
      <c r="H131" s="58">
        <f t="shared" si="18"/>
        <v>728799.37894803868</v>
      </c>
      <c r="I131" s="108">
        <f t="shared" si="19"/>
        <v>728799.37894803868</v>
      </c>
      <c r="J131" s="54">
        <f t="shared" ref="J131:J154" si="21">+I541-H541</f>
        <v>0</v>
      </c>
      <c r="K131" s="54"/>
      <c r="L131" s="129"/>
      <c r="M131" s="54">
        <f t="shared" ref="M131:M154" si="22">IF(L541&lt;&gt;0,+H541-L541,0)</f>
        <v>0</v>
      </c>
      <c r="N131" s="129"/>
      <c r="O131" s="54">
        <f t="shared" ref="O131:O154" si="23">IF(N541&lt;&gt;0,+I541-N541,0)</f>
        <v>0</v>
      </c>
      <c r="P131" s="54">
        <f t="shared" ref="P131:P154" si="24">+O541-M541</f>
        <v>0</v>
      </c>
    </row>
    <row r="132" spans="2:16" ht="12.5">
      <c r="B132" s="7" t="str">
        <f t="shared" si="20"/>
        <v/>
      </c>
      <c r="C132" s="50">
        <f>IF(D93="","-",+C131+1)</f>
        <v>2057</v>
      </c>
      <c r="D132" s="12">
        <f>IF(F131+SUM(E$99:E131)=D$92,F131,D$92-SUM(E$99:E131))</f>
        <v>3420818.0918181953</v>
      </c>
      <c r="E132" s="56">
        <f>IF(+J96&lt;F131,J96,D132)</f>
        <v>285068.17431818182</v>
      </c>
      <c r="F132" s="55">
        <f t="shared" si="17"/>
        <v>3135749.9175000135</v>
      </c>
      <c r="G132" s="55">
        <f t="shared" si="12"/>
        <v>3278284.0046591042</v>
      </c>
      <c r="H132" s="58">
        <f t="shared" si="18"/>
        <v>693300.88257765025</v>
      </c>
      <c r="I132" s="108">
        <f t="shared" si="19"/>
        <v>693300.88257765025</v>
      </c>
      <c r="J132" s="54">
        <f t="shared" si="21"/>
        <v>0</v>
      </c>
      <c r="K132" s="54"/>
      <c r="L132" s="129"/>
      <c r="M132" s="54">
        <f t="shared" si="22"/>
        <v>0</v>
      </c>
      <c r="N132" s="129"/>
      <c r="O132" s="54">
        <f t="shared" si="23"/>
        <v>0</v>
      </c>
      <c r="P132" s="54">
        <f t="shared" si="24"/>
        <v>0</v>
      </c>
    </row>
    <row r="133" spans="2:16" ht="12.5">
      <c r="B133" s="7" t="str">
        <f t="shared" si="20"/>
        <v/>
      </c>
      <c r="C133" s="50">
        <f>IF(D93="","-",+C132+1)</f>
        <v>2058</v>
      </c>
      <c r="D133" s="12">
        <f>IF(F132+SUM(E$99:E132)=D$92,F132,D$92-SUM(E$99:E132))</f>
        <v>3135749.9175000135</v>
      </c>
      <c r="E133" s="56">
        <f>IF(+J96&lt;F132,J96,D133)</f>
        <v>285068.17431818182</v>
      </c>
      <c r="F133" s="55">
        <f t="shared" si="17"/>
        <v>2850681.7431818317</v>
      </c>
      <c r="G133" s="55">
        <f t="shared" si="12"/>
        <v>2993215.8303409228</v>
      </c>
      <c r="H133" s="58">
        <f t="shared" si="18"/>
        <v>657802.38620726182</v>
      </c>
      <c r="I133" s="108">
        <f t="shared" si="19"/>
        <v>657802.38620726182</v>
      </c>
      <c r="J133" s="54">
        <f t="shared" si="21"/>
        <v>0</v>
      </c>
      <c r="K133" s="54"/>
      <c r="L133" s="129"/>
      <c r="M133" s="54">
        <f t="shared" si="22"/>
        <v>0</v>
      </c>
      <c r="N133" s="129"/>
      <c r="O133" s="54">
        <f t="shared" si="23"/>
        <v>0</v>
      </c>
      <c r="P133" s="54">
        <f t="shared" si="24"/>
        <v>0</v>
      </c>
    </row>
    <row r="134" spans="2:16" ht="12.5">
      <c r="B134" s="7" t="str">
        <f t="shared" si="20"/>
        <v/>
      </c>
      <c r="C134" s="50">
        <f>IF(D93="","-",+C133+1)</f>
        <v>2059</v>
      </c>
      <c r="D134" s="12">
        <f>IF(F133+SUM(E$99:E133)=D$92,F133,D$92-SUM(E$99:E133))</f>
        <v>2850681.7431818317</v>
      </c>
      <c r="E134" s="56">
        <f>IF(+J96&lt;F133,J96,D134)</f>
        <v>285068.17431818182</v>
      </c>
      <c r="F134" s="55">
        <f t="shared" si="17"/>
        <v>2565613.5688636499</v>
      </c>
      <c r="G134" s="55">
        <f t="shared" si="12"/>
        <v>2708147.6560227405</v>
      </c>
      <c r="H134" s="58">
        <f t="shared" si="18"/>
        <v>622303.88983687339</v>
      </c>
      <c r="I134" s="108">
        <f t="shared" si="19"/>
        <v>622303.88983687339</v>
      </c>
      <c r="J134" s="54">
        <f t="shared" si="21"/>
        <v>0</v>
      </c>
      <c r="K134" s="54"/>
      <c r="L134" s="129"/>
      <c r="M134" s="54">
        <f t="shared" si="22"/>
        <v>0</v>
      </c>
      <c r="N134" s="129"/>
      <c r="O134" s="54">
        <f t="shared" si="23"/>
        <v>0</v>
      </c>
      <c r="P134" s="54">
        <f t="shared" si="24"/>
        <v>0</v>
      </c>
    </row>
    <row r="135" spans="2:16" ht="12.5">
      <c r="B135" s="7" t="str">
        <f t="shared" si="20"/>
        <v/>
      </c>
      <c r="C135" s="50">
        <f>IF(D93="","-",+C134+1)</f>
        <v>2060</v>
      </c>
      <c r="D135" s="12">
        <f>IF(F134+SUM(E$99:E134)=D$92,F134,D$92-SUM(E$99:E134))</f>
        <v>2565613.5688636499</v>
      </c>
      <c r="E135" s="56">
        <f>IF(+J96&lt;F134,J96,D135)</f>
        <v>285068.17431818182</v>
      </c>
      <c r="F135" s="55">
        <f t="shared" si="17"/>
        <v>2280545.394545468</v>
      </c>
      <c r="G135" s="55">
        <f t="shared" si="12"/>
        <v>2423079.4817045592</v>
      </c>
      <c r="H135" s="58">
        <f t="shared" si="18"/>
        <v>586805.39346648497</v>
      </c>
      <c r="I135" s="108">
        <f t="shared" si="19"/>
        <v>586805.39346648497</v>
      </c>
      <c r="J135" s="54">
        <f t="shared" si="21"/>
        <v>0</v>
      </c>
      <c r="K135" s="54"/>
      <c r="L135" s="129"/>
      <c r="M135" s="54">
        <f t="shared" si="22"/>
        <v>0</v>
      </c>
      <c r="N135" s="129"/>
      <c r="O135" s="54">
        <f t="shared" si="23"/>
        <v>0</v>
      </c>
      <c r="P135" s="54">
        <f t="shared" si="24"/>
        <v>0</v>
      </c>
    </row>
    <row r="136" spans="2:16" ht="12.5">
      <c r="B136" s="7" t="str">
        <f t="shared" si="20"/>
        <v/>
      </c>
      <c r="C136" s="50">
        <f>IF(D93="","-",+C135+1)</f>
        <v>2061</v>
      </c>
      <c r="D136" s="12">
        <f>IF(F135+SUM(E$99:E135)=D$92,F135,D$92-SUM(E$99:E135))</f>
        <v>2280545.394545468</v>
      </c>
      <c r="E136" s="56">
        <f>IF(+J96&lt;F135,J96,D136)</f>
        <v>285068.17431818182</v>
      </c>
      <c r="F136" s="55">
        <f t="shared" si="17"/>
        <v>1995477.2202272862</v>
      </c>
      <c r="G136" s="55">
        <f t="shared" si="12"/>
        <v>2138011.3073863769</v>
      </c>
      <c r="H136" s="58">
        <f t="shared" si="18"/>
        <v>551306.89709609654</v>
      </c>
      <c r="I136" s="108">
        <f t="shared" si="19"/>
        <v>551306.89709609654</v>
      </c>
      <c r="J136" s="54">
        <f t="shared" si="21"/>
        <v>0</v>
      </c>
      <c r="K136" s="54"/>
      <c r="L136" s="129"/>
      <c r="M136" s="54">
        <f t="shared" si="22"/>
        <v>0</v>
      </c>
      <c r="N136" s="129"/>
      <c r="O136" s="54">
        <f t="shared" si="23"/>
        <v>0</v>
      </c>
      <c r="P136" s="54">
        <f t="shared" si="24"/>
        <v>0</v>
      </c>
    </row>
    <row r="137" spans="2:16" ht="12.5">
      <c r="B137" s="7" t="str">
        <f t="shared" si="20"/>
        <v/>
      </c>
      <c r="C137" s="50">
        <f>IF(D93="","-",+C136+1)</f>
        <v>2062</v>
      </c>
      <c r="D137" s="12">
        <f>IF(F136+SUM(E$99:E136)=D$92,F136,D$92-SUM(E$99:E136))</f>
        <v>1995477.2202272862</v>
      </c>
      <c r="E137" s="56">
        <f>IF(+J96&lt;F136,J96,D137)</f>
        <v>285068.17431818182</v>
      </c>
      <c r="F137" s="55">
        <f t="shared" si="17"/>
        <v>1710409.0459091044</v>
      </c>
      <c r="G137" s="55">
        <f t="shared" si="12"/>
        <v>1852943.1330681953</v>
      </c>
      <c r="H137" s="58">
        <f t="shared" si="18"/>
        <v>515808.40072570817</v>
      </c>
      <c r="I137" s="108">
        <f t="shared" si="19"/>
        <v>515808.40072570817</v>
      </c>
      <c r="J137" s="54">
        <f t="shared" si="21"/>
        <v>0</v>
      </c>
      <c r="K137" s="54"/>
      <c r="L137" s="129"/>
      <c r="M137" s="54">
        <f t="shared" si="22"/>
        <v>0</v>
      </c>
      <c r="N137" s="129"/>
      <c r="O137" s="54">
        <f t="shared" si="23"/>
        <v>0</v>
      </c>
      <c r="P137" s="54">
        <f t="shared" si="24"/>
        <v>0</v>
      </c>
    </row>
    <row r="138" spans="2:16" ht="12.5">
      <c r="B138" s="7" t="str">
        <f t="shared" si="20"/>
        <v/>
      </c>
      <c r="C138" s="50">
        <f>IF(D93="","-",+C137+1)</f>
        <v>2063</v>
      </c>
      <c r="D138" s="12">
        <f>IF(F137+SUM(E$99:E137)=D$92,F137,D$92-SUM(E$99:E137))</f>
        <v>1710409.0459091044</v>
      </c>
      <c r="E138" s="56">
        <f>IF(+J96&lt;F137,J96,D138)</f>
        <v>285068.17431818182</v>
      </c>
      <c r="F138" s="55">
        <f t="shared" si="17"/>
        <v>1425340.8715909226</v>
      </c>
      <c r="G138" s="55">
        <f t="shared" si="12"/>
        <v>1567874.9587500135</v>
      </c>
      <c r="H138" s="58">
        <f t="shared" si="18"/>
        <v>480309.90435531974</v>
      </c>
      <c r="I138" s="108">
        <f t="shared" si="19"/>
        <v>480309.90435531974</v>
      </c>
      <c r="J138" s="54">
        <f t="shared" si="21"/>
        <v>0</v>
      </c>
      <c r="K138" s="54"/>
      <c r="L138" s="129"/>
      <c r="M138" s="54">
        <f t="shared" si="22"/>
        <v>0</v>
      </c>
      <c r="N138" s="129"/>
      <c r="O138" s="54">
        <f t="shared" si="23"/>
        <v>0</v>
      </c>
      <c r="P138" s="54">
        <f t="shared" si="24"/>
        <v>0</v>
      </c>
    </row>
    <row r="139" spans="2:16" ht="12.5">
      <c r="B139" s="7" t="str">
        <f t="shared" si="20"/>
        <v/>
      </c>
      <c r="C139" s="50">
        <f>IF(D93="","-",+C138+1)</f>
        <v>2064</v>
      </c>
      <c r="D139" s="12">
        <f>IF(F138+SUM(E$99:E138)=D$92,F138,D$92-SUM(E$99:E138))</f>
        <v>1425340.8715909226</v>
      </c>
      <c r="E139" s="56">
        <f>IF(+J96&lt;F138,J96,D139)</f>
        <v>285068.17431818182</v>
      </c>
      <c r="F139" s="55">
        <f t="shared" si="17"/>
        <v>1140272.6972727408</v>
      </c>
      <c r="G139" s="55">
        <f t="shared" si="12"/>
        <v>1282806.7844318317</v>
      </c>
      <c r="H139" s="58">
        <f t="shared" si="18"/>
        <v>444811.40798493137</v>
      </c>
      <c r="I139" s="108">
        <f t="shared" si="19"/>
        <v>444811.40798493137</v>
      </c>
      <c r="J139" s="54">
        <f t="shared" si="21"/>
        <v>0</v>
      </c>
      <c r="K139" s="54"/>
      <c r="L139" s="129"/>
      <c r="M139" s="54">
        <f t="shared" si="22"/>
        <v>0</v>
      </c>
      <c r="N139" s="129"/>
      <c r="O139" s="54">
        <f t="shared" si="23"/>
        <v>0</v>
      </c>
      <c r="P139" s="54">
        <f t="shared" si="24"/>
        <v>0</v>
      </c>
    </row>
    <row r="140" spans="2:16" ht="12.5">
      <c r="B140" s="7" t="str">
        <f t="shared" si="20"/>
        <v/>
      </c>
      <c r="C140" s="50">
        <f>IF(D93="","-",+C139+1)</f>
        <v>2065</v>
      </c>
      <c r="D140" s="12">
        <f>IF(F139+SUM(E$99:E139)=D$92,F139,D$92-SUM(E$99:E139))</f>
        <v>1140272.6972727408</v>
      </c>
      <c r="E140" s="56">
        <f>IF(+J96&lt;F139,J96,D140)</f>
        <v>285068.17431818182</v>
      </c>
      <c r="F140" s="55">
        <f t="shared" si="17"/>
        <v>855204.52295455895</v>
      </c>
      <c r="G140" s="55">
        <f t="shared" si="12"/>
        <v>997738.61011364986</v>
      </c>
      <c r="H140" s="58">
        <f t="shared" si="18"/>
        <v>409312.91161454294</v>
      </c>
      <c r="I140" s="108">
        <f t="shared" si="19"/>
        <v>409312.91161454294</v>
      </c>
      <c r="J140" s="54">
        <f t="shared" si="21"/>
        <v>0</v>
      </c>
      <c r="K140" s="54"/>
      <c r="L140" s="129"/>
      <c r="M140" s="54">
        <f t="shared" si="22"/>
        <v>0</v>
      </c>
      <c r="N140" s="129"/>
      <c r="O140" s="54">
        <f t="shared" si="23"/>
        <v>0</v>
      </c>
      <c r="P140" s="54">
        <f t="shared" si="24"/>
        <v>0</v>
      </c>
    </row>
    <row r="141" spans="2:16" ht="12.5">
      <c r="B141" s="7" t="str">
        <f t="shared" si="20"/>
        <v/>
      </c>
      <c r="C141" s="50">
        <f>IF(D93="","-",+C140+1)</f>
        <v>2066</v>
      </c>
      <c r="D141" s="12">
        <f>IF(F140+SUM(E$99:E140)=D$92,F140,D$92-SUM(E$99:E140))</f>
        <v>855204.52295455895</v>
      </c>
      <c r="E141" s="56">
        <f>IF(+J96&lt;F140,J96,D141)</f>
        <v>285068.17431818182</v>
      </c>
      <c r="F141" s="55">
        <f t="shared" si="17"/>
        <v>570136.34863637714</v>
      </c>
      <c r="G141" s="55">
        <f t="shared" si="12"/>
        <v>712670.43579546805</v>
      </c>
      <c r="H141" s="58">
        <f t="shared" si="18"/>
        <v>373814.41524415452</v>
      </c>
      <c r="I141" s="108">
        <f t="shared" si="19"/>
        <v>373814.41524415452</v>
      </c>
      <c r="J141" s="54">
        <f t="shared" si="21"/>
        <v>0</v>
      </c>
      <c r="K141" s="54"/>
      <c r="L141" s="129"/>
      <c r="M141" s="54">
        <f t="shared" si="22"/>
        <v>0</v>
      </c>
      <c r="N141" s="129"/>
      <c r="O141" s="54">
        <f t="shared" si="23"/>
        <v>0</v>
      </c>
      <c r="P141" s="54">
        <f t="shared" si="24"/>
        <v>0</v>
      </c>
    </row>
    <row r="142" spans="2:16" ht="12.5">
      <c r="B142" s="7" t="str">
        <f t="shared" si="20"/>
        <v/>
      </c>
      <c r="C142" s="50">
        <f>IF(D93="","-",+C141+1)</f>
        <v>2067</v>
      </c>
      <c r="D142" s="12">
        <f>IF(F141+SUM(E$99:E141)=D$92,F141,D$92-SUM(E$99:E141))</f>
        <v>570136.34863637714</v>
      </c>
      <c r="E142" s="56">
        <f>IF(+J96&lt;F141,J96,D142)</f>
        <v>285068.17431818182</v>
      </c>
      <c r="F142" s="55">
        <f t="shared" si="17"/>
        <v>285068.17431819532</v>
      </c>
      <c r="G142" s="55">
        <f t="shared" si="12"/>
        <v>427602.26147728623</v>
      </c>
      <c r="H142" s="58">
        <f t="shared" si="18"/>
        <v>338315.91887376609</v>
      </c>
      <c r="I142" s="108">
        <f t="shared" si="19"/>
        <v>338315.91887376609</v>
      </c>
      <c r="J142" s="54">
        <f t="shared" si="21"/>
        <v>0</v>
      </c>
      <c r="K142" s="54"/>
      <c r="L142" s="129"/>
      <c r="M142" s="54">
        <f t="shared" si="22"/>
        <v>0</v>
      </c>
      <c r="N142" s="129"/>
      <c r="O142" s="54">
        <f t="shared" si="23"/>
        <v>0</v>
      </c>
      <c r="P142" s="54">
        <f t="shared" si="24"/>
        <v>0</v>
      </c>
    </row>
    <row r="143" spans="2:16" ht="12.5">
      <c r="B143" s="7" t="str">
        <f t="shared" si="20"/>
        <v/>
      </c>
      <c r="C143" s="50">
        <f>IF(D93="","-",+C142+1)</f>
        <v>2068</v>
      </c>
      <c r="D143" s="12">
        <f>IF(F142+SUM(E$99:E142)=D$92,F142,D$92-SUM(E$99:E142))</f>
        <v>285068.17431819532</v>
      </c>
      <c r="E143" s="56">
        <f>IF(+J96&lt;F142,J96,D143)</f>
        <v>285068.17431818182</v>
      </c>
      <c r="F143" s="55">
        <f t="shared" si="17"/>
        <v>1.3504177331924438E-8</v>
      </c>
      <c r="G143" s="55">
        <f t="shared" si="12"/>
        <v>142534.08715910441</v>
      </c>
      <c r="H143" s="58">
        <f t="shared" si="18"/>
        <v>302817.42250337772</v>
      </c>
      <c r="I143" s="108">
        <f t="shared" si="19"/>
        <v>302817.42250337772</v>
      </c>
      <c r="J143" s="54">
        <f t="shared" si="21"/>
        <v>0</v>
      </c>
      <c r="K143" s="54"/>
      <c r="L143" s="129"/>
      <c r="M143" s="54">
        <f t="shared" si="22"/>
        <v>0</v>
      </c>
      <c r="N143" s="129"/>
      <c r="O143" s="54">
        <f t="shared" si="23"/>
        <v>0</v>
      </c>
      <c r="P143" s="54">
        <f t="shared" si="24"/>
        <v>0</v>
      </c>
    </row>
    <row r="144" spans="2:16" ht="12.5">
      <c r="B144" s="7" t="str">
        <f t="shared" si="20"/>
        <v/>
      </c>
      <c r="C144" s="50">
        <f>IF(D93="","-",+C143+1)</f>
        <v>2069</v>
      </c>
      <c r="D144" s="12">
        <f>IF(F143+SUM(E$99:E143)=D$92,F143,D$92-SUM(E$99:E143))</f>
        <v>1.3504177331924438E-8</v>
      </c>
      <c r="E144" s="56">
        <f>IF(+J96&lt;F143,J96,D144)</f>
        <v>1.3504177331924438E-8</v>
      </c>
      <c r="F144" s="55">
        <f t="shared" si="17"/>
        <v>0</v>
      </c>
      <c r="G144" s="55">
        <f t="shared" si="12"/>
        <v>6.7520886659622192E-9</v>
      </c>
      <c r="H144" s="58">
        <f t="shared" si="18"/>
        <v>1.434499022019049E-8</v>
      </c>
      <c r="I144" s="108">
        <f t="shared" si="19"/>
        <v>1.434499022019049E-8</v>
      </c>
      <c r="J144" s="54">
        <f t="shared" si="21"/>
        <v>0</v>
      </c>
      <c r="K144" s="54"/>
      <c r="L144" s="129"/>
      <c r="M144" s="54">
        <f t="shared" si="22"/>
        <v>0</v>
      </c>
      <c r="N144" s="129"/>
      <c r="O144" s="54">
        <f t="shared" si="23"/>
        <v>0</v>
      </c>
      <c r="P144" s="54">
        <f t="shared" si="24"/>
        <v>0</v>
      </c>
    </row>
    <row r="145" spans="2:16" ht="12.5">
      <c r="B145" s="7" t="str">
        <f t="shared" si="20"/>
        <v/>
      </c>
      <c r="C145" s="50">
        <f>IF(D93="","-",+C144+1)</f>
        <v>2070</v>
      </c>
      <c r="D145" s="12">
        <f>IF(F144+SUM(E$99:E144)=D$92,F144,D$92-SUM(E$99:E144))</f>
        <v>0</v>
      </c>
      <c r="E145" s="56">
        <f>IF(+J96&lt;F144,J96,D145)</f>
        <v>0</v>
      </c>
      <c r="F145" s="55">
        <f t="shared" si="17"/>
        <v>0</v>
      </c>
      <c r="G145" s="55">
        <f t="shared" si="12"/>
        <v>0</v>
      </c>
      <c r="H145" s="58">
        <f t="shared" si="18"/>
        <v>0</v>
      </c>
      <c r="I145" s="108">
        <f t="shared" si="19"/>
        <v>0</v>
      </c>
      <c r="J145" s="54">
        <f t="shared" si="21"/>
        <v>0</v>
      </c>
      <c r="K145" s="54"/>
      <c r="L145" s="129"/>
      <c r="M145" s="54">
        <f t="shared" si="22"/>
        <v>0</v>
      </c>
      <c r="N145" s="129"/>
      <c r="O145" s="54">
        <f t="shared" si="23"/>
        <v>0</v>
      </c>
      <c r="P145" s="54">
        <f t="shared" si="24"/>
        <v>0</v>
      </c>
    </row>
    <row r="146" spans="2:16" ht="12.5">
      <c r="B146" s="7" t="str">
        <f t="shared" si="20"/>
        <v/>
      </c>
      <c r="C146" s="50">
        <f>IF(D93="","-",+C145+1)</f>
        <v>2071</v>
      </c>
      <c r="D146" s="12">
        <f>IF(F145+SUM(E$99:E145)=D$92,F145,D$92-SUM(E$99:E145))</f>
        <v>0</v>
      </c>
      <c r="E146" s="56">
        <f>IF(+J96&lt;F145,J96,D146)</f>
        <v>0</v>
      </c>
      <c r="F146" s="55">
        <f t="shared" si="17"/>
        <v>0</v>
      </c>
      <c r="G146" s="55">
        <f t="shared" si="12"/>
        <v>0</v>
      </c>
      <c r="H146" s="58">
        <f t="shared" si="18"/>
        <v>0</v>
      </c>
      <c r="I146" s="108">
        <f t="shared" si="19"/>
        <v>0</v>
      </c>
      <c r="J146" s="54">
        <f t="shared" si="21"/>
        <v>0</v>
      </c>
      <c r="K146" s="54"/>
      <c r="L146" s="129"/>
      <c r="M146" s="54">
        <f t="shared" si="22"/>
        <v>0</v>
      </c>
      <c r="N146" s="129"/>
      <c r="O146" s="54">
        <f t="shared" si="23"/>
        <v>0</v>
      </c>
      <c r="P146" s="54">
        <f t="shared" si="24"/>
        <v>0</v>
      </c>
    </row>
    <row r="147" spans="2:16" ht="12.5">
      <c r="B147" s="7" t="str">
        <f t="shared" si="20"/>
        <v/>
      </c>
      <c r="C147" s="50">
        <f>IF(D93="","-",+C146+1)</f>
        <v>2072</v>
      </c>
      <c r="D147" s="12">
        <f>IF(F146+SUM(E$99:E146)=D$92,F146,D$92-SUM(E$99:E146))</f>
        <v>0</v>
      </c>
      <c r="E147" s="56">
        <f>IF(+J96&lt;F146,J96,D147)</f>
        <v>0</v>
      </c>
      <c r="F147" s="55">
        <f t="shared" si="17"/>
        <v>0</v>
      </c>
      <c r="G147" s="55">
        <f t="shared" si="12"/>
        <v>0</v>
      </c>
      <c r="H147" s="58">
        <f t="shared" si="18"/>
        <v>0</v>
      </c>
      <c r="I147" s="108">
        <f t="shared" si="19"/>
        <v>0</v>
      </c>
      <c r="J147" s="54">
        <f t="shared" si="21"/>
        <v>0</v>
      </c>
      <c r="K147" s="54"/>
      <c r="L147" s="129"/>
      <c r="M147" s="54">
        <f t="shared" si="22"/>
        <v>0</v>
      </c>
      <c r="N147" s="129"/>
      <c r="O147" s="54">
        <f t="shared" si="23"/>
        <v>0</v>
      </c>
      <c r="P147" s="54">
        <f t="shared" si="24"/>
        <v>0</v>
      </c>
    </row>
    <row r="148" spans="2:16" ht="12.5">
      <c r="B148" s="7" t="str">
        <f t="shared" si="20"/>
        <v/>
      </c>
      <c r="C148" s="50">
        <f>IF(D93="","-",+C147+1)</f>
        <v>2073</v>
      </c>
      <c r="D148" s="12">
        <f>IF(F147+SUM(E$99:E147)=D$92,F147,D$92-SUM(E$99:E147))</f>
        <v>0</v>
      </c>
      <c r="E148" s="56">
        <f>IF(+J96&lt;F147,J96,D148)</f>
        <v>0</v>
      </c>
      <c r="F148" s="55">
        <f t="shared" si="17"/>
        <v>0</v>
      </c>
      <c r="G148" s="55">
        <f t="shared" si="12"/>
        <v>0</v>
      </c>
      <c r="H148" s="58">
        <f t="shared" si="18"/>
        <v>0</v>
      </c>
      <c r="I148" s="108">
        <f t="shared" si="19"/>
        <v>0</v>
      </c>
      <c r="J148" s="54">
        <f t="shared" si="21"/>
        <v>0</v>
      </c>
      <c r="K148" s="54"/>
      <c r="L148" s="129"/>
      <c r="M148" s="54">
        <f t="shared" si="22"/>
        <v>0</v>
      </c>
      <c r="N148" s="129"/>
      <c r="O148" s="54">
        <f t="shared" si="23"/>
        <v>0</v>
      </c>
      <c r="P148" s="54">
        <f t="shared" si="24"/>
        <v>0</v>
      </c>
    </row>
    <row r="149" spans="2:16" ht="12.5">
      <c r="B149" s="7" t="str">
        <f t="shared" si="20"/>
        <v/>
      </c>
      <c r="C149" s="50">
        <f>IF(D93="","-",+C148+1)</f>
        <v>2074</v>
      </c>
      <c r="D149" s="12">
        <f>IF(F148+SUM(E$99:E148)=D$92,F148,D$92-SUM(E$99:E148))</f>
        <v>0</v>
      </c>
      <c r="E149" s="56">
        <f>IF(+J96&lt;F148,J96,D149)</f>
        <v>0</v>
      </c>
      <c r="F149" s="55">
        <f t="shared" si="17"/>
        <v>0</v>
      </c>
      <c r="G149" s="55">
        <f t="shared" si="12"/>
        <v>0</v>
      </c>
      <c r="H149" s="58">
        <f t="shared" si="18"/>
        <v>0</v>
      </c>
      <c r="I149" s="108">
        <f t="shared" si="19"/>
        <v>0</v>
      </c>
      <c r="J149" s="54">
        <f t="shared" si="21"/>
        <v>0</v>
      </c>
      <c r="K149" s="54"/>
      <c r="L149" s="129"/>
      <c r="M149" s="54">
        <f t="shared" si="22"/>
        <v>0</v>
      </c>
      <c r="N149" s="129"/>
      <c r="O149" s="54">
        <f t="shared" si="23"/>
        <v>0</v>
      </c>
      <c r="P149" s="54">
        <f t="shared" si="24"/>
        <v>0</v>
      </c>
    </row>
    <row r="150" spans="2:16" ht="12.5">
      <c r="B150" s="7" t="str">
        <f t="shared" si="20"/>
        <v/>
      </c>
      <c r="C150" s="50">
        <f>IF(D93="","-",+C149+1)</f>
        <v>2075</v>
      </c>
      <c r="D150" s="12">
        <f>IF(F149+SUM(E$99:E149)=D$92,F149,D$92-SUM(E$99:E149))</f>
        <v>0</v>
      </c>
      <c r="E150" s="56">
        <f>IF(+J96&lt;F149,J96,D150)</f>
        <v>0</v>
      </c>
      <c r="F150" s="55">
        <f t="shared" si="17"/>
        <v>0</v>
      </c>
      <c r="G150" s="55">
        <f t="shared" si="12"/>
        <v>0</v>
      </c>
      <c r="H150" s="58">
        <f t="shared" si="18"/>
        <v>0</v>
      </c>
      <c r="I150" s="108">
        <f t="shared" si="19"/>
        <v>0</v>
      </c>
      <c r="J150" s="54">
        <f t="shared" si="21"/>
        <v>0</v>
      </c>
      <c r="K150" s="54"/>
      <c r="L150" s="129"/>
      <c r="M150" s="54">
        <f t="shared" si="22"/>
        <v>0</v>
      </c>
      <c r="N150" s="129"/>
      <c r="O150" s="54">
        <f t="shared" si="23"/>
        <v>0</v>
      </c>
      <c r="P150" s="54">
        <f t="shared" si="24"/>
        <v>0</v>
      </c>
    </row>
    <row r="151" spans="2:16" ht="12.5">
      <c r="B151" s="7" t="str">
        <f t="shared" si="20"/>
        <v/>
      </c>
      <c r="C151" s="50">
        <f>IF(D93="","-",+C150+1)</f>
        <v>2076</v>
      </c>
      <c r="D151" s="12">
        <f>IF(F150+SUM(E$99:E150)=D$92,F150,D$92-SUM(E$99:E150))</f>
        <v>0</v>
      </c>
      <c r="E151" s="56">
        <f>IF(+J96&lt;F150,J96,D151)</f>
        <v>0</v>
      </c>
      <c r="F151" s="55">
        <f t="shared" si="17"/>
        <v>0</v>
      </c>
      <c r="G151" s="55">
        <f t="shared" si="12"/>
        <v>0</v>
      </c>
      <c r="H151" s="58">
        <f t="shared" si="18"/>
        <v>0</v>
      </c>
      <c r="I151" s="108">
        <f t="shared" si="19"/>
        <v>0</v>
      </c>
      <c r="J151" s="54">
        <f t="shared" si="21"/>
        <v>0</v>
      </c>
      <c r="K151" s="54"/>
      <c r="L151" s="129"/>
      <c r="M151" s="54">
        <f t="shared" si="22"/>
        <v>0</v>
      </c>
      <c r="N151" s="129"/>
      <c r="O151" s="54">
        <f t="shared" si="23"/>
        <v>0</v>
      </c>
      <c r="P151" s="54">
        <f t="shared" si="24"/>
        <v>0</v>
      </c>
    </row>
    <row r="152" spans="2:16" ht="12.5">
      <c r="B152" s="7" t="str">
        <f t="shared" si="20"/>
        <v/>
      </c>
      <c r="C152" s="50">
        <f>IF(D93="","-",+C151+1)</f>
        <v>2077</v>
      </c>
      <c r="D152" s="12">
        <f>IF(F151+SUM(E$99:E151)=D$92,F151,D$92-SUM(E$99:E151))</f>
        <v>0</v>
      </c>
      <c r="E152" s="56">
        <f>IF(+J96&lt;F151,J96,D152)</f>
        <v>0</v>
      </c>
      <c r="F152" s="55">
        <f t="shared" si="17"/>
        <v>0</v>
      </c>
      <c r="G152" s="55">
        <f t="shared" si="12"/>
        <v>0</v>
      </c>
      <c r="H152" s="58">
        <f t="shared" si="18"/>
        <v>0</v>
      </c>
      <c r="I152" s="108">
        <f t="shared" si="19"/>
        <v>0</v>
      </c>
      <c r="J152" s="54">
        <f t="shared" si="21"/>
        <v>0</v>
      </c>
      <c r="K152" s="54"/>
      <c r="L152" s="129"/>
      <c r="M152" s="54">
        <f t="shared" si="22"/>
        <v>0</v>
      </c>
      <c r="N152" s="129"/>
      <c r="O152" s="54">
        <f t="shared" si="23"/>
        <v>0</v>
      </c>
      <c r="P152" s="54">
        <f t="shared" si="24"/>
        <v>0</v>
      </c>
    </row>
    <row r="153" spans="2:16" ht="12.5">
      <c r="B153" s="7" t="str">
        <f t="shared" si="20"/>
        <v/>
      </c>
      <c r="C153" s="50">
        <f>IF(D93="","-",+C152+1)</f>
        <v>2078</v>
      </c>
      <c r="D153" s="12">
        <f>IF(F152+SUM(E$99:E152)=D$92,F152,D$92-SUM(E$99:E152))</f>
        <v>0</v>
      </c>
      <c r="E153" s="56">
        <f>IF(+J96&lt;F152,J96,D153)</f>
        <v>0</v>
      </c>
      <c r="F153" s="55">
        <f t="shared" si="17"/>
        <v>0</v>
      </c>
      <c r="G153" s="55">
        <f t="shared" si="12"/>
        <v>0</v>
      </c>
      <c r="H153" s="58">
        <f t="shared" si="18"/>
        <v>0</v>
      </c>
      <c r="I153" s="108">
        <f t="shared" si="19"/>
        <v>0</v>
      </c>
      <c r="J153" s="54">
        <f t="shared" si="21"/>
        <v>0</v>
      </c>
      <c r="K153" s="54"/>
      <c r="L153" s="129"/>
      <c r="M153" s="54">
        <f t="shared" si="22"/>
        <v>0</v>
      </c>
      <c r="N153" s="129"/>
      <c r="O153" s="54">
        <f t="shared" si="23"/>
        <v>0</v>
      </c>
      <c r="P153" s="54">
        <f t="shared" si="24"/>
        <v>0</v>
      </c>
    </row>
    <row r="154" spans="2:16" ht="13" thickBot="1">
      <c r="B154" s="7" t="str">
        <f t="shared" si="20"/>
        <v/>
      </c>
      <c r="C154" s="59">
        <f>IF(D93="","-",+C153+1)</f>
        <v>2079</v>
      </c>
      <c r="D154" s="84">
        <f>IF(F153+SUM(E$99:E153)=D$92,F153,D$92-SUM(E$99:E153))</f>
        <v>0</v>
      </c>
      <c r="E154" s="61">
        <f>IF(+J96&lt;F153,J96,D154)</f>
        <v>0</v>
      </c>
      <c r="F154" s="60">
        <f t="shared" si="17"/>
        <v>0</v>
      </c>
      <c r="G154" s="60">
        <f t="shared" si="12"/>
        <v>0</v>
      </c>
      <c r="H154" s="62">
        <f t="shared" si="18"/>
        <v>0</v>
      </c>
      <c r="I154" s="109">
        <f t="shared" si="19"/>
        <v>0</v>
      </c>
      <c r="J154" s="64">
        <f t="shared" si="21"/>
        <v>0</v>
      </c>
      <c r="K154" s="54"/>
      <c r="L154" s="130"/>
      <c r="M154" s="64">
        <f t="shared" si="22"/>
        <v>0</v>
      </c>
      <c r="N154" s="130"/>
      <c r="O154" s="64">
        <f t="shared" si="23"/>
        <v>0</v>
      </c>
      <c r="P154" s="64">
        <f t="shared" si="24"/>
        <v>0</v>
      </c>
    </row>
    <row r="155" spans="2:16" ht="12.5">
      <c r="C155" s="12" t="s">
        <v>78</v>
      </c>
      <c r="D155" s="15"/>
      <c r="E155" s="15">
        <f>SUM(E99:E154)</f>
        <v>12542999.67</v>
      </c>
      <c r="F155" s="15"/>
      <c r="G155" s="15"/>
      <c r="H155" s="15">
        <f>SUM(H99:H154)</f>
        <v>47686511.076684587</v>
      </c>
      <c r="I155" s="15">
        <f>SUM(I99:I154)</f>
        <v>47686511.076684587</v>
      </c>
      <c r="J155" s="15">
        <f>SUM(J99:J154)</f>
        <v>0</v>
      </c>
      <c r="K155" s="15"/>
      <c r="L155" s="15"/>
      <c r="M155" s="15"/>
      <c r="N155" s="15"/>
      <c r="O155" s="15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3"/>
      <c r="J156" s="3"/>
      <c r="K156" s="15"/>
      <c r="L156" s="3"/>
      <c r="M156" s="3"/>
      <c r="N156" s="3"/>
      <c r="O156" s="3"/>
      <c r="P156" s="1"/>
    </row>
    <row r="157" spans="2:16" ht="12.5">
      <c r="C157" s="85"/>
      <c r="D157" s="2"/>
      <c r="E157" s="1"/>
      <c r="F157" s="1"/>
      <c r="G157" s="1"/>
      <c r="H157" s="1"/>
      <c r="I157" s="3"/>
      <c r="J157" s="3"/>
      <c r="K157" s="15"/>
      <c r="L157" s="3"/>
      <c r="M157" s="3"/>
      <c r="N157" s="3"/>
      <c r="O157" s="3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3"/>
      <c r="J158" s="3"/>
      <c r="K158" s="15"/>
      <c r="L158" s="3"/>
      <c r="M158" s="3"/>
      <c r="N158" s="3"/>
      <c r="O158" s="3"/>
      <c r="P158" s="1"/>
    </row>
    <row r="159" spans="2:16" ht="13">
      <c r="C159" s="25" t="s">
        <v>79</v>
      </c>
      <c r="D159" s="12"/>
      <c r="E159" s="12"/>
      <c r="F159" s="12"/>
      <c r="G159" s="12"/>
      <c r="H159" s="15"/>
      <c r="I159" s="15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15"/>
      <c r="I160" s="15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15"/>
      <c r="I161" s="15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15"/>
      <c r="I162" s="15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5" priority="1" stopIfTrue="1" operator="equal">
      <formula>$I$10</formula>
    </cfRule>
  </conditionalFormatting>
  <conditionalFormatting sqref="C99:C154">
    <cfRule type="cellIs" dxfId="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3"/>
  <dimension ref="A1:Q162"/>
  <sheetViews>
    <sheetView topLeftCell="A13" zoomScaleNormal="100" zoomScaleSheetLayoutView="80" workbookViewId="0">
      <selection activeCell="D33" sqref="D33:H33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"&amp;RIGHT(MID(CELL("filename",$A$1),FIND("]",CELL("filename",$A$1))+1,256),1)&amp;" of "&amp;COUNT(S.001:S.077!$P$3)</f>
        <v>SWEPCO Project 5 of 77</v>
      </c>
      <c r="Q1" s="13"/>
    </row>
    <row r="2" spans="1:17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299804.51267473632</v>
      </c>
      <c r="P5" s="1"/>
    </row>
    <row r="6" spans="1:17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299804.51267473632</v>
      </c>
      <c r="O6" s="1"/>
      <c r="P6" s="1"/>
    </row>
    <row r="7" spans="1:17" ht="13.5" thickBot="1">
      <c r="C7" s="25" t="s">
        <v>48</v>
      </c>
      <c r="D7" s="127" t="s">
        <v>243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85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144</v>
      </c>
      <c r="E9" s="31" t="s">
        <v>494</v>
      </c>
      <c r="F9" s="31" t="s">
        <v>499</v>
      </c>
      <c r="G9" s="31"/>
      <c r="H9" s="31"/>
      <c r="I9" s="32"/>
      <c r="J9" s="33"/>
      <c r="P9" s="1"/>
    </row>
    <row r="10" spans="1:17" ht="13">
      <c r="C10" s="34" t="s">
        <v>51</v>
      </c>
      <c r="D10" s="363">
        <v>2981768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7" ht="12.5">
      <c r="C11" s="34" t="s">
        <v>54</v>
      </c>
      <c r="D11" s="37">
        <v>2009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3">
        <v>12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67767.454545454544</v>
      </c>
      <c r="J14" s="293"/>
      <c r="K14" s="293"/>
      <c r="L14" s="293"/>
      <c r="M14" s="293"/>
      <c r="N14" s="293"/>
      <c r="O14" s="1"/>
      <c r="P14" s="1"/>
    </row>
    <row r="15" spans="1:17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2009</v>
      </c>
      <c r="D17" s="133">
        <v>2111061</v>
      </c>
      <c r="E17" s="374">
        <v>0</v>
      </c>
      <c r="F17" s="133">
        <v>2111061</v>
      </c>
      <c r="G17" s="374">
        <v>26962</v>
      </c>
      <c r="H17" s="375">
        <v>26962</v>
      </c>
      <c r="I17" s="52">
        <f t="shared" ref="I17:I48" si="0">H17-G17</f>
        <v>0</v>
      </c>
      <c r="J17" s="52"/>
      <c r="K17" s="112">
        <v>26962</v>
      </c>
      <c r="L17" s="53">
        <f t="shared" ref="L17:L48" si="1">IF(K17&lt;&gt;0,+G17-K17,0)</f>
        <v>0</v>
      </c>
      <c r="M17" s="112">
        <v>26962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2010</v>
      </c>
      <c r="D18" s="137">
        <v>2981232</v>
      </c>
      <c r="E18" s="376">
        <v>78453</v>
      </c>
      <c r="F18" s="137">
        <v>2902778</v>
      </c>
      <c r="G18" s="376">
        <v>495771</v>
      </c>
      <c r="H18" s="375">
        <v>495771</v>
      </c>
      <c r="I18" s="141">
        <v>0</v>
      </c>
      <c r="J18" s="52"/>
      <c r="K18" s="113">
        <f t="shared" ref="K18:K23" si="4">G18</f>
        <v>495771</v>
      </c>
      <c r="L18" s="54">
        <f t="shared" si="1"/>
        <v>0</v>
      </c>
      <c r="M18" s="113">
        <f t="shared" ref="M18:M23" si="5">H18</f>
        <v>495771</v>
      </c>
      <c r="N18" s="54">
        <f t="shared" si="2"/>
        <v>0</v>
      </c>
      <c r="O18" s="54">
        <f t="shared" si="3"/>
        <v>0</v>
      </c>
      <c r="P18" s="1"/>
    </row>
    <row r="19" spans="2:16" ht="12.5">
      <c r="B19" s="7" t="str">
        <f>IF(D19=F18,"","IU")</f>
        <v>IU</v>
      </c>
      <c r="C19" s="50">
        <f>IF(D11="","-",+C18+1)</f>
        <v>2011</v>
      </c>
      <c r="D19" s="137">
        <v>2902779</v>
      </c>
      <c r="E19" s="376">
        <v>72712.975609756104</v>
      </c>
      <c r="F19" s="137">
        <v>2830066.0243902439</v>
      </c>
      <c r="G19" s="376">
        <v>514747.16993514739</v>
      </c>
      <c r="H19" s="375">
        <v>514747.16993514739</v>
      </c>
      <c r="I19" s="141">
        <v>0</v>
      </c>
      <c r="J19" s="52"/>
      <c r="K19" s="113">
        <f t="shared" si="4"/>
        <v>514747.16993514739</v>
      </c>
      <c r="L19" s="54">
        <f t="shared" si="1"/>
        <v>0</v>
      </c>
      <c r="M19" s="113">
        <f t="shared" si="5"/>
        <v>514747.16993514739</v>
      </c>
      <c r="N19" s="54">
        <f t="shared" si="2"/>
        <v>0</v>
      </c>
      <c r="O19" s="54">
        <f t="shared" si="3"/>
        <v>0</v>
      </c>
      <c r="P19" s="1"/>
    </row>
    <row r="20" spans="2:16" ht="12.5">
      <c r="B20" s="7" t="str">
        <f t="shared" ref="B20:B72" si="6">IF(D20=F19,"","IU")</f>
        <v/>
      </c>
      <c r="C20" s="50">
        <f>IF(D11="","-",+C19+1)</f>
        <v>2012</v>
      </c>
      <c r="D20" s="137">
        <v>2830066.0243902439</v>
      </c>
      <c r="E20" s="377">
        <v>70981.71428571429</v>
      </c>
      <c r="F20" s="137">
        <v>2759084.3101045298</v>
      </c>
      <c r="G20" s="376">
        <v>481313.11934217566</v>
      </c>
      <c r="H20" s="375">
        <v>481313.11934217566</v>
      </c>
      <c r="I20" s="141">
        <v>0</v>
      </c>
      <c r="J20" s="52"/>
      <c r="K20" s="113">
        <f t="shared" si="4"/>
        <v>481313.11934217566</v>
      </c>
      <c r="L20" s="54">
        <f t="shared" si="1"/>
        <v>0</v>
      </c>
      <c r="M20" s="113">
        <f t="shared" si="5"/>
        <v>481313.11934217566</v>
      </c>
      <c r="N20" s="54">
        <f t="shared" si="2"/>
        <v>0</v>
      </c>
      <c r="O20" s="54">
        <f t="shared" si="3"/>
        <v>0</v>
      </c>
      <c r="P20" s="1"/>
    </row>
    <row r="21" spans="2:16" ht="12.5">
      <c r="B21" s="7" t="str">
        <f t="shared" si="6"/>
        <v/>
      </c>
      <c r="C21" s="50">
        <f>IF(D12="","-",+C20+1)</f>
        <v>2013</v>
      </c>
      <c r="D21" s="137">
        <v>2759084.3101045298</v>
      </c>
      <c r="E21" s="377">
        <v>70981.71428571429</v>
      </c>
      <c r="F21" s="137">
        <v>2688102.5958188158</v>
      </c>
      <c r="G21" s="376">
        <v>447281.35299477971</v>
      </c>
      <c r="H21" s="375">
        <v>447281.35299477971</v>
      </c>
      <c r="I21" s="52">
        <v>0</v>
      </c>
      <c r="J21" s="52"/>
      <c r="K21" s="113">
        <f t="shared" si="4"/>
        <v>447281.35299477971</v>
      </c>
      <c r="L21" s="54">
        <f t="shared" ref="L21:L26" si="7">IF(K21&lt;&gt;0,+G21-K21,0)</f>
        <v>0</v>
      </c>
      <c r="M21" s="113">
        <f t="shared" si="5"/>
        <v>447281.35299477971</v>
      </c>
      <c r="N21" s="54">
        <f t="shared" ref="N21:N26" si="8">IF(M21&lt;&gt;0,+H21-M21,0)</f>
        <v>0</v>
      </c>
      <c r="O21" s="54">
        <f>+N21-L21</f>
        <v>0</v>
      </c>
      <c r="P21" s="1"/>
    </row>
    <row r="22" spans="2:16" ht="12.5">
      <c r="B22" s="7" t="str">
        <f t="shared" si="6"/>
        <v/>
      </c>
      <c r="C22" s="50">
        <f>IF(D11="","-",+C21+1)</f>
        <v>2014</v>
      </c>
      <c r="D22" s="137">
        <v>2688102.5958188158</v>
      </c>
      <c r="E22" s="377">
        <v>70981.71428571429</v>
      </c>
      <c r="F22" s="137">
        <v>2617120.8815331017</v>
      </c>
      <c r="G22" s="376">
        <v>424058.82256501901</v>
      </c>
      <c r="H22" s="375">
        <v>424058.82256501901</v>
      </c>
      <c r="I22" s="52">
        <v>0</v>
      </c>
      <c r="J22" s="52"/>
      <c r="K22" s="113">
        <f t="shared" si="4"/>
        <v>424058.82256501901</v>
      </c>
      <c r="L22" s="54">
        <f t="shared" si="7"/>
        <v>0</v>
      </c>
      <c r="M22" s="113">
        <f t="shared" si="5"/>
        <v>424058.82256501901</v>
      </c>
      <c r="N22" s="54">
        <f t="shared" si="8"/>
        <v>0</v>
      </c>
      <c r="O22" s="54">
        <f t="shared" si="3"/>
        <v>0</v>
      </c>
      <c r="P22" s="1"/>
    </row>
    <row r="23" spans="2:16" ht="12.5">
      <c r="B23" s="7" t="str">
        <f t="shared" si="6"/>
        <v/>
      </c>
      <c r="C23" s="50">
        <f>IF(D11="","-",+C22+1)</f>
        <v>2015</v>
      </c>
      <c r="D23" s="137">
        <v>2617120.8815331017</v>
      </c>
      <c r="E23" s="377">
        <v>70981.71428571429</v>
      </c>
      <c r="F23" s="137">
        <v>2546139.1672473876</v>
      </c>
      <c r="G23" s="376">
        <v>406320.46656296717</v>
      </c>
      <c r="H23" s="375">
        <v>406320.46656296717</v>
      </c>
      <c r="I23" s="52">
        <v>0</v>
      </c>
      <c r="J23" s="52"/>
      <c r="K23" s="113">
        <f t="shared" si="4"/>
        <v>406320.46656296717</v>
      </c>
      <c r="L23" s="54">
        <f t="shared" si="7"/>
        <v>0</v>
      </c>
      <c r="M23" s="113">
        <f t="shared" si="5"/>
        <v>406320.46656296717</v>
      </c>
      <c r="N23" s="54">
        <f t="shared" si="8"/>
        <v>0</v>
      </c>
      <c r="O23" s="54">
        <f>+N23-L23</f>
        <v>0</v>
      </c>
      <c r="P23" s="1"/>
    </row>
    <row r="24" spans="2:16" ht="12.5">
      <c r="B24" s="7" t="str">
        <f t="shared" si="6"/>
        <v>IU</v>
      </c>
      <c r="C24" s="50">
        <f>IF(D11="","-",+C23+1)</f>
        <v>2016</v>
      </c>
      <c r="D24" s="137">
        <v>2546675.1672473866</v>
      </c>
      <c r="E24" s="377">
        <v>70994.476190476184</v>
      </c>
      <c r="F24" s="137">
        <v>2475680.6910569104</v>
      </c>
      <c r="G24" s="376">
        <v>393030.95863797772</v>
      </c>
      <c r="H24" s="375">
        <v>393030.95863797772</v>
      </c>
      <c r="I24" s="52">
        <f t="shared" si="0"/>
        <v>0</v>
      </c>
      <c r="J24" s="52"/>
      <c r="K24" s="113">
        <f t="shared" ref="K24:K29" si="9">G24</f>
        <v>393030.95863797772</v>
      </c>
      <c r="L24" s="54">
        <f t="shared" si="7"/>
        <v>0</v>
      </c>
      <c r="M24" s="113">
        <f t="shared" ref="M24:M29" si="10">H24</f>
        <v>393030.95863797772</v>
      </c>
      <c r="N24" s="54">
        <f t="shared" si="8"/>
        <v>0</v>
      </c>
      <c r="O24" s="54">
        <f>+N24-L24</f>
        <v>0</v>
      </c>
      <c r="P24" s="1"/>
    </row>
    <row r="25" spans="2:16" ht="12.5">
      <c r="B25" s="7" t="str">
        <f t="shared" si="6"/>
        <v/>
      </c>
      <c r="C25" s="50">
        <f>IF(D11="","-",+C24+1)</f>
        <v>2017</v>
      </c>
      <c r="D25" s="137">
        <v>2475680.6910569104</v>
      </c>
      <c r="E25" s="377">
        <v>69343.441860465115</v>
      </c>
      <c r="F25" s="137">
        <v>2406337.2491964451</v>
      </c>
      <c r="G25" s="376">
        <v>371766.22774985479</v>
      </c>
      <c r="H25" s="375">
        <v>371766.22774985479</v>
      </c>
      <c r="I25" s="52">
        <f t="shared" si="0"/>
        <v>0</v>
      </c>
      <c r="J25" s="52"/>
      <c r="K25" s="113">
        <f t="shared" si="9"/>
        <v>371766.22774985479</v>
      </c>
      <c r="L25" s="54">
        <f t="shared" si="7"/>
        <v>0</v>
      </c>
      <c r="M25" s="113">
        <f t="shared" si="10"/>
        <v>371766.22774985479</v>
      </c>
      <c r="N25" s="54">
        <f t="shared" si="8"/>
        <v>0</v>
      </c>
      <c r="O25" s="54">
        <f>+N25-L25</f>
        <v>0</v>
      </c>
      <c r="P25" s="1"/>
    </row>
    <row r="26" spans="2:16" ht="12.5">
      <c r="B26" s="7" t="str">
        <f t="shared" si="6"/>
        <v/>
      </c>
      <c r="C26" s="50">
        <f>IF(D11="","-",+C25+1)</f>
        <v>2018</v>
      </c>
      <c r="D26" s="137">
        <v>2406337.2491964451</v>
      </c>
      <c r="E26" s="377">
        <v>72726.048780487807</v>
      </c>
      <c r="F26" s="137">
        <v>2333611.2004159573</v>
      </c>
      <c r="G26" s="376">
        <v>373935.78736543196</v>
      </c>
      <c r="H26" s="375">
        <v>373935.78736543196</v>
      </c>
      <c r="I26" s="52">
        <f t="shared" si="0"/>
        <v>0</v>
      </c>
      <c r="J26" s="52"/>
      <c r="K26" s="113">
        <f t="shared" si="9"/>
        <v>373935.78736543196</v>
      </c>
      <c r="L26" s="54">
        <f t="shared" si="7"/>
        <v>0</v>
      </c>
      <c r="M26" s="113">
        <f t="shared" si="10"/>
        <v>373935.78736543196</v>
      </c>
      <c r="N26" s="54">
        <f t="shared" si="8"/>
        <v>0</v>
      </c>
      <c r="O26" s="54">
        <f>+N26-L26</f>
        <v>0</v>
      </c>
      <c r="P26" s="1"/>
    </row>
    <row r="27" spans="2:16" ht="12.5">
      <c r="B27" s="7" t="str">
        <f t="shared" si="6"/>
        <v/>
      </c>
      <c r="C27" s="50">
        <f>IF(D11="","-",+C26+1)</f>
        <v>2019</v>
      </c>
      <c r="D27" s="137">
        <v>2333611.2004159573</v>
      </c>
      <c r="E27" s="377">
        <v>72726.048780487807</v>
      </c>
      <c r="F27" s="137">
        <v>2260885.1516354694</v>
      </c>
      <c r="G27" s="376">
        <v>364692.73572706321</v>
      </c>
      <c r="H27" s="375">
        <v>364692.73572706321</v>
      </c>
      <c r="I27" s="52">
        <f t="shared" si="0"/>
        <v>0</v>
      </c>
      <c r="J27" s="52"/>
      <c r="K27" s="113">
        <f t="shared" si="9"/>
        <v>364692.73572706321</v>
      </c>
      <c r="L27" s="54">
        <f t="shared" ref="L27" si="11">IF(K27&lt;&gt;0,+G27-K27,0)</f>
        <v>0</v>
      </c>
      <c r="M27" s="113">
        <f t="shared" si="10"/>
        <v>364692.73572706321</v>
      </c>
      <c r="N27" s="54">
        <f t="shared" si="2"/>
        <v>0</v>
      </c>
      <c r="O27" s="54">
        <f t="shared" si="3"/>
        <v>0</v>
      </c>
      <c r="P27" s="1"/>
    </row>
    <row r="28" spans="2:16" ht="12.5">
      <c r="B28" s="7" t="str">
        <f t="shared" si="6"/>
        <v/>
      </c>
      <c r="C28" s="50">
        <f>IF(D11="","-",+C27+1)</f>
        <v>2020</v>
      </c>
      <c r="D28" s="137">
        <v>2260885.1516354694</v>
      </c>
      <c r="E28" s="377">
        <v>72726.048780487807</v>
      </c>
      <c r="F28" s="137">
        <v>2188159.1028549816</v>
      </c>
      <c r="G28" s="376">
        <v>300373.53346769244</v>
      </c>
      <c r="H28" s="375">
        <v>300373.53346769244</v>
      </c>
      <c r="I28" s="52">
        <f t="shared" si="0"/>
        <v>0</v>
      </c>
      <c r="J28" s="52"/>
      <c r="K28" s="113">
        <f t="shared" si="9"/>
        <v>300373.53346769244</v>
      </c>
      <c r="L28" s="54">
        <f t="shared" ref="L28" si="12">IF(K28&lt;&gt;0,+G28-K28,0)</f>
        <v>0</v>
      </c>
      <c r="M28" s="113">
        <f t="shared" si="10"/>
        <v>300373.53346769244</v>
      </c>
      <c r="N28" s="54">
        <f t="shared" si="2"/>
        <v>0</v>
      </c>
      <c r="O28" s="54">
        <f t="shared" si="3"/>
        <v>0</v>
      </c>
      <c r="P28" s="1"/>
    </row>
    <row r="29" spans="2:16" ht="12.5">
      <c r="B29" s="7" t="str">
        <f t="shared" si="6"/>
        <v>IU</v>
      </c>
      <c r="C29" s="50">
        <f>IF(D11="","-",+C28+1)</f>
        <v>2021</v>
      </c>
      <c r="D29" s="137">
        <v>2191541.7097750045</v>
      </c>
      <c r="E29" s="377">
        <v>70994.476190476184</v>
      </c>
      <c r="F29" s="137">
        <v>2120547.2335845283</v>
      </c>
      <c r="G29" s="376">
        <v>299544.98950255034</v>
      </c>
      <c r="H29" s="375">
        <v>299544.98950255034</v>
      </c>
      <c r="I29" s="52">
        <f t="shared" si="0"/>
        <v>0</v>
      </c>
      <c r="J29" s="52"/>
      <c r="K29" s="113">
        <f t="shared" si="9"/>
        <v>299544.98950255034</v>
      </c>
      <c r="L29" s="54">
        <f t="shared" ref="L29" si="13">IF(K29&lt;&gt;0,+G29-K29,0)</f>
        <v>0</v>
      </c>
      <c r="M29" s="113">
        <f t="shared" si="10"/>
        <v>299544.98950255034</v>
      </c>
      <c r="N29" s="54">
        <f t="shared" si="2"/>
        <v>0</v>
      </c>
      <c r="O29" s="54">
        <f t="shared" si="3"/>
        <v>0</v>
      </c>
      <c r="P29" s="1"/>
    </row>
    <row r="30" spans="2:16" ht="12.5">
      <c r="B30" s="7" t="str">
        <f t="shared" si="6"/>
        <v>IU</v>
      </c>
      <c r="C30" s="50">
        <f>IF(D11="","-",+C29+1)</f>
        <v>2022</v>
      </c>
      <c r="D30" s="137">
        <v>2117164.6266645053</v>
      </c>
      <c r="E30" s="377">
        <v>70994.476190476184</v>
      </c>
      <c r="F30" s="137">
        <v>2046170.1504740291</v>
      </c>
      <c r="G30" s="376">
        <v>305065.68570908706</v>
      </c>
      <c r="H30" s="375">
        <v>305065.68570908706</v>
      </c>
      <c r="I30" s="52">
        <f t="shared" si="0"/>
        <v>0</v>
      </c>
      <c r="J30" s="52"/>
      <c r="K30" s="113">
        <f t="shared" ref="K30" si="14">G30</f>
        <v>305065.68570908706</v>
      </c>
      <c r="L30" s="54">
        <f t="shared" ref="L30" si="15">IF(K30&lt;&gt;0,+G30-K30,0)</f>
        <v>0</v>
      </c>
      <c r="M30" s="113">
        <f t="shared" ref="M30" si="16">H30</f>
        <v>305065.68570908706</v>
      </c>
      <c r="N30" s="54">
        <f t="shared" si="2"/>
        <v>0</v>
      </c>
      <c r="O30" s="54">
        <f t="shared" si="3"/>
        <v>0</v>
      </c>
      <c r="P30" s="1"/>
    </row>
    <row r="31" spans="2:16" ht="12.5">
      <c r="B31" s="7" t="str">
        <f t="shared" si="6"/>
        <v/>
      </c>
      <c r="C31" s="50">
        <f>IF(D11="","-",+C30+1)</f>
        <v>2023</v>
      </c>
      <c r="D31" s="137">
        <v>2046170.1504740291</v>
      </c>
      <c r="E31" s="377">
        <v>70994.476190476184</v>
      </c>
      <c r="F31" s="137">
        <v>1975175.6742835529</v>
      </c>
      <c r="G31" s="376">
        <v>324996.32688893087</v>
      </c>
      <c r="H31" s="375">
        <v>324996.32688893087</v>
      </c>
      <c r="I31" s="52">
        <f t="shared" si="0"/>
        <v>0</v>
      </c>
      <c r="J31" s="52"/>
      <c r="K31" s="113">
        <f t="shared" ref="K31" si="17">G31</f>
        <v>324996.32688893087</v>
      </c>
      <c r="L31" s="54">
        <f t="shared" ref="L31" si="18">IF(K31&lt;&gt;0,+G31-K31,0)</f>
        <v>0</v>
      </c>
      <c r="M31" s="113">
        <f t="shared" ref="M31" si="19">H31</f>
        <v>324996.32688893087</v>
      </c>
      <c r="N31" s="54">
        <f t="shared" si="2"/>
        <v>0</v>
      </c>
      <c r="O31" s="54">
        <f t="shared" si="3"/>
        <v>0</v>
      </c>
      <c r="P31" s="1"/>
    </row>
    <row r="32" spans="2:16" ht="12.5">
      <c r="B32" s="7" t="str">
        <f t="shared" si="6"/>
        <v/>
      </c>
      <c r="C32" s="50">
        <f>IF(D11="","-",+C31+1)</f>
        <v>2024</v>
      </c>
      <c r="D32" s="137">
        <v>1975175.6742835529</v>
      </c>
      <c r="E32" s="377">
        <v>67767.454545454544</v>
      </c>
      <c r="F32" s="137">
        <v>1907408.2197380983</v>
      </c>
      <c r="G32" s="376">
        <v>299804.51267473632</v>
      </c>
      <c r="H32" s="375">
        <v>299804.51267473632</v>
      </c>
      <c r="I32" s="52">
        <f t="shared" si="0"/>
        <v>0</v>
      </c>
      <c r="J32" s="52"/>
      <c r="K32" s="113">
        <f t="shared" ref="K32" si="20">G32</f>
        <v>299804.51267473632</v>
      </c>
      <c r="L32" s="54">
        <f t="shared" ref="L32" si="21">IF(K32&lt;&gt;0,+G32-K32,0)</f>
        <v>0</v>
      </c>
      <c r="M32" s="113">
        <f t="shared" ref="M32" si="22">H32</f>
        <v>299804.51267473632</v>
      </c>
      <c r="N32" s="54">
        <f t="shared" ref="N32" si="23">IF(M32&lt;&gt;0,+H32-M32,0)</f>
        <v>0</v>
      </c>
      <c r="O32" s="54">
        <f t="shared" ref="O32" si="24">+N32-L32</f>
        <v>0</v>
      </c>
      <c r="P32" s="1"/>
    </row>
    <row r="33" spans="2:16" ht="12.5">
      <c r="B33" s="7" t="str">
        <f t="shared" si="6"/>
        <v/>
      </c>
      <c r="C33" s="50">
        <f>IF(D11="","-",+C32+1)</f>
        <v>2025</v>
      </c>
      <c r="D33" s="55">
        <f>IF(F32+SUM(E$17:E32)=D$10,F32,D$10-SUM(E$17:E32))</f>
        <v>1907408.2197380983</v>
      </c>
      <c r="E33" s="378">
        <f>IF(+I14&lt;F32,I14,D33)</f>
        <v>67767.454545454544</v>
      </c>
      <c r="F33" s="55">
        <f t="shared" ref="F33:F48" si="25">+D33-E33</f>
        <v>1839640.7651926437</v>
      </c>
      <c r="G33" s="379">
        <f t="shared" ref="G33:G72" si="26">+I$12*((D33+F33)/2)+E33</f>
        <v>291704.46321342286</v>
      </c>
      <c r="H33" s="364">
        <f t="shared" ref="H33:H72" si="27">+I$13*((D33+F33)/2)+E33</f>
        <v>291704.46321342286</v>
      </c>
      <c r="I33" s="52">
        <f t="shared" si="0"/>
        <v>0</v>
      </c>
      <c r="J33" s="52"/>
      <c r="K33" s="129"/>
      <c r="L33" s="54">
        <f t="shared" si="1"/>
        <v>0</v>
      </c>
      <c r="M33" s="129"/>
      <c r="N33" s="54">
        <f t="shared" si="2"/>
        <v>0</v>
      </c>
      <c r="O33" s="54">
        <f t="shared" si="3"/>
        <v>0</v>
      </c>
      <c r="P33" s="1"/>
    </row>
    <row r="34" spans="2:16" ht="12.5">
      <c r="B34" s="7" t="str">
        <f t="shared" si="6"/>
        <v/>
      </c>
      <c r="C34" s="50">
        <f>IF(D11="","-",+C33+1)</f>
        <v>2026</v>
      </c>
      <c r="D34" s="55">
        <f>IF(F33+SUM(E$17:E33)=D$10,F33,D$10-SUM(E$17:E33))</f>
        <v>1839640.7651926437</v>
      </c>
      <c r="E34" s="378">
        <f>IF(+I14&lt;F33,I14,D34)</f>
        <v>67767.454545454544</v>
      </c>
      <c r="F34" s="55">
        <f t="shared" si="25"/>
        <v>1771873.3106471892</v>
      </c>
      <c r="G34" s="379">
        <f t="shared" si="26"/>
        <v>283604.41375210945</v>
      </c>
      <c r="H34" s="364">
        <f t="shared" si="27"/>
        <v>283604.41375210945</v>
      </c>
      <c r="I34" s="52">
        <f t="shared" si="0"/>
        <v>0</v>
      </c>
      <c r="J34" s="52"/>
      <c r="K34" s="129"/>
      <c r="L34" s="54">
        <f t="shared" si="1"/>
        <v>0</v>
      </c>
      <c r="M34" s="129"/>
      <c r="N34" s="54">
        <f t="shared" si="2"/>
        <v>0</v>
      </c>
      <c r="O34" s="54">
        <f t="shared" si="3"/>
        <v>0</v>
      </c>
      <c r="P34" s="1"/>
    </row>
    <row r="35" spans="2:16" ht="12.5">
      <c r="B35" s="7" t="str">
        <f t="shared" si="6"/>
        <v/>
      </c>
      <c r="C35" s="50">
        <f>IF(D11="","-",+C34+1)</f>
        <v>2027</v>
      </c>
      <c r="D35" s="55">
        <f>IF(F34+SUM(E$17:E34)=D$10,F34,D$10-SUM(E$17:E34))</f>
        <v>1771873.3106471892</v>
      </c>
      <c r="E35" s="378">
        <f>IF(+I14&lt;F34,I14,D35)</f>
        <v>67767.454545454544</v>
      </c>
      <c r="F35" s="55">
        <f t="shared" si="25"/>
        <v>1704105.8561017346</v>
      </c>
      <c r="G35" s="379">
        <f t="shared" si="26"/>
        <v>275504.36429079605</v>
      </c>
      <c r="H35" s="364">
        <f t="shared" si="27"/>
        <v>275504.36429079605</v>
      </c>
      <c r="I35" s="52">
        <f t="shared" si="0"/>
        <v>0</v>
      </c>
      <c r="J35" s="52"/>
      <c r="K35" s="129"/>
      <c r="L35" s="54">
        <f t="shared" si="1"/>
        <v>0</v>
      </c>
      <c r="M35" s="129"/>
      <c r="N35" s="54">
        <f t="shared" si="2"/>
        <v>0</v>
      </c>
      <c r="O35" s="54">
        <f t="shared" si="3"/>
        <v>0</v>
      </c>
      <c r="P35" s="1"/>
    </row>
    <row r="36" spans="2:16" ht="12.5">
      <c r="B36" s="7" t="str">
        <f t="shared" si="6"/>
        <v/>
      </c>
      <c r="C36" s="50">
        <f>IF(D11="","-",+C35+1)</f>
        <v>2028</v>
      </c>
      <c r="D36" s="55">
        <f>IF(F35+SUM(E$17:E35)=D$10,F35,D$10-SUM(E$17:E35))</f>
        <v>1704105.8561017346</v>
      </c>
      <c r="E36" s="378">
        <f>IF(+I14&lt;F35,I14,D36)</f>
        <v>67767.454545454544</v>
      </c>
      <c r="F36" s="55">
        <f t="shared" si="25"/>
        <v>1636338.40155628</v>
      </c>
      <c r="G36" s="379">
        <f t="shared" si="26"/>
        <v>267404.31482948264</v>
      </c>
      <c r="H36" s="364">
        <f t="shared" si="27"/>
        <v>267404.31482948264</v>
      </c>
      <c r="I36" s="52">
        <f t="shared" si="0"/>
        <v>0</v>
      </c>
      <c r="J36" s="52"/>
      <c r="K36" s="129"/>
      <c r="L36" s="54">
        <f t="shared" si="1"/>
        <v>0</v>
      </c>
      <c r="M36" s="129"/>
      <c r="N36" s="54">
        <f t="shared" si="2"/>
        <v>0</v>
      </c>
      <c r="O36" s="54">
        <f t="shared" si="3"/>
        <v>0</v>
      </c>
      <c r="P36" s="1"/>
    </row>
    <row r="37" spans="2:16" ht="12.5">
      <c r="B37" s="7" t="str">
        <f t="shared" si="6"/>
        <v/>
      </c>
      <c r="C37" s="50">
        <f>IF(D11="","-",+C36+1)</f>
        <v>2029</v>
      </c>
      <c r="D37" s="55">
        <f>IF(F36+SUM(E$17:E36)=D$10,F36,D$10-SUM(E$17:E36))</f>
        <v>1636338.40155628</v>
      </c>
      <c r="E37" s="378">
        <f>IF(+I14&lt;F36,I14,D37)</f>
        <v>67767.454545454544</v>
      </c>
      <c r="F37" s="55">
        <f t="shared" si="25"/>
        <v>1568570.9470108254</v>
      </c>
      <c r="G37" s="379">
        <f t="shared" si="26"/>
        <v>259304.26536816923</v>
      </c>
      <c r="H37" s="364">
        <f t="shared" si="27"/>
        <v>259304.26536816923</v>
      </c>
      <c r="I37" s="52">
        <f t="shared" si="0"/>
        <v>0</v>
      </c>
      <c r="J37" s="52"/>
      <c r="K37" s="129"/>
      <c r="L37" s="54">
        <f t="shared" si="1"/>
        <v>0</v>
      </c>
      <c r="M37" s="129"/>
      <c r="N37" s="54">
        <f t="shared" si="2"/>
        <v>0</v>
      </c>
      <c r="O37" s="54">
        <f t="shared" si="3"/>
        <v>0</v>
      </c>
      <c r="P37" s="1"/>
    </row>
    <row r="38" spans="2:16" ht="12.5">
      <c r="B38" s="7" t="str">
        <f t="shared" si="6"/>
        <v/>
      </c>
      <c r="C38" s="50">
        <f>IF(D11="","-",+C37+1)</f>
        <v>2030</v>
      </c>
      <c r="D38" s="55">
        <f>IF(F37+SUM(E$17:E37)=D$10,F37,D$10-SUM(E$17:E37))</f>
        <v>1568570.9470108254</v>
      </c>
      <c r="E38" s="378">
        <f>IF(+I14&lt;F37,I14,D38)</f>
        <v>67767.454545454544</v>
      </c>
      <c r="F38" s="55">
        <f t="shared" si="25"/>
        <v>1500803.4924653708</v>
      </c>
      <c r="G38" s="379">
        <f t="shared" si="26"/>
        <v>251204.21590685582</v>
      </c>
      <c r="H38" s="364">
        <f t="shared" si="27"/>
        <v>251204.21590685582</v>
      </c>
      <c r="I38" s="52">
        <f t="shared" si="0"/>
        <v>0</v>
      </c>
      <c r="J38" s="52"/>
      <c r="K38" s="129"/>
      <c r="L38" s="54">
        <f t="shared" si="1"/>
        <v>0</v>
      </c>
      <c r="M38" s="129"/>
      <c r="N38" s="54">
        <f t="shared" si="2"/>
        <v>0</v>
      </c>
      <c r="O38" s="54">
        <f t="shared" si="3"/>
        <v>0</v>
      </c>
      <c r="P38" s="1"/>
    </row>
    <row r="39" spans="2:16" ht="12.5">
      <c r="B39" s="7" t="str">
        <f t="shared" si="6"/>
        <v/>
      </c>
      <c r="C39" s="50">
        <f>IF(D11="","-",+C38+1)</f>
        <v>2031</v>
      </c>
      <c r="D39" s="55">
        <f>IF(F38+SUM(E$17:E38)=D$10,F38,D$10-SUM(E$17:E38))</f>
        <v>1500803.4924653708</v>
      </c>
      <c r="E39" s="378">
        <f>IF(+I14&lt;F38,I14,D39)</f>
        <v>67767.454545454544</v>
      </c>
      <c r="F39" s="55">
        <f t="shared" si="25"/>
        <v>1433036.0379199162</v>
      </c>
      <c r="G39" s="379">
        <f t="shared" si="26"/>
        <v>243104.16644554242</v>
      </c>
      <c r="H39" s="364">
        <f t="shared" si="27"/>
        <v>243104.16644554242</v>
      </c>
      <c r="I39" s="52">
        <f t="shared" si="0"/>
        <v>0</v>
      </c>
      <c r="J39" s="52"/>
      <c r="K39" s="129"/>
      <c r="L39" s="54">
        <f t="shared" si="1"/>
        <v>0</v>
      </c>
      <c r="M39" s="129"/>
      <c r="N39" s="54">
        <f t="shared" si="2"/>
        <v>0</v>
      </c>
      <c r="O39" s="54">
        <f t="shared" si="3"/>
        <v>0</v>
      </c>
      <c r="P39" s="1"/>
    </row>
    <row r="40" spans="2:16" ht="12.5">
      <c r="B40" s="7" t="str">
        <f t="shared" si="6"/>
        <v/>
      </c>
      <c r="C40" s="50">
        <f>IF(D11="","-",+C39+1)</f>
        <v>2032</v>
      </c>
      <c r="D40" s="55">
        <f>IF(F39+SUM(E$17:E39)=D$10,F39,D$10-SUM(E$17:E39))</f>
        <v>1433036.0379199162</v>
      </c>
      <c r="E40" s="378">
        <f>IF(+I14&lt;F39,I14,D40)</f>
        <v>67767.454545454544</v>
      </c>
      <c r="F40" s="55">
        <f t="shared" si="25"/>
        <v>1365268.5833744616</v>
      </c>
      <c r="G40" s="379">
        <f t="shared" si="26"/>
        <v>235004.11698422901</v>
      </c>
      <c r="H40" s="364">
        <f t="shared" si="27"/>
        <v>235004.11698422901</v>
      </c>
      <c r="I40" s="52">
        <f t="shared" si="0"/>
        <v>0</v>
      </c>
      <c r="J40" s="52"/>
      <c r="K40" s="129"/>
      <c r="L40" s="54">
        <f t="shared" si="1"/>
        <v>0</v>
      </c>
      <c r="M40" s="129"/>
      <c r="N40" s="54">
        <f t="shared" si="2"/>
        <v>0</v>
      </c>
      <c r="O40" s="54">
        <f t="shared" si="3"/>
        <v>0</v>
      </c>
      <c r="P40" s="1"/>
    </row>
    <row r="41" spans="2:16" ht="12.5">
      <c r="B41" s="7" t="str">
        <f t="shared" si="6"/>
        <v/>
      </c>
      <c r="C41" s="50">
        <f>IF(D11="","-",+C40+1)</f>
        <v>2033</v>
      </c>
      <c r="D41" s="55">
        <f>IF(F40+SUM(E$17:E40)=D$10,F40,D$10-SUM(E$17:E40))</f>
        <v>1365268.5833744616</v>
      </c>
      <c r="E41" s="378">
        <f>IF(+I14&lt;F40,I14,D41)</f>
        <v>67767.454545454544</v>
      </c>
      <c r="F41" s="55">
        <f t="shared" si="25"/>
        <v>1297501.128829007</v>
      </c>
      <c r="G41" s="379">
        <f t="shared" si="26"/>
        <v>226904.0675229156</v>
      </c>
      <c r="H41" s="364">
        <f t="shared" si="27"/>
        <v>226904.0675229156</v>
      </c>
      <c r="I41" s="52">
        <f t="shared" si="0"/>
        <v>0</v>
      </c>
      <c r="J41" s="52"/>
      <c r="K41" s="129"/>
      <c r="L41" s="54">
        <f t="shared" si="1"/>
        <v>0</v>
      </c>
      <c r="M41" s="129"/>
      <c r="N41" s="54">
        <f t="shared" si="2"/>
        <v>0</v>
      </c>
      <c r="O41" s="54">
        <f t="shared" si="3"/>
        <v>0</v>
      </c>
      <c r="P41" s="1"/>
    </row>
    <row r="42" spans="2:16" ht="12.5">
      <c r="B42" s="7" t="str">
        <f t="shared" si="6"/>
        <v/>
      </c>
      <c r="C42" s="50">
        <f>IF(D11="","-",+C41+1)</f>
        <v>2034</v>
      </c>
      <c r="D42" s="55">
        <f>IF(F41+SUM(E$17:E41)=D$10,F41,D$10-SUM(E$17:E41))</f>
        <v>1297501.128829007</v>
      </c>
      <c r="E42" s="378">
        <f>IF(+I14&lt;F41,I14,D42)</f>
        <v>67767.454545454544</v>
      </c>
      <c r="F42" s="55">
        <f t="shared" si="25"/>
        <v>1229733.6742835524</v>
      </c>
      <c r="G42" s="379">
        <f t="shared" si="26"/>
        <v>218804.01806160214</v>
      </c>
      <c r="H42" s="364">
        <f t="shared" si="27"/>
        <v>218804.01806160214</v>
      </c>
      <c r="I42" s="52">
        <f t="shared" si="0"/>
        <v>0</v>
      </c>
      <c r="J42" s="52"/>
      <c r="K42" s="129"/>
      <c r="L42" s="54">
        <f t="shared" si="1"/>
        <v>0</v>
      </c>
      <c r="M42" s="129"/>
      <c r="N42" s="54">
        <f t="shared" si="2"/>
        <v>0</v>
      </c>
      <c r="O42" s="54">
        <f t="shared" si="3"/>
        <v>0</v>
      </c>
      <c r="P42" s="1"/>
    </row>
    <row r="43" spans="2:16" ht="12.5">
      <c r="B43" s="7" t="str">
        <f t="shared" si="6"/>
        <v/>
      </c>
      <c r="C43" s="50">
        <f>IF(D11="","-",+C42+1)</f>
        <v>2035</v>
      </c>
      <c r="D43" s="55">
        <f>IF(F42+SUM(E$17:E42)=D$10,F42,D$10-SUM(E$17:E42))</f>
        <v>1229733.6742835524</v>
      </c>
      <c r="E43" s="378">
        <f>IF(+I14&lt;F42,I14,D43)</f>
        <v>67767.454545454544</v>
      </c>
      <c r="F43" s="55">
        <f t="shared" si="25"/>
        <v>1161966.2197380979</v>
      </c>
      <c r="G43" s="379">
        <f t="shared" si="26"/>
        <v>210703.96860028873</v>
      </c>
      <c r="H43" s="364">
        <f t="shared" si="27"/>
        <v>210703.96860028873</v>
      </c>
      <c r="I43" s="52">
        <f t="shared" si="0"/>
        <v>0</v>
      </c>
      <c r="J43" s="52"/>
      <c r="K43" s="129"/>
      <c r="L43" s="54">
        <f t="shared" si="1"/>
        <v>0</v>
      </c>
      <c r="M43" s="129"/>
      <c r="N43" s="54">
        <f t="shared" si="2"/>
        <v>0</v>
      </c>
      <c r="O43" s="54">
        <f t="shared" si="3"/>
        <v>0</v>
      </c>
      <c r="P43" s="1"/>
    </row>
    <row r="44" spans="2:16" ht="12.5">
      <c r="B44" s="7" t="str">
        <f t="shared" si="6"/>
        <v/>
      </c>
      <c r="C44" s="50">
        <f>IF(D11="","-",+C43+1)</f>
        <v>2036</v>
      </c>
      <c r="D44" s="55">
        <f>IF(F43+SUM(E$17:E43)=D$10,F43,D$10-SUM(E$17:E43))</f>
        <v>1161966.2197380979</v>
      </c>
      <c r="E44" s="378">
        <f>IF(+I14&lt;F43,I14,D44)</f>
        <v>67767.454545454544</v>
      </c>
      <c r="F44" s="55">
        <f t="shared" si="25"/>
        <v>1094198.7651926433</v>
      </c>
      <c r="G44" s="379">
        <f t="shared" si="26"/>
        <v>202603.91913897533</v>
      </c>
      <c r="H44" s="364">
        <f t="shared" si="27"/>
        <v>202603.91913897533</v>
      </c>
      <c r="I44" s="52">
        <f t="shared" si="0"/>
        <v>0</v>
      </c>
      <c r="J44" s="52"/>
      <c r="K44" s="129"/>
      <c r="L44" s="54">
        <f t="shared" si="1"/>
        <v>0</v>
      </c>
      <c r="M44" s="129"/>
      <c r="N44" s="54">
        <f t="shared" si="2"/>
        <v>0</v>
      </c>
      <c r="O44" s="54">
        <f t="shared" si="3"/>
        <v>0</v>
      </c>
      <c r="P44" s="1"/>
    </row>
    <row r="45" spans="2:16" ht="12.5">
      <c r="B45" s="7" t="str">
        <f t="shared" si="6"/>
        <v/>
      </c>
      <c r="C45" s="50">
        <f>IF(D11="","-",+C44+1)</f>
        <v>2037</v>
      </c>
      <c r="D45" s="55">
        <f>IF(F44+SUM(E$17:E44)=D$10,F44,D$10-SUM(E$17:E44))</f>
        <v>1094198.7651926433</v>
      </c>
      <c r="E45" s="378">
        <f>IF(+I14&lt;F44,I14,D45)</f>
        <v>67767.454545454544</v>
      </c>
      <c r="F45" s="55">
        <f t="shared" si="25"/>
        <v>1026431.3106471887</v>
      </c>
      <c r="G45" s="379">
        <f t="shared" si="26"/>
        <v>194503.86967766192</v>
      </c>
      <c r="H45" s="364">
        <f t="shared" si="27"/>
        <v>194503.86967766192</v>
      </c>
      <c r="I45" s="52">
        <f t="shared" si="0"/>
        <v>0</v>
      </c>
      <c r="J45" s="52"/>
      <c r="K45" s="129"/>
      <c r="L45" s="54">
        <f t="shared" si="1"/>
        <v>0</v>
      </c>
      <c r="M45" s="129"/>
      <c r="N45" s="54">
        <f t="shared" si="2"/>
        <v>0</v>
      </c>
      <c r="O45" s="54">
        <f t="shared" si="3"/>
        <v>0</v>
      </c>
      <c r="P45" s="1"/>
    </row>
    <row r="46" spans="2:16" ht="12.5">
      <c r="B46" s="7" t="str">
        <f t="shared" si="6"/>
        <v/>
      </c>
      <c r="C46" s="50">
        <f>IF(D11="","-",+C45+1)</f>
        <v>2038</v>
      </c>
      <c r="D46" s="55">
        <f>IF(F45+SUM(E$17:E45)=D$10,F45,D$10-SUM(E$17:E45))</f>
        <v>1026431.3106471887</v>
      </c>
      <c r="E46" s="378">
        <f>IF(+I14&lt;F45,I14,D46)</f>
        <v>67767.454545454544</v>
      </c>
      <c r="F46" s="55">
        <f t="shared" si="25"/>
        <v>958663.8561017341</v>
      </c>
      <c r="G46" s="379">
        <f t="shared" si="26"/>
        <v>186403.82021634851</v>
      </c>
      <c r="H46" s="364">
        <f t="shared" si="27"/>
        <v>186403.82021634851</v>
      </c>
      <c r="I46" s="52">
        <f t="shared" si="0"/>
        <v>0</v>
      </c>
      <c r="J46" s="52"/>
      <c r="K46" s="129"/>
      <c r="L46" s="54">
        <f t="shared" si="1"/>
        <v>0</v>
      </c>
      <c r="M46" s="129"/>
      <c r="N46" s="54">
        <f t="shared" si="2"/>
        <v>0</v>
      </c>
      <c r="O46" s="54">
        <f t="shared" si="3"/>
        <v>0</v>
      </c>
      <c r="P46" s="1"/>
    </row>
    <row r="47" spans="2:16" ht="12.5">
      <c r="B47" s="7" t="str">
        <f t="shared" si="6"/>
        <v/>
      </c>
      <c r="C47" s="50">
        <f>IF(D11="","-",+C46+1)</f>
        <v>2039</v>
      </c>
      <c r="D47" s="55">
        <f>IF(F46+SUM(E$17:E46)=D$10,F46,D$10-SUM(E$17:E46))</f>
        <v>958663.8561017341</v>
      </c>
      <c r="E47" s="378">
        <f>IF(+I14&lt;F46,I14,D47)</f>
        <v>67767.454545454544</v>
      </c>
      <c r="F47" s="55">
        <f t="shared" si="25"/>
        <v>890896.40155627951</v>
      </c>
      <c r="G47" s="379">
        <f t="shared" si="26"/>
        <v>178303.7707550351</v>
      </c>
      <c r="H47" s="364">
        <f t="shared" si="27"/>
        <v>178303.7707550351</v>
      </c>
      <c r="I47" s="52">
        <f t="shared" si="0"/>
        <v>0</v>
      </c>
      <c r="J47" s="52"/>
      <c r="K47" s="129"/>
      <c r="L47" s="54">
        <f t="shared" si="1"/>
        <v>0</v>
      </c>
      <c r="M47" s="129"/>
      <c r="N47" s="54">
        <f t="shared" si="2"/>
        <v>0</v>
      </c>
      <c r="O47" s="54">
        <f t="shared" si="3"/>
        <v>0</v>
      </c>
      <c r="P47" s="1"/>
    </row>
    <row r="48" spans="2:16" ht="12.5">
      <c r="B48" s="7" t="str">
        <f t="shared" si="6"/>
        <v/>
      </c>
      <c r="C48" s="50">
        <f>IF(D11="","-",+C47+1)</f>
        <v>2040</v>
      </c>
      <c r="D48" s="55">
        <f>IF(F47+SUM(E$17:E47)=D$10,F47,D$10-SUM(E$17:E47))</f>
        <v>890896.40155627951</v>
      </c>
      <c r="E48" s="378">
        <f>IF(+I14&lt;F47,I14,D48)</f>
        <v>67767.454545454544</v>
      </c>
      <c r="F48" s="55">
        <f t="shared" si="25"/>
        <v>823128.94701082492</v>
      </c>
      <c r="G48" s="379">
        <f t="shared" si="26"/>
        <v>170203.7212937217</v>
      </c>
      <c r="H48" s="364">
        <f t="shared" si="27"/>
        <v>170203.7212937217</v>
      </c>
      <c r="I48" s="52">
        <f t="shared" si="0"/>
        <v>0</v>
      </c>
      <c r="J48" s="52"/>
      <c r="K48" s="129"/>
      <c r="L48" s="54">
        <f t="shared" si="1"/>
        <v>0</v>
      </c>
      <c r="M48" s="129"/>
      <c r="N48" s="54">
        <f t="shared" si="2"/>
        <v>0</v>
      </c>
      <c r="O48" s="54">
        <f t="shared" si="3"/>
        <v>0</v>
      </c>
      <c r="P48" s="1"/>
    </row>
    <row r="49" spans="2:17" ht="12.5">
      <c r="B49" s="7" t="str">
        <f t="shared" si="6"/>
        <v/>
      </c>
      <c r="C49" s="50">
        <f>IF(D11="","-",+C48+1)</f>
        <v>2041</v>
      </c>
      <c r="D49" s="55">
        <f>IF(F48+SUM(E$17:E48)=D$10,F48,D$10-SUM(E$17:E48))</f>
        <v>823128.94701082492</v>
      </c>
      <c r="E49" s="378">
        <f>IF(+I14&lt;F48,I14,D49)</f>
        <v>67767.454545454544</v>
      </c>
      <c r="F49" s="55">
        <f t="shared" ref="F49:F72" si="28">+D49-E49</f>
        <v>755361.49246537033</v>
      </c>
      <c r="G49" s="379">
        <f t="shared" si="26"/>
        <v>162103.67183240829</v>
      </c>
      <c r="H49" s="364">
        <f t="shared" si="27"/>
        <v>162103.67183240829</v>
      </c>
      <c r="I49" s="52">
        <f t="shared" ref="I49:I72" si="29">H49-G49</f>
        <v>0</v>
      </c>
      <c r="J49" s="52"/>
      <c r="K49" s="129"/>
      <c r="L49" s="54">
        <f t="shared" ref="L49:L72" si="30">IF(K49&lt;&gt;0,+G49-K49,0)</f>
        <v>0</v>
      </c>
      <c r="M49" s="129"/>
      <c r="N49" s="54">
        <f t="shared" ref="N49:N72" si="31">IF(M49&lt;&gt;0,+H49-M49,0)</f>
        <v>0</v>
      </c>
      <c r="O49" s="54">
        <f t="shared" ref="O49:O72" si="32">+N49-L49</f>
        <v>0</v>
      </c>
      <c r="P49" s="1"/>
    </row>
    <row r="50" spans="2:17" ht="12.5">
      <c r="B50" s="7" t="str">
        <f t="shared" si="6"/>
        <v/>
      </c>
      <c r="C50" s="50">
        <f>IF(D11="","-",+C49+1)</f>
        <v>2042</v>
      </c>
      <c r="D50" s="55">
        <f>IF(F49+SUM(E$17:E49)=D$10,F49,D$10-SUM(E$17:E49))</f>
        <v>755361.49246537033</v>
      </c>
      <c r="E50" s="378">
        <f>IF(+I14&lt;F49,I14,D50)</f>
        <v>67767.454545454544</v>
      </c>
      <c r="F50" s="55">
        <f t="shared" si="28"/>
        <v>687594.03791991575</v>
      </c>
      <c r="G50" s="379">
        <f t="shared" si="26"/>
        <v>154003.62237109485</v>
      </c>
      <c r="H50" s="364">
        <f t="shared" si="27"/>
        <v>154003.62237109485</v>
      </c>
      <c r="I50" s="52">
        <f t="shared" si="29"/>
        <v>0</v>
      </c>
      <c r="J50" s="52"/>
      <c r="K50" s="129"/>
      <c r="L50" s="54">
        <f t="shared" si="30"/>
        <v>0</v>
      </c>
      <c r="M50" s="129"/>
      <c r="N50" s="54">
        <f t="shared" si="31"/>
        <v>0</v>
      </c>
      <c r="O50" s="54">
        <f t="shared" si="32"/>
        <v>0</v>
      </c>
      <c r="P50" s="1"/>
    </row>
    <row r="51" spans="2:17" ht="12.5">
      <c r="B51" s="7" t="str">
        <f t="shared" si="6"/>
        <v/>
      </c>
      <c r="C51" s="50">
        <f>IF(D11="","-",+C50+1)</f>
        <v>2043</v>
      </c>
      <c r="D51" s="55">
        <f>IF(F50+SUM(E$17:E50)=D$10,F50,D$10-SUM(E$17:E50))</f>
        <v>687594.03791991575</v>
      </c>
      <c r="E51" s="378">
        <f>IF(+I14&lt;F50,I14,D51)</f>
        <v>67767.454545454544</v>
      </c>
      <c r="F51" s="55">
        <f t="shared" si="28"/>
        <v>619826.58337446116</v>
      </c>
      <c r="G51" s="379">
        <f t="shared" si="26"/>
        <v>145903.57290978145</v>
      </c>
      <c r="H51" s="364">
        <f t="shared" si="27"/>
        <v>145903.57290978145</v>
      </c>
      <c r="I51" s="52">
        <f t="shared" si="29"/>
        <v>0</v>
      </c>
      <c r="J51" s="52"/>
      <c r="K51" s="129"/>
      <c r="L51" s="54">
        <f t="shared" si="30"/>
        <v>0</v>
      </c>
      <c r="M51" s="129"/>
      <c r="N51" s="54">
        <f t="shared" si="31"/>
        <v>0</v>
      </c>
      <c r="O51" s="54">
        <f t="shared" si="32"/>
        <v>0</v>
      </c>
      <c r="P51" s="1"/>
    </row>
    <row r="52" spans="2:17" ht="12.5">
      <c r="B52" s="7" t="str">
        <f t="shared" si="6"/>
        <v/>
      </c>
      <c r="C52" s="50">
        <f>IF(D11="","-",+C51+1)</f>
        <v>2044</v>
      </c>
      <c r="D52" s="55">
        <f>IF(F51+SUM(E$17:E51)=D$10,F51,D$10-SUM(E$17:E51))</f>
        <v>619826.58337446116</v>
      </c>
      <c r="E52" s="378">
        <f>IF(+I14&lt;F51,I14,D52)</f>
        <v>67767.454545454544</v>
      </c>
      <c r="F52" s="55">
        <f t="shared" si="28"/>
        <v>552059.12882900657</v>
      </c>
      <c r="G52" s="379">
        <f t="shared" si="26"/>
        <v>137803.52344846804</v>
      </c>
      <c r="H52" s="364">
        <f t="shared" si="27"/>
        <v>137803.52344846804</v>
      </c>
      <c r="I52" s="52">
        <f t="shared" si="29"/>
        <v>0</v>
      </c>
      <c r="J52" s="52"/>
      <c r="K52" s="129"/>
      <c r="L52" s="54">
        <f t="shared" si="30"/>
        <v>0</v>
      </c>
      <c r="M52" s="129"/>
      <c r="N52" s="54">
        <f t="shared" si="31"/>
        <v>0</v>
      </c>
      <c r="O52" s="54">
        <f t="shared" si="32"/>
        <v>0</v>
      </c>
      <c r="P52" s="1"/>
    </row>
    <row r="53" spans="2:17" ht="12.5">
      <c r="B53" s="7" t="str">
        <f t="shared" si="6"/>
        <v/>
      </c>
      <c r="C53" s="50">
        <f>IF(D11="","-",+C52+1)</f>
        <v>2045</v>
      </c>
      <c r="D53" s="55">
        <f>IF(F52+SUM(E$17:E52)=D$10,F52,D$10-SUM(E$17:E52))</f>
        <v>552059.12882900657</v>
      </c>
      <c r="E53" s="378">
        <f>IF(+I14&lt;F52,I14,D53)</f>
        <v>67767.454545454544</v>
      </c>
      <c r="F53" s="55">
        <f t="shared" si="28"/>
        <v>484291.67428355204</v>
      </c>
      <c r="G53" s="379">
        <f t="shared" si="26"/>
        <v>129703.47398715462</v>
      </c>
      <c r="H53" s="364">
        <f t="shared" si="27"/>
        <v>129703.47398715462</v>
      </c>
      <c r="I53" s="52">
        <f t="shared" si="29"/>
        <v>0</v>
      </c>
      <c r="J53" s="52"/>
      <c r="K53" s="129"/>
      <c r="L53" s="54">
        <f t="shared" si="30"/>
        <v>0</v>
      </c>
      <c r="M53" s="129"/>
      <c r="N53" s="54">
        <f t="shared" si="31"/>
        <v>0</v>
      </c>
      <c r="O53" s="54">
        <f t="shared" si="32"/>
        <v>0</v>
      </c>
      <c r="P53" s="1"/>
    </row>
    <row r="54" spans="2:17" ht="12.5">
      <c r="B54" s="7" t="str">
        <f t="shared" si="6"/>
        <v/>
      </c>
      <c r="C54" s="50">
        <f>IF(D11="","-",+C53+1)</f>
        <v>2046</v>
      </c>
      <c r="D54" s="55">
        <f>IF(F53+SUM(E$17:E53)=D$10,F53,D$10-SUM(E$17:E53))</f>
        <v>484291.67428355204</v>
      </c>
      <c r="E54" s="378">
        <f>IF(+I14&lt;F53,I14,D54)</f>
        <v>67767.454545454544</v>
      </c>
      <c r="F54" s="55">
        <f t="shared" si="28"/>
        <v>416524.21973809751</v>
      </c>
      <c r="G54" s="379">
        <f t="shared" si="26"/>
        <v>121603.42452584123</v>
      </c>
      <c r="H54" s="364">
        <f t="shared" si="27"/>
        <v>121603.42452584123</v>
      </c>
      <c r="I54" s="52">
        <f t="shared" si="29"/>
        <v>0</v>
      </c>
      <c r="J54" s="52"/>
      <c r="K54" s="129"/>
      <c r="L54" s="54">
        <f t="shared" si="30"/>
        <v>0</v>
      </c>
      <c r="M54" s="129"/>
      <c r="N54" s="54">
        <f t="shared" si="31"/>
        <v>0</v>
      </c>
      <c r="O54" s="54">
        <f t="shared" si="32"/>
        <v>0</v>
      </c>
      <c r="P54" s="1"/>
    </row>
    <row r="55" spans="2:17" ht="12.5">
      <c r="B55" s="7" t="str">
        <f t="shared" si="6"/>
        <v/>
      </c>
      <c r="C55" s="50">
        <f>IF(D11="","-",+C54+1)</f>
        <v>2047</v>
      </c>
      <c r="D55" s="55">
        <f>IF(F54+SUM(E$17:E54)=D$10,F54,D$10-SUM(E$17:E54))</f>
        <v>416524.21973809751</v>
      </c>
      <c r="E55" s="378">
        <f>IF(+I14&lt;F54,I14,D55)</f>
        <v>67767.454545454544</v>
      </c>
      <c r="F55" s="55">
        <f t="shared" si="28"/>
        <v>348756.76519264298</v>
      </c>
      <c r="G55" s="379">
        <f t="shared" si="26"/>
        <v>113503.37506452781</v>
      </c>
      <c r="H55" s="364">
        <f t="shared" si="27"/>
        <v>113503.37506452781</v>
      </c>
      <c r="I55" s="52">
        <f t="shared" si="29"/>
        <v>0</v>
      </c>
      <c r="J55" s="52"/>
      <c r="K55" s="129"/>
      <c r="L55" s="54">
        <f t="shared" si="30"/>
        <v>0</v>
      </c>
      <c r="M55" s="129"/>
      <c r="N55" s="54">
        <f t="shared" si="31"/>
        <v>0</v>
      </c>
      <c r="O55" s="54">
        <f t="shared" si="32"/>
        <v>0</v>
      </c>
      <c r="P55" s="1"/>
    </row>
    <row r="56" spans="2:17" ht="12.5">
      <c r="B56" s="7" t="str">
        <f t="shared" si="6"/>
        <v/>
      </c>
      <c r="C56" s="50">
        <f>IF(D11="","-",+C55+1)</f>
        <v>2048</v>
      </c>
      <c r="D56" s="55">
        <f>IF(F55+SUM(E$17:E55)=D$10,F55,D$10-SUM(E$17:E55))</f>
        <v>348756.76519264298</v>
      </c>
      <c r="E56" s="378">
        <f>IF(+I14&lt;F55,I14,D56)</f>
        <v>67767.454545454544</v>
      </c>
      <c r="F56" s="55">
        <f t="shared" si="28"/>
        <v>280989.31064718845</v>
      </c>
      <c r="G56" s="379">
        <f t="shared" si="26"/>
        <v>105403.32560321441</v>
      </c>
      <c r="H56" s="364">
        <f t="shared" si="27"/>
        <v>105403.32560321441</v>
      </c>
      <c r="I56" s="52">
        <f t="shared" si="29"/>
        <v>0</v>
      </c>
      <c r="J56" s="52"/>
      <c r="K56" s="129"/>
      <c r="L56" s="54">
        <f t="shared" si="30"/>
        <v>0</v>
      </c>
      <c r="M56" s="129"/>
      <c r="N56" s="54">
        <f t="shared" si="31"/>
        <v>0</v>
      </c>
      <c r="O56" s="54">
        <f t="shared" si="32"/>
        <v>0</v>
      </c>
      <c r="P56" s="1"/>
    </row>
    <row r="57" spans="2:17" ht="12.5">
      <c r="B57" s="7" t="str">
        <f t="shared" si="6"/>
        <v/>
      </c>
      <c r="C57" s="50">
        <f>IF(D11="","-",+C56+1)</f>
        <v>2049</v>
      </c>
      <c r="D57" s="55">
        <f>IF(F56+SUM(E$17:E56)=D$10,F56,D$10-SUM(E$17:E56))</f>
        <v>280989.31064718845</v>
      </c>
      <c r="E57" s="378">
        <f>IF(+I14&lt;F56,I14,D57)</f>
        <v>67767.454545454544</v>
      </c>
      <c r="F57" s="55">
        <f t="shared" si="28"/>
        <v>213221.85610173392</v>
      </c>
      <c r="G57" s="379">
        <f t="shared" si="26"/>
        <v>97303.276141901006</v>
      </c>
      <c r="H57" s="364">
        <f t="shared" si="27"/>
        <v>97303.276141901006</v>
      </c>
      <c r="I57" s="52">
        <f t="shared" si="29"/>
        <v>0</v>
      </c>
      <c r="J57" s="52"/>
      <c r="K57" s="129"/>
      <c r="L57" s="54">
        <f t="shared" si="30"/>
        <v>0</v>
      </c>
      <c r="M57" s="129"/>
      <c r="N57" s="54">
        <f t="shared" si="31"/>
        <v>0</v>
      </c>
      <c r="O57" s="54">
        <f t="shared" si="32"/>
        <v>0</v>
      </c>
      <c r="P57" s="1"/>
    </row>
    <row r="58" spans="2:17" ht="12.5">
      <c r="B58" s="7" t="str">
        <f t="shared" si="6"/>
        <v/>
      </c>
      <c r="C58" s="50">
        <f>IF(D11="","-",+C57+1)</f>
        <v>2050</v>
      </c>
      <c r="D58" s="55">
        <f>IF(F57+SUM(E$17:E57)=D$10,F57,D$10-SUM(E$17:E57))</f>
        <v>213221.85610173392</v>
      </c>
      <c r="E58" s="378">
        <f>IF(+I14&lt;F57,I14,D58)</f>
        <v>67767.454545454544</v>
      </c>
      <c r="F58" s="55">
        <f t="shared" si="28"/>
        <v>145454.40155627939</v>
      </c>
      <c r="G58" s="379">
        <f t="shared" si="26"/>
        <v>89203.226680587599</v>
      </c>
      <c r="H58" s="364">
        <f t="shared" si="27"/>
        <v>89203.226680587599</v>
      </c>
      <c r="I58" s="52">
        <f t="shared" si="29"/>
        <v>0</v>
      </c>
      <c r="J58" s="52"/>
      <c r="K58" s="129"/>
      <c r="L58" s="54">
        <f t="shared" si="30"/>
        <v>0</v>
      </c>
      <c r="M58" s="129"/>
      <c r="N58" s="54">
        <f t="shared" si="31"/>
        <v>0</v>
      </c>
      <c r="O58" s="54">
        <f t="shared" si="32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6"/>
        <v/>
      </c>
      <c r="C59" s="50">
        <f>IF(D11="","-",+C58+1)</f>
        <v>2051</v>
      </c>
      <c r="D59" s="55">
        <f>IF(F58+SUM(E$17:E58)=D$10,F58,D$10-SUM(E$17:E58))</f>
        <v>145454.40155627939</v>
      </c>
      <c r="E59" s="378">
        <f>IF(+I14&lt;F58,I14,D59)</f>
        <v>67767.454545454544</v>
      </c>
      <c r="F59" s="55">
        <f t="shared" si="28"/>
        <v>77686.94701082485</v>
      </c>
      <c r="G59" s="379">
        <f t="shared" si="26"/>
        <v>81103.177219274192</v>
      </c>
      <c r="H59" s="364">
        <f t="shared" si="27"/>
        <v>81103.177219274192</v>
      </c>
      <c r="I59" s="52">
        <f t="shared" si="29"/>
        <v>0</v>
      </c>
      <c r="J59" s="52"/>
      <c r="K59" s="129"/>
      <c r="L59" s="54">
        <f t="shared" si="30"/>
        <v>0</v>
      </c>
      <c r="M59" s="129"/>
      <c r="N59" s="54">
        <f t="shared" si="31"/>
        <v>0</v>
      </c>
      <c r="O59" s="54">
        <f t="shared" si="32"/>
        <v>0</v>
      </c>
      <c r="P59" s="1"/>
    </row>
    <row r="60" spans="2:17" ht="12.5">
      <c r="B60" s="7" t="str">
        <f t="shared" si="6"/>
        <v/>
      </c>
      <c r="C60" s="50">
        <f>IF(D11="","-",+C59+1)</f>
        <v>2052</v>
      </c>
      <c r="D60" s="55">
        <f>IF(F59+SUM(E$17:E59)=D$10,F59,D$10-SUM(E$17:E59))</f>
        <v>77686.94701082485</v>
      </c>
      <c r="E60" s="378">
        <f>IF(+I14&lt;F59,I14,D60)</f>
        <v>67767.454545454544</v>
      </c>
      <c r="F60" s="55">
        <f t="shared" si="28"/>
        <v>9919.4924653703056</v>
      </c>
      <c r="G60" s="379">
        <f t="shared" si="26"/>
        <v>73003.127757960785</v>
      </c>
      <c r="H60" s="364">
        <f t="shared" si="27"/>
        <v>73003.127757960785</v>
      </c>
      <c r="I60" s="52">
        <f t="shared" si="29"/>
        <v>0</v>
      </c>
      <c r="J60" s="52"/>
      <c r="K60" s="129"/>
      <c r="L60" s="54">
        <f t="shared" si="30"/>
        <v>0</v>
      </c>
      <c r="M60" s="129"/>
      <c r="N60" s="54">
        <f t="shared" si="31"/>
        <v>0</v>
      </c>
      <c r="O60" s="54">
        <f t="shared" si="32"/>
        <v>0</v>
      </c>
      <c r="P60" s="1"/>
    </row>
    <row r="61" spans="2:17" ht="12.5">
      <c r="B61" s="7" t="str">
        <f t="shared" si="6"/>
        <v/>
      </c>
      <c r="C61" s="50">
        <f>IF(D11="","-",+C60+1)</f>
        <v>2053</v>
      </c>
      <c r="D61" s="55">
        <f>IF(F60+SUM(E$17:E60)=D$10,F60,D$10-SUM(E$17:E60))</f>
        <v>9919.4924653703056</v>
      </c>
      <c r="E61" s="378">
        <f>IF(+I14&lt;F60,I14,D61)</f>
        <v>9919.4924653703056</v>
      </c>
      <c r="F61" s="55">
        <f t="shared" si="28"/>
        <v>0</v>
      </c>
      <c r="G61" s="380">
        <f t="shared" si="26"/>
        <v>10512.316706295071</v>
      </c>
      <c r="H61" s="364">
        <f t="shared" si="27"/>
        <v>10512.316706295071</v>
      </c>
      <c r="I61" s="52">
        <f t="shared" si="29"/>
        <v>0</v>
      </c>
      <c r="J61" s="52"/>
      <c r="K61" s="129"/>
      <c r="L61" s="54">
        <f t="shared" si="30"/>
        <v>0</v>
      </c>
      <c r="M61" s="129"/>
      <c r="N61" s="54">
        <f t="shared" si="31"/>
        <v>0</v>
      </c>
      <c r="O61" s="54">
        <f t="shared" si="32"/>
        <v>0</v>
      </c>
      <c r="P61" s="1"/>
    </row>
    <row r="62" spans="2:17" ht="12.5">
      <c r="B62" s="7" t="str">
        <f t="shared" si="6"/>
        <v/>
      </c>
      <c r="C62" s="50">
        <f>IF(D11="","-",+C61+1)</f>
        <v>2054</v>
      </c>
      <c r="D62" s="55">
        <f>IF(F61+SUM(E$17:E61)=D$10,F61,D$10-SUM(E$17:E61))</f>
        <v>0</v>
      </c>
      <c r="E62" s="378">
        <f>IF(+I14&lt;F61,I14,D62)</f>
        <v>0</v>
      </c>
      <c r="F62" s="55">
        <f t="shared" si="28"/>
        <v>0</v>
      </c>
      <c r="G62" s="380">
        <f t="shared" si="26"/>
        <v>0</v>
      </c>
      <c r="H62" s="364">
        <f t="shared" si="27"/>
        <v>0</v>
      </c>
      <c r="I62" s="52">
        <f t="shared" si="29"/>
        <v>0</v>
      </c>
      <c r="J62" s="52"/>
      <c r="K62" s="129"/>
      <c r="L62" s="54">
        <f t="shared" si="30"/>
        <v>0</v>
      </c>
      <c r="M62" s="129"/>
      <c r="N62" s="54">
        <f t="shared" si="31"/>
        <v>0</v>
      </c>
      <c r="O62" s="54">
        <f t="shared" si="32"/>
        <v>0</v>
      </c>
      <c r="P62" s="1"/>
    </row>
    <row r="63" spans="2:17" ht="12.5">
      <c r="B63" s="7" t="str">
        <f t="shared" si="6"/>
        <v/>
      </c>
      <c r="C63" s="50">
        <f>IF(D11="","-",+C62+1)</f>
        <v>2055</v>
      </c>
      <c r="D63" s="55">
        <f>IF(F62+SUM(E$17:E62)=D$10,F62,D$10-SUM(E$17:E62))</f>
        <v>0</v>
      </c>
      <c r="E63" s="378">
        <f>IF(+I14&lt;F62,I14,D63)</f>
        <v>0</v>
      </c>
      <c r="F63" s="55">
        <f t="shared" si="28"/>
        <v>0</v>
      </c>
      <c r="G63" s="380">
        <f t="shared" si="26"/>
        <v>0</v>
      </c>
      <c r="H63" s="364">
        <f t="shared" si="27"/>
        <v>0</v>
      </c>
      <c r="I63" s="52">
        <f t="shared" si="29"/>
        <v>0</v>
      </c>
      <c r="J63" s="52"/>
      <c r="K63" s="129"/>
      <c r="L63" s="54">
        <f t="shared" si="30"/>
        <v>0</v>
      </c>
      <c r="M63" s="129"/>
      <c r="N63" s="54">
        <f t="shared" si="31"/>
        <v>0</v>
      </c>
      <c r="O63" s="54">
        <f t="shared" si="32"/>
        <v>0</v>
      </c>
      <c r="P63" s="1"/>
    </row>
    <row r="64" spans="2:17" ht="12.5">
      <c r="B64" s="7" t="str">
        <f t="shared" si="6"/>
        <v/>
      </c>
      <c r="C64" s="50">
        <f>IF(D11="","-",+C63+1)</f>
        <v>2056</v>
      </c>
      <c r="D64" s="55">
        <f>IF(F63+SUM(E$17:E63)=D$10,F63,D$10-SUM(E$17:E63))</f>
        <v>0</v>
      </c>
      <c r="E64" s="378">
        <f>IF(+I14&lt;F63,I14,D64)</f>
        <v>0</v>
      </c>
      <c r="F64" s="55">
        <f t="shared" si="28"/>
        <v>0</v>
      </c>
      <c r="G64" s="380">
        <f t="shared" si="26"/>
        <v>0</v>
      </c>
      <c r="H64" s="364">
        <f t="shared" si="27"/>
        <v>0</v>
      </c>
      <c r="I64" s="52">
        <f t="shared" si="29"/>
        <v>0</v>
      </c>
      <c r="J64" s="52"/>
      <c r="K64" s="129"/>
      <c r="L64" s="54">
        <f t="shared" si="30"/>
        <v>0</v>
      </c>
      <c r="M64" s="129"/>
      <c r="N64" s="54">
        <f t="shared" si="31"/>
        <v>0</v>
      </c>
      <c r="O64" s="54">
        <f t="shared" si="32"/>
        <v>0</v>
      </c>
      <c r="P64" s="1"/>
    </row>
    <row r="65" spans="1:16" ht="12.5">
      <c r="B65" s="7" t="str">
        <f t="shared" si="6"/>
        <v/>
      </c>
      <c r="C65" s="50">
        <f>IF(D11="","-",+C64+1)</f>
        <v>2057</v>
      </c>
      <c r="D65" s="55">
        <f>IF(F64+SUM(E$17:E64)=D$10,F64,D$10-SUM(E$17:E64))</f>
        <v>0</v>
      </c>
      <c r="E65" s="378">
        <f>IF(+I14&lt;F64,I14,D65)</f>
        <v>0</v>
      </c>
      <c r="F65" s="55">
        <f t="shared" si="28"/>
        <v>0</v>
      </c>
      <c r="G65" s="380">
        <f t="shared" si="26"/>
        <v>0</v>
      </c>
      <c r="H65" s="364">
        <f t="shared" si="27"/>
        <v>0</v>
      </c>
      <c r="I65" s="52">
        <f t="shared" si="29"/>
        <v>0</v>
      </c>
      <c r="J65" s="52"/>
      <c r="K65" s="129"/>
      <c r="L65" s="54">
        <f t="shared" si="30"/>
        <v>0</v>
      </c>
      <c r="M65" s="129"/>
      <c r="N65" s="54">
        <f t="shared" si="31"/>
        <v>0</v>
      </c>
      <c r="O65" s="54">
        <f t="shared" si="32"/>
        <v>0</v>
      </c>
      <c r="P65" s="1"/>
    </row>
    <row r="66" spans="1:16" ht="12.5">
      <c r="B66" s="7" t="str">
        <f t="shared" si="6"/>
        <v/>
      </c>
      <c r="C66" s="50">
        <f>IF(D11="","-",+C65+1)</f>
        <v>2058</v>
      </c>
      <c r="D66" s="55">
        <f>IF(F65+SUM(E$17:E65)=D$10,F65,D$10-SUM(E$17:E65))</f>
        <v>0</v>
      </c>
      <c r="E66" s="378">
        <f>IF(+I14&lt;F65,I14,D66)</f>
        <v>0</v>
      </c>
      <c r="F66" s="55">
        <f t="shared" si="28"/>
        <v>0</v>
      </c>
      <c r="G66" s="380">
        <f t="shared" si="26"/>
        <v>0</v>
      </c>
      <c r="H66" s="364">
        <f t="shared" si="27"/>
        <v>0</v>
      </c>
      <c r="I66" s="52">
        <f t="shared" si="29"/>
        <v>0</v>
      </c>
      <c r="J66" s="52"/>
      <c r="K66" s="129"/>
      <c r="L66" s="54">
        <f t="shared" si="30"/>
        <v>0</v>
      </c>
      <c r="M66" s="129"/>
      <c r="N66" s="54">
        <f t="shared" si="31"/>
        <v>0</v>
      </c>
      <c r="O66" s="54">
        <f t="shared" si="32"/>
        <v>0</v>
      </c>
      <c r="P66" s="1"/>
    </row>
    <row r="67" spans="1:16" ht="12.5">
      <c r="B67" s="7" t="str">
        <f t="shared" si="6"/>
        <v/>
      </c>
      <c r="C67" s="50">
        <f>IF(D11="","-",+C66+1)</f>
        <v>2059</v>
      </c>
      <c r="D67" s="55">
        <f>IF(F66+SUM(E$17:E66)=D$10,F66,D$10-SUM(E$17:E66))</f>
        <v>0</v>
      </c>
      <c r="E67" s="378">
        <f>IF(+I14&lt;F66,I14,D67)</f>
        <v>0</v>
      </c>
      <c r="F67" s="55">
        <f t="shared" si="28"/>
        <v>0</v>
      </c>
      <c r="G67" s="380">
        <f t="shared" si="26"/>
        <v>0</v>
      </c>
      <c r="H67" s="364">
        <f t="shared" si="27"/>
        <v>0</v>
      </c>
      <c r="I67" s="52">
        <f t="shared" si="29"/>
        <v>0</v>
      </c>
      <c r="J67" s="52"/>
      <c r="K67" s="129"/>
      <c r="L67" s="54">
        <f t="shared" si="30"/>
        <v>0</v>
      </c>
      <c r="M67" s="129"/>
      <c r="N67" s="54">
        <f t="shared" si="31"/>
        <v>0</v>
      </c>
      <c r="O67" s="54">
        <f t="shared" si="32"/>
        <v>0</v>
      </c>
      <c r="P67" s="1"/>
    </row>
    <row r="68" spans="1:16" ht="12.5">
      <c r="B68" s="7" t="str">
        <f t="shared" si="6"/>
        <v/>
      </c>
      <c r="C68" s="50">
        <f>IF(D11="","-",+C67+1)</f>
        <v>2060</v>
      </c>
      <c r="D68" s="55">
        <f>IF(F67+SUM(E$17:E67)=D$10,F67,D$10-SUM(E$17:E67))</f>
        <v>0</v>
      </c>
      <c r="E68" s="378">
        <f>IF(+I14&lt;F67,I14,D68)</f>
        <v>0</v>
      </c>
      <c r="F68" s="55">
        <f t="shared" si="28"/>
        <v>0</v>
      </c>
      <c r="G68" s="380">
        <f t="shared" si="26"/>
        <v>0</v>
      </c>
      <c r="H68" s="364">
        <f t="shared" si="27"/>
        <v>0</v>
      </c>
      <c r="I68" s="52">
        <f t="shared" si="29"/>
        <v>0</v>
      </c>
      <c r="J68" s="52"/>
      <c r="K68" s="129"/>
      <c r="L68" s="54">
        <f t="shared" si="30"/>
        <v>0</v>
      </c>
      <c r="M68" s="129"/>
      <c r="N68" s="54">
        <f t="shared" si="31"/>
        <v>0</v>
      </c>
      <c r="O68" s="54">
        <f t="shared" si="32"/>
        <v>0</v>
      </c>
      <c r="P68" s="1"/>
    </row>
    <row r="69" spans="1:16" ht="12.5">
      <c r="B69" s="7" t="str">
        <f t="shared" si="6"/>
        <v/>
      </c>
      <c r="C69" s="50">
        <f>IF(D11="","-",+C68+1)</f>
        <v>2061</v>
      </c>
      <c r="D69" s="55">
        <f>IF(F68+SUM(E$17:E68)=D$10,F68,D$10-SUM(E$17:E68))</f>
        <v>0</v>
      </c>
      <c r="E69" s="378">
        <f>IF(+I14&lt;F68,I14,D69)</f>
        <v>0</v>
      </c>
      <c r="F69" s="55">
        <f t="shared" si="28"/>
        <v>0</v>
      </c>
      <c r="G69" s="380">
        <f t="shared" si="26"/>
        <v>0</v>
      </c>
      <c r="H69" s="364">
        <f t="shared" si="27"/>
        <v>0</v>
      </c>
      <c r="I69" s="52">
        <f t="shared" si="29"/>
        <v>0</v>
      </c>
      <c r="J69" s="52"/>
      <c r="K69" s="129"/>
      <c r="L69" s="54">
        <f t="shared" si="30"/>
        <v>0</v>
      </c>
      <c r="M69" s="129"/>
      <c r="N69" s="54">
        <f t="shared" si="31"/>
        <v>0</v>
      </c>
      <c r="O69" s="54">
        <f t="shared" si="32"/>
        <v>0</v>
      </c>
      <c r="P69" s="1"/>
    </row>
    <row r="70" spans="1:16" ht="12.5">
      <c r="B70" s="7" t="str">
        <f t="shared" si="6"/>
        <v/>
      </c>
      <c r="C70" s="50">
        <f>IF(D11="","-",+C69+1)</f>
        <v>2062</v>
      </c>
      <c r="D70" s="55">
        <f>IF(F69+SUM(E$17:E69)=D$10,F69,D$10-SUM(E$17:E69))</f>
        <v>0</v>
      </c>
      <c r="E70" s="378">
        <f>IF(+I14&lt;F69,I14,D70)</f>
        <v>0</v>
      </c>
      <c r="F70" s="55">
        <f t="shared" si="28"/>
        <v>0</v>
      </c>
      <c r="G70" s="380">
        <f t="shared" si="26"/>
        <v>0</v>
      </c>
      <c r="H70" s="364">
        <f t="shared" si="27"/>
        <v>0</v>
      </c>
      <c r="I70" s="52">
        <f t="shared" si="29"/>
        <v>0</v>
      </c>
      <c r="J70" s="52"/>
      <c r="K70" s="129"/>
      <c r="L70" s="54">
        <f t="shared" si="30"/>
        <v>0</v>
      </c>
      <c r="M70" s="129"/>
      <c r="N70" s="54">
        <f t="shared" si="31"/>
        <v>0</v>
      </c>
      <c r="O70" s="54">
        <f t="shared" si="32"/>
        <v>0</v>
      </c>
      <c r="P70" s="1"/>
    </row>
    <row r="71" spans="1:16" ht="12.5">
      <c r="B71" s="7" t="str">
        <f t="shared" si="6"/>
        <v/>
      </c>
      <c r="C71" s="50">
        <f>IF(D11="","-",+C70+1)</f>
        <v>2063</v>
      </c>
      <c r="D71" s="55">
        <f>IF(F70+SUM(E$17:E70)=D$10,F70,D$10-SUM(E$17:E70))</f>
        <v>0</v>
      </c>
      <c r="E71" s="378">
        <f>IF(+I14&lt;F70,I14,D71)</f>
        <v>0</v>
      </c>
      <c r="F71" s="55">
        <f t="shared" si="28"/>
        <v>0</v>
      </c>
      <c r="G71" s="380">
        <f t="shared" si="26"/>
        <v>0</v>
      </c>
      <c r="H71" s="364">
        <f t="shared" si="27"/>
        <v>0</v>
      </c>
      <c r="I71" s="52">
        <f t="shared" si="29"/>
        <v>0</v>
      </c>
      <c r="J71" s="52"/>
      <c r="K71" s="129"/>
      <c r="L71" s="54">
        <f t="shared" si="30"/>
        <v>0</v>
      </c>
      <c r="M71" s="129"/>
      <c r="N71" s="54">
        <f t="shared" si="31"/>
        <v>0</v>
      </c>
      <c r="O71" s="54">
        <f t="shared" si="32"/>
        <v>0</v>
      </c>
      <c r="P71" s="1"/>
    </row>
    <row r="72" spans="1:16" ht="13" thickBot="1">
      <c r="B72" s="7" t="str">
        <f t="shared" si="6"/>
        <v/>
      </c>
      <c r="C72" s="59">
        <f>IF(D11="","-",+C71+1)</f>
        <v>2064</v>
      </c>
      <c r="D72" s="60">
        <f>IF(F71+SUM(E$17:E71)=D$10,F71,D$10-SUM(E$17:E71))</f>
        <v>0</v>
      </c>
      <c r="E72" s="381">
        <f>IF(+I14&lt;F71,I14,D72)</f>
        <v>0</v>
      </c>
      <c r="F72" s="60">
        <f t="shared" si="28"/>
        <v>0</v>
      </c>
      <c r="G72" s="382">
        <f t="shared" si="26"/>
        <v>0</v>
      </c>
      <c r="H72" s="362">
        <f t="shared" si="27"/>
        <v>0</v>
      </c>
      <c r="I72" s="63">
        <f t="shared" si="29"/>
        <v>0</v>
      </c>
      <c r="J72" s="52"/>
      <c r="K72" s="130"/>
      <c r="L72" s="64">
        <f t="shared" si="30"/>
        <v>0</v>
      </c>
      <c r="M72" s="130"/>
      <c r="N72" s="64">
        <f t="shared" si="31"/>
        <v>0</v>
      </c>
      <c r="O72" s="64">
        <f t="shared" si="32"/>
        <v>0</v>
      </c>
      <c r="P72" s="1"/>
    </row>
    <row r="73" spans="1:16" ht="12.5">
      <c r="C73" s="12" t="s">
        <v>78</v>
      </c>
      <c r="D73" s="293"/>
      <c r="E73" s="293">
        <f>SUM(E17:E72)</f>
        <v>2981768</v>
      </c>
      <c r="F73" s="293"/>
      <c r="G73" s="293">
        <f>SUM(G17:G72)</f>
        <v>10946083.27942908</v>
      </c>
      <c r="H73" s="293">
        <f>SUM(H17:H72)</f>
        <v>10946083.27942908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7.5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5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299804.51267473632</v>
      </c>
      <c r="N87" s="387">
        <f>IF(J92&lt;D11,0,VLOOKUP(J92,C17:O72,11))</f>
        <v>299804.51267473632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311476.91730923677</v>
      </c>
      <c r="N88" s="390">
        <f>IF(J92&lt;D11,0,VLOOKUP(J92,C99:P154,7))</f>
        <v>311476.91730923677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[Greenwood, AR Area Improve]  N Huntington, Greenwood, Reeves, Bonanza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11672.404634500446</v>
      </c>
      <c r="N89" s="392">
        <f>+N88-N87</f>
        <v>11672.404634500446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TP2007120</v>
      </c>
      <c r="E91" s="76" t="str">
        <f>E9</f>
        <v xml:space="preserve">SPP Project ID = </v>
      </c>
      <c r="F91" s="76" t="str">
        <f>F9</f>
        <v>217, 218, 219, &amp; 222</v>
      </c>
      <c r="G91" s="76"/>
      <c r="H91" s="76"/>
      <c r="I91" s="76"/>
      <c r="J91" s="95"/>
      <c r="Q91" s="1"/>
    </row>
    <row r="92" spans="1:17" ht="13">
      <c r="C92" s="34" t="s">
        <v>51</v>
      </c>
      <c r="D92" s="363">
        <f>D10</f>
        <v>2981768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  <c r="Q92" s="1"/>
    </row>
    <row r="93" spans="1:17" ht="12.5">
      <c r="C93" s="34" t="s">
        <v>54</v>
      </c>
      <c r="D93" s="88">
        <f>IF(D11=I10,"",D11)</f>
        <v>2009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4">
        <f>IF(D11=I10,"",D12)</f>
        <v>12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67767.454545454544</v>
      </c>
      <c r="K96" s="293"/>
      <c r="L96" s="293"/>
      <c r="M96" s="293"/>
      <c r="N96" s="293"/>
      <c r="O96" s="293"/>
      <c r="P96" s="1"/>
      <c r="Q96" s="1"/>
    </row>
    <row r="97" spans="1:17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 ht="12.5">
      <c r="C99" s="50">
        <f>IF(D93= "","-",D93)</f>
        <v>2009</v>
      </c>
      <c r="D99" s="133">
        <v>0</v>
      </c>
      <c r="E99" s="376">
        <v>0</v>
      </c>
      <c r="F99" s="137">
        <v>2981232</v>
      </c>
      <c r="G99" s="140">
        <v>1490616</v>
      </c>
      <c r="H99" s="397">
        <v>215748</v>
      </c>
      <c r="I99" s="398">
        <v>215748</v>
      </c>
      <c r="J99" s="54">
        <f t="shared" ref="J99:J130" si="33">+I99-H99</f>
        <v>0</v>
      </c>
      <c r="K99" s="54"/>
      <c r="L99" s="112">
        <f t="shared" ref="L99:L104" si="34">H99</f>
        <v>215748</v>
      </c>
      <c r="M99" s="53">
        <f t="shared" ref="M99:M130" si="35">IF(L99&lt;&gt;0,+H99-L99,0)</f>
        <v>0</v>
      </c>
      <c r="N99" s="112">
        <f t="shared" ref="N99:N104" si="36">I99</f>
        <v>215748</v>
      </c>
      <c r="O99" s="53">
        <f t="shared" ref="O99:O130" si="37">IF(N99&lt;&gt;0,+I99-N99,0)</f>
        <v>0</v>
      </c>
      <c r="P99" s="53">
        <f t="shared" ref="P99:P130" si="38">+O99-M99</f>
        <v>0</v>
      </c>
      <c r="Q99" s="1"/>
    </row>
    <row r="100" spans="1:17" ht="12.5">
      <c r="B100" s="7" t="str">
        <f>IF(D100=F99,"","IU")</f>
        <v/>
      </c>
      <c r="C100" s="50">
        <f>IF(D93="","-",+C99+1)</f>
        <v>2010</v>
      </c>
      <c r="D100" s="133">
        <v>2981232</v>
      </c>
      <c r="E100" s="376">
        <v>72712.975609756104</v>
      </c>
      <c r="F100" s="137">
        <v>2908519.0243902439</v>
      </c>
      <c r="G100" s="137">
        <v>2944875.512195122</v>
      </c>
      <c r="H100" s="376">
        <v>558870.93622757494</v>
      </c>
      <c r="I100" s="375">
        <v>558870.93622757494</v>
      </c>
      <c r="J100" s="54">
        <f t="shared" si="33"/>
        <v>0</v>
      </c>
      <c r="K100" s="54"/>
      <c r="L100" s="113">
        <f t="shared" si="34"/>
        <v>558870.93622757494</v>
      </c>
      <c r="M100" s="54">
        <f t="shared" si="35"/>
        <v>0</v>
      </c>
      <c r="N100" s="113">
        <f t="shared" si="36"/>
        <v>558870.93622757494</v>
      </c>
      <c r="O100" s="54">
        <f t="shared" si="37"/>
        <v>0</v>
      </c>
      <c r="P100" s="54">
        <f t="shared" si="38"/>
        <v>0</v>
      </c>
      <c r="Q100" s="1"/>
    </row>
    <row r="101" spans="1:17" ht="12.5">
      <c r="B101" s="7" t="str">
        <f t="shared" ref="B101:B154" si="39">IF(D101=F100,"","IU")</f>
        <v/>
      </c>
      <c r="C101" s="50">
        <f>IF(D93="","-",+C100+1)</f>
        <v>2011</v>
      </c>
      <c r="D101" s="133">
        <v>2908519.0243902439</v>
      </c>
      <c r="E101" s="377">
        <v>70981.71428571429</v>
      </c>
      <c r="F101" s="137">
        <v>2837537.3101045298</v>
      </c>
      <c r="G101" s="137">
        <v>2873028.1672473866</v>
      </c>
      <c r="H101" s="376">
        <v>503027.40641582396</v>
      </c>
      <c r="I101" s="375">
        <v>503027.40641582396</v>
      </c>
      <c r="J101" s="54">
        <f t="shared" si="33"/>
        <v>0</v>
      </c>
      <c r="K101" s="54"/>
      <c r="L101" s="113">
        <f t="shared" si="34"/>
        <v>503027.40641582396</v>
      </c>
      <c r="M101" s="54">
        <f t="shared" si="35"/>
        <v>0</v>
      </c>
      <c r="N101" s="113">
        <f t="shared" si="36"/>
        <v>503027.40641582396</v>
      </c>
      <c r="O101" s="54">
        <f t="shared" si="37"/>
        <v>0</v>
      </c>
      <c r="P101" s="54">
        <f t="shared" si="38"/>
        <v>0</v>
      </c>
      <c r="Q101" s="1"/>
    </row>
    <row r="102" spans="1:17" ht="12.5">
      <c r="B102" s="7" t="str">
        <f t="shared" si="39"/>
        <v/>
      </c>
      <c r="C102" s="50">
        <f>IF(D93="","-",+C101+1)</f>
        <v>2012</v>
      </c>
      <c r="D102" s="133">
        <v>2837537.3101045298</v>
      </c>
      <c r="E102" s="376">
        <v>70981.71428571429</v>
      </c>
      <c r="F102" s="137">
        <v>2766555.5958188158</v>
      </c>
      <c r="G102" s="137">
        <v>2802046.452961673</v>
      </c>
      <c r="H102" s="376">
        <v>483313.86691448453</v>
      </c>
      <c r="I102" s="375">
        <v>483313.86691448453</v>
      </c>
      <c r="J102" s="54">
        <f t="shared" si="33"/>
        <v>0</v>
      </c>
      <c r="K102" s="54"/>
      <c r="L102" s="113">
        <f t="shared" si="34"/>
        <v>483313.86691448453</v>
      </c>
      <c r="M102" s="54">
        <f t="shared" si="35"/>
        <v>0</v>
      </c>
      <c r="N102" s="113">
        <f t="shared" si="36"/>
        <v>483313.86691448453</v>
      </c>
      <c r="O102" s="54">
        <f t="shared" si="37"/>
        <v>0</v>
      </c>
      <c r="P102" s="54">
        <f t="shared" si="38"/>
        <v>0</v>
      </c>
      <c r="Q102" s="1"/>
    </row>
    <row r="103" spans="1:17" ht="12.5">
      <c r="B103" s="7" t="str">
        <f t="shared" si="39"/>
        <v/>
      </c>
      <c r="C103" s="50">
        <f>IF(D93="","-",+C102+1)</f>
        <v>2013</v>
      </c>
      <c r="D103" s="133">
        <v>2766555.5958188158</v>
      </c>
      <c r="E103" s="376">
        <v>70981.71428571429</v>
      </c>
      <c r="F103" s="137">
        <v>2695573.8815331017</v>
      </c>
      <c r="G103" s="137">
        <v>2731064.7386759585</v>
      </c>
      <c r="H103" s="376">
        <v>440472.11189849139</v>
      </c>
      <c r="I103" s="375">
        <v>440472.11189849139</v>
      </c>
      <c r="J103" s="54">
        <v>0</v>
      </c>
      <c r="K103" s="54"/>
      <c r="L103" s="113">
        <f t="shared" si="34"/>
        <v>440472.11189849139</v>
      </c>
      <c r="M103" s="54">
        <f t="shared" ref="M103:M108" si="40">IF(L103&lt;&gt;0,+H103-L103,0)</f>
        <v>0</v>
      </c>
      <c r="N103" s="113">
        <f t="shared" si="36"/>
        <v>440472.11189849139</v>
      </c>
      <c r="O103" s="54">
        <f t="shared" ref="O103:O108" si="41">IF(N103&lt;&gt;0,+I103-N103,0)</f>
        <v>0</v>
      </c>
      <c r="P103" s="54">
        <f>+O103-M103</f>
        <v>0</v>
      </c>
      <c r="Q103" s="1"/>
    </row>
    <row r="104" spans="1:17" ht="12.5">
      <c r="B104" s="7" t="str">
        <f t="shared" si="39"/>
        <v/>
      </c>
      <c r="C104" s="50">
        <f>IF(D93="","-",+C103+1)</f>
        <v>2014</v>
      </c>
      <c r="D104" s="133">
        <v>2695573.8815331017</v>
      </c>
      <c r="E104" s="376">
        <v>70981.71428571429</v>
      </c>
      <c r="F104" s="137">
        <v>2624592.1672473876</v>
      </c>
      <c r="G104" s="137">
        <v>2660083.0243902449</v>
      </c>
      <c r="H104" s="376">
        <v>432549.40222158958</v>
      </c>
      <c r="I104" s="375">
        <v>432549.40222158958</v>
      </c>
      <c r="J104" s="54">
        <v>0</v>
      </c>
      <c r="K104" s="54"/>
      <c r="L104" s="113">
        <f t="shared" si="34"/>
        <v>432549.40222158958</v>
      </c>
      <c r="M104" s="54">
        <f t="shared" si="40"/>
        <v>0</v>
      </c>
      <c r="N104" s="113">
        <f t="shared" si="36"/>
        <v>432549.40222158958</v>
      </c>
      <c r="O104" s="54">
        <f t="shared" si="41"/>
        <v>0</v>
      </c>
      <c r="P104" s="54">
        <f>+O104-M104</f>
        <v>0</v>
      </c>
      <c r="Q104" s="1"/>
    </row>
    <row r="105" spans="1:17" ht="12.5">
      <c r="B105" s="7" t="str">
        <f t="shared" si="39"/>
        <v>IU</v>
      </c>
      <c r="C105" s="50">
        <f>IF(D93="","-",+C104+1)</f>
        <v>2015</v>
      </c>
      <c r="D105" s="133">
        <v>2625128.1672473866</v>
      </c>
      <c r="E105" s="376">
        <v>70994.476190476184</v>
      </c>
      <c r="F105" s="137">
        <v>2554133.6910569104</v>
      </c>
      <c r="G105" s="137">
        <v>2589630.9291521488</v>
      </c>
      <c r="H105" s="376">
        <v>412227.237835226</v>
      </c>
      <c r="I105" s="375">
        <v>412227.237835226</v>
      </c>
      <c r="J105" s="54">
        <f t="shared" si="33"/>
        <v>0</v>
      </c>
      <c r="K105" s="54"/>
      <c r="L105" s="113">
        <f t="shared" ref="L105:L110" si="42">H105</f>
        <v>412227.237835226</v>
      </c>
      <c r="M105" s="54">
        <f t="shared" si="40"/>
        <v>0</v>
      </c>
      <c r="N105" s="113">
        <f t="shared" ref="N105:N110" si="43">I105</f>
        <v>412227.237835226</v>
      </c>
      <c r="O105" s="54">
        <f t="shared" si="41"/>
        <v>0</v>
      </c>
      <c r="P105" s="54">
        <f>+O105-M105</f>
        <v>0</v>
      </c>
      <c r="Q105" s="1"/>
    </row>
    <row r="106" spans="1:17" ht="12.5">
      <c r="B106" s="7" t="str">
        <f t="shared" si="39"/>
        <v/>
      </c>
      <c r="C106" s="50">
        <f>IF(D93="","-",+C105+1)</f>
        <v>2016</v>
      </c>
      <c r="D106" s="133">
        <v>2554133.6910569104</v>
      </c>
      <c r="E106" s="376">
        <v>69343.441860465115</v>
      </c>
      <c r="F106" s="137">
        <v>2484790.2491964451</v>
      </c>
      <c r="G106" s="137">
        <v>2519461.9701266778</v>
      </c>
      <c r="H106" s="376">
        <v>389189.1094610201</v>
      </c>
      <c r="I106" s="375">
        <v>389189.1094610201</v>
      </c>
      <c r="J106" s="54">
        <f t="shared" si="33"/>
        <v>0</v>
      </c>
      <c r="K106" s="54"/>
      <c r="L106" s="113">
        <f t="shared" si="42"/>
        <v>389189.1094610201</v>
      </c>
      <c r="M106" s="54">
        <f t="shared" si="40"/>
        <v>0</v>
      </c>
      <c r="N106" s="113">
        <f t="shared" si="43"/>
        <v>389189.1094610201</v>
      </c>
      <c r="O106" s="54">
        <f t="shared" si="41"/>
        <v>0</v>
      </c>
      <c r="P106" s="54">
        <f>+O106-M106</f>
        <v>0</v>
      </c>
      <c r="Q106" s="1"/>
    </row>
    <row r="107" spans="1:17" ht="12.5">
      <c r="B107" s="7" t="str">
        <f t="shared" si="39"/>
        <v/>
      </c>
      <c r="C107" s="50">
        <f>IF(D93="","-",+C106+1)</f>
        <v>2017</v>
      </c>
      <c r="D107" s="133">
        <v>2484790.2491964451</v>
      </c>
      <c r="E107" s="376">
        <v>70994.476190476184</v>
      </c>
      <c r="F107" s="137">
        <v>2413795.7730059689</v>
      </c>
      <c r="G107" s="137">
        <v>2449293.0111012068</v>
      </c>
      <c r="H107" s="376">
        <v>368513.66854412947</v>
      </c>
      <c r="I107" s="375">
        <v>368513.66854412947</v>
      </c>
      <c r="J107" s="54">
        <f t="shared" si="33"/>
        <v>0</v>
      </c>
      <c r="K107" s="54"/>
      <c r="L107" s="113">
        <f t="shared" si="42"/>
        <v>368513.66854412947</v>
      </c>
      <c r="M107" s="54">
        <f t="shared" si="40"/>
        <v>0</v>
      </c>
      <c r="N107" s="113">
        <f t="shared" si="43"/>
        <v>368513.66854412947</v>
      </c>
      <c r="O107" s="54">
        <f t="shared" si="41"/>
        <v>0</v>
      </c>
      <c r="P107" s="54">
        <f>+O107-M107</f>
        <v>0</v>
      </c>
      <c r="Q107" s="1"/>
    </row>
    <row r="108" spans="1:17" ht="12.5">
      <c r="B108" s="7" t="str">
        <f t="shared" si="39"/>
        <v/>
      </c>
      <c r="C108" s="50">
        <f>IF(D93="","-",+C107+1)</f>
        <v>2018</v>
      </c>
      <c r="D108" s="133">
        <v>2413795.7730059689</v>
      </c>
      <c r="E108" s="376">
        <v>70994.476190476184</v>
      </c>
      <c r="F108" s="137">
        <v>2342801.2968154927</v>
      </c>
      <c r="G108" s="137">
        <v>2378298.534910731</v>
      </c>
      <c r="H108" s="376">
        <v>322153.70792553568</v>
      </c>
      <c r="I108" s="375">
        <v>322153.70792553568</v>
      </c>
      <c r="J108" s="54">
        <f t="shared" si="33"/>
        <v>0</v>
      </c>
      <c r="K108" s="54"/>
      <c r="L108" s="113">
        <f t="shared" si="42"/>
        <v>322153.70792553568</v>
      </c>
      <c r="M108" s="54">
        <f t="shared" si="40"/>
        <v>0</v>
      </c>
      <c r="N108" s="113">
        <f t="shared" si="43"/>
        <v>322153.70792553568</v>
      </c>
      <c r="O108" s="54">
        <f t="shared" si="41"/>
        <v>0</v>
      </c>
      <c r="P108" s="54">
        <f t="shared" si="38"/>
        <v>0</v>
      </c>
      <c r="Q108" s="1"/>
    </row>
    <row r="109" spans="1:17" ht="12.5">
      <c r="B109" s="7" t="str">
        <f t="shared" si="39"/>
        <v/>
      </c>
      <c r="C109" s="50">
        <f>IF(D93="","-",+C108+1)</f>
        <v>2019</v>
      </c>
      <c r="D109" s="133">
        <v>2342801.2968154927</v>
      </c>
      <c r="E109" s="376">
        <v>69343.441860465115</v>
      </c>
      <c r="F109" s="137">
        <v>2273457.8549550273</v>
      </c>
      <c r="G109" s="137">
        <v>2308129.57588526</v>
      </c>
      <c r="H109" s="376">
        <v>316406.89315312036</v>
      </c>
      <c r="I109" s="375">
        <v>316406.89315312036</v>
      </c>
      <c r="J109" s="54">
        <f t="shared" si="33"/>
        <v>0</v>
      </c>
      <c r="K109" s="54"/>
      <c r="L109" s="113">
        <f t="shared" si="42"/>
        <v>316406.89315312036</v>
      </c>
      <c r="M109" s="54">
        <f t="shared" ref="M109" si="44">IF(L109&lt;&gt;0,+H109-L109,0)</f>
        <v>0</v>
      </c>
      <c r="N109" s="113">
        <f t="shared" si="43"/>
        <v>316406.89315312036</v>
      </c>
      <c r="O109" s="54">
        <f t="shared" si="37"/>
        <v>0</v>
      </c>
      <c r="P109" s="54">
        <f t="shared" si="38"/>
        <v>0</v>
      </c>
      <c r="Q109" s="1"/>
    </row>
    <row r="110" spans="1:17" ht="12.5">
      <c r="B110" s="7" t="str">
        <f t="shared" si="39"/>
        <v/>
      </c>
      <c r="C110" s="50">
        <f>IF(D93="","-",+C109+1)</f>
        <v>2020</v>
      </c>
      <c r="D110" s="133">
        <v>2273457.8549550273</v>
      </c>
      <c r="E110" s="376">
        <v>70994.476190476184</v>
      </c>
      <c r="F110" s="137">
        <v>2202463.3787645511</v>
      </c>
      <c r="G110" s="137">
        <v>2237960.616859789</v>
      </c>
      <c r="H110" s="376">
        <v>311740.47673179838</v>
      </c>
      <c r="I110" s="375">
        <v>311740.47673179838</v>
      </c>
      <c r="J110" s="54">
        <f t="shared" si="33"/>
        <v>0</v>
      </c>
      <c r="K110" s="54"/>
      <c r="L110" s="113">
        <f t="shared" si="42"/>
        <v>311740.47673179838</v>
      </c>
      <c r="M110" s="54">
        <f t="shared" ref="M110" si="45">IF(L110&lt;&gt;0,+H110-L110,0)</f>
        <v>0</v>
      </c>
      <c r="N110" s="113">
        <f t="shared" si="43"/>
        <v>311740.47673179838</v>
      </c>
      <c r="O110" s="54">
        <f t="shared" si="37"/>
        <v>0</v>
      </c>
      <c r="P110" s="54">
        <f t="shared" si="38"/>
        <v>0</v>
      </c>
      <c r="Q110" s="1"/>
    </row>
    <row r="111" spans="1:17" ht="12.5">
      <c r="B111" s="7" t="str">
        <f t="shared" si="39"/>
        <v/>
      </c>
      <c r="C111" s="50">
        <f>IF(D93="","-",+C110+1)</f>
        <v>2021</v>
      </c>
      <c r="D111" s="133">
        <v>2202463.3787645511</v>
      </c>
      <c r="E111" s="376">
        <v>72726.048780487807</v>
      </c>
      <c r="F111" s="137">
        <v>2129737.3299840633</v>
      </c>
      <c r="G111" s="137">
        <v>2166100.3543743072</v>
      </c>
      <c r="H111" s="376">
        <v>318609.25475096708</v>
      </c>
      <c r="I111" s="375">
        <v>318609.25475096708</v>
      </c>
      <c r="J111" s="54">
        <f t="shared" si="33"/>
        <v>0</v>
      </c>
      <c r="K111" s="54"/>
      <c r="L111" s="113">
        <f t="shared" ref="L111" si="46">H111</f>
        <v>318609.25475096708</v>
      </c>
      <c r="M111" s="54">
        <f t="shared" ref="M111" si="47">IF(L111&lt;&gt;0,+H111-L111,0)</f>
        <v>0</v>
      </c>
      <c r="N111" s="113">
        <f t="shared" ref="N111" si="48">I111</f>
        <v>318609.25475096708</v>
      </c>
      <c r="O111" s="54">
        <f t="shared" si="37"/>
        <v>0</v>
      </c>
      <c r="P111" s="54">
        <f t="shared" si="38"/>
        <v>0</v>
      </c>
      <c r="Q111" s="1"/>
    </row>
    <row r="112" spans="1:17" ht="12.5">
      <c r="B112" s="7" t="str">
        <f t="shared" si="39"/>
        <v/>
      </c>
      <c r="C112" s="50">
        <f>IF(D93="","-",+C111+1)</f>
        <v>2022</v>
      </c>
      <c r="D112" s="133">
        <v>2129737.3299840633</v>
      </c>
      <c r="E112" s="376">
        <v>70994.476190476184</v>
      </c>
      <c r="F112" s="137">
        <v>2058742.8537935871</v>
      </c>
      <c r="G112" s="137">
        <v>2094240.0918888252</v>
      </c>
      <c r="H112" s="376">
        <v>316979.40019667835</v>
      </c>
      <c r="I112" s="375">
        <v>316979.40019667835</v>
      </c>
      <c r="J112" s="54">
        <f t="shared" si="33"/>
        <v>0</v>
      </c>
      <c r="K112" s="54"/>
      <c r="L112" s="113">
        <f t="shared" ref="L112" si="49">H112</f>
        <v>316979.40019667835</v>
      </c>
      <c r="M112" s="54">
        <f t="shared" ref="M112" si="50">IF(L112&lt;&gt;0,+H112-L112,0)</f>
        <v>0</v>
      </c>
      <c r="N112" s="113">
        <f t="shared" ref="N112" si="51">I112</f>
        <v>316979.40019667835</v>
      </c>
      <c r="O112" s="54">
        <f t="shared" ref="O112" si="52">IF(N112&lt;&gt;0,+I112-N112,0)</f>
        <v>0</v>
      </c>
      <c r="P112" s="54">
        <f t="shared" ref="P112" si="53">+O112-M112</f>
        <v>0</v>
      </c>
      <c r="Q112" s="1"/>
    </row>
    <row r="113" spans="2:17" ht="12.5">
      <c r="B113" s="7" t="str">
        <f t="shared" si="39"/>
        <v/>
      </c>
      <c r="C113" s="50">
        <f>IF(D93="","-",+C112+1)</f>
        <v>2023</v>
      </c>
      <c r="D113" s="133">
        <v>2058742.8537935871</v>
      </c>
      <c r="E113" s="376">
        <v>67767.454545454544</v>
      </c>
      <c r="F113" s="137">
        <v>1990975.3992481325</v>
      </c>
      <c r="G113" s="137">
        <v>2024859.1265208598</v>
      </c>
      <c r="H113" s="376">
        <v>317564.31451633043</v>
      </c>
      <c r="I113" s="375">
        <v>317564.31451633043</v>
      </c>
      <c r="J113" s="54">
        <f t="shared" si="33"/>
        <v>0</v>
      </c>
      <c r="K113" s="54"/>
      <c r="L113" s="113">
        <f t="shared" ref="L113" si="54">H113</f>
        <v>317564.31451633043</v>
      </c>
      <c r="M113" s="54">
        <f t="shared" ref="M113" si="55">IF(L113&lt;&gt;0,+H113-L113,0)</f>
        <v>0</v>
      </c>
      <c r="N113" s="113">
        <f t="shared" ref="N113" si="56">I113</f>
        <v>317564.31451633043</v>
      </c>
      <c r="O113" s="54">
        <f t="shared" ref="O113" si="57">IF(N113&lt;&gt;0,+I113-N113,0)</f>
        <v>0</v>
      </c>
      <c r="P113" s="54">
        <f t="shared" ref="P113" si="58">+O113-M113</f>
        <v>0</v>
      </c>
      <c r="Q113" s="1"/>
    </row>
    <row r="114" spans="2:17" ht="12.5">
      <c r="B114" s="7" t="str">
        <f t="shared" si="39"/>
        <v/>
      </c>
      <c r="C114" s="50">
        <f>IF(D93="","-",+C113+1)</f>
        <v>2024</v>
      </c>
      <c r="D114" s="12">
        <f>IF(F113+SUM(E$99:E113)=D$92,F113,D$92-SUM(E$99:E113))</f>
        <v>1990975.3992481325</v>
      </c>
      <c r="E114" s="378">
        <f>IF(+J96&lt;F113,J96,D114)</f>
        <v>67767.454545454544</v>
      </c>
      <c r="F114" s="55">
        <f t="shared" ref="F114:F130" si="59">+D114-E114</f>
        <v>1923207.9447026779</v>
      </c>
      <c r="G114" s="55">
        <f t="shared" ref="G114:G130" si="60">+(F114+D114)/2</f>
        <v>1957091.6719754052</v>
      </c>
      <c r="H114" s="380">
        <f t="shared" ref="H114:H154" si="61">+J$94*G114+E114</f>
        <v>311476.91730923677</v>
      </c>
      <c r="I114" s="399">
        <f t="shared" ref="I114:I154" si="62">+J$95*G114+E114</f>
        <v>311476.91730923677</v>
      </c>
      <c r="J114" s="54">
        <f t="shared" si="33"/>
        <v>0</v>
      </c>
      <c r="K114" s="54"/>
      <c r="L114" s="129"/>
      <c r="M114" s="54">
        <f t="shared" si="35"/>
        <v>0</v>
      </c>
      <c r="N114" s="129"/>
      <c r="O114" s="54">
        <f t="shared" si="37"/>
        <v>0</v>
      </c>
      <c r="P114" s="54">
        <f t="shared" si="38"/>
        <v>0</v>
      </c>
      <c r="Q114" s="1"/>
    </row>
    <row r="115" spans="2:17" ht="12.5">
      <c r="B115" s="7" t="str">
        <f t="shared" si="39"/>
        <v/>
      </c>
      <c r="C115" s="50">
        <f>IF(D93="","-",+C114+1)</f>
        <v>2025</v>
      </c>
      <c r="D115" s="12">
        <f>IF(F114+SUM(E$99:E114)=D$92,F114,D$92-SUM(E$99:E114))</f>
        <v>1923207.9447026779</v>
      </c>
      <c r="E115" s="378">
        <f>IF(+J96&lt;F114,J96,D115)</f>
        <v>67767.454545454544</v>
      </c>
      <c r="F115" s="55">
        <f t="shared" si="59"/>
        <v>1855440.4901572233</v>
      </c>
      <c r="G115" s="55">
        <f t="shared" si="60"/>
        <v>1889324.2174299506</v>
      </c>
      <c r="H115" s="380">
        <f t="shared" si="61"/>
        <v>303038.08423021616</v>
      </c>
      <c r="I115" s="399">
        <f t="shared" si="62"/>
        <v>303038.08423021616</v>
      </c>
      <c r="J115" s="54">
        <f t="shared" si="33"/>
        <v>0</v>
      </c>
      <c r="K115" s="54"/>
      <c r="L115" s="129"/>
      <c r="M115" s="54">
        <f t="shared" si="35"/>
        <v>0</v>
      </c>
      <c r="N115" s="129"/>
      <c r="O115" s="54">
        <f t="shared" si="37"/>
        <v>0</v>
      </c>
      <c r="P115" s="54">
        <f t="shared" si="38"/>
        <v>0</v>
      </c>
      <c r="Q115" s="1"/>
    </row>
    <row r="116" spans="2:17" ht="12.5">
      <c r="B116" s="7" t="str">
        <f t="shared" si="39"/>
        <v/>
      </c>
      <c r="C116" s="50">
        <f>IF(D93="","-",+C115+1)</f>
        <v>2026</v>
      </c>
      <c r="D116" s="12">
        <f>IF(F115+SUM(E$99:E115)=D$92,F115,D$92-SUM(E$99:E115))</f>
        <v>1855440.4901572233</v>
      </c>
      <c r="E116" s="378">
        <f>IF(+J96&lt;F115,J96,D116)</f>
        <v>67767.454545454544</v>
      </c>
      <c r="F116" s="55">
        <f t="shared" si="59"/>
        <v>1787673.0356117687</v>
      </c>
      <c r="G116" s="55">
        <f t="shared" si="60"/>
        <v>1821556.762884496</v>
      </c>
      <c r="H116" s="380">
        <f t="shared" si="61"/>
        <v>294599.25115119555</v>
      </c>
      <c r="I116" s="399">
        <f t="shared" si="62"/>
        <v>294599.25115119555</v>
      </c>
      <c r="J116" s="54">
        <f t="shared" si="33"/>
        <v>0</v>
      </c>
      <c r="K116" s="54"/>
      <c r="L116" s="129"/>
      <c r="M116" s="54">
        <f t="shared" si="35"/>
        <v>0</v>
      </c>
      <c r="N116" s="129"/>
      <c r="O116" s="54">
        <f t="shared" si="37"/>
        <v>0</v>
      </c>
      <c r="P116" s="54">
        <f t="shared" si="38"/>
        <v>0</v>
      </c>
      <c r="Q116" s="1"/>
    </row>
    <row r="117" spans="2:17" ht="12.5">
      <c r="B117" s="7" t="str">
        <f t="shared" si="39"/>
        <v/>
      </c>
      <c r="C117" s="50">
        <f>IF(D93="","-",+C116+1)</f>
        <v>2027</v>
      </c>
      <c r="D117" s="12">
        <f>IF(F116+SUM(E$99:E116)=D$92,F116,D$92-SUM(E$99:E116))</f>
        <v>1787673.0356117687</v>
      </c>
      <c r="E117" s="378">
        <f>IF(+J96&lt;F116,J96,D117)</f>
        <v>67767.454545454544</v>
      </c>
      <c r="F117" s="55">
        <f t="shared" si="59"/>
        <v>1719905.5810663141</v>
      </c>
      <c r="G117" s="55">
        <f t="shared" si="60"/>
        <v>1753789.3083390414</v>
      </c>
      <c r="H117" s="380">
        <f t="shared" si="61"/>
        <v>286160.41807217494</v>
      </c>
      <c r="I117" s="399">
        <f t="shared" si="62"/>
        <v>286160.41807217494</v>
      </c>
      <c r="J117" s="54">
        <f t="shared" si="33"/>
        <v>0</v>
      </c>
      <c r="K117" s="54"/>
      <c r="L117" s="129"/>
      <c r="M117" s="54">
        <f t="shared" si="35"/>
        <v>0</v>
      </c>
      <c r="N117" s="129"/>
      <c r="O117" s="54">
        <f t="shared" si="37"/>
        <v>0</v>
      </c>
      <c r="P117" s="54">
        <f t="shared" si="38"/>
        <v>0</v>
      </c>
      <c r="Q117" s="1"/>
    </row>
    <row r="118" spans="2:17" ht="12.5">
      <c r="B118" s="7" t="str">
        <f t="shared" si="39"/>
        <v/>
      </c>
      <c r="C118" s="50">
        <f>IF(D93="","-",+C117+1)</f>
        <v>2028</v>
      </c>
      <c r="D118" s="12">
        <f>IF(F117+SUM(E$99:E117)=D$92,F117,D$92-SUM(E$99:E117))</f>
        <v>1719905.5810663141</v>
      </c>
      <c r="E118" s="378">
        <f>IF(+J96&lt;F117,J96,D118)</f>
        <v>67767.454545454544</v>
      </c>
      <c r="F118" s="55">
        <f t="shared" si="59"/>
        <v>1652138.1265208595</v>
      </c>
      <c r="G118" s="55">
        <f t="shared" si="60"/>
        <v>1686021.8537935868</v>
      </c>
      <c r="H118" s="380">
        <f t="shared" si="61"/>
        <v>277721.58499315439</v>
      </c>
      <c r="I118" s="399">
        <f t="shared" si="62"/>
        <v>277721.58499315439</v>
      </c>
      <c r="J118" s="54">
        <f t="shared" si="33"/>
        <v>0</v>
      </c>
      <c r="K118" s="54"/>
      <c r="L118" s="129"/>
      <c r="M118" s="54">
        <f t="shared" si="35"/>
        <v>0</v>
      </c>
      <c r="N118" s="129"/>
      <c r="O118" s="54">
        <f t="shared" si="37"/>
        <v>0</v>
      </c>
      <c r="P118" s="54">
        <f t="shared" si="38"/>
        <v>0</v>
      </c>
      <c r="Q118" s="1"/>
    </row>
    <row r="119" spans="2:17" ht="12.5">
      <c r="B119" s="7" t="str">
        <f t="shared" si="39"/>
        <v/>
      </c>
      <c r="C119" s="50">
        <f>IF(D93="","-",+C118+1)</f>
        <v>2029</v>
      </c>
      <c r="D119" s="12">
        <f>IF(F118+SUM(E$99:E118)=D$92,F118,D$92-SUM(E$99:E118))</f>
        <v>1652138.1265208595</v>
      </c>
      <c r="E119" s="378">
        <f>IF(+J96&lt;F118,J96,D119)</f>
        <v>67767.454545454544</v>
      </c>
      <c r="F119" s="55">
        <f t="shared" si="59"/>
        <v>1584370.671975405</v>
      </c>
      <c r="G119" s="55">
        <f t="shared" si="60"/>
        <v>1618254.3992481322</v>
      </c>
      <c r="H119" s="380">
        <f t="shared" si="61"/>
        <v>269282.75191413378</v>
      </c>
      <c r="I119" s="399">
        <f t="shared" si="62"/>
        <v>269282.75191413378</v>
      </c>
      <c r="J119" s="54">
        <f t="shared" si="33"/>
        <v>0</v>
      </c>
      <c r="K119" s="54"/>
      <c r="L119" s="129"/>
      <c r="M119" s="54">
        <f t="shared" si="35"/>
        <v>0</v>
      </c>
      <c r="N119" s="129"/>
      <c r="O119" s="54">
        <f t="shared" si="37"/>
        <v>0</v>
      </c>
      <c r="P119" s="54">
        <f t="shared" si="38"/>
        <v>0</v>
      </c>
      <c r="Q119" s="1"/>
    </row>
    <row r="120" spans="2:17" ht="12.5">
      <c r="B120" s="7" t="str">
        <f t="shared" si="39"/>
        <v/>
      </c>
      <c r="C120" s="50">
        <f>IF(D93="","-",+C119+1)</f>
        <v>2030</v>
      </c>
      <c r="D120" s="12">
        <f>IF(F119+SUM(E$99:E119)=D$92,F119,D$92-SUM(E$99:E119))</f>
        <v>1584370.671975405</v>
      </c>
      <c r="E120" s="378">
        <f>IF(+J96&lt;F119,J96,D120)</f>
        <v>67767.454545454544</v>
      </c>
      <c r="F120" s="55">
        <f t="shared" si="59"/>
        <v>1516603.2174299504</v>
      </c>
      <c r="G120" s="55">
        <f t="shared" si="60"/>
        <v>1550486.9447026777</v>
      </c>
      <c r="H120" s="380">
        <f t="shared" si="61"/>
        <v>260843.91883511317</v>
      </c>
      <c r="I120" s="399">
        <f t="shared" si="62"/>
        <v>260843.91883511317</v>
      </c>
      <c r="J120" s="54">
        <f t="shared" si="33"/>
        <v>0</v>
      </c>
      <c r="K120" s="54"/>
      <c r="L120" s="129"/>
      <c r="M120" s="54">
        <f t="shared" si="35"/>
        <v>0</v>
      </c>
      <c r="N120" s="129"/>
      <c r="O120" s="54">
        <f t="shared" si="37"/>
        <v>0</v>
      </c>
      <c r="P120" s="54">
        <f t="shared" si="38"/>
        <v>0</v>
      </c>
      <c r="Q120" s="1"/>
    </row>
    <row r="121" spans="2:17" ht="12.5">
      <c r="B121" s="7" t="str">
        <f t="shared" si="39"/>
        <v/>
      </c>
      <c r="C121" s="50">
        <f>IF(D93="","-",+C120+1)</f>
        <v>2031</v>
      </c>
      <c r="D121" s="12">
        <f>IF(F120+SUM(E$99:E120)=D$92,F120,D$92-SUM(E$99:E120))</f>
        <v>1516603.2174299504</v>
      </c>
      <c r="E121" s="378">
        <f>IF(+J96&lt;F120,J96,D121)</f>
        <v>67767.454545454544</v>
      </c>
      <c r="F121" s="55">
        <f t="shared" si="59"/>
        <v>1448835.7628844958</v>
      </c>
      <c r="G121" s="55">
        <f t="shared" si="60"/>
        <v>1482719.4901572231</v>
      </c>
      <c r="H121" s="380">
        <f t="shared" si="61"/>
        <v>252405.08575609262</v>
      </c>
      <c r="I121" s="399">
        <f t="shared" si="62"/>
        <v>252405.08575609262</v>
      </c>
      <c r="J121" s="54">
        <f t="shared" si="33"/>
        <v>0</v>
      </c>
      <c r="K121" s="54"/>
      <c r="L121" s="129"/>
      <c r="M121" s="54">
        <f t="shared" si="35"/>
        <v>0</v>
      </c>
      <c r="N121" s="129"/>
      <c r="O121" s="54">
        <f t="shared" si="37"/>
        <v>0</v>
      </c>
      <c r="P121" s="54">
        <f t="shared" si="38"/>
        <v>0</v>
      </c>
      <c r="Q121" s="1"/>
    </row>
    <row r="122" spans="2:17" ht="12.5">
      <c r="B122" s="7" t="str">
        <f t="shared" si="39"/>
        <v/>
      </c>
      <c r="C122" s="50">
        <f>IF(D93="","-",+C121+1)</f>
        <v>2032</v>
      </c>
      <c r="D122" s="12">
        <f>IF(F121+SUM(E$99:E121)=D$92,F121,D$92-SUM(E$99:E121))</f>
        <v>1448835.7628844958</v>
      </c>
      <c r="E122" s="378">
        <f>IF(+J96&lt;F121,J96,D122)</f>
        <v>67767.454545454544</v>
      </c>
      <c r="F122" s="55">
        <f t="shared" si="59"/>
        <v>1381068.3083390412</v>
      </c>
      <c r="G122" s="55">
        <f t="shared" si="60"/>
        <v>1414952.0356117685</v>
      </c>
      <c r="H122" s="380">
        <f t="shared" si="61"/>
        <v>243966.25267707201</v>
      </c>
      <c r="I122" s="399">
        <f t="shared" si="62"/>
        <v>243966.25267707201</v>
      </c>
      <c r="J122" s="54">
        <f t="shared" si="33"/>
        <v>0</v>
      </c>
      <c r="K122" s="54"/>
      <c r="L122" s="129"/>
      <c r="M122" s="54">
        <f t="shared" si="35"/>
        <v>0</v>
      </c>
      <c r="N122" s="129"/>
      <c r="O122" s="54">
        <f t="shared" si="37"/>
        <v>0</v>
      </c>
      <c r="P122" s="54">
        <f t="shared" si="38"/>
        <v>0</v>
      </c>
      <c r="Q122" s="1"/>
    </row>
    <row r="123" spans="2:17" ht="12.5">
      <c r="B123" s="7" t="str">
        <f t="shared" si="39"/>
        <v/>
      </c>
      <c r="C123" s="50">
        <f>IF(D93="","-",+C122+1)</f>
        <v>2033</v>
      </c>
      <c r="D123" s="12">
        <f>IF(F122+SUM(E$99:E122)=D$92,F122,D$92-SUM(E$99:E122))</f>
        <v>1381068.3083390412</v>
      </c>
      <c r="E123" s="378">
        <f>IF(+J96&lt;F122,J96,D123)</f>
        <v>67767.454545454544</v>
      </c>
      <c r="F123" s="55">
        <f t="shared" si="59"/>
        <v>1313300.8537935866</v>
      </c>
      <c r="G123" s="55">
        <f t="shared" si="60"/>
        <v>1347184.5810663139</v>
      </c>
      <c r="H123" s="380">
        <f t="shared" si="61"/>
        <v>235527.41959805141</v>
      </c>
      <c r="I123" s="399">
        <f t="shared" si="62"/>
        <v>235527.41959805141</v>
      </c>
      <c r="J123" s="54">
        <f t="shared" si="33"/>
        <v>0</v>
      </c>
      <c r="K123" s="54"/>
      <c r="L123" s="129"/>
      <c r="M123" s="54">
        <f t="shared" si="35"/>
        <v>0</v>
      </c>
      <c r="N123" s="129"/>
      <c r="O123" s="54">
        <f t="shared" si="37"/>
        <v>0</v>
      </c>
      <c r="P123" s="54">
        <f t="shared" si="38"/>
        <v>0</v>
      </c>
      <c r="Q123" s="1"/>
    </row>
    <row r="124" spans="2:17" ht="12.5">
      <c r="B124" s="7" t="str">
        <f t="shared" si="39"/>
        <v/>
      </c>
      <c r="C124" s="50">
        <f>IF(D93="","-",+C123+1)</f>
        <v>2034</v>
      </c>
      <c r="D124" s="12">
        <f>IF(F123+SUM(E$99:E123)=D$92,F123,D$92-SUM(E$99:E123))</f>
        <v>1313300.8537935866</v>
      </c>
      <c r="E124" s="378">
        <f>IF(+J96&lt;F123,J96,D124)</f>
        <v>67767.454545454544</v>
      </c>
      <c r="F124" s="55">
        <f t="shared" si="59"/>
        <v>1245533.399248132</v>
      </c>
      <c r="G124" s="55">
        <f t="shared" si="60"/>
        <v>1279417.1265208593</v>
      </c>
      <c r="H124" s="380">
        <f t="shared" si="61"/>
        <v>227088.5865190308</v>
      </c>
      <c r="I124" s="399">
        <f t="shared" si="62"/>
        <v>227088.5865190308</v>
      </c>
      <c r="J124" s="54">
        <f t="shared" si="33"/>
        <v>0</v>
      </c>
      <c r="K124" s="54"/>
      <c r="L124" s="129"/>
      <c r="M124" s="54">
        <f t="shared" si="35"/>
        <v>0</v>
      </c>
      <c r="N124" s="129"/>
      <c r="O124" s="54">
        <f t="shared" si="37"/>
        <v>0</v>
      </c>
      <c r="P124" s="54">
        <f t="shared" si="38"/>
        <v>0</v>
      </c>
      <c r="Q124" s="1"/>
    </row>
    <row r="125" spans="2:17" ht="12.5">
      <c r="B125" s="7" t="str">
        <f t="shared" si="39"/>
        <v/>
      </c>
      <c r="C125" s="50">
        <f>IF(D93="","-",+C124+1)</f>
        <v>2035</v>
      </c>
      <c r="D125" s="12">
        <f>IF(F124+SUM(E$99:E124)=D$92,F124,D$92-SUM(E$99:E124))</f>
        <v>1245533.399248132</v>
      </c>
      <c r="E125" s="378">
        <f>IF(+J96&lt;F124,J96,D125)</f>
        <v>67767.454545454544</v>
      </c>
      <c r="F125" s="55">
        <f t="shared" si="59"/>
        <v>1177765.9447026774</v>
      </c>
      <c r="G125" s="55">
        <f t="shared" si="60"/>
        <v>1211649.6719754047</v>
      </c>
      <c r="H125" s="380">
        <f t="shared" si="61"/>
        <v>218649.75344001024</v>
      </c>
      <c r="I125" s="399">
        <f t="shared" si="62"/>
        <v>218649.75344001024</v>
      </c>
      <c r="J125" s="54">
        <f t="shared" si="33"/>
        <v>0</v>
      </c>
      <c r="K125" s="54"/>
      <c r="L125" s="129"/>
      <c r="M125" s="54">
        <f t="shared" si="35"/>
        <v>0</v>
      </c>
      <c r="N125" s="129"/>
      <c r="O125" s="54">
        <f t="shared" si="37"/>
        <v>0</v>
      </c>
      <c r="P125" s="54">
        <f t="shared" si="38"/>
        <v>0</v>
      </c>
      <c r="Q125" s="1"/>
    </row>
    <row r="126" spans="2:17" ht="12.5">
      <c r="B126" s="7" t="str">
        <f t="shared" si="39"/>
        <v/>
      </c>
      <c r="C126" s="50">
        <f>IF(D93="","-",+C125+1)</f>
        <v>2036</v>
      </c>
      <c r="D126" s="12">
        <f>IF(F125+SUM(E$99:E125)=D$92,F125,D$92-SUM(E$99:E125))</f>
        <v>1177765.9447026774</v>
      </c>
      <c r="E126" s="378">
        <f>IF(+J96&lt;F125,J96,D126)</f>
        <v>67767.454545454544</v>
      </c>
      <c r="F126" s="55">
        <f t="shared" si="59"/>
        <v>1109998.4901572228</v>
      </c>
      <c r="G126" s="55">
        <f t="shared" si="60"/>
        <v>1143882.2174299501</v>
      </c>
      <c r="H126" s="380">
        <f t="shared" si="61"/>
        <v>210210.92036098964</v>
      </c>
      <c r="I126" s="399">
        <f t="shared" si="62"/>
        <v>210210.92036098964</v>
      </c>
      <c r="J126" s="54">
        <f t="shared" si="33"/>
        <v>0</v>
      </c>
      <c r="K126" s="54"/>
      <c r="L126" s="129"/>
      <c r="M126" s="54">
        <f t="shared" si="35"/>
        <v>0</v>
      </c>
      <c r="N126" s="129"/>
      <c r="O126" s="54">
        <f t="shared" si="37"/>
        <v>0</v>
      </c>
      <c r="P126" s="54">
        <f t="shared" si="38"/>
        <v>0</v>
      </c>
      <c r="Q126" s="1"/>
    </row>
    <row r="127" spans="2:17" ht="12.5">
      <c r="B127" s="7" t="str">
        <f t="shared" si="39"/>
        <v/>
      </c>
      <c r="C127" s="50">
        <f>IF(D93="","-",+C126+1)</f>
        <v>2037</v>
      </c>
      <c r="D127" s="12">
        <f>IF(F126+SUM(E$99:E126)=D$92,F126,D$92-SUM(E$99:E126))</f>
        <v>1109998.4901572228</v>
      </c>
      <c r="E127" s="378">
        <f>IF(+J96&lt;F126,J96,D127)</f>
        <v>67767.454545454544</v>
      </c>
      <c r="F127" s="55">
        <f t="shared" si="59"/>
        <v>1042231.0356117683</v>
      </c>
      <c r="G127" s="55">
        <f t="shared" si="60"/>
        <v>1076114.7628844955</v>
      </c>
      <c r="H127" s="380">
        <f t="shared" si="61"/>
        <v>201772.08728196903</v>
      </c>
      <c r="I127" s="399">
        <f t="shared" si="62"/>
        <v>201772.08728196903</v>
      </c>
      <c r="J127" s="54">
        <f t="shared" si="33"/>
        <v>0</v>
      </c>
      <c r="K127" s="54"/>
      <c r="L127" s="129"/>
      <c r="M127" s="54">
        <f t="shared" si="35"/>
        <v>0</v>
      </c>
      <c r="N127" s="129"/>
      <c r="O127" s="54">
        <f t="shared" si="37"/>
        <v>0</v>
      </c>
      <c r="P127" s="54">
        <f t="shared" si="38"/>
        <v>0</v>
      </c>
      <c r="Q127" s="1"/>
    </row>
    <row r="128" spans="2:17" ht="12.5">
      <c r="B128" s="7" t="str">
        <f t="shared" si="39"/>
        <v/>
      </c>
      <c r="C128" s="50">
        <f>IF(D93="","-",+C127+1)</f>
        <v>2038</v>
      </c>
      <c r="D128" s="12">
        <f>IF(F127+SUM(E$99:E127)=D$92,F127,D$92-SUM(E$99:E127))</f>
        <v>1042231.0356117683</v>
      </c>
      <c r="E128" s="378">
        <f>IF(+J96&lt;F127,J96,D128)</f>
        <v>67767.454545454544</v>
      </c>
      <c r="F128" s="55">
        <f t="shared" si="59"/>
        <v>974463.58106631367</v>
      </c>
      <c r="G128" s="55">
        <f t="shared" si="60"/>
        <v>1008347.308339041</v>
      </c>
      <c r="H128" s="380">
        <f t="shared" si="61"/>
        <v>193333.25420294845</v>
      </c>
      <c r="I128" s="399">
        <f t="shared" si="62"/>
        <v>193333.25420294845</v>
      </c>
      <c r="J128" s="54">
        <f t="shared" si="33"/>
        <v>0</v>
      </c>
      <c r="K128" s="54"/>
      <c r="L128" s="129"/>
      <c r="M128" s="54">
        <f t="shared" si="35"/>
        <v>0</v>
      </c>
      <c r="N128" s="129"/>
      <c r="O128" s="54">
        <f t="shared" si="37"/>
        <v>0</v>
      </c>
      <c r="P128" s="54">
        <f t="shared" si="38"/>
        <v>0</v>
      </c>
      <c r="Q128" s="1"/>
    </row>
    <row r="129" spans="2:17" ht="12.5">
      <c r="B129" s="7" t="str">
        <f t="shared" si="39"/>
        <v/>
      </c>
      <c r="C129" s="50">
        <f>IF(D93="","-",+C128+1)</f>
        <v>2039</v>
      </c>
      <c r="D129" s="12">
        <f>IF(F128+SUM(E$99:E128)=D$92,F128,D$92-SUM(E$99:E128))</f>
        <v>974463.58106631367</v>
      </c>
      <c r="E129" s="378">
        <f>IF(+J96&lt;F128,J96,D129)</f>
        <v>67767.454545454544</v>
      </c>
      <c r="F129" s="55">
        <f t="shared" si="59"/>
        <v>906696.12652085908</v>
      </c>
      <c r="G129" s="55">
        <f t="shared" si="60"/>
        <v>940579.85379358637</v>
      </c>
      <c r="H129" s="380">
        <f t="shared" si="61"/>
        <v>184894.42112392787</v>
      </c>
      <c r="I129" s="399">
        <f t="shared" si="62"/>
        <v>184894.42112392787</v>
      </c>
      <c r="J129" s="54">
        <f t="shared" si="33"/>
        <v>0</v>
      </c>
      <c r="K129" s="54"/>
      <c r="L129" s="129"/>
      <c r="M129" s="54">
        <f t="shared" si="35"/>
        <v>0</v>
      </c>
      <c r="N129" s="129"/>
      <c r="O129" s="54">
        <f t="shared" si="37"/>
        <v>0</v>
      </c>
      <c r="P129" s="54">
        <f t="shared" si="38"/>
        <v>0</v>
      </c>
      <c r="Q129" s="1"/>
    </row>
    <row r="130" spans="2:17" ht="12.5">
      <c r="B130" s="7" t="str">
        <f t="shared" si="39"/>
        <v/>
      </c>
      <c r="C130" s="50">
        <f>IF(D93="","-",+C129+1)</f>
        <v>2040</v>
      </c>
      <c r="D130" s="12">
        <f>IF(F129+SUM(E$99:E129)=D$92,F129,D$92-SUM(E$99:E129))</f>
        <v>906696.12652085908</v>
      </c>
      <c r="E130" s="378">
        <f>IF(+J96&lt;F129,J96,D130)</f>
        <v>67767.454545454544</v>
      </c>
      <c r="F130" s="55">
        <f t="shared" si="59"/>
        <v>838928.67197540449</v>
      </c>
      <c r="G130" s="55">
        <f t="shared" si="60"/>
        <v>872812.39924813178</v>
      </c>
      <c r="H130" s="380">
        <f t="shared" si="61"/>
        <v>176455.58804490726</v>
      </c>
      <c r="I130" s="399">
        <f t="shared" si="62"/>
        <v>176455.58804490726</v>
      </c>
      <c r="J130" s="54">
        <f t="shared" si="33"/>
        <v>0</v>
      </c>
      <c r="K130" s="54"/>
      <c r="L130" s="129"/>
      <c r="M130" s="54">
        <f t="shared" si="35"/>
        <v>0</v>
      </c>
      <c r="N130" s="129"/>
      <c r="O130" s="54">
        <f t="shared" si="37"/>
        <v>0</v>
      </c>
      <c r="P130" s="54">
        <f t="shared" si="38"/>
        <v>0</v>
      </c>
      <c r="Q130" s="1"/>
    </row>
    <row r="131" spans="2:17" ht="12.5">
      <c r="B131" s="7" t="str">
        <f t="shared" si="39"/>
        <v/>
      </c>
      <c r="C131" s="50">
        <f>IF(D93="","-",+C130+1)</f>
        <v>2041</v>
      </c>
      <c r="D131" s="12">
        <f>IF(F130+SUM(E$99:E130)=D$92,F130,D$92-SUM(E$99:E130))</f>
        <v>838928.67197540449</v>
      </c>
      <c r="E131" s="378">
        <f>IF(+J96&lt;F130,J96,D131)</f>
        <v>67767.454545454544</v>
      </c>
      <c r="F131" s="55">
        <f t="shared" ref="F131:F154" si="63">+D131-E131</f>
        <v>771161.2174299499</v>
      </c>
      <c r="G131" s="55">
        <f t="shared" ref="G131:G154" si="64">+(F131+D131)/2</f>
        <v>805044.9447026772</v>
      </c>
      <c r="H131" s="380">
        <f t="shared" si="61"/>
        <v>168016.75496588668</v>
      </c>
      <c r="I131" s="399">
        <f t="shared" si="62"/>
        <v>168016.75496588668</v>
      </c>
      <c r="J131" s="54">
        <f t="shared" ref="J131:J154" si="65">+I131-H131</f>
        <v>0</v>
      </c>
      <c r="K131" s="54"/>
      <c r="L131" s="129"/>
      <c r="M131" s="54">
        <f t="shared" ref="M131:M154" si="66">IF(L131&lt;&gt;0,+H131-L131,0)</f>
        <v>0</v>
      </c>
      <c r="N131" s="129"/>
      <c r="O131" s="54">
        <f t="shared" ref="O131:O154" si="67">IF(N131&lt;&gt;0,+I131-N131,0)</f>
        <v>0</v>
      </c>
      <c r="P131" s="54">
        <f t="shared" ref="P131:P154" si="68">+O131-M131</f>
        <v>0</v>
      </c>
      <c r="Q131" s="1"/>
    </row>
    <row r="132" spans="2:17" ht="12.5">
      <c r="B132" s="7" t="str">
        <f t="shared" si="39"/>
        <v/>
      </c>
      <c r="C132" s="50">
        <f>IF(D93="","-",+C131+1)</f>
        <v>2042</v>
      </c>
      <c r="D132" s="12">
        <f>IF(F131+SUM(E$99:E131)=D$92,F131,D$92-SUM(E$99:E131))</f>
        <v>771161.2174299499</v>
      </c>
      <c r="E132" s="378">
        <f>IF(+J96&lt;F131,J96,D132)</f>
        <v>67767.454545454544</v>
      </c>
      <c r="F132" s="55">
        <f t="shared" si="63"/>
        <v>703393.76288449531</v>
      </c>
      <c r="G132" s="55">
        <f t="shared" si="64"/>
        <v>737277.49015722261</v>
      </c>
      <c r="H132" s="380">
        <f t="shared" si="61"/>
        <v>159577.9218868661</v>
      </c>
      <c r="I132" s="399">
        <f t="shared" si="62"/>
        <v>159577.9218868661</v>
      </c>
      <c r="J132" s="54">
        <f t="shared" si="65"/>
        <v>0</v>
      </c>
      <c r="K132" s="54"/>
      <c r="L132" s="129"/>
      <c r="M132" s="54">
        <f t="shared" si="66"/>
        <v>0</v>
      </c>
      <c r="N132" s="129"/>
      <c r="O132" s="54">
        <f t="shared" si="67"/>
        <v>0</v>
      </c>
      <c r="P132" s="54">
        <f t="shared" si="68"/>
        <v>0</v>
      </c>
      <c r="Q132" s="1"/>
    </row>
    <row r="133" spans="2:17" ht="12.5">
      <c r="B133" s="7" t="str">
        <f t="shared" si="39"/>
        <v/>
      </c>
      <c r="C133" s="50">
        <f>IF(D93="","-",+C132+1)</f>
        <v>2043</v>
      </c>
      <c r="D133" s="12">
        <f>IF(F132+SUM(E$99:E132)=D$92,F132,D$92-SUM(E$99:E132))</f>
        <v>703393.76288449531</v>
      </c>
      <c r="E133" s="378">
        <f>IF(+J96&lt;F132,J96,D133)</f>
        <v>67767.454545454544</v>
      </c>
      <c r="F133" s="55">
        <f t="shared" si="63"/>
        <v>635626.30833904073</v>
      </c>
      <c r="G133" s="55">
        <f t="shared" si="64"/>
        <v>669510.03561176802</v>
      </c>
      <c r="H133" s="380">
        <f t="shared" si="61"/>
        <v>151139.08880784549</v>
      </c>
      <c r="I133" s="399">
        <f t="shared" si="62"/>
        <v>151139.08880784549</v>
      </c>
      <c r="J133" s="54">
        <f t="shared" si="65"/>
        <v>0</v>
      </c>
      <c r="K133" s="54"/>
      <c r="L133" s="129"/>
      <c r="M133" s="54">
        <f t="shared" si="66"/>
        <v>0</v>
      </c>
      <c r="N133" s="129"/>
      <c r="O133" s="54">
        <f t="shared" si="67"/>
        <v>0</v>
      </c>
      <c r="P133" s="54">
        <f t="shared" si="68"/>
        <v>0</v>
      </c>
      <c r="Q133" s="1"/>
    </row>
    <row r="134" spans="2:17" ht="12.5">
      <c r="B134" s="7" t="str">
        <f t="shared" si="39"/>
        <v/>
      </c>
      <c r="C134" s="50">
        <f>IF(D93="","-",+C133+1)</f>
        <v>2044</v>
      </c>
      <c r="D134" s="12">
        <f>IF(F133+SUM(E$99:E133)=D$92,F133,D$92-SUM(E$99:E133))</f>
        <v>635626.30833904073</v>
      </c>
      <c r="E134" s="378">
        <f>IF(+J96&lt;F133,J96,D134)</f>
        <v>67767.454545454544</v>
      </c>
      <c r="F134" s="55">
        <f t="shared" si="63"/>
        <v>567858.85379358614</v>
      </c>
      <c r="G134" s="55">
        <f t="shared" si="64"/>
        <v>601742.58106631343</v>
      </c>
      <c r="H134" s="380">
        <f t="shared" si="61"/>
        <v>142700.25572882488</v>
      </c>
      <c r="I134" s="399">
        <f t="shared" si="62"/>
        <v>142700.25572882488</v>
      </c>
      <c r="J134" s="54">
        <f t="shared" si="65"/>
        <v>0</v>
      </c>
      <c r="K134" s="54"/>
      <c r="L134" s="129"/>
      <c r="M134" s="54">
        <f t="shared" si="66"/>
        <v>0</v>
      </c>
      <c r="N134" s="129"/>
      <c r="O134" s="54">
        <f t="shared" si="67"/>
        <v>0</v>
      </c>
      <c r="P134" s="54">
        <f t="shared" si="68"/>
        <v>0</v>
      </c>
      <c r="Q134" s="1"/>
    </row>
    <row r="135" spans="2:17" ht="12.5">
      <c r="B135" s="7" t="str">
        <f t="shared" si="39"/>
        <v/>
      </c>
      <c r="C135" s="50">
        <f>IF(D93="","-",+C134+1)</f>
        <v>2045</v>
      </c>
      <c r="D135" s="12">
        <f>IF(F134+SUM(E$99:E134)=D$92,F134,D$92-SUM(E$99:E134))</f>
        <v>567858.85379358614</v>
      </c>
      <c r="E135" s="378">
        <f>IF(+J96&lt;F134,J96,D135)</f>
        <v>67767.454545454544</v>
      </c>
      <c r="F135" s="55">
        <f t="shared" si="63"/>
        <v>500091.39924813161</v>
      </c>
      <c r="G135" s="55">
        <f t="shared" si="64"/>
        <v>533975.12652085884</v>
      </c>
      <c r="H135" s="380">
        <f t="shared" si="61"/>
        <v>134261.4226498043</v>
      </c>
      <c r="I135" s="399">
        <f t="shared" si="62"/>
        <v>134261.4226498043</v>
      </c>
      <c r="J135" s="54">
        <f t="shared" si="65"/>
        <v>0</v>
      </c>
      <c r="K135" s="54"/>
      <c r="L135" s="129"/>
      <c r="M135" s="54">
        <f t="shared" si="66"/>
        <v>0</v>
      </c>
      <c r="N135" s="129"/>
      <c r="O135" s="54">
        <f t="shared" si="67"/>
        <v>0</v>
      </c>
      <c r="P135" s="54">
        <f t="shared" si="68"/>
        <v>0</v>
      </c>
      <c r="Q135" s="1"/>
    </row>
    <row r="136" spans="2:17" ht="12.5">
      <c r="B136" s="7" t="str">
        <f t="shared" si="39"/>
        <v/>
      </c>
      <c r="C136" s="50">
        <f>IF(D93="","-",+C135+1)</f>
        <v>2046</v>
      </c>
      <c r="D136" s="12">
        <f>IF(F135+SUM(E$99:E135)=D$92,F135,D$92-SUM(E$99:E135))</f>
        <v>500091.39924813161</v>
      </c>
      <c r="E136" s="378">
        <f>IF(+J96&lt;F135,J96,D136)</f>
        <v>67767.454545454544</v>
      </c>
      <c r="F136" s="55">
        <f t="shared" si="63"/>
        <v>432323.94470267708</v>
      </c>
      <c r="G136" s="55">
        <f t="shared" si="64"/>
        <v>466207.67197540437</v>
      </c>
      <c r="H136" s="380">
        <f t="shared" si="61"/>
        <v>125822.58957078372</v>
      </c>
      <c r="I136" s="399">
        <f t="shared" si="62"/>
        <v>125822.58957078372</v>
      </c>
      <c r="J136" s="54">
        <f t="shared" si="65"/>
        <v>0</v>
      </c>
      <c r="K136" s="54"/>
      <c r="L136" s="129"/>
      <c r="M136" s="54">
        <f t="shared" si="66"/>
        <v>0</v>
      </c>
      <c r="N136" s="129"/>
      <c r="O136" s="54">
        <f t="shared" si="67"/>
        <v>0</v>
      </c>
      <c r="P136" s="54">
        <f t="shared" si="68"/>
        <v>0</v>
      </c>
      <c r="Q136" s="1"/>
    </row>
    <row r="137" spans="2:17" ht="12.5">
      <c r="B137" s="7" t="str">
        <f t="shared" si="39"/>
        <v/>
      </c>
      <c r="C137" s="50">
        <f>IF(D93="","-",+C136+1)</f>
        <v>2047</v>
      </c>
      <c r="D137" s="12">
        <f>IF(F136+SUM(E$99:E136)=D$92,F136,D$92-SUM(E$99:E136))</f>
        <v>432323.94470267708</v>
      </c>
      <c r="E137" s="378">
        <f>IF(+J96&lt;F136,J96,D137)</f>
        <v>67767.454545454544</v>
      </c>
      <c r="F137" s="55">
        <f t="shared" si="63"/>
        <v>364556.49015722255</v>
      </c>
      <c r="G137" s="55">
        <f t="shared" si="64"/>
        <v>398440.21742994979</v>
      </c>
      <c r="H137" s="380">
        <f t="shared" si="61"/>
        <v>117383.75649176314</v>
      </c>
      <c r="I137" s="399">
        <f t="shared" si="62"/>
        <v>117383.75649176314</v>
      </c>
      <c r="J137" s="54">
        <f t="shared" si="65"/>
        <v>0</v>
      </c>
      <c r="K137" s="54"/>
      <c r="L137" s="129"/>
      <c r="M137" s="54">
        <f t="shared" si="66"/>
        <v>0</v>
      </c>
      <c r="N137" s="129"/>
      <c r="O137" s="54">
        <f t="shared" si="67"/>
        <v>0</v>
      </c>
      <c r="P137" s="54">
        <f t="shared" si="68"/>
        <v>0</v>
      </c>
      <c r="Q137" s="1"/>
    </row>
    <row r="138" spans="2:17" ht="12.5">
      <c r="B138" s="7" t="str">
        <f t="shared" si="39"/>
        <v/>
      </c>
      <c r="C138" s="50">
        <f>IF(D93="","-",+C137+1)</f>
        <v>2048</v>
      </c>
      <c r="D138" s="12">
        <f>IF(F137+SUM(E$99:E137)=D$92,F137,D$92-SUM(E$99:E137))</f>
        <v>364556.49015722255</v>
      </c>
      <c r="E138" s="378">
        <f>IF(+J96&lt;F137,J96,D138)</f>
        <v>67767.454545454544</v>
      </c>
      <c r="F138" s="55">
        <f t="shared" si="63"/>
        <v>296789.03561176802</v>
      </c>
      <c r="G138" s="55">
        <f t="shared" si="64"/>
        <v>330672.76288449531</v>
      </c>
      <c r="H138" s="380">
        <f t="shared" si="61"/>
        <v>108944.92341274256</v>
      </c>
      <c r="I138" s="399">
        <f t="shared" si="62"/>
        <v>108944.92341274256</v>
      </c>
      <c r="J138" s="54">
        <f t="shared" si="65"/>
        <v>0</v>
      </c>
      <c r="K138" s="54"/>
      <c r="L138" s="129"/>
      <c r="M138" s="54">
        <f t="shared" si="66"/>
        <v>0</v>
      </c>
      <c r="N138" s="129"/>
      <c r="O138" s="54">
        <f t="shared" si="67"/>
        <v>0</v>
      </c>
      <c r="P138" s="54">
        <f t="shared" si="68"/>
        <v>0</v>
      </c>
      <c r="Q138" s="1"/>
    </row>
    <row r="139" spans="2:17" ht="12.5">
      <c r="B139" s="7" t="str">
        <f t="shared" si="39"/>
        <v/>
      </c>
      <c r="C139" s="50">
        <f>IF(D93="","-",+C138+1)</f>
        <v>2049</v>
      </c>
      <c r="D139" s="12">
        <f>IF(F138+SUM(E$99:E138)=D$92,F138,D$92-SUM(E$99:E138))</f>
        <v>296789.03561176802</v>
      </c>
      <c r="E139" s="378">
        <f>IF(+J96&lt;F138,J96,D139)</f>
        <v>67767.454545454544</v>
      </c>
      <c r="F139" s="55">
        <f t="shared" si="63"/>
        <v>229021.58106631349</v>
      </c>
      <c r="G139" s="55">
        <f t="shared" si="64"/>
        <v>262905.30833904073</v>
      </c>
      <c r="H139" s="380">
        <f t="shared" si="61"/>
        <v>100506.09033372196</v>
      </c>
      <c r="I139" s="399">
        <f t="shared" si="62"/>
        <v>100506.09033372196</v>
      </c>
      <c r="J139" s="54">
        <f t="shared" si="65"/>
        <v>0</v>
      </c>
      <c r="K139" s="54"/>
      <c r="L139" s="129"/>
      <c r="M139" s="54">
        <f t="shared" si="66"/>
        <v>0</v>
      </c>
      <c r="N139" s="129"/>
      <c r="O139" s="54">
        <f t="shared" si="67"/>
        <v>0</v>
      </c>
      <c r="P139" s="54">
        <f t="shared" si="68"/>
        <v>0</v>
      </c>
      <c r="Q139" s="1"/>
    </row>
    <row r="140" spans="2:17" ht="12.5">
      <c r="B140" s="7" t="str">
        <f t="shared" si="39"/>
        <v/>
      </c>
      <c r="C140" s="50">
        <f>IF(D93="","-",+C139+1)</f>
        <v>2050</v>
      </c>
      <c r="D140" s="12">
        <f>IF(F139+SUM(E$99:E139)=D$92,F139,D$92-SUM(E$99:E139))</f>
        <v>229021.58106631349</v>
      </c>
      <c r="E140" s="378">
        <f>IF(+J96&lt;F139,J96,D140)</f>
        <v>67767.454545454544</v>
      </c>
      <c r="F140" s="55">
        <f t="shared" si="63"/>
        <v>161254.12652085896</v>
      </c>
      <c r="G140" s="55">
        <f t="shared" si="64"/>
        <v>195137.85379358623</v>
      </c>
      <c r="H140" s="380">
        <f t="shared" si="61"/>
        <v>92067.257254701384</v>
      </c>
      <c r="I140" s="399">
        <f t="shared" si="62"/>
        <v>92067.257254701384</v>
      </c>
      <c r="J140" s="54">
        <f t="shared" si="65"/>
        <v>0</v>
      </c>
      <c r="K140" s="54"/>
      <c r="L140" s="129"/>
      <c r="M140" s="54">
        <f t="shared" si="66"/>
        <v>0</v>
      </c>
      <c r="N140" s="129"/>
      <c r="O140" s="54">
        <f t="shared" si="67"/>
        <v>0</v>
      </c>
      <c r="P140" s="54">
        <f t="shared" si="68"/>
        <v>0</v>
      </c>
      <c r="Q140" s="1"/>
    </row>
    <row r="141" spans="2:17" ht="12.5">
      <c r="B141" s="7" t="str">
        <f t="shared" si="39"/>
        <v/>
      </c>
      <c r="C141" s="50">
        <f>IF(D93="","-",+C140+1)</f>
        <v>2051</v>
      </c>
      <c r="D141" s="12">
        <f>IF(F140+SUM(E$99:E140)=D$92,F140,D$92-SUM(E$99:E140))</f>
        <v>161254.12652085896</v>
      </c>
      <c r="E141" s="378">
        <f>IF(+J96&lt;F140,J96,D141)</f>
        <v>67767.454545454544</v>
      </c>
      <c r="F141" s="55">
        <f t="shared" si="63"/>
        <v>93486.671975404417</v>
      </c>
      <c r="G141" s="55">
        <f t="shared" si="64"/>
        <v>127370.3992481317</v>
      </c>
      <c r="H141" s="380">
        <f t="shared" si="61"/>
        <v>83628.424175680804</v>
      </c>
      <c r="I141" s="399">
        <f t="shared" si="62"/>
        <v>83628.424175680804</v>
      </c>
      <c r="J141" s="54">
        <f t="shared" si="65"/>
        <v>0</v>
      </c>
      <c r="K141" s="54"/>
      <c r="L141" s="129"/>
      <c r="M141" s="54">
        <f t="shared" si="66"/>
        <v>0</v>
      </c>
      <c r="N141" s="129"/>
      <c r="O141" s="54">
        <f t="shared" si="67"/>
        <v>0</v>
      </c>
      <c r="P141" s="54">
        <f t="shared" si="68"/>
        <v>0</v>
      </c>
      <c r="Q141" s="1"/>
    </row>
    <row r="142" spans="2:17" ht="12.5">
      <c r="B142" s="7" t="str">
        <f t="shared" si="39"/>
        <v/>
      </c>
      <c r="C142" s="50">
        <f>IF(D93="","-",+C141+1)</f>
        <v>2052</v>
      </c>
      <c r="D142" s="12">
        <f>IF(F141+SUM(E$99:E141)=D$92,F141,D$92-SUM(E$99:E141))</f>
        <v>93486.671975404417</v>
      </c>
      <c r="E142" s="378">
        <f>IF(+J96&lt;F141,J96,D142)</f>
        <v>67767.454545454544</v>
      </c>
      <c r="F142" s="55">
        <f t="shared" si="63"/>
        <v>25719.217429949873</v>
      </c>
      <c r="G142" s="55">
        <f t="shared" si="64"/>
        <v>59602.944702677145</v>
      </c>
      <c r="H142" s="380">
        <f t="shared" si="61"/>
        <v>75189.59109666021</v>
      </c>
      <c r="I142" s="399">
        <f t="shared" si="62"/>
        <v>75189.59109666021</v>
      </c>
      <c r="J142" s="54">
        <f t="shared" si="65"/>
        <v>0</v>
      </c>
      <c r="K142" s="54"/>
      <c r="L142" s="129"/>
      <c r="M142" s="54">
        <f t="shared" si="66"/>
        <v>0</v>
      </c>
      <c r="N142" s="129"/>
      <c r="O142" s="54">
        <f t="shared" si="67"/>
        <v>0</v>
      </c>
      <c r="P142" s="54">
        <f t="shared" si="68"/>
        <v>0</v>
      </c>
      <c r="Q142" s="1"/>
    </row>
    <row r="143" spans="2:17" ht="12.5">
      <c r="B143" s="7" t="str">
        <f t="shared" si="39"/>
        <v/>
      </c>
      <c r="C143" s="50">
        <f>IF(D93="","-",+C142+1)</f>
        <v>2053</v>
      </c>
      <c r="D143" s="12">
        <f>IF(F142+SUM(E$99:E142)=D$92,F142,D$92-SUM(E$99:E142))</f>
        <v>25719.217429949873</v>
      </c>
      <c r="E143" s="378">
        <f>IF(+J96&lt;F142,J96,D143)</f>
        <v>25719.217429949873</v>
      </c>
      <c r="F143" s="55">
        <f t="shared" si="63"/>
        <v>0</v>
      </c>
      <c r="G143" s="55">
        <f t="shared" si="64"/>
        <v>12859.608714974936</v>
      </c>
      <c r="H143" s="380">
        <f t="shared" si="61"/>
        <v>27320.577435797561</v>
      </c>
      <c r="I143" s="399">
        <f t="shared" si="62"/>
        <v>27320.577435797561</v>
      </c>
      <c r="J143" s="54">
        <f t="shared" si="65"/>
        <v>0</v>
      </c>
      <c r="K143" s="54"/>
      <c r="L143" s="129"/>
      <c r="M143" s="54">
        <f t="shared" si="66"/>
        <v>0</v>
      </c>
      <c r="N143" s="129"/>
      <c r="O143" s="54">
        <f t="shared" si="67"/>
        <v>0</v>
      </c>
      <c r="P143" s="54">
        <f t="shared" si="68"/>
        <v>0</v>
      </c>
      <c r="Q143" s="1"/>
    </row>
    <row r="144" spans="2:17" ht="12.5">
      <c r="B144" s="7" t="str">
        <f t="shared" si="39"/>
        <v/>
      </c>
      <c r="C144" s="50">
        <f>IF(D93="","-",+C143+1)</f>
        <v>2054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63"/>
        <v>0</v>
      </c>
      <c r="G144" s="55">
        <f t="shared" si="64"/>
        <v>0</v>
      </c>
      <c r="H144" s="380">
        <f t="shared" si="61"/>
        <v>0</v>
      </c>
      <c r="I144" s="399">
        <f t="shared" si="62"/>
        <v>0</v>
      </c>
      <c r="J144" s="54">
        <f t="shared" si="65"/>
        <v>0</v>
      </c>
      <c r="K144" s="54"/>
      <c r="L144" s="129"/>
      <c r="M144" s="54">
        <f t="shared" si="66"/>
        <v>0</v>
      </c>
      <c r="N144" s="129"/>
      <c r="O144" s="54">
        <f t="shared" si="67"/>
        <v>0</v>
      </c>
      <c r="P144" s="54">
        <f t="shared" si="68"/>
        <v>0</v>
      </c>
      <c r="Q144" s="1"/>
    </row>
    <row r="145" spans="2:17" ht="12.5">
      <c r="B145" s="7" t="str">
        <f t="shared" si="39"/>
        <v/>
      </c>
      <c r="C145" s="50">
        <f>IF(D93="","-",+C144+1)</f>
        <v>2055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63"/>
        <v>0</v>
      </c>
      <c r="G145" s="55">
        <f t="shared" si="64"/>
        <v>0</v>
      </c>
      <c r="H145" s="380">
        <f t="shared" si="61"/>
        <v>0</v>
      </c>
      <c r="I145" s="399">
        <f t="shared" si="62"/>
        <v>0</v>
      </c>
      <c r="J145" s="54">
        <f t="shared" si="65"/>
        <v>0</v>
      </c>
      <c r="K145" s="54"/>
      <c r="L145" s="129"/>
      <c r="M145" s="54">
        <f t="shared" si="66"/>
        <v>0</v>
      </c>
      <c r="N145" s="129"/>
      <c r="O145" s="54">
        <f t="shared" si="67"/>
        <v>0</v>
      </c>
      <c r="P145" s="54">
        <f t="shared" si="68"/>
        <v>0</v>
      </c>
      <c r="Q145" s="1"/>
    </row>
    <row r="146" spans="2:17" ht="12.5">
      <c r="B146" s="7" t="str">
        <f t="shared" si="39"/>
        <v/>
      </c>
      <c r="C146" s="50">
        <f>IF(D93="","-",+C145+1)</f>
        <v>2056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63"/>
        <v>0</v>
      </c>
      <c r="G146" s="55">
        <f t="shared" si="64"/>
        <v>0</v>
      </c>
      <c r="H146" s="380">
        <f t="shared" si="61"/>
        <v>0</v>
      </c>
      <c r="I146" s="399">
        <f t="shared" si="62"/>
        <v>0</v>
      </c>
      <c r="J146" s="54">
        <f t="shared" si="65"/>
        <v>0</v>
      </c>
      <c r="K146" s="54"/>
      <c r="L146" s="129"/>
      <c r="M146" s="54">
        <f t="shared" si="66"/>
        <v>0</v>
      </c>
      <c r="N146" s="129"/>
      <c r="O146" s="54">
        <f t="shared" si="67"/>
        <v>0</v>
      </c>
      <c r="P146" s="54">
        <f t="shared" si="68"/>
        <v>0</v>
      </c>
      <c r="Q146" s="1"/>
    </row>
    <row r="147" spans="2:17" ht="12.5">
      <c r="B147" s="7" t="str">
        <f t="shared" si="39"/>
        <v/>
      </c>
      <c r="C147" s="50">
        <f>IF(D93="","-",+C146+1)</f>
        <v>2057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63"/>
        <v>0</v>
      </c>
      <c r="G147" s="55">
        <f t="shared" si="64"/>
        <v>0</v>
      </c>
      <c r="H147" s="380">
        <f t="shared" si="61"/>
        <v>0</v>
      </c>
      <c r="I147" s="399">
        <f t="shared" si="62"/>
        <v>0</v>
      </c>
      <c r="J147" s="54">
        <f t="shared" si="65"/>
        <v>0</v>
      </c>
      <c r="K147" s="54"/>
      <c r="L147" s="129"/>
      <c r="M147" s="54">
        <f t="shared" si="66"/>
        <v>0</v>
      </c>
      <c r="N147" s="129"/>
      <c r="O147" s="54">
        <f t="shared" si="67"/>
        <v>0</v>
      </c>
      <c r="P147" s="54">
        <f t="shared" si="68"/>
        <v>0</v>
      </c>
      <c r="Q147" s="1"/>
    </row>
    <row r="148" spans="2:17" ht="12.5">
      <c r="B148" s="7" t="str">
        <f t="shared" si="39"/>
        <v/>
      </c>
      <c r="C148" s="50">
        <f>IF(D93="","-",+C147+1)</f>
        <v>2058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63"/>
        <v>0</v>
      </c>
      <c r="G148" s="55">
        <f t="shared" si="64"/>
        <v>0</v>
      </c>
      <c r="H148" s="380">
        <f t="shared" si="61"/>
        <v>0</v>
      </c>
      <c r="I148" s="399">
        <f t="shared" si="62"/>
        <v>0</v>
      </c>
      <c r="J148" s="54">
        <f t="shared" si="65"/>
        <v>0</v>
      </c>
      <c r="K148" s="54"/>
      <c r="L148" s="129"/>
      <c r="M148" s="54">
        <f t="shared" si="66"/>
        <v>0</v>
      </c>
      <c r="N148" s="129"/>
      <c r="O148" s="54">
        <f t="shared" si="67"/>
        <v>0</v>
      </c>
      <c r="P148" s="54">
        <f t="shared" si="68"/>
        <v>0</v>
      </c>
      <c r="Q148" s="1"/>
    </row>
    <row r="149" spans="2:17" ht="12.5">
      <c r="B149" s="7" t="str">
        <f t="shared" si="39"/>
        <v/>
      </c>
      <c r="C149" s="50">
        <f>IF(D93="","-",+C148+1)</f>
        <v>2059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63"/>
        <v>0</v>
      </c>
      <c r="G149" s="55">
        <f t="shared" si="64"/>
        <v>0</v>
      </c>
      <c r="H149" s="380">
        <f t="shared" si="61"/>
        <v>0</v>
      </c>
      <c r="I149" s="399">
        <f t="shared" si="62"/>
        <v>0</v>
      </c>
      <c r="J149" s="54">
        <f t="shared" si="65"/>
        <v>0</v>
      </c>
      <c r="K149" s="54"/>
      <c r="L149" s="129"/>
      <c r="M149" s="54">
        <f t="shared" si="66"/>
        <v>0</v>
      </c>
      <c r="N149" s="129"/>
      <c r="O149" s="54">
        <f t="shared" si="67"/>
        <v>0</v>
      </c>
      <c r="P149" s="54">
        <f t="shared" si="68"/>
        <v>0</v>
      </c>
      <c r="Q149" s="1"/>
    </row>
    <row r="150" spans="2:17" ht="12.5">
      <c r="B150" s="7" t="str">
        <f t="shared" si="39"/>
        <v/>
      </c>
      <c r="C150" s="50">
        <f>IF(D93="","-",+C149+1)</f>
        <v>2060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63"/>
        <v>0</v>
      </c>
      <c r="G150" s="55">
        <f t="shared" si="64"/>
        <v>0</v>
      </c>
      <c r="H150" s="380">
        <f t="shared" si="61"/>
        <v>0</v>
      </c>
      <c r="I150" s="399">
        <f t="shared" si="62"/>
        <v>0</v>
      </c>
      <c r="J150" s="54">
        <f t="shared" si="65"/>
        <v>0</v>
      </c>
      <c r="K150" s="54"/>
      <c r="L150" s="129"/>
      <c r="M150" s="54">
        <f t="shared" si="66"/>
        <v>0</v>
      </c>
      <c r="N150" s="129"/>
      <c r="O150" s="54">
        <f t="shared" si="67"/>
        <v>0</v>
      </c>
      <c r="P150" s="54">
        <f t="shared" si="68"/>
        <v>0</v>
      </c>
      <c r="Q150" s="1"/>
    </row>
    <row r="151" spans="2:17" ht="12.5">
      <c r="B151" s="7" t="str">
        <f t="shared" si="39"/>
        <v/>
      </c>
      <c r="C151" s="50">
        <f>IF(D93="","-",+C150+1)</f>
        <v>2061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63"/>
        <v>0</v>
      </c>
      <c r="G151" s="55">
        <f t="shared" si="64"/>
        <v>0</v>
      </c>
      <c r="H151" s="380">
        <f t="shared" si="61"/>
        <v>0</v>
      </c>
      <c r="I151" s="399">
        <f t="shared" si="62"/>
        <v>0</v>
      </c>
      <c r="J151" s="54">
        <f t="shared" si="65"/>
        <v>0</v>
      </c>
      <c r="K151" s="54"/>
      <c r="L151" s="129"/>
      <c r="M151" s="54">
        <f t="shared" si="66"/>
        <v>0</v>
      </c>
      <c r="N151" s="129"/>
      <c r="O151" s="54">
        <f t="shared" si="67"/>
        <v>0</v>
      </c>
      <c r="P151" s="54">
        <f t="shared" si="68"/>
        <v>0</v>
      </c>
      <c r="Q151" s="1"/>
    </row>
    <row r="152" spans="2:17" ht="12.5">
      <c r="B152" s="7" t="str">
        <f t="shared" si="39"/>
        <v/>
      </c>
      <c r="C152" s="50">
        <f>IF(D93="","-",+C151+1)</f>
        <v>2062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63"/>
        <v>0</v>
      </c>
      <c r="G152" s="55">
        <f t="shared" si="64"/>
        <v>0</v>
      </c>
      <c r="H152" s="380">
        <f t="shared" si="61"/>
        <v>0</v>
      </c>
      <c r="I152" s="399">
        <f t="shared" si="62"/>
        <v>0</v>
      </c>
      <c r="J152" s="54">
        <f t="shared" si="65"/>
        <v>0</v>
      </c>
      <c r="K152" s="54"/>
      <c r="L152" s="129"/>
      <c r="M152" s="54">
        <f t="shared" si="66"/>
        <v>0</v>
      </c>
      <c r="N152" s="129"/>
      <c r="O152" s="54">
        <f t="shared" si="67"/>
        <v>0</v>
      </c>
      <c r="P152" s="54">
        <f t="shared" si="68"/>
        <v>0</v>
      </c>
      <c r="Q152" s="1"/>
    </row>
    <row r="153" spans="2:17" ht="12.5">
      <c r="B153" s="7" t="str">
        <f t="shared" si="39"/>
        <v/>
      </c>
      <c r="C153" s="50">
        <f>IF(D93="","-",+C152+1)</f>
        <v>2063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63"/>
        <v>0</v>
      </c>
      <c r="G153" s="55">
        <f t="shared" si="64"/>
        <v>0</v>
      </c>
      <c r="H153" s="380">
        <f t="shared" si="61"/>
        <v>0</v>
      </c>
      <c r="I153" s="399">
        <f t="shared" si="62"/>
        <v>0</v>
      </c>
      <c r="J153" s="54">
        <f t="shared" si="65"/>
        <v>0</v>
      </c>
      <c r="K153" s="54"/>
      <c r="L153" s="129"/>
      <c r="M153" s="54">
        <f t="shared" si="66"/>
        <v>0</v>
      </c>
      <c r="N153" s="129"/>
      <c r="O153" s="54">
        <f t="shared" si="67"/>
        <v>0</v>
      </c>
      <c r="P153" s="54">
        <f t="shared" si="68"/>
        <v>0</v>
      </c>
      <c r="Q153" s="1"/>
    </row>
    <row r="154" spans="2:17" ht="13" thickBot="1">
      <c r="B154" s="7" t="str">
        <f t="shared" si="39"/>
        <v/>
      </c>
      <c r="C154" s="59">
        <f>IF(D93="","-",+C153+1)</f>
        <v>2064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63"/>
        <v>0</v>
      </c>
      <c r="G154" s="60">
        <f t="shared" si="64"/>
        <v>0</v>
      </c>
      <c r="H154" s="382">
        <f t="shared" si="61"/>
        <v>0</v>
      </c>
      <c r="I154" s="400">
        <f t="shared" si="62"/>
        <v>0</v>
      </c>
      <c r="J154" s="64">
        <f t="shared" si="65"/>
        <v>0</v>
      </c>
      <c r="K154" s="54"/>
      <c r="L154" s="130"/>
      <c r="M154" s="64">
        <f t="shared" si="66"/>
        <v>0</v>
      </c>
      <c r="N154" s="130"/>
      <c r="O154" s="64">
        <f t="shared" si="67"/>
        <v>0</v>
      </c>
      <c r="P154" s="64">
        <f t="shared" si="68"/>
        <v>0</v>
      </c>
      <c r="Q154" s="1"/>
    </row>
    <row r="155" spans="2:17" ht="12.5">
      <c r="C155" s="12" t="s">
        <v>78</v>
      </c>
      <c r="D155" s="293"/>
      <c r="E155" s="293">
        <f>SUM(E99:E154)</f>
        <v>2981767.9999999995</v>
      </c>
      <c r="F155" s="293"/>
      <c r="G155" s="293"/>
      <c r="H155" s="293">
        <f>SUM(H99:H154)</f>
        <v>11341350.736114072</v>
      </c>
      <c r="I155" s="293">
        <f>SUM(I99:I154)</f>
        <v>11341350.736114072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 ht="12.5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 ht="12.5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47" priority="1" stopIfTrue="1" operator="equal">
      <formula>$I$10</formula>
    </cfRule>
  </conditionalFormatting>
  <conditionalFormatting sqref="C99:C154">
    <cfRule type="cellIs" dxfId="14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887B7-D8D4-4464-AFCC-074AA0C1B1FA}">
  <dimension ref="A1:P162"/>
  <sheetViews>
    <sheetView topLeftCell="A87" zoomScaleNormal="100" zoomScaleSheetLayoutView="80" workbookViewId="0">
      <selection activeCell="H1" sqref="H1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3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77 of 77</v>
      </c>
    </row>
    <row r="2" spans="1:16" ht="17.5">
      <c r="B2" s="1"/>
      <c r="C2" s="1"/>
      <c r="D2" s="2"/>
      <c r="E2" s="1"/>
      <c r="F2" s="1"/>
      <c r="G2" s="1"/>
      <c r="H2" s="3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3"/>
      <c r="I3" s="3"/>
      <c r="J3" s="15"/>
      <c r="K3" s="3"/>
      <c r="L3" s="3"/>
      <c r="M3" s="3"/>
      <c r="N3" s="3"/>
      <c r="O3" s="1"/>
      <c r="P3" s="97">
        <v>1</v>
      </c>
    </row>
    <row r="4" spans="1:16" ht="16" thickBot="1">
      <c r="C4" s="9"/>
      <c r="D4" s="2"/>
      <c r="E4" s="1"/>
      <c r="F4" s="1"/>
      <c r="G4" s="1"/>
      <c r="H4" s="3"/>
      <c r="I4" s="3"/>
      <c r="J4" s="15"/>
      <c r="K4" s="3"/>
      <c r="L4" s="3"/>
      <c r="M4" s="3"/>
      <c r="N4" s="3"/>
      <c r="O4" s="1"/>
      <c r="P4" s="1"/>
    </row>
    <row r="5" spans="1:16" ht="15.5">
      <c r="C5" s="16" t="s">
        <v>46</v>
      </c>
      <c r="D5" s="2"/>
      <c r="E5" s="1"/>
      <c r="F5" s="1"/>
      <c r="G5" s="17"/>
      <c r="H5" s="1" t="s">
        <v>47</v>
      </c>
      <c r="I5" s="1"/>
      <c r="J5" s="1"/>
      <c r="K5" s="123" t="s">
        <v>157</v>
      </c>
      <c r="L5" s="18"/>
      <c r="M5" s="19"/>
      <c r="N5" s="20">
        <f>VLOOKUP(I10,C17:I72,5)</f>
        <v>0</v>
      </c>
      <c r="P5" s="1"/>
    </row>
    <row r="6" spans="1:16" ht="17.5">
      <c r="C6" s="6"/>
      <c r="D6" s="2"/>
      <c r="E6" s="1"/>
      <c r="F6" s="1"/>
      <c r="G6" s="1"/>
      <c r="H6" s="21"/>
      <c r="I6" s="21"/>
      <c r="J6" s="22"/>
      <c r="K6" s="124" t="s">
        <v>158</v>
      </c>
      <c r="L6" s="23"/>
      <c r="M6" s="1"/>
      <c r="N6" s="24">
        <f>VLOOKUP(I10,C17:I72,6)</f>
        <v>0</v>
      </c>
      <c r="O6" s="1"/>
      <c r="P6" s="105" t="str">
        <f ca="1">"SWEPCO Project "&amp;RIGHT(MID(CELL("filename",$A$1),FIND("]",CELL("filename",$A$1))+1,256),2)&amp;" of "&amp;COUNT(S.001:S.077!$P$3)</f>
        <v>SWEPCO Project 77 of 77</v>
      </c>
    </row>
    <row r="7" spans="1:16" ht="13.5" thickBot="1">
      <c r="C7" s="25" t="s">
        <v>48</v>
      </c>
      <c r="D7" s="90" t="s">
        <v>490</v>
      </c>
      <c r="E7" s="1"/>
      <c r="F7" s="1"/>
      <c r="G7" s="1"/>
      <c r="H7" s="3"/>
      <c r="I7" s="3"/>
      <c r="J7" s="15"/>
      <c r="K7" s="26" t="s">
        <v>49</v>
      </c>
      <c r="L7" s="27"/>
      <c r="M7" s="27"/>
      <c r="N7" s="28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>DOES NOT MEET SPP $100,000 MINIMUM INVESTMENT FOR REGIONAL BPU SHARING.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384</v>
      </c>
      <c r="E9" s="462" t="s">
        <v>483</v>
      </c>
      <c r="F9" s="31"/>
      <c r="G9" s="31"/>
      <c r="H9" s="31"/>
      <c r="I9" s="32"/>
      <c r="J9" s="33"/>
      <c r="P9" s="1"/>
    </row>
    <row r="10" spans="1:16" ht="13">
      <c r="C10" s="34" t="s">
        <v>51</v>
      </c>
      <c r="D10" s="35">
        <v>0</v>
      </c>
      <c r="E10" s="1" t="s">
        <v>52</v>
      </c>
      <c r="G10" s="2"/>
      <c r="H10" s="2"/>
      <c r="I10" s="36">
        <f>+'SWE.WS.F.BPU.ATRR.Projected'!L19</f>
        <v>2024</v>
      </c>
      <c r="J10" s="33"/>
      <c r="K10" s="15" t="s">
        <v>53</v>
      </c>
      <c r="O10" s="1"/>
      <c r="P10" s="1"/>
    </row>
    <row r="11" spans="1:16" ht="12.5">
      <c r="C11" s="34" t="s">
        <v>54</v>
      </c>
      <c r="D11" s="37">
        <v>2016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5">
        <v>6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15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41">
        <f>IF(D10=0,0,D10/D13)</f>
        <v>0</v>
      </c>
      <c r="J14" s="15"/>
      <c r="K14" s="15"/>
      <c r="L14" s="15"/>
      <c r="M14" s="15"/>
      <c r="N14" s="15"/>
      <c r="O14" s="1"/>
      <c r="P14" s="1"/>
    </row>
    <row r="15" spans="1:16" ht="39">
      <c r="C15" s="42" t="s">
        <v>51</v>
      </c>
      <c r="D15" s="43" t="s">
        <v>65</v>
      </c>
      <c r="E15" s="43" t="s">
        <v>66</v>
      </c>
      <c r="F15" s="43" t="s">
        <v>67</v>
      </c>
      <c r="G15" s="157" t="s">
        <v>391</v>
      </c>
      <c r="H15" s="158" t="s">
        <v>392</v>
      </c>
      <c r="I15" s="42" t="s">
        <v>68</v>
      </c>
      <c r="J15" s="44"/>
      <c r="K15" s="126" t="s">
        <v>227</v>
      </c>
      <c r="L15" s="45" t="s">
        <v>69</v>
      </c>
      <c r="M15" s="126" t="s">
        <v>227</v>
      </c>
      <c r="N15" s="45" t="s">
        <v>69</v>
      </c>
      <c r="O15" s="45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111" t="s">
        <v>74</v>
      </c>
      <c r="H16" s="47" t="s">
        <v>75</v>
      </c>
      <c r="I16" s="46" t="s">
        <v>94</v>
      </c>
      <c r="J16" s="44" t="s">
        <v>76</v>
      </c>
      <c r="K16" s="48" t="s">
        <v>77</v>
      </c>
      <c r="L16" s="48" t="s">
        <v>77</v>
      </c>
      <c r="M16" s="48" t="s">
        <v>95</v>
      </c>
      <c r="N16" s="49" t="s">
        <v>95</v>
      </c>
      <c r="O16" s="48" t="s">
        <v>95</v>
      </c>
      <c r="P16" s="1"/>
    </row>
    <row r="17" spans="2:16" ht="12.5">
      <c r="C17" s="50">
        <f>IF(D11= "","-",D11)</f>
        <v>2016</v>
      </c>
      <c r="D17" s="129">
        <v>0</v>
      </c>
      <c r="E17" s="129">
        <v>0</v>
      </c>
      <c r="F17" s="129">
        <v>0</v>
      </c>
      <c r="G17" s="129">
        <v>0</v>
      </c>
      <c r="H17" s="129">
        <v>0</v>
      </c>
      <c r="I17" s="52">
        <f t="shared" ref="I17:I72" si="0">H17-G17</f>
        <v>0</v>
      </c>
      <c r="J17" s="52"/>
      <c r="K17" s="112">
        <f t="shared" ref="K17:K25" si="1">G17</f>
        <v>0</v>
      </c>
      <c r="L17" s="53">
        <f t="shared" ref="L17:L24" si="2">IF(K17&lt;&gt;0,+G17-K17,0)</f>
        <v>0</v>
      </c>
      <c r="M17" s="112">
        <f t="shared" ref="M17:M24" si="3">+H17</f>
        <v>0</v>
      </c>
      <c r="N17" s="53">
        <f t="shared" ref="N17:N24" si="4">IF(M17&lt;&gt;0,+H17-M17,0)</f>
        <v>0</v>
      </c>
      <c r="O17" s="53">
        <f t="shared" ref="O17:O24" si="5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2017</v>
      </c>
      <c r="D18" s="129">
        <v>0</v>
      </c>
      <c r="E18" s="129">
        <v>0</v>
      </c>
      <c r="F18" s="129">
        <v>0</v>
      </c>
      <c r="G18" s="129">
        <v>0</v>
      </c>
      <c r="H18" s="129">
        <v>0</v>
      </c>
      <c r="I18" s="52">
        <f t="shared" si="0"/>
        <v>0</v>
      </c>
      <c r="J18" s="52"/>
      <c r="K18" s="113">
        <f t="shared" si="1"/>
        <v>0</v>
      </c>
      <c r="L18" s="54">
        <f t="shared" si="2"/>
        <v>0</v>
      </c>
      <c r="M18" s="113">
        <f t="shared" si="3"/>
        <v>0</v>
      </c>
      <c r="N18" s="54">
        <f t="shared" si="4"/>
        <v>0</v>
      </c>
      <c r="O18" s="54">
        <f t="shared" si="5"/>
        <v>0</v>
      </c>
      <c r="P18" s="1"/>
    </row>
    <row r="19" spans="2:16" ht="12.5">
      <c r="B19" s="7" t="str">
        <f>IF(D19=F18,"","IU")</f>
        <v/>
      </c>
      <c r="C19" s="50">
        <f>IF(D11="","-",+C18+1)</f>
        <v>2018</v>
      </c>
      <c r="D19" s="129">
        <v>0</v>
      </c>
      <c r="E19" s="129">
        <v>0</v>
      </c>
      <c r="F19" s="129">
        <v>0</v>
      </c>
      <c r="G19" s="129">
        <v>0</v>
      </c>
      <c r="H19" s="129">
        <v>0</v>
      </c>
      <c r="I19" s="52">
        <f t="shared" si="0"/>
        <v>0</v>
      </c>
      <c r="J19" s="52"/>
      <c r="K19" s="113">
        <f t="shared" si="1"/>
        <v>0</v>
      </c>
      <c r="L19" s="54">
        <f t="shared" si="2"/>
        <v>0</v>
      </c>
      <c r="M19" s="113">
        <f t="shared" si="3"/>
        <v>0</v>
      </c>
      <c r="N19" s="54">
        <f t="shared" si="4"/>
        <v>0</v>
      </c>
      <c r="O19" s="54">
        <f t="shared" si="5"/>
        <v>0</v>
      </c>
      <c r="P19" s="1"/>
    </row>
    <row r="20" spans="2:16" ht="12.5">
      <c r="B20" s="7" t="str">
        <f t="shared" ref="B20:B72" si="6">IF(D20=F19,"","IU")</f>
        <v/>
      </c>
      <c r="C20" s="50">
        <f>IF(D11="","-",+C19+1)</f>
        <v>2019</v>
      </c>
      <c r="D20" s="129">
        <v>0</v>
      </c>
      <c r="E20" s="129">
        <v>0</v>
      </c>
      <c r="F20" s="129">
        <v>0</v>
      </c>
      <c r="G20" s="129">
        <v>0</v>
      </c>
      <c r="H20" s="129">
        <v>0</v>
      </c>
      <c r="I20" s="52">
        <f t="shared" si="0"/>
        <v>0</v>
      </c>
      <c r="J20" s="52"/>
      <c r="K20" s="113">
        <f t="shared" si="1"/>
        <v>0</v>
      </c>
      <c r="L20" s="54">
        <f t="shared" si="2"/>
        <v>0</v>
      </c>
      <c r="M20" s="113">
        <f t="shared" si="3"/>
        <v>0</v>
      </c>
      <c r="N20" s="54">
        <f t="shared" si="4"/>
        <v>0</v>
      </c>
      <c r="O20" s="54">
        <f t="shared" si="5"/>
        <v>0</v>
      </c>
      <c r="P20" s="1"/>
    </row>
    <row r="21" spans="2:16" ht="12.5">
      <c r="B21" s="7" t="str">
        <f t="shared" si="6"/>
        <v/>
      </c>
      <c r="C21" s="50">
        <f>IF(D11="","-",+C20+1)</f>
        <v>2020</v>
      </c>
      <c r="D21" s="129">
        <v>0</v>
      </c>
      <c r="E21" s="129">
        <v>0</v>
      </c>
      <c r="F21" s="129">
        <v>0</v>
      </c>
      <c r="G21" s="129">
        <v>0</v>
      </c>
      <c r="H21" s="129">
        <v>0</v>
      </c>
      <c r="I21" s="52">
        <f t="shared" si="0"/>
        <v>0</v>
      </c>
      <c r="J21" s="52"/>
      <c r="K21" s="113">
        <f t="shared" si="1"/>
        <v>0</v>
      </c>
      <c r="L21" s="54">
        <f t="shared" si="2"/>
        <v>0</v>
      </c>
      <c r="M21" s="113">
        <f t="shared" si="3"/>
        <v>0</v>
      </c>
      <c r="N21" s="54">
        <f t="shared" si="4"/>
        <v>0</v>
      </c>
      <c r="O21" s="54">
        <f t="shared" si="5"/>
        <v>0</v>
      </c>
      <c r="P21" s="1"/>
    </row>
    <row r="22" spans="2:16" ht="12.5">
      <c r="B22" s="7" t="str">
        <f t="shared" si="6"/>
        <v/>
      </c>
      <c r="C22" s="50">
        <f>IF(D11="","-",+C21+1)</f>
        <v>2021</v>
      </c>
      <c r="D22" s="129">
        <v>0</v>
      </c>
      <c r="E22" s="129">
        <v>0</v>
      </c>
      <c r="F22" s="129">
        <v>0</v>
      </c>
      <c r="G22" s="129">
        <v>0</v>
      </c>
      <c r="H22" s="129">
        <v>0</v>
      </c>
      <c r="I22" s="52">
        <f t="shared" si="0"/>
        <v>0</v>
      </c>
      <c r="J22" s="52"/>
      <c r="K22" s="113">
        <f t="shared" si="1"/>
        <v>0</v>
      </c>
      <c r="L22" s="54">
        <f t="shared" si="2"/>
        <v>0</v>
      </c>
      <c r="M22" s="113">
        <f t="shared" si="3"/>
        <v>0</v>
      </c>
      <c r="N22" s="54">
        <f t="shared" si="4"/>
        <v>0</v>
      </c>
      <c r="O22" s="54">
        <f t="shared" si="5"/>
        <v>0</v>
      </c>
      <c r="P22" s="1"/>
    </row>
    <row r="23" spans="2:16" ht="12.5">
      <c r="B23" s="7" t="str">
        <f t="shared" si="6"/>
        <v/>
      </c>
      <c r="C23" s="50">
        <f>IF(D11="","-",+C22+1)</f>
        <v>2022</v>
      </c>
      <c r="D23" s="129">
        <v>0</v>
      </c>
      <c r="E23" s="129">
        <v>0</v>
      </c>
      <c r="F23" s="129">
        <v>0</v>
      </c>
      <c r="G23" s="129">
        <v>0</v>
      </c>
      <c r="H23" s="129">
        <v>0</v>
      </c>
      <c r="I23" s="52">
        <f t="shared" si="0"/>
        <v>0</v>
      </c>
      <c r="J23" s="52"/>
      <c r="K23" s="113">
        <f t="shared" si="1"/>
        <v>0</v>
      </c>
      <c r="L23" s="54">
        <f t="shared" si="2"/>
        <v>0</v>
      </c>
      <c r="M23" s="113">
        <f t="shared" si="3"/>
        <v>0</v>
      </c>
      <c r="N23" s="54">
        <f t="shared" si="4"/>
        <v>0</v>
      </c>
      <c r="O23" s="54">
        <f t="shared" si="5"/>
        <v>0</v>
      </c>
      <c r="P23" s="1"/>
    </row>
    <row r="24" spans="2:16" ht="12.5">
      <c r="B24" s="7" t="str">
        <f t="shared" si="6"/>
        <v/>
      </c>
      <c r="C24" s="50">
        <f>IF(D11="","-",+C23+1)</f>
        <v>2023</v>
      </c>
      <c r="D24" s="129">
        <v>0</v>
      </c>
      <c r="E24" s="129">
        <v>0</v>
      </c>
      <c r="F24" s="129">
        <v>0</v>
      </c>
      <c r="G24" s="129">
        <v>0</v>
      </c>
      <c r="H24" s="129">
        <v>0</v>
      </c>
      <c r="I24" s="52">
        <f t="shared" si="0"/>
        <v>0</v>
      </c>
      <c r="J24" s="52"/>
      <c r="K24" s="113">
        <f t="shared" si="1"/>
        <v>0</v>
      </c>
      <c r="L24" s="54">
        <f t="shared" si="2"/>
        <v>0</v>
      </c>
      <c r="M24" s="113">
        <f t="shared" si="3"/>
        <v>0</v>
      </c>
      <c r="N24" s="54">
        <f t="shared" si="4"/>
        <v>0</v>
      </c>
      <c r="O24" s="54">
        <f t="shared" si="5"/>
        <v>0</v>
      </c>
      <c r="P24" s="1"/>
    </row>
    <row r="25" spans="2:16" ht="12.5">
      <c r="B25" s="7" t="str">
        <f t="shared" si="6"/>
        <v/>
      </c>
      <c r="C25" s="50">
        <f>IF(D11="","-",+C24+1)</f>
        <v>2024</v>
      </c>
      <c r="D25" s="129">
        <v>0</v>
      </c>
      <c r="E25" s="129">
        <v>0</v>
      </c>
      <c r="F25" s="129">
        <v>0</v>
      </c>
      <c r="G25" s="129">
        <v>0</v>
      </c>
      <c r="H25" s="129">
        <v>0</v>
      </c>
      <c r="I25" s="52">
        <f t="shared" si="0"/>
        <v>0</v>
      </c>
      <c r="J25" s="52"/>
      <c r="K25" s="113">
        <f t="shared" si="1"/>
        <v>0</v>
      </c>
      <c r="L25" s="54">
        <f t="shared" ref="L25" si="7">IF(K25&lt;&gt;0,+G25-K25,0)</f>
        <v>0</v>
      </c>
      <c r="M25" s="113">
        <f t="shared" ref="M25" si="8">+H25</f>
        <v>0</v>
      </c>
      <c r="N25" s="54">
        <f t="shared" ref="N25" si="9">IF(M25&lt;&gt;0,+H25-M25,0)</f>
        <v>0</v>
      </c>
      <c r="O25" s="54">
        <f t="shared" ref="O25" si="10">+N25-L25</f>
        <v>0</v>
      </c>
      <c r="P25" s="1"/>
    </row>
    <row r="26" spans="2:16" ht="12.5">
      <c r="B26" s="7" t="str">
        <f t="shared" si="6"/>
        <v/>
      </c>
      <c r="C26" s="50">
        <f>IF(D11="","-",+C25+1)</f>
        <v>2025</v>
      </c>
      <c r="D26" s="55">
        <f>IF(F25+SUM(E$17:E25)=D$10,F25,D$10-SUM(E$17:E25))</f>
        <v>0</v>
      </c>
      <c r="E26" s="56">
        <f>IF(+I14&lt;F25,I14,D26)</f>
        <v>0</v>
      </c>
      <c r="F26" s="55">
        <f t="shared" ref="F26:F72" si="11">+D26-E26</f>
        <v>0</v>
      </c>
      <c r="G26" s="57">
        <f t="shared" ref="G26:G72" si="12">+I$12*((D26+F26)/2)+E26</f>
        <v>0</v>
      </c>
      <c r="H26" s="41">
        <f t="shared" ref="H26:H72" si="13">+I$13*((D26+F26)/2)+E26</f>
        <v>0</v>
      </c>
      <c r="I26" s="52">
        <f t="shared" si="0"/>
        <v>0</v>
      </c>
      <c r="J26" s="52"/>
      <c r="K26" s="129"/>
      <c r="L26" s="54">
        <f t="shared" ref="L26:L72" si="14">IF(K26&lt;&gt;0,+G26-K26,0)</f>
        <v>0</v>
      </c>
      <c r="M26" s="129"/>
      <c r="N26" s="54">
        <f t="shared" ref="N26:N72" si="15">IF(M26&lt;&gt;0,+H26-M26,0)</f>
        <v>0</v>
      </c>
      <c r="O26" s="54">
        <f t="shared" ref="O26:O72" si="16">+N26-L26</f>
        <v>0</v>
      </c>
      <c r="P26" s="1"/>
    </row>
    <row r="27" spans="2:16" ht="12.5">
      <c r="B27" s="7" t="str">
        <f t="shared" si="6"/>
        <v/>
      </c>
      <c r="C27" s="50">
        <f>IF(D11="","-",+C26+1)</f>
        <v>2026</v>
      </c>
      <c r="D27" s="55">
        <f>IF(F26+SUM(E$17:E26)=D$10,F26,D$10-SUM(E$17:E26))</f>
        <v>0</v>
      </c>
      <c r="E27" s="56">
        <f>IF(+I14&lt;F26,I14,D27)</f>
        <v>0</v>
      </c>
      <c r="F27" s="55">
        <f t="shared" si="11"/>
        <v>0</v>
      </c>
      <c r="G27" s="57">
        <f t="shared" si="12"/>
        <v>0</v>
      </c>
      <c r="H27" s="41">
        <f t="shared" si="13"/>
        <v>0</v>
      </c>
      <c r="I27" s="52">
        <f t="shared" si="0"/>
        <v>0</v>
      </c>
      <c r="J27" s="52"/>
      <c r="K27" s="129"/>
      <c r="L27" s="54">
        <f t="shared" si="14"/>
        <v>0</v>
      </c>
      <c r="M27" s="129"/>
      <c r="N27" s="54">
        <f t="shared" si="15"/>
        <v>0</v>
      </c>
      <c r="O27" s="54">
        <f t="shared" si="16"/>
        <v>0</v>
      </c>
      <c r="P27" s="1"/>
    </row>
    <row r="28" spans="2:16" ht="12.5">
      <c r="B28" s="7" t="str">
        <f t="shared" si="6"/>
        <v/>
      </c>
      <c r="C28" s="50">
        <f>IF(D11="","-",+C27+1)</f>
        <v>2027</v>
      </c>
      <c r="D28" s="55">
        <f>IF(F27+SUM(E$17:E27)=D$10,F27,D$10-SUM(E$17:E27))</f>
        <v>0</v>
      </c>
      <c r="E28" s="56">
        <f>IF(+I14&lt;F27,I14,D28)</f>
        <v>0</v>
      </c>
      <c r="F28" s="55">
        <f t="shared" si="11"/>
        <v>0</v>
      </c>
      <c r="G28" s="57">
        <f t="shared" si="12"/>
        <v>0</v>
      </c>
      <c r="H28" s="41">
        <f t="shared" si="13"/>
        <v>0</v>
      </c>
      <c r="I28" s="52">
        <f t="shared" si="0"/>
        <v>0</v>
      </c>
      <c r="J28" s="52"/>
      <c r="K28" s="129"/>
      <c r="L28" s="54">
        <f t="shared" si="14"/>
        <v>0</v>
      </c>
      <c r="M28" s="129"/>
      <c r="N28" s="54">
        <f t="shared" si="15"/>
        <v>0</v>
      </c>
      <c r="O28" s="54">
        <f t="shared" si="16"/>
        <v>0</v>
      </c>
      <c r="P28" s="1"/>
    </row>
    <row r="29" spans="2:16" ht="12.5">
      <c r="B29" s="7" t="str">
        <f t="shared" si="6"/>
        <v/>
      </c>
      <c r="C29" s="50">
        <f>IF(D11="","-",+C28+1)</f>
        <v>2028</v>
      </c>
      <c r="D29" s="55">
        <f>IF(F28+SUM(E$17:E28)=D$10,F28,D$10-SUM(E$17:E28))</f>
        <v>0</v>
      </c>
      <c r="E29" s="56">
        <f>IF(+I14&lt;F28,I14,D29)</f>
        <v>0</v>
      </c>
      <c r="F29" s="55">
        <f t="shared" si="11"/>
        <v>0</v>
      </c>
      <c r="G29" s="57">
        <f t="shared" si="12"/>
        <v>0</v>
      </c>
      <c r="H29" s="41">
        <f t="shared" si="13"/>
        <v>0</v>
      </c>
      <c r="I29" s="52">
        <f t="shared" si="0"/>
        <v>0</v>
      </c>
      <c r="J29" s="52"/>
      <c r="K29" s="129"/>
      <c r="L29" s="54">
        <f t="shared" si="14"/>
        <v>0</v>
      </c>
      <c r="M29" s="129"/>
      <c r="N29" s="54">
        <f t="shared" si="15"/>
        <v>0</v>
      </c>
      <c r="O29" s="54">
        <f t="shared" si="16"/>
        <v>0</v>
      </c>
      <c r="P29" s="1"/>
    </row>
    <row r="30" spans="2:16" ht="12.5">
      <c r="B30" s="7" t="str">
        <f t="shared" si="6"/>
        <v/>
      </c>
      <c r="C30" s="50">
        <f>IF(D11="","-",+C29+1)</f>
        <v>2029</v>
      </c>
      <c r="D30" s="55">
        <f>IF(F29+SUM(E$17:E29)=D$10,F29,D$10-SUM(E$17:E29))</f>
        <v>0</v>
      </c>
      <c r="E30" s="56">
        <f>IF(+I14&lt;F29,I14,D30)</f>
        <v>0</v>
      </c>
      <c r="F30" s="55">
        <f t="shared" si="11"/>
        <v>0</v>
      </c>
      <c r="G30" s="57">
        <f t="shared" si="12"/>
        <v>0</v>
      </c>
      <c r="H30" s="41">
        <f t="shared" si="13"/>
        <v>0</v>
      </c>
      <c r="I30" s="52">
        <f t="shared" si="0"/>
        <v>0</v>
      </c>
      <c r="J30" s="52"/>
      <c r="K30" s="129"/>
      <c r="L30" s="54">
        <f t="shared" si="14"/>
        <v>0</v>
      </c>
      <c r="M30" s="129"/>
      <c r="N30" s="54">
        <f t="shared" si="15"/>
        <v>0</v>
      </c>
      <c r="O30" s="54">
        <f t="shared" si="16"/>
        <v>0</v>
      </c>
      <c r="P30" s="1"/>
    </row>
    <row r="31" spans="2:16" ht="12.5">
      <c r="B31" s="7" t="str">
        <f t="shared" si="6"/>
        <v/>
      </c>
      <c r="C31" s="50">
        <f>IF(D11="","-",+C30+1)</f>
        <v>2030</v>
      </c>
      <c r="D31" s="55">
        <f>IF(F30+SUM(E$17:E30)=D$10,F30,D$10-SUM(E$17:E30))</f>
        <v>0</v>
      </c>
      <c r="E31" s="56">
        <f>IF(+I14&lt;F30,I14,D31)</f>
        <v>0</v>
      </c>
      <c r="F31" s="55">
        <f t="shared" si="11"/>
        <v>0</v>
      </c>
      <c r="G31" s="57">
        <f t="shared" si="12"/>
        <v>0</v>
      </c>
      <c r="H31" s="41">
        <f t="shared" si="13"/>
        <v>0</v>
      </c>
      <c r="I31" s="52">
        <f t="shared" si="0"/>
        <v>0</v>
      </c>
      <c r="J31" s="52"/>
      <c r="K31" s="129"/>
      <c r="L31" s="54">
        <f t="shared" si="14"/>
        <v>0</v>
      </c>
      <c r="M31" s="129"/>
      <c r="N31" s="54">
        <f t="shared" si="15"/>
        <v>0</v>
      </c>
      <c r="O31" s="54">
        <f t="shared" si="16"/>
        <v>0</v>
      </c>
      <c r="P31" s="1"/>
    </row>
    <row r="32" spans="2:16" ht="12.5">
      <c r="B32" s="7" t="str">
        <f t="shared" si="6"/>
        <v/>
      </c>
      <c r="C32" s="50">
        <f>IF(D11="","-",+C31+1)</f>
        <v>2031</v>
      </c>
      <c r="D32" s="55">
        <f>IF(F31+SUM(E$17:E31)=D$10,F31,D$10-SUM(E$17:E31))</f>
        <v>0</v>
      </c>
      <c r="E32" s="56">
        <f>IF(+I14&lt;F31,I14,D32)</f>
        <v>0</v>
      </c>
      <c r="F32" s="55">
        <f t="shared" si="11"/>
        <v>0</v>
      </c>
      <c r="G32" s="57">
        <f t="shared" si="12"/>
        <v>0</v>
      </c>
      <c r="H32" s="41">
        <f t="shared" si="13"/>
        <v>0</v>
      </c>
      <c r="I32" s="52">
        <f t="shared" si="0"/>
        <v>0</v>
      </c>
      <c r="J32" s="52"/>
      <c r="K32" s="129"/>
      <c r="L32" s="54">
        <f t="shared" si="14"/>
        <v>0</v>
      </c>
      <c r="M32" s="129"/>
      <c r="N32" s="54">
        <f t="shared" si="15"/>
        <v>0</v>
      </c>
      <c r="O32" s="54">
        <f t="shared" si="16"/>
        <v>0</v>
      </c>
      <c r="P32" s="1"/>
    </row>
    <row r="33" spans="2:16" ht="12.5">
      <c r="B33" s="7" t="str">
        <f t="shared" si="6"/>
        <v/>
      </c>
      <c r="C33" s="50">
        <f>IF(D11="","-",+C32+1)</f>
        <v>2032</v>
      </c>
      <c r="D33" s="55">
        <f>IF(F32+SUM(E$17:E32)=D$10,F32,D$10-SUM(E$17:E32))</f>
        <v>0</v>
      </c>
      <c r="E33" s="56">
        <f>IF(+I14&lt;F32,I14,D33)</f>
        <v>0</v>
      </c>
      <c r="F33" s="55">
        <f t="shared" si="11"/>
        <v>0</v>
      </c>
      <c r="G33" s="57">
        <f t="shared" si="12"/>
        <v>0</v>
      </c>
      <c r="H33" s="41">
        <f t="shared" si="13"/>
        <v>0</v>
      </c>
      <c r="I33" s="52">
        <f t="shared" si="0"/>
        <v>0</v>
      </c>
      <c r="J33" s="52"/>
      <c r="K33" s="129"/>
      <c r="L33" s="54">
        <f t="shared" si="14"/>
        <v>0</v>
      </c>
      <c r="M33" s="129"/>
      <c r="N33" s="54">
        <f t="shared" si="15"/>
        <v>0</v>
      </c>
      <c r="O33" s="54">
        <f t="shared" si="16"/>
        <v>0</v>
      </c>
      <c r="P33" s="1"/>
    </row>
    <row r="34" spans="2:16" ht="12.5">
      <c r="B34" s="7" t="str">
        <f t="shared" si="6"/>
        <v/>
      </c>
      <c r="C34" s="50">
        <f>IF(D11="","-",+C33+1)</f>
        <v>2033</v>
      </c>
      <c r="D34" s="55">
        <f>IF(F33+SUM(E$17:E33)=D$10,F33,D$10-SUM(E$17:E33))</f>
        <v>0</v>
      </c>
      <c r="E34" s="56">
        <f>IF(+I14&lt;F33,I14,D34)</f>
        <v>0</v>
      </c>
      <c r="F34" s="55">
        <f t="shared" si="11"/>
        <v>0</v>
      </c>
      <c r="G34" s="57">
        <f t="shared" si="12"/>
        <v>0</v>
      </c>
      <c r="H34" s="41">
        <f t="shared" si="13"/>
        <v>0</v>
      </c>
      <c r="I34" s="52">
        <f t="shared" si="0"/>
        <v>0</v>
      </c>
      <c r="J34" s="52"/>
      <c r="K34" s="129"/>
      <c r="L34" s="54">
        <f t="shared" si="14"/>
        <v>0</v>
      </c>
      <c r="M34" s="129"/>
      <c r="N34" s="54">
        <f t="shared" si="15"/>
        <v>0</v>
      </c>
      <c r="O34" s="54">
        <f t="shared" si="16"/>
        <v>0</v>
      </c>
      <c r="P34" s="1"/>
    </row>
    <row r="35" spans="2:16" ht="12.5">
      <c r="B35" s="7" t="str">
        <f t="shared" si="6"/>
        <v/>
      </c>
      <c r="C35" s="50">
        <f>IF(D11="","-",+C34+1)</f>
        <v>2034</v>
      </c>
      <c r="D35" s="55">
        <f>IF(F34+SUM(E$17:E34)=D$10,F34,D$10-SUM(E$17:E34))</f>
        <v>0</v>
      </c>
      <c r="E35" s="56">
        <f>IF(+I14&lt;F34,I14,D35)</f>
        <v>0</v>
      </c>
      <c r="F35" s="55">
        <f t="shared" si="11"/>
        <v>0</v>
      </c>
      <c r="G35" s="57">
        <f t="shared" si="12"/>
        <v>0</v>
      </c>
      <c r="H35" s="41">
        <f t="shared" si="13"/>
        <v>0</v>
      </c>
      <c r="I35" s="52">
        <f t="shared" si="0"/>
        <v>0</v>
      </c>
      <c r="J35" s="52"/>
      <c r="K35" s="129"/>
      <c r="L35" s="54">
        <f t="shared" si="14"/>
        <v>0</v>
      </c>
      <c r="M35" s="129"/>
      <c r="N35" s="54">
        <f t="shared" si="15"/>
        <v>0</v>
      </c>
      <c r="O35" s="54">
        <f t="shared" si="16"/>
        <v>0</v>
      </c>
      <c r="P35" s="1"/>
    </row>
    <row r="36" spans="2:16" ht="12.5">
      <c r="B36" s="7" t="str">
        <f t="shared" si="6"/>
        <v/>
      </c>
      <c r="C36" s="50">
        <f>IF(D11="","-",+C35+1)</f>
        <v>2035</v>
      </c>
      <c r="D36" s="55">
        <f>IF(F35+SUM(E$17:E35)=D$10,F35,D$10-SUM(E$17:E35))</f>
        <v>0</v>
      </c>
      <c r="E36" s="56">
        <f>IF(+I14&lt;F35,I14,D36)</f>
        <v>0</v>
      </c>
      <c r="F36" s="55">
        <f t="shared" si="11"/>
        <v>0</v>
      </c>
      <c r="G36" s="57">
        <f t="shared" si="12"/>
        <v>0</v>
      </c>
      <c r="H36" s="41">
        <f t="shared" si="13"/>
        <v>0</v>
      </c>
      <c r="I36" s="52">
        <f t="shared" si="0"/>
        <v>0</v>
      </c>
      <c r="J36" s="52"/>
      <c r="K36" s="129"/>
      <c r="L36" s="54">
        <f t="shared" si="14"/>
        <v>0</v>
      </c>
      <c r="M36" s="129"/>
      <c r="N36" s="54">
        <f t="shared" si="15"/>
        <v>0</v>
      </c>
      <c r="O36" s="54">
        <f t="shared" si="16"/>
        <v>0</v>
      </c>
      <c r="P36" s="1"/>
    </row>
    <row r="37" spans="2:16" ht="12.5">
      <c r="B37" s="7" t="str">
        <f t="shared" si="6"/>
        <v/>
      </c>
      <c r="C37" s="50">
        <f>IF(D11="","-",+C36+1)</f>
        <v>2036</v>
      </c>
      <c r="D37" s="55">
        <f>IF(F36+SUM(E$17:E36)=D$10,F36,D$10-SUM(E$17:E36))</f>
        <v>0</v>
      </c>
      <c r="E37" s="56">
        <f>IF(+I14&lt;F36,I14,D37)</f>
        <v>0</v>
      </c>
      <c r="F37" s="55">
        <f t="shared" si="11"/>
        <v>0</v>
      </c>
      <c r="G37" s="57">
        <f t="shared" si="12"/>
        <v>0</v>
      </c>
      <c r="H37" s="41">
        <f t="shared" si="13"/>
        <v>0</v>
      </c>
      <c r="I37" s="52">
        <f t="shared" si="0"/>
        <v>0</v>
      </c>
      <c r="J37" s="52"/>
      <c r="K37" s="129"/>
      <c r="L37" s="54">
        <f t="shared" si="14"/>
        <v>0</v>
      </c>
      <c r="M37" s="129"/>
      <c r="N37" s="54">
        <f t="shared" si="15"/>
        <v>0</v>
      </c>
      <c r="O37" s="54">
        <f t="shared" si="16"/>
        <v>0</v>
      </c>
      <c r="P37" s="1"/>
    </row>
    <row r="38" spans="2:16" ht="12.5">
      <c r="B38" s="7" t="str">
        <f t="shared" si="6"/>
        <v/>
      </c>
      <c r="C38" s="50">
        <f>IF(D11="","-",+C37+1)</f>
        <v>2037</v>
      </c>
      <c r="D38" s="55">
        <f>IF(F37+SUM(E$17:E37)=D$10,F37,D$10-SUM(E$17:E37))</f>
        <v>0</v>
      </c>
      <c r="E38" s="56">
        <f>IF(+I14&lt;F37,I14,D38)</f>
        <v>0</v>
      </c>
      <c r="F38" s="55">
        <f t="shared" si="11"/>
        <v>0</v>
      </c>
      <c r="G38" s="57">
        <f t="shared" si="12"/>
        <v>0</v>
      </c>
      <c r="H38" s="41">
        <f t="shared" si="13"/>
        <v>0</v>
      </c>
      <c r="I38" s="52">
        <f t="shared" si="0"/>
        <v>0</v>
      </c>
      <c r="J38" s="52"/>
      <c r="K38" s="129"/>
      <c r="L38" s="54">
        <f t="shared" si="14"/>
        <v>0</v>
      </c>
      <c r="M38" s="129"/>
      <c r="N38" s="54">
        <f t="shared" si="15"/>
        <v>0</v>
      </c>
      <c r="O38" s="54">
        <f t="shared" si="16"/>
        <v>0</v>
      </c>
      <c r="P38" s="1"/>
    </row>
    <row r="39" spans="2:16" ht="12.5">
      <c r="B39" s="7" t="str">
        <f t="shared" si="6"/>
        <v/>
      </c>
      <c r="C39" s="50">
        <f>IF(D11="","-",+C38+1)</f>
        <v>2038</v>
      </c>
      <c r="D39" s="55">
        <f>IF(F38+SUM(E$17:E38)=D$10,F38,D$10-SUM(E$17:E38))</f>
        <v>0</v>
      </c>
      <c r="E39" s="56">
        <f>IF(+I14&lt;F38,I14,D39)</f>
        <v>0</v>
      </c>
      <c r="F39" s="55">
        <f t="shared" si="11"/>
        <v>0</v>
      </c>
      <c r="G39" s="57">
        <f t="shared" si="12"/>
        <v>0</v>
      </c>
      <c r="H39" s="41">
        <f t="shared" si="13"/>
        <v>0</v>
      </c>
      <c r="I39" s="52">
        <f t="shared" si="0"/>
        <v>0</v>
      </c>
      <c r="J39" s="52"/>
      <c r="K39" s="129"/>
      <c r="L39" s="54">
        <f t="shared" si="14"/>
        <v>0</v>
      </c>
      <c r="M39" s="129"/>
      <c r="N39" s="54">
        <f t="shared" si="15"/>
        <v>0</v>
      </c>
      <c r="O39" s="54">
        <f t="shared" si="16"/>
        <v>0</v>
      </c>
      <c r="P39" s="1"/>
    </row>
    <row r="40" spans="2:16" ht="12.5">
      <c r="B40" s="7" t="str">
        <f t="shared" si="6"/>
        <v/>
      </c>
      <c r="C40" s="50">
        <f>IF(D11="","-",+C39+1)</f>
        <v>2039</v>
      </c>
      <c r="D40" s="55">
        <f>IF(F39+SUM(E$17:E39)=D$10,F39,D$10-SUM(E$17:E39))</f>
        <v>0</v>
      </c>
      <c r="E40" s="56">
        <f>IF(+I14&lt;F39,I14,D40)</f>
        <v>0</v>
      </c>
      <c r="F40" s="55">
        <f t="shared" si="11"/>
        <v>0</v>
      </c>
      <c r="G40" s="57">
        <f t="shared" si="12"/>
        <v>0</v>
      </c>
      <c r="H40" s="41">
        <f t="shared" si="13"/>
        <v>0</v>
      </c>
      <c r="I40" s="52">
        <f t="shared" si="0"/>
        <v>0</v>
      </c>
      <c r="J40" s="52"/>
      <c r="K40" s="129"/>
      <c r="L40" s="54">
        <f t="shared" si="14"/>
        <v>0</v>
      </c>
      <c r="M40" s="129"/>
      <c r="N40" s="54">
        <f t="shared" si="15"/>
        <v>0</v>
      </c>
      <c r="O40" s="54">
        <f t="shared" si="16"/>
        <v>0</v>
      </c>
      <c r="P40" s="1"/>
    </row>
    <row r="41" spans="2:16" ht="12.5">
      <c r="B41" s="7" t="str">
        <f t="shared" si="6"/>
        <v/>
      </c>
      <c r="C41" s="50">
        <f>IF(D11="","-",+C40+1)</f>
        <v>2040</v>
      </c>
      <c r="D41" s="55">
        <f>IF(F40+SUM(E$17:E40)=D$10,F40,D$10-SUM(E$17:E40))</f>
        <v>0</v>
      </c>
      <c r="E41" s="56">
        <f>IF(+I14&lt;F40,I14,D41)</f>
        <v>0</v>
      </c>
      <c r="F41" s="55">
        <f t="shared" si="11"/>
        <v>0</v>
      </c>
      <c r="G41" s="57">
        <f t="shared" si="12"/>
        <v>0</v>
      </c>
      <c r="H41" s="41">
        <f t="shared" si="13"/>
        <v>0</v>
      </c>
      <c r="I41" s="52">
        <f t="shared" si="0"/>
        <v>0</v>
      </c>
      <c r="J41" s="52"/>
      <c r="K41" s="129"/>
      <c r="L41" s="54">
        <f t="shared" si="14"/>
        <v>0</v>
      </c>
      <c r="M41" s="129"/>
      <c r="N41" s="54">
        <f t="shared" si="15"/>
        <v>0</v>
      </c>
      <c r="O41" s="54">
        <f t="shared" si="16"/>
        <v>0</v>
      </c>
      <c r="P41" s="1"/>
    </row>
    <row r="42" spans="2:16" ht="12.5">
      <c r="B42" s="7" t="str">
        <f t="shared" si="6"/>
        <v/>
      </c>
      <c r="C42" s="50">
        <f>IF(D11="","-",+C41+1)</f>
        <v>2041</v>
      </c>
      <c r="D42" s="55">
        <f>IF(F41+SUM(E$17:E41)=D$10,F41,D$10-SUM(E$17:E41))</f>
        <v>0</v>
      </c>
      <c r="E42" s="56">
        <f>IF(+I14&lt;F41,I14,D42)</f>
        <v>0</v>
      </c>
      <c r="F42" s="55">
        <f t="shared" si="11"/>
        <v>0</v>
      </c>
      <c r="G42" s="57">
        <f t="shared" si="12"/>
        <v>0</v>
      </c>
      <c r="H42" s="41">
        <f t="shared" si="13"/>
        <v>0</v>
      </c>
      <c r="I42" s="52">
        <f t="shared" si="0"/>
        <v>0</v>
      </c>
      <c r="J42" s="52"/>
      <c r="K42" s="129"/>
      <c r="L42" s="54">
        <f t="shared" si="14"/>
        <v>0</v>
      </c>
      <c r="M42" s="129"/>
      <c r="N42" s="54">
        <f t="shared" si="15"/>
        <v>0</v>
      </c>
      <c r="O42" s="54">
        <f t="shared" si="16"/>
        <v>0</v>
      </c>
      <c r="P42" s="1"/>
    </row>
    <row r="43" spans="2:16" ht="12.5">
      <c r="B43" s="7" t="str">
        <f t="shared" si="6"/>
        <v/>
      </c>
      <c r="C43" s="50">
        <f>IF(D11="","-",+C42+1)</f>
        <v>2042</v>
      </c>
      <c r="D43" s="55">
        <f>IF(F42+SUM(E$17:E42)=D$10,F42,D$10-SUM(E$17:E42))</f>
        <v>0</v>
      </c>
      <c r="E43" s="56">
        <f>IF(+I14&lt;F42,I14,D43)</f>
        <v>0</v>
      </c>
      <c r="F43" s="55">
        <f t="shared" si="11"/>
        <v>0</v>
      </c>
      <c r="G43" s="57">
        <f t="shared" si="12"/>
        <v>0</v>
      </c>
      <c r="H43" s="41">
        <f t="shared" si="13"/>
        <v>0</v>
      </c>
      <c r="I43" s="52">
        <f t="shared" si="0"/>
        <v>0</v>
      </c>
      <c r="J43" s="52"/>
      <c r="K43" s="129"/>
      <c r="L43" s="54">
        <f t="shared" si="14"/>
        <v>0</v>
      </c>
      <c r="M43" s="129"/>
      <c r="N43" s="54">
        <f t="shared" si="15"/>
        <v>0</v>
      </c>
      <c r="O43" s="54">
        <f t="shared" si="16"/>
        <v>0</v>
      </c>
      <c r="P43" s="1"/>
    </row>
    <row r="44" spans="2:16" ht="12.5">
      <c r="B44" s="7" t="str">
        <f t="shared" si="6"/>
        <v/>
      </c>
      <c r="C44" s="50">
        <f>IF(D11="","-",+C43+1)</f>
        <v>2043</v>
      </c>
      <c r="D44" s="55">
        <f>IF(F43+SUM(E$17:E43)=D$10,F43,D$10-SUM(E$17:E43))</f>
        <v>0</v>
      </c>
      <c r="E44" s="56">
        <f>IF(+I14&lt;F43,I14,D44)</f>
        <v>0</v>
      </c>
      <c r="F44" s="55">
        <f t="shared" si="11"/>
        <v>0</v>
      </c>
      <c r="G44" s="57">
        <f t="shared" si="12"/>
        <v>0</v>
      </c>
      <c r="H44" s="41">
        <f t="shared" si="13"/>
        <v>0</v>
      </c>
      <c r="I44" s="52">
        <f t="shared" si="0"/>
        <v>0</v>
      </c>
      <c r="J44" s="52"/>
      <c r="K44" s="129"/>
      <c r="L44" s="54">
        <f t="shared" si="14"/>
        <v>0</v>
      </c>
      <c r="M44" s="129"/>
      <c r="N44" s="54">
        <f t="shared" si="15"/>
        <v>0</v>
      </c>
      <c r="O44" s="54">
        <f t="shared" si="16"/>
        <v>0</v>
      </c>
      <c r="P44" s="1"/>
    </row>
    <row r="45" spans="2:16" ht="12.5">
      <c r="B45" s="7" t="str">
        <f t="shared" si="6"/>
        <v/>
      </c>
      <c r="C45" s="50">
        <f>IF(D11="","-",+C44+1)</f>
        <v>2044</v>
      </c>
      <c r="D45" s="55">
        <f>IF(F44+SUM(E$17:E44)=D$10,F44,D$10-SUM(E$17:E44))</f>
        <v>0</v>
      </c>
      <c r="E45" s="56">
        <f>IF(+I14&lt;F44,I14,D45)</f>
        <v>0</v>
      </c>
      <c r="F45" s="55">
        <f t="shared" si="11"/>
        <v>0</v>
      </c>
      <c r="G45" s="57">
        <f t="shared" si="12"/>
        <v>0</v>
      </c>
      <c r="H45" s="41">
        <f t="shared" si="13"/>
        <v>0</v>
      </c>
      <c r="I45" s="52">
        <f t="shared" si="0"/>
        <v>0</v>
      </c>
      <c r="J45" s="52"/>
      <c r="K45" s="129"/>
      <c r="L45" s="54">
        <f t="shared" si="14"/>
        <v>0</v>
      </c>
      <c r="M45" s="129"/>
      <c r="N45" s="54">
        <f t="shared" si="15"/>
        <v>0</v>
      </c>
      <c r="O45" s="54">
        <f t="shared" si="16"/>
        <v>0</v>
      </c>
      <c r="P45" s="1"/>
    </row>
    <row r="46" spans="2:16" ht="12.5">
      <c r="B46" s="7" t="str">
        <f t="shared" si="6"/>
        <v/>
      </c>
      <c r="C46" s="50">
        <f>IF(D11="","-",+C45+1)</f>
        <v>2045</v>
      </c>
      <c r="D46" s="55">
        <f>IF(F45+SUM(E$17:E45)=D$10,F45,D$10-SUM(E$17:E45))</f>
        <v>0</v>
      </c>
      <c r="E46" s="56">
        <f>IF(+I14&lt;F45,I14,D46)</f>
        <v>0</v>
      </c>
      <c r="F46" s="55">
        <f t="shared" si="11"/>
        <v>0</v>
      </c>
      <c r="G46" s="57">
        <f t="shared" si="12"/>
        <v>0</v>
      </c>
      <c r="H46" s="41">
        <f t="shared" si="13"/>
        <v>0</v>
      </c>
      <c r="I46" s="52">
        <f t="shared" si="0"/>
        <v>0</v>
      </c>
      <c r="J46" s="52"/>
      <c r="K46" s="129"/>
      <c r="L46" s="54">
        <f t="shared" si="14"/>
        <v>0</v>
      </c>
      <c r="M46" s="129"/>
      <c r="N46" s="54">
        <f t="shared" si="15"/>
        <v>0</v>
      </c>
      <c r="O46" s="54">
        <f t="shared" si="16"/>
        <v>0</v>
      </c>
      <c r="P46" s="1"/>
    </row>
    <row r="47" spans="2:16" ht="12.5">
      <c r="B47" s="7" t="str">
        <f t="shared" si="6"/>
        <v/>
      </c>
      <c r="C47" s="50">
        <f>IF(D11="","-",+C46+1)</f>
        <v>2046</v>
      </c>
      <c r="D47" s="55">
        <f>IF(F46+SUM(E$17:E46)=D$10,F46,D$10-SUM(E$17:E46))</f>
        <v>0</v>
      </c>
      <c r="E47" s="56">
        <f>IF(+I14&lt;F46,I14,D47)</f>
        <v>0</v>
      </c>
      <c r="F47" s="55">
        <f t="shared" si="11"/>
        <v>0</v>
      </c>
      <c r="G47" s="57">
        <f t="shared" si="12"/>
        <v>0</v>
      </c>
      <c r="H47" s="41">
        <f t="shared" si="13"/>
        <v>0</v>
      </c>
      <c r="I47" s="52">
        <f t="shared" si="0"/>
        <v>0</v>
      </c>
      <c r="J47" s="52"/>
      <c r="K47" s="129"/>
      <c r="L47" s="54">
        <f t="shared" si="14"/>
        <v>0</v>
      </c>
      <c r="M47" s="129"/>
      <c r="N47" s="54">
        <f t="shared" si="15"/>
        <v>0</v>
      </c>
      <c r="O47" s="54">
        <f t="shared" si="16"/>
        <v>0</v>
      </c>
      <c r="P47" s="1"/>
    </row>
    <row r="48" spans="2:16" ht="12.5">
      <c r="B48" s="7" t="str">
        <f t="shared" si="6"/>
        <v/>
      </c>
      <c r="C48" s="50">
        <f>IF(D11="","-",+C47+1)</f>
        <v>2047</v>
      </c>
      <c r="D48" s="55">
        <f>IF(F47+SUM(E$17:E47)=D$10,F47,D$10-SUM(E$17:E47))</f>
        <v>0</v>
      </c>
      <c r="E48" s="56">
        <f>IF(+I14&lt;F47,I14,D48)</f>
        <v>0</v>
      </c>
      <c r="F48" s="55">
        <f t="shared" si="11"/>
        <v>0</v>
      </c>
      <c r="G48" s="57">
        <f t="shared" si="12"/>
        <v>0</v>
      </c>
      <c r="H48" s="41">
        <f t="shared" si="13"/>
        <v>0</v>
      </c>
      <c r="I48" s="52">
        <f t="shared" si="0"/>
        <v>0</v>
      </c>
      <c r="J48" s="52"/>
      <c r="K48" s="129"/>
      <c r="L48" s="54">
        <f t="shared" si="14"/>
        <v>0</v>
      </c>
      <c r="M48" s="129"/>
      <c r="N48" s="54">
        <f t="shared" si="15"/>
        <v>0</v>
      </c>
      <c r="O48" s="54">
        <f t="shared" si="16"/>
        <v>0</v>
      </c>
      <c r="P48" s="1"/>
    </row>
    <row r="49" spans="2:16" ht="12.5">
      <c r="B49" s="7" t="str">
        <f t="shared" si="6"/>
        <v/>
      </c>
      <c r="C49" s="50">
        <f>IF(D11="","-",+C48+1)</f>
        <v>2048</v>
      </c>
      <c r="D49" s="55">
        <f>IF(F48+SUM(E$17:E48)=D$10,F48,D$10-SUM(E$17:E48))</f>
        <v>0</v>
      </c>
      <c r="E49" s="56">
        <f>IF(+I14&lt;F48,I14,D49)</f>
        <v>0</v>
      </c>
      <c r="F49" s="55">
        <f t="shared" si="11"/>
        <v>0</v>
      </c>
      <c r="G49" s="57">
        <f t="shared" si="12"/>
        <v>0</v>
      </c>
      <c r="H49" s="41">
        <f t="shared" si="13"/>
        <v>0</v>
      </c>
      <c r="I49" s="52">
        <f t="shared" si="0"/>
        <v>0</v>
      </c>
      <c r="J49" s="52"/>
      <c r="K49" s="129"/>
      <c r="L49" s="54">
        <f t="shared" si="14"/>
        <v>0</v>
      </c>
      <c r="M49" s="129"/>
      <c r="N49" s="54">
        <f t="shared" si="15"/>
        <v>0</v>
      </c>
      <c r="O49" s="54">
        <f t="shared" si="16"/>
        <v>0</v>
      </c>
      <c r="P49" s="1"/>
    </row>
    <row r="50" spans="2:16" ht="12.5">
      <c r="B50" s="7" t="str">
        <f t="shared" si="6"/>
        <v/>
      </c>
      <c r="C50" s="50">
        <f>IF(D11="","-",+C49+1)</f>
        <v>2049</v>
      </c>
      <c r="D50" s="55">
        <f>IF(F49+SUM(E$17:E49)=D$10,F49,D$10-SUM(E$17:E49))</f>
        <v>0</v>
      </c>
      <c r="E50" s="56">
        <f>IF(+I14&lt;F49,I14,D50)</f>
        <v>0</v>
      </c>
      <c r="F50" s="55">
        <f t="shared" si="11"/>
        <v>0</v>
      </c>
      <c r="G50" s="57">
        <f t="shared" si="12"/>
        <v>0</v>
      </c>
      <c r="H50" s="41">
        <f t="shared" si="13"/>
        <v>0</v>
      </c>
      <c r="I50" s="52">
        <f t="shared" si="0"/>
        <v>0</v>
      </c>
      <c r="J50" s="52"/>
      <c r="K50" s="129"/>
      <c r="L50" s="54">
        <f t="shared" si="14"/>
        <v>0</v>
      </c>
      <c r="M50" s="129"/>
      <c r="N50" s="54">
        <f t="shared" si="15"/>
        <v>0</v>
      </c>
      <c r="O50" s="54">
        <f t="shared" si="16"/>
        <v>0</v>
      </c>
      <c r="P50" s="1"/>
    </row>
    <row r="51" spans="2:16" ht="12.5">
      <c r="B51" s="7" t="str">
        <f t="shared" si="6"/>
        <v/>
      </c>
      <c r="C51" s="50">
        <f>IF(D11="","-",+C50+1)</f>
        <v>2050</v>
      </c>
      <c r="D51" s="55">
        <f>IF(F50+SUM(E$17:E50)=D$10,F50,D$10-SUM(E$17:E50))</f>
        <v>0</v>
      </c>
      <c r="E51" s="56">
        <f>IF(+I14&lt;F50,I14,D51)</f>
        <v>0</v>
      </c>
      <c r="F51" s="55">
        <f t="shared" si="11"/>
        <v>0</v>
      </c>
      <c r="G51" s="57">
        <f t="shared" si="12"/>
        <v>0</v>
      </c>
      <c r="H51" s="41">
        <f t="shared" si="13"/>
        <v>0</v>
      </c>
      <c r="I51" s="52">
        <f t="shared" si="0"/>
        <v>0</v>
      </c>
      <c r="J51" s="52"/>
      <c r="K51" s="129"/>
      <c r="L51" s="54">
        <f t="shared" si="14"/>
        <v>0</v>
      </c>
      <c r="M51" s="129"/>
      <c r="N51" s="54">
        <f t="shared" si="15"/>
        <v>0</v>
      </c>
      <c r="O51" s="54">
        <f t="shared" si="16"/>
        <v>0</v>
      </c>
      <c r="P51" s="1"/>
    </row>
    <row r="52" spans="2:16" ht="12.5">
      <c r="B52" s="7" t="str">
        <f t="shared" si="6"/>
        <v/>
      </c>
      <c r="C52" s="50">
        <f>IF(D11="","-",+C51+1)</f>
        <v>2051</v>
      </c>
      <c r="D52" s="55">
        <f>IF(F51+SUM(E$17:E51)=D$10,F51,D$10-SUM(E$17:E51))</f>
        <v>0</v>
      </c>
      <c r="E52" s="56">
        <f>IF(+I14&lt;F51,I14,D52)</f>
        <v>0</v>
      </c>
      <c r="F52" s="55">
        <f t="shared" si="11"/>
        <v>0</v>
      </c>
      <c r="G52" s="57">
        <f t="shared" si="12"/>
        <v>0</v>
      </c>
      <c r="H52" s="41">
        <f t="shared" si="13"/>
        <v>0</v>
      </c>
      <c r="I52" s="52">
        <f t="shared" si="0"/>
        <v>0</v>
      </c>
      <c r="J52" s="52"/>
      <c r="K52" s="129"/>
      <c r="L52" s="54">
        <f t="shared" si="14"/>
        <v>0</v>
      </c>
      <c r="M52" s="129"/>
      <c r="N52" s="54">
        <f t="shared" si="15"/>
        <v>0</v>
      </c>
      <c r="O52" s="54">
        <f t="shared" si="16"/>
        <v>0</v>
      </c>
      <c r="P52" s="1"/>
    </row>
    <row r="53" spans="2:16" ht="12.5">
      <c r="B53" s="7" t="str">
        <f t="shared" si="6"/>
        <v/>
      </c>
      <c r="C53" s="50">
        <f>IF(D11="","-",+C52+1)</f>
        <v>2052</v>
      </c>
      <c r="D53" s="55">
        <f>IF(F52+SUM(E$17:E52)=D$10,F52,D$10-SUM(E$17:E52))</f>
        <v>0</v>
      </c>
      <c r="E53" s="56">
        <f>IF(+I14&lt;F52,I14,D53)</f>
        <v>0</v>
      </c>
      <c r="F53" s="55">
        <f t="shared" si="11"/>
        <v>0</v>
      </c>
      <c r="G53" s="57">
        <f t="shared" si="12"/>
        <v>0</v>
      </c>
      <c r="H53" s="41">
        <f t="shared" si="13"/>
        <v>0</v>
      </c>
      <c r="I53" s="52">
        <f t="shared" si="0"/>
        <v>0</v>
      </c>
      <c r="J53" s="52"/>
      <c r="K53" s="129"/>
      <c r="L53" s="54">
        <f t="shared" si="14"/>
        <v>0</v>
      </c>
      <c r="M53" s="129"/>
      <c r="N53" s="54">
        <f t="shared" si="15"/>
        <v>0</v>
      </c>
      <c r="O53" s="54">
        <f t="shared" si="16"/>
        <v>0</v>
      </c>
      <c r="P53" s="1"/>
    </row>
    <row r="54" spans="2:16" ht="12.5">
      <c r="B54" s="7" t="str">
        <f t="shared" si="6"/>
        <v/>
      </c>
      <c r="C54" s="50">
        <f>IF(D11="","-",+C53+1)</f>
        <v>2053</v>
      </c>
      <c r="D54" s="55">
        <f>IF(F53+SUM(E$17:E53)=D$10,F53,D$10-SUM(E$17:E53))</f>
        <v>0</v>
      </c>
      <c r="E54" s="56">
        <f>IF(+I14&lt;F53,I14,D54)</f>
        <v>0</v>
      </c>
      <c r="F54" s="55">
        <f t="shared" si="11"/>
        <v>0</v>
      </c>
      <c r="G54" s="57">
        <f t="shared" si="12"/>
        <v>0</v>
      </c>
      <c r="H54" s="41">
        <f t="shared" si="13"/>
        <v>0</v>
      </c>
      <c r="I54" s="52">
        <f t="shared" si="0"/>
        <v>0</v>
      </c>
      <c r="J54" s="52"/>
      <c r="K54" s="129"/>
      <c r="L54" s="54">
        <f t="shared" si="14"/>
        <v>0</v>
      </c>
      <c r="M54" s="129"/>
      <c r="N54" s="54">
        <f t="shared" si="15"/>
        <v>0</v>
      </c>
      <c r="O54" s="54">
        <f t="shared" si="16"/>
        <v>0</v>
      </c>
      <c r="P54" s="1"/>
    </row>
    <row r="55" spans="2:16" ht="12.5">
      <c r="B55" s="7" t="str">
        <f t="shared" si="6"/>
        <v/>
      </c>
      <c r="C55" s="50">
        <f>IF(D11="","-",+C54+1)</f>
        <v>2054</v>
      </c>
      <c r="D55" s="55">
        <f>IF(F54+SUM(E$17:E54)=D$10,F54,D$10-SUM(E$17:E54))</f>
        <v>0</v>
      </c>
      <c r="E55" s="56">
        <f>IF(+I14&lt;F54,I14,D55)</f>
        <v>0</v>
      </c>
      <c r="F55" s="55">
        <f t="shared" si="11"/>
        <v>0</v>
      </c>
      <c r="G55" s="57">
        <f t="shared" si="12"/>
        <v>0</v>
      </c>
      <c r="H55" s="41">
        <f t="shared" si="13"/>
        <v>0</v>
      </c>
      <c r="I55" s="52">
        <f t="shared" si="0"/>
        <v>0</v>
      </c>
      <c r="J55" s="52"/>
      <c r="K55" s="129"/>
      <c r="L55" s="54">
        <f t="shared" si="14"/>
        <v>0</v>
      </c>
      <c r="M55" s="129"/>
      <c r="N55" s="54">
        <f t="shared" si="15"/>
        <v>0</v>
      </c>
      <c r="O55" s="54">
        <f t="shared" si="16"/>
        <v>0</v>
      </c>
      <c r="P55" s="1"/>
    </row>
    <row r="56" spans="2:16" ht="12.5">
      <c r="B56" s="7" t="str">
        <f t="shared" si="6"/>
        <v/>
      </c>
      <c r="C56" s="50">
        <f>IF(D11="","-",+C55+1)</f>
        <v>2055</v>
      </c>
      <c r="D56" s="55">
        <f>IF(F55+SUM(E$17:E55)=D$10,F55,D$10-SUM(E$17:E55))</f>
        <v>0</v>
      </c>
      <c r="E56" s="56">
        <f>IF(+I14&lt;F55,I14,D56)</f>
        <v>0</v>
      </c>
      <c r="F56" s="55">
        <f t="shared" si="11"/>
        <v>0</v>
      </c>
      <c r="G56" s="57">
        <f t="shared" si="12"/>
        <v>0</v>
      </c>
      <c r="H56" s="41">
        <f t="shared" si="13"/>
        <v>0</v>
      </c>
      <c r="I56" s="52">
        <f t="shared" si="0"/>
        <v>0</v>
      </c>
      <c r="J56" s="52"/>
      <c r="K56" s="129"/>
      <c r="L56" s="54">
        <f t="shared" si="14"/>
        <v>0</v>
      </c>
      <c r="M56" s="129"/>
      <c r="N56" s="54">
        <f t="shared" si="15"/>
        <v>0</v>
      </c>
      <c r="O56" s="54">
        <f t="shared" si="16"/>
        <v>0</v>
      </c>
      <c r="P56" s="1"/>
    </row>
    <row r="57" spans="2:16" ht="12.5">
      <c r="B57" s="7" t="str">
        <f t="shared" si="6"/>
        <v/>
      </c>
      <c r="C57" s="50">
        <f>IF(D11="","-",+C56+1)</f>
        <v>2056</v>
      </c>
      <c r="D57" s="55">
        <f>IF(F56+SUM(E$17:E56)=D$10,F56,D$10-SUM(E$17:E56))</f>
        <v>0</v>
      </c>
      <c r="E57" s="56">
        <f>IF(+I14&lt;F56,I14,D57)</f>
        <v>0</v>
      </c>
      <c r="F57" s="55">
        <f t="shared" si="11"/>
        <v>0</v>
      </c>
      <c r="G57" s="57">
        <f t="shared" si="12"/>
        <v>0</v>
      </c>
      <c r="H57" s="41">
        <f t="shared" si="13"/>
        <v>0</v>
      </c>
      <c r="I57" s="52">
        <f t="shared" si="0"/>
        <v>0</v>
      </c>
      <c r="J57" s="52"/>
      <c r="K57" s="129"/>
      <c r="L57" s="54">
        <f t="shared" si="14"/>
        <v>0</v>
      </c>
      <c r="M57" s="129"/>
      <c r="N57" s="54">
        <f t="shared" si="15"/>
        <v>0</v>
      </c>
      <c r="O57" s="54">
        <f t="shared" si="16"/>
        <v>0</v>
      </c>
      <c r="P57" s="1"/>
    </row>
    <row r="58" spans="2:16" ht="12.5">
      <c r="B58" s="7" t="str">
        <f t="shared" si="6"/>
        <v/>
      </c>
      <c r="C58" s="50">
        <f>IF(D11="","-",+C57+1)</f>
        <v>2057</v>
      </c>
      <c r="D58" s="55">
        <f>IF(F57+SUM(E$17:E57)=D$10,F57,D$10-SUM(E$17:E57))</f>
        <v>0</v>
      </c>
      <c r="E58" s="56">
        <f>IF(+I14&lt;F57,I14,D58)</f>
        <v>0</v>
      </c>
      <c r="F58" s="55">
        <f t="shared" si="11"/>
        <v>0</v>
      </c>
      <c r="G58" s="57">
        <f t="shared" si="12"/>
        <v>0</v>
      </c>
      <c r="H58" s="41">
        <f t="shared" si="13"/>
        <v>0</v>
      </c>
      <c r="I58" s="52">
        <f t="shared" si="0"/>
        <v>0</v>
      </c>
      <c r="J58" s="52"/>
      <c r="K58" s="129"/>
      <c r="L58" s="54">
        <f t="shared" si="14"/>
        <v>0</v>
      </c>
      <c r="M58" s="129"/>
      <c r="N58" s="54">
        <f t="shared" si="15"/>
        <v>0</v>
      </c>
      <c r="O58" s="54">
        <f t="shared" si="16"/>
        <v>0</v>
      </c>
      <c r="P58" s="1"/>
    </row>
    <row r="59" spans="2:16" ht="12.5">
      <c r="B59" s="7" t="str">
        <f t="shared" si="6"/>
        <v/>
      </c>
      <c r="C59" s="50">
        <f>IF(D11="","-",+C58+1)</f>
        <v>2058</v>
      </c>
      <c r="D59" s="55">
        <f>IF(F58+SUM(E$17:E58)=D$10,F58,D$10-SUM(E$17:E58))</f>
        <v>0</v>
      </c>
      <c r="E59" s="56">
        <f>IF(+I14&lt;F58,I14,D59)</f>
        <v>0</v>
      </c>
      <c r="F59" s="55">
        <f t="shared" si="11"/>
        <v>0</v>
      </c>
      <c r="G59" s="57">
        <f t="shared" si="12"/>
        <v>0</v>
      </c>
      <c r="H59" s="41">
        <f t="shared" si="13"/>
        <v>0</v>
      </c>
      <c r="I59" s="52">
        <f t="shared" si="0"/>
        <v>0</v>
      </c>
      <c r="J59" s="52"/>
      <c r="K59" s="129"/>
      <c r="L59" s="54">
        <f t="shared" si="14"/>
        <v>0</v>
      </c>
      <c r="M59" s="129"/>
      <c r="N59" s="54">
        <f t="shared" si="15"/>
        <v>0</v>
      </c>
      <c r="O59" s="54">
        <f t="shared" si="16"/>
        <v>0</v>
      </c>
      <c r="P59" s="1"/>
    </row>
    <row r="60" spans="2:16" ht="12.5">
      <c r="B60" s="7" t="str">
        <f t="shared" si="6"/>
        <v/>
      </c>
      <c r="C60" s="50">
        <f>IF(D11="","-",+C59+1)</f>
        <v>2059</v>
      </c>
      <c r="D60" s="55">
        <f>IF(F59+SUM(E$17:E59)=D$10,F59,D$10-SUM(E$17:E59))</f>
        <v>0</v>
      </c>
      <c r="E60" s="56">
        <f>IF(+I14&lt;F59,I14,D60)</f>
        <v>0</v>
      </c>
      <c r="F60" s="55">
        <f t="shared" si="11"/>
        <v>0</v>
      </c>
      <c r="G60" s="57">
        <f t="shared" si="12"/>
        <v>0</v>
      </c>
      <c r="H60" s="41">
        <f t="shared" si="13"/>
        <v>0</v>
      </c>
      <c r="I60" s="52">
        <f t="shared" si="0"/>
        <v>0</v>
      </c>
      <c r="J60" s="52"/>
      <c r="K60" s="129"/>
      <c r="L60" s="54">
        <f t="shared" si="14"/>
        <v>0</v>
      </c>
      <c r="M60" s="129"/>
      <c r="N60" s="54">
        <f t="shared" si="15"/>
        <v>0</v>
      </c>
      <c r="O60" s="54">
        <f t="shared" si="16"/>
        <v>0</v>
      </c>
      <c r="P60" s="1"/>
    </row>
    <row r="61" spans="2:16" ht="12.5">
      <c r="B61" s="7" t="str">
        <f t="shared" si="6"/>
        <v/>
      </c>
      <c r="C61" s="50">
        <f>IF(D11="","-",+C60+1)</f>
        <v>2060</v>
      </c>
      <c r="D61" s="55">
        <f>IF(F60+SUM(E$17:E60)=D$10,F60,D$10-SUM(E$17:E60))</f>
        <v>0</v>
      </c>
      <c r="E61" s="56">
        <f>IF(+I14&lt;F60,I14,D61)</f>
        <v>0</v>
      </c>
      <c r="F61" s="55">
        <f t="shared" si="11"/>
        <v>0</v>
      </c>
      <c r="G61" s="58">
        <f t="shared" si="12"/>
        <v>0</v>
      </c>
      <c r="H61" s="41">
        <f t="shared" si="13"/>
        <v>0</v>
      </c>
      <c r="I61" s="52">
        <f t="shared" si="0"/>
        <v>0</v>
      </c>
      <c r="J61" s="52"/>
      <c r="K61" s="129"/>
      <c r="L61" s="54">
        <f t="shared" si="14"/>
        <v>0</v>
      </c>
      <c r="M61" s="129"/>
      <c r="N61" s="54">
        <f t="shared" si="15"/>
        <v>0</v>
      </c>
      <c r="O61" s="54">
        <f t="shared" si="16"/>
        <v>0</v>
      </c>
      <c r="P61" s="1"/>
    </row>
    <row r="62" spans="2:16" ht="12.5">
      <c r="B62" s="7" t="str">
        <f t="shared" si="6"/>
        <v/>
      </c>
      <c r="C62" s="50">
        <f>IF(D11="","-",+C61+1)</f>
        <v>2061</v>
      </c>
      <c r="D62" s="55">
        <f>IF(F61+SUM(E$17:E61)=D$10,F61,D$10-SUM(E$17:E61))</f>
        <v>0</v>
      </c>
      <c r="E62" s="56">
        <f>IF(+I14&lt;F61,I14,D62)</f>
        <v>0</v>
      </c>
      <c r="F62" s="55">
        <f t="shared" si="11"/>
        <v>0</v>
      </c>
      <c r="G62" s="58">
        <f t="shared" si="12"/>
        <v>0</v>
      </c>
      <c r="H62" s="41">
        <f t="shared" si="13"/>
        <v>0</v>
      </c>
      <c r="I62" s="52">
        <f t="shared" si="0"/>
        <v>0</v>
      </c>
      <c r="J62" s="52"/>
      <c r="K62" s="129"/>
      <c r="L62" s="54">
        <f t="shared" si="14"/>
        <v>0</v>
      </c>
      <c r="M62" s="129"/>
      <c r="N62" s="54">
        <f t="shared" si="15"/>
        <v>0</v>
      </c>
      <c r="O62" s="54">
        <f t="shared" si="16"/>
        <v>0</v>
      </c>
      <c r="P62" s="1"/>
    </row>
    <row r="63" spans="2:16" ht="12.5">
      <c r="B63" s="7" t="str">
        <f t="shared" si="6"/>
        <v/>
      </c>
      <c r="C63" s="50">
        <f>IF(D11="","-",+C62+1)</f>
        <v>2062</v>
      </c>
      <c r="D63" s="55">
        <f>IF(F62+SUM(E$17:E62)=D$10,F62,D$10-SUM(E$17:E62))</f>
        <v>0</v>
      </c>
      <c r="E63" s="56">
        <f>IF(+I14&lt;F62,I14,D63)</f>
        <v>0</v>
      </c>
      <c r="F63" s="55">
        <f t="shared" si="11"/>
        <v>0</v>
      </c>
      <c r="G63" s="58">
        <f t="shared" si="12"/>
        <v>0</v>
      </c>
      <c r="H63" s="41">
        <f t="shared" si="13"/>
        <v>0</v>
      </c>
      <c r="I63" s="52">
        <f t="shared" si="0"/>
        <v>0</v>
      </c>
      <c r="J63" s="52"/>
      <c r="K63" s="129"/>
      <c r="L63" s="54">
        <f t="shared" si="14"/>
        <v>0</v>
      </c>
      <c r="M63" s="129"/>
      <c r="N63" s="54">
        <f t="shared" si="15"/>
        <v>0</v>
      </c>
      <c r="O63" s="54">
        <f t="shared" si="16"/>
        <v>0</v>
      </c>
      <c r="P63" s="1"/>
    </row>
    <row r="64" spans="2:16" ht="12.5">
      <c r="B64" s="7" t="str">
        <f t="shared" si="6"/>
        <v/>
      </c>
      <c r="C64" s="50">
        <f>IF(D11="","-",+C63+1)</f>
        <v>2063</v>
      </c>
      <c r="D64" s="55">
        <f>IF(F63+SUM(E$17:E63)=D$10,F63,D$10-SUM(E$17:E63))</f>
        <v>0</v>
      </c>
      <c r="E64" s="56">
        <f>IF(+I14&lt;F63,I14,D64)</f>
        <v>0</v>
      </c>
      <c r="F64" s="55">
        <f t="shared" si="11"/>
        <v>0</v>
      </c>
      <c r="G64" s="58">
        <f t="shared" si="12"/>
        <v>0</v>
      </c>
      <c r="H64" s="41">
        <f t="shared" si="13"/>
        <v>0</v>
      </c>
      <c r="I64" s="52">
        <f t="shared" si="0"/>
        <v>0</v>
      </c>
      <c r="J64" s="52"/>
      <c r="K64" s="129"/>
      <c r="L64" s="54">
        <f t="shared" si="14"/>
        <v>0</v>
      </c>
      <c r="M64" s="129"/>
      <c r="N64" s="54">
        <f t="shared" si="15"/>
        <v>0</v>
      </c>
      <c r="O64" s="54">
        <f t="shared" si="16"/>
        <v>0</v>
      </c>
      <c r="P64" s="1"/>
    </row>
    <row r="65" spans="2:16" ht="12.5">
      <c r="B65" s="7" t="str">
        <f t="shared" si="6"/>
        <v/>
      </c>
      <c r="C65" s="50">
        <f>IF(D11="","-",+C64+1)</f>
        <v>2064</v>
      </c>
      <c r="D65" s="55">
        <f>IF(F64+SUM(E$17:E64)=D$10,F64,D$10-SUM(E$17:E64))</f>
        <v>0</v>
      </c>
      <c r="E65" s="56">
        <f>IF(+I14&lt;F64,I14,D65)</f>
        <v>0</v>
      </c>
      <c r="F65" s="55">
        <f t="shared" si="11"/>
        <v>0</v>
      </c>
      <c r="G65" s="58">
        <f t="shared" si="12"/>
        <v>0</v>
      </c>
      <c r="H65" s="41">
        <f t="shared" si="13"/>
        <v>0</v>
      </c>
      <c r="I65" s="52">
        <f t="shared" si="0"/>
        <v>0</v>
      </c>
      <c r="J65" s="52"/>
      <c r="K65" s="129"/>
      <c r="L65" s="54">
        <f t="shared" si="14"/>
        <v>0</v>
      </c>
      <c r="M65" s="129"/>
      <c r="N65" s="54">
        <f t="shared" si="15"/>
        <v>0</v>
      </c>
      <c r="O65" s="54">
        <f t="shared" si="16"/>
        <v>0</v>
      </c>
      <c r="P65" s="1"/>
    </row>
    <row r="66" spans="2:16" ht="12.5">
      <c r="B66" s="7" t="str">
        <f t="shared" si="6"/>
        <v/>
      </c>
      <c r="C66" s="50">
        <f>IF(D11="","-",+C65+1)</f>
        <v>2065</v>
      </c>
      <c r="D66" s="55">
        <f>IF(F65+SUM(E$17:E65)=D$10,F65,D$10-SUM(E$17:E65))</f>
        <v>0</v>
      </c>
      <c r="E66" s="56">
        <f>IF(+I14&lt;F65,I14,D66)</f>
        <v>0</v>
      </c>
      <c r="F66" s="55">
        <f t="shared" si="11"/>
        <v>0</v>
      </c>
      <c r="G66" s="58">
        <f t="shared" si="12"/>
        <v>0</v>
      </c>
      <c r="H66" s="41">
        <f t="shared" si="13"/>
        <v>0</v>
      </c>
      <c r="I66" s="52">
        <f t="shared" si="0"/>
        <v>0</v>
      </c>
      <c r="J66" s="52"/>
      <c r="K66" s="129"/>
      <c r="L66" s="54">
        <f t="shared" si="14"/>
        <v>0</v>
      </c>
      <c r="M66" s="129"/>
      <c r="N66" s="54">
        <f t="shared" si="15"/>
        <v>0</v>
      </c>
      <c r="O66" s="54">
        <f t="shared" si="16"/>
        <v>0</v>
      </c>
      <c r="P66" s="1"/>
    </row>
    <row r="67" spans="2:16" ht="12.5">
      <c r="B67" s="7" t="str">
        <f t="shared" si="6"/>
        <v/>
      </c>
      <c r="C67" s="50">
        <f>IF(D11="","-",+C66+1)</f>
        <v>2066</v>
      </c>
      <c r="D67" s="55">
        <f>IF(F66+SUM(E$17:E66)=D$10,F66,D$10-SUM(E$17:E66))</f>
        <v>0</v>
      </c>
      <c r="E67" s="56">
        <f>IF(+I14&lt;F66,I14,D67)</f>
        <v>0</v>
      </c>
      <c r="F67" s="55">
        <f t="shared" si="11"/>
        <v>0</v>
      </c>
      <c r="G67" s="58">
        <f t="shared" si="12"/>
        <v>0</v>
      </c>
      <c r="H67" s="41">
        <f t="shared" si="13"/>
        <v>0</v>
      </c>
      <c r="I67" s="52">
        <f t="shared" si="0"/>
        <v>0</v>
      </c>
      <c r="J67" s="52"/>
      <c r="K67" s="129"/>
      <c r="L67" s="54">
        <f t="shared" si="14"/>
        <v>0</v>
      </c>
      <c r="M67" s="129"/>
      <c r="N67" s="54">
        <f t="shared" si="15"/>
        <v>0</v>
      </c>
      <c r="O67" s="54">
        <f t="shared" si="16"/>
        <v>0</v>
      </c>
      <c r="P67" s="1"/>
    </row>
    <row r="68" spans="2:16" ht="12.5">
      <c r="B68" s="7" t="str">
        <f t="shared" si="6"/>
        <v/>
      </c>
      <c r="C68" s="50">
        <f>IF(D11="","-",+C67+1)</f>
        <v>2067</v>
      </c>
      <c r="D68" s="55">
        <f>IF(F67+SUM(E$17:E67)=D$10,F67,D$10-SUM(E$17:E67))</f>
        <v>0</v>
      </c>
      <c r="E68" s="56">
        <f>IF(+I14&lt;F67,I14,D68)</f>
        <v>0</v>
      </c>
      <c r="F68" s="55">
        <f t="shared" si="11"/>
        <v>0</v>
      </c>
      <c r="G68" s="58">
        <f t="shared" si="12"/>
        <v>0</v>
      </c>
      <c r="H68" s="41">
        <f t="shared" si="13"/>
        <v>0</v>
      </c>
      <c r="I68" s="52">
        <f t="shared" si="0"/>
        <v>0</v>
      </c>
      <c r="J68" s="52"/>
      <c r="K68" s="129"/>
      <c r="L68" s="54">
        <f t="shared" si="14"/>
        <v>0</v>
      </c>
      <c r="M68" s="129"/>
      <c r="N68" s="54">
        <f t="shared" si="15"/>
        <v>0</v>
      </c>
      <c r="O68" s="54">
        <f t="shared" si="16"/>
        <v>0</v>
      </c>
      <c r="P68" s="1"/>
    </row>
    <row r="69" spans="2:16" ht="12.5">
      <c r="B69" s="7" t="str">
        <f t="shared" si="6"/>
        <v/>
      </c>
      <c r="C69" s="50">
        <f>IF(D11="","-",+C68+1)</f>
        <v>2068</v>
      </c>
      <c r="D69" s="55">
        <f>IF(F68+SUM(E$17:E68)=D$10,F68,D$10-SUM(E$17:E68))</f>
        <v>0</v>
      </c>
      <c r="E69" s="56">
        <f>IF(+I14&lt;F68,I14,D69)</f>
        <v>0</v>
      </c>
      <c r="F69" s="55">
        <f t="shared" si="11"/>
        <v>0</v>
      </c>
      <c r="G69" s="58">
        <f t="shared" si="12"/>
        <v>0</v>
      </c>
      <c r="H69" s="41">
        <f t="shared" si="13"/>
        <v>0</v>
      </c>
      <c r="I69" s="52">
        <f t="shared" si="0"/>
        <v>0</v>
      </c>
      <c r="J69" s="52"/>
      <c r="K69" s="129"/>
      <c r="L69" s="54">
        <f t="shared" si="14"/>
        <v>0</v>
      </c>
      <c r="M69" s="129"/>
      <c r="N69" s="54">
        <f t="shared" si="15"/>
        <v>0</v>
      </c>
      <c r="O69" s="54">
        <f t="shared" si="16"/>
        <v>0</v>
      </c>
      <c r="P69" s="1"/>
    </row>
    <row r="70" spans="2:16" ht="12.5">
      <c r="B70" s="7" t="str">
        <f t="shared" si="6"/>
        <v/>
      </c>
      <c r="C70" s="50">
        <f>IF(D11="","-",+C69+1)</f>
        <v>2069</v>
      </c>
      <c r="D70" s="55">
        <f>IF(F69+SUM(E$17:E69)=D$10,F69,D$10-SUM(E$17:E69))</f>
        <v>0</v>
      </c>
      <c r="E70" s="56">
        <f>IF(+I14&lt;F69,I14,D70)</f>
        <v>0</v>
      </c>
      <c r="F70" s="55">
        <f t="shared" si="11"/>
        <v>0</v>
      </c>
      <c r="G70" s="58">
        <f t="shared" si="12"/>
        <v>0</v>
      </c>
      <c r="H70" s="41">
        <f t="shared" si="13"/>
        <v>0</v>
      </c>
      <c r="I70" s="52">
        <f t="shared" si="0"/>
        <v>0</v>
      </c>
      <c r="J70" s="52"/>
      <c r="K70" s="129"/>
      <c r="L70" s="54">
        <f t="shared" si="14"/>
        <v>0</v>
      </c>
      <c r="M70" s="129"/>
      <c r="N70" s="54">
        <f t="shared" si="15"/>
        <v>0</v>
      </c>
      <c r="O70" s="54">
        <f t="shared" si="16"/>
        <v>0</v>
      </c>
      <c r="P70" s="1"/>
    </row>
    <row r="71" spans="2:16" ht="12.5">
      <c r="B71" s="7" t="str">
        <f t="shared" si="6"/>
        <v/>
      </c>
      <c r="C71" s="50">
        <f>IF(D11="","-",+C70+1)</f>
        <v>2070</v>
      </c>
      <c r="D71" s="55">
        <f>IF(F70+SUM(E$17:E70)=D$10,F70,D$10-SUM(E$17:E70))</f>
        <v>0</v>
      </c>
      <c r="E71" s="56">
        <f>IF(+I14&lt;F70,I14,D71)</f>
        <v>0</v>
      </c>
      <c r="F71" s="55">
        <f t="shared" si="11"/>
        <v>0</v>
      </c>
      <c r="G71" s="58">
        <f t="shared" si="12"/>
        <v>0</v>
      </c>
      <c r="H71" s="41">
        <f t="shared" si="13"/>
        <v>0</v>
      </c>
      <c r="I71" s="52">
        <f t="shared" si="0"/>
        <v>0</v>
      </c>
      <c r="J71" s="52"/>
      <c r="K71" s="129"/>
      <c r="L71" s="54">
        <f t="shared" si="14"/>
        <v>0</v>
      </c>
      <c r="M71" s="129"/>
      <c r="N71" s="54">
        <f t="shared" si="15"/>
        <v>0</v>
      </c>
      <c r="O71" s="54">
        <f t="shared" si="16"/>
        <v>0</v>
      </c>
      <c r="P71" s="1"/>
    </row>
    <row r="72" spans="2:16" ht="13" thickBot="1">
      <c r="B72" s="7" t="str">
        <f t="shared" si="6"/>
        <v/>
      </c>
      <c r="C72" s="59">
        <f>IF(D11="","-",+C71+1)</f>
        <v>2071</v>
      </c>
      <c r="D72" s="60">
        <f>IF(F71+SUM(E$17:E71)=D$10,F71,D$10-SUM(E$17:E71))</f>
        <v>0</v>
      </c>
      <c r="E72" s="61">
        <f>IF(+I14&lt;F71,I14,D72)</f>
        <v>0</v>
      </c>
      <c r="F72" s="60">
        <f t="shared" si="11"/>
        <v>0</v>
      </c>
      <c r="G72" s="62">
        <f t="shared" si="12"/>
        <v>0</v>
      </c>
      <c r="H72" s="28">
        <f t="shared" si="13"/>
        <v>0</v>
      </c>
      <c r="I72" s="63">
        <f t="shared" si="0"/>
        <v>0</v>
      </c>
      <c r="J72" s="52"/>
      <c r="K72" s="130"/>
      <c r="L72" s="64">
        <f t="shared" si="14"/>
        <v>0</v>
      </c>
      <c r="M72" s="130"/>
      <c r="N72" s="64">
        <f t="shared" si="15"/>
        <v>0</v>
      </c>
      <c r="O72" s="64">
        <f t="shared" si="16"/>
        <v>0</v>
      </c>
      <c r="P72" s="1"/>
    </row>
    <row r="73" spans="2:16" ht="12.5">
      <c r="C73" s="12" t="s">
        <v>78</v>
      </c>
      <c r="D73" s="15"/>
      <c r="E73" s="15">
        <f>SUM(E17:E72)</f>
        <v>0</v>
      </c>
      <c r="F73" s="15"/>
      <c r="G73" s="15">
        <f>SUM(G17:G72)</f>
        <v>0</v>
      </c>
      <c r="H73" s="15">
        <f>SUM(H17:H72)</f>
        <v>0</v>
      </c>
      <c r="I73" s="15">
        <f>SUM(I17:I72)</f>
        <v>0</v>
      </c>
      <c r="J73" s="15"/>
      <c r="K73" s="15"/>
      <c r="L73" s="15"/>
      <c r="M73" s="15"/>
      <c r="N73" s="15"/>
      <c r="O73" s="1"/>
      <c r="P73" s="1"/>
    </row>
    <row r="74" spans="2:16" ht="12.5">
      <c r="D74" s="2"/>
      <c r="E74" s="1"/>
      <c r="F74" s="1"/>
      <c r="G74" s="1"/>
      <c r="H74" s="3"/>
      <c r="I74" s="3"/>
      <c r="J74" s="15"/>
      <c r="K74" s="3"/>
      <c r="L74" s="3"/>
      <c r="M74" s="3"/>
      <c r="N74" s="3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3"/>
      <c r="I75" s="3"/>
      <c r="J75" s="15"/>
      <c r="K75" s="3"/>
      <c r="L75" s="3"/>
      <c r="M75" s="3"/>
      <c r="N75" s="3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3"/>
      <c r="I76" s="3"/>
      <c r="J76" s="15"/>
      <c r="K76" s="3"/>
      <c r="L76" s="3"/>
      <c r="M76" s="3"/>
      <c r="N76" s="3"/>
      <c r="O76" s="1"/>
      <c r="P76" s="1"/>
    </row>
    <row r="77" spans="2:16" ht="13">
      <c r="C77" s="25" t="s">
        <v>80</v>
      </c>
      <c r="D77" s="12"/>
      <c r="E77" s="12"/>
      <c r="F77" s="12"/>
      <c r="G77" s="15"/>
      <c r="H77" s="15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15"/>
      <c r="H78" s="15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3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3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3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3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3"/>
      <c r="L83" s="14"/>
      <c r="M83" s="14"/>
      <c r="P83" s="14" t="str">
        <f ca="1">P1</f>
        <v>SWEPCO Project 77 of 77</v>
      </c>
    </row>
    <row r="84" spans="1:16" ht="17.5">
      <c r="B84" s="1"/>
      <c r="C84" s="1"/>
      <c r="D84" s="2"/>
      <c r="E84" s="1"/>
      <c r="F84" s="1"/>
      <c r="G84" s="1"/>
      <c r="H84" s="1"/>
      <c r="I84" s="3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3"/>
      <c r="J85" s="3"/>
      <c r="K85" s="15"/>
      <c r="L85" s="3"/>
      <c r="M85" s="3"/>
      <c r="N85" s="3"/>
      <c r="O85" s="15"/>
      <c r="P85" s="1"/>
    </row>
    <row r="86" spans="1:16" ht="16" thickBot="1">
      <c r="C86" s="9"/>
      <c r="D86" s="2"/>
      <c r="E86" s="1"/>
      <c r="F86" s="1"/>
      <c r="G86" s="1"/>
      <c r="H86" s="1"/>
      <c r="I86" s="3"/>
      <c r="J86" s="3"/>
      <c r="K86" s="15"/>
      <c r="L86" s="120">
        <f>+J92</f>
        <v>2024</v>
      </c>
      <c r="M86" s="121" t="s">
        <v>9</v>
      </c>
      <c r="N86" s="125" t="s">
        <v>159</v>
      </c>
      <c r="O86" s="122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17"/>
      <c r="I87" s="1" t="s">
        <v>47</v>
      </c>
      <c r="J87" s="1"/>
      <c r="K87" s="116"/>
      <c r="L87" s="114" t="s">
        <v>394</v>
      </c>
      <c r="M87" s="68">
        <f>IF(J92&lt;D11,0,VLOOKUP(J92,C17:O72,9))</f>
        <v>0</v>
      </c>
      <c r="N87" s="68">
        <f>IF(J92&lt;D11,0,VLOOKUP(J92,C17:O72,11))</f>
        <v>0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21"/>
      <c r="J88" s="21"/>
      <c r="K88" s="118"/>
      <c r="L88" s="119" t="s">
        <v>395</v>
      </c>
      <c r="M88" s="70">
        <f>IF(J92&lt;D11,0,VLOOKUP(J92,C99:P154,6))</f>
        <v>4275475.9300917406</v>
      </c>
      <c r="N88" s="70">
        <f>IF(J92&lt;D11,0,VLOOKUP(J92,C99:P154,7))</f>
        <v>4275475.9300917406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Layfield 500 kV Terminal Upgrades</v>
      </c>
      <c r="E89" s="1"/>
      <c r="F89" s="1"/>
      <c r="G89" s="1"/>
      <c r="H89" s="1"/>
      <c r="I89" s="3"/>
      <c r="J89" s="3"/>
      <c r="K89" s="117"/>
      <c r="L89" s="115" t="s">
        <v>156</v>
      </c>
      <c r="M89" s="73">
        <f>+M88-M87</f>
        <v>4275475.9300917406</v>
      </c>
      <c r="N89" s="73">
        <f>+N88-N87</f>
        <v>4275475.9300917406</v>
      </c>
      <c r="O89" s="74">
        <f>+O88-O87</f>
        <v>0</v>
      </c>
      <c r="P89" s="1"/>
    </row>
    <row r="90" spans="1:16" ht="13.5" thickBot="1">
      <c r="C90" s="29"/>
      <c r="D90" s="66" t="str">
        <f>D8</f>
        <v>DOES NOT MEET SPP $100,000 MINIMUM INVESTMENT FOR REGIONAL BPU SHARING.</v>
      </c>
      <c r="E90" s="12"/>
      <c r="F90" s="12"/>
      <c r="G90" s="12"/>
      <c r="H90" s="11"/>
      <c r="I90" s="3"/>
      <c r="J90" s="3"/>
      <c r="K90" s="15"/>
      <c r="L90" s="3"/>
      <c r="M90" s="3"/>
      <c r="N90" s="3"/>
      <c r="O90" s="15"/>
      <c r="P90" s="1"/>
    </row>
    <row r="91" spans="1:16" ht="13.5" thickBot="1">
      <c r="C91" s="75" t="s">
        <v>85</v>
      </c>
      <c r="D91" s="91" t="str">
        <f>+D9</f>
        <v>TP2011033</v>
      </c>
      <c r="E91" s="76" t="str">
        <f>E9</f>
        <v>SPP Project ID = 30495</v>
      </c>
      <c r="F91" s="76"/>
      <c r="G91" s="76"/>
      <c r="H91" s="76"/>
      <c r="I91" s="76"/>
      <c r="J91" s="76"/>
    </row>
    <row r="92" spans="1:16" ht="13">
      <c r="C92" s="34" t="s">
        <v>51</v>
      </c>
      <c r="D92" s="87">
        <v>34310180</v>
      </c>
      <c r="E92" s="1" t="s">
        <v>86</v>
      </c>
      <c r="H92" s="2"/>
      <c r="I92" s="2"/>
      <c r="J92" s="36">
        <f>+'SWE.WS.G.BPU.ATRR.True-up'!M16</f>
        <v>2024</v>
      </c>
      <c r="K92" s="33"/>
      <c r="L92" s="15" t="s">
        <v>87</v>
      </c>
      <c r="P92" s="1"/>
    </row>
    <row r="93" spans="1:16" ht="12.5">
      <c r="C93" s="34" t="s">
        <v>54</v>
      </c>
      <c r="D93" s="88">
        <v>2016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87">
        <v>6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15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28">
        <f>IF(D92=0,0,D92/D95)</f>
        <v>779776.81818181823</v>
      </c>
      <c r="K96" s="15"/>
      <c r="L96" s="15"/>
      <c r="M96" s="15"/>
      <c r="N96" s="15"/>
      <c r="O96" s="15"/>
      <c r="P96" s="1"/>
    </row>
    <row r="97" spans="1:16" ht="39">
      <c r="A97" s="5"/>
      <c r="B97" s="5"/>
      <c r="C97" s="79" t="s">
        <v>51</v>
      </c>
      <c r="D97" s="80" t="s">
        <v>65</v>
      </c>
      <c r="E97" s="45" t="s">
        <v>66</v>
      </c>
      <c r="F97" s="45" t="s">
        <v>67</v>
      </c>
      <c r="G97" s="43" t="s">
        <v>89</v>
      </c>
      <c r="H97" s="157" t="s">
        <v>391</v>
      </c>
      <c r="I97" s="158" t="s">
        <v>392</v>
      </c>
      <c r="J97" s="79" t="s">
        <v>90</v>
      </c>
      <c r="K97" s="81"/>
      <c r="L97" s="126" t="s">
        <v>228</v>
      </c>
      <c r="M97" s="45" t="s">
        <v>91</v>
      </c>
      <c r="N97" s="126" t="s">
        <v>228</v>
      </c>
      <c r="O97" s="45" t="s">
        <v>91</v>
      </c>
      <c r="P97" s="45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110" t="s">
        <v>74</v>
      </c>
      <c r="I98" s="47" t="s">
        <v>75</v>
      </c>
      <c r="J98" s="46" t="s">
        <v>94</v>
      </c>
      <c r="K98" s="44"/>
      <c r="L98" s="48" t="s">
        <v>77</v>
      </c>
      <c r="M98" s="48" t="s">
        <v>77</v>
      </c>
      <c r="N98" s="48" t="s">
        <v>95</v>
      </c>
      <c r="O98" s="48" t="s">
        <v>95</v>
      </c>
      <c r="P98" s="48" t="s">
        <v>95</v>
      </c>
    </row>
    <row r="99" spans="1:16" ht="12.5">
      <c r="C99" s="50">
        <f>IF(D93= "","-",D93)</f>
        <v>2016</v>
      </c>
      <c r="D99" s="129">
        <v>0</v>
      </c>
      <c r="E99" s="129">
        <v>389888.40909090912</v>
      </c>
      <c r="F99" s="129">
        <v>33920291.590909094</v>
      </c>
      <c r="G99" s="129">
        <v>16960145.795454547</v>
      </c>
      <c r="H99" s="129">
        <v>2482177.7485632147</v>
      </c>
      <c r="I99" s="129">
        <v>2482177.7485632147</v>
      </c>
      <c r="J99" s="54">
        <f t="shared" ref="J99:J130" si="17">+I99-H99</f>
        <v>0</v>
      </c>
      <c r="K99" s="54"/>
      <c r="L99" s="112">
        <f t="shared" ref="L99:L106" si="18">+H99</f>
        <v>2482177.7485632147</v>
      </c>
      <c r="M99" s="53">
        <f t="shared" ref="M99:M106" si="19">IF(L99&lt;&gt;0,+H99-L99,0)</f>
        <v>0</v>
      </c>
      <c r="N99" s="112">
        <f t="shared" ref="N99:N106" si="20">+I99</f>
        <v>2482177.7485632147</v>
      </c>
      <c r="O99" s="53">
        <f t="shared" ref="O99:O106" si="21">IF(N99&lt;&gt;0,+I99-N99,0)</f>
        <v>0</v>
      </c>
      <c r="P99" s="53">
        <f t="shared" ref="P99:P106" si="22">+O99-M99</f>
        <v>0</v>
      </c>
    </row>
    <row r="100" spans="1:16" ht="12.5">
      <c r="B100" s="7" t="str">
        <f>IF(D100=F99,"","IU")</f>
        <v/>
      </c>
      <c r="C100" s="50">
        <f>IF(D93="","-",+C99+1)</f>
        <v>2017</v>
      </c>
      <c r="D100" s="129">
        <v>33920291.590909094</v>
      </c>
      <c r="E100" s="129">
        <v>779776.81818181823</v>
      </c>
      <c r="F100" s="129">
        <v>33140514.772727277</v>
      </c>
      <c r="G100" s="129">
        <v>33530403.181818187</v>
      </c>
      <c r="H100" s="129">
        <v>4916256.8916213186</v>
      </c>
      <c r="I100" s="129">
        <v>4916256.8916213186</v>
      </c>
      <c r="J100" s="54">
        <f t="shared" si="17"/>
        <v>0</v>
      </c>
      <c r="K100" s="54"/>
      <c r="L100" s="113">
        <f t="shared" si="18"/>
        <v>4916256.8916213186</v>
      </c>
      <c r="M100" s="54">
        <f t="shared" si="19"/>
        <v>0</v>
      </c>
      <c r="N100" s="113">
        <f t="shared" si="20"/>
        <v>4916256.8916213186</v>
      </c>
      <c r="O100" s="54">
        <f t="shared" si="21"/>
        <v>0</v>
      </c>
      <c r="P100" s="54">
        <f t="shared" si="22"/>
        <v>0</v>
      </c>
    </row>
    <row r="101" spans="1:16" ht="12.5">
      <c r="B101" s="7" t="str">
        <f t="shared" ref="B101:B154" si="23">IF(D101=F100,"","IU")</f>
        <v/>
      </c>
      <c r="C101" s="50">
        <f>IF(D93="","-",+C100+1)</f>
        <v>2018</v>
      </c>
      <c r="D101" s="129">
        <v>33140514.772727277</v>
      </c>
      <c r="E101" s="129">
        <v>779776.81818181823</v>
      </c>
      <c r="F101" s="129">
        <v>32360737.954545461</v>
      </c>
      <c r="G101" s="129">
        <v>32750626.363636367</v>
      </c>
      <c r="H101" s="129">
        <v>4820059.6806110973</v>
      </c>
      <c r="I101" s="129">
        <v>4820059.6806110973</v>
      </c>
      <c r="J101" s="54">
        <f t="shared" si="17"/>
        <v>0</v>
      </c>
      <c r="K101" s="54"/>
      <c r="L101" s="113">
        <f t="shared" si="18"/>
        <v>4820059.6806110973</v>
      </c>
      <c r="M101" s="54">
        <f t="shared" si="19"/>
        <v>0</v>
      </c>
      <c r="N101" s="113">
        <f t="shared" si="20"/>
        <v>4820059.6806110973</v>
      </c>
      <c r="O101" s="54">
        <f t="shared" si="21"/>
        <v>0</v>
      </c>
      <c r="P101" s="54">
        <f t="shared" si="22"/>
        <v>0</v>
      </c>
    </row>
    <row r="102" spans="1:16" ht="12.5">
      <c r="B102" s="7" t="str">
        <f t="shared" si="23"/>
        <v/>
      </c>
      <c r="C102" s="50">
        <f>IF(D93="","-",+C101+1)</f>
        <v>2019</v>
      </c>
      <c r="D102" s="129">
        <v>32360737.954545461</v>
      </c>
      <c r="E102" s="129">
        <v>779776.81818181823</v>
      </c>
      <c r="F102" s="129">
        <v>31580961.136363644</v>
      </c>
      <c r="G102" s="129">
        <v>31970849.545454554</v>
      </c>
      <c r="H102" s="129">
        <v>4723862.4696008777</v>
      </c>
      <c r="I102" s="129">
        <v>4723862.4696008777</v>
      </c>
      <c r="J102" s="54">
        <f t="shared" si="17"/>
        <v>0</v>
      </c>
      <c r="K102" s="54"/>
      <c r="L102" s="113">
        <f t="shared" si="18"/>
        <v>4723862.4696008777</v>
      </c>
      <c r="M102" s="54">
        <f t="shared" si="19"/>
        <v>0</v>
      </c>
      <c r="N102" s="113">
        <f t="shared" si="20"/>
        <v>4723862.4696008777</v>
      </c>
      <c r="O102" s="54">
        <f t="shared" si="21"/>
        <v>0</v>
      </c>
      <c r="P102" s="54">
        <f t="shared" si="22"/>
        <v>0</v>
      </c>
    </row>
    <row r="103" spans="1:16" ht="12.5">
      <c r="B103" s="7" t="str">
        <f t="shared" si="23"/>
        <v/>
      </c>
      <c r="C103" s="50">
        <f>IF(D93="","-",+C102+1)</f>
        <v>2020</v>
      </c>
      <c r="D103" s="129">
        <v>31580961.136363644</v>
      </c>
      <c r="E103" s="129">
        <v>779776.81818181823</v>
      </c>
      <c r="F103" s="129">
        <v>30801184.318181828</v>
      </c>
      <c r="G103" s="129">
        <v>31191072.727272734</v>
      </c>
      <c r="H103" s="129">
        <v>4627665.2585906563</v>
      </c>
      <c r="I103" s="129">
        <v>4627665.2585906563</v>
      </c>
      <c r="J103" s="54">
        <f t="shared" si="17"/>
        <v>0</v>
      </c>
      <c r="K103" s="54"/>
      <c r="L103" s="113">
        <f t="shared" si="18"/>
        <v>4627665.2585906563</v>
      </c>
      <c r="M103" s="54">
        <f t="shared" si="19"/>
        <v>0</v>
      </c>
      <c r="N103" s="113">
        <f t="shared" si="20"/>
        <v>4627665.2585906563</v>
      </c>
      <c r="O103" s="54">
        <f t="shared" si="21"/>
        <v>0</v>
      </c>
      <c r="P103" s="54">
        <f t="shared" si="22"/>
        <v>0</v>
      </c>
    </row>
    <row r="104" spans="1:16" ht="12.5">
      <c r="B104" s="7" t="str">
        <f t="shared" si="23"/>
        <v/>
      </c>
      <c r="C104" s="50">
        <f>IF(D93="","-",+C103+1)</f>
        <v>2021</v>
      </c>
      <c r="D104" s="129">
        <v>30801184.318181828</v>
      </c>
      <c r="E104" s="129">
        <v>779776.81818181823</v>
      </c>
      <c r="F104" s="129">
        <v>30021407.500000011</v>
      </c>
      <c r="G104" s="129">
        <v>30411295.909090921</v>
      </c>
      <c r="H104" s="129">
        <v>4531468.0475804359</v>
      </c>
      <c r="I104" s="129">
        <v>4531468.0475804359</v>
      </c>
      <c r="J104" s="54">
        <f t="shared" si="17"/>
        <v>0</v>
      </c>
      <c r="K104" s="54"/>
      <c r="L104" s="113">
        <f t="shared" si="18"/>
        <v>4531468.0475804359</v>
      </c>
      <c r="M104" s="54">
        <f t="shared" si="19"/>
        <v>0</v>
      </c>
      <c r="N104" s="113">
        <f t="shared" si="20"/>
        <v>4531468.0475804359</v>
      </c>
      <c r="O104" s="54">
        <f t="shared" si="21"/>
        <v>0</v>
      </c>
      <c r="P104" s="54">
        <f t="shared" si="22"/>
        <v>0</v>
      </c>
    </row>
    <row r="105" spans="1:16" ht="12.5">
      <c r="B105" s="7" t="str">
        <f t="shared" si="23"/>
        <v/>
      </c>
      <c r="C105" s="50">
        <f>IF(D93="","-",+C104+1)</f>
        <v>2022</v>
      </c>
      <c r="D105" s="129">
        <v>30021407.500000011</v>
      </c>
      <c r="E105" s="129">
        <v>779776.81818181823</v>
      </c>
      <c r="F105" s="129">
        <v>29241630.681818195</v>
      </c>
      <c r="G105" s="129">
        <v>29631519.090909101</v>
      </c>
      <c r="H105" s="129">
        <v>4435270.8365702145</v>
      </c>
      <c r="I105" s="129">
        <v>4435270.8365702145</v>
      </c>
      <c r="J105" s="54">
        <f t="shared" si="17"/>
        <v>0</v>
      </c>
      <c r="K105" s="54"/>
      <c r="L105" s="113">
        <f t="shared" si="18"/>
        <v>4435270.8365702145</v>
      </c>
      <c r="M105" s="54">
        <f t="shared" si="19"/>
        <v>0</v>
      </c>
      <c r="N105" s="113">
        <f t="shared" si="20"/>
        <v>4435270.8365702145</v>
      </c>
      <c r="O105" s="54">
        <f t="shared" si="21"/>
        <v>0</v>
      </c>
      <c r="P105" s="54">
        <f t="shared" si="22"/>
        <v>0</v>
      </c>
    </row>
    <row r="106" spans="1:16" ht="12.5">
      <c r="B106" s="7" t="str">
        <f t="shared" si="23"/>
        <v/>
      </c>
      <c r="C106" s="50">
        <f>IF(D93="","-",+C105+1)</f>
        <v>2023</v>
      </c>
      <c r="D106" s="129">
        <v>29241630.681818195</v>
      </c>
      <c r="E106" s="129">
        <v>779776.81818181823</v>
      </c>
      <c r="F106" s="129">
        <v>28461853.863636378</v>
      </c>
      <c r="G106" s="129">
        <v>28851742.272727288</v>
      </c>
      <c r="H106" s="129">
        <v>4339073.625559995</v>
      </c>
      <c r="I106" s="129">
        <v>4339073.625559995</v>
      </c>
      <c r="J106" s="54">
        <f t="shared" si="17"/>
        <v>0</v>
      </c>
      <c r="K106" s="54"/>
      <c r="L106" s="113">
        <f t="shared" si="18"/>
        <v>4339073.625559995</v>
      </c>
      <c r="M106" s="54">
        <f t="shared" si="19"/>
        <v>0</v>
      </c>
      <c r="N106" s="113">
        <f t="shared" si="20"/>
        <v>4339073.625559995</v>
      </c>
      <c r="O106" s="54">
        <f t="shared" si="21"/>
        <v>0</v>
      </c>
      <c r="P106" s="54">
        <f t="shared" si="22"/>
        <v>0</v>
      </c>
    </row>
    <row r="107" spans="1:16" ht="12.5">
      <c r="B107" s="7" t="str">
        <f t="shared" si="23"/>
        <v/>
      </c>
      <c r="C107" s="50">
        <f>IF(D93="","-",+C106+1)</f>
        <v>2024</v>
      </c>
      <c r="D107" s="12">
        <f>IF(F106+SUM(E$99:E106)=D$92,F106,D$92-SUM(E$99:E106))</f>
        <v>28461853.863636378</v>
      </c>
      <c r="E107" s="56">
        <f>IF(+J96&lt;F106,J96,D107)</f>
        <v>779776.81818181823</v>
      </c>
      <c r="F107" s="55">
        <f t="shared" ref="F107:F154" si="24">+D107-E107</f>
        <v>27682077.045454562</v>
      </c>
      <c r="G107" s="55">
        <f t="shared" ref="G107:G154" si="25">+(F107+D107)/2</f>
        <v>28071965.454545468</v>
      </c>
      <c r="H107" s="58">
        <f t="shared" ref="H107:H154" si="26">+J$94*G107+E107</f>
        <v>4275475.9300917406</v>
      </c>
      <c r="I107" s="108">
        <f t="shared" ref="I107:I154" si="27">+J$95*G107+E107</f>
        <v>4275475.9300917406</v>
      </c>
      <c r="J107" s="54">
        <f t="shared" si="17"/>
        <v>0</v>
      </c>
      <c r="K107" s="54"/>
      <c r="L107" s="129"/>
      <c r="M107" s="54">
        <f t="shared" ref="M107:M130" si="28">IF(L107&lt;&gt;0,+H107-L107,0)</f>
        <v>0</v>
      </c>
      <c r="N107" s="129"/>
      <c r="O107" s="54">
        <f t="shared" ref="O107:O130" si="29">IF(N107&lt;&gt;0,+I107-N107,0)</f>
        <v>0</v>
      </c>
      <c r="P107" s="54">
        <f t="shared" ref="P107:P130" si="30">+O107-M107</f>
        <v>0</v>
      </c>
    </row>
    <row r="108" spans="1:16" ht="12.5">
      <c r="B108" s="7" t="str">
        <f t="shared" si="23"/>
        <v/>
      </c>
      <c r="C108" s="50">
        <f>IF(D93="","-",+C107+1)</f>
        <v>2025</v>
      </c>
      <c r="D108" s="12">
        <f>IF(F107+SUM(E$99:E107)=D$92,F107,D$92-SUM(E$99:E107))</f>
        <v>27682077.045454562</v>
      </c>
      <c r="E108" s="56">
        <f>IF(+J96&lt;F107,J96,D108)</f>
        <v>779776.81818181823</v>
      </c>
      <c r="F108" s="55">
        <f t="shared" si="24"/>
        <v>26902300.227272745</v>
      </c>
      <c r="G108" s="55">
        <f t="shared" si="25"/>
        <v>27292188.636363655</v>
      </c>
      <c r="H108" s="58">
        <f t="shared" si="26"/>
        <v>4178373.1769831325</v>
      </c>
      <c r="I108" s="108">
        <f t="shared" si="27"/>
        <v>4178373.1769831325</v>
      </c>
      <c r="J108" s="54">
        <f t="shared" si="17"/>
        <v>0</v>
      </c>
      <c r="K108" s="54"/>
      <c r="L108" s="129"/>
      <c r="M108" s="54">
        <f t="shared" si="28"/>
        <v>0</v>
      </c>
      <c r="N108" s="129"/>
      <c r="O108" s="54">
        <f t="shared" si="29"/>
        <v>0</v>
      </c>
      <c r="P108" s="54">
        <f t="shared" si="30"/>
        <v>0</v>
      </c>
    </row>
    <row r="109" spans="1:16" ht="12.5">
      <c r="B109" s="7" t="str">
        <f t="shared" si="23"/>
        <v/>
      </c>
      <c r="C109" s="50">
        <f>IF(D93="","-",+C108+1)</f>
        <v>2026</v>
      </c>
      <c r="D109" s="12">
        <f>IF(F108+SUM(E$99:E108)=D$92,F108,D$92-SUM(E$99:E108))</f>
        <v>26902300.227272745</v>
      </c>
      <c r="E109" s="56">
        <f>IF(+J96&lt;F108,J96,D109)</f>
        <v>779776.81818181823</v>
      </c>
      <c r="F109" s="55">
        <f t="shared" si="24"/>
        <v>26122523.409090929</v>
      </c>
      <c r="G109" s="55">
        <f t="shared" si="25"/>
        <v>26512411.818181835</v>
      </c>
      <c r="H109" s="58">
        <f t="shared" si="26"/>
        <v>4081270.4238745235</v>
      </c>
      <c r="I109" s="108">
        <f t="shared" si="27"/>
        <v>4081270.4238745235</v>
      </c>
      <c r="J109" s="54">
        <f t="shared" si="17"/>
        <v>0</v>
      </c>
      <c r="K109" s="54"/>
      <c r="L109" s="129"/>
      <c r="M109" s="54">
        <f t="shared" si="28"/>
        <v>0</v>
      </c>
      <c r="N109" s="129"/>
      <c r="O109" s="54">
        <f t="shared" si="29"/>
        <v>0</v>
      </c>
      <c r="P109" s="54">
        <f t="shared" si="30"/>
        <v>0</v>
      </c>
    </row>
    <row r="110" spans="1:16" ht="12.5">
      <c r="B110" s="7" t="str">
        <f t="shared" si="23"/>
        <v/>
      </c>
      <c r="C110" s="50">
        <f>IF(D93="","-",+C109+1)</f>
        <v>2027</v>
      </c>
      <c r="D110" s="12">
        <f>IF(F109+SUM(E$99:E109)=D$92,F109,D$92-SUM(E$99:E109))</f>
        <v>26122523.409090929</v>
      </c>
      <c r="E110" s="56">
        <f>IF(+J96&lt;F109,J96,D110)</f>
        <v>779776.81818181823</v>
      </c>
      <c r="F110" s="55">
        <f t="shared" si="24"/>
        <v>25342746.590909112</v>
      </c>
      <c r="G110" s="55">
        <f t="shared" si="25"/>
        <v>25732635.000000022</v>
      </c>
      <c r="H110" s="58">
        <f t="shared" si="26"/>
        <v>3984167.670765915</v>
      </c>
      <c r="I110" s="108">
        <f t="shared" si="27"/>
        <v>3984167.670765915</v>
      </c>
      <c r="J110" s="54">
        <f t="shared" si="17"/>
        <v>0</v>
      </c>
      <c r="K110" s="54"/>
      <c r="L110" s="129"/>
      <c r="M110" s="54">
        <f t="shared" si="28"/>
        <v>0</v>
      </c>
      <c r="N110" s="129"/>
      <c r="O110" s="54">
        <f t="shared" si="29"/>
        <v>0</v>
      </c>
      <c r="P110" s="54">
        <f t="shared" si="30"/>
        <v>0</v>
      </c>
    </row>
    <row r="111" spans="1:16" ht="12.5">
      <c r="B111" s="7" t="str">
        <f t="shared" si="23"/>
        <v/>
      </c>
      <c r="C111" s="50">
        <f>IF(D93="","-",+C110+1)</f>
        <v>2028</v>
      </c>
      <c r="D111" s="12">
        <f>IF(F110+SUM(E$99:E110)=D$92,F110,D$92-SUM(E$99:E110))</f>
        <v>25342746.590909112</v>
      </c>
      <c r="E111" s="56">
        <f>IF(+J96&lt;F110,J96,D111)</f>
        <v>779776.81818181823</v>
      </c>
      <c r="F111" s="55">
        <f t="shared" si="24"/>
        <v>24562969.772727296</v>
      </c>
      <c r="G111" s="55">
        <f t="shared" si="25"/>
        <v>24952858.181818202</v>
      </c>
      <c r="H111" s="58">
        <f t="shared" si="26"/>
        <v>3887064.917657306</v>
      </c>
      <c r="I111" s="108">
        <f t="shared" si="27"/>
        <v>3887064.917657306</v>
      </c>
      <c r="J111" s="54">
        <f t="shared" si="17"/>
        <v>0</v>
      </c>
      <c r="K111" s="54"/>
      <c r="L111" s="129"/>
      <c r="M111" s="54">
        <f t="shared" si="28"/>
        <v>0</v>
      </c>
      <c r="N111" s="129"/>
      <c r="O111" s="54">
        <f t="shared" si="29"/>
        <v>0</v>
      </c>
      <c r="P111" s="54">
        <f t="shared" si="30"/>
        <v>0</v>
      </c>
    </row>
    <row r="112" spans="1:16" ht="12.5">
      <c r="B112" s="7" t="str">
        <f t="shared" si="23"/>
        <v/>
      </c>
      <c r="C112" s="50">
        <f>IF(D93="","-",+C111+1)</f>
        <v>2029</v>
      </c>
      <c r="D112" s="12">
        <f>IF(F111+SUM(E$99:E111)=D$92,F111,D$92-SUM(E$99:E111))</f>
        <v>24562969.772727296</v>
      </c>
      <c r="E112" s="56">
        <f>IF(+J96&lt;F111,J96,D112)</f>
        <v>779776.81818181823</v>
      </c>
      <c r="F112" s="55">
        <f t="shared" si="24"/>
        <v>23783192.954545479</v>
      </c>
      <c r="G112" s="55">
        <f t="shared" si="25"/>
        <v>24173081.363636389</v>
      </c>
      <c r="H112" s="58">
        <f t="shared" si="26"/>
        <v>3789962.1645486979</v>
      </c>
      <c r="I112" s="108">
        <f t="shared" si="27"/>
        <v>3789962.1645486979</v>
      </c>
      <c r="J112" s="54">
        <f t="shared" si="17"/>
        <v>0</v>
      </c>
      <c r="K112" s="54"/>
      <c r="L112" s="129"/>
      <c r="M112" s="54">
        <f t="shared" si="28"/>
        <v>0</v>
      </c>
      <c r="N112" s="129"/>
      <c r="O112" s="54">
        <f t="shared" si="29"/>
        <v>0</v>
      </c>
      <c r="P112" s="54">
        <f t="shared" si="30"/>
        <v>0</v>
      </c>
    </row>
    <row r="113" spans="2:16" ht="12.5">
      <c r="B113" s="7" t="str">
        <f t="shared" si="23"/>
        <v/>
      </c>
      <c r="C113" s="50">
        <f>IF(D93="","-",+C112+1)</f>
        <v>2030</v>
      </c>
      <c r="D113" s="12">
        <f>IF(F112+SUM(E$99:E112)=D$92,F112,D$92-SUM(E$99:E112))</f>
        <v>23783192.954545479</v>
      </c>
      <c r="E113" s="56">
        <f>IF(+J96&lt;F112,J96,D113)</f>
        <v>779776.81818181823</v>
      </c>
      <c r="F113" s="55">
        <f t="shared" si="24"/>
        <v>23003416.136363663</v>
      </c>
      <c r="G113" s="55">
        <f t="shared" si="25"/>
        <v>23393304.545454569</v>
      </c>
      <c r="H113" s="58">
        <f t="shared" si="26"/>
        <v>3692859.4114400884</v>
      </c>
      <c r="I113" s="108">
        <f t="shared" si="27"/>
        <v>3692859.4114400884</v>
      </c>
      <c r="J113" s="54">
        <f t="shared" si="17"/>
        <v>0</v>
      </c>
      <c r="K113" s="54"/>
      <c r="L113" s="129"/>
      <c r="M113" s="54">
        <f t="shared" si="28"/>
        <v>0</v>
      </c>
      <c r="N113" s="129"/>
      <c r="O113" s="54">
        <f t="shared" si="29"/>
        <v>0</v>
      </c>
      <c r="P113" s="54">
        <f t="shared" si="30"/>
        <v>0</v>
      </c>
    </row>
    <row r="114" spans="2:16" ht="12.5">
      <c r="B114" s="7" t="str">
        <f t="shared" si="23"/>
        <v/>
      </c>
      <c r="C114" s="50">
        <f>IF(D93="","-",+C113+1)</f>
        <v>2031</v>
      </c>
      <c r="D114" s="12">
        <f>IF(F113+SUM(E$99:E113)=D$92,F113,D$92-SUM(E$99:E113))</f>
        <v>23003416.136363663</v>
      </c>
      <c r="E114" s="56">
        <f>IF(+J96&lt;F113,J96,D114)</f>
        <v>779776.81818181823</v>
      </c>
      <c r="F114" s="55">
        <f t="shared" si="24"/>
        <v>22223639.318181846</v>
      </c>
      <c r="G114" s="55">
        <f t="shared" si="25"/>
        <v>22613527.727272756</v>
      </c>
      <c r="H114" s="58">
        <f t="shared" si="26"/>
        <v>3595756.6583314803</v>
      </c>
      <c r="I114" s="108">
        <f t="shared" si="27"/>
        <v>3595756.6583314803</v>
      </c>
      <c r="J114" s="54">
        <f t="shared" si="17"/>
        <v>0</v>
      </c>
      <c r="K114" s="54"/>
      <c r="L114" s="129"/>
      <c r="M114" s="54">
        <f t="shared" si="28"/>
        <v>0</v>
      </c>
      <c r="N114" s="129"/>
      <c r="O114" s="54">
        <f t="shared" si="29"/>
        <v>0</v>
      </c>
      <c r="P114" s="54">
        <f t="shared" si="30"/>
        <v>0</v>
      </c>
    </row>
    <row r="115" spans="2:16" ht="12.5">
      <c r="B115" s="7" t="str">
        <f t="shared" si="23"/>
        <v/>
      </c>
      <c r="C115" s="50">
        <f>IF(D93="","-",+C114+1)</f>
        <v>2032</v>
      </c>
      <c r="D115" s="12">
        <f>IF(F114+SUM(E$99:E114)=D$92,F114,D$92-SUM(E$99:E114))</f>
        <v>22223639.318181846</v>
      </c>
      <c r="E115" s="56">
        <f>IF(+J96&lt;F114,J96,D115)</f>
        <v>779776.81818181823</v>
      </c>
      <c r="F115" s="55">
        <f t="shared" si="24"/>
        <v>21443862.50000003</v>
      </c>
      <c r="G115" s="55">
        <f t="shared" si="25"/>
        <v>21833750.909090936</v>
      </c>
      <c r="H115" s="58">
        <f t="shared" si="26"/>
        <v>3498653.9052228713</v>
      </c>
      <c r="I115" s="108">
        <f t="shared" si="27"/>
        <v>3498653.9052228713</v>
      </c>
      <c r="J115" s="54">
        <f t="shared" si="17"/>
        <v>0</v>
      </c>
      <c r="K115" s="54"/>
      <c r="L115" s="129"/>
      <c r="M115" s="54">
        <f t="shared" si="28"/>
        <v>0</v>
      </c>
      <c r="N115" s="129"/>
      <c r="O115" s="54">
        <f t="shared" si="29"/>
        <v>0</v>
      </c>
      <c r="P115" s="54">
        <f t="shared" si="30"/>
        <v>0</v>
      </c>
    </row>
    <row r="116" spans="2:16" ht="12.5">
      <c r="B116" s="7" t="str">
        <f t="shared" si="23"/>
        <v/>
      </c>
      <c r="C116" s="50">
        <f>IF(D93="","-",+C115+1)</f>
        <v>2033</v>
      </c>
      <c r="D116" s="12">
        <f>IF(F115+SUM(E$99:E115)=D$92,F115,D$92-SUM(E$99:E115))</f>
        <v>21443862.50000003</v>
      </c>
      <c r="E116" s="56">
        <f>IF(+J96&lt;F115,J96,D116)</f>
        <v>779776.81818181823</v>
      </c>
      <c r="F116" s="55">
        <f t="shared" si="24"/>
        <v>20664085.681818213</v>
      </c>
      <c r="G116" s="55">
        <f t="shared" si="25"/>
        <v>21053974.090909123</v>
      </c>
      <c r="H116" s="58">
        <f t="shared" si="26"/>
        <v>3401551.1521142628</v>
      </c>
      <c r="I116" s="108">
        <f t="shared" si="27"/>
        <v>3401551.1521142628</v>
      </c>
      <c r="J116" s="54">
        <f t="shared" si="17"/>
        <v>0</v>
      </c>
      <c r="K116" s="54"/>
      <c r="L116" s="129"/>
      <c r="M116" s="54">
        <f t="shared" si="28"/>
        <v>0</v>
      </c>
      <c r="N116" s="129"/>
      <c r="O116" s="54">
        <f t="shared" si="29"/>
        <v>0</v>
      </c>
      <c r="P116" s="54">
        <f t="shared" si="30"/>
        <v>0</v>
      </c>
    </row>
    <row r="117" spans="2:16" ht="12.5">
      <c r="B117" s="7" t="str">
        <f t="shared" si="23"/>
        <v/>
      </c>
      <c r="C117" s="50">
        <f>IF(D93="","-",+C116+1)</f>
        <v>2034</v>
      </c>
      <c r="D117" s="12">
        <f>IF(F116+SUM(E$99:E116)=D$92,F116,D$92-SUM(E$99:E116))</f>
        <v>20664085.681818213</v>
      </c>
      <c r="E117" s="56">
        <f>IF(+J96&lt;F116,J96,D117)</f>
        <v>779776.81818181823</v>
      </c>
      <c r="F117" s="55">
        <f t="shared" si="24"/>
        <v>19884308.863636397</v>
      </c>
      <c r="G117" s="55">
        <f t="shared" si="25"/>
        <v>20274197.272727303</v>
      </c>
      <c r="H117" s="58">
        <f t="shared" si="26"/>
        <v>3304448.3990056538</v>
      </c>
      <c r="I117" s="108">
        <f t="shared" si="27"/>
        <v>3304448.3990056538</v>
      </c>
      <c r="J117" s="54">
        <f t="shared" si="17"/>
        <v>0</v>
      </c>
      <c r="K117" s="54"/>
      <c r="L117" s="129"/>
      <c r="M117" s="54">
        <f t="shared" si="28"/>
        <v>0</v>
      </c>
      <c r="N117" s="129"/>
      <c r="O117" s="54">
        <f t="shared" si="29"/>
        <v>0</v>
      </c>
      <c r="P117" s="54">
        <f t="shared" si="30"/>
        <v>0</v>
      </c>
    </row>
    <row r="118" spans="2:16" ht="12.5">
      <c r="B118" s="7" t="str">
        <f t="shared" si="23"/>
        <v/>
      </c>
      <c r="C118" s="50">
        <f>IF(D93="","-",+C117+1)</f>
        <v>2035</v>
      </c>
      <c r="D118" s="12">
        <f>IF(F117+SUM(E$99:E117)=D$92,F117,D$92-SUM(E$99:E117))</f>
        <v>19884308.863636397</v>
      </c>
      <c r="E118" s="56">
        <f>IF(+J96&lt;F117,J96,D118)</f>
        <v>779776.81818181823</v>
      </c>
      <c r="F118" s="55">
        <f t="shared" si="24"/>
        <v>19104532.04545458</v>
      </c>
      <c r="G118" s="55">
        <f t="shared" si="25"/>
        <v>19494420.45454549</v>
      </c>
      <c r="H118" s="58">
        <f t="shared" si="26"/>
        <v>3207345.6458970457</v>
      </c>
      <c r="I118" s="108">
        <f t="shared" si="27"/>
        <v>3207345.6458970457</v>
      </c>
      <c r="J118" s="54">
        <f t="shared" si="17"/>
        <v>0</v>
      </c>
      <c r="K118" s="54"/>
      <c r="L118" s="129"/>
      <c r="M118" s="54">
        <f t="shared" si="28"/>
        <v>0</v>
      </c>
      <c r="N118" s="129"/>
      <c r="O118" s="54">
        <f t="shared" si="29"/>
        <v>0</v>
      </c>
      <c r="P118" s="54">
        <f t="shared" si="30"/>
        <v>0</v>
      </c>
    </row>
    <row r="119" spans="2:16" ht="12.5">
      <c r="B119" s="7" t="str">
        <f t="shared" si="23"/>
        <v/>
      </c>
      <c r="C119" s="50">
        <f>IF(D93="","-",+C118+1)</f>
        <v>2036</v>
      </c>
      <c r="D119" s="12">
        <f>IF(F118+SUM(E$99:E118)=D$92,F118,D$92-SUM(E$99:E118))</f>
        <v>19104532.04545458</v>
      </c>
      <c r="E119" s="56">
        <f>IF(+J96&lt;F118,J96,D119)</f>
        <v>779776.81818181823</v>
      </c>
      <c r="F119" s="55">
        <f t="shared" si="24"/>
        <v>18324755.227272764</v>
      </c>
      <c r="G119" s="55">
        <f t="shared" si="25"/>
        <v>18714643.63636367</v>
      </c>
      <c r="H119" s="58">
        <f t="shared" si="26"/>
        <v>3110242.8927884363</v>
      </c>
      <c r="I119" s="108">
        <f t="shared" si="27"/>
        <v>3110242.8927884363</v>
      </c>
      <c r="J119" s="54">
        <f t="shared" si="17"/>
        <v>0</v>
      </c>
      <c r="K119" s="54"/>
      <c r="L119" s="129"/>
      <c r="M119" s="54">
        <f t="shared" si="28"/>
        <v>0</v>
      </c>
      <c r="N119" s="129"/>
      <c r="O119" s="54">
        <f t="shared" si="29"/>
        <v>0</v>
      </c>
      <c r="P119" s="54">
        <f t="shared" si="30"/>
        <v>0</v>
      </c>
    </row>
    <row r="120" spans="2:16" ht="12.5">
      <c r="B120" s="7" t="str">
        <f t="shared" si="23"/>
        <v/>
      </c>
      <c r="C120" s="50">
        <f>IF(D93="","-",+C119+1)</f>
        <v>2037</v>
      </c>
      <c r="D120" s="12">
        <f>IF(F119+SUM(E$99:E119)=D$92,F119,D$92-SUM(E$99:E119))</f>
        <v>18324755.227272764</v>
      </c>
      <c r="E120" s="56">
        <f>IF(+J96&lt;F119,J96,D120)</f>
        <v>779776.81818181823</v>
      </c>
      <c r="F120" s="55">
        <f t="shared" si="24"/>
        <v>17544978.409090947</v>
      </c>
      <c r="G120" s="55">
        <f t="shared" si="25"/>
        <v>17934866.818181857</v>
      </c>
      <c r="H120" s="58">
        <f t="shared" si="26"/>
        <v>3013140.1396798282</v>
      </c>
      <c r="I120" s="108">
        <f t="shared" si="27"/>
        <v>3013140.1396798282</v>
      </c>
      <c r="J120" s="54">
        <f t="shared" si="17"/>
        <v>0</v>
      </c>
      <c r="K120" s="54"/>
      <c r="L120" s="129"/>
      <c r="M120" s="54">
        <f t="shared" si="28"/>
        <v>0</v>
      </c>
      <c r="N120" s="129"/>
      <c r="O120" s="54">
        <f t="shared" si="29"/>
        <v>0</v>
      </c>
      <c r="P120" s="54">
        <f t="shared" si="30"/>
        <v>0</v>
      </c>
    </row>
    <row r="121" spans="2:16" ht="12.5">
      <c r="B121" s="7" t="str">
        <f t="shared" si="23"/>
        <v/>
      </c>
      <c r="C121" s="50">
        <f>IF(D93="","-",+C120+1)</f>
        <v>2038</v>
      </c>
      <c r="D121" s="12">
        <f>IF(F120+SUM(E$99:E120)=D$92,F120,D$92-SUM(E$99:E120))</f>
        <v>17544978.409090947</v>
      </c>
      <c r="E121" s="56">
        <f>IF(+J96&lt;F120,J96,D121)</f>
        <v>779776.81818181823</v>
      </c>
      <c r="F121" s="55">
        <f t="shared" si="24"/>
        <v>16765201.590909129</v>
      </c>
      <c r="G121" s="55">
        <f t="shared" si="25"/>
        <v>17155090.000000037</v>
      </c>
      <c r="H121" s="58">
        <f t="shared" si="26"/>
        <v>2916037.3865712192</v>
      </c>
      <c r="I121" s="108">
        <f t="shared" si="27"/>
        <v>2916037.3865712192</v>
      </c>
      <c r="J121" s="54">
        <f t="shared" si="17"/>
        <v>0</v>
      </c>
      <c r="K121" s="54"/>
      <c r="L121" s="129"/>
      <c r="M121" s="54">
        <f t="shared" si="28"/>
        <v>0</v>
      </c>
      <c r="N121" s="129"/>
      <c r="O121" s="54">
        <f t="shared" si="29"/>
        <v>0</v>
      </c>
      <c r="P121" s="54">
        <f t="shared" si="30"/>
        <v>0</v>
      </c>
    </row>
    <row r="122" spans="2:16" ht="12.5">
      <c r="B122" s="7" t="str">
        <f t="shared" si="23"/>
        <v/>
      </c>
      <c r="C122" s="50">
        <f>IF(D93="","-",+C121+1)</f>
        <v>2039</v>
      </c>
      <c r="D122" s="12">
        <f>IF(F121+SUM(E$99:E121)=D$92,F121,D$92-SUM(E$99:E121))</f>
        <v>16765201.590909129</v>
      </c>
      <c r="E122" s="56">
        <f>IF(+J96&lt;F121,J96,D122)</f>
        <v>779776.81818181823</v>
      </c>
      <c r="F122" s="55">
        <f t="shared" si="24"/>
        <v>15985424.772727311</v>
      </c>
      <c r="G122" s="55">
        <f t="shared" si="25"/>
        <v>16375313.181818221</v>
      </c>
      <c r="H122" s="58">
        <f t="shared" si="26"/>
        <v>2818934.6334626102</v>
      </c>
      <c r="I122" s="108">
        <f t="shared" si="27"/>
        <v>2818934.6334626102</v>
      </c>
      <c r="J122" s="54">
        <f t="shared" si="17"/>
        <v>0</v>
      </c>
      <c r="K122" s="54"/>
      <c r="L122" s="129"/>
      <c r="M122" s="54">
        <f t="shared" si="28"/>
        <v>0</v>
      </c>
      <c r="N122" s="129"/>
      <c r="O122" s="54">
        <f t="shared" si="29"/>
        <v>0</v>
      </c>
      <c r="P122" s="54">
        <f t="shared" si="30"/>
        <v>0</v>
      </c>
    </row>
    <row r="123" spans="2:16" ht="12.5">
      <c r="B123" s="7" t="str">
        <f t="shared" si="23"/>
        <v/>
      </c>
      <c r="C123" s="50">
        <f>IF(D93="","-",+C122+1)</f>
        <v>2040</v>
      </c>
      <c r="D123" s="12">
        <f>IF(F122+SUM(E$99:E122)=D$92,F122,D$92-SUM(E$99:E122))</f>
        <v>15985424.772727311</v>
      </c>
      <c r="E123" s="56">
        <f>IF(+J96&lt;F122,J96,D123)</f>
        <v>779776.81818181823</v>
      </c>
      <c r="F123" s="55">
        <f t="shared" si="24"/>
        <v>15205647.954545492</v>
      </c>
      <c r="G123" s="55">
        <f t="shared" si="25"/>
        <v>15595536.363636401</v>
      </c>
      <c r="H123" s="58">
        <f t="shared" si="26"/>
        <v>2721831.8803540012</v>
      </c>
      <c r="I123" s="108">
        <f t="shared" si="27"/>
        <v>2721831.8803540012</v>
      </c>
      <c r="J123" s="54">
        <f t="shared" si="17"/>
        <v>0</v>
      </c>
      <c r="K123" s="54"/>
      <c r="L123" s="129"/>
      <c r="M123" s="54">
        <f t="shared" si="28"/>
        <v>0</v>
      </c>
      <c r="N123" s="129"/>
      <c r="O123" s="54">
        <f t="shared" si="29"/>
        <v>0</v>
      </c>
      <c r="P123" s="54">
        <f t="shared" si="30"/>
        <v>0</v>
      </c>
    </row>
    <row r="124" spans="2:16" ht="12.5">
      <c r="B124" s="7" t="str">
        <f t="shared" si="23"/>
        <v/>
      </c>
      <c r="C124" s="50">
        <f>IF(D93="","-",+C123+1)</f>
        <v>2041</v>
      </c>
      <c r="D124" s="12">
        <f>IF(F123+SUM(E$99:E123)=D$92,F123,D$92-SUM(E$99:E123))</f>
        <v>15205647.954545492</v>
      </c>
      <c r="E124" s="56">
        <f>IF(+J96&lt;F123,J96,D124)</f>
        <v>779776.81818181823</v>
      </c>
      <c r="F124" s="55">
        <f t="shared" si="24"/>
        <v>14425871.136363674</v>
      </c>
      <c r="G124" s="55">
        <f t="shared" si="25"/>
        <v>14815759.545454584</v>
      </c>
      <c r="H124" s="58">
        <f t="shared" si="26"/>
        <v>2624729.1272453922</v>
      </c>
      <c r="I124" s="108">
        <f t="shared" si="27"/>
        <v>2624729.1272453922</v>
      </c>
      <c r="J124" s="54">
        <f t="shared" si="17"/>
        <v>0</v>
      </c>
      <c r="K124" s="54"/>
      <c r="L124" s="129"/>
      <c r="M124" s="54">
        <f t="shared" si="28"/>
        <v>0</v>
      </c>
      <c r="N124" s="129"/>
      <c r="O124" s="54">
        <f t="shared" si="29"/>
        <v>0</v>
      </c>
      <c r="P124" s="54">
        <f t="shared" si="30"/>
        <v>0</v>
      </c>
    </row>
    <row r="125" spans="2:16" ht="12.5">
      <c r="B125" s="7" t="str">
        <f t="shared" si="23"/>
        <v/>
      </c>
      <c r="C125" s="50">
        <f>IF(D93="","-",+C124+1)</f>
        <v>2042</v>
      </c>
      <c r="D125" s="12">
        <f>IF(F124+SUM(E$99:E124)=D$92,F124,D$92-SUM(E$99:E124))</f>
        <v>14425871.136363674</v>
      </c>
      <c r="E125" s="56">
        <f>IF(+J96&lt;F124,J96,D125)</f>
        <v>779776.81818181823</v>
      </c>
      <c r="F125" s="55">
        <f t="shared" si="24"/>
        <v>13646094.318181856</v>
      </c>
      <c r="G125" s="55">
        <f t="shared" si="25"/>
        <v>14035982.727272764</v>
      </c>
      <c r="H125" s="58">
        <f t="shared" si="26"/>
        <v>2527626.3741367832</v>
      </c>
      <c r="I125" s="108">
        <f t="shared" si="27"/>
        <v>2527626.3741367832</v>
      </c>
      <c r="J125" s="54">
        <f t="shared" si="17"/>
        <v>0</v>
      </c>
      <c r="K125" s="54"/>
      <c r="L125" s="129"/>
      <c r="M125" s="54">
        <f t="shared" si="28"/>
        <v>0</v>
      </c>
      <c r="N125" s="129"/>
      <c r="O125" s="54">
        <f t="shared" si="29"/>
        <v>0</v>
      </c>
      <c r="P125" s="54">
        <f t="shared" si="30"/>
        <v>0</v>
      </c>
    </row>
    <row r="126" spans="2:16" ht="12.5">
      <c r="B126" s="7" t="str">
        <f t="shared" si="23"/>
        <v/>
      </c>
      <c r="C126" s="50">
        <f>IF(D93="","-",+C125+1)</f>
        <v>2043</v>
      </c>
      <c r="D126" s="12">
        <f>IF(F125+SUM(E$99:E125)=D$92,F125,D$92-SUM(E$99:E125))</f>
        <v>13646094.318181856</v>
      </c>
      <c r="E126" s="56">
        <f>IF(+J96&lt;F125,J96,D126)</f>
        <v>779776.81818181823</v>
      </c>
      <c r="F126" s="55">
        <f t="shared" si="24"/>
        <v>12866317.500000037</v>
      </c>
      <c r="G126" s="55">
        <f t="shared" si="25"/>
        <v>13256205.909090947</v>
      </c>
      <c r="H126" s="58">
        <f t="shared" si="26"/>
        <v>2430523.6210281746</v>
      </c>
      <c r="I126" s="108">
        <f t="shared" si="27"/>
        <v>2430523.6210281746</v>
      </c>
      <c r="J126" s="54">
        <f t="shared" si="17"/>
        <v>0</v>
      </c>
      <c r="K126" s="54"/>
      <c r="L126" s="129"/>
      <c r="M126" s="54">
        <f t="shared" si="28"/>
        <v>0</v>
      </c>
      <c r="N126" s="129"/>
      <c r="O126" s="54">
        <f t="shared" si="29"/>
        <v>0</v>
      </c>
      <c r="P126" s="54">
        <f t="shared" si="30"/>
        <v>0</v>
      </c>
    </row>
    <row r="127" spans="2:16" ht="12.5">
      <c r="B127" s="7" t="str">
        <f t="shared" si="23"/>
        <v/>
      </c>
      <c r="C127" s="50">
        <f>IF(D93="","-",+C126+1)</f>
        <v>2044</v>
      </c>
      <c r="D127" s="12">
        <f>IF(F126+SUM(E$99:E126)=D$92,F126,D$92-SUM(E$99:E126))</f>
        <v>12866317.500000037</v>
      </c>
      <c r="E127" s="56">
        <f>IF(+J96&lt;F126,J96,D127)</f>
        <v>779776.81818181823</v>
      </c>
      <c r="F127" s="55">
        <f t="shared" si="24"/>
        <v>12086540.681818219</v>
      </c>
      <c r="G127" s="55">
        <f t="shared" si="25"/>
        <v>12476429.090909127</v>
      </c>
      <c r="H127" s="58">
        <f t="shared" si="26"/>
        <v>2333420.8679195652</v>
      </c>
      <c r="I127" s="108">
        <f t="shared" si="27"/>
        <v>2333420.8679195652</v>
      </c>
      <c r="J127" s="54">
        <f t="shared" si="17"/>
        <v>0</v>
      </c>
      <c r="K127" s="54"/>
      <c r="L127" s="129"/>
      <c r="M127" s="54">
        <f t="shared" si="28"/>
        <v>0</v>
      </c>
      <c r="N127" s="129"/>
      <c r="O127" s="54">
        <f t="shared" si="29"/>
        <v>0</v>
      </c>
      <c r="P127" s="54">
        <f t="shared" si="30"/>
        <v>0</v>
      </c>
    </row>
    <row r="128" spans="2:16" ht="12.5">
      <c r="B128" s="7" t="str">
        <f t="shared" si="23"/>
        <v/>
      </c>
      <c r="C128" s="50">
        <f>IF(D93="","-",+C127+1)</f>
        <v>2045</v>
      </c>
      <c r="D128" s="12">
        <f>IF(F127+SUM(E$99:E127)=D$92,F127,D$92-SUM(E$99:E127))</f>
        <v>12086540.681818219</v>
      </c>
      <c r="E128" s="56">
        <f>IF(+J96&lt;F127,J96,D128)</f>
        <v>779776.81818181823</v>
      </c>
      <c r="F128" s="55">
        <f t="shared" si="24"/>
        <v>11306763.863636401</v>
      </c>
      <c r="G128" s="55">
        <f t="shared" si="25"/>
        <v>11696652.272727311</v>
      </c>
      <c r="H128" s="58">
        <f t="shared" si="26"/>
        <v>2236318.1148109566</v>
      </c>
      <c r="I128" s="108">
        <f t="shared" si="27"/>
        <v>2236318.1148109566</v>
      </c>
      <c r="J128" s="54">
        <f t="shared" si="17"/>
        <v>0</v>
      </c>
      <c r="K128" s="54"/>
      <c r="L128" s="129"/>
      <c r="M128" s="54">
        <f t="shared" si="28"/>
        <v>0</v>
      </c>
      <c r="N128" s="129"/>
      <c r="O128" s="54">
        <f t="shared" si="29"/>
        <v>0</v>
      </c>
      <c r="P128" s="54">
        <f t="shared" si="30"/>
        <v>0</v>
      </c>
    </row>
    <row r="129" spans="2:16" ht="12.5">
      <c r="B129" s="7" t="str">
        <f t="shared" si="23"/>
        <v/>
      </c>
      <c r="C129" s="50">
        <f>IF(D93="","-",+C128+1)</f>
        <v>2046</v>
      </c>
      <c r="D129" s="12">
        <f>IF(F128+SUM(E$99:E128)=D$92,F128,D$92-SUM(E$99:E128))</f>
        <v>11306763.863636401</v>
      </c>
      <c r="E129" s="56">
        <f>IF(+J96&lt;F128,J96,D129)</f>
        <v>779776.81818181823</v>
      </c>
      <c r="F129" s="55">
        <f t="shared" si="24"/>
        <v>10526987.045454582</v>
      </c>
      <c r="G129" s="55">
        <f t="shared" si="25"/>
        <v>10916875.45454549</v>
      </c>
      <c r="H129" s="58">
        <f t="shared" si="26"/>
        <v>2139215.3617023476</v>
      </c>
      <c r="I129" s="108">
        <f t="shared" si="27"/>
        <v>2139215.3617023476</v>
      </c>
      <c r="J129" s="54">
        <f t="shared" si="17"/>
        <v>0</v>
      </c>
      <c r="K129" s="54"/>
      <c r="L129" s="129"/>
      <c r="M129" s="54">
        <f t="shared" si="28"/>
        <v>0</v>
      </c>
      <c r="N129" s="129"/>
      <c r="O129" s="54">
        <f t="shared" si="29"/>
        <v>0</v>
      </c>
      <c r="P129" s="54">
        <f t="shared" si="30"/>
        <v>0</v>
      </c>
    </row>
    <row r="130" spans="2:16" ht="12.5">
      <c r="B130" s="7" t="str">
        <f t="shared" si="23"/>
        <v/>
      </c>
      <c r="C130" s="50">
        <f>IF(D93="","-",+C129+1)</f>
        <v>2047</v>
      </c>
      <c r="D130" s="12">
        <f>IF(F129+SUM(E$99:E129)=D$92,F129,D$92-SUM(E$99:E129))</f>
        <v>10526987.045454582</v>
      </c>
      <c r="E130" s="56">
        <f>IF(+J96&lt;F129,J96,D130)</f>
        <v>779776.81818181823</v>
      </c>
      <c r="F130" s="55">
        <f t="shared" si="24"/>
        <v>9747210.2272727638</v>
      </c>
      <c r="G130" s="55">
        <f t="shared" si="25"/>
        <v>10137098.636363674</v>
      </c>
      <c r="H130" s="58">
        <f t="shared" si="26"/>
        <v>2042112.6085937386</v>
      </c>
      <c r="I130" s="108">
        <f t="shared" si="27"/>
        <v>2042112.6085937386</v>
      </c>
      <c r="J130" s="54">
        <f t="shared" si="17"/>
        <v>0</v>
      </c>
      <c r="K130" s="54"/>
      <c r="L130" s="129"/>
      <c r="M130" s="54">
        <f t="shared" si="28"/>
        <v>0</v>
      </c>
      <c r="N130" s="129"/>
      <c r="O130" s="54">
        <f t="shared" si="29"/>
        <v>0</v>
      </c>
      <c r="P130" s="54">
        <f t="shared" si="30"/>
        <v>0</v>
      </c>
    </row>
    <row r="131" spans="2:16" ht="12.5">
      <c r="B131" s="7" t="str">
        <f t="shared" si="23"/>
        <v/>
      </c>
      <c r="C131" s="50">
        <f>IF(D93="","-",+C130+1)</f>
        <v>2048</v>
      </c>
      <c r="D131" s="12">
        <f>IF(F130+SUM(E$99:E130)=D$92,F130,D$92-SUM(E$99:E130))</f>
        <v>9747210.2272727638</v>
      </c>
      <c r="E131" s="56">
        <f>IF(+J96&lt;F130,J96,D131)</f>
        <v>779776.81818181823</v>
      </c>
      <c r="F131" s="55">
        <f t="shared" si="24"/>
        <v>8967433.4090909455</v>
      </c>
      <c r="G131" s="55">
        <f t="shared" si="25"/>
        <v>9357321.8181818537</v>
      </c>
      <c r="H131" s="58">
        <f t="shared" si="26"/>
        <v>1945009.8554851296</v>
      </c>
      <c r="I131" s="108">
        <f t="shared" si="27"/>
        <v>1945009.8554851296</v>
      </c>
      <c r="J131" s="54">
        <f t="shared" ref="J131:J154" si="31">+I541-H541</f>
        <v>0</v>
      </c>
      <c r="K131" s="54"/>
      <c r="L131" s="129"/>
      <c r="M131" s="54">
        <f t="shared" ref="M131:M154" si="32">IF(L541&lt;&gt;0,+H541-L541,0)</f>
        <v>0</v>
      </c>
      <c r="N131" s="129"/>
      <c r="O131" s="54">
        <f t="shared" ref="O131:O154" si="33">IF(N541&lt;&gt;0,+I541-N541,0)</f>
        <v>0</v>
      </c>
      <c r="P131" s="54">
        <f t="shared" ref="P131:P154" si="34">+O541-M541</f>
        <v>0</v>
      </c>
    </row>
    <row r="132" spans="2:16" ht="12.5">
      <c r="B132" s="7" t="str">
        <f t="shared" si="23"/>
        <v/>
      </c>
      <c r="C132" s="50">
        <f>IF(D93="","-",+C131+1)</f>
        <v>2049</v>
      </c>
      <c r="D132" s="12">
        <f>IF(F131+SUM(E$99:E131)=D$92,F131,D$92-SUM(E$99:E131))</f>
        <v>8967433.4090909455</v>
      </c>
      <c r="E132" s="56">
        <f>IF(+J96&lt;F131,J96,D132)</f>
        <v>779776.81818181823</v>
      </c>
      <c r="F132" s="55">
        <f t="shared" si="24"/>
        <v>8187656.5909091271</v>
      </c>
      <c r="G132" s="55">
        <f t="shared" si="25"/>
        <v>8577545.0000000373</v>
      </c>
      <c r="H132" s="58">
        <f t="shared" si="26"/>
        <v>1847907.1023765206</v>
      </c>
      <c r="I132" s="108">
        <f t="shared" si="27"/>
        <v>1847907.1023765206</v>
      </c>
      <c r="J132" s="54">
        <f t="shared" si="31"/>
        <v>0</v>
      </c>
      <c r="K132" s="54"/>
      <c r="L132" s="129"/>
      <c r="M132" s="54">
        <f t="shared" si="32"/>
        <v>0</v>
      </c>
      <c r="N132" s="129"/>
      <c r="O132" s="54">
        <f t="shared" si="33"/>
        <v>0</v>
      </c>
      <c r="P132" s="54">
        <f t="shared" si="34"/>
        <v>0</v>
      </c>
    </row>
    <row r="133" spans="2:16" ht="12.5">
      <c r="B133" s="7" t="str">
        <f t="shared" si="23"/>
        <v/>
      </c>
      <c r="C133" s="50">
        <f>IF(D93="","-",+C132+1)</f>
        <v>2050</v>
      </c>
      <c r="D133" s="12">
        <f>IF(F132+SUM(E$99:E132)=D$92,F132,D$92-SUM(E$99:E132))</f>
        <v>8187656.5909091271</v>
      </c>
      <c r="E133" s="56">
        <f>IF(+J96&lt;F132,J96,D133)</f>
        <v>779776.81818181823</v>
      </c>
      <c r="F133" s="55">
        <f t="shared" si="24"/>
        <v>7407879.7727273088</v>
      </c>
      <c r="G133" s="55">
        <f t="shared" si="25"/>
        <v>7797768.181818218</v>
      </c>
      <c r="H133" s="58">
        <f t="shared" si="26"/>
        <v>1750804.3492679119</v>
      </c>
      <c r="I133" s="108">
        <f t="shared" si="27"/>
        <v>1750804.3492679119</v>
      </c>
      <c r="J133" s="54">
        <f t="shared" si="31"/>
        <v>0</v>
      </c>
      <c r="K133" s="54"/>
      <c r="L133" s="129"/>
      <c r="M133" s="54">
        <f t="shared" si="32"/>
        <v>0</v>
      </c>
      <c r="N133" s="129"/>
      <c r="O133" s="54">
        <f t="shared" si="33"/>
        <v>0</v>
      </c>
      <c r="P133" s="54">
        <f t="shared" si="34"/>
        <v>0</v>
      </c>
    </row>
    <row r="134" spans="2:16" ht="12.5">
      <c r="B134" s="7" t="str">
        <f t="shared" si="23"/>
        <v/>
      </c>
      <c r="C134" s="50">
        <f>IF(D93="","-",+C133+1)</f>
        <v>2051</v>
      </c>
      <c r="D134" s="12">
        <f>IF(F133+SUM(E$99:E133)=D$92,F133,D$92-SUM(E$99:E133))</f>
        <v>7407879.7727273088</v>
      </c>
      <c r="E134" s="56">
        <f>IF(+J96&lt;F133,J96,D134)</f>
        <v>779776.81818181823</v>
      </c>
      <c r="F134" s="55">
        <f t="shared" si="24"/>
        <v>6628102.9545454904</v>
      </c>
      <c r="G134" s="55">
        <f t="shared" si="25"/>
        <v>7017991.3636363996</v>
      </c>
      <c r="H134" s="58">
        <f t="shared" si="26"/>
        <v>1653701.5961593029</v>
      </c>
      <c r="I134" s="108">
        <f t="shared" si="27"/>
        <v>1653701.5961593029</v>
      </c>
      <c r="J134" s="54">
        <f t="shared" si="31"/>
        <v>0</v>
      </c>
      <c r="K134" s="54"/>
      <c r="L134" s="129"/>
      <c r="M134" s="54">
        <f t="shared" si="32"/>
        <v>0</v>
      </c>
      <c r="N134" s="129"/>
      <c r="O134" s="54">
        <f t="shared" si="33"/>
        <v>0</v>
      </c>
      <c r="P134" s="54">
        <f t="shared" si="34"/>
        <v>0</v>
      </c>
    </row>
    <row r="135" spans="2:16" ht="12.5">
      <c r="B135" s="7" t="str">
        <f t="shared" si="23"/>
        <v/>
      </c>
      <c r="C135" s="50">
        <f>IF(D93="","-",+C134+1)</f>
        <v>2052</v>
      </c>
      <c r="D135" s="12">
        <f>IF(F134+SUM(E$99:E134)=D$92,F134,D$92-SUM(E$99:E134))</f>
        <v>6628102.9545454904</v>
      </c>
      <c r="E135" s="56">
        <f>IF(+J96&lt;F134,J96,D135)</f>
        <v>779776.81818181823</v>
      </c>
      <c r="F135" s="55">
        <f t="shared" si="24"/>
        <v>5848326.1363636721</v>
      </c>
      <c r="G135" s="55">
        <f t="shared" si="25"/>
        <v>6238214.5454545813</v>
      </c>
      <c r="H135" s="58">
        <f t="shared" si="26"/>
        <v>1556598.8430506941</v>
      </c>
      <c r="I135" s="108">
        <f t="shared" si="27"/>
        <v>1556598.8430506941</v>
      </c>
      <c r="J135" s="54">
        <f t="shared" si="31"/>
        <v>0</v>
      </c>
      <c r="K135" s="54"/>
      <c r="L135" s="129"/>
      <c r="M135" s="54">
        <f t="shared" si="32"/>
        <v>0</v>
      </c>
      <c r="N135" s="129"/>
      <c r="O135" s="54">
        <f t="shared" si="33"/>
        <v>0</v>
      </c>
      <c r="P135" s="54">
        <f t="shared" si="34"/>
        <v>0</v>
      </c>
    </row>
    <row r="136" spans="2:16" ht="12.5">
      <c r="B136" s="7" t="str">
        <f t="shared" si="23"/>
        <v/>
      </c>
      <c r="C136" s="50">
        <f>IF(D93="","-",+C135+1)</f>
        <v>2053</v>
      </c>
      <c r="D136" s="12">
        <f>IF(F135+SUM(E$99:E135)=D$92,F135,D$92-SUM(E$99:E135))</f>
        <v>5848326.1363636721</v>
      </c>
      <c r="E136" s="56">
        <f>IF(+J96&lt;F135,J96,D136)</f>
        <v>779776.81818181823</v>
      </c>
      <c r="F136" s="55">
        <f t="shared" si="24"/>
        <v>5068549.3181818537</v>
      </c>
      <c r="G136" s="55">
        <f t="shared" si="25"/>
        <v>5458437.7272727629</v>
      </c>
      <c r="H136" s="58">
        <f t="shared" si="26"/>
        <v>1459496.0899420851</v>
      </c>
      <c r="I136" s="108">
        <f t="shared" si="27"/>
        <v>1459496.0899420851</v>
      </c>
      <c r="J136" s="54">
        <f t="shared" si="31"/>
        <v>0</v>
      </c>
      <c r="K136" s="54"/>
      <c r="L136" s="129"/>
      <c r="M136" s="54">
        <f t="shared" si="32"/>
        <v>0</v>
      </c>
      <c r="N136" s="129"/>
      <c r="O136" s="54">
        <f t="shared" si="33"/>
        <v>0</v>
      </c>
      <c r="P136" s="54">
        <f t="shared" si="34"/>
        <v>0</v>
      </c>
    </row>
    <row r="137" spans="2:16" ht="12.5">
      <c r="B137" s="7" t="str">
        <f t="shared" si="23"/>
        <v/>
      </c>
      <c r="C137" s="50">
        <f>IF(D93="","-",+C136+1)</f>
        <v>2054</v>
      </c>
      <c r="D137" s="12">
        <f>IF(F136+SUM(E$99:E136)=D$92,F136,D$92-SUM(E$99:E136))</f>
        <v>5068549.3181818537</v>
      </c>
      <c r="E137" s="56">
        <f>IF(+J96&lt;F136,J96,D137)</f>
        <v>779776.81818181823</v>
      </c>
      <c r="F137" s="55">
        <f t="shared" si="24"/>
        <v>4288772.5000000354</v>
      </c>
      <c r="G137" s="55">
        <f t="shared" si="25"/>
        <v>4678660.9090909446</v>
      </c>
      <c r="H137" s="58">
        <f t="shared" si="26"/>
        <v>1362393.3368334761</v>
      </c>
      <c r="I137" s="108">
        <f t="shared" si="27"/>
        <v>1362393.3368334761</v>
      </c>
      <c r="J137" s="54">
        <f t="shared" si="31"/>
        <v>0</v>
      </c>
      <c r="K137" s="54"/>
      <c r="L137" s="129"/>
      <c r="M137" s="54">
        <f t="shared" si="32"/>
        <v>0</v>
      </c>
      <c r="N137" s="129"/>
      <c r="O137" s="54">
        <f t="shared" si="33"/>
        <v>0</v>
      </c>
      <c r="P137" s="54">
        <f t="shared" si="34"/>
        <v>0</v>
      </c>
    </row>
    <row r="138" spans="2:16" ht="12.5">
      <c r="B138" s="7" t="str">
        <f t="shared" si="23"/>
        <v/>
      </c>
      <c r="C138" s="50">
        <f>IF(D93="","-",+C137+1)</f>
        <v>2055</v>
      </c>
      <c r="D138" s="12">
        <f>IF(F137+SUM(E$99:E137)=D$92,F137,D$92-SUM(E$99:E137))</f>
        <v>4288772.5000000354</v>
      </c>
      <c r="E138" s="56">
        <f>IF(+J96&lt;F137,J96,D138)</f>
        <v>779776.81818181823</v>
      </c>
      <c r="F138" s="55">
        <f t="shared" si="24"/>
        <v>3508995.681818217</v>
      </c>
      <c r="G138" s="55">
        <f t="shared" si="25"/>
        <v>3898884.0909091262</v>
      </c>
      <c r="H138" s="58">
        <f t="shared" si="26"/>
        <v>1265290.5837248671</v>
      </c>
      <c r="I138" s="108">
        <f t="shared" si="27"/>
        <v>1265290.5837248671</v>
      </c>
      <c r="J138" s="54">
        <f t="shared" si="31"/>
        <v>0</v>
      </c>
      <c r="K138" s="54"/>
      <c r="L138" s="129"/>
      <c r="M138" s="54">
        <f t="shared" si="32"/>
        <v>0</v>
      </c>
      <c r="N138" s="129"/>
      <c r="O138" s="54">
        <f t="shared" si="33"/>
        <v>0</v>
      </c>
      <c r="P138" s="54">
        <f t="shared" si="34"/>
        <v>0</v>
      </c>
    </row>
    <row r="139" spans="2:16" ht="12.5">
      <c r="B139" s="7" t="str">
        <f t="shared" si="23"/>
        <v/>
      </c>
      <c r="C139" s="50">
        <f>IF(D93="","-",+C138+1)</f>
        <v>2056</v>
      </c>
      <c r="D139" s="12">
        <f>IF(F138+SUM(E$99:E138)=D$92,F138,D$92-SUM(E$99:E138))</f>
        <v>3508995.681818217</v>
      </c>
      <c r="E139" s="56">
        <f>IF(+J96&lt;F138,J96,D139)</f>
        <v>779776.81818181823</v>
      </c>
      <c r="F139" s="55">
        <f t="shared" si="24"/>
        <v>2729218.8636363987</v>
      </c>
      <c r="G139" s="55">
        <f t="shared" si="25"/>
        <v>3119107.2727273079</v>
      </c>
      <c r="H139" s="58">
        <f t="shared" si="26"/>
        <v>1168187.8306162583</v>
      </c>
      <c r="I139" s="108">
        <f t="shared" si="27"/>
        <v>1168187.8306162583</v>
      </c>
      <c r="J139" s="54">
        <f t="shared" si="31"/>
        <v>0</v>
      </c>
      <c r="K139" s="54"/>
      <c r="L139" s="129"/>
      <c r="M139" s="54">
        <f t="shared" si="32"/>
        <v>0</v>
      </c>
      <c r="N139" s="129"/>
      <c r="O139" s="54">
        <f t="shared" si="33"/>
        <v>0</v>
      </c>
      <c r="P139" s="54">
        <f t="shared" si="34"/>
        <v>0</v>
      </c>
    </row>
    <row r="140" spans="2:16" ht="12.5">
      <c r="B140" s="7" t="str">
        <f t="shared" si="23"/>
        <v/>
      </c>
      <c r="C140" s="50">
        <f>IF(D93="","-",+C139+1)</f>
        <v>2057</v>
      </c>
      <c r="D140" s="12">
        <f>IF(F139+SUM(E$99:E139)=D$92,F139,D$92-SUM(E$99:E139))</f>
        <v>2729218.8636363987</v>
      </c>
      <c r="E140" s="56">
        <f>IF(+J96&lt;F139,J96,D140)</f>
        <v>779776.81818181823</v>
      </c>
      <c r="F140" s="55">
        <f t="shared" si="24"/>
        <v>1949442.0454545803</v>
      </c>
      <c r="G140" s="55">
        <f t="shared" si="25"/>
        <v>2339330.4545454895</v>
      </c>
      <c r="H140" s="58">
        <f t="shared" si="26"/>
        <v>1071085.0775076493</v>
      </c>
      <c r="I140" s="108">
        <f t="shared" si="27"/>
        <v>1071085.0775076493</v>
      </c>
      <c r="J140" s="54">
        <f t="shared" si="31"/>
        <v>0</v>
      </c>
      <c r="K140" s="54"/>
      <c r="L140" s="129"/>
      <c r="M140" s="54">
        <f t="shared" si="32"/>
        <v>0</v>
      </c>
      <c r="N140" s="129"/>
      <c r="O140" s="54">
        <f t="shared" si="33"/>
        <v>0</v>
      </c>
      <c r="P140" s="54">
        <f t="shared" si="34"/>
        <v>0</v>
      </c>
    </row>
    <row r="141" spans="2:16" ht="12.5">
      <c r="B141" s="7" t="str">
        <f t="shared" si="23"/>
        <v/>
      </c>
      <c r="C141" s="50">
        <f>IF(D93="","-",+C140+1)</f>
        <v>2058</v>
      </c>
      <c r="D141" s="12">
        <f>IF(F140+SUM(E$99:E140)=D$92,F140,D$92-SUM(E$99:E140))</f>
        <v>1949442.0454545803</v>
      </c>
      <c r="E141" s="56">
        <f>IF(+J96&lt;F140,J96,D141)</f>
        <v>779776.81818181823</v>
      </c>
      <c r="F141" s="55">
        <f t="shared" si="24"/>
        <v>1169665.227272762</v>
      </c>
      <c r="G141" s="55">
        <f t="shared" si="25"/>
        <v>1559553.6363636712</v>
      </c>
      <c r="H141" s="58">
        <f t="shared" si="26"/>
        <v>973982.32439904031</v>
      </c>
      <c r="I141" s="108">
        <f t="shared" si="27"/>
        <v>973982.32439904031</v>
      </c>
      <c r="J141" s="54">
        <f t="shared" si="31"/>
        <v>0</v>
      </c>
      <c r="K141" s="54"/>
      <c r="L141" s="129"/>
      <c r="M141" s="54">
        <f t="shared" si="32"/>
        <v>0</v>
      </c>
      <c r="N141" s="129"/>
      <c r="O141" s="54">
        <f t="shared" si="33"/>
        <v>0</v>
      </c>
      <c r="P141" s="54">
        <f t="shared" si="34"/>
        <v>0</v>
      </c>
    </row>
    <row r="142" spans="2:16" ht="12.5">
      <c r="B142" s="7" t="str">
        <f t="shared" si="23"/>
        <v/>
      </c>
      <c r="C142" s="50">
        <f>IF(D93="","-",+C141+1)</f>
        <v>2059</v>
      </c>
      <c r="D142" s="12">
        <f>IF(F141+SUM(E$99:E141)=D$92,F141,D$92-SUM(E$99:E141))</f>
        <v>1169665.227272762</v>
      </c>
      <c r="E142" s="56">
        <f>IF(+J96&lt;F141,J96,D142)</f>
        <v>779776.81818181823</v>
      </c>
      <c r="F142" s="55">
        <f t="shared" si="24"/>
        <v>389888.40909094375</v>
      </c>
      <c r="G142" s="55">
        <f t="shared" si="25"/>
        <v>779776.81818185281</v>
      </c>
      <c r="H142" s="58">
        <f t="shared" si="26"/>
        <v>876879.57129043143</v>
      </c>
      <c r="I142" s="108">
        <f t="shared" si="27"/>
        <v>876879.57129043143</v>
      </c>
      <c r="J142" s="54">
        <f t="shared" si="31"/>
        <v>0</v>
      </c>
      <c r="K142" s="54"/>
      <c r="L142" s="129"/>
      <c r="M142" s="54">
        <f t="shared" si="32"/>
        <v>0</v>
      </c>
      <c r="N142" s="129"/>
      <c r="O142" s="54">
        <f t="shared" si="33"/>
        <v>0</v>
      </c>
      <c r="P142" s="54">
        <f t="shared" si="34"/>
        <v>0</v>
      </c>
    </row>
    <row r="143" spans="2:16" ht="12.5">
      <c r="B143" s="7" t="str">
        <f t="shared" si="23"/>
        <v/>
      </c>
      <c r="C143" s="50">
        <f>IF(D93="","-",+C142+1)</f>
        <v>2060</v>
      </c>
      <c r="D143" s="12">
        <f>IF(F142+SUM(E$99:E142)=D$92,F142,D$92-SUM(E$99:E142))</f>
        <v>389888.40909094375</v>
      </c>
      <c r="E143" s="56">
        <f>IF(+J96&lt;F142,J96,D143)</f>
        <v>389888.40909094375</v>
      </c>
      <c r="F143" s="55">
        <f t="shared" si="24"/>
        <v>0</v>
      </c>
      <c r="G143" s="55">
        <f t="shared" si="25"/>
        <v>194944.20454547188</v>
      </c>
      <c r="H143" s="58">
        <f t="shared" si="26"/>
        <v>414164.09736809816</v>
      </c>
      <c r="I143" s="108">
        <f t="shared" si="27"/>
        <v>414164.09736809816</v>
      </c>
      <c r="J143" s="54">
        <f t="shared" si="31"/>
        <v>0</v>
      </c>
      <c r="K143" s="54"/>
      <c r="L143" s="129"/>
      <c r="M143" s="54">
        <f t="shared" si="32"/>
        <v>0</v>
      </c>
      <c r="N143" s="129"/>
      <c r="O143" s="54">
        <f t="shared" si="33"/>
        <v>0</v>
      </c>
      <c r="P143" s="54">
        <f t="shared" si="34"/>
        <v>0</v>
      </c>
    </row>
    <row r="144" spans="2:16" ht="12.5">
      <c r="B144" s="7" t="str">
        <f t="shared" si="23"/>
        <v/>
      </c>
      <c r="C144" s="50">
        <f>IF(D93="","-",+C143+1)</f>
        <v>2061</v>
      </c>
      <c r="D144" s="12">
        <f>IF(F143+SUM(E$99:E143)=D$92,F143,D$92-SUM(E$99:E143))</f>
        <v>0</v>
      </c>
      <c r="E144" s="56">
        <f>IF(+J96&lt;F143,J96,D144)</f>
        <v>0</v>
      </c>
      <c r="F144" s="55">
        <f t="shared" si="24"/>
        <v>0</v>
      </c>
      <c r="G144" s="55">
        <f t="shared" si="25"/>
        <v>0</v>
      </c>
      <c r="H144" s="58">
        <f t="shared" si="26"/>
        <v>0</v>
      </c>
      <c r="I144" s="108">
        <f t="shared" si="27"/>
        <v>0</v>
      </c>
      <c r="J144" s="54">
        <f t="shared" si="31"/>
        <v>0</v>
      </c>
      <c r="K144" s="54"/>
      <c r="L144" s="129"/>
      <c r="M144" s="54">
        <f t="shared" si="32"/>
        <v>0</v>
      </c>
      <c r="N144" s="129"/>
      <c r="O144" s="54">
        <f t="shared" si="33"/>
        <v>0</v>
      </c>
      <c r="P144" s="54">
        <f t="shared" si="34"/>
        <v>0</v>
      </c>
    </row>
    <row r="145" spans="2:16" ht="12.5">
      <c r="B145" s="7" t="str">
        <f t="shared" si="23"/>
        <v/>
      </c>
      <c r="C145" s="50">
        <f>IF(D93="","-",+C144+1)</f>
        <v>2062</v>
      </c>
      <c r="D145" s="12">
        <f>IF(F144+SUM(E$99:E144)=D$92,F144,D$92-SUM(E$99:E144))</f>
        <v>0</v>
      </c>
      <c r="E145" s="56">
        <f>IF(+J96&lt;F144,J96,D145)</f>
        <v>0</v>
      </c>
      <c r="F145" s="55">
        <f t="shared" si="24"/>
        <v>0</v>
      </c>
      <c r="G145" s="55">
        <f t="shared" si="25"/>
        <v>0</v>
      </c>
      <c r="H145" s="58">
        <f t="shared" si="26"/>
        <v>0</v>
      </c>
      <c r="I145" s="108">
        <f t="shared" si="27"/>
        <v>0</v>
      </c>
      <c r="J145" s="54">
        <f t="shared" si="31"/>
        <v>0</v>
      </c>
      <c r="K145" s="54"/>
      <c r="L145" s="129"/>
      <c r="M145" s="54">
        <f t="shared" si="32"/>
        <v>0</v>
      </c>
      <c r="N145" s="129"/>
      <c r="O145" s="54">
        <f t="shared" si="33"/>
        <v>0</v>
      </c>
      <c r="P145" s="54">
        <f t="shared" si="34"/>
        <v>0</v>
      </c>
    </row>
    <row r="146" spans="2:16" ht="12.5">
      <c r="B146" s="7" t="str">
        <f t="shared" si="23"/>
        <v/>
      </c>
      <c r="C146" s="50">
        <f>IF(D93="","-",+C145+1)</f>
        <v>2063</v>
      </c>
      <c r="D146" s="12">
        <f>IF(F145+SUM(E$99:E145)=D$92,F145,D$92-SUM(E$99:E145))</f>
        <v>0</v>
      </c>
      <c r="E146" s="56">
        <f>IF(+J96&lt;F145,J96,D146)</f>
        <v>0</v>
      </c>
      <c r="F146" s="55">
        <f t="shared" si="24"/>
        <v>0</v>
      </c>
      <c r="G146" s="55">
        <f t="shared" si="25"/>
        <v>0</v>
      </c>
      <c r="H146" s="58">
        <f t="shared" si="26"/>
        <v>0</v>
      </c>
      <c r="I146" s="108">
        <f t="shared" si="27"/>
        <v>0</v>
      </c>
      <c r="J146" s="54">
        <f t="shared" si="31"/>
        <v>0</v>
      </c>
      <c r="K146" s="54"/>
      <c r="L146" s="129"/>
      <c r="M146" s="54">
        <f t="shared" si="32"/>
        <v>0</v>
      </c>
      <c r="N146" s="129"/>
      <c r="O146" s="54">
        <f t="shared" si="33"/>
        <v>0</v>
      </c>
      <c r="P146" s="54">
        <f t="shared" si="34"/>
        <v>0</v>
      </c>
    </row>
    <row r="147" spans="2:16" ht="12.5">
      <c r="B147" s="7" t="str">
        <f t="shared" si="23"/>
        <v/>
      </c>
      <c r="C147" s="50">
        <f>IF(D93="","-",+C146+1)</f>
        <v>2064</v>
      </c>
      <c r="D147" s="12">
        <f>IF(F146+SUM(E$99:E146)=D$92,F146,D$92-SUM(E$99:E146))</f>
        <v>0</v>
      </c>
      <c r="E147" s="56">
        <f>IF(+J96&lt;F146,J96,D147)</f>
        <v>0</v>
      </c>
      <c r="F147" s="55">
        <f t="shared" si="24"/>
        <v>0</v>
      </c>
      <c r="G147" s="55">
        <f t="shared" si="25"/>
        <v>0</v>
      </c>
      <c r="H147" s="58">
        <f t="shared" si="26"/>
        <v>0</v>
      </c>
      <c r="I147" s="108">
        <f t="shared" si="27"/>
        <v>0</v>
      </c>
      <c r="J147" s="54">
        <f t="shared" si="31"/>
        <v>0</v>
      </c>
      <c r="K147" s="54"/>
      <c r="L147" s="129"/>
      <c r="M147" s="54">
        <f t="shared" si="32"/>
        <v>0</v>
      </c>
      <c r="N147" s="129"/>
      <c r="O147" s="54">
        <f t="shared" si="33"/>
        <v>0</v>
      </c>
      <c r="P147" s="54">
        <f t="shared" si="34"/>
        <v>0</v>
      </c>
    </row>
    <row r="148" spans="2:16" ht="12.5">
      <c r="B148" s="7" t="str">
        <f t="shared" si="23"/>
        <v/>
      </c>
      <c r="C148" s="50">
        <f>IF(D93="","-",+C147+1)</f>
        <v>2065</v>
      </c>
      <c r="D148" s="12">
        <f>IF(F147+SUM(E$99:E147)=D$92,F147,D$92-SUM(E$99:E147))</f>
        <v>0</v>
      </c>
      <c r="E148" s="56">
        <f>IF(+J96&lt;F147,J96,D148)</f>
        <v>0</v>
      </c>
      <c r="F148" s="55">
        <f t="shared" si="24"/>
        <v>0</v>
      </c>
      <c r="G148" s="55">
        <f t="shared" si="25"/>
        <v>0</v>
      </c>
      <c r="H148" s="58">
        <f t="shared" si="26"/>
        <v>0</v>
      </c>
      <c r="I148" s="108">
        <f t="shared" si="27"/>
        <v>0</v>
      </c>
      <c r="J148" s="54">
        <f t="shared" si="31"/>
        <v>0</v>
      </c>
      <c r="K148" s="54"/>
      <c r="L148" s="129"/>
      <c r="M148" s="54">
        <f t="shared" si="32"/>
        <v>0</v>
      </c>
      <c r="N148" s="129"/>
      <c r="O148" s="54">
        <f t="shared" si="33"/>
        <v>0</v>
      </c>
      <c r="P148" s="54">
        <f t="shared" si="34"/>
        <v>0</v>
      </c>
    </row>
    <row r="149" spans="2:16" ht="12.5">
      <c r="B149" s="7" t="str">
        <f t="shared" si="23"/>
        <v/>
      </c>
      <c r="C149" s="50">
        <f>IF(D93="","-",+C148+1)</f>
        <v>2066</v>
      </c>
      <c r="D149" s="12">
        <f>IF(F148+SUM(E$99:E148)=D$92,F148,D$92-SUM(E$99:E148))</f>
        <v>0</v>
      </c>
      <c r="E149" s="56">
        <f>IF(+J96&lt;F148,J96,D149)</f>
        <v>0</v>
      </c>
      <c r="F149" s="55">
        <f t="shared" si="24"/>
        <v>0</v>
      </c>
      <c r="G149" s="55">
        <f t="shared" si="25"/>
        <v>0</v>
      </c>
      <c r="H149" s="58">
        <f t="shared" si="26"/>
        <v>0</v>
      </c>
      <c r="I149" s="108">
        <f t="shared" si="27"/>
        <v>0</v>
      </c>
      <c r="J149" s="54">
        <f t="shared" si="31"/>
        <v>0</v>
      </c>
      <c r="K149" s="54"/>
      <c r="L149" s="129"/>
      <c r="M149" s="54">
        <f t="shared" si="32"/>
        <v>0</v>
      </c>
      <c r="N149" s="129"/>
      <c r="O149" s="54">
        <f t="shared" si="33"/>
        <v>0</v>
      </c>
      <c r="P149" s="54">
        <f t="shared" si="34"/>
        <v>0</v>
      </c>
    </row>
    <row r="150" spans="2:16" ht="12.5">
      <c r="B150" s="7" t="str">
        <f t="shared" si="23"/>
        <v/>
      </c>
      <c r="C150" s="50">
        <f>IF(D93="","-",+C149+1)</f>
        <v>2067</v>
      </c>
      <c r="D150" s="12">
        <f>IF(F149+SUM(E$99:E149)=D$92,F149,D$92-SUM(E$99:E149))</f>
        <v>0</v>
      </c>
      <c r="E150" s="56">
        <f>IF(+J96&lt;F149,J96,D150)</f>
        <v>0</v>
      </c>
      <c r="F150" s="55">
        <f t="shared" si="24"/>
        <v>0</v>
      </c>
      <c r="G150" s="55">
        <f t="shared" si="25"/>
        <v>0</v>
      </c>
      <c r="H150" s="58">
        <f t="shared" si="26"/>
        <v>0</v>
      </c>
      <c r="I150" s="108">
        <f t="shared" si="27"/>
        <v>0</v>
      </c>
      <c r="J150" s="54">
        <f t="shared" si="31"/>
        <v>0</v>
      </c>
      <c r="K150" s="54"/>
      <c r="L150" s="129"/>
      <c r="M150" s="54">
        <f t="shared" si="32"/>
        <v>0</v>
      </c>
      <c r="N150" s="129"/>
      <c r="O150" s="54">
        <f t="shared" si="33"/>
        <v>0</v>
      </c>
      <c r="P150" s="54">
        <f t="shared" si="34"/>
        <v>0</v>
      </c>
    </row>
    <row r="151" spans="2:16" ht="12.5">
      <c r="B151" s="7" t="str">
        <f t="shared" si="23"/>
        <v/>
      </c>
      <c r="C151" s="50">
        <f>IF(D93="","-",+C150+1)</f>
        <v>2068</v>
      </c>
      <c r="D151" s="12">
        <f>IF(F150+SUM(E$99:E150)=D$92,F150,D$92-SUM(E$99:E150))</f>
        <v>0</v>
      </c>
      <c r="E151" s="56">
        <f>IF(+J96&lt;F150,J96,D151)</f>
        <v>0</v>
      </c>
      <c r="F151" s="55">
        <f t="shared" si="24"/>
        <v>0</v>
      </c>
      <c r="G151" s="55">
        <f t="shared" si="25"/>
        <v>0</v>
      </c>
      <c r="H151" s="58">
        <f t="shared" si="26"/>
        <v>0</v>
      </c>
      <c r="I151" s="108">
        <f t="shared" si="27"/>
        <v>0</v>
      </c>
      <c r="J151" s="54">
        <f t="shared" si="31"/>
        <v>0</v>
      </c>
      <c r="K151" s="54"/>
      <c r="L151" s="129"/>
      <c r="M151" s="54">
        <f t="shared" si="32"/>
        <v>0</v>
      </c>
      <c r="N151" s="129"/>
      <c r="O151" s="54">
        <f t="shared" si="33"/>
        <v>0</v>
      </c>
      <c r="P151" s="54">
        <f t="shared" si="34"/>
        <v>0</v>
      </c>
    </row>
    <row r="152" spans="2:16" ht="12.5">
      <c r="B152" s="7" t="str">
        <f t="shared" si="23"/>
        <v/>
      </c>
      <c r="C152" s="50">
        <f>IF(D93="","-",+C151+1)</f>
        <v>2069</v>
      </c>
      <c r="D152" s="12">
        <f>IF(F151+SUM(E$99:E151)=D$92,F151,D$92-SUM(E$99:E151))</f>
        <v>0</v>
      </c>
      <c r="E152" s="56">
        <f>IF(+J96&lt;F151,J96,D152)</f>
        <v>0</v>
      </c>
      <c r="F152" s="55">
        <f t="shared" si="24"/>
        <v>0</v>
      </c>
      <c r="G152" s="55">
        <f t="shared" si="25"/>
        <v>0</v>
      </c>
      <c r="H152" s="58">
        <f t="shared" si="26"/>
        <v>0</v>
      </c>
      <c r="I152" s="108">
        <f t="shared" si="27"/>
        <v>0</v>
      </c>
      <c r="J152" s="54">
        <f t="shared" si="31"/>
        <v>0</v>
      </c>
      <c r="K152" s="54"/>
      <c r="L152" s="129"/>
      <c r="M152" s="54">
        <f t="shared" si="32"/>
        <v>0</v>
      </c>
      <c r="N152" s="129"/>
      <c r="O152" s="54">
        <f t="shared" si="33"/>
        <v>0</v>
      </c>
      <c r="P152" s="54">
        <f t="shared" si="34"/>
        <v>0</v>
      </c>
    </row>
    <row r="153" spans="2:16" ht="12.5">
      <c r="B153" s="7" t="str">
        <f t="shared" si="23"/>
        <v/>
      </c>
      <c r="C153" s="50">
        <f>IF(D93="","-",+C152+1)</f>
        <v>2070</v>
      </c>
      <c r="D153" s="12">
        <f>IF(F152+SUM(E$99:E152)=D$92,F152,D$92-SUM(E$99:E152))</f>
        <v>0</v>
      </c>
      <c r="E153" s="56">
        <f>IF(+J96&lt;F152,J96,D153)</f>
        <v>0</v>
      </c>
      <c r="F153" s="55">
        <f t="shared" si="24"/>
        <v>0</v>
      </c>
      <c r="G153" s="55">
        <f t="shared" si="25"/>
        <v>0</v>
      </c>
      <c r="H153" s="58">
        <f t="shared" si="26"/>
        <v>0</v>
      </c>
      <c r="I153" s="108">
        <f t="shared" si="27"/>
        <v>0</v>
      </c>
      <c r="J153" s="54">
        <f t="shared" si="31"/>
        <v>0</v>
      </c>
      <c r="K153" s="54"/>
      <c r="L153" s="129"/>
      <c r="M153" s="54">
        <f t="shared" si="32"/>
        <v>0</v>
      </c>
      <c r="N153" s="129"/>
      <c r="O153" s="54">
        <f t="shared" si="33"/>
        <v>0</v>
      </c>
      <c r="P153" s="54">
        <f t="shared" si="34"/>
        <v>0</v>
      </c>
    </row>
    <row r="154" spans="2:16" ht="13" thickBot="1">
      <c r="B154" s="7" t="str">
        <f t="shared" si="23"/>
        <v/>
      </c>
      <c r="C154" s="59">
        <f>IF(D93="","-",+C153+1)</f>
        <v>2071</v>
      </c>
      <c r="D154" s="84">
        <f>IF(F153+SUM(E$99:E153)=D$92,F153,D$92-SUM(E$99:E153))</f>
        <v>0</v>
      </c>
      <c r="E154" s="61">
        <f>IF(+J96&lt;F153,J96,D154)</f>
        <v>0</v>
      </c>
      <c r="F154" s="60">
        <f t="shared" si="24"/>
        <v>0</v>
      </c>
      <c r="G154" s="60">
        <f t="shared" si="25"/>
        <v>0</v>
      </c>
      <c r="H154" s="62">
        <f t="shared" si="26"/>
        <v>0</v>
      </c>
      <c r="I154" s="109">
        <f t="shared" si="27"/>
        <v>0</v>
      </c>
      <c r="J154" s="64">
        <f t="shared" si="31"/>
        <v>0</v>
      </c>
      <c r="K154" s="54"/>
      <c r="L154" s="130"/>
      <c r="M154" s="64">
        <f t="shared" si="32"/>
        <v>0</v>
      </c>
      <c r="N154" s="130"/>
      <c r="O154" s="64">
        <f t="shared" si="33"/>
        <v>0</v>
      </c>
      <c r="P154" s="64">
        <f t="shared" si="34"/>
        <v>0</v>
      </c>
    </row>
    <row r="155" spans="2:16" ht="12.5">
      <c r="C155" s="12" t="s">
        <v>78</v>
      </c>
      <c r="D155" s="15"/>
      <c r="E155" s="15">
        <f>SUM(E99:E154)</f>
        <v>34310180</v>
      </c>
      <c r="F155" s="15"/>
      <c r="G155" s="15"/>
      <c r="H155" s="15">
        <f>SUM(H99:H154)</f>
        <v>128032397.68094505</v>
      </c>
      <c r="I155" s="15">
        <f>SUM(I99:I154)</f>
        <v>128032397.68094505</v>
      </c>
      <c r="J155" s="15">
        <f>SUM(J99:J154)</f>
        <v>0</v>
      </c>
      <c r="K155" s="15"/>
      <c r="L155" s="15"/>
      <c r="M155" s="15"/>
      <c r="N155" s="15"/>
      <c r="O155" s="15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3"/>
      <c r="J156" s="3"/>
      <c r="K156" s="15"/>
      <c r="L156" s="3"/>
      <c r="M156" s="3"/>
      <c r="N156" s="3"/>
      <c r="O156" s="3"/>
      <c r="P156" s="1"/>
    </row>
    <row r="157" spans="2:16" ht="12.5">
      <c r="C157" s="85"/>
      <c r="D157" s="2"/>
      <c r="E157" s="1"/>
      <c r="F157" s="1"/>
      <c r="G157" s="1"/>
      <c r="H157" s="1"/>
      <c r="I157" s="3"/>
      <c r="J157" s="3"/>
      <c r="K157" s="15"/>
      <c r="L157" s="3"/>
      <c r="M157" s="3"/>
      <c r="N157" s="3"/>
      <c r="O157" s="3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3"/>
      <c r="J158" s="3"/>
      <c r="K158" s="15"/>
      <c r="L158" s="3"/>
      <c r="M158" s="3"/>
      <c r="N158" s="3"/>
      <c r="O158" s="3"/>
      <c r="P158" s="1"/>
    </row>
    <row r="159" spans="2:16" ht="13">
      <c r="C159" s="25" t="s">
        <v>79</v>
      </c>
      <c r="D159" s="12"/>
      <c r="E159" s="12"/>
      <c r="F159" s="12"/>
      <c r="G159" s="12"/>
      <c r="H159" s="15"/>
      <c r="I159" s="15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15"/>
      <c r="I160" s="15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15"/>
      <c r="I161" s="15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15"/>
      <c r="I162" s="15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3" priority="1" stopIfTrue="1" operator="equal">
      <formula>$I$10</formula>
    </cfRule>
  </conditionalFormatting>
  <conditionalFormatting sqref="C99:C154">
    <cfRule type="cellIs" dxfId="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EB8C0-9363-4446-92A1-EA06C5E28B3A}">
  <dimension ref="A1:P162"/>
  <sheetViews>
    <sheetView topLeftCell="B1" zoomScaleNormal="100" zoomScaleSheetLayoutView="80" workbookViewId="0">
      <selection activeCell="I18" sqref="I18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00" t="s">
        <v>133</v>
      </c>
      <c r="B1" s="1"/>
      <c r="C1" s="1"/>
      <c r="D1" s="2"/>
      <c r="E1" s="1"/>
      <c r="F1" s="8"/>
      <c r="G1" s="1"/>
      <c r="H1" s="3"/>
      <c r="K1" s="14"/>
      <c r="L1" s="14"/>
      <c r="M1" s="14"/>
      <c r="P1" s="105" t="str">
        <f ca="1">"SWEPCO Project "&amp;RIGHT(MID(CELL("filename",$A$1),FIND("]",CELL("filename",$A$1))+1,256),2)&amp;" of "&amp;COUNT(#REF!)-1</f>
        <v>SWEPCO Project nk of -1</v>
      </c>
    </row>
    <row r="2" spans="1:16" ht="17.5">
      <c r="B2" s="1"/>
      <c r="C2" s="1"/>
      <c r="D2" s="2"/>
      <c r="E2" s="1"/>
      <c r="F2" s="1"/>
      <c r="G2" s="1"/>
      <c r="H2" s="3"/>
      <c r="I2" s="1"/>
      <c r="J2" s="1"/>
      <c r="K2" s="1"/>
      <c r="L2" s="1"/>
      <c r="M2" s="1"/>
      <c r="N2" s="1"/>
      <c r="P2" s="101" t="s">
        <v>129</v>
      </c>
    </row>
    <row r="3" spans="1:16" ht="18">
      <c r="B3" s="4" t="s">
        <v>44</v>
      </c>
      <c r="C3" s="10" t="s">
        <v>45</v>
      </c>
      <c r="D3" s="2"/>
      <c r="E3" s="1"/>
      <c r="F3" s="1"/>
      <c r="G3" s="1"/>
      <c r="H3" s="3"/>
      <c r="I3" s="3"/>
      <c r="J3" s="15"/>
      <c r="K3" s="3"/>
      <c r="L3" s="3"/>
      <c r="M3" s="3"/>
      <c r="N3" s="3"/>
      <c r="O3" s="1"/>
      <c r="P3" s="97">
        <v>1</v>
      </c>
    </row>
    <row r="4" spans="1:16" ht="16" thickBot="1">
      <c r="C4" s="9"/>
      <c r="D4" s="2"/>
      <c r="E4" s="1"/>
      <c r="F4" s="1"/>
      <c r="G4" s="1"/>
      <c r="H4" s="3"/>
      <c r="I4" s="3"/>
      <c r="J4" s="15"/>
      <c r="K4" s="3"/>
      <c r="L4" s="3"/>
      <c r="M4" s="3"/>
      <c r="N4" s="3"/>
      <c r="O4" s="1"/>
      <c r="P4" s="1"/>
    </row>
    <row r="5" spans="1:16" ht="15.5">
      <c r="C5" s="16" t="s">
        <v>46</v>
      </c>
      <c r="D5" s="2"/>
      <c r="E5" s="1"/>
      <c r="F5" s="1"/>
      <c r="G5" s="17"/>
      <c r="H5" s="1" t="s">
        <v>47</v>
      </c>
      <c r="I5" s="1"/>
      <c r="J5" s="1"/>
      <c r="K5" s="123" t="s">
        <v>157</v>
      </c>
      <c r="L5" s="18"/>
      <c r="M5" s="19"/>
      <c r="N5" s="20">
        <f>VLOOKUP(I10,C17:I72,5)</f>
        <v>0</v>
      </c>
      <c r="P5" s="1"/>
    </row>
    <row r="6" spans="1:16" ht="15.5">
      <c r="C6" s="6"/>
      <c r="D6" s="2"/>
      <c r="E6" s="1"/>
      <c r="F6" s="1"/>
      <c r="G6" s="1"/>
      <c r="H6" s="21"/>
      <c r="I6" s="21"/>
      <c r="J6" s="22"/>
      <c r="K6" s="124" t="s">
        <v>158</v>
      </c>
      <c r="L6" s="23"/>
      <c r="M6" s="1"/>
      <c r="N6" s="24">
        <f>VLOOKUP(I10,C17:I72,6)</f>
        <v>0</v>
      </c>
      <c r="O6" s="1"/>
      <c r="P6" s="1"/>
    </row>
    <row r="7" spans="1:16" ht="13.5" thickBot="1">
      <c r="C7" s="25" t="s">
        <v>48</v>
      </c>
      <c r="D7" s="90" t="s">
        <v>393</v>
      </c>
      <c r="E7" s="1"/>
      <c r="F7" s="1"/>
      <c r="G7" s="1"/>
      <c r="H7" s="3"/>
      <c r="I7" s="3"/>
      <c r="J7" s="15"/>
      <c r="K7" s="26" t="s">
        <v>49</v>
      </c>
      <c r="L7" s="27"/>
      <c r="M7" s="27"/>
      <c r="N7" s="28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>DOES NOT MEET SPP $100,000 MINIMUM INVESTMENT FOR REGIONAL BPU SHARING.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263</v>
      </c>
      <c r="E9" s="31"/>
      <c r="F9" s="31"/>
      <c r="G9" s="31"/>
      <c r="H9" s="31"/>
      <c r="I9" s="32"/>
      <c r="J9" s="33"/>
      <c r="P9" s="1"/>
    </row>
    <row r="10" spans="1:16" ht="13">
      <c r="C10" s="34" t="s">
        <v>51</v>
      </c>
      <c r="D10" s="35">
        <v>0</v>
      </c>
      <c r="E10" s="1" t="s">
        <v>52</v>
      </c>
      <c r="G10" s="2"/>
      <c r="H10" s="2"/>
      <c r="I10" s="36">
        <f>+'SWE.WS.F.BPU.ATRR.Projected'!L19</f>
        <v>2024</v>
      </c>
      <c r="J10" s="33"/>
      <c r="K10" s="15" t="s">
        <v>53</v>
      </c>
      <c r="O10" s="1"/>
      <c r="P10" s="1"/>
    </row>
    <row r="11" spans="1:16" ht="12.5">
      <c r="C11" s="34" t="s">
        <v>54</v>
      </c>
      <c r="D11" s="37">
        <v>2016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4" t="s">
        <v>56</v>
      </c>
      <c r="D12" s="35">
        <v>4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6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15" t="s">
        <v>61</v>
      </c>
      <c r="L13" s="8"/>
      <c r="M13" s="8"/>
      <c r="N13" s="8"/>
      <c r="O13" s="1"/>
      <c r="P13" s="1"/>
    </row>
    <row r="14" spans="1:16" ht="13" thickBot="1">
      <c r="C14" s="34" t="s">
        <v>62</v>
      </c>
      <c r="D14" s="37" t="s">
        <v>63</v>
      </c>
      <c r="E14" s="1" t="s">
        <v>64</v>
      </c>
      <c r="F14" s="2"/>
      <c r="I14" s="41">
        <f>IF(D10=0,0,D10/D13)</f>
        <v>0</v>
      </c>
      <c r="J14" s="15"/>
      <c r="K14" s="15"/>
      <c r="L14" s="15"/>
      <c r="M14" s="15"/>
      <c r="N14" s="15"/>
      <c r="O14" s="1"/>
      <c r="P14" s="1"/>
    </row>
    <row r="15" spans="1:16" ht="39">
      <c r="C15" s="42" t="s">
        <v>51</v>
      </c>
      <c r="D15" s="43" t="s">
        <v>65</v>
      </c>
      <c r="E15" s="43" t="s">
        <v>66</v>
      </c>
      <c r="F15" s="43" t="s">
        <v>67</v>
      </c>
      <c r="G15" s="157" t="s">
        <v>391</v>
      </c>
      <c r="H15" s="158" t="s">
        <v>392</v>
      </c>
      <c r="I15" s="42" t="s">
        <v>68</v>
      </c>
      <c r="J15" s="44"/>
      <c r="K15" s="126" t="s">
        <v>227</v>
      </c>
      <c r="L15" s="45" t="s">
        <v>69</v>
      </c>
      <c r="M15" s="126" t="s">
        <v>227</v>
      </c>
      <c r="N15" s="45" t="s">
        <v>69</v>
      </c>
      <c r="O15" s="45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111" t="s">
        <v>74</v>
      </c>
      <c r="H16" s="47" t="s">
        <v>75</v>
      </c>
      <c r="I16" s="46" t="s">
        <v>94</v>
      </c>
      <c r="J16" s="44" t="s">
        <v>76</v>
      </c>
      <c r="K16" s="48" t="s">
        <v>77</v>
      </c>
      <c r="L16" s="48" t="s">
        <v>77</v>
      </c>
      <c r="M16" s="48" t="s">
        <v>95</v>
      </c>
      <c r="N16" s="49" t="s">
        <v>95</v>
      </c>
      <c r="O16" s="48" t="s">
        <v>95</v>
      </c>
      <c r="P16" s="1"/>
    </row>
    <row r="17" spans="2:16" ht="12.5">
      <c r="C17" s="50">
        <f>IF(D11= "","-",D11)</f>
        <v>2016</v>
      </c>
      <c r="D17" s="12">
        <v>0</v>
      </c>
      <c r="E17" s="159">
        <f>IF(D10&gt;=100000,I$14/12*(12-D12),0)</f>
        <v>0</v>
      </c>
      <c r="F17" s="55">
        <f>IF(D11=C17,+D10-E17,+D17-E17)</f>
        <v>0</v>
      </c>
      <c r="G17" s="51">
        <f t="shared" ref="G17:G72" si="0">+I$12*((D17+F17)/2)+E17</f>
        <v>0</v>
      </c>
      <c r="H17" s="41">
        <f t="shared" ref="H17:H72" si="1">+I$13*((D17+F17)/2)+E17</f>
        <v>0</v>
      </c>
      <c r="I17" s="52">
        <f t="shared" ref="I17:I72" si="2">H17-G17</f>
        <v>0</v>
      </c>
      <c r="J17" s="52"/>
      <c r="K17" s="112"/>
      <c r="L17" s="53">
        <f t="shared" ref="L17:L72" si="3">IF(K17&lt;&gt;0,+G17-K17,0)</f>
        <v>0</v>
      </c>
      <c r="M17" s="112"/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2017</v>
      </c>
      <c r="D18" s="55">
        <f>IF(F17+SUM(E$17:E17)=D$10,F17,D$10-SUM(E$17:E17))</f>
        <v>0</v>
      </c>
      <c r="E18" s="56">
        <f>IF(+I14&lt;F17,I14,D18)</f>
        <v>0</v>
      </c>
      <c r="F18" s="55">
        <f t="shared" ref="F18:F72" si="6">+D18-E18</f>
        <v>0</v>
      </c>
      <c r="G18" s="57">
        <f t="shared" si="0"/>
        <v>0</v>
      </c>
      <c r="H18" s="41">
        <f t="shared" si="1"/>
        <v>0</v>
      </c>
      <c r="I18" s="52">
        <f t="shared" si="2"/>
        <v>0</v>
      </c>
      <c r="J18" s="52"/>
      <c r="K18" s="129"/>
      <c r="L18" s="54">
        <f t="shared" si="3"/>
        <v>0</v>
      </c>
      <c r="M18" s="129"/>
      <c r="N18" s="54">
        <f t="shared" si="4"/>
        <v>0</v>
      </c>
      <c r="O18" s="54">
        <f t="shared" si="5"/>
        <v>0</v>
      </c>
      <c r="P18" s="1"/>
    </row>
    <row r="19" spans="2:16" ht="12.5">
      <c r="B19" s="7" t="str">
        <f>IF(D19=F18,"","IU")</f>
        <v/>
      </c>
      <c r="C19" s="50">
        <f>IF(D11="","-",+C18+1)</f>
        <v>2018</v>
      </c>
      <c r="D19" s="55">
        <f>IF(F18+SUM(E$17:E18)=D$10,F18,D$10-SUM(E$17:E18))</f>
        <v>0</v>
      </c>
      <c r="E19" s="56">
        <f>IF(+I14&lt;F18,I14,D19)</f>
        <v>0</v>
      </c>
      <c r="F19" s="55">
        <f t="shared" si="6"/>
        <v>0</v>
      </c>
      <c r="G19" s="57">
        <f t="shared" si="0"/>
        <v>0</v>
      </c>
      <c r="H19" s="41">
        <f t="shared" si="1"/>
        <v>0</v>
      </c>
      <c r="I19" s="52">
        <f t="shared" si="2"/>
        <v>0</v>
      </c>
      <c r="J19" s="52"/>
      <c r="K19" s="129"/>
      <c r="L19" s="54">
        <f t="shared" si="3"/>
        <v>0</v>
      </c>
      <c r="M19" s="129"/>
      <c r="N19" s="54">
        <f t="shared" si="4"/>
        <v>0</v>
      </c>
      <c r="O19" s="54">
        <f t="shared" si="5"/>
        <v>0</v>
      </c>
      <c r="P19" s="1"/>
    </row>
    <row r="20" spans="2:16" ht="12.5">
      <c r="B20" s="7" t="str">
        <f t="shared" ref="B20:B72" si="7">IF(D20=F19,"","IU")</f>
        <v/>
      </c>
      <c r="C20" s="50">
        <f>IF(D11="","-",+C19+1)</f>
        <v>2019</v>
      </c>
      <c r="D20" s="55">
        <f>IF(F19+SUM(E$17:E19)=D$10,F19,D$10-SUM(E$17:E19))</f>
        <v>0</v>
      </c>
      <c r="E20" s="56">
        <f>IF(+I14&lt;F19,I14,D20)</f>
        <v>0</v>
      </c>
      <c r="F20" s="55">
        <f t="shared" si="6"/>
        <v>0</v>
      </c>
      <c r="G20" s="57">
        <f t="shared" si="0"/>
        <v>0</v>
      </c>
      <c r="H20" s="41">
        <f t="shared" si="1"/>
        <v>0</v>
      </c>
      <c r="I20" s="52">
        <f t="shared" si="2"/>
        <v>0</v>
      </c>
      <c r="J20" s="52"/>
      <c r="K20" s="129"/>
      <c r="L20" s="54">
        <f t="shared" si="3"/>
        <v>0</v>
      </c>
      <c r="M20" s="129"/>
      <c r="N20" s="54">
        <f t="shared" si="4"/>
        <v>0</v>
      </c>
      <c r="O20" s="54">
        <f t="shared" si="5"/>
        <v>0</v>
      </c>
      <c r="P20" s="1"/>
    </row>
    <row r="21" spans="2:16" ht="12.5">
      <c r="B21" s="7" t="str">
        <f t="shared" si="7"/>
        <v/>
      </c>
      <c r="C21" s="50">
        <f>IF(D11="","-",+C20+1)</f>
        <v>2020</v>
      </c>
      <c r="D21" s="55">
        <f>IF(F20+SUM(E$17:E20)=D$10,F20,D$10-SUM(E$17:E20))</f>
        <v>0</v>
      </c>
      <c r="E21" s="56">
        <f>IF(+I14&lt;F20,I14,D21)</f>
        <v>0</v>
      </c>
      <c r="F21" s="55">
        <f t="shared" si="6"/>
        <v>0</v>
      </c>
      <c r="G21" s="57">
        <f t="shared" si="0"/>
        <v>0</v>
      </c>
      <c r="H21" s="41">
        <f t="shared" si="1"/>
        <v>0</v>
      </c>
      <c r="I21" s="52">
        <f t="shared" si="2"/>
        <v>0</v>
      </c>
      <c r="J21" s="52"/>
      <c r="K21" s="129"/>
      <c r="L21" s="54">
        <f t="shared" si="3"/>
        <v>0</v>
      </c>
      <c r="M21" s="129"/>
      <c r="N21" s="54">
        <f t="shared" si="4"/>
        <v>0</v>
      </c>
      <c r="O21" s="54">
        <f t="shared" si="5"/>
        <v>0</v>
      </c>
      <c r="P21" s="1"/>
    </row>
    <row r="22" spans="2:16" ht="12.5">
      <c r="B22" s="7" t="str">
        <f t="shared" si="7"/>
        <v/>
      </c>
      <c r="C22" s="50">
        <f>IF(D11="","-",+C21+1)</f>
        <v>2021</v>
      </c>
      <c r="D22" s="55">
        <f>IF(F21+SUM(E$17:E21)=D$10,F21,D$10-SUM(E$17:E21))</f>
        <v>0</v>
      </c>
      <c r="E22" s="56">
        <f>IF(+I14&lt;F21,I14,D22)</f>
        <v>0</v>
      </c>
      <c r="F22" s="55">
        <f t="shared" si="6"/>
        <v>0</v>
      </c>
      <c r="G22" s="57">
        <f t="shared" si="0"/>
        <v>0</v>
      </c>
      <c r="H22" s="41">
        <f t="shared" si="1"/>
        <v>0</v>
      </c>
      <c r="I22" s="52">
        <f t="shared" si="2"/>
        <v>0</v>
      </c>
      <c r="J22" s="52"/>
      <c r="K22" s="129"/>
      <c r="L22" s="54">
        <f t="shared" si="3"/>
        <v>0</v>
      </c>
      <c r="M22" s="129"/>
      <c r="N22" s="54">
        <f t="shared" si="4"/>
        <v>0</v>
      </c>
      <c r="O22" s="54">
        <f t="shared" si="5"/>
        <v>0</v>
      </c>
      <c r="P22" s="1"/>
    </row>
    <row r="23" spans="2:16" ht="12.5">
      <c r="B23" s="7" t="str">
        <f t="shared" si="7"/>
        <v/>
      </c>
      <c r="C23" s="50">
        <f>IF(D11="","-",+C22+1)</f>
        <v>2022</v>
      </c>
      <c r="D23" s="55">
        <f>IF(F22+SUM(E$17:E22)=D$10,F22,D$10-SUM(E$17:E22))</f>
        <v>0</v>
      </c>
      <c r="E23" s="56">
        <f>IF(+I14&lt;F22,I14,D23)</f>
        <v>0</v>
      </c>
      <c r="F23" s="55">
        <f t="shared" si="6"/>
        <v>0</v>
      </c>
      <c r="G23" s="57">
        <f t="shared" si="0"/>
        <v>0</v>
      </c>
      <c r="H23" s="41">
        <f t="shared" si="1"/>
        <v>0</v>
      </c>
      <c r="I23" s="52">
        <f t="shared" si="2"/>
        <v>0</v>
      </c>
      <c r="J23" s="52"/>
      <c r="K23" s="129"/>
      <c r="L23" s="54">
        <f t="shared" si="3"/>
        <v>0</v>
      </c>
      <c r="M23" s="129"/>
      <c r="N23" s="54">
        <f t="shared" si="4"/>
        <v>0</v>
      </c>
      <c r="O23" s="54">
        <f t="shared" si="5"/>
        <v>0</v>
      </c>
      <c r="P23" s="1"/>
    </row>
    <row r="24" spans="2:16" ht="12.5">
      <c r="B24" s="7" t="str">
        <f t="shared" si="7"/>
        <v/>
      </c>
      <c r="C24" s="50">
        <f>IF(D11="","-",+C23+1)</f>
        <v>2023</v>
      </c>
      <c r="D24" s="55">
        <f>IF(F23+SUM(E$17:E23)=D$10,F23,D$10-SUM(E$17:E23))</f>
        <v>0</v>
      </c>
      <c r="E24" s="56">
        <f>IF(+I14&lt;F23,I14,D24)</f>
        <v>0</v>
      </c>
      <c r="F24" s="55">
        <f t="shared" si="6"/>
        <v>0</v>
      </c>
      <c r="G24" s="57">
        <f t="shared" si="0"/>
        <v>0</v>
      </c>
      <c r="H24" s="41">
        <f t="shared" si="1"/>
        <v>0</v>
      </c>
      <c r="I24" s="52">
        <f t="shared" si="2"/>
        <v>0</v>
      </c>
      <c r="J24" s="52"/>
      <c r="K24" s="129"/>
      <c r="L24" s="54">
        <f t="shared" si="3"/>
        <v>0</v>
      </c>
      <c r="M24" s="129"/>
      <c r="N24" s="54">
        <f t="shared" si="4"/>
        <v>0</v>
      </c>
      <c r="O24" s="54">
        <f t="shared" si="5"/>
        <v>0</v>
      </c>
      <c r="P24" s="1"/>
    </row>
    <row r="25" spans="2:16" ht="12.5">
      <c r="B25" s="7" t="str">
        <f t="shared" si="7"/>
        <v/>
      </c>
      <c r="C25" s="50">
        <f>IF(D11="","-",+C24+1)</f>
        <v>2024</v>
      </c>
      <c r="D25" s="55">
        <f>IF(F24+SUM(E$17:E24)=D$10,F24,D$10-SUM(E$17:E24))</f>
        <v>0</v>
      </c>
      <c r="E25" s="56">
        <f>IF(+I14&lt;F24,I14,D25)</f>
        <v>0</v>
      </c>
      <c r="F25" s="55">
        <f t="shared" si="6"/>
        <v>0</v>
      </c>
      <c r="G25" s="57">
        <f t="shared" si="0"/>
        <v>0</v>
      </c>
      <c r="H25" s="41">
        <f t="shared" si="1"/>
        <v>0</v>
      </c>
      <c r="I25" s="52">
        <f t="shared" si="2"/>
        <v>0</v>
      </c>
      <c r="J25" s="52"/>
      <c r="K25" s="129"/>
      <c r="L25" s="54">
        <f t="shared" si="3"/>
        <v>0</v>
      </c>
      <c r="M25" s="129"/>
      <c r="N25" s="54">
        <f t="shared" si="4"/>
        <v>0</v>
      </c>
      <c r="O25" s="54">
        <f t="shared" si="5"/>
        <v>0</v>
      </c>
      <c r="P25" s="1"/>
    </row>
    <row r="26" spans="2:16" ht="12.5">
      <c r="B26" s="7" t="str">
        <f t="shared" si="7"/>
        <v/>
      </c>
      <c r="C26" s="50">
        <f>IF(D11="","-",+C25+1)</f>
        <v>2025</v>
      </c>
      <c r="D26" s="55">
        <f>IF(F25+SUM(E$17:E25)=D$10,F25,D$10-SUM(E$17:E25))</f>
        <v>0</v>
      </c>
      <c r="E26" s="56">
        <f>IF(+I14&lt;F25,I14,D26)</f>
        <v>0</v>
      </c>
      <c r="F26" s="55">
        <f t="shared" si="6"/>
        <v>0</v>
      </c>
      <c r="G26" s="57">
        <f t="shared" si="0"/>
        <v>0</v>
      </c>
      <c r="H26" s="41">
        <f t="shared" si="1"/>
        <v>0</v>
      </c>
      <c r="I26" s="52">
        <f t="shared" si="2"/>
        <v>0</v>
      </c>
      <c r="J26" s="52"/>
      <c r="K26" s="129"/>
      <c r="L26" s="54">
        <f t="shared" si="3"/>
        <v>0</v>
      </c>
      <c r="M26" s="129"/>
      <c r="N26" s="54">
        <f t="shared" si="4"/>
        <v>0</v>
      </c>
      <c r="O26" s="54">
        <f t="shared" si="5"/>
        <v>0</v>
      </c>
      <c r="P26" s="1"/>
    </row>
    <row r="27" spans="2:16" ht="12.5">
      <c r="B27" s="7" t="str">
        <f t="shared" si="7"/>
        <v/>
      </c>
      <c r="C27" s="50">
        <f>IF(D11="","-",+C26+1)</f>
        <v>2026</v>
      </c>
      <c r="D27" s="55">
        <f>IF(F26+SUM(E$17:E26)=D$10,F26,D$10-SUM(E$17:E26))</f>
        <v>0</v>
      </c>
      <c r="E27" s="56">
        <f>IF(+I14&lt;F26,I14,D27)</f>
        <v>0</v>
      </c>
      <c r="F27" s="55">
        <f t="shared" si="6"/>
        <v>0</v>
      </c>
      <c r="G27" s="57">
        <f t="shared" si="0"/>
        <v>0</v>
      </c>
      <c r="H27" s="41">
        <f t="shared" si="1"/>
        <v>0</v>
      </c>
      <c r="I27" s="52">
        <f t="shared" si="2"/>
        <v>0</v>
      </c>
      <c r="J27" s="52"/>
      <c r="K27" s="129"/>
      <c r="L27" s="54">
        <f t="shared" si="3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7"/>
        <v/>
      </c>
      <c r="C28" s="50">
        <f>IF(D11="","-",+C27+1)</f>
        <v>2027</v>
      </c>
      <c r="D28" s="55">
        <f>IF(F27+SUM(E$17:E27)=D$10,F27,D$10-SUM(E$17:E27))</f>
        <v>0</v>
      </c>
      <c r="E28" s="56">
        <f>IF(+I14&lt;F27,I14,D28)</f>
        <v>0</v>
      </c>
      <c r="F28" s="55">
        <f t="shared" si="6"/>
        <v>0</v>
      </c>
      <c r="G28" s="57">
        <f t="shared" si="0"/>
        <v>0</v>
      </c>
      <c r="H28" s="41">
        <f t="shared" si="1"/>
        <v>0</v>
      </c>
      <c r="I28" s="52">
        <f t="shared" si="2"/>
        <v>0</v>
      </c>
      <c r="J28" s="52"/>
      <c r="K28" s="129"/>
      <c r="L28" s="54">
        <f t="shared" si="3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7"/>
        <v/>
      </c>
      <c r="C29" s="50">
        <f>IF(D11="","-",+C28+1)</f>
        <v>2028</v>
      </c>
      <c r="D29" s="55">
        <f>IF(F28+SUM(E$17:E28)=D$10,F28,D$10-SUM(E$17:E28))</f>
        <v>0</v>
      </c>
      <c r="E29" s="56">
        <f>IF(+I14&lt;F28,I14,D29)</f>
        <v>0</v>
      </c>
      <c r="F29" s="55">
        <f t="shared" si="6"/>
        <v>0</v>
      </c>
      <c r="G29" s="57">
        <f t="shared" si="0"/>
        <v>0</v>
      </c>
      <c r="H29" s="41">
        <f t="shared" si="1"/>
        <v>0</v>
      </c>
      <c r="I29" s="52">
        <f t="shared" si="2"/>
        <v>0</v>
      </c>
      <c r="J29" s="52"/>
      <c r="K29" s="129"/>
      <c r="L29" s="54">
        <f t="shared" si="3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7"/>
        <v/>
      </c>
      <c r="C30" s="50">
        <f>IF(D11="","-",+C29+1)</f>
        <v>2029</v>
      </c>
      <c r="D30" s="55">
        <f>IF(F29+SUM(E$17:E29)=D$10,F29,D$10-SUM(E$17:E29))</f>
        <v>0</v>
      </c>
      <c r="E30" s="56">
        <f>IF(+I14&lt;F29,I14,D30)</f>
        <v>0</v>
      </c>
      <c r="F30" s="55">
        <f t="shared" si="6"/>
        <v>0</v>
      </c>
      <c r="G30" s="57">
        <f t="shared" si="0"/>
        <v>0</v>
      </c>
      <c r="H30" s="41">
        <f t="shared" si="1"/>
        <v>0</v>
      </c>
      <c r="I30" s="52">
        <f t="shared" si="2"/>
        <v>0</v>
      </c>
      <c r="J30" s="52"/>
      <c r="K30" s="129"/>
      <c r="L30" s="54">
        <f t="shared" si="3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7"/>
        <v/>
      </c>
      <c r="C31" s="50">
        <f>IF(D11="","-",+C30+1)</f>
        <v>2030</v>
      </c>
      <c r="D31" s="55">
        <f>IF(F30+SUM(E$17:E30)=D$10,F30,D$10-SUM(E$17:E30))</f>
        <v>0</v>
      </c>
      <c r="E31" s="56">
        <f>IF(+I14&lt;F30,I14,D31)</f>
        <v>0</v>
      </c>
      <c r="F31" s="55">
        <f t="shared" si="6"/>
        <v>0</v>
      </c>
      <c r="G31" s="57">
        <f t="shared" si="0"/>
        <v>0</v>
      </c>
      <c r="H31" s="41">
        <f t="shared" si="1"/>
        <v>0</v>
      </c>
      <c r="I31" s="52">
        <f t="shared" si="2"/>
        <v>0</v>
      </c>
      <c r="J31" s="52"/>
      <c r="K31" s="129"/>
      <c r="L31" s="54">
        <f t="shared" si="3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7"/>
        <v/>
      </c>
      <c r="C32" s="50">
        <f>IF(D11="","-",+C31+1)</f>
        <v>2031</v>
      </c>
      <c r="D32" s="55">
        <f>IF(F31+SUM(E$17:E31)=D$10,F31,D$10-SUM(E$17:E31))</f>
        <v>0</v>
      </c>
      <c r="E32" s="56">
        <f>IF(+I14&lt;F31,I14,D32)</f>
        <v>0</v>
      </c>
      <c r="F32" s="55">
        <f t="shared" si="6"/>
        <v>0</v>
      </c>
      <c r="G32" s="57">
        <f t="shared" si="0"/>
        <v>0</v>
      </c>
      <c r="H32" s="41">
        <f t="shared" si="1"/>
        <v>0</v>
      </c>
      <c r="I32" s="52">
        <f t="shared" si="2"/>
        <v>0</v>
      </c>
      <c r="J32" s="52"/>
      <c r="K32" s="129"/>
      <c r="L32" s="54">
        <f t="shared" si="3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7"/>
        <v/>
      </c>
      <c r="C33" s="50">
        <f>IF(D11="","-",+C32+1)</f>
        <v>2032</v>
      </c>
      <c r="D33" s="55">
        <f>IF(F32+SUM(E$17:E32)=D$10,F32,D$10-SUM(E$17:E32))</f>
        <v>0</v>
      </c>
      <c r="E33" s="56">
        <f>IF(+I14&lt;F32,I14,D33)</f>
        <v>0</v>
      </c>
      <c r="F33" s="55">
        <f t="shared" si="6"/>
        <v>0</v>
      </c>
      <c r="G33" s="57">
        <f t="shared" si="0"/>
        <v>0</v>
      </c>
      <c r="H33" s="41">
        <f t="shared" si="1"/>
        <v>0</v>
      </c>
      <c r="I33" s="52">
        <f t="shared" si="2"/>
        <v>0</v>
      </c>
      <c r="J33" s="52"/>
      <c r="K33" s="129"/>
      <c r="L33" s="54">
        <f t="shared" si="3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7"/>
        <v/>
      </c>
      <c r="C34" s="50">
        <f>IF(D11="","-",+C33+1)</f>
        <v>2033</v>
      </c>
      <c r="D34" s="55">
        <f>IF(F33+SUM(E$17:E33)=D$10,F33,D$10-SUM(E$17:E33))</f>
        <v>0</v>
      </c>
      <c r="E34" s="56">
        <f>IF(+I14&lt;F33,I14,D34)</f>
        <v>0</v>
      </c>
      <c r="F34" s="55">
        <f t="shared" si="6"/>
        <v>0</v>
      </c>
      <c r="G34" s="57">
        <f t="shared" si="0"/>
        <v>0</v>
      </c>
      <c r="H34" s="41">
        <f t="shared" si="1"/>
        <v>0</v>
      </c>
      <c r="I34" s="52">
        <f t="shared" si="2"/>
        <v>0</v>
      </c>
      <c r="J34" s="52"/>
      <c r="K34" s="129"/>
      <c r="L34" s="54">
        <f t="shared" si="3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7"/>
        <v/>
      </c>
      <c r="C35" s="50">
        <f>IF(D11="","-",+C34+1)</f>
        <v>2034</v>
      </c>
      <c r="D35" s="55">
        <f>IF(F34+SUM(E$17:E34)=D$10,F34,D$10-SUM(E$17:E34))</f>
        <v>0</v>
      </c>
      <c r="E35" s="56">
        <f>IF(+I14&lt;F34,I14,D35)</f>
        <v>0</v>
      </c>
      <c r="F35" s="55">
        <f t="shared" si="6"/>
        <v>0</v>
      </c>
      <c r="G35" s="57">
        <f t="shared" si="0"/>
        <v>0</v>
      </c>
      <c r="H35" s="41">
        <f t="shared" si="1"/>
        <v>0</v>
      </c>
      <c r="I35" s="52">
        <f t="shared" si="2"/>
        <v>0</v>
      </c>
      <c r="J35" s="52"/>
      <c r="K35" s="129"/>
      <c r="L35" s="54">
        <f t="shared" si="3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7"/>
        <v/>
      </c>
      <c r="C36" s="50">
        <f>IF(D11="","-",+C35+1)</f>
        <v>2035</v>
      </c>
      <c r="D36" s="55">
        <f>IF(F35+SUM(E$17:E35)=D$10,F35,D$10-SUM(E$17:E35))</f>
        <v>0</v>
      </c>
      <c r="E36" s="56">
        <f>IF(+I14&lt;F35,I14,D36)</f>
        <v>0</v>
      </c>
      <c r="F36" s="55">
        <f t="shared" si="6"/>
        <v>0</v>
      </c>
      <c r="G36" s="57">
        <f t="shared" si="0"/>
        <v>0</v>
      </c>
      <c r="H36" s="41">
        <f t="shared" si="1"/>
        <v>0</v>
      </c>
      <c r="I36" s="52">
        <f t="shared" si="2"/>
        <v>0</v>
      </c>
      <c r="J36" s="52"/>
      <c r="K36" s="129"/>
      <c r="L36" s="54">
        <f t="shared" si="3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7"/>
        <v/>
      </c>
      <c r="C37" s="50">
        <f>IF(D11="","-",+C36+1)</f>
        <v>2036</v>
      </c>
      <c r="D37" s="55">
        <f>IF(F36+SUM(E$17:E36)=D$10,F36,D$10-SUM(E$17:E36))</f>
        <v>0</v>
      </c>
      <c r="E37" s="56">
        <f>IF(+I14&lt;F36,I14,D37)</f>
        <v>0</v>
      </c>
      <c r="F37" s="55">
        <f t="shared" si="6"/>
        <v>0</v>
      </c>
      <c r="G37" s="57">
        <f t="shared" si="0"/>
        <v>0</v>
      </c>
      <c r="H37" s="41">
        <f t="shared" si="1"/>
        <v>0</v>
      </c>
      <c r="I37" s="52">
        <f t="shared" si="2"/>
        <v>0</v>
      </c>
      <c r="J37" s="52"/>
      <c r="K37" s="129"/>
      <c r="L37" s="54">
        <f t="shared" si="3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7"/>
        <v/>
      </c>
      <c r="C38" s="50">
        <f>IF(D11="","-",+C37+1)</f>
        <v>2037</v>
      </c>
      <c r="D38" s="55">
        <f>IF(F37+SUM(E$17:E37)=D$10,F37,D$10-SUM(E$17:E37))</f>
        <v>0</v>
      </c>
      <c r="E38" s="56">
        <f>IF(+I14&lt;F37,I14,D38)</f>
        <v>0</v>
      </c>
      <c r="F38" s="55">
        <f t="shared" si="6"/>
        <v>0</v>
      </c>
      <c r="G38" s="57">
        <f t="shared" si="0"/>
        <v>0</v>
      </c>
      <c r="H38" s="41">
        <f t="shared" si="1"/>
        <v>0</v>
      </c>
      <c r="I38" s="52">
        <f t="shared" si="2"/>
        <v>0</v>
      </c>
      <c r="J38" s="52"/>
      <c r="K38" s="129"/>
      <c r="L38" s="54">
        <f t="shared" si="3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7"/>
        <v/>
      </c>
      <c r="C39" s="50">
        <f>IF(D11="","-",+C38+1)</f>
        <v>2038</v>
      </c>
      <c r="D39" s="55">
        <f>IF(F38+SUM(E$17:E38)=D$10,F38,D$10-SUM(E$17:E38))</f>
        <v>0</v>
      </c>
      <c r="E39" s="56">
        <f>IF(+I14&lt;F38,I14,D39)</f>
        <v>0</v>
      </c>
      <c r="F39" s="55">
        <f t="shared" si="6"/>
        <v>0</v>
      </c>
      <c r="G39" s="57">
        <f t="shared" si="0"/>
        <v>0</v>
      </c>
      <c r="H39" s="41">
        <f t="shared" si="1"/>
        <v>0</v>
      </c>
      <c r="I39" s="52">
        <f t="shared" si="2"/>
        <v>0</v>
      </c>
      <c r="J39" s="52"/>
      <c r="K39" s="129"/>
      <c r="L39" s="54">
        <f t="shared" si="3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7"/>
        <v/>
      </c>
      <c r="C40" s="50">
        <f>IF(D11="","-",+C39+1)</f>
        <v>2039</v>
      </c>
      <c r="D40" s="55">
        <f>IF(F39+SUM(E$17:E39)=D$10,F39,D$10-SUM(E$17:E39))</f>
        <v>0</v>
      </c>
      <c r="E40" s="56">
        <f>IF(+I14&lt;F39,I14,D40)</f>
        <v>0</v>
      </c>
      <c r="F40" s="55">
        <f t="shared" si="6"/>
        <v>0</v>
      </c>
      <c r="G40" s="57">
        <f t="shared" si="0"/>
        <v>0</v>
      </c>
      <c r="H40" s="41">
        <f t="shared" si="1"/>
        <v>0</v>
      </c>
      <c r="I40" s="52">
        <f t="shared" si="2"/>
        <v>0</v>
      </c>
      <c r="J40" s="52"/>
      <c r="K40" s="129"/>
      <c r="L40" s="54">
        <f t="shared" si="3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7"/>
        <v/>
      </c>
      <c r="C41" s="50">
        <f>IF(D11="","-",+C40+1)</f>
        <v>2040</v>
      </c>
      <c r="D41" s="55">
        <f>IF(F40+SUM(E$17:E40)=D$10,F40,D$10-SUM(E$17:E40))</f>
        <v>0</v>
      </c>
      <c r="E41" s="56">
        <f>IF(+I14&lt;F40,I14,D41)</f>
        <v>0</v>
      </c>
      <c r="F41" s="55">
        <f t="shared" si="6"/>
        <v>0</v>
      </c>
      <c r="G41" s="57">
        <f t="shared" si="0"/>
        <v>0</v>
      </c>
      <c r="H41" s="41">
        <f t="shared" si="1"/>
        <v>0</v>
      </c>
      <c r="I41" s="52">
        <f t="shared" si="2"/>
        <v>0</v>
      </c>
      <c r="J41" s="52"/>
      <c r="K41" s="129"/>
      <c r="L41" s="54">
        <f t="shared" si="3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7"/>
        <v/>
      </c>
      <c r="C42" s="50">
        <f>IF(D11="","-",+C41+1)</f>
        <v>2041</v>
      </c>
      <c r="D42" s="55">
        <f>IF(F41+SUM(E$17:E41)=D$10,F41,D$10-SUM(E$17:E41))</f>
        <v>0</v>
      </c>
      <c r="E42" s="56">
        <f>IF(+I14&lt;F41,I14,D42)</f>
        <v>0</v>
      </c>
      <c r="F42" s="55">
        <f t="shared" si="6"/>
        <v>0</v>
      </c>
      <c r="G42" s="57">
        <f t="shared" si="0"/>
        <v>0</v>
      </c>
      <c r="H42" s="41">
        <f t="shared" si="1"/>
        <v>0</v>
      </c>
      <c r="I42" s="52">
        <f t="shared" si="2"/>
        <v>0</v>
      </c>
      <c r="J42" s="52"/>
      <c r="K42" s="129"/>
      <c r="L42" s="54">
        <f t="shared" si="3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7"/>
        <v/>
      </c>
      <c r="C43" s="50">
        <f>IF(D11="","-",+C42+1)</f>
        <v>2042</v>
      </c>
      <c r="D43" s="55">
        <f>IF(F42+SUM(E$17:E42)=D$10,F42,D$10-SUM(E$17:E42))</f>
        <v>0</v>
      </c>
      <c r="E43" s="56">
        <f>IF(+I14&lt;F42,I14,D43)</f>
        <v>0</v>
      </c>
      <c r="F43" s="55">
        <f t="shared" si="6"/>
        <v>0</v>
      </c>
      <c r="G43" s="57">
        <f t="shared" si="0"/>
        <v>0</v>
      </c>
      <c r="H43" s="41">
        <f t="shared" si="1"/>
        <v>0</v>
      </c>
      <c r="I43" s="52">
        <f t="shared" si="2"/>
        <v>0</v>
      </c>
      <c r="J43" s="52"/>
      <c r="K43" s="129"/>
      <c r="L43" s="54">
        <f t="shared" si="3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7"/>
        <v/>
      </c>
      <c r="C44" s="50">
        <f>IF(D11="","-",+C43+1)</f>
        <v>2043</v>
      </c>
      <c r="D44" s="55">
        <f>IF(F43+SUM(E$17:E43)=D$10,F43,D$10-SUM(E$17:E43))</f>
        <v>0</v>
      </c>
      <c r="E44" s="56">
        <f>IF(+I14&lt;F43,I14,D44)</f>
        <v>0</v>
      </c>
      <c r="F44" s="55">
        <f t="shared" si="6"/>
        <v>0</v>
      </c>
      <c r="G44" s="57">
        <f t="shared" si="0"/>
        <v>0</v>
      </c>
      <c r="H44" s="41">
        <f t="shared" si="1"/>
        <v>0</v>
      </c>
      <c r="I44" s="52">
        <f t="shared" si="2"/>
        <v>0</v>
      </c>
      <c r="J44" s="52"/>
      <c r="K44" s="129"/>
      <c r="L44" s="54">
        <f t="shared" si="3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7"/>
        <v/>
      </c>
      <c r="C45" s="50">
        <f>IF(D11="","-",+C44+1)</f>
        <v>2044</v>
      </c>
      <c r="D45" s="55">
        <f>IF(F44+SUM(E$17:E44)=D$10,F44,D$10-SUM(E$17:E44))</f>
        <v>0</v>
      </c>
      <c r="E45" s="56">
        <f>IF(+I14&lt;F44,I14,D45)</f>
        <v>0</v>
      </c>
      <c r="F45" s="55">
        <f t="shared" si="6"/>
        <v>0</v>
      </c>
      <c r="G45" s="57">
        <f t="shared" si="0"/>
        <v>0</v>
      </c>
      <c r="H45" s="41">
        <f t="shared" si="1"/>
        <v>0</v>
      </c>
      <c r="I45" s="52">
        <f t="shared" si="2"/>
        <v>0</v>
      </c>
      <c r="J45" s="52"/>
      <c r="K45" s="129"/>
      <c r="L45" s="54">
        <f t="shared" si="3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7"/>
        <v/>
      </c>
      <c r="C46" s="50">
        <f>IF(D11="","-",+C45+1)</f>
        <v>2045</v>
      </c>
      <c r="D46" s="55">
        <f>IF(F45+SUM(E$17:E45)=D$10,F45,D$10-SUM(E$17:E45))</f>
        <v>0</v>
      </c>
      <c r="E46" s="56">
        <f>IF(+I14&lt;F45,I14,D46)</f>
        <v>0</v>
      </c>
      <c r="F46" s="55">
        <f t="shared" si="6"/>
        <v>0</v>
      </c>
      <c r="G46" s="57">
        <f t="shared" si="0"/>
        <v>0</v>
      </c>
      <c r="H46" s="41">
        <f t="shared" si="1"/>
        <v>0</v>
      </c>
      <c r="I46" s="52">
        <f t="shared" si="2"/>
        <v>0</v>
      </c>
      <c r="J46" s="52"/>
      <c r="K46" s="129"/>
      <c r="L46" s="54">
        <f t="shared" si="3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7"/>
        <v/>
      </c>
      <c r="C47" s="50">
        <f>IF(D11="","-",+C46+1)</f>
        <v>2046</v>
      </c>
      <c r="D47" s="55">
        <f>IF(F46+SUM(E$17:E46)=D$10,F46,D$10-SUM(E$17:E46))</f>
        <v>0</v>
      </c>
      <c r="E47" s="56">
        <f>IF(+I14&lt;F46,I14,D47)</f>
        <v>0</v>
      </c>
      <c r="F47" s="55">
        <f t="shared" si="6"/>
        <v>0</v>
      </c>
      <c r="G47" s="57">
        <f t="shared" si="0"/>
        <v>0</v>
      </c>
      <c r="H47" s="41">
        <f t="shared" si="1"/>
        <v>0</v>
      </c>
      <c r="I47" s="52">
        <f t="shared" si="2"/>
        <v>0</v>
      </c>
      <c r="J47" s="52"/>
      <c r="K47" s="129"/>
      <c r="L47" s="54">
        <f t="shared" si="3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7"/>
        <v/>
      </c>
      <c r="C48" s="50">
        <f>IF(D11="","-",+C47+1)</f>
        <v>2047</v>
      </c>
      <c r="D48" s="55">
        <f>IF(F47+SUM(E$17:E47)=D$10,F47,D$10-SUM(E$17:E47))</f>
        <v>0</v>
      </c>
      <c r="E48" s="56">
        <f>IF(+I14&lt;F47,I14,D48)</f>
        <v>0</v>
      </c>
      <c r="F48" s="55">
        <f t="shared" si="6"/>
        <v>0</v>
      </c>
      <c r="G48" s="57">
        <f t="shared" si="0"/>
        <v>0</v>
      </c>
      <c r="H48" s="41">
        <f t="shared" si="1"/>
        <v>0</v>
      </c>
      <c r="I48" s="52">
        <f t="shared" si="2"/>
        <v>0</v>
      </c>
      <c r="J48" s="52"/>
      <c r="K48" s="129"/>
      <c r="L48" s="54">
        <f t="shared" si="3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 ht="12.5">
      <c r="B49" s="7" t="str">
        <f t="shared" si="7"/>
        <v/>
      </c>
      <c r="C49" s="50">
        <f>IF(D11="","-",+C48+1)</f>
        <v>2048</v>
      </c>
      <c r="D49" s="55">
        <f>IF(F48+SUM(E$17:E48)=D$10,F48,D$10-SUM(E$17:E48))</f>
        <v>0</v>
      </c>
      <c r="E49" s="56">
        <f>IF(+I14&lt;F48,I14,D49)</f>
        <v>0</v>
      </c>
      <c r="F49" s="55">
        <f t="shared" si="6"/>
        <v>0</v>
      </c>
      <c r="G49" s="57">
        <f t="shared" si="0"/>
        <v>0</v>
      </c>
      <c r="H49" s="41">
        <f t="shared" si="1"/>
        <v>0</v>
      </c>
      <c r="I49" s="52">
        <f t="shared" si="2"/>
        <v>0</v>
      </c>
      <c r="J49" s="52"/>
      <c r="K49" s="129"/>
      <c r="L49" s="54">
        <f t="shared" si="3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 ht="12.5">
      <c r="B50" s="7" t="str">
        <f t="shared" si="7"/>
        <v/>
      </c>
      <c r="C50" s="50">
        <f>IF(D11="","-",+C49+1)</f>
        <v>2049</v>
      </c>
      <c r="D50" s="55">
        <f>IF(F49+SUM(E$17:E49)=D$10,F49,D$10-SUM(E$17:E49))</f>
        <v>0</v>
      </c>
      <c r="E50" s="56">
        <f>IF(+I14&lt;F49,I14,D50)</f>
        <v>0</v>
      </c>
      <c r="F50" s="55">
        <f t="shared" si="6"/>
        <v>0</v>
      </c>
      <c r="G50" s="57">
        <f t="shared" si="0"/>
        <v>0</v>
      </c>
      <c r="H50" s="41">
        <f t="shared" si="1"/>
        <v>0</v>
      </c>
      <c r="I50" s="52">
        <f t="shared" si="2"/>
        <v>0</v>
      </c>
      <c r="J50" s="52"/>
      <c r="K50" s="129"/>
      <c r="L50" s="54">
        <f t="shared" si="3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 ht="12.5">
      <c r="B51" s="7" t="str">
        <f t="shared" si="7"/>
        <v/>
      </c>
      <c r="C51" s="50">
        <f>IF(D11="","-",+C50+1)</f>
        <v>2050</v>
      </c>
      <c r="D51" s="55">
        <f>IF(F50+SUM(E$17:E50)=D$10,F50,D$10-SUM(E$17:E50))</f>
        <v>0</v>
      </c>
      <c r="E51" s="56">
        <f>IF(+I14&lt;F50,I14,D51)</f>
        <v>0</v>
      </c>
      <c r="F51" s="55">
        <f t="shared" si="6"/>
        <v>0</v>
      </c>
      <c r="G51" s="57">
        <f t="shared" si="0"/>
        <v>0</v>
      </c>
      <c r="H51" s="41">
        <f t="shared" si="1"/>
        <v>0</v>
      </c>
      <c r="I51" s="52">
        <f t="shared" si="2"/>
        <v>0</v>
      </c>
      <c r="J51" s="52"/>
      <c r="K51" s="129"/>
      <c r="L51" s="54">
        <f t="shared" si="3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 ht="12.5">
      <c r="B52" s="7" t="str">
        <f t="shared" si="7"/>
        <v/>
      </c>
      <c r="C52" s="50">
        <f>IF(D11="","-",+C51+1)</f>
        <v>2051</v>
      </c>
      <c r="D52" s="55">
        <f>IF(F51+SUM(E$17:E51)=D$10,F51,D$10-SUM(E$17:E51))</f>
        <v>0</v>
      </c>
      <c r="E52" s="56">
        <f>IF(+I14&lt;F51,I14,D52)</f>
        <v>0</v>
      </c>
      <c r="F52" s="55">
        <f t="shared" si="6"/>
        <v>0</v>
      </c>
      <c r="G52" s="57">
        <f t="shared" si="0"/>
        <v>0</v>
      </c>
      <c r="H52" s="41">
        <f t="shared" si="1"/>
        <v>0</v>
      </c>
      <c r="I52" s="52">
        <f t="shared" si="2"/>
        <v>0</v>
      </c>
      <c r="J52" s="52"/>
      <c r="K52" s="129"/>
      <c r="L52" s="54">
        <f t="shared" si="3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 ht="12.5">
      <c r="B53" s="7" t="str">
        <f t="shared" si="7"/>
        <v/>
      </c>
      <c r="C53" s="50">
        <f>IF(D11="","-",+C52+1)</f>
        <v>2052</v>
      </c>
      <c r="D53" s="55">
        <f>IF(F52+SUM(E$17:E52)=D$10,F52,D$10-SUM(E$17:E52))</f>
        <v>0</v>
      </c>
      <c r="E53" s="56">
        <f>IF(+I14&lt;F52,I14,D53)</f>
        <v>0</v>
      </c>
      <c r="F53" s="55">
        <f t="shared" si="6"/>
        <v>0</v>
      </c>
      <c r="G53" s="57">
        <f t="shared" si="0"/>
        <v>0</v>
      </c>
      <c r="H53" s="41">
        <f t="shared" si="1"/>
        <v>0</v>
      </c>
      <c r="I53" s="52">
        <f t="shared" si="2"/>
        <v>0</v>
      </c>
      <c r="J53" s="52"/>
      <c r="K53" s="129"/>
      <c r="L53" s="54">
        <f t="shared" si="3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 ht="12.5">
      <c r="B54" s="7" t="str">
        <f t="shared" si="7"/>
        <v/>
      </c>
      <c r="C54" s="50">
        <f>IF(D11="","-",+C53+1)</f>
        <v>2053</v>
      </c>
      <c r="D54" s="55">
        <f>IF(F53+SUM(E$17:E53)=D$10,F53,D$10-SUM(E$17:E53))</f>
        <v>0</v>
      </c>
      <c r="E54" s="56">
        <f>IF(+I14&lt;F53,I14,D54)</f>
        <v>0</v>
      </c>
      <c r="F54" s="55">
        <f t="shared" si="6"/>
        <v>0</v>
      </c>
      <c r="G54" s="57">
        <f t="shared" si="0"/>
        <v>0</v>
      </c>
      <c r="H54" s="41">
        <f t="shared" si="1"/>
        <v>0</v>
      </c>
      <c r="I54" s="52">
        <f t="shared" si="2"/>
        <v>0</v>
      </c>
      <c r="J54" s="52"/>
      <c r="K54" s="129"/>
      <c r="L54" s="54">
        <f t="shared" si="3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 ht="12.5">
      <c r="B55" s="7" t="str">
        <f t="shared" si="7"/>
        <v/>
      </c>
      <c r="C55" s="50">
        <f>IF(D11="","-",+C54+1)</f>
        <v>2054</v>
      </c>
      <c r="D55" s="55">
        <f>IF(F54+SUM(E$17:E54)=D$10,F54,D$10-SUM(E$17:E54))</f>
        <v>0</v>
      </c>
      <c r="E55" s="56">
        <f>IF(+I14&lt;F54,I14,D55)</f>
        <v>0</v>
      </c>
      <c r="F55" s="55">
        <f t="shared" si="6"/>
        <v>0</v>
      </c>
      <c r="G55" s="57">
        <f t="shared" si="0"/>
        <v>0</v>
      </c>
      <c r="H55" s="41">
        <f t="shared" si="1"/>
        <v>0</v>
      </c>
      <c r="I55" s="52">
        <f t="shared" si="2"/>
        <v>0</v>
      </c>
      <c r="J55" s="52"/>
      <c r="K55" s="129"/>
      <c r="L55" s="54">
        <f t="shared" si="3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 ht="12.5">
      <c r="B56" s="7" t="str">
        <f t="shared" si="7"/>
        <v/>
      </c>
      <c r="C56" s="50">
        <f>IF(D11="","-",+C55+1)</f>
        <v>2055</v>
      </c>
      <c r="D56" s="55">
        <f>IF(F55+SUM(E$17:E55)=D$10,F55,D$10-SUM(E$17:E55))</f>
        <v>0</v>
      </c>
      <c r="E56" s="56">
        <f>IF(+I14&lt;F55,I14,D56)</f>
        <v>0</v>
      </c>
      <c r="F56" s="55">
        <f t="shared" si="6"/>
        <v>0</v>
      </c>
      <c r="G56" s="57">
        <f t="shared" si="0"/>
        <v>0</v>
      </c>
      <c r="H56" s="41">
        <f t="shared" si="1"/>
        <v>0</v>
      </c>
      <c r="I56" s="52">
        <f t="shared" si="2"/>
        <v>0</v>
      </c>
      <c r="J56" s="52"/>
      <c r="K56" s="129"/>
      <c r="L56" s="54">
        <f t="shared" si="3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 ht="12.5">
      <c r="B57" s="7" t="str">
        <f t="shared" si="7"/>
        <v/>
      </c>
      <c r="C57" s="50">
        <f>IF(D11="","-",+C56+1)</f>
        <v>2056</v>
      </c>
      <c r="D57" s="55">
        <f>IF(F56+SUM(E$17:E56)=D$10,F56,D$10-SUM(E$17:E56))</f>
        <v>0</v>
      </c>
      <c r="E57" s="56">
        <f>IF(+I14&lt;F56,I14,D57)</f>
        <v>0</v>
      </c>
      <c r="F57" s="55">
        <f t="shared" si="6"/>
        <v>0</v>
      </c>
      <c r="G57" s="57">
        <f t="shared" si="0"/>
        <v>0</v>
      </c>
      <c r="H57" s="41">
        <f t="shared" si="1"/>
        <v>0</v>
      </c>
      <c r="I57" s="52">
        <f t="shared" si="2"/>
        <v>0</v>
      </c>
      <c r="J57" s="52"/>
      <c r="K57" s="129"/>
      <c r="L57" s="54">
        <f t="shared" si="3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 ht="12.5">
      <c r="B58" s="7" t="str">
        <f t="shared" si="7"/>
        <v/>
      </c>
      <c r="C58" s="50">
        <f>IF(D11="","-",+C57+1)</f>
        <v>2057</v>
      </c>
      <c r="D58" s="55">
        <f>IF(F57+SUM(E$17:E57)=D$10,F57,D$10-SUM(E$17:E57))</f>
        <v>0</v>
      </c>
      <c r="E58" s="56">
        <f>IF(+I14&lt;F57,I14,D58)</f>
        <v>0</v>
      </c>
      <c r="F58" s="55">
        <f t="shared" si="6"/>
        <v>0</v>
      </c>
      <c r="G58" s="57">
        <f t="shared" si="0"/>
        <v>0</v>
      </c>
      <c r="H58" s="41">
        <f t="shared" si="1"/>
        <v>0</v>
      </c>
      <c r="I58" s="52">
        <f t="shared" si="2"/>
        <v>0</v>
      </c>
      <c r="J58" s="52"/>
      <c r="K58" s="129"/>
      <c r="L58" s="54">
        <f t="shared" si="3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 ht="12.5">
      <c r="B59" s="7" t="str">
        <f t="shared" si="7"/>
        <v/>
      </c>
      <c r="C59" s="50">
        <f>IF(D11="","-",+C58+1)</f>
        <v>2058</v>
      </c>
      <c r="D59" s="55">
        <f>IF(F58+SUM(E$17:E58)=D$10,F58,D$10-SUM(E$17:E58))</f>
        <v>0</v>
      </c>
      <c r="E59" s="56">
        <f>IF(+I14&lt;F58,I14,D59)</f>
        <v>0</v>
      </c>
      <c r="F59" s="55">
        <f t="shared" si="6"/>
        <v>0</v>
      </c>
      <c r="G59" s="57">
        <f t="shared" si="0"/>
        <v>0</v>
      </c>
      <c r="H59" s="41">
        <f t="shared" si="1"/>
        <v>0</v>
      </c>
      <c r="I59" s="52">
        <f t="shared" si="2"/>
        <v>0</v>
      </c>
      <c r="J59" s="52"/>
      <c r="K59" s="129"/>
      <c r="L59" s="54">
        <f t="shared" si="3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 ht="12.5">
      <c r="B60" s="7" t="str">
        <f t="shared" si="7"/>
        <v/>
      </c>
      <c r="C60" s="50">
        <f>IF(D11="","-",+C59+1)</f>
        <v>2059</v>
      </c>
      <c r="D60" s="55">
        <f>IF(F59+SUM(E$17:E59)=D$10,F59,D$10-SUM(E$17:E59))</f>
        <v>0</v>
      </c>
      <c r="E60" s="56">
        <f>IF(+I14&lt;F59,I14,D60)</f>
        <v>0</v>
      </c>
      <c r="F60" s="55">
        <f t="shared" si="6"/>
        <v>0</v>
      </c>
      <c r="G60" s="57">
        <f t="shared" si="0"/>
        <v>0</v>
      </c>
      <c r="H60" s="41">
        <f t="shared" si="1"/>
        <v>0</v>
      </c>
      <c r="I60" s="52">
        <f t="shared" si="2"/>
        <v>0</v>
      </c>
      <c r="J60" s="52"/>
      <c r="K60" s="129"/>
      <c r="L60" s="54">
        <f t="shared" si="3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 ht="12.5">
      <c r="B61" s="7" t="str">
        <f t="shared" si="7"/>
        <v/>
      </c>
      <c r="C61" s="50">
        <f>IF(D11="","-",+C60+1)</f>
        <v>2060</v>
      </c>
      <c r="D61" s="55">
        <f>IF(F60+SUM(E$17:E60)=D$10,F60,D$10-SUM(E$17:E60))</f>
        <v>0</v>
      </c>
      <c r="E61" s="56">
        <f>IF(+I14&lt;F60,I14,D61)</f>
        <v>0</v>
      </c>
      <c r="F61" s="55">
        <f t="shared" si="6"/>
        <v>0</v>
      </c>
      <c r="G61" s="58">
        <f t="shared" si="0"/>
        <v>0</v>
      </c>
      <c r="H61" s="41">
        <f t="shared" si="1"/>
        <v>0</v>
      </c>
      <c r="I61" s="52">
        <f t="shared" si="2"/>
        <v>0</v>
      </c>
      <c r="J61" s="52"/>
      <c r="K61" s="129"/>
      <c r="L61" s="54">
        <f t="shared" si="3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 ht="12.5">
      <c r="B62" s="7" t="str">
        <f t="shared" si="7"/>
        <v/>
      </c>
      <c r="C62" s="50">
        <f>IF(D11="","-",+C61+1)</f>
        <v>2061</v>
      </c>
      <c r="D62" s="55">
        <f>IF(F61+SUM(E$17:E61)=D$10,F61,D$10-SUM(E$17:E61))</f>
        <v>0</v>
      </c>
      <c r="E62" s="56">
        <f>IF(+I14&lt;F61,I14,D62)</f>
        <v>0</v>
      </c>
      <c r="F62" s="55">
        <f t="shared" si="6"/>
        <v>0</v>
      </c>
      <c r="G62" s="58">
        <f t="shared" si="0"/>
        <v>0</v>
      </c>
      <c r="H62" s="41">
        <f t="shared" si="1"/>
        <v>0</v>
      </c>
      <c r="I62" s="52">
        <f t="shared" si="2"/>
        <v>0</v>
      </c>
      <c r="J62" s="52"/>
      <c r="K62" s="129"/>
      <c r="L62" s="54">
        <f t="shared" si="3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 ht="12.5">
      <c r="B63" s="7" t="str">
        <f t="shared" si="7"/>
        <v/>
      </c>
      <c r="C63" s="50">
        <f>IF(D11="","-",+C62+1)</f>
        <v>2062</v>
      </c>
      <c r="D63" s="55">
        <f>IF(F62+SUM(E$17:E62)=D$10,F62,D$10-SUM(E$17:E62))</f>
        <v>0</v>
      </c>
      <c r="E63" s="56">
        <f>IF(+I14&lt;F62,I14,D63)</f>
        <v>0</v>
      </c>
      <c r="F63" s="55">
        <f t="shared" si="6"/>
        <v>0</v>
      </c>
      <c r="G63" s="58">
        <f t="shared" si="0"/>
        <v>0</v>
      </c>
      <c r="H63" s="41">
        <f t="shared" si="1"/>
        <v>0</v>
      </c>
      <c r="I63" s="52">
        <f t="shared" si="2"/>
        <v>0</v>
      </c>
      <c r="J63" s="52"/>
      <c r="K63" s="129"/>
      <c r="L63" s="54">
        <f t="shared" si="3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 ht="12.5">
      <c r="B64" s="7" t="str">
        <f t="shared" si="7"/>
        <v/>
      </c>
      <c r="C64" s="50">
        <f>IF(D11="","-",+C63+1)</f>
        <v>2063</v>
      </c>
      <c r="D64" s="55">
        <f>IF(F63+SUM(E$17:E63)=D$10,F63,D$10-SUM(E$17:E63))</f>
        <v>0</v>
      </c>
      <c r="E64" s="56">
        <f>IF(+I14&lt;F63,I14,D64)</f>
        <v>0</v>
      </c>
      <c r="F64" s="55">
        <f t="shared" si="6"/>
        <v>0</v>
      </c>
      <c r="G64" s="58">
        <f t="shared" si="0"/>
        <v>0</v>
      </c>
      <c r="H64" s="41">
        <f t="shared" si="1"/>
        <v>0</v>
      </c>
      <c r="I64" s="52">
        <f t="shared" si="2"/>
        <v>0</v>
      </c>
      <c r="J64" s="52"/>
      <c r="K64" s="129"/>
      <c r="L64" s="54">
        <f t="shared" si="3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 ht="12.5">
      <c r="B65" s="7" t="str">
        <f t="shared" si="7"/>
        <v/>
      </c>
      <c r="C65" s="50">
        <f>IF(D11="","-",+C64+1)</f>
        <v>2064</v>
      </c>
      <c r="D65" s="55">
        <f>IF(F64+SUM(E$17:E64)=D$10,F64,D$10-SUM(E$17:E64))</f>
        <v>0</v>
      </c>
      <c r="E65" s="56">
        <f>IF(+I14&lt;F64,I14,D65)</f>
        <v>0</v>
      </c>
      <c r="F65" s="55">
        <f t="shared" si="6"/>
        <v>0</v>
      </c>
      <c r="G65" s="58">
        <f t="shared" si="0"/>
        <v>0</v>
      </c>
      <c r="H65" s="41">
        <f t="shared" si="1"/>
        <v>0</v>
      </c>
      <c r="I65" s="52">
        <f t="shared" si="2"/>
        <v>0</v>
      </c>
      <c r="J65" s="52"/>
      <c r="K65" s="129"/>
      <c r="L65" s="54">
        <f t="shared" si="3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 ht="12.5">
      <c r="B66" s="7" t="str">
        <f t="shared" si="7"/>
        <v/>
      </c>
      <c r="C66" s="50">
        <f>IF(D11="","-",+C65+1)</f>
        <v>2065</v>
      </c>
      <c r="D66" s="55">
        <f>IF(F65+SUM(E$17:E65)=D$10,F65,D$10-SUM(E$17:E65))</f>
        <v>0</v>
      </c>
      <c r="E66" s="56">
        <f>IF(+I14&lt;F65,I14,D66)</f>
        <v>0</v>
      </c>
      <c r="F66" s="55">
        <f t="shared" si="6"/>
        <v>0</v>
      </c>
      <c r="G66" s="58">
        <f t="shared" si="0"/>
        <v>0</v>
      </c>
      <c r="H66" s="41">
        <f t="shared" si="1"/>
        <v>0</v>
      </c>
      <c r="I66" s="52">
        <f t="shared" si="2"/>
        <v>0</v>
      </c>
      <c r="J66" s="52"/>
      <c r="K66" s="129"/>
      <c r="L66" s="54">
        <f t="shared" si="3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 ht="12.5">
      <c r="B67" s="7" t="str">
        <f t="shared" si="7"/>
        <v/>
      </c>
      <c r="C67" s="50">
        <f>IF(D11="","-",+C66+1)</f>
        <v>2066</v>
      </c>
      <c r="D67" s="55">
        <f>IF(F66+SUM(E$17:E66)=D$10,F66,D$10-SUM(E$17:E66))</f>
        <v>0</v>
      </c>
      <c r="E67" s="56">
        <f>IF(+I14&lt;F66,I14,D67)</f>
        <v>0</v>
      </c>
      <c r="F67" s="55">
        <f t="shared" si="6"/>
        <v>0</v>
      </c>
      <c r="G67" s="58">
        <f t="shared" si="0"/>
        <v>0</v>
      </c>
      <c r="H67" s="41">
        <f t="shared" si="1"/>
        <v>0</v>
      </c>
      <c r="I67" s="52">
        <f t="shared" si="2"/>
        <v>0</v>
      </c>
      <c r="J67" s="52"/>
      <c r="K67" s="129"/>
      <c r="L67" s="54">
        <f t="shared" si="3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 ht="12.5">
      <c r="B68" s="7" t="str">
        <f t="shared" si="7"/>
        <v/>
      </c>
      <c r="C68" s="50">
        <f>IF(D11="","-",+C67+1)</f>
        <v>2067</v>
      </c>
      <c r="D68" s="55">
        <f>IF(F67+SUM(E$17:E67)=D$10,F67,D$10-SUM(E$17:E67))</f>
        <v>0</v>
      </c>
      <c r="E68" s="56">
        <f>IF(+I14&lt;F67,I14,D68)</f>
        <v>0</v>
      </c>
      <c r="F68" s="55">
        <f t="shared" si="6"/>
        <v>0</v>
      </c>
      <c r="G68" s="58">
        <f t="shared" si="0"/>
        <v>0</v>
      </c>
      <c r="H68" s="41">
        <f t="shared" si="1"/>
        <v>0</v>
      </c>
      <c r="I68" s="52">
        <f t="shared" si="2"/>
        <v>0</v>
      </c>
      <c r="J68" s="52"/>
      <c r="K68" s="129"/>
      <c r="L68" s="54">
        <f t="shared" si="3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 ht="12.5">
      <c r="B69" s="7" t="str">
        <f t="shared" si="7"/>
        <v/>
      </c>
      <c r="C69" s="50">
        <f>IF(D11="","-",+C68+1)</f>
        <v>2068</v>
      </c>
      <c r="D69" s="55">
        <f>IF(F68+SUM(E$17:E68)=D$10,F68,D$10-SUM(E$17:E68))</f>
        <v>0</v>
      </c>
      <c r="E69" s="56">
        <f>IF(+I14&lt;F68,I14,D69)</f>
        <v>0</v>
      </c>
      <c r="F69" s="55">
        <f t="shared" si="6"/>
        <v>0</v>
      </c>
      <c r="G69" s="58">
        <f t="shared" si="0"/>
        <v>0</v>
      </c>
      <c r="H69" s="41">
        <f t="shared" si="1"/>
        <v>0</v>
      </c>
      <c r="I69" s="52">
        <f t="shared" si="2"/>
        <v>0</v>
      </c>
      <c r="J69" s="52"/>
      <c r="K69" s="129"/>
      <c r="L69" s="54">
        <f t="shared" si="3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 ht="12.5">
      <c r="B70" s="7" t="str">
        <f t="shared" si="7"/>
        <v/>
      </c>
      <c r="C70" s="50">
        <f>IF(D11="","-",+C69+1)</f>
        <v>2069</v>
      </c>
      <c r="D70" s="55">
        <f>IF(F69+SUM(E$17:E69)=D$10,F69,D$10-SUM(E$17:E69))</f>
        <v>0</v>
      </c>
      <c r="E70" s="56">
        <f>IF(+I14&lt;F69,I14,D70)</f>
        <v>0</v>
      </c>
      <c r="F70" s="55">
        <f t="shared" si="6"/>
        <v>0</v>
      </c>
      <c r="G70" s="58">
        <f t="shared" si="0"/>
        <v>0</v>
      </c>
      <c r="H70" s="41">
        <f t="shared" si="1"/>
        <v>0</v>
      </c>
      <c r="I70" s="52">
        <f t="shared" si="2"/>
        <v>0</v>
      </c>
      <c r="J70" s="52"/>
      <c r="K70" s="129"/>
      <c r="L70" s="54">
        <f t="shared" si="3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 ht="12.5">
      <c r="B71" s="7" t="str">
        <f t="shared" si="7"/>
        <v/>
      </c>
      <c r="C71" s="50">
        <f>IF(D11="","-",+C70+1)</f>
        <v>2070</v>
      </c>
      <c r="D71" s="55">
        <f>IF(F70+SUM(E$17:E70)=D$10,F70,D$10-SUM(E$17:E70))</f>
        <v>0</v>
      </c>
      <c r="E71" s="56">
        <f>IF(+I14&lt;F70,I14,D71)</f>
        <v>0</v>
      </c>
      <c r="F71" s="55">
        <f t="shared" si="6"/>
        <v>0</v>
      </c>
      <c r="G71" s="58">
        <f t="shared" si="0"/>
        <v>0</v>
      </c>
      <c r="H71" s="41">
        <f t="shared" si="1"/>
        <v>0</v>
      </c>
      <c r="I71" s="52">
        <f t="shared" si="2"/>
        <v>0</v>
      </c>
      <c r="J71" s="52"/>
      <c r="K71" s="129"/>
      <c r="L71" s="54">
        <f t="shared" si="3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" thickBot="1">
      <c r="B72" s="7" t="str">
        <f t="shared" si="7"/>
        <v/>
      </c>
      <c r="C72" s="59">
        <f>IF(D11="","-",+C71+1)</f>
        <v>2071</v>
      </c>
      <c r="D72" s="60">
        <f>IF(F71+SUM(E$17:E71)=D$10,F71,D$10-SUM(E$17:E71))</f>
        <v>0</v>
      </c>
      <c r="E72" s="61">
        <f>IF(+I14&lt;F71,I14,D72)</f>
        <v>0</v>
      </c>
      <c r="F72" s="60">
        <f t="shared" si="6"/>
        <v>0</v>
      </c>
      <c r="G72" s="62">
        <f t="shared" si="0"/>
        <v>0</v>
      </c>
      <c r="H72" s="28">
        <f t="shared" si="1"/>
        <v>0</v>
      </c>
      <c r="I72" s="63">
        <f t="shared" si="2"/>
        <v>0</v>
      </c>
      <c r="J72" s="52"/>
      <c r="K72" s="130"/>
      <c r="L72" s="64">
        <f t="shared" si="3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 ht="12.5">
      <c r="C73" s="12" t="s">
        <v>78</v>
      </c>
      <c r="D73" s="15"/>
      <c r="E73" s="15">
        <f>SUM(E17:E72)</f>
        <v>0</v>
      </c>
      <c r="F73" s="15"/>
      <c r="G73" s="15">
        <f>SUM(G17:G72)</f>
        <v>0</v>
      </c>
      <c r="H73" s="15">
        <f>SUM(H17:H72)</f>
        <v>0</v>
      </c>
      <c r="I73" s="15">
        <f>SUM(I17:I72)</f>
        <v>0</v>
      </c>
      <c r="J73" s="15"/>
      <c r="K73" s="15"/>
      <c r="L73" s="15"/>
      <c r="M73" s="15"/>
      <c r="N73" s="15"/>
      <c r="O73" s="1"/>
      <c r="P73" s="1"/>
    </row>
    <row r="74" spans="2:16" ht="12.5">
      <c r="D74" s="2"/>
      <c r="E74" s="1"/>
      <c r="F74" s="1"/>
      <c r="G74" s="1"/>
      <c r="H74" s="3"/>
      <c r="I74" s="3"/>
      <c r="J74" s="15"/>
      <c r="K74" s="3"/>
      <c r="L74" s="3"/>
      <c r="M74" s="3"/>
      <c r="N74" s="3"/>
      <c r="O74" s="1"/>
      <c r="P74" s="1"/>
    </row>
    <row r="75" spans="2:16" ht="13">
      <c r="C75" s="29" t="s">
        <v>96</v>
      </c>
      <c r="D75" s="2"/>
      <c r="E75" s="1"/>
      <c r="F75" s="1"/>
      <c r="G75" s="1"/>
      <c r="H75" s="3"/>
      <c r="I75" s="3"/>
      <c r="J75" s="15"/>
      <c r="K75" s="3"/>
      <c r="L75" s="3"/>
      <c r="M75" s="3"/>
      <c r="N75" s="3"/>
      <c r="O75" s="1"/>
      <c r="P75" s="1"/>
    </row>
    <row r="76" spans="2:16" ht="13">
      <c r="C76" s="25" t="s">
        <v>79</v>
      </c>
      <c r="D76" s="2"/>
      <c r="E76" s="1"/>
      <c r="F76" s="1"/>
      <c r="G76" s="1"/>
      <c r="H76" s="3"/>
      <c r="I76" s="3"/>
      <c r="J76" s="15"/>
      <c r="K76" s="3"/>
      <c r="L76" s="3"/>
      <c r="M76" s="3"/>
      <c r="N76" s="3"/>
      <c r="O76" s="1"/>
      <c r="P76" s="1"/>
    </row>
    <row r="77" spans="2:16" ht="13">
      <c r="C77" s="25" t="s">
        <v>80</v>
      </c>
      <c r="D77" s="12"/>
      <c r="E77" s="12"/>
      <c r="F77" s="12"/>
      <c r="G77" s="15"/>
      <c r="H77" s="15"/>
      <c r="I77" s="65"/>
      <c r="J77" s="65"/>
      <c r="K77" s="65"/>
      <c r="L77" s="65"/>
      <c r="M77" s="65"/>
      <c r="N77" s="65"/>
      <c r="O77" s="1"/>
      <c r="P77" s="1"/>
    </row>
    <row r="78" spans="2:16" ht="13">
      <c r="C78" s="25"/>
      <c r="D78" s="12"/>
      <c r="E78" s="12"/>
      <c r="F78" s="12"/>
      <c r="G78" s="15"/>
      <c r="H78" s="15"/>
      <c r="I78" s="65"/>
      <c r="J78" s="65"/>
      <c r="K78" s="65"/>
      <c r="L78" s="65"/>
      <c r="M78" s="65"/>
      <c r="N78" s="65"/>
      <c r="O78" s="1"/>
      <c r="P78" s="1"/>
    </row>
    <row r="79" spans="2:16" ht="12.5">
      <c r="B79" s="1"/>
      <c r="C79" s="1"/>
      <c r="D79" s="2"/>
      <c r="E79" s="1"/>
      <c r="F79" s="12"/>
      <c r="G79" s="1"/>
      <c r="H79" s="3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9"/>
      <c r="D80" s="2"/>
      <c r="E80" s="1"/>
      <c r="F80" s="12"/>
      <c r="G80" s="1"/>
      <c r="H80" s="3"/>
      <c r="I80" s="1"/>
      <c r="J80" s="1"/>
      <c r="K80" s="1"/>
      <c r="L80" s="1"/>
      <c r="M80" s="1"/>
      <c r="N80" s="1"/>
      <c r="P80" s="101" t="s">
        <v>130</v>
      </c>
    </row>
    <row r="81" spans="1:16" ht="12.5">
      <c r="B81" s="1"/>
      <c r="C81" s="1"/>
      <c r="D81" s="2"/>
      <c r="E81" s="1"/>
      <c r="F81" s="12"/>
      <c r="G81" s="1"/>
      <c r="H81" s="3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3"/>
      <c r="I82" s="1"/>
      <c r="J82" s="1"/>
      <c r="K82" s="1"/>
      <c r="L82" s="1"/>
      <c r="M82" s="1"/>
      <c r="N82" s="1"/>
      <c r="O82" s="1"/>
      <c r="P82" s="1"/>
    </row>
    <row r="83" spans="1:16" ht="20">
      <c r="A83" s="100" t="s">
        <v>134</v>
      </c>
      <c r="B83" s="1"/>
      <c r="C83" s="1"/>
      <c r="D83" s="2"/>
      <c r="E83" s="1"/>
      <c r="F83" s="8"/>
      <c r="G83" s="8"/>
      <c r="H83" s="1"/>
      <c r="I83" s="3"/>
      <c r="L83" s="14"/>
      <c r="M83" s="14"/>
      <c r="P83" s="14" t="str">
        <f ca="1">P1</f>
        <v>SWEPCO Project nk of -1</v>
      </c>
    </row>
    <row r="84" spans="1:16" ht="17.5">
      <c r="B84" s="1"/>
      <c r="C84" s="1"/>
      <c r="D84" s="2"/>
      <c r="E84" s="1"/>
      <c r="F84" s="1"/>
      <c r="G84" s="1"/>
      <c r="H84" s="1"/>
      <c r="I84" s="3"/>
      <c r="J84" s="1"/>
      <c r="K84" s="1"/>
      <c r="L84" s="1"/>
      <c r="M84" s="1"/>
      <c r="P84" s="101" t="s">
        <v>128</v>
      </c>
    </row>
    <row r="85" spans="1:16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3"/>
      <c r="J85" s="3"/>
      <c r="K85" s="15"/>
      <c r="L85" s="3"/>
      <c r="M85" s="3"/>
      <c r="N85" s="3"/>
      <c r="O85" s="15"/>
      <c r="P85" s="1"/>
    </row>
    <row r="86" spans="1:16" ht="16" thickBot="1">
      <c r="C86" s="9"/>
      <c r="D86" s="2"/>
      <c r="E86" s="1"/>
      <c r="F86" s="1"/>
      <c r="G86" s="1"/>
      <c r="H86" s="1"/>
      <c r="I86" s="3"/>
      <c r="J86" s="3"/>
      <c r="K86" s="15"/>
      <c r="L86" s="120">
        <f>+J92</f>
        <v>2024</v>
      </c>
      <c r="M86" s="121" t="s">
        <v>9</v>
      </c>
      <c r="N86" s="125" t="s">
        <v>159</v>
      </c>
      <c r="O86" s="122" t="s">
        <v>11</v>
      </c>
      <c r="P86" s="1"/>
    </row>
    <row r="87" spans="1:16" ht="15.5">
      <c r="C87" s="93" t="s">
        <v>46</v>
      </c>
      <c r="D87" s="2"/>
      <c r="E87" s="1"/>
      <c r="F87" s="1"/>
      <c r="G87" s="1"/>
      <c r="H87" s="17"/>
      <c r="I87" s="1" t="s">
        <v>47</v>
      </c>
      <c r="J87" s="1"/>
      <c r="K87" s="116"/>
      <c r="L87" s="114" t="s">
        <v>394</v>
      </c>
      <c r="M87" s="68">
        <f>IF(J92&lt;D11,0,VLOOKUP(J92,C17:O72,9))</f>
        <v>0</v>
      </c>
      <c r="N87" s="68">
        <f>IF(J92&lt;D11,0,VLOOKUP(J92,C17:O72,11))</f>
        <v>0</v>
      </c>
      <c r="O87" s="69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21"/>
      <c r="J88" s="21"/>
      <c r="K88" s="118"/>
      <c r="L88" s="119" t="s">
        <v>395</v>
      </c>
      <c r="M88" s="70">
        <f>IF(J92&lt;D11,0,VLOOKUP(J92,C99:P154,6))</f>
        <v>0</v>
      </c>
      <c r="N88" s="70">
        <f>IF(J92&lt;D11,0,VLOOKUP(J92,C99:P154,7))</f>
        <v>0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insert project name here</v>
      </c>
      <c r="E89" s="1"/>
      <c r="F89" s="1"/>
      <c r="G89" s="1"/>
      <c r="H89" s="1"/>
      <c r="I89" s="3"/>
      <c r="J89" s="3"/>
      <c r="K89" s="117"/>
      <c r="L89" s="115" t="s">
        <v>156</v>
      </c>
      <c r="M89" s="73">
        <f>+M88-M87</f>
        <v>0</v>
      </c>
      <c r="N89" s="73">
        <f>+N88-N87</f>
        <v>0</v>
      </c>
      <c r="O89" s="74">
        <f>+O88-O87</f>
        <v>0</v>
      </c>
      <c r="P89" s="1"/>
    </row>
    <row r="90" spans="1:16" ht="13.5" thickBot="1">
      <c r="C90" s="29"/>
      <c r="D90" s="66" t="str">
        <f>D8</f>
        <v>DOES NOT MEET SPP $100,000 MINIMUM INVESTMENT FOR REGIONAL BPU SHARING.</v>
      </c>
      <c r="E90" s="12"/>
      <c r="F90" s="12"/>
      <c r="G90" s="12"/>
      <c r="H90" s="11"/>
      <c r="I90" s="3"/>
      <c r="J90" s="3"/>
      <c r="K90" s="15"/>
      <c r="L90" s="3"/>
      <c r="M90" s="3"/>
      <c r="N90" s="3"/>
      <c r="O90" s="15"/>
      <c r="P90" s="1"/>
    </row>
    <row r="91" spans="1:16" ht="13.5" thickBot="1">
      <c r="C91" s="75" t="s">
        <v>85</v>
      </c>
      <c r="D91" s="91" t="str">
        <f>+D9</f>
        <v>TP______</v>
      </c>
      <c r="E91" s="76"/>
      <c r="F91" s="76"/>
      <c r="G91" s="76"/>
      <c r="H91" s="76"/>
      <c r="I91" s="76"/>
      <c r="J91" s="76"/>
    </row>
    <row r="92" spans="1:16" ht="13">
      <c r="C92" s="34" t="s">
        <v>51</v>
      </c>
      <c r="D92" s="87">
        <f>IF(D11=I10,0,D10)</f>
        <v>0</v>
      </c>
      <c r="E92" s="1" t="s">
        <v>86</v>
      </c>
      <c r="H92" s="2"/>
      <c r="I92" s="2"/>
      <c r="J92" s="36">
        <f>+'SWE.WS.G.BPU.ATRR.True-up'!M16</f>
        <v>2024</v>
      </c>
      <c r="K92" s="33"/>
      <c r="L92" s="15" t="s">
        <v>87</v>
      </c>
      <c r="P92" s="1"/>
    </row>
    <row r="93" spans="1:16" ht="12.5">
      <c r="C93" s="34" t="s">
        <v>54</v>
      </c>
      <c r="D93" s="88">
        <f>IF(D11=I10,"",D11)</f>
        <v>2016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4" t="s">
        <v>56</v>
      </c>
      <c r="D94" s="87">
        <f>IF(D11=I10,"",D12)</f>
        <v>4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</row>
    <row r="95" spans="1:16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15" t="s">
        <v>61</v>
      </c>
      <c r="M95" s="8"/>
      <c r="N95" s="8"/>
      <c r="O95" s="8"/>
      <c r="P95" s="1"/>
    </row>
    <row r="96" spans="1:16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28">
        <f>IF(D92=0,0,D92/D95)</f>
        <v>0</v>
      </c>
      <c r="K96" s="15"/>
      <c r="L96" s="15"/>
      <c r="M96" s="15"/>
      <c r="N96" s="15"/>
      <c r="O96" s="15"/>
      <c r="P96" s="1"/>
    </row>
    <row r="97" spans="1:16" ht="39">
      <c r="A97" s="5"/>
      <c r="B97" s="5"/>
      <c r="C97" s="79" t="s">
        <v>51</v>
      </c>
      <c r="D97" s="80" t="s">
        <v>65</v>
      </c>
      <c r="E97" s="45" t="s">
        <v>66</v>
      </c>
      <c r="F97" s="45" t="s">
        <v>67</v>
      </c>
      <c r="G97" s="43" t="s">
        <v>89</v>
      </c>
      <c r="H97" s="157" t="s">
        <v>391</v>
      </c>
      <c r="I97" s="158" t="s">
        <v>392</v>
      </c>
      <c r="J97" s="79" t="s">
        <v>90</v>
      </c>
      <c r="K97" s="81"/>
      <c r="L97" s="126" t="s">
        <v>228</v>
      </c>
      <c r="M97" s="45" t="s">
        <v>91</v>
      </c>
      <c r="N97" s="126" t="s">
        <v>228</v>
      </c>
      <c r="O97" s="45" t="s">
        <v>91</v>
      </c>
      <c r="P97" s="45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110" t="s">
        <v>74</v>
      </c>
      <c r="I98" s="47" t="s">
        <v>75</v>
      </c>
      <c r="J98" s="46" t="s">
        <v>94</v>
      </c>
      <c r="K98" s="44"/>
      <c r="L98" s="48" t="s">
        <v>77</v>
      </c>
      <c r="M98" s="48" t="s">
        <v>77</v>
      </c>
      <c r="N98" s="48" t="s">
        <v>95</v>
      </c>
      <c r="O98" s="48" t="s">
        <v>95</v>
      </c>
      <c r="P98" s="48" t="s">
        <v>95</v>
      </c>
    </row>
    <row r="99" spans="1:16" ht="12.5">
      <c r="C99" s="50">
        <f>IF(D93= "","-",D93)</f>
        <v>2016</v>
      </c>
      <c r="D99" s="12">
        <f>IF(D93=C99,0,D92)</f>
        <v>0</v>
      </c>
      <c r="E99" s="57">
        <f>IF(D11=I10,0,J96/12*(12-D94))</f>
        <v>0</v>
      </c>
      <c r="F99" s="55">
        <f>IF(D93=C99,+D92-E99,+D99-E99)</f>
        <v>0</v>
      </c>
      <c r="G99" s="83">
        <f t="shared" ref="G99:G154" si="8">+(F99+D99)/2</f>
        <v>0</v>
      </c>
      <c r="H99" s="106">
        <f>+J94*G99+E99</f>
        <v>0</v>
      </c>
      <c r="I99" s="107">
        <f>+J95*G99+E99</f>
        <v>0</v>
      </c>
      <c r="J99" s="54">
        <f t="shared" ref="J99:J130" si="9">+I99-H99</f>
        <v>0</v>
      </c>
      <c r="K99" s="54"/>
      <c r="L99" s="128"/>
      <c r="M99" s="53">
        <f t="shared" ref="M99:M130" si="10">IF(L99&lt;&gt;0,+H99-L99,0)</f>
        <v>0</v>
      </c>
      <c r="N99" s="128"/>
      <c r="O99" s="53">
        <f t="shared" ref="O99:O130" si="11">IF(N99&lt;&gt;0,+I99-N99,0)</f>
        <v>0</v>
      </c>
      <c r="P99" s="53">
        <f t="shared" ref="P99:P130" si="12">+O99-M99</f>
        <v>0</v>
      </c>
    </row>
    <row r="100" spans="1:16" ht="12.5">
      <c r="B100" s="7" t="str">
        <f>IF(D100=F99,"","IU")</f>
        <v/>
      </c>
      <c r="C100" s="50">
        <f>IF(D93="","-",+C99+1)</f>
        <v>2017</v>
      </c>
      <c r="D100" s="12">
        <f>IF(F99+SUM(E$99:E99)=D$92,F99,D$92-SUM(E$99:E99))</f>
        <v>0</v>
      </c>
      <c r="E100" s="56">
        <f>IF(+J96&lt;F99,J96,D100)</f>
        <v>0</v>
      </c>
      <c r="F100" s="55">
        <f t="shared" ref="F100:F154" si="13">+D100-E100</f>
        <v>0</v>
      </c>
      <c r="G100" s="55">
        <f t="shared" si="8"/>
        <v>0</v>
      </c>
      <c r="H100" s="58">
        <f t="shared" ref="H100:H154" si="14">+J$94*G100+E100</f>
        <v>0</v>
      </c>
      <c r="I100" s="108">
        <f t="shared" ref="I100:I154" si="15">+J$95*G100+E100</f>
        <v>0</v>
      </c>
      <c r="J100" s="54">
        <f t="shared" si="9"/>
        <v>0</v>
      </c>
      <c r="K100" s="54"/>
      <c r="L100" s="129"/>
      <c r="M100" s="54">
        <f t="shared" si="10"/>
        <v>0</v>
      </c>
      <c r="N100" s="129"/>
      <c r="O100" s="54">
        <f t="shared" si="11"/>
        <v>0</v>
      </c>
      <c r="P100" s="54">
        <f t="shared" si="12"/>
        <v>0</v>
      </c>
    </row>
    <row r="101" spans="1:16" ht="12.5">
      <c r="B101" s="7" t="str">
        <f t="shared" ref="B101:B154" si="16">IF(D101=F100,"","IU")</f>
        <v/>
      </c>
      <c r="C101" s="50">
        <f>IF(D93="","-",+C100+1)</f>
        <v>2018</v>
      </c>
      <c r="D101" s="12">
        <f>IF(F100+SUM(E$99:E100)=D$92,F100,D$92-SUM(E$99:E100))</f>
        <v>0</v>
      </c>
      <c r="E101" s="56">
        <f>IF(+J96&lt;F100,J96,D101)</f>
        <v>0</v>
      </c>
      <c r="F101" s="55">
        <f t="shared" si="13"/>
        <v>0</v>
      </c>
      <c r="G101" s="55">
        <f t="shared" si="8"/>
        <v>0</v>
      </c>
      <c r="H101" s="58">
        <f t="shared" si="14"/>
        <v>0</v>
      </c>
      <c r="I101" s="108">
        <f t="shared" si="15"/>
        <v>0</v>
      </c>
      <c r="J101" s="54">
        <f t="shared" si="9"/>
        <v>0</v>
      </c>
      <c r="K101" s="54"/>
      <c r="L101" s="129"/>
      <c r="M101" s="54">
        <f t="shared" si="10"/>
        <v>0</v>
      </c>
      <c r="N101" s="129"/>
      <c r="O101" s="54">
        <f t="shared" si="11"/>
        <v>0</v>
      </c>
      <c r="P101" s="54">
        <f t="shared" si="12"/>
        <v>0</v>
      </c>
    </row>
    <row r="102" spans="1:16" ht="12.5">
      <c r="B102" s="7" t="str">
        <f t="shared" si="16"/>
        <v/>
      </c>
      <c r="C102" s="50">
        <f>IF(D93="","-",+C101+1)</f>
        <v>2019</v>
      </c>
      <c r="D102" s="12">
        <f>IF(F101+SUM(E$99:E101)=D$92,F101,D$92-SUM(E$99:E101))</f>
        <v>0</v>
      </c>
      <c r="E102" s="56">
        <f>IF(+J96&lt;F101,J96,D102)</f>
        <v>0</v>
      </c>
      <c r="F102" s="55">
        <f t="shared" si="13"/>
        <v>0</v>
      </c>
      <c r="G102" s="55">
        <f t="shared" si="8"/>
        <v>0</v>
      </c>
      <c r="H102" s="58">
        <f t="shared" si="14"/>
        <v>0</v>
      </c>
      <c r="I102" s="108">
        <f t="shared" si="15"/>
        <v>0</v>
      </c>
      <c r="J102" s="54">
        <f t="shared" si="9"/>
        <v>0</v>
      </c>
      <c r="K102" s="54"/>
      <c r="L102" s="129"/>
      <c r="M102" s="54">
        <f t="shared" si="10"/>
        <v>0</v>
      </c>
      <c r="N102" s="129"/>
      <c r="O102" s="54">
        <f t="shared" si="11"/>
        <v>0</v>
      </c>
      <c r="P102" s="54">
        <f t="shared" si="12"/>
        <v>0</v>
      </c>
    </row>
    <row r="103" spans="1:16" ht="12.5">
      <c r="B103" s="7" t="str">
        <f t="shared" si="16"/>
        <v/>
      </c>
      <c r="C103" s="50">
        <f>IF(D93="","-",+C102+1)</f>
        <v>2020</v>
      </c>
      <c r="D103" s="12">
        <f>IF(F102+SUM(E$99:E102)=D$92,F102,D$92-SUM(E$99:E102))</f>
        <v>0</v>
      </c>
      <c r="E103" s="56">
        <f>IF(+J96&lt;F102,J96,D103)</f>
        <v>0</v>
      </c>
      <c r="F103" s="55">
        <f t="shared" si="13"/>
        <v>0</v>
      </c>
      <c r="G103" s="55">
        <f t="shared" si="8"/>
        <v>0</v>
      </c>
      <c r="H103" s="58">
        <f t="shared" si="14"/>
        <v>0</v>
      </c>
      <c r="I103" s="108">
        <f t="shared" si="15"/>
        <v>0</v>
      </c>
      <c r="J103" s="54">
        <f t="shared" si="9"/>
        <v>0</v>
      </c>
      <c r="K103" s="54"/>
      <c r="L103" s="129"/>
      <c r="M103" s="54">
        <f t="shared" si="10"/>
        <v>0</v>
      </c>
      <c r="N103" s="129"/>
      <c r="O103" s="54">
        <f t="shared" si="11"/>
        <v>0</v>
      </c>
      <c r="P103" s="54">
        <f t="shared" si="12"/>
        <v>0</v>
      </c>
    </row>
    <row r="104" spans="1:16" ht="12.5">
      <c r="B104" s="7" t="str">
        <f t="shared" si="16"/>
        <v/>
      </c>
      <c r="C104" s="50">
        <f>IF(D93="","-",+C103+1)</f>
        <v>2021</v>
      </c>
      <c r="D104" s="12">
        <f>IF(F103+SUM(E$99:E103)=D$92,F103,D$92-SUM(E$99:E103))</f>
        <v>0</v>
      </c>
      <c r="E104" s="56">
        <f>IF(+J96&lt;F103,J96,D104)</f>
        <v>0</v>
      </c>
      <c r="F104" s="55">
        <f t="shared" si="13"/>
        <v>0</v>
      </c>
      <c r="G104" s="55">
        <f t="shared" si="8"/>
        <v>0</v>
      </c>
      <c r="H104" s="58">
        <f t="shared" si="14"/>
        <v>0</v>
      </c>
      <c r="I104" s="108">
        <f t="shared" si="15"/>
        <v>0</v>
      </c>
      <c r="J104" s="54">
        <f t="shared" si="9"/>
        <v>0</v>
      </c>
      <c r="K104" s="54"/>
      <c r="L104" s="129"/>
      <c r="M104" s="54">
        <f t="shared" si="10"/>
        <v>0</v>
      </c>
      <c r="N104" s="129"/>
      <c r="O104" s="54">
        <f t="shared" si="11"/>
        <v>0</v>
      </c>
      <c r="P104" s="54">
        <f t="shared" si="12"/>
        <v>0</v>
      </c>
    </row>
    <row r="105" spans="1:16" ht="12.5">
      <c r="B105" s="7" t="str">
        <f t="shared" si="16"/>
        <v/>
      </c>
      <c r="C105" s="50">
        <f>IF(D93="","-",+C104+1)</f>
        <v>2022</v>
      </c>
      <c r="D105" s="12">
        <f>IF(F104+SUM(E$99:E104)=D$92,F104,D$92-SUM(E$99:E104))</f>
        <v>0</v>
      </c>
      <c r="E105" s="56">
        <f>IF(+J96&lt;F104,J96,D105)</f>
        <v>0</v>
      </c>
      <c r="F105" s="55">
        <f t="shared" si="13"/>
        <v>0</v>
      </c>
      <c r="G105" s="55">
        <f t="shared" si="8"/>
        <v>0</v>
      </c>
      <c r="H105" s="58">
        <f t="shared" si="14"/>
        <v>0</v>
      </c>
      <c r="I105" s="108">
        <f t="shared" si="15"/>
        <v>0</v>
      </c>
      <c r="J105" s="54">
        <f t="shared" si="9"/>
        <v>0</v>
      </c>
      <c r="K105" s="54"/>
      <c r="L105" s="129"/>
      <c r="M105" s="54">
        <f t="shared" si="10"/>
        <v>0</v>
      </c>
      <c r="N105" s="129"/>
      <c r="O105" s="54">
        <f t="shared" si="11"/>
        <v>0</v>
      </c>
      <c r="P105" s="54">
        <f t="shared" si="12"/>
        <v>0</v>
      </c>
    </row>
    <row r="106" spans="1:16" ht="12.5">
      <c r="B106" s="7" t="str">
        <f t="shared" si="16"/>
        <v/>
      </c>
      <c r="C106" s="50">
        <f>IF(D93="","-",+C105+1)</f>
        <v>2023</v>
      </c>
      <c r="D106" s="12">
        <f>IF(F105+SUM(E$99:E105)=D$92,F105,D$92-SUM(E$99:E105))</f>
        <v>0</v>
      </c>
      <c r="E106" s="56">
        <f>IF(+J96&lt;F105,J96,D106)</f>
        <v>0</v>
      </c>
      <c r="F106" s="55">
        <f t="shared" si="13"/>
        <v>0</v>
      </c>
      <c r="G106" s="55">
        <f t="shared" si="8"/>
        <v>0</v>
      </c>
      <c r="H106" s="58">
        <f t="shared" si="14"/>
        <v>0</v>
      </c>
      <c r="I106" s="108">
        <f t="shared" si="15"/>
        <v>0</v>
      </c>
      <c r="J106" s="54">
        <f t="shared" si="9"/>
        <v>0</v>
      </c>
      <c r="K106" s="54"/>
      <c r="L106" s="129"/>
      <c r="M106" s="54">
        <f t="shared" si="10"/>
        <v>0</v>
      </c>
      <c r="N106" s="129"/>
      <c r="O106" s="54">
        <f t="shared" si="11"/>
        <v>0</v>
      </c>
      <c r="P106" s="54">
        <f t="shared" si="12"/>
        <v>0</v>
      </c>
    </row>
    <row r="107" spans="1:16" ht="12.5">
      <c r="B107" s="7" t="str">
        <f t="shared" si="16"/>
        <v/>
      </c>
      <c r="C107" s="50">
        <f>IF(D93="","-",+C106+1)</f>
        <v>2024</v>
      </c>
      <c r="D107" s="12">
        <f>IF(F106+SUM(E$99:E106)=D$92,F106,D$92-SUM(E$99:E106))</f>
        <v>0</v>
      </c>
      <c r="E107" s="56">
        <f>IF(+J96&lt;F106,J96,D107)</f>
        <v>0</v>
      </c>
      <c r="F107" s="55">
        <f t="shared" si="13"/>
        <v>0</v>
      </c>
      <c r="G107" s="55">
        <f t="shared" si="8"/>
        <v>0</v>
      </c>
      <c r="H107" s="58">
        <f t="shared" si="14"/>
        <v>0</v>
      </c>
      <c r="I107" s="108">
        <f t="shared" si="15"/>
        <v>0</v>
      </c>
      <c r="J107" s="54">
        <f t="shared" si="9"/>
        <v>0</v>
      </c>
      <c r="K107" s="54"/>
      <c r="L107" s="129"/>
      <c r="M107" s="54">
        <f t="shared" si="10"/>
        <v>0</v>
      </c>
      <c r="N107" s="129"/>
      <c r="O107" s="54">
        <f t="shared" si="11"/>
        <v>0</v>
      </c>
      <c r="P107" s="54">
        <f t="shared" si="12"/>
        <v>0</v>
      </c>
    </row>
    <row r="108" spans="1:16" ht="12.5">
      <c r="B108" s="7" t="str">
        <f t="shared" si="16"/>
        <v/>
      </c>
      <c r="C108" s="50">
        <f>IF(D93="","-",+C107+1)</f>
        <v>2025</v>
      </c>
      <c r="D108" s="12">
        <f>IF(F107+SUM(E$99:E107)=D$92,F107,D$92-SUM(E$99:E107))</f>
        <v>0</v>
      </c>
      <c r="E108" s="56">
        <f>IF(+J96&lt;F107,J96,D108)</f>
        <v>0</v>
      </c>
      <c r="F108" s="55">
        <f t="shared" si="13"/>
        <v>0</v>
      </c>
      <c r="G108" s="55">
        <f t="shared" si="8"/>
        <v>0</v>
      </c>
      <c r="H108" s="58">
        <f t="shared" si="14"/>
        <v>0</v>
      </c>
      <c r="I108" s="108">
        <f t="shared" si="15"/>
        <v>0</v>
      </c>
      <c r="J108" s="54">
        <f t="shared" si="9"/>
        <v>0</v>
      </c>
      <c r="K108" s="54"/>
      <c r="L108" s="129"/>
      <c r="M108" s="54">
        <f t="shared" si="10"/>
        <v>0</v>
      </c>
      <c r="N108" s="129"/>
      <c r="O108" s="54">
        <f t="shared" si="11"/>
        <v>0</v>
      </c>
      <c r="P108" s="54">
        <f t="shared" si="12"/>
        <v>0</v>
      </c>
    </row>
    <row r="109" spans="1:16" ht="12.5">
      <c r="B109" s="7" t="str">
        <f t="shared" si="16"/>
        <v/>
      </c>
      <c r="C109" s="50">
        <f>IF(D93="","-",+C108+1)</f>
        <v>2026</v>
      </c>
      <c r="D109" s="12">
        <f>IF(F108+SUM(E$99:E108)=D$92,F108,D$92-SUM(E$99:E108))</f>
        <v>0</v>
      </c>
      <c r="E109" s="56">
        <f>IF(+J96&lt;F108,J96,D109)</f>
        <v>0</v>
      </c>
      <c r="F109" s="55">
        <f t="shared" si="13"/>
        <v>0</v>
      </c>
      <c r="G109" s="55">
        <f t="shared" si="8"/>
        <v>0</v>
      </c>
      <c r="H109" s="58">
        <f t="shared" si="14"/>
        <v>0</v>
      </c>
      <c r="I109" s="108">
        <f t="shared" si="15"/>
        <v>0</v>
      </c>
      <c r="J109" s="54">
        <f t="shared" si="9"/>
        <v>0</v>
      </c>
      <c r="K109" s="54"/>
      <c r="L109" s="129"/>
      <c r="M109" s="54">
        <f t="shared" si="10"/>
        <v>0</v>
      </c>
      <c r="N109" s="129"/>
      <c r="O109" s="54">
        <f t="shared" si="11"/>
        <v>0</v>
      </c>
      <c r="P109" s="54">
        <f t="shared" si="12"/>
        <v>0</v>
      </c>
    </row>
    <row r="110" spans="1:16" ht="12.5">
      <c r="B110" s="7" t="str">
        <f t="shared" si="16"/>
        <v/>
      </c>
      <c r="C110" s="50">
        <f>IF(D93="","-",+C109+1)</f>
        <v>2027</v>
      </c>
      <c r="D110" s="12">
        <f>IF(F109+SUM(E$99:E109)=D$92,F109,D$92-SUM(E$99:E109))</f>
        <v>0</v>
      </c>
      <c r="E110" s="56">
        <f>IF(+J96&lt;F109,J96,D110)</f>
        <v>0</v>
      </c>
      <c r="F110" s="55">
        <f t="shared" si="13"/>
        <v>0</v>
      </c>
      <c r="G110" s="55">
        <f t="shared" si="8"/>
        <v>0</v>
      </c>
      <c r="H110" s="58">
        <f t="shared" si="14"/>
        <v>0</v>
      </c>
      <c r="I110" s="108">
        <f t="shared" si="15"/>
        <v>0</v>
      </c>
      <c r="J110" s="54">
        <f t="shared" si="9"/>
        <v>0</v>
      </c>
      <c r="K110" s="54"/>
      <c r="L110" s="129"/>
      <c r="M110" s="54">
        <f t="shared" si="10"/>
        <v>0</v>
      </c>
      <c r="N110" s="129"/>
      <c r="O110" s="54">
        <f t="shared" si="11"/>
        <v>0</v>
      </c>
      <c r="P110" s="54">
        <f t="shared" si="12"/>
        <v>0</v>
      </c>
    </row>
    <row r="111" spans="1:16" ht="12.5">
      <c r="B111" s="7" t="str">
        <f t="shared" si="16"/>
        <v/>
      </c>
      <c r="C111" s="50">
        <f>IF(D93="","-",+C110+1)</f>
        <v>2028</v>
      </c>
      <c r="D111" s="12">
        <f>IF(F110+SUM(E$99:E110)=D$92,F110,D$92-SUM(E$99:E110))</f>
        <v>0</v>
      </c>
      <c r="E111" s="56">
        <f>IF(+J96&lt;F110,J96,D111)</f>
        <v>0</v>
      </c>
      <c r="F111" s="55">
        <f t="shared" si="13"/>
        <v>0</v>
      </c>
      <c r="G111" s="55">
        <f t="shared" si="8"/>
        <v>0</v>
      </c>
      <c r="H111" s="58">
        <f t="shared" si="14"/>
        <v>0</v>
      </c>
      <c r="I111" s="108">
        <f t="shared" si="15"/>
        <v>0</v>
      </c>
      <c r="J111" s="54">
        <f t="shared" si="9"/>
        <v>0</v>
      </c>
      <c r="K111" s="54"/>
      <c r="L111" s="129"/>
      <c r="M111" s="54">
        <f t="shared" si="10"/>
        <v>0</v>
      </c>
      <c r="N111" s="129"/>
      <c r="O111" s="54">
        <f t="shared" si="11"/>
        <v>0</v>
      </c>
      <c r="P111" s="54">
        <f t="shared" si="12"/>
        <v>0</v>
      </c>
    </row>
    <row r="112" spans="1:16" ht="12.5">
      <c r="B112" s="7" t="str">
        <f t="shared" si="16"/>
        <v/>
      </c>
      <c r="C112" s="50">
        <f>IF(D93="","-",+C111+1)</f>
        <v>2029</v>
      </c>
      <c r="D112" s="12">
        <f>IF(F111+SUM(E$99:E111)=D$92,F111,D$92-SUM(E$99:E111))</f>
        <v>0</v>
      </c>
      <c r="E112" s="56">
        <f>IF(+J96&lt;F111,J96,D112)</f>
        <v>0</v>
      </c>
      <c r="F112" s="55">
        <f t="shared" si="13"/>
        <v>0</v>
      </c>
      <c r="G112" s="55">
        <f t="shared" si="8"/>
        <v>0</v>
      </c>
      <c r="H112" s="58">
        <f t="shared" si="14"/>
        <v>0</v>
      </c>
      <c r="I112" s="108">
        <f t="shared" si="15"/>
        <v>0</v>
      </c>
      <c r="J112" s="54">
        <f t="shared" si="9"/>
        <v>0</v>
      </c>
      <c r="K112" s="54"/>
      <c r="L112" s="129"/>
      <c r="M112" s="54">
        <f t="shared" si="10"/>
        <v>0</v>
      </c>
      <c r="N112" s="129"/>
      <c r="O112" s="54">
        <f t="shared" si="11"/>
        <v>0</v>
      </c>
      <c r="P112" s="54">
        <f t="shared" si="12"/>
        <v>0</v>
      </c>
    </row>
    <row r="113" spans="2:16" ht="12.5">
      <c r="B113" s="7" t="str">
        <f t="shared" si="16"/>
        <v/>
      </c>
      <c r="C113" s="50">
        <f>IF(D93="","-",+C112+1)</f>
        <v>2030</v>
      </c>
      <c r="D113" s="12">
        <f>IF(F112+SUM(E$99:E112)=D$92,F112,D$92-SUM(E$99:E112))</f>
        <v>0</v>
      </c>
      <c r="E113" s="56">
        <f>IF(+J96&lt;F112,J96,D113)</f>
        <v>0</v>
      </c>
      <c r="F113" s="55">
        <f t="shared" si="13"/>
        <v>0</v>
      </c>
      <c r="G113" s="55">
        <f t="shared" si="8"/>
        <v>0</v>
      </c>
      <c r="H113" s="58">
        <f t="shared" si="14"/>
        <v>0</v>
      </c>
      <c r="I113" s="108">
        <f t="shared" si="15"/>
        <v>0</v>
      </c>
      <c r="J113" s="54">
        <f t="shared" si="9"/>
        <v>0</v>
      </c>
      <c r="K113" s="54"/>
      <c r="L113" s="129"/>
      <c r="M113" s="54">
        <f t="shared" si="10"/>
        <v>0</v>
      </c>
      <c r="N113" s="129"/>
      <c r="O113" s="54">
        <f t="shared" si="11"/>
        <v>0</v>
      </c>
      <c r="P113" s="54">
        <f t="shared" si="12"/>
        <v>0</v>
      </c>
    </row>
    <row r="114" spans="2:16" ht="12.5">
      <c r="B114" s="7" t="str">
        <f t="shared" si="16"/>
        <v/>
      </c>
      <c r="C114" s="50">
        <f>IF(D93="","-",+C113+1)</f>
        <v>2031</v>
      </c>
      <c r="D114" s="12">
        <f>IF(F113+SUM(E$99:E113)=D$92,F113,D$92-SUM(E$99:E113))</f>
        <v>0</v>
      </c>
      <c r="E114" s="56">
        <f>IF(+J96&lt;F113,J96,D114)</f>
        <v>0</v>
      </c>
      <c r="F114" s="55">
        <f t="shared" si="13"/>
        <v>0</v>
      </c>
      <c r="G114" s="55">
        <f t="shared" si="8"/>
        <v>0</v>
      </c>
      <c r="H114" s="58">
        <f t="shared" si="14"/>
        <v>0</v>
      </c>
      <c r="I114" s="108">
        <f t="shared" si="15"/>
        <v>0</v>
      </c>
      <c r="J114" s="54">
        <f t="shared" si="9"/>
        <v>0</v>
      </c>
      <c r="K114" s="54"/>
      <c r="L114" s="129"/>
      <c r="M114" s="54">
        <f t="shared" si="10"/>
        <v>0</v>
      </c>
      <c r="N114" s="129"/>
      <c r="O114" s="54">
        <f t="shared" si="11"/>
        <v>0</v>
      </c>
      <c r="P114" s="54">
        <f t="shared" si="12"/>
        <v>0</v>
      </c>
    </row>
    <row r="115" spans="2:16" ht="12.5">
      <c r="B115" s="7" t="str">
        <f t="shared" si="16"/>
        <v/>
      </c>
      <c r="C115" s="50">
        <f>IF(D93="","-",+C114+1)</f>
        <v>2032</v>
      </c>
      <c r="D115" s="12">
        <f>IF(F114+SUM(E$99:E114)=D$92,F114,D$92-SUM(E$99:E114))</f>
        <v>0</v>
      </c>
      <c r="E115" s="56">
        <f>IF(+J96&lt;F114,J96,D115)</f>
        <v>0</v>
      </c>
      <c r="F115" s="55">
        <f t="shared" si="13"/>
        <v>0</v>
      </c>
      <c r="G115" s="55">
        <f t="shared" si="8"/>
        <v>0</v>
      </c>
      <c r="H115" s="58">
        <f t="shared" si="14"/>
        <v>0</v>
      </c>
      <c r="I115" s="108">
        <f t="shared" si="15"/>
        <v>0</v>
      </c>
      <c r="J115" s="54">
        <f t="shared" si="9"/>
        <v>0</v>
      </c>
      <c r="K115" s="54"/>
      <c r="L115" s="129"/>
      <c r="M115" s="54">
        <f t="shared" si="10"/>
        <v>0</v>
      </c>
      <c r="N115" s="129"/>
      <c r="O115" s="54">
        <f t="shared" si="11"/>
        <v>0</v>
      </c>
      <c r="P115" s="54">
        <f t="shared" si="12"/>
        <v>0</v>
      </c>
    </row>
    <row r="116" spans="2:16" ht="12.5">
      <c r="B116" s="7" t="str">
        <f t="shared" si="16"/>
        <v/>
      </c>
      <c r="C116" s="50">
        <f>IF(D93="","-",+C115+1)</f>
        <v>2033</v>
      </c>
      <c r="D116" s="12">
        <f>IF(F115+SUM(E$99:E115)=D$92,F115,D$92-SUM(E$99:E115))</f>
        <v>0</v>
      </c>
      <c r="E116" s="56">
        <f>IF(+J96&lt;F115,J96,D116)</f>
        <v>0</v>
      </c>
      <c r="F116" s="55">
        <f t="shared" si="13"/>
        <v>0</v>
      </c>
      <c r="G116" s="55">
        <f t="shared" si="8"/>
        <v>0</v>
      </c>
      <c r="H116" s="58">
        <f t="shared" si="14"/>
        <v>0</v>
      </c>
      <c r="I116" s="108">
        <f t="shared" si="15"/>
        <v>0</v>
      </c>
      <c r="J116" s="54">
        <f t="shared" si="9"/>
        <v>0</v>
      </c>
      <c r="K116" s="54"/>
      <c r="L116" s="129"/>
      <c r="M116" s="54">
        <f t="shared" si="10"/>
        <v>0</v>
      </c>
      <c r="N116" s="129"/>
      <c r="O116" s="54">
        <f t="shared" si="11"/>
        <v>0</v>
      </c>
      <c r="P116" s="54">
        <f t="shared" si="12"/>
        <v>0</v>
      </c>
    </row>
    <row r="117" spans="2:16" ht="12.5">
      <c r="B117" s="7" t="str">
        <f t="shared" si="16"/>
        <v/>
      </c>
      <c r="C117" s="50">
        <f>IF(D93="","-",+C116+1)</f>
        <v>2034</v>
      </c>
      <c r="D117" s="12">
        <f>IF(F116+SUM(E$99:E116)=D$92,F116,D$92-SUM(E$99:E116))</f>
        <v>0</v>
      </c>
      <c r="E117" s="56">
        <f>IF(+J96&lt;F116,J96,D117)</f>
        <v>0</v>
      </c>
      <c r="F117" s="55">
        <f t="shared" si="13"/>
        <v>0</v>
      </c>
      <c r="G117" s="55">
        <f t="shared" si="8"/>
        <v>0</v>
      </c>
      <c r="H117" s="58">
        <f t="shared" si="14"/>
        <v>0</v>
      </c>
      <c r="I117" s="108">
        <f t="shared" si="15"/>
        <v>0</v>
      </c>
      <c r="J117" s="54">
        <f t="shared" si="9"/>
        <v>0</v>
      </c>
      <c r="K117" s="54"/>
      <c r="L117" s="129"/>
      <c r="M117" s="54">
        <f t="shared" si="10"/>
        <v>0</v>
      </c>
      <c r="N117" s="129"/>
      <c r="O117" s="54">
        <f t="shared" si="11"/>
        <v>0</v>
      </c>
      <c r="P117" s="54">
        <f t="shared" si="12"/>
        <v>0</v>
      </c>
    </row>
    <row r="118" spans="2:16" ht="12.5">
      <c r="B118" s="7" t="str">
        <f t="shared" si="16"/>
        <v/>
      </c>
      <c r="C118" s="50">
        <f>IF(D93="","-",+C117+1)</f>
        <v>2035</v>
      </c>
      <c r="D118" s="12">
        <f>IF(F117+SUM(E$99:E117)=D$92,F117,D$92-SUM(E$99:E117))</f>
        <v>0</v>
      </c>
      <c r="E118" s="56">
        <f>IF(+J96&lt;F117,J96,D118)</f>
        <v>0</v>
      </c>
      <c r="F118" s="55">
        <f t="shared" si="13"/>
        <v>0</v>
      </c>
      <c r="G118" s="55">
        <f t="shared" si="8"/>
        <v>0</v>
      </c>
      <c r="H118" s="58">
        <f t="shared" si="14"/>
        <v>0</v>
      </c>
      <c r="I118" s="108">
        <f t="shared" si="15"/>
        <v>0</v>
      </c>
      <c r="J118" s="54">
        <f t="shared" si="9"/>
        <v>0</v>
      </c>
      <c r="K118" s="54"/>
      <c r="L118" s="129"/>
      <c r="M118" s="54">
        <f t="shared" si="10"/>
        <v>0</v>
      </c>
      <c r="N118" s="129"/>
      <c r="O118" s="54">
        <f t="shared" si="11"/>
        <v>0</v>
      </c>
      <c r="P118" s="54">
        <f t="shared" si="12"/>
        <v>0</v>
      </c>
    </row>
    <row r="119" spans="2:16" ht="12.5">
      <c r="B119" s="7" t="str">
        <f t="shared" si="16"/>
        <v/>
      </c>
      <c r="C119" s="50">
        <f>IF(D93="","-",+C118+1)</f>
        <v>2036</v>
      </c>
      <c r="D119" s="12">
        <f>IF(F118+SUM(E$99:E118)=D$92,F118,D$92-SUM(E$99:E118))</f>
        <v>0</v>
      </c>
      <c r="E119" s="56">
        <f>IF(+J96&lt;F118,J96,D119)</f>
        <v>0</v>
      </c>
      <c r="F119" s="55">
        <f t="shared" si="13"/>
        <v>0</v>
      </c>
      <c r="G119" s="55">
        <f t="shared" si="8"/>
        <v>0</v>
      </c>
      <c r="H119" s="58">
        <f t="shared" si="14"/>
        <v>0</v>
      </c>
      <c r="I119" s="108">
        <f t="shared" si="15"/>
        <v>0</v>
      </c>
      <c r="J119" s="54">
        <f t="shared" si="9"/>
        <v>0</v>
      </c>
      <c r="K119" s="54"/>
      <c r="L119" s="129"/>
      <c r="M119" s="54">
        <f t="shared" si="10"/>
        <v>0</v>
      </c>
      <c r="N119" s="129"/>
      <c r="O119" s="54">
        <f t="shared" si="11"/>
        <v>0</v>
      </c>
      <c r="P119" s="54">
        <f t="shared" si="12"/>
        <v>0</v>
      </c>
    </row>
    <row r="120" spans="2:16" ht="12.5">
      <c r="B120" s="7" t="str">
        <f t="shared" si="16"/>
        <v/>
      </c>
      <c r="C120" s="50">
        <f>IF(D93="","-",+C119+1)</f>
        <v>2037</v>
      </c>
      <c r="D120" s="12">
        <f>IF(F119+SUM(E$99:E119)=D$92,F119,D$92-SUM(E$99:E119))</f>
        <v>0</v>
      </c>
      <c r="E120" s="56">
        <f>IF(+J96&lt;F119,J96,D120)</f>
        <v>0</v>
      </c>
      <c r="F120" s="55">
        <f t="shared" si="13"/>
        <v>0</v>
      </c>
      <c r="G120" s="55">
        <f t="shared" si="8"/>
        <v>0</v>
      </c>
      <c r="H120" s="58">
        <f t="shared" si="14"/>
        <v>0</v>
      </c>
      <c r="I120" s="108">
        <f t="shared" si="15"/>
        <v>0</v>
      </c>
      <c r="J120" s="54">
        <f t="shared" si="9"/>
        <v>0</v>
      </c>
      <c r="K120" s="54"/>
      <c r="L120" s="129"/>
      <c r="M120" s="54">
        <f t="shared" si="10"/>
        <v>0</v>
      </c>
      <c r="N120" s="129"/>
      <c r="O120" s="54">
        <f t="shared" si="11"/>
        <v>0</v>
      </c>
      <c r="P120" s="54">
        <f t="shared" si="12"/>
        <v>0</v>
      </c>
    </row>
    <row r="121" spans="2:16" ht="12.5">
      <c r="B121" s="7" t="str">
        <f t="shared" si="16"/>
        <v/>
      </c>
      <c r="C121" s="50">
        <f>IF(D93="","-",+C120+1)</f>
        <v>2038</v>
      </c>
      <c r="D121" s="12">
        <f>IF(F120+SUM(E$99:E120)=D$92,F120,D$92-SUM(E$99:E120))</f>
        <v>0</v>
      </c>
      <c r="E121" s="56">
        <f>IF(+J96&lt;F120,J96,D121)</f>
        <v>0</v>
      </c>
      <c r="F121" s="55">
        <f t="shared" si="13"/>
        <v>0</v>
      </c>
      <c r="G121" s="55">
        <f t="shared" si="8"/>
        <v>0</v>
      </c>
      <c r="H121" s="58">
        <f t="shared" si="14"/>
        <v>0</v>
      </c>
      <c r="I121" s="108">
        <f t="shared" si="15"/>
        <v>0</v>
      </c>
      <c r="J121" s="54">
        <f t="shared" si="9"/>
        <v>0</v>
      </c>
      <c r="K121" s="54"/>
      <c r="L121" s="129"/>
      <c r="M121" s="54">
        <f t="shared" si="10"/>
        <v>0</v>
      </c>
      <c r="N121" s="129"/>
      <c r="O121" s="54">
        <f t="shared" si="11"/>
        <v>0</v>
      </c>
      <c r="P121" s="54">
        <f t="shared" si="12"/>
        <v>0</v>
      </c>
    </row>
    <row r="122" spans="2:16" ht="12.5">
      <c r="B122" s="7" t="str">
        <f t="shared" si="16"/>
        <v/>
      </c>
      <c r="C122" s="50">
        <f>IF(D93="","-",+C121+1)</f>
        <v>2039</v>
      </c>
      <c r="D122" s="12">
        <f>IF(F121+SUM(E$99:E121)=D$92,F121,D$92-SUM(E$99:E121))</f>
        <v>0</v>
      </c>
      <c r="E122" s="56">
        <f>IF(+J96&lt;F121,J96,D122)</f>
        <v>0</v>
      </c>
      <c r="F122" s="55">
        <f t="shared" si="13"/>
        <v>0</v>
      </c>
      <c r="G122" s="55">
        <f t="shared" si="8"/>
        <v>0</v>
      </c>
      <c r="H122" s="58">
        <f t="shared" si="14"/>
        <v>0</v>
      </c>
      <c r="I122" s="108">
        <f t="shared" si="15"/>
        <v>0</v>
      </c>
      <c r="J122" s="54">
        <f t="shared" si="9"/>
        <v>0</v>
      </c>
      <c r="K122" s="54"/>
      <c r="L122" s="129"/>
      <c r="M122" s="54">
        <f t="shared" si="10"/>
        <v>0</v>
      </c>
      <c r="N122" s="129"/>
      <c r="O122" s="54">
        <f t="shared" si="11"/>
        <v>0</v>
      </c>
      <c r="P122" s="54">
        <f t="shared" si="12"/>
        <v>0</v>
      </c>
    </row>
    <row r="123" spans="2:16" ht="12.5">
      <c r="B123" s="7" t="str">
        <f t="shared" si="16"/>
        <v/>
      </c>
      <c r="C123" s="50">
        <f>IF(D93="","-",+C122+1)</f>
        <v>2040</v>
      </c>
      <c r="D123" s="12">
        <f>IF(F122+SUM(E$99:E122)=D$92,F122,D$92-SUM(E$99:E122))</f>
        <v>0</v>
      </c>
      <c r="E123" s="56">
        <f>IF(+J96&lt;F122,J96,D123)</f>
        <v>0</v>
      </c>
      <c r="F123" s="55">
        <f t="shared" si="13"/>
        <v>0</v>
      </c>
      <c r="G123" s="55">
        <f t="shared" si="8"/>
        <v>0</v>
      </c>
      <c r="H123" s="58">
        <f t="shared" si="14"/>
        <v>0</v>
      </c>
      <c r="I123" s="108">
        <f t="shared" si="15"/>
        <v>0</v>
      </c>
      <c r="J123" s="54">
        <f t="shared" si="9"/>
        <v>0</v>
      </c>
      <c r="K123" s="54"/>
      <c r="L123" s="129"/>
      <c r="M123" s="54">
        <f t="shared" si="10"/>
        <v>0</v>
      </c>
      <c r="N123" s="129"/>
      <c r="O123" s="54">
        <f t="shared" si="11"/>
        <v>0</v>
      </c>
      <c r="P123" s="54">
        <f t="shared" si="12"/>
        <v>0</v>
      </c>
    </row>
    <row r="124" spans="2:16" ht="12.5">
      <c r="B124" s="7" t="str">
        <f t="shared" si="16"/>
        <v/>
      </c>
      <c r="C124" s="50">
        <f>IF(D93="","-",+C123+1)</f>
        <v>2041</v>
      </c>
      <c r="D124" s="12">
        <f>IF(F123+SUM(E$99:E123)=D$92,F123,D$92-SUM(E$99:E123))</f>
        <v>0</v>
      </c>
      <c r="E124" s="56">
        <f>IF(+J96&lt;F123,J96,D124)</f>
        <v>0</v>
      </c>
      <c r="F124" s="55">
        <f t="shared" si="13"/>
        <v>0</v>
      </c>
      <c r="G124" s="55">
        <f t="shared" si="8"/>
        <v>0</v>
      </c>
      <c r="H124" s="58">
        <f t="shared" si="14"/>
        <v>0</v>
      </c>
      <c r="I124" s="108">
        <f t="shared" si="15"/>
        <v>0</v>
      </c>
      <c r="J124" s="54">
        <f t="shared" si="9"/>
        <v>0</v>
      </c>
      <c r="K124" s="54"/>
      <c r="L124" s="129"/>
      <c r="M124" s="54">
        <f t="shared" si="10"/>
        <v>0</v>
      </c>
      <c r="N124" s="129"/>
      <c r="O124" s="54">
        <f t="shared" si="11"/>
        <v>0</v>
      </c>
      <c r="P124" s="54">
        <f t="shared" si="12"/>
        <v>0</v>
      </c>
    </row>
    <row r="125" spans="2:16" ht="12.5">
      <c r="B125" s="7" t="str">
        <f t="shared" si="16"/>
        <v/>
      </c>
      <c r="C125" s="50">
        <f>IF(D93="","-",+C124+1)</f>
        <v>2042</v>
      </c>
      <c r="D125" s="12">
        <f>IF(F124+SUM(E$99:E124)=D$92,F124,D$92-SUM(E$99:E124))</f>
        <v>0</v>
      </c>
      <c r="E125" s="56">
        <f>IF(+J96&lt;F124,J96,D125)</f>
        <v>0</v>
      </c>
      <c r="F125" s="55">
        <f t="shared" si="13"/>
        <v>0</v>
      </c>
      <c r="G125" s="55">
        <f t="shared" si="8"/>
        <v>0</v>
      </c>
      <c r="H125" s="58">
        <f t="shared" si="14"/>
        <v>0</v>
      </c>
      <c r="I125" s="108">
        <f t="shared" si="15"/>
        <v>0</v>
      </c>
      <c r="J125" s="54">
        <f t="shared" si="9"/>
        <v>0</v>
      </c>
      <c r="K125" s="54"/>
      <c r="L125" s="129"/>
      <c r="M125" s="54">
        <f t="shared" si="10"/>
        <v>0</v>
      </c>
      <c r="N125" s="129"/>
      <c r="O125" s="54">
        <f t="shared" si="11"/>
        <v>0</v>
      </c>
      <c r="P125" s="54">
        <f t="shared" si="12"/>
        <v>0</v>
      </c>
    </row>
    <row r="126" spans="2:16" ht="12.5">
      <c r="B126" s="7" t="str">
        <f t="shared" si="16"/>
        <v/>
      </c>
      <c r="C126" s="50">
        <f>IF(D93="","-",+C125+1)</f>
        <v>2043</v>
      </c>
      <c r="D126" s="12">
        <f>IF(F125+SUM(E$99:E125)=D$92,F125,D$92-SUM(E$99:E125))</f>
        <v>0</v>
      </c>
      <c r="E126" s="56">
        <f>IF(+J96&lt;F125,J96,D126)</f>
        <v>0</v>
      </c>
      <c r="F126" s="55">
        <f t="shared" si="13"/>
        <v>0</v>
      </c>
      <c r="G126" s="55">
        <f t="shared" si="8"/>
        <v>0</v>
      </c>
      <c r="H126" s="58">
        <f t="shared" si="14"/>
        <v>0</v>
      </c>
      <c r="I126" s="108">
        <f t="shared" si="15"/>
        <v>0</v>
      </c>
      <c r="J126" s="54">
        <f t="shared" si="9"/>
        <v>0</v>
      </c>
      <c r="K126" s="54"/>
      <c r="L126" s="129"/>
      <c r="M126" s="54">
        <f t="shared" si="10"/>
        <v>0</v>
      </c>
      <c r="N126" s="129"/>
      <c r="O126" s="54">
        <f t="shared" si="11"/>
        <v>0</v>
      </c>
      <c r="P126" s="54">
        <f t="shared" si="12"/>
        <v>0</v>
      </c>
    </row>
    <row r="127" spans="2:16" ht="12.5">
      <c r="B127" s="7" t="str">
        <f t="shared" si="16"/>
        <v/>
      </c>
      <c r="C127" s="50">
        <f>IF(D93="","-",+C126+1)</f>
        <v>2044</v>
      </c>
      <c r="D127" s="12">
        <f>IF(F126+SUM(E$99:E126)=D$92,F126,D$92-SUM(E$99:E126))</f>
        <v>0</v>
      </c>
      <c r="E127" s="56">
        <f>IF(+J96&lt;F126,J96,D127)</f>
        <v>0</v>
      </c>
      <c r="F127" s="55">
        <f t="shared" si="13"/>
        <v>0</v>
      </c>
      <c r="G127" s="55">
        <f t="shared" si="8"/>
        <v>0</v>
      </c>
      <c r="H127" s="58">
        <f t="shared" si="14"/>
        <v>0</v>
      </c>
      <c r="I127" s="108">
        <f t="shared" si="15"/>
        <v>0</v>
      </c>
      <c r="J127" s="54">
        <f t="shared" si="9"/>
        <v>0</v>
      </c>
      <c r="K127" s="54"/>
      <c r="L127" s="129"/>
      <c r="M127" s="54">
        <f t="shared" si="10"/>
        <v>0</v>
      </c>
      <c r="N127" s="129"/>
      <c r="O127" s="54">
        <f t="shared" si="11"/>
        <v>0</v>
      </c>
      <c r="P127" s="54">
        <f t="shared" si="12"/>
        <v>0</v>
      </c>
    </row>
    <row r="128" spans="2:16" ht="12.5">
      <c r="B128" s="7" t="str">
        <f t="shared" si="16"/>
        <v/>
      </c>
      <c r="C128" s="50">
        <f>IF(D93="","-",+C127+1)</f>
        <v>2045</v>
      </c>
      <c r="D128" s="12">
        <f>IF(F127+SUM(E$99:E127)=D$92,F127,D$92-SUM(E$99:E127))</f>
        <v>0</v>
      </c>
      <c r="E128" s="56">
        <f>IF(+J96&lt;F127,J96,D128)</f>
        <v>0</v>
      </c>
      <c r="F128" s="55">
        <f t="shared" si="13"/>
        <v>0</v>
      </c>
      <c r="G128" s="55">
        <f t="shared" si="8"/>
        <v>0</v>
      </c>
      <c r="H128" s="58">
        <f t="shared" si="14"/>
        <v>0</v>
      </c>
      <c r="I128" s="108">
        <f t="shared" si="15"/>
        <v>0</v>
      </c>
      <c r="J128" s="54">
        <f t="shared" si="9"/>
        <v>0</v>
      </c>
      <c r="K128" s="54"/>
      <c r="L128" s="129"/>
      <c r="M128" s="54">
        <f t="shared" si="10"/>
        <v>0</v>
      </c>
      <c r="N128" s="129"/>
      <c r="O128" s="54">
        <f t="shared" si="11"/>
        <v>0</v>
      </c>
      <c r="P128" s="54">
        <f t="shared" si="12"/>
        <v>0</v>
      </c>
    </row>
    <row r="129" spans="2:16" ht="12.5">
      <c r="B129" s="7" t="str">
        <f t="shared" si="16"/>
        <v/>
      </c>
      <c r="C129" s="50">
        <f>IF(D93="","-",+C128+1)</f>
        <v>2046</v>
      </c>
      <c r="D129" s="12">
        <f>IF(F128+SUM(E$99:E128)=D$92,F128,D$92-SUM(E$99:E128))</f>
        <v>0</v>
      </c>
      <c r="E129" s="56">
        <f>IF(+J96&lt;F128,J96,D129)</f>
        <v>0</v>
      </c>
      <c r="F129" s="55">
        <f t="shared" si="13"/>
        <v>0</v>
      </c>
      <c r="G129" s="55">
        <f t="shared" si="8"/>
        <v>0</v>
      </c>
      <c r="H129" s="58">
        <f t="shared" si="14"/>
        <v>0</v>
      </c>
      <c r="I129" s="108">
        <f t="shared" si="15"/>
        <v>0</v>
      </c>
      <c r="J129" s="54">
        <f t="shared" si="9"/>
        <v>0</v>
      </c>
      <c r="K129" s="54"/>
      <c r="L129" s="129"/>
      <c r="M129" s="54">
        <f t="shared" si="10"/>
        <v>0</v>
      </c>
      <c r="N129" s="129"/>
      <c r="O129" s="54">
        <f t="shared" si="11"/>
        <v>0</v>
      </c>
      <c r="P129" s="54">
        <f t="shared" si="12"/>
        <v>0</v>
      </c>
    </row>
    <row r="130" spans="2:16" ht="12.5">
      <c r="B130" s="7" t="str">
        <f t="shared" si="16"/>
        <v/>
      </c>
      <c r="C130" s="50">
        <f>IF(D93="","-",+C129+1)</f>
        <v>2047</v>
      </c>
      <c r="D130" s="12">
        <f>IF(F129+SUM(E$99:E129)=D$92,F129,D$92-SUM(E$99:E129))</f>
        <v>0</v>
      </c>
      <c r="E130" s="56">
        <f>IF(+J96&lt;F129,J96,D130)</f>
        <v>0</v>
      </c>
      <c r="F130" s="55">
        <f t="shared" si="13"/>
        <v>0</v>
      </c>
      <c r="G130" s="55">
        <f t="shared" si="8"/>
        <v>0</v>
      </c>
      <c r="H130" s="58">
        <f t="shared" si="14"/>
        <v>0</v>
      </c>
      <c r="I130" s="108">
        <f t="shared" si="15"/>
        <v>0</v>
      </c>
      <c r="J130" s="54">
        <f t="shared" si="9"/>
        <v>0</v>
      </c>
      <c r="K130" s="54"/>
      <c r="L130" s="129"/>
      <c r="M130" s="54">
        <f t="shared" si="10"/>
        <v>0</v>
      </c>
      <c r="N130" s="129"/>
      <c r="O130" s="54">
        <f t="shared" si="11"/>
        <v>0</v>
      </c>
      <c r="P130" s="54">
        <f t="shared" si="12"/>
        <v>0</v>
      </c>
    </row>
    <row r="131" spans="2:16" ht="12.5">
      <c r="B131" s="7" t="str">
        <f t="shared" si="16"/>
        <v/>
      </c>
      <c r="C131" s="50">
        <f>IF(D93="","-",+C130+1)</f>
        <v>2048</v>
      </c>
      <c r="D131" s="12">
        <f>IF(F130+SUM(E$99:E130)=D$92,F130,D$92-SUM(E$99:E130))</f>
        <v>0</v>
      </c>
      <c r="E131" s="56">
        <f>IF(+J96&lt;F130,J96,D131)</f>
        <v>0</v>
      </c>
      <c r="F131" s="55">
        <f t="shared" si="13"/>
        <v>0</v>
      </c>
      <c r="G131" s="55">
        <f t="shared" si="8"/>
        <v>0</v>
      </c>
      <c r="H131" s="58">
        <f t="shared" si="14"/>
        <v>0</v>
      </c>
      <c r="I131" s="108">
        <f t="shared" si="15"/>
        <v>0</v>
      </c>
      <c r="J131" s="54">
        <f t="shared" ref="J131:J154" si="17">+I541-H541</f>
        <v>0</v>
      </c>
      <c r="K131" s="54"/>
      <c r="L131" s="129"/>
      <c r="M131" s="54">
        <f t="shared" ref="M131:M154" si="18">IF(L541&lt;&gt;0,+H541-L541,0)</f>
        <v>0</v>
      </c>
      <c r="N131" s="129"/>
      <c r="O131" s="54">
        <f t="shared" ref="O131:O154" si="19">IF(N541&lt;&gt;0,+I541-N541,0)</f>
        <v>0</v>
      </c>
      <c r="P131" s="54">
        <f t="shared" ref="P131:P154" si="20">+O541-M541</f>
        <v>0</v>
      </c>
    </row>
    <row r="132" spans="2:16" ht="12.5">
      <c r="B132" s="7" t="str">
        <f t="shared" si="16"/>
        <v/>
      </c>
      <c r="C132" s="50">
        <f>IF(D93="","-",+C131+1)</f>
        <v>2049</v>
      </c>
      <c r="D132" s="12">
        <f>IF(F131+SUM(E$99:E131)=D$92,F131,D$92-SUM(E$99:E131))</f>
        <v>0</v>
      </c>
      <c r="E132" s="56">
        <f>IF(+J96&lt;F131,J96,D132)</f>
        <v>0</v>
      </c>
      <c r="F132" s="55">
        <f t="shared" si="13"/>
        <v>0</v>
      </c>
      <c r="G132" s="55">
        <f t="shared" si="8"/>
        <v>0</v>
      </c>
      <c r="H132" s="58">
        <f t="shared" si="14"/>
        <v>0</v>
      </c>
      <c r="I132" s="108">
        <f t="shared" si="15"/>
        <v>0</v>
      </c>
      <c r="J132" s="54">
        <f t="shared" si="17"/>
        <v>0</v>
      </c>
      <c r="K132" s="54"/>
      <c r="L132" s="129"/>
      <c r="M132" s="54">
        <f t="shared" si="18"/>
        <v>0</v>
      </c>
      <c r="N132" s="129"/>
      <c r="O132" s="54">
        <f t="shared" si="19"/>
        <v>0</v>
      </c>
      <c r="P132" s="54">
        <f t="shared" si="20"/>
        <v>0</v>
      </c>
    </row>
    <row r="133" spans="2:16" ht="12.5">
      <c r="B133" s="7" t="str">
        <f t="shared" si="16"/>
        <v/>
      </c>
      <c r="C133" s="50">
        <f>IF(D93="","-",+C132+1)</f>
        <v>2050</v>
      </c>
      <c r="D133" s="12">
        <f>IF(F132+SUM(E$99:E132)=D$92,F132,D$92-SUM(E$99:E132))</f>
        <v>0</v>
      </c>
      <c r="E133" s="56">
        <f>IF(+J96&lt;F132,J96,D133)</f>
        <v>0</v>
      </c>
      <c r="F133" s="55">
        <f t="shared" si="13"/>
        <v>0</v>
      </c>
      <c r="G133" s="55">
        <f t="shared" si="8"/>
        <v>0</v>
      </c>
      <c r="H133" s="58">
        <f t="shared" si="14"/>
        <v>0</v>
      </c>
      <c r="I133" s="108">
        <f t="shared" si="15"/>
        <v>0</v>
      </c>
      <c r="J133" s="54">
        <f t="shared" si="17"/>
        <v>0</v>
      </c>
      <c r="K133" s="54"/>
      <c r="L133" s="129"/>
      <c r="M133" s="54">
        <f t="shared" si="18"/>
        <v>0</v>
      </c>
      <c r="N133" s="129"/>
      <c r="O133" s="54">
        <f t="shared" si="19"/>
        <v>0</v>
      </c>
      <c r="P133" s="54">
        <f t="shared" si="20"/>
        <v>0</v>
      </c>
    </row>
    <row r="134" spans="2:16" ht="12.5">
      <c r="B134" s="7" t="str">
        <f t="shared" si="16"/>
        <v/>
      </c>
      <c r="C134" s="50">
        <f>IF(D93="","-",+C133+1)</f>
        <v>2051</v>
      </c>
      <c r="D134" s="12">
        <f>IF(F133+SUM(E$99:E133)=D$92,F133,D$92-SUM(E$99:E133))</f>
        <v>0</v>
      </c>
      <c r="E134" s="56">
        <f>IF(+J96&lt;F133,J96,D134)</f>
        <v>0</v>
      </c>
      <c r="F134" s="55">
        <f t="shared" si="13"/>
        <v>0</v>
      </c>
      <c r="G134" s="55">
        <f t="shared" si="8"/>
        <v>0</v>
      </c>
      <c r="H134" s="58">
        <f t="shared" si="14"/>
        <v>0</v>
      </c>
      <c r="I134" s="108">
        <f t="shared" si="15"/>
        <v>0</v>
      </c>
      <c r="J134" s="54">
        <f t="shared" si="17"/>
        <v>0</v>
      </c>
      <c r="K134" s="54"/>
      <c r="L134" s="129"/>
      <c r="M134" s="54">
        <f t="shared" si="18"/>
        <v>0</v>
      </c>
      <c r="N134" s="129"/>
      <c r="O134" s="54">
        <f t="shared" si="19"/>
        <v>0</v>
      </c>
      <c r="P134" s="54">
        <f t="shared" si="20"/>
        <v>0</v>
      </c>
    </row>
    <row r="135" spans="2:16" ht="12.5">
      <c r="B135" s="7" t="str">
        <f t="shared" si="16"/>
        <v/>
      </c>
      <c r="C135" s="50">
        <f>IF(D93="","-",+C134+1)</f>
        <v>2052</v>
      </c>
      <c r="D135" s="12">
        <f>IF(F134+SUM(E$99:E134)=D$92,F134,D$92-SUM(E$99:E134))</f>
        <v>0</v>
      </c>
      <c r="E135" s="56">
        <f>IF(+J96&lt;F134,J96,D135)</f>
        <v>0</v>
      </c>
      <c r="F135" s="55">
        <f t="shared" si="13"/>
        <v>0</v>
      </c>
      <c r="G135" s="55">
        <f t="shared" si="8"/>
        <v>0</v>
      </c>
      <c r="H135" s="58">
        <f t="shared" si="14"/>
        <v>0</v>
      </c>
      <c r="I135" s="108">
        <f t="shared" si="15"/>
        <v>0</v>
      </c>
      <c r="J135" s="54">
        <f t="shared" si="17"/>
        <v>0</v>
      </c>
      <c r="K135" s="54"/>
      <c r="L135" s="129"/>
      <c r="M135" s="54">
        <f t="shared" si="18"/>
        <v>0</v>
      </c>
      <c r="N135" s="129"/>
      <c r="O135" s="54">
        <f t="shared" si="19"/>
        <v>0</v>
      </c>
      <c r="P135" s="54">
        <f t="shared" si="20"/>
        <v>0</v>
      </c>
    </row>
    <row r="136" spans="2:16" ht="12.5">
      <c r="B136" s="7" t="str">
        <f t="shared" si="16"/>
        <v/>
      </c>
      <c r="C136" s="50">
        <f>IF(D93="","-",+C135+1)</f>
        <v>2053</v>
      </c>
      <c r="D136" s="12">
        <f>IF(F135+SUM(E$99:E135)=D$92,F135,D$92-SUM(E$99:E135))</f>
        <v>0</v>
      </c>
      <c r="E136" s="56">
        <f>IF(+J96&lt;F135,J96,D136)</f>
        <v>0</v>
      </c>
      <c r="F136" s="55">
        <f t="shared" si="13"/>
        <v>0</v>
      </c>
      <c r="G136" s="55">
        <f t="shared" si="8"/>
        <v>0</v>
      </c>
      <c r="H136" s="58">
        <f t="shared" si="14"/>
        <v>0</v>
      </c>
      <c r="I136" s="108">
        <f t="shared" si="15"/>
        <v>0</v>
      </c>
      <c r="J136" s="54">
        <f t="shared" si="17"/>
        <v>0</v>
      </c>
      <c r="K136" s="54"/>
      <c r="L136" s="129"/>
      <c r="M136" s="54">
        <f t="shared" si="18"/>
        <v>0</v>
      </c>
      <c r="N136" s="129"/>
      <c r="O136" s="54">
        <f t="shared" si="19"/>
        <v>0</v>
      </c>
      <c r="P136" s="54">
        <f t="shared" si="20"/>
        <v>0</v>
      </c>
    </row>
    <row r="137" spans="2:16" ht="12.5">
      <c r="B137" s="7" t="str">
        <f t="shared" si="16"/>
        <v/>
      </c>
      <c r="C137" s="50">
        <f>IF(D93="","-",+C136+1)</f>
        <v>2054</v>
      </c>
      <c r="D137" s="12">
        <f>IF(F136+SUM(E$99:E136)=D$92,F136,D$92-SUM(E$99:E136))</f>
        <v>0</v>
      </c>
      <c r="E137" s="56">
        <f>IF(+J96&lt;F136,J96,D137)</f>
        <v>0</v>
      </c>
      <c r="F137" s="55">
        <f t="shared" si="13"/>
        <v>0</v>
      </c>
      <c r="G137" s="55">
        <f t="shared" si="8"/>
        <v>0</v>
      </c>
      <c r="H137" s="58">
        <f t="shared" si="14"/>
        <v>0</v>
      </c>
      <c r="I137" s="108">
        <f t="shared" si="15"/>
        <v>0</v>
      </c>
      <c r="J137" s="54">
        <f t="shared" si="17"/>
        <v>0</v>
      </c>
      <c r="K137" s="54"/>
      <c r="L137" s="129"/>
      <c r="M137" s="54">
        <f t="shared" si="18"/>
        <v>0</v>
      </c>
      <c r="N137" s="129"/>
      <c r="O137" s="54">
        <f t="shared" si="19"/>
        <v>0</v>
      </c>
      <c r="P137" s="54">
        <f t="shared" si="20"/>
        <v>0</v>
      </c>
    </row>
    <row r="138" spans="2:16" ht="12.5">
      <c r="B138" s="7" t="str">
        <f t="shared" si="16"/>
        <v/>
      </c>
      <c r="C138" s="50">
        <f>IF(D93="","-",+C137+1)</f>
        <v>2055</v>
      </c>
      <c r="D138" s="12">
        <f>IF(F137+SUM(E$99:E137)=D$92,F137,D$92-SUM(E$99:E137))</f>
        <v>0</v>
      </c>
      <c r="E138" s="56">
        <f>IF(+J96&lt;F137,J96,D138)</f>
        <v>0</v>
      </c>
      <c r="F138" s="55">
        <f t="shared" si="13"/>
        <v>0</v>
      </c>
      <c r="G138" s="55">
        <f t="shared" si="8"/>
        <v>0</v>
      </c>
      <c r="H138" s="58">
        <f t="shared" si="14"/>
        <v>0</v>
      </c>
      <c r="I138" s="108">
        <f t="shared" si="15"/>
        <v>0</v>
      </c>
      <c r="J138" s="54">
        <f t="shared" si="17"/>
        <v>0</v>
      </c>
      <c r="K138" s="54"/>
      <c r="L138" s="129"/>
      <c r="M138" s="54">
        <f t="shared" si="18"/>
        <v>0</v>
      </c>
      <c r="N138" s="129"/>
      <c r="O138" s="54">
        <f t="shared" si="19"/>
        <v>0</v>
      </c>
      <c r="P138" s="54">
        <f t="shared" si="20"/>
        <v>0</v>
      </c>
    </row>
    <row r="139" spans="2:16" ht="12.5">
      <c r="B139" s="7" t="str">
        <f t="shared" si="16"/>
        <v/>
      </c>
      <c r="C139" s="50">
        <f>IF(D93="","-",+C138+1)</f>
        <v>2056</v>
      </c>
      <c r="D139" s="12">
        <f>IF(F138+SUM(E$99:E138)=D$92,F138,D$92-SUM(E$99:E138))</f>
        <v>0</v>
      </c>
      <c r="E139" s="56">
        <f>IF(+J96&lt;F138,J96,D139)</f>
        <v>0</v>
      </c>
      <c r="F139" s="55">
        <f t="shared" si="13"/>
        <v>0</v>
      </c>
      <c r="G139" s="55">
        <f t="shared" si="8"/>
        <v>0</v>
      </c>
      <c r="H139" s="58">
        <f t="shared" si="14"/>
        <v>0</v>
      </c>
      <c r="I139" s="108">
        <f t="shared" si="15"/>
        <v>0</v>
      </c>
      <c r="J139" s="54">
        <f t="shared" si="17"/>
        <v>0</v>
      </c>
      <c r="K139" s="54"/>
      <c r="L139" s="129"/>
      <c r="M139" s="54">
        <f t="shared" si="18"/>
        <v>0</v>
      </c>
      <c r="N139" s="129"/>
      <c r="O139" s="54">
        <f t="shared" si="19"/>
        <v>0</v>
      </c>
      <c r="P139" s="54">
        <f t="shared" si="20"/>
        <v>0</v>
      </c>
    </row>
    <row r="140" spans="2:16" ht="12.5">
      <c r="B140" s="7" t="str">
        <f t="shared" si="16"/>
        <v/>
      </c>
      <c r="C140" s="50">
        <f>IF(D93="","-",+C139+1)</f>
        <v>2057</v>
      </c>
      <c r="D140" s="12">
        <f>IF(F139+SUM(E$99:E139)=D$92,F139,D$92-SUM(E$99:E139))</f>
        <v>0</v>
      </c>
      <c r="E140" s="56">
        <f>IF(+J96&lt;F139,J96,D140)</f>
        <v>0</v>
      </c>
      <c r="F140" s="55">
        <f t="shared" si="13"/>
        <v>0</v>
      </c>
      <c r="G140" s="55">
        <f t="shared" si="8"/>
        <v>0</v>
      </c>
      <c r="H140" s="58">
        <f t="shared" si="14"/>
        <v>0</v>
      </c>
      <c r="I140" s="108">
        <f t="shared" si="15"/>
        <v>0</v>
      </c>
      <c r="J140" s="54">
        <f t="shared" si="17"/>
        <v>0</v>
      </c>
      <c r="K140" s="54"/>
      <c r="L140" s="129"/>
      <c r="M140" s="54">
        <f t="shared" si="18"/>
        <v>0</v>
      </c>
      <c r="N140" s="129"/>
      <c r="O140" s="54">
        <f t="shared" si="19"/>
        <v>0</v>
      </c>
      <c r="P140" s="54">
        <f t="shared" si="20"/>
        <v>0</v>
      </c>
    </row>
    <row r="141" spans="2:16" ht="12.5">
      <c r="B141" s="7" t="str">
        <f t="shared" si="16"/>
        <v/>
      </c>
      <c r="C141" s="50">
        <f>IF(D93="","-",+C140+1)</f>
        <v>2058</v>
      </c>
      <c r="D141" s="12">
        <f>IF(F140+SUM(E$99:E140)=D$92,F140,D$92-SUM(E$99:E140))</f>
        <v>0</v>
      </c>
      <c r="E141" s="56">
        <f>IF(+J96&lt;F140,J96,D141)</f>
        <v>0</v>
      </c>
      <c r="F141" s="55">
        <f t="shared" si="13"/>
        <v>0</v>
      </c>
      <c r="G141" s="55">
        <f t="shared" si="8"/>
        <v>0</v>
      </c>
      <c r="H141" s="58">
        <f t="shared" si="14"/>
        <v>0</v>
      </c>
      <c r="I141" s="108">
        <f t="shared" si="15"/>
        <v>0</v>
      </c>
      <c r="J141" s="54">
        <f t="shared" si="17"/>
        <v>0</v>
      </c>
      <c r="K141" s="54"/>
      <c r="L141" s="129"/>
      <c r="M141" s="54">
        <f t="shared" si="18"/>
        <v>0</v>
      </c>
      <c r="N141" s="129"/>
      <c r="O141" s="54">
        <f t="shared" si="19"/>
        <v>0</v>
      </c>
      <c r="P141" s="54">
        <f t="shared" si="20"/>
        <v>0</v>
      </c>
    </row>
    <row r="142" spans="2:16" ht="12.5">
      <c r="B142" s="7" t="str">
        <f t="shared" si="16"/>
        <v/>
      </c>
      <c r="C142" s="50">
        <f>IF(D93="","-",+C141+1)</f>
        <v>2059</v>
      </c>
      <c r="D142" s="12">
        <f>IF(F141+SUM(E$99:E141)=D$92,F141,D$92-SUM(E$99:E141))</f>
        <v>0</v>
      </c>
      <c r="E142" s="56">
        <f>IF(+J96&lt;F141,J96,D142)</f>
        <v>0</v>
      </c>
      <c r="F142" s="55">
        <f t="shared" si="13"/>
        <v>0</v>
      </c>
      <c r="G142" s="55">
        <f t="shared" si="8"/>
        <v>0</v>
      </c>
      <c r="H142" s="58">
        <f t="shared" si="14"/>
        <v>0</v>
      </c>
      <c r="I142" s="108">
        <f t="shared" si="15"/>
        <v>0</v>
      </c>
      <c r="J142" s="54">
        <f t="shared" si="17"/>
        <v>0</v>
      </c>
      <c r="K142" s="54"/>
      <c r="L142" s="129"/>
      <c r="M142" s="54">
        <f t="shared" si="18"/>
        <v>0</v>
      </c>
      <c r="N142" s="129"/>
      <c r="O142" s="54">
        <f t="shared" si="19"/>
        <v>0</v>
      </c>
      <c r="P142" s="54">
        <f t="shared" si="20"/>
        <v>0</v>
      </c>
    </row>
    <row r="143" spans="2:16" ht="12.5">
      <c r="B143" s="7" t="str">
        <f t="shared" si="16"/>
        <v/>
      </c>
      <c r="C143" s="50">
        <f>IF(D93="","-",+C142+1)</f>
        <v>2060</v>
      </c>
      <c r="D143" s="12">
        <f>IF(F142+SUM(E$99:E142)=D$92,F142,D$92-SUM(E$99:E142))</f>
        <v>0</v>
      </c>
      <c r="E143" s="56">
        <f>IF(+J96&lt;F142,J96,D143)</f>
        <v>0</v>
      </c>
      <c r="F143" s="55">
        <f t="shared" si="13"/>
        <v>0</v>
      </c>
      <c r="G143" s="55">
        <f t="shared" si="8"/>
        <v>0</v>
      </c>
      <c r="H143" s="58">
        <f t="shared" si="14"/>
        <v>0</v>
      </c>
      <c r="I143" s="108">
        <f t="shared" si="15"/>
        <v>0</v>
      </c>
      <c r="J143" s="54">
        <f t="shared" si="17"/>
        <v>0</v>
      </c>
      <c r="K143" s="54"/>
      <c r="L143" s="129"/>
      <c r="M143" s="54">
        <f t="shared" si="18"/>
        <v>0</v>
      </c>
      <c r="N143" s="129"/>
      <c r="O143" s="54">
        <f t="shared" si="19"/>
        <v>0</v>
      </c>
      <c r="P143" s="54">
        <f t="shared" si="20"/>
        <v>0</v>
      </c>
    </row>
    <row r="144" spans="2:16" ht="12.5">
      <c r="B144" s="7" t="str">
        <f t="shared" si="16"/>
        <v/>
      </c>
      <c r="C144" s="50">
        <f>IF(D93="","-",+C143+1)</f>
        <v>2061</v>
      </c>
      <c r="D144" s="12">
        <f>IF(F143+SUM(E$99:E143)=D$92,F143,D$92-SUM(E$99:E143))</f>
        <v>0</v>
      </c>
      <c r="E144" s="56">
        <f>IF(+J96&lt;F143,J96,D144)</f>
        <v>0</v>
      </c>
      <c r="F144" s="55">
        <f t="shared" si="13"/>
        <v>0</v>
      </c>
      <c r="G144" s="55">
        <f t="shared" si="8"/>
        <v>0</v>
      </c>
      <c r="H144" s="58">
        <f t="shared" si="14"/>
        <v>0</v>
      </c>
      <c r="I144" s="108">
        <f t="shared" si="15"/>
        <v>0</v>
      </c>
      <c r="J144" s="54">
        <f t="shared" si="17"/>
        <v>0</v>
      </c>
      <c r="K144" s="54"/>
      <c r="L144" s="129"/>
      <c r="M144" s="54">
        <f t="shared" si="18"/>
        <v>0</v>
      </c>
      <c r="N144" s="129"/>
      <c r="O144" s="54">
        <f t="shared" si="19"/>
        <v>0</v>
      </c>
      <c r="P144" s="54">
        <f t="shared" si="20"/>
        <v>0</v>
      </c>
    </row>
    <row r="145" spans="2:16" ht="12.5">
      <c r="B145" s="7" t="str">
        <f t="shared" si="16"/>
        <v/>
      </c>
      <c r="C145" s="50">
        <f>IF(D93="","-",+C144+1)</f>
        <v>2062</v>
      </c>
      <c r="D145" s="12">
        <f>IF(F144+SUM(E$99:E144)=D$92,F144,D$92-SUM(E$99:E144))</f>
        <v>0</v>
      </c>
      <c r="E145" s="56">
        <f>IF(+J96&lt;F144,J96,D145)</f>
        <v>0</v>
      </c>
      <c r="F145" s="55">
        <f t="shared" si="13"/>
        <v>0</v>
      </c>
      <c r="G145" s="55">
        <f t="shared" si="8"/>
        <v>0</v>
      </c>
      <c r="H145" s="58">
        <f t="shared" si="14"/>
        <v>0</v>
      </c>
      <c r="I145" s="108">
        <f t="shared" si="15"/>
        <v>0</v>
      </c>
      <c r="J145" s="54">
        <f t="shared" si="17"/>
        <v>0</v>
      </c>
      <c r="K145" s="54"/>
      <c r="L145" s="129"/>
      <c r="M145" s="54">
        <f t="shared" si="18"/>
        <v>0</v>
      </c>
      <c r="N145" s="129"/>
      <c r="O145" s="54">
        <f t="shared" si="19"/>
        <v>0</v>
      </c>
      <c r="P145" s="54">
        <f t="shared" si="20"/>
        <v>0</v>
      </c>
    </row>
    <row r="146" spans="2:16" ht="12.5">
      <c r="B146" s="7" t="str">
        <f t="shared" si="16"/>
        <v/>
      </c>
      <c r="C146" s="50">
        <f>IF(D93="","-",+C145+1)</f>
        <v>2063</v>
      </c>
      <c r="D146" s="12">
        <f>IF(F145+SUM(E$99:E145)=D$92,F145,D$92-SUM(E$99:E145))</f>
        <v>0</v>
      </c>
      <c r="E146" s="56">
        <f>IF(+J96&lt;F145,J96,D146)</f>
        <v>0</v>
      </c>
      <c r="F146" s="55">
        <f t="shared" si="13"/>
        <v>0</v>
      </c>
      <c r="G146" s="55">
        <f t="shared" si="8"/>
        <v>0</v>
      </c>
      <c r="H146" s="58">
        <f t="shared" si="14"/>
        <v>0</v>
      </c>
      <c r="I146" s="108">
        <f t="shared" si="15"/>
        <v>0</v>
      </c>
      <c r="J146" s="54">
        <f t="shared" si="17"/>
        <v>0</v>
      </c>
      <c r="K146" s="54"/>
      <c r="L146" s="129"/>
      <c r="M146" s="54">
        <f t="shared" si="18"/>
        <v>0</v>
      </c>
      <c r="N146" s="129"/>
      <c r="O146" s="54">
        <f t="shared" si="19"/>
        <v>0</v>
      </c>
      <c r="P146" s="54">
        <f t="shared" si="20"/>
        <v>0</v>
      </c>
    </row>
    <row r="147" spans="2:16" ht="12.5">
      <c r="B147" s="7" t="str">
        <f t="shared" si="16"/>
        <v/>
      </c>
      <c r="C147" s="50">
        <f>IF(D93="","-",+C146+1)</f>
        <v>2064</v>
      </c>
      <c r="D147" s="12">
        <f>IF(F146+SUM(E$99:E146)=D$92,F146,D$92-SUM(E$99:E146))</f>
        <v>0</v>
      </c>
      <c r="E147" s="56">
        <f>IF(+J96&lt;F146,J96,D147)</f>
        <v>0</v>
      </c>
      <c r="F147" s="55">
        <f t="shared" si="13"/>
        <v>0</v>
      </c>
      <c r="G147" s="55">
        <f t="shared" si="8"/>
        <v>0</v>
      </c>
      <c r="H147" s="58">
        <f t="shared" si="14"/>
        <v>0</v>
      </c>
      <c r="I147" s="108">
        <f t="shared" si="15"/>
        <v>0</v>
      </c>
      <c r="J147" s="54">
        <f t="shared" si="17"/>
        <v>0</v>
      </c>
      <c r="K147" s="54"/>
      <c r="L147" s="129"/>
      <c r="M147" s="54">
        <f t="shared" si="18"/>
        <v>0</v>
      </c>
      <c r="N147" s="129"/>
      <c r="O147" s="54">
        <f t="shared" si="19"/>
        <v>0</v>
      </c>
      <c r="P147" s="54">
        <f t="shared" si="20"/>
        <v>0</v>
      </c>
    </row>
    <row r="148" spans="2:16" ht="12.5">
      <c r="B148" s="7" t="str">
        <f t="shared" si="16"/>
        <v/>
      </c>
      <c r="C148" s="50">
        <f>IF(D93="","-",+C147+1)</f>
        <v>2065</v>
      </c>
      <c r="D148" s="12">
        <f>IF(F147+SUM(E$99:E147)=D$92,F147,D$92-SUM(E$99:E147))</f>
        <v>0</v>
      </c>
      <c r="E148" s="56">
        <f>IF(+J96&lt;F147,J96,D148)</f>
        <v>0</v>
      </c>
      <c r="F148" s="55">
        <f t="shared" si="13"/>
        <v>0</v>
      </c>
      <c r="G148" s="55">
        <f t="shared" si="8"/>
        <v>0</v>
      </c>
      <c r="H148" s="58">
        <f t="shared" si="14"/>
        <v>0</v>
      </c>
      <c r="I148" s="108">
        <f t="shared" si="15"/>
        <v>0</v>
      </c>
      <c r="J148" s="54">
        <f t="shared" si="17"/>
        <v>0</v>
      </c>
      <c r="K148" s="54"/>
      <c r="L148" s="129"/>
      <c r="M148" s="54">
        <f t="shared" si="18"/>
        <v>0</v>
      </c>
      <c r="N148" s="129"/>
      <c r="O148" s="54">
        <f t="shared" si="19"/>
        <v>0</v>
      </c>
      <c r="P148" s="54">
        <f t="shared" si="20"/>
        <v>0</v>
      </c>
    </row>
    <row r="149" spans="2:16" ht="12.5">
      <c r="B149" s="7" t="str">
        <f t="shared" si="16"/>
        <v/>
      </c>
      <c r="C149" s="50">
        <f>IF(D93="","-",+C148+1)</f>
        <v>2066</v>
      </c>
      <c r="D149" s="12">
        <f>IF(F148+SUM(E$99:E148)=D$92,F148,D$92-SUM(E$99:E148))</f>
        <v>0</v>
      </c>
      <c r="E149" s="56">
        <f>IF(+J96&lt;F148,J96,D149)</f>
        <v>0</v>
      </c>
      <c r="F149" s="55">
        <f t="shared" si="13"/>
        <v>0</v>
      </c>
      <c r="G149" s="55">
        <f t="shared" si="8"/>
        <v>0</v>
      </c>
      <c r="H149" s="58">
        <f t="shared" si="14"/>
        <v>0</v>
      </c>
      <c r="I149" s="108">
        <f t="shared" si="15"/>
        <v>0</v>
      </c>
      <c r="J149" s="54">
        <f t="shared" si="17"/>
        <v>0</v>
      </c>
      <c r="K149" s="54"/>
      <c r="L149" s="129"/>
      <c r="M149" s="54">
        <f t="shared" si="18"/>
        <v>0</v>
      </c>
      <c r="N149" s="129"/>
      <c r="O149" s="54">
        <f t="shared" si="19"/>
        <v>0</v>
      </c>
      <c r="P149" s="54">
        <f t="shared" si="20"/>
        <v>0</v>
      </c>
    </row>
    <row r="150" spans="2:16" ht="12.5">
      <c r="B150" s="7" t="str">
        <f t="shared" si="16"/>
        <v/>
      </c>
      <c r="C150" s="50">
        <f>IF(D93="","-",+C149+1)</f>
        <v>2067</v>
      </c>
      <c r="D150" s="12">
        <f>IF(F149+SUM(E$99:E149)=D$92,F149,D$92-SUM(E$99:E149))</f>
        <v>0</v>
      </c>
      <c r="E150" s="56">
        <f>IF(+J96&lt;F149,J96,D150)</f>
        <v>0</v>
      </c>
      <c r="F150" s="55">
        <f t="shared" si="13"/>
        <v>0</v>
      </c>
      <c r="G150" s="55">
        <f t="shared" si="8"/>
        <v>0</v>
      </c>
      <c r="H150" s="58">
        <f t="shared" si="14"/>
        <v>0</v>
      </c>
      <c r="I150" s="108">
        <f t="shared" si="15"/>
        <v>0</v>
      </c>
      <c r="J150" s="54">
        <f t="shared" si="17"/>
        <v>0</v>
      </c>
      <c r="K150" s="54"/>
      <c r="L150" s="129"/>
      <c r="M150" s="54">
        <f t="shared" si="18"/>
        <v>0</v>
      </c>
      <c r="N150" s="129"/>
      <c r="O150" s="54">
        <f t="shared" si="19"/>
        <v>0</v>
      </c>
      <c r="P150" s="54">
        <f t="shared" si="20"/>
        <v>0</v>
      </c>
    </row>
    <row r="151" spans="2:16" ht="12.5">
      <c r="B151" s="7" t="str">
        <f t="shared" si="16"/>
        <v/>
      </c>
      <c r="C151" s="50">
        <f>IF(D93="","-",+C150+1)</f>
        <v>2068</v>
      </c>
      <c r="D151" s="12">
        <f>IF(F150+SUM(E$99:E150)=D$92,F150,D$92-SUM(E$99:E150))</f>
        <v>0</v>
      </c>
      <c r="E151" s="56">
        <f>IF(+J96&lt;F150,J96,D151)</f>
        <v>0</v>
      </c>
      <c r="F151" s="55">
        <f t="shared" si="13"/>
        <v>0</v>
      </c>
      <c r="G151" s="55">
        <f t="shared" si="8"/>
        <v>0</v>
      </c>
      <c r="H151" s="58">
        <f t="shared" si="14"/>
        <v>0</v>
      </c>
      <c r="I151" s="108">
        <f t="shared" si="15"/>
        <v>0</v>
      </c>
      <c r="J151" s="54">
        <f t="shared" si="17"/>
        <v>0</v>
      </c>
      <c r="K151" s="54"/>
      <c r="L151" s="129"/>
      <c r="M151" s="54">
        <f t="shared" si="18"/>
        <v>0</v>
      </c>
      <c r="N151" s="129"/>
      <c r="O151" s="54">
        <f t="shared" si="19"/>
        <v>0</v>
      </c>
      <c r="P151" s="54">
        <f t="shared" si="20"/>
        <v>0</v>
      </c>
    </row>
    <row r="152" spans="2:16" ht="12.5">
      <c r="B152" s="7" t="str">
        <f t="shared" si="16"/>
        <v/>
      </c>
      <c r="C152" s="50">
        <f>IF(D93="","-",+C151+1)</f>
        <v>2069</v>
      </c>
      <c r="D152" s="12">
        <f>IF(F151+SUM(E$99:E151)=D$92,F151,D$92-SUM(E$99:E151))</f>
        <v>0</v>
      </c>
      <c r="E152" s="56">
        <f>IF(+J96&lt;F151,J96,D152)</f>
        <v>0</v>
      </c>
      <c r="F152" s="55">
        <f t="shared" si="13"/>
        <v>0</v>
      </c>
      <c r="G152" s="55">
        <f t="shared" si="8"/>
        <v>0</v>
      </c>
      <c r="H152" s="58">
        <f t="shared" si="14"/>
        <v>0</v>
      </c>
      <c r="I152" s="108">
        <f t="shared" si="15"/>
        <v>0</v>
      </c>
      <c r="J152" s="54">
        <f t="shared" si="17"/>
        <v>0</v>
      </c>
      <c r="K152" s="54"/>
      <c r="L152" s="129"/>
      <c r="M152" s="54">
        <f t="shared" si="18"/>
        <v>0</v>
      </c>
      <c r="N152" s="129"/>
      <c r="O152" s="54">
        <f t="shared" si="19"/>
        <v>0</v>
      </c>
      <c r="P152" s="54">
        <f t="shared" si="20"/>
        <v>0</v>
      </c>
    </row>
    <row r="153" spans="2:16" ht="12.5">
      <c r="B153" s="7" t="str">
        <f t="shared" si="16"/>
        <v/>
      </c>
      <c r="C153" s="50">
        <f>IF(D93="","-",+C152+1)</f>
        <v>2070</v>
      </c>
      <c r="D153" s="12">
        <f>IF(F152+SUM(E$99:E152)=D$92,F152,D$92-SUM(E$99:E152))</f>
        <v>0</v>
      </c>
      <c r="E153" s="56">
        <f>IF(+J96&lt;F152,J96,D153)</f>
        <v>0</v>
      </c>
      <c r="F153" s="55">
        <f t="shared" si="13"/>
        <v>0</v>
      </c>
      <c r="G153" s="55">
        <f t="shared" si="8"/>
        <v>0</v>
      </c>
      <c r="H153" s="58">
        <f t="shared" si="14"/>
        <v>0</v>
      </c>
      <c r="I153" s="108">
        <f t="shared" si="15"/>
        <v>0</v>
      </c>
      <c r="J153" s="54">
        <f t="shared" si="17"/>
        <v>0</v>
      </c>
      <c r="K153" s="54"/>
      <c r="L153" s="129"/>
      <c r="M153" s="54">
        <f t="shared" si="18"/>
        <v>0</v>
      </c>
      <c r="N153" s="129"/>
      <c r="O153" s="54">
        <f t="shared" si="19"/>
        <v>0</v>
      </c>
      <c r="P153" s="54">
        <f t="shared" si="20"/>
        <v>0</v>
      </c>
    </row>
    <row r="154" spans="2:16" ht="13" thickBot="1">
      <c r="B154" s="7" t="str">
        <f t="shared" si="16"/>
        <v/>
      </c>
      <c r="C154" s="59">
        <f>IF(D93="","-",+C153+1)</f>
        <v>2071</v>
      </c>
      <c r="D154" s="84">
        <f>IF(F153+SUM(E$99:E153)=D$92,F153,D$92-SUM(E$99:E153))</f>
        <v>0</v>
      </c>
      <c r="E154" s="61">
        <f>IF(+J96&lt;F153,J96,D154)</f>
        <v>0</v>
      </c>
      <c r="F154" s="60">
        <f t="shared" si="13"/>
        <v>0</v>
      </c>
      <c r="G154" s="60">
        <f t="shared" si="8"/>
        <v>0</v>
      </c>
      <c r="H154" s="62">
        <f t="shared" si="14"/>
        <v>0</v>
      </c>
      <c r="I154" s="109">
        <f t="shared" si="15"/>
        <v>0</v>
      </c>
      <c r="J154" s="64">
        <f t="shared" si="17"/>
        <v>0</v>
      </c>
      <c r="K154" s="54"/>
      <c r="L154" s="130"/>
      <c r="M154" s="64">
        <f t="shared" si="18"/>
        <v>0</v>
      </c>
      <c r="N154" s="130"/>
      <c r="O154" s="64">
        <f t="shared" si="19"/>
        <v>0</v>
      </c>
      <c r="P154" s="64">
        <f t="shared" si="20"/>
        <v>0</v>
      </c>
    </row>
    <row r="155" spans="2:16" ht="12.5">
      <c r="C155" s="12" t="s">
        <v>78</v>
      </c>
      <c r="D155" s="15"/>
      <c r="E155" s="15">
        <f>SUM(E99:E154)</f>
        <v>0</v>
      </c>
      <c r="F155" s="15"/>
      <c r="G155" s="15"/>
      <c r="H155" s="15">
        <f>SUM(H99:H154)</f>
        <v>0</v>
      </c>
      <c r="I155" s="15">
        <f>SUM(I99:I154)</f>
        <v>0</v>
      </c>
      <c r="J155" s="15">
        <f>SUM(J99:J154)</f>
        <v>0</v>
      </c>
      <c r="K155" s="15"/>
      <c r="L155" s="15"/>
      <c r="M155" s="15"/>
      <c r="N155" s="15"/>
      <c r="O155" s="15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3"/>
      <c r="J156" s="3"/>
      <c r="K156" s="15"/>
      <c r="L156" s="3"/>
      <c r="M156" s="3"/>
      <c r="N156" s="3"/>
      <c r="O156" s="3"/>
      <c r="P156" s="1"/>
    </row>
    <row r="157" spans="2:16" ht="12.5">
      <c r="C157" s="85"/>
      <c r="D157" s="2"/>
      <c r="E157" s="1"/>
      <c r="F157" s="1"/>
      <c r="G157" s="1"/>
      <c r="H157" s="1"/>
      <c r="I157" s="3"/>
      <c r="J157" s="3"/>
      <c r="K157" s="15"/>
      <c r="L157" s="3"/>
      <c r="M157" s="3"/>
      <c r="N157" s="3"/>
      <c r="O157" s="3"/>
      <c r="P157" s="1"/>
    </row>
    <row r="158" spans="2:16" ht="13">
      <c r="C158" s="104" t="s">
        <v>132</v>
      </c>
      <c r="D158" s="2"/>
      <c r="E158" s="1"/>
      <c r="F158" s="1"/>
      <c r="G158" s="1"/>
      <c r="H158" s="1"/>
      <c r="I158" s="3"/>
      <c r="J158" s="3"/>
      <c r="K158" s="15"/>
      <c r="L158" s="3"/>
      <c r="M158" s="3"/>
      <c r="N158" s="3"/>
      <c r="O158" s="3"/>
      <c r="P158" s="1"/>
    </row>
    <row r="159" spans="2:16" ht="13">
      <c r="C159" s="25" t="s">
        <v>79</v>
      </c>
      <c r="D159" s="12"/>
      <c r="E159" s="12"/>
      <c r="F159" s="12"/>
      <c r="G159" s="12"/>
      <c r="H159" s="15"/>
      <c r="I159" s="15"/>
      <c r="J159" s="65"/>
      <c r="K159" s="65"/>
      <c r="L159" s="65"/>
      <c r="M159" s="65"/>
      <c r="N159" s="65"/>
      <c r="O159" s="65"/>
      <c r="P159" s="1"/>
    </row>
    <row r="160" spans="2:16" ht="13">
      <c r="C160" s="86" t="s">
        <v>80</v>
      </c>
      <c r="D160" s="12"/>
      <c r="E160" s="12"/>
      <c r="F160" s="12"/>
      <c r="G160" s="12"/>
      <c r="H160" s="15"/>
      <c r="I160" s="15"/>
      <c r="J160" s="65"/>
      <c r="K160" s="65"/>
      <c r="L160" s="65"/>
      <c r="M160" s="65"/>
      <c r="N160" s="65"/>
      <c r="O160" s="65"/>
      <c r="P160" s="1"/>
    </row>
    <row r="161" spans="3:16" ht="13">
      <c r="C161" s="86"/>
      <c r="D161" s="12"/>
      <c r="E161" s="12"/>
      <c r="F161" s="12"/>
      <c r="G161" s="12"/>
      <c r="H161" s="15"/>
      <c r="I161" s="15"/>
      <c r="J161" s="65"/>
      <c r="K161" s="65"/>
      <c r="L161" s="65"/>
      <c r="M161" s="65"/>
      <c r="N161" s="65"/>
      <c r="O161" s="65"/>
      <c r="P161" s="1"/>
    </row>
    <row r="162" spans="3:16" ht="17.5">
      <c r="C162" s="86"/>
      <c r="D162" s="12"/>
      <c r="E162" s="12"/>
      <c r="F162" s="12"/>
      <c r="G162" s="12"/>
      <c r="H162" s="15"/>
      <c r="I162" s="15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1" priority="1" stopIfTrue="1" operator="equal">
      <formula>$I$10</formula>
    </cfRule>
  </conditionalFormatting>
  <conditionalFormatting sqref="C99:C154">
    <cfRule type="cellIs" dxfId="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4"/>
  <dimension ref="A1:Q162"/>
  <sheetViews>
    <sheetView topLeftCell="A10" zoomScaleNormal="100" zoomScaleSheetLayoutView="80" workbookViewId="0">
      <selection activeCell="D33" sqref="D33:H33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405" t="s">
        <v>133</v>
      </c>
      <c r="B1" s="406"/>
      <c r="C1" s="406"/>
      <c r="D1" s="407"/>
      <c r="E1" s="406"/>
      <c r="F1" s="408"/>
      <c r="G1" s="406"/>
      <c r="H1" s="409"/>
      <c r="I1" s="410"/>
      <c r="J1" s="410"/>
      <c r="K1" s="14"/>
      <c r="L1" s="14"/>
      <c r="M1" s="14"/>
      <c r="P1" s="105" t="str">
        <f ca="1">"SWEPCO Project "&amp;RIGHT(MID(CELL("filename",$A$1),FIND("]",CELL("filename",$A$1))+1,256),1)&amp;" of "&amp;COUNT(S.001:S.077!$P$3)</f>
        <v>SWEPCO Project 6 of 77</v>
      </c>
      <c r="Q1" s="13"/>
    </row>
    <row r="2" spans="1:17" ht="17.5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6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.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3838521.4401582326</v>
      </c>
      <c r="P5" s="1"/>
    </row>
    <row r="6" spans="1:17" ht="15.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3838521.4401582326</v>
      </c>
      <c r="O6" s="1"/>
      <c r="P6" s="1"/>
    </row>
    <row r="7" spans="1:17" ht="13.5" thickBot="1">
      <c r="C7" s="25" t="s">
        <v>48</v>
      </c>
      <c r="D7" s="127" t="s">
        <v>239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85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145</v>
      </c>
      <c r="E9" s="31" t="s">
        <v>494</v>
      </c>
      <c r="F9" s="462">
        <v>113</v>
      </c>
      <c r="G9" s="31"/>
      <c r="H9" s="31"/>
      <c r="I9" s="32"/>
      <c r="J9" s="33"/>
      <c r="P9" s="1"/>
    </row>
    <row r="10" spans="1:17" ht="13">
      <c r="C10" s="34" t="s">
        <v>51</v>
      </c>
      <c r="D10" s="363">
        <v>37028625</v>
      </c>
      <c r="E10" s="1" t="s">
        <v>52</v>
      </c>
      <c r="G10" s="2"/>
      <c r="H10" s="2"/>
      <c r="I10" s="36">
        <f>+'SWE.WS.F.BPU.ATRR.Projected'!L19</f>
        <v>2024</v>
      </c>
      <c r="J10" s="33"/>
      <c r="K10" s="293" t="s">
        <v>53</v>
      </c>
      <c r="O10" s="1"/>
      <c r="P10" s="1"/>
    </row>
    <row r="11" spans="1:17" ht="12.5">
      <c r="C11" s="34" t="s">
        <v>54</v>
      </c>
      <c r="D11" s="37">
        <v>2009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 ht="12.5">
      <c r="C12" s="34" t="s">
        <v>56</v>
      </c>
      <c r="D12" s="363">
        <v>6</v>
      </c>
      <c r="E12" s="34" t="s">
        <v>57</v>
      </c>
      <c r="F12" s="2"/>
      <c r="I12" s="40">
        <f>'SWE.WS.F.BPU.ATRR.Projected'!$F$81</f>
        <v>0.11952713165403545</v>
      </c>
      <c r="J12" s="8"/>
      <c r="K12" t="s">
        <v>58</v>
      </c>
      <c r="O12" s="1"/>
      <c r="P12" s="1"/>
    </row>
    <row r="13" spans="1:17" ht="12.5">
      <c r="C13" s="34" t="s">
        <v>59</v>
      </c>
      <c r="D13" s="38">
        <f>+'SWE.WS.F.BPU.ATRR.Projected'!F$93</f>
        <v>44</v>
      </c>
      <c r="E13" s="34" t="s">
        <v>60</v>
      </c>
      <c r="F13" s="2"/>
      <c r="I13" s="40">
        <f>IF(G5="",I12,'SWE.WS.F.BPU.ATRR.Projected'!$F$80)</f>
        <v>0.11952713165403545</v>
      </c>
      <c r="J13" s="8"/>
      <c r="K13" s="293" t="s">
        <v>61</v>
      </c>
      <c r="L13" s="8"/>
      <c r="M13" s="8"/>
      <c r="N13" s="8"/>
      <c r="O13" s="1"/>
      <c r="P13" s="1"/>
    </row>
    <row r="14" spans="1:17" ht="13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841559.65909090906</v>
      </c>
      <c r="J14" s="293"/>
      <c r="K14" s="293"/>
      <c r="L14" s="293"/>
      <c r="M14" s="293"/>
      <c r="N14" s="293"/>
      <c r="O14" s="1"/>
      <c r="P14" s="1"/>
    </row>
    <row r="15" spans="1:17" ht="39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391</v>
      </c>
      <c r="H15" s="367" t="s">
        <v>392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 ht="12.5">
      <c r="C17" s="50">
        <f>IF(D11= "","-",D11)</f>
        <v>2009</v>
      </c>
      <c r="D17" s="133">
        <v>17101764</v>
      </c>
      <c r="E17" s="374">
        <v>231105</v>
      </c>
      <c r="F17" s="133">
        <v>16870659</v>
      </c>
      <c r="G17" s="374">
        <v>1739394</v>
      </c>
      <c r="H17" s="375">
        <v>1739394</v>
      </c>
      <c r="I17" s="52">
        <f t="shared" ref="I17:I48" si="0">H17-G17</f>
        <v>0</v>
      </c>
      <c r="J17" s="52"/>
      <c r="K17" s="112">
        <v>1739394</v>
      </c>
      <c r="L17" s="53">
        <f t="shared" ref="L17:L48" si="1">IF(K17&lt;&gt;0,+G17-K17,0)</f>
        <v>0</v>
      </c>
      <c r="M17" s="112">
        <v>1739394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2010</v>
      </c>
      <c r="D18" s="137">
        <v>6292908</v>
      </c>
      <c r="E18" s="376">
        <v>171684</v>
      </c>
      <c r="F18" s="137">
        <v>6121224</v>
      </c>
      <c r="G18" s="376">
        <v>1051702</v>
      </c>
      <c r="H18" s="375">
        <v>1051702</v>
      </c>
      <c r="I18" s="52">
        <f t="shared" si="0"/>
        <v>0</v>
      </c>
      <c r="J18" s="52"/>
      <c r="K18" s="113">
        <f t="shared" ref="K18:K23" si="4">G18</f>
        <v>1051702</v>
      </c>
      <c r="L18" s="54">
        <f t="shared" si="1"/>
        <v>0</v>
      </c>
      <c r="M18" s="113">
        <f t="shared" ref="M18:M23" si="5">H18</f>
        <v>1051702</v>
      </c>
      <c r="N18" s="54">
        <f t="shared" si="2"/>
        <v>0</v>
      </c>
      <c r="O18" s="54">
        <f t="shared" si="3"/>
        <v>0</v>
      </c>
      <c r="P18" s="1"/>
    </row>
    <row r="19" spans="2:16" ht="12.5">
      <c r="B19" s="7" t="str">
        <f>IF(D19=F18,"","IU")</f>
        <v>IU</v>
      </c>
      <c r="C19" s="50">
        <f>IF(D11="","-",+C18+1)</f>
        <v>2011</v>
      </c>
      <c r="D19" s="137">
        <v>26971020</v>
      </c>
      <c r="E19" s="376">
        <v>667653.87804878049</v>
      </c>
      <c r="F19" s="137">
        <v>26303366.121951219</v>
      </c>
      <c r="G19" s="376">
        <v>4776034.0895202104</v>
      </c>
      <c r="H19" s="375">
        <v>4776034.0895202104</v>
      </c>
      <c r="I19" s="52">
        <f t="shared" si="0"/>
        <v>0</v>
      </c>
      <c r="J19" s="52"/>
      <c r="K19" s="113">
        <f t="shared" si="4"/>
        <v>4776034.0895202104</v>
      </c>
      <c r="L19" s="54">
        <f t="shared" si="1"/>
        <v>0</v>
      </c>
      <c r="M19" s="113">
        <f t="shared" si="5"/>
        <v>4776034.0895202104</v>
      </c>
      <c r="N19" s="54">
        <f t="shared" si="2"/>
        <v>0</v>
      </c>
      <c r="O19" s="54">
        <f t="shared" si="3"/>
        <v>0</v>
      </c>
      <c r="P19" s="1"/>
    </row>
    <row r="20" spans="2:16" ht="12.5">
      <c r="B20" s="7" t="str">
        <f t="shared" ref="B20:B72" si="6">IF(D20=F19,"","IU")</f>
        <v>IU</v>
      </c>
      <c r="C20" s="50">
        <f>IF(D11="","-",+C19+1)</f>
        <v>2012</v>
      </c>
      <c r="D20" s="137">
        <v>31392829.121951219</v>
      </c>
      <c r="E20" s="376">
        <v>772935.04761904757</v>
      </c>
      <c r="F20" s="137">
        <v>30619894.07433217</v>
      </c>
      <c r="G20" s="376">
        <v>5326729.983202124</v>
      </c>
      <c r="H20" s="375">
        <v>5326729.983202124</v>
      </c>
      <c r="I20" s="52">
        <f t="shared" si="0"/>
        <v>0</v>
      </c>
      <c r="J20" s="52"/>
      <c r="K20" s="113">
        <f t="shared" si="4"/>
        <v>5326729.983202124</v>
      </c>
      <c r="L20" s="54">
        <f t="shared" si="1"/>
        <v>0</v>
      </c>
      <c r="M20" s="113">
        <f t="shared" si="5"/>
        <v>5326729.983202124</v>
      </c>
      <c r="N20" s="54">
        <f t="shared" si="2"/>
        <v>0</v>
      </c>
      <c r="O20" s="54">
        <f t="shared" si="3"/>
        <v>0</v>
      </c>
      <c r="P20" s="1"/>
    </row>
    <row r="21" spans="2:16" ht="12.5">
      <c r="B21" s="7" t="str">
        <f t="shared" si="6"/>
        <v>IU</v>
      </c>
      <c r="C21" s="50">
        <f>IF(D12="","-",+C20+1)</f>
        <v>2013</v>
      </c>
      <c r="D21" s="137">
        <v>33143499.07433217</v>
      </c>
      <c r="E21" s="376">
        <v>833020.88095238095</v>
      </c>
      <c r="F21" s="137">
        <v>32310478.19337979</v>
      </c>
      <c r="G21" s="376">
        <v>5356070.4437174536</v>
      </c>
      <c r="H21" s="375">
        <v>5356070.4437174536</v>
      </c>
      <c r="I21" s="52">
        <v>0</v>
      </c>
      <c r="J21" s="52"/>
      <c r="K21" s="113">
        <f t="shared" si="4"/>
        <v>5356070.4437174536</v>
      </c>
      <c r="L21" s="54">
        <f t="shared" ref="L21:L26" si="7">IF(K21&lt;&gt;0,+G21-K21,0)</f>
        <v>0</v>
      </c>
      <c r="M21" s="113">
        <f t="shared" si="5"/>
        <v>5356070.4437174536</v>
      </c>
      <c r="N21" s="54">
        <f t="shared" ref="N21:N26" si="8">IF(M21&lt;&gt;0,+H21-M21,0)</f>
        <v>0</v>
      </c>
      <c r="O21" s="54">
        <f>+N21-L21</f>
        <v>0</v>
      </c>
      <c r="P21" s="1"/>
    </row>
    <row r="22" spans="2:16" ht="12.5">
      <c r="B22" s="7" t="str">
        <f t="shared" si="6"/>
        <v>IU</v>
      </c>
      <c r="C22" s="50">
        <f>IF(D11="","-",+C21+1)</f>
        <v>2014</v>
      </c>
      <c r="D22" s="137">
        <v>34252059.19337979</v>
      </c>
      <c r="E22" s="376">
        <v>879249</v>
      </c>
      <c r="F22" s="137">
        <v>33372810.19337979</v>
      </c>
      <c r="G22" s="376">
        <v>5381591.7849194687</v>
      </c>
      <c r="H22" s="375">
        <v>5381591.7849194687</v>
      </c>
      <c r="I22" s="52">
        <v>0</v>
      </c>
      <c r="J22" s="52"/>
      <c r="K22" s="113">
        <f t="shared" si="4"/>
        <v>5381591.7849194687</v>
      </c>
      <c r="L22" s="54">
        <f t="shared" si="7"/>
        <v>0</v>
      </c>
      <c r="M22" s="113">
        <f t="shared" si="5"/>
        <v>5381591.7849194687</v>
      </c>
      <c r="N22" s="54">
        <f t="shared" si="8"/>
        <v>0</v>
      </c>
      <c r="O22" s="54">
        <f t="shared" si="3"/>
        <v>0</v>
      </c>
      <c r="P22" s="1"/>
    </row>
    <row r="23" spans="2:16" ht="12.5">
      <c r="B23" s="7" t="str">
        <f t="shared" si="6"/>
        <v>IU</v>
      </c>
      <c r="C23" s="50">
        <f>IF(D11="","-",+C22+1)</f>
        <v>2015</v>
      </c>
      <c r="D23" s="137">
        <v>33472977.19337979</v>
      </c>
      <c r="E23" s="376">
        <v>881633.92857142852</v>
      </c>
      <c r="F23" s="137">
        <v>32591343.26480836</v>
      </c>
      <c r="G23" s="376">
        <v>5174070.3067745473</v>
      </c>
      <c r="H23" s="375">
        <v>5174070.3067745473</v>
      </c>
      <c r="I23" s="52">
        <v>0</v>
      </c>
      <c r="J23" s="52"/>
      <c r="K23" s="113">
        <f t="shared" si="4"/>
        <v>5174070.3067745473</v>
      </c>
      <c r="L23" s="54">
        <f t="shared" si="7"/>
        <v>0</v>
      </c>
      <c r="M23" s="113">
        <f t="shared" si="5"/>
        <v>5174070.3067745473</v>
      </c>
      <c r="N23" s="54">
        <f t="shared" si="8"/>
        <v>0</v>
      </c>
      <c r="O23" s="54">
        <f>+N23-L23</f>
        <v>0</v>
      </c>
      <c r="P23" s="1"/>
    </row>
    <row r="24" spans="2:16" ht="12.5">
      <c r="B24" s="7" t="str">
        <f t="shared" si="6"/>
        <v/>
      </c>
      <c r="C24" s="50">
        <f>IF(D11="","-",+C23+1)</f>
        <v>2016</v>
      </c>
      <c r="D24" s="137">
        <v>32591343.26480836</v>
      </c>
      <c r="E24" s="376">
        <v>881633.92857142852</v>
      </c>
      <c r="F24" s="137">
        <v>31709709.336236931</v>
      </c>
      <c r="G24" s="376">
        <v>5006432.1268862924</v>
      </c>
      <c r="H24" s="375">
        <v>5006432.1268862924</v>
      </c>
      <c r="I24" s="52">
        <f t="shared" si="0"/>
        <v>0</v>
      </c>
      <c r="J24" s="52"/>
      <c r="K24" s="113">
        <f t="shared" ref="K24:K29" si="9">G24</f>
        <v>5006432.1268862924</v>
      </c>
      <c r="L24" s="54">
        <f t="shared" si="7"/>
        <v>0</v>
      </c>
      <c r="M24" s="113">
        <f t="shared" ref="M24:M29" si="10">H24</f>
        <v>5006432.1268862924</v>
      </c>
      <c r="N24" s="54">
        <f t="shared" si="8"/>
        <v>0</v>
      </c>
      <c r="O24" s="54">
        <f>+N24-L24</f>
        <v>0</v>
      </c>
      <c r="P24" s="1"/>
    </row>
    <row r="25" spans="2:16" ht="12.5">
      <c r="B25" s="7" t="str">
        <f t="shared" si="6"/>
        <v/>
      </c>
      <c r="C25" s="50">
        <f>IF(D11="","-",+C24+1)</f>
        <v>2017</v>
      </c>
      <c r="D25" s="137">
        <v>31709709.336236931</v>
      </c>
      <c r="E25" s="376">
        <v>861130.81395348837</v>
      </c>
      <c r="F25" s="137">
        <v>30848578.522283442</v>
      </c>
      <c r="G25" s="376">
        <v>4736383.2047020355</v>
      </c>
      <c r="H25" s="375">
        <v>4736383.2047020355</v>
      </c>
      <c r="I25" s="52">
        <f t="shared" si="0"/>
        <v>0</v>
      </c>
      <c r="J25" s="52"/>
      <c r="K25" s="113">
        <f t="shared" si="9"/>
        <v>4736383.2047020355</v>
      </c>
      <c r="L25" s="54">
        <f t="shared" si="7"/>
        <v>0</v>
      </c>
      <c r="M25" s="113">
        <f t="shared" si="10"/>
        <v>4736383.2047020355</v>
      </c>
      <c r="N25" s="54">
        <f t="shared" si="8"/>
        <v>0</v>
      </c>
      <c r="O25" s="54">
        <f>+N25-L25</f>
        <v>0</v>
      </c>
      <c r="P25" s="1"/>
    </row>
    <row r="26" spans="2:16" ht="12.5">
      <c r="B26" s="7" t="str">
        <f t="shared" si="6"/>
        <v/>
      </c>
      <c r="C26" s="50">
        <f>IF(D11="","-",+C25+1)</f>
        <v>2018</v>
      </c>
      <c r="D26" s="137">
        <v>30848578.522283442</v>
      </c>
      <c r="E26" s="376">
        <v>903137.19512195117</v>
      </c>
      <c r="F26" s="137">
        <v>29945441.327161491</v>
      </c>
      <c r="G26" s="376">
        <v>4766417.7816179106</v>
      </c>
      <c r="H26" s="375">
        <v>4766417.7816179106</v>
      </c>
      <c r="I26" s="52">
        <f t="shared" si="0"/>
        <v>0</v>
      </c>
      <c r="J26" s="52"/>
      <c r="K26" s="113">
        <f t="shared" si="9"/>
        <v>4766417.7816179106</v>
      </c>
      <c r="L26" s="54">
        <f t="shared" si="7"/>
        <v>0</v>
      </c>
      <c r="M26" s="113">
        <f t="shared" si="10"/>
        <v>4766417.7816179106</v>
      </c>
      <c r="N26" s="54">
        <f t="shared" si="8"/>
        <v>0</v>
      </c>
      <c r="O26" s="54">
        <f>+N26-L26</f>
        <v>0</v>
      </c>
      <c r="P26" s="1"/>
    </row>
    <row r="27" spans="2:16" ht="12.5">
      <c r="B27" s="7" t="str">
        <f t="shared" si="6"/>
        <v/>
      </c>
      <c r="C27" s="50">
        <f>IF(D11="","-",+C26+1)</f>
        <v>2019</v>
      </c>
      <c r="D27" s="137">
        <v>29945441.327161491</v>
      </c>
      <c r="E27" s="376">
        <v>903137.19512195117</v>
      </c>
      <c r="F27" s="137">
        <v>29042304.13203954</v>
      </c>
      <c r="G27" s="376">
        <v>4651634.3735952908</v>
      </c>
      <c r="H27" s="375">
        <v>4651634.3735952908</v>
      </c>
      <c r="I27" s="52">
        <f t="shared" si="0"/>
        <v>0</v>
      </c>
      <c r="J27" s="52"/>
      <c r="K27" s="113">
        <f t="shared" si="9"/>
        <v>4651634.3735952908</v>
      </c>
      <c r="L27" s="54">
        <f t="shared" ref="L27" si="11">IF(K27&lt;&gt;0,+G27-K27,0)</f>
        <v>0</v>
      </c>
      <c r="M27" s="113">
        <f t="shared" si="10"/>
        <v>4651634.3735952908</v>
      </c>
      <c r="N27" s="54">
        <f t="shared" si="2"/>
        <v>0</v>
      </c>
      <c r="O27" s="54">
        <f t="shared" si="3"/>
        <v>0</v>
      </c>
      <c r="P27" s="1"/>
    </row>
    <row r="28" spans="2:16" ht="12.5">
      <c r="B28" s="7" t="str">
        <f t="shared" si="6"/>
        <v/>
      </c>
      <c r="C28" s="50">
        <f>IF(D11="","-",+C27+1)</f>
        <v>2020</v>
      </c>
      <c r="D28" s="137">
        <v>29042304.13203954</v>
      </c>
      <c r="E28" s="376">
        <v>903137.19512195117</v>
      </c>
      <c r="F28" s="137">
        <v>28139166.936917588</v>
      </c>
      <c r="G28" s="376">
        <v>3828983.1330273524</v>
      </c>
      <c r="H28" s="375">
        <v>3828983.1330273524</v>
      </c>
      <c r="I28" s="52">
        <f t="shared" si="0"/>
        <v>0</v>
      </c>
      <c r="J28" s="52"/>
      <c r="K28" s="113">
        <f t="shared" si="9"/>
        <v>3828983.1330273524</v>
      </c>
      <c r="L28" s="54">
        <f t="shared" ref="L28" si="12">IF(K28&lt;&gt;0,+G28-K28,0)</f>
        <v>0</v>
      </c>
      <c r="M28" s="113">
        <f t="shared" si="10"/>
        <v>3828983.1330273524</v>
      </c>
      <c r="N28" s="54">
        <f t="shared" si="2"/>
        <v>0</v>
      </c>
      <c r="O28" s="54">
        <f t="shared" si="3"/>
        <v>0</v>
      </c>
      <c r="P28" s="1"/>
    </row>
    <row r="29" spans="2:16" ht="12.5">
      <c r="B29" s="7" t="str">
        <f t="shared" si="6"/>
        <v>IU</v>
      </c>
      <c r="C29" s="50">
        <f>IF(D11="","-",+C28+1)</f>
        <v>2021</v>
      </c>
      <c r="D29" s="137">
        <v>28181173.318086058</v>
      </c>
      <c r="E29" s="376">
        <v>881633.92857142852</v>
      </c>
      <c r="F29" s="137">
        <v>27299539.389514629</v>
      </c>
      <c r="G29" s="376">
        <v>3822237.7831762447</v>
      </c>
      <c r="H29" s="375">
        <v>3822237.7831762447</v>
      </c>
      <c r="I29" s="52">
        <f t="shared" si="0"/>
        <v>0</v>
      </c>
      <c r="J29" s="52"/>
      <c r="K29" s="113">
        <f t="shared" si="9"/>
        <v>3822237.7831762447</v>
      </c>
      <c r="L29" s="54">
        <f t="shared" ref="L29" si="13">IF(K29&lt;&gt;0,+G29-K29,0)</f>
        <v>0</v>
      </c>
      <c r="M29" s="113">
        <f t="shared" si="10"/>
        <v>3822237.7831762447</v>
      </c>
      <c r="N29" s="54">
        <f t="shared" si="2"/>
        <v>0</v>
      </c>
      <c r="O29" s="54">
        <f t="shared" si="3"/>
        <v>0</v>
      </c>
      <c r="P29" s="1"/>
    </row>
    <row r="30" spans="2:16" ht="12.5">
      <c r="B30" s="7" t="str">
        <f t="shared" si="6"/>
        <v>IU</v>
      </c>
      <c r="C30" s="50">
        <f>IF(D11="","-",+C29+1)</f>
        <v>2022</v>
      </c>
      <c r="D30" s="137">
        <v>27257533.008346163</v>
      </c>
      <c r="E30" s="376">
        <v>881633.92857142852</v>
      </c>
      <c r="F30" s="137">
        <v>26375899.079774734</v>
      </c>
      <c r="G30" s="376">
        <v>3897015.3455155501</v>
      </c>
      <c r="H30" s="375">
        <v>3897015.3455155501</v>
      </c>
      <c r="I30" s="52">
        <f t="shared" si="0"/>
        <v>0</v>
      </c>
      <c r="J30" s="52"/>
      <c r="K30" s="113">
        <f t="shared" ref="K30" si="14">G30</f>
        <v>3897015.3455155501</v>
      </c>
      <c r="L30" s="54">
        <f t="shared" ref="L30" si="15">IF(K30&lt;&gt;0,+G30-K30,0)</f>
        <v>0</v>
      </c>
      <c r="M30" s="113">
        <f t="shared" ref="M30" si="16">H30</f>
        <v>3897015.3455155501</v>
      </c>
      <c r="N30" s="54">
        <f t="shared" si="2"/>
        <v>0</v>
      </c>
      <c r="O30" s="54">
        <f t="shared" si="3"/>
        <v>0</v>
      </c>
      <c r="P30" s="1"/>
    </row>
    <row r="31" spans="2:16" ht="12.5">
      <c r="B31" s="7" t="str">
        <f t="shared" si="6"/>
        <v/>
      </c>
      <c r="C31" s="50">
        <f>IF(D11="","-",+C30+1)</f>
        <v>2023</v>
      </c>
      <c r="D31" s="137">
        <v>26375899.079774734</v>
      </c>
      <c r="E31" s="376">
        <v>881633.92857142852</v>
      </c>
      <c r="F31" s="137">
        <v>25494265.151203305</v>
      </c>
      <c r="G31" s="376">
        <v>4157929.5482090265</v>
      </c>
      <c r="H31" s="375">
        <v>4157929.5482090265</v>
      </c>
      <c r="I31" s="52">
        <f t="shared" si="0"/>
        <v>0</v>
      </c>
      <c r="J31" s="52"/>
      <c r="K31" s="113">
        <f t="shared" ref="K31" si="17">G31</f>
        <v>4157929.5482090265</v>
      </c>
      <c r="L31" s="54">
        <f t="shared" ref="L31" si="18">IF(K31&lt;&gt;0,+G31-K31,0)</f>
        <v>0</v>
      </c>
      <c r="M31" s="113">
        <f t="shared" ref="M31" si="19">H31</f>
        <v>4157929.5482090265</v>
      </c>
      <c r="N31" s="54">
        <f t="shared" si="2"/>
        <v>0</v>
      </c>
      <c r="O31" s="54">
        <f t="shared" si="3"/>
        <v>0</v>
      </c>
      <c r="P31" s="1"/>
    </row>
    <row r="32" spans="2:16" ht="12.5">
      <c r="B32" s="7" t="str">
        <f t="shared" si="6"/>
        <v/>
      </c>
      <c r="C32" s="50">
        <f>IF(D11="","-",+C31+1)</f>
        <v>2024</v>
      </c>
      <c r="D32" s="137">
        <v>25494265.151203305</v>
      </c>
      <c r="E32" s="376">
        <v>841559.65909090906</v>
      </c>
      <c r="F32" s="137">
        <v>24652705.492112394</v>
      </c>
      <c r="G32" s="376">
        <v>3838521.4401582326</v>
      </c>
      <c r="H32" s="375">
        <v>3838521.4401582326</v>
      </c>
      <c r="I32" s="52">
        <f t="shared" si="0"/>
        <v>0</v>
      </c>
      <c r="J32" s="52"/>
      <c r="K32" s="113">
        <f t="shared" ref="K32" si="20">G32</f>
        <v>3838521.4401582326</v>
      </c>
      <c r="L32" s="54">
        <f t="shared" ref="L32" si="21">IF(K32&lt;&gt;0,+G32-K32,0)</f>
        <v>0</v>
      </c>
      <c r="M32" s="113">
        <f t="shared" ref="M32" si="22">H32</f>
        <v>3838521.4401582326</v>
      </c>
      <c r="N32" s="54">
        <f t="shared" ref="N32" si="23">IF(M32&lt;&gt;0,+H32-M32,0)</f>
        <v>0</v>
      </c>
      <c r="O32" s="54">
        <f t="shared" ref="O32" si="24">+N32-L32</f>
        <v>0</v>
      </c>
      <c r="P32" s="1"/>
    </row>
    <row r="33" spans="2:16" ht="12.5">
      <c r="B33" s="7" t="str">
        <f t="shared" si="6"/>
        <v/>
      </c>
      <c r="C33" s="50">
        <f>IF(D11="","-",+C32+1)</f>
        <v>2025</v>
      </c>
      <c r="D33" s="55">
        <f>IF(F32+SUM(E$17:E32)=D$10,F32,D$10-SUM(E$17:E32))</f>
        <v>24652705.492112394</v>
      </c>
      <c r="E33" s="378">
        <f>IF(+I14&lt;F32,I14,D33)</f>
        <v>841559.65909090906</v>
      </c>
      <c r="F33" s="55">
        <f t="shared" ref="F33:F48" si="25">+D33-E33</f>
        <v>23811145.833021484</v>
      </c>
      <c r="G33" s="379">
        <f t="shared" ref="G33:G72" si="26">+I$12*((D33+F33)/2)+E33</f>
        <v>3737932.2279913477</v>
      </c>
      <c r="H33" s="364">
        <f t="shared" ref="H33:H72" si="27">+I$13*((D33+F33)/2)+E33</f>
        <v>3737932.2279913477</v>
      </c>
      <c r="I33" s="52">
        <f t="shared" si="0"/>
        <v>0</v>
      </c>
      <c r="J33" s="52"/>
      <c r="K33" s="129"/>
      <c r="L33" s="54">
        <f t="shared" si="1"/>
        <v>0</v>
      </c>
      <c r="M33" s="129"/>
      <c r="N33" s="54">
        <f t="shared" si="2"/>
        <v>0</v>
      </c>
      <c r="O33" s="54">
        <f t="shared" si="3"/>
        <v>0</v>
      </c>
      <c r="P33" s="1"/>
    </row>
    <row r="34" spans="2:16" ht="12.5">
      <c r="B34" s="7" t="str">
        <f t="shared" si="6"/>
        <v/>
      </c>
      <c r="C34" s="50">
        <f>IF(D11="","-",+C33+1)</f>
        <v>2026</v>
      </c>
      <c r="D34" s="55">
        <f>IF(F33+SUM(E$17:E33)=D$10,F33,D$10-SUM(E$17:E33))</f>
        <v>23811145.833021484</v>
      </c>
      <c r="E34" s="378">
        <f>IF(+I14&lt;F33,I14,D34)</f>
        <v>841559.65909090906</v>
      </c>
      <c r="F34" s="55">
        <f t="shared" si="25"/>
        <v>22969586.173930574</v>
      </c>
      <c r="G34" s="379">
        <f t="shared" si="26"/>
        <v>3637343.0158244637</v>
      </c>
      <c r="H34" s="364">
        <f t="shared" si="27"/>
        <v>3637343.0158244637</v>
      </c>
      <c r="I34" s="52">
        <f t="shared" si="0"/>
        <v>0</v>
      </c>
      <c r="J34" s="52"/>
      <c r="K34" s="129"/>
      <c r="L34" s="54">
        <f t="shared" si="1"/>
        <v>0</v>
      </c>
      <c r="M34" s="129"/>
      <c r="N34" s="54">
        <f t="shared" si="2"/>
        <v>0</v>
      </c>
      <c r="O34" s="54">
        <f t="shared" si="3"/>
        <v>0</v>
      </c>
      <c r="P34" s="1"/>
    </row>
    <row r="35" spans="2:16" ht="12.5">
      <c r="B35" s="7" t="str">
        <f t="shared" si="6"/>
        <v/>
      </c>
      <c r="C35" s="50">
        <f>IF(D11="","-",+C34+1)</f>
        <v>2027</v>
      </c>
      <c r="D35" s="55">
        <f>IF(F34+SUM(E$17:E34)=D$10,F34,D$10-SUM(E$17:E34))</f>
        <v>22969586.173930574</v>
      </c>
      <c r="E35" s="378">
        <f>IF(+I14&lt;F34,I14,D35)</f>
        <v>841559.65909090906</v>
      </c>
      <c r="F35" s="55">
        <f t="shared" si="25"/>
        <v>22128026.514839664</v>
      </c>
      <c r="G35" s="379">
        <f t="shared" si="26"/>
        <v>3536753.8036575788</v>
      </c>
      <c r="H35" s="364">
        <f t="shared" si="27"/>
        <v>3536753.8036575788</v>
      </c>
      <c r="I35" s="52">
        <f t="shared" si="0"/>
        <v>0</v>
      </c>
      <c r="J35" s="52"/>
      <c r="K35" s="129"/>
      <c r="L35" s="54">
        <f t="shared" si="1"/>
        <v>0</v>
      </c>
      <c r="M35" s="129"/>
      <c r="N35" s="54">
        <f t="shared" si="2"/>
        <v>0</v>
      </c>
      <c r="O35" s="54">
        <f t="shared" si="3"/>
        <v>0</v>
      </c>
      <c r="P35" s="1"/>
    </row>
    <row r="36" spans="2:16" ht="12.5">
      <c r="B36" s="7" t="str">
        <f t="shared" si="6"/>
        <v/>
      </c>
      <c r="C36" s="50">
        <f>IF(D11="","-",+C35+1)</f>
        <v>2028</v>
      </c>
      <c r="D36" s="55">
        <f>IF(F35+SUM(E$17:E35)=D$10,F35,D$10-SUM(E$17:E35))</f>
        <v>22128026.514839664</v>
      </c>
      <c r="E36" s="378">
        <f>IF(+I14&lt;F35,I14,D36)</f>
        <v>841559.65909090906</v>
      </c>
      <c r="F36" s="55">
        <f t="shared" si="25"/>
        <v>21286466.855748754</v>
      </c>
      <c r="G36" s="379">
        <f t="shared" si="26"/>
        <v>3436164.5914906948</v>
      </c>
      <c r="H36" s="364">
        <f t="shared" si="27"/>
        <v>3436164.5914906948</v>
      </c>
      <c r="I36" s="52">
        <f t="shared" si="0"/>
        <v>0</v>
      </c>
      <c r="J36" s="52"/>
      <c r="K36" s="129"/>
      <c r="L36" s="54">
        <f t="shared" si="1"/>
        <v>0</v>
      </c>
      <c r="M36" s="129"/>
      <c r="N36" s="54">
        <f t="shared" si="2"/>
        <v>0</v>
      </c>
      <c r="O36" s="54">
        <f t="shared" si="3"/>
        <v>0</v>
      </c>
      <c r="P36" s="1"/>
    </row>
    <row r="37" spans="2:16" ht="12.5">
      <c r="B37" s="7" t="str">
        <f t="shared" si="6"/>
        <v/>
      </c>
      <c r="C37" s="50">
        <f>IF(D11="","-",+C36+1)</f>
        <v>2029</v>
      </c>
      <c r="D37" s="55">
        <f>IF(F36+SUM(E$17:E36)=D$10,F36,D$10-SUM(E$17:E36))</f>
        <v>21286466.855748754</v>
      </c>
      <c r="E37" s="378">
        <f>IF(+I14&lt;F36,I14,D37)</f>
        <v>841559.65909090906</v>
      </c>
      <c r="F37" s="55">
        <f t="shared" si="25"/>
        <v>20444907.196657844</v>
      </c>
      <c r="G37" s="379">
        <f t="shared" si="26"/>
        <v>3335575.3793238099</v>
      </c>
      <c r="H37" s="364">
        <f t="shared" si="27"/>
        <v>3335575.3793238099</v>
      </c>
      <c r="I37" s="52">
        <f t="shared" si="0"/>
        <v>0</v>
      </c>
      <c r="J37" s="52"/>
      <c r="K37" s="129"/>
      <c r="L37" s="54">
        <f t="shared" si="1"/>
        <v>0</v>
      </c>
      <c r="M37" s="129"/>
      <c r="N37" s="54">
        <f t="shared" si="2"/>
        <v>0</v>
      </c>
      <c r="O37" s="54">
        <f t="shared" si="3"/>
        <v>0</v>
      </c>
      <c r="P37" s="1"/>
    </row>
    <row r="38" spans="2:16" ht="12.5">
      <c r="B38" s="7" t="str">
        <f t="shared" si="6"/>
        <v/>
      </c>
      <c r="C38" s="50">
        <f>IF(D11="","-",+C37+1)</f>
        <v>2030</v>
      </c>
      <c r="D38" s="55">
        <f>IF(F37+SUM(E$17:E37)=D$10,F37,D$10-SUM(E$17:E37))</f>
        <v>20444907.196657844</v>
      </c>
      <c r="E38" s="378">
        <f>IF(+I14&lt;F37,I14,D38)</f>
        <v>841559.65909090906</v>
      </c>
      <c r="F38" s="55">
        <f t="shared" si="25"/>
        <v>19603347.537566934</v>
      </c>
      <c r="G38" s="379">
        <f t="shared" si="26"/>
        <v>3234986.1671569259</v>
      </c>
      <c r="H38" s="364">
        <f t="shared" si="27"/>
        <v>3234986.1671569259</v>
      </c>
      <c r="I38" s="52">
        <f t="shared" si="0"/>
        <v>0</v>
      </c>
      <c r="J38" s="52"/>
      <c r="K38" s="129"/>
      <c r="L38" s="54">
        <f t="shared" si="1"/>
        <v>0</v>
      </c>
      <c r="M38" s="129"/>
      <c r="N38" s="54">
        <f t="shared" si="2"/>
        <v>0</v>
      </c>
      <c r="O38" s="54">
        <f t="shared" si="3"/>
        <v>0</v>
      </c>
      <c r="P38" s="1"/>
    </row>
    <row r="39" spans="2:16" ht="12.5">
      <c r="B39" s="7" t="str">
        <f t="shared" si="6"/>
        <v/>
      </c>
      <c r="C39" s="50">
        <f>IF(D11="","-",+C38+1)</f>
        <v>2031</v>
      </c>
      <c r="D39" s="55">
        <f>IF(F38+SUM(E$17:E38)=D$10,F38,D$10-SUM(E$17:E38))</f>
        <v>19603347.537566934</v>
      </c>
      <c r="E39" s="378">
        <f>IF(+I14&lt;F38,I14,D39)</f>
        <v>841559.65909090906</v>
      </c>
      <c r="F39" s="55">
        <f t="shared" si="25"/>
        <v>18761787.878476024</v>
      </c>
      <c r="G39" s="379">
        <f t="shared" si="26"/>
        <v>3134396.9549900414</v>
      </c>
      <c r="H39" s="364">
        <f t="shared" si="27"/>
        <v>3134396.9549900414</v>
      </c>
      <c r="I39" s="52">
        <f t="shared" si="0"/>
        <v>0</v>
      </c>
      <c r="J39" s="52"/>
      <c r="K39" s="129"/>
      <c r="L39" s="54">
        <f t="shared" si="1"/>
        <v>0</v>
      </c>
      <c r="M39" s="129"/>
      <c r="N39" s="54">
        <f t="shared" si="2"/>
        <v>0</v>
      </c>
      <c r="O39" s="54">
        <f t="shared" si="3"/>
        <v>0</v>
      </c>
      <c r="P39" s="1"/>
    </row>
    <row r="40" spans="2:16" ht="12.5">
      <c r="B40" s="7" t="str">
        <f t="shared" si="6"/>
        <v/>
      </c>
      <c r="C40" s="50">
        <f>IF(D11="","-",+C39+1)</f>
        <v>2032</v>
      </c>
      <c r="D40" s="55">
        <f>IF(F39+SUM(E$17:E39)=D$10,F39,D$10-SUM(E$17:E39))</f>
        <v>18761787.878476024</v>
      </c>
      <c r="E40" s="378">
        <f>IF(+I14&lt;F39,I14,D40)</f>
        <v>841559.65909090906</v>
      </c>
      <c r="F40" s="55">
        <f t="shared" si="25"/>
        <v>17920228.219385114</v>
      </c>
      <c r="G40" s="379">
        <f t="shared" si="26"/>
        <v>3033807.7428231575</v>
      </c>
      <c r="H40" s="364">
        <f t="shared" si="27"/>
        <v>3033807.7428231575</v>
      </c>
      <c r="I40" s="52">
        <f t="shared" si="0"/>
        <v>0</v>
      </c>
      <c r="J40" s="52"/>
      <c r="K40" s="129"/>
      <c r="L40" s="54">
        <f t="shared" si="1"/>
        <v>0</v>
      </c>
      <c r="M40" s="129"/>
      <c r="N40" s="54">
        <f t="shared" si="2"/>
        <v>0</v>
      </c>
      <c r="O40" s="54">
        <f t="shared" si="3"/>
        <v>0</v>
      </c>
      <c r="P40" s="1"/>
    </row>
    <row r="41" spans="2:16" ht="12.5">
      <c r="B41" s="7" t="str">
        <f t="shared" si="6"/>
        <v/>
      </c>
      <c r="C41" s="50">
        <f>IF(D11="","-",+C40+1)</f>
        <v>2033</v>
      </c>
      <c r="D41" s="55">
        <f>IF(F40+SUM(E$17:E40)=D$10,F40,D$10-SUM(E$17:E40))</f>
        <v>17920228.219385114</v>
      </c>
      <c r="E41" s="378">
        <f>IF(+I14&lt;F40,I14,D41)</f>
        <v>841559.65909090906</v>
      </c>
      <c r="F41" s="55">
        <f t="shared" si="25"/>
        <v>17078668.560294203</v>
      </c>
      <c r="G41" s="379">
        <f t="shared" si="26"/>
        <v>2933218.5306562721</v>
      </c>
      <c r="H41" s="364">
        <f t="shared" si="27"/>
        <v>2933218.5306562721</v>
      </c>
      <c r="I41" s="52">
        <f t="shared" si="0"/>
        <v>0</v>
      </c>
      <c r="J41" s="52"/>
      <c r="K41" s="129"/>
      <c r="L41" s="54">
        <f t="shared" si="1"/>
        <v>0</v>
      </c>
      <c r="M41" s="129"/>
      <c r="N41" s="54">
        <f t="shared" si="2"/>
        <v>0</v>
      </c>
      <c r="O41" s="54">
        <f t="shared" si="3"/>
        <v>0</v>
      </c>
      <c r="P41" s="1"/>
    </row>
    <row r="42" spans="2:16" ht="12.5">
      <c r="B42" s="7" t="str">
        <f t="shared" si="6"/>
        <v/>
      </c>
      <c r="C42" s="50">
        <f>IF(D11="","-",+C41+1)</f>
        <v>2034</v>
      </c>
      <c r="D42" s="55">
        <f>IF(F41+SUM(E$17:E41)=D$10,F41,D$10-SUM(E$17:E41))</f>
        <v>17078668.560294203</v>
      </c>
      <c r="E42" s="378">
        <f>IF(+I14&lt;F41,I14,D42)</f>
        <v>841559.65909090906</v>
      </c>
      <c r="F42" s="55">
        <f t="shared" si="25"/>
        <v>16237108.901203295</v>
      </c>
      <c r="G42" s="379">
        <f t="shared" si="26"/>
        <v>2832629.3184893886</v>
      </c>
      <c r="H42" s="364">
        <f t="shared" si="27"/>
        <v>2832629.3184893886</v>
      </c>
      <c r="I42" s="52">
        <f t="shared" si="0"/>
        <v>0</v>
      </c>
      <c r="J42" s="52"/>
      <c r="K42" s="129"/>
      <c r="L42" s="54">
        <f t="shared" si="1"/>
        <v>0</v>
      </c>
      <c r="M42" s="129"/>
      <c r="N42" s="54">
        <f t="shared" si="2"/>
        <v>0</v>
      </c>
      <c r="O42" s="54">
        <f t="shared" si="3"/>
        <v>0</v>
      </c>
      <c r="P42" s="1"/>
    </row>
    <row r="43" spans="2:16" ht="12.5">
      <c r="B43" s="7" t="str">
        <f t="shared" si="6"/>
        <v/>
      </c>
      <c r="C43" s="50">
        <f>IF(D11="","-",+C42+1)</f>
        <v>2035</v>
      </c>
      <c r="D43" s="55">
        <f>IF(F42+SUM(E$17:E42)=D$10,F42,D$10-SUM(E$17:E42))</f>
        <v>16237108.901203295</v>
      </c>
      <c r="E43" s="378">
        <f>IF(+I14&lt;F42,I14,D43)</f>
        <v>841559.65909090906</v>
      </c>
      <c r="F43" s="55">
        <f t="shared" si="25"/>
        <v>15395549.242112387</v>
      </c>
      <c r="G43" s="379">
        <f t="shared" si="26"/>
        <v>2732040.1063225041</v>
      </c>
      <c r="H43" s="364">
        <f t="shared" si="27"/>
        <v>2732040.1063225041</v>
      </c>
      <c r="I43" s="52">
        <f t="shared" si="0"/>
        <v>0</v>
      </c>
      <c r="J43" s="52"/>
      <c r="K43" s="129"/>
      <c r="L43" s="54">
        <f t="shared" si="1"/>
        <v>0</v>
      </c>
      <c r="M43" s="129"/>
      <c r="N43" s="54">
        <f t="shared" si="2"/>
        <v>0</v>
      </c>
      <c r="O43" s="54">
        <f t="shared" si="3"/>
        <v>0</v>
      </c>
      <c r="P43" s="1"/>
    </row>
    <row r="44" spans="2:16" ht="12.5">
      <c r="B44" s="7" t="str">
        <f t="shared" si="6"/>
        <v/>
      </c>
      <c r="C44" s="50">
        <f>IF(D11="","-",+C43+1)</f>
        <v>2036</v>
      </c>
      <c r="D44" s="55">
        <f>IF(F43+SUM(E$17:E43)=D$10,F43,D$10-SUM(E$17:E43))</f>
        <v>15395549.242112387</v>
      </c>
      <c r="E44" s="378">
        <f>IF(+I14&lt;F43,I14,D44)</f>
        <v>841559.65909090906</v>
      </c>
      <c r="F44" s="55">
        <f t="shared" si="25"/>
        <v>14553989.583021479</v>
      </c>
      <c r="G44" s="379">
        <f t="shared" si="26"/>
        <v>2631450.8941556201</v>
      </c>
      <c r="H44" s="364">
        <f t="shared" si="27"/>
        <v>2631450.8941556201</v>
      </c>
      <c r="I44" s="52">
        <f t="shared" si="0"/>
        <v>0</v>
      </c>
      <c r="J44" s="52"/>
      <c r="K44" s="129"/>
      <c r="L44" s="54">
        <f t="shared" si="1"/>
        <v>0</v>
      </c>
      <c r="M44" s="129"/>
      <c r="N44" s="54">
        <f t="shared" si="2"/>
        <v>0</v>
      </c>
      <c r="O44" s="54">
        <f t="shared" si="3"/>
        <v>0</v>
      </c>
      <c r="P44" s="1"/>
    </row>
    <row r="45" spans="2:16" ht="12.5">
      <c r="B45" s="7" t="str">
        <f t="shared" si="6"/>
        <v/>
      </c>
      <c r="C45" s="50">
        <f>IF(D11="","-",+C44+1)</f>
        <v>2037</v>
      </c>
      <c r="D45" s="55">
        <f>IF(F44+SUM(E$17:E44)=D$10,F44,D$10-SUM(E$17:E44))</f>
        <v>14553989.583021479</v>
      </c>
      <c r="E45" s="378">
        <f>IF(+I14&lt;F44,I14,D45)</f>
        <v>841559.65909090906</v>
      </c>
      <c r="F45" s="55">
        <f t="shared" si="25"/>
        <v>13712429.92393057</v>
      </c>
      <c r="G45" s="379">
        <f t="shared" si="26"/>
        <v>2530861.6819887357</v>
      </c>
      <c r="H45" s="364">
        <f t="shared" si="27"/>
        <v>2530861.6819887357</v>
      </c>
      <c r="I45" s="52">
        <f t="shared" si="0"/>
        <v>0</v>
      </c>
      <c r="J45" s="52"/>
      <c r="K45" s="129"/>
      <c r="L45" s="54">
        <f t="shared" si="1"/>
        <v>0</v>
      </c>
      <c r="M45" s="129"/>
      <c r="N45" s="54">
        <f t="shared" si="2"/>
        <v>0</v>
      </c>
      <c r="O45" s="54">
        <f t="shared" si="3"/>
        <v>0</v>
      </c>
      <c r="P45" s="1"/>
    </row>
    <row r="46" spans="2:16" ht="12.5">
      <c r="B46" s="7" t="str">
        <f t="shared" si="6"/>
        <v/>
      </c>
      <c r="C46" s="50">
        <f>IF(D11="","-",+C45+1)</f>
        <v>2038</v>
      </c>
      <c r="D46" s="55">
        <f>IF(F45+SUM(E$17:E45)=D$10,F45,D$10-SUM(E$17:E45))</f>
        <v>13712429.92393057</v>
      </c>
      <c r="E46" s="378">
        <f>IF(+I14&lt;F45,I14,D46)</f>
        <v>841559.65909090906</v>
      </c>
      <c r="F46" s="55">
        <f t="shared" si="25"/>
        <v>12870870.264839662</v>
      </c>
      <c r="G46" s="379">
        <f t="shared" si="26"/>
        <v>2430272.4698218517</v>
      </c>
      <c r="H46" s="364">
        <f t="shared" si="27"/>
        <v>2430272.4698218517</v>
      </c>
      <c r="I46" s="52">
        <f t="shared" si="0"/>
        <v>0</v>
      </c>
      <c r="J46" s="52"/>
      <c r="K46" s="129"/>
      <c r="L46" s="54">
        <f t="shared" si="1"/>
        <v>0</v>
      </c>
      <c r="M46" s="129"/>
      <c r="N46" s="54">
        <f t="shared" si="2"/>
        <v>0</v>
      </c>
      <c r="O46" s="54">
        <f t="shared" si="3"/>
        <v>0</v>
      </c>
      <c r="P46" s="1"/>
    </row>
    <row r="47" spans="2:16" ht="12.5">
      <c r="B47" s="7" t="str">
        <f t="shared" si="6"/>
        <v/>
      </c>
      <c r="C47" s="50">
        <f>IF(D11="","-",+C46+1)</f>
        <v>2039</v>
      </c>
      <c r="D47" s="55">
        <f>IF(F46+SUM(E$17:E46)=D$10,F46,D$10-SUM(E$17:E46))</f>
        <v>12870870.264839662</v>
      </c>
      <c r="E47" s="378">
        <f>IF(+I14&lt;F46,I14,D47)</f>
        <v>841559.65909090906</v>
      </c>
      <c r="F47" s="55">
        <f t="shared" si="25"/>
        <v>12029310.605748754</v>
      </c>
      <c r="G47" s="379">
        <f t="shared" si="26"/>
        <v>2329683.2576549673</v>
      </c>
      <c r="H47" s="364">
        <f t="shared" si="27"/>
        <v>2329683.2576549673</v>
      </c>
      <c r="I47" s="52">
        <f t="shared" si="0"/>
        <v>0</v>
      </c>
      <c r="J47" s="52"/>
      <c r="K47" s="129"/>
      <c r="L47" s="54">
        <f t="shared" si="1"/>
        <v>0</v>
      </c>
      <c r="M47" s="129"/>
      <c r="N47" s="54">
        <f t="shared" si="2"/>
        <v>0</v>
      </c>
      <c r="O47" s="54">
        <f t="shared" si="3"/>
        <v>0</v>
      </c>
      <c r="P47" s="1"/>
    </row>
    <row r="48" spans="2:16" ht="12.5">
      <c r="B48" s="7" t="str">
        <f t="shared" si="6"/>
        <v/>
      </c>
      <c r="C48" s="50">
        <f>IF(D11="","-",+C47+1)</f>
        <v>2040</v>
      </c>
      <c r="D48" s="55">
        <f>IF(F47+SUM(E$17:E47)=D$10,F47,D$10-SUM(E$17:E47))</f>
        <v>12029310.605748754</v>
      </c>
      <c r="E48" s="378">
        <f>IF(+I14&lt;F47,I14,D48)</f>
        <v>841559.65909090906</v>
      </c>
      <c r="F48" s="55">
        <f t="shared" si="25"/>
        <v>11187750.946657846</v>
      </c>
      <c r="G48" s="379">
        <f t="shared" si="26"/>
        <v>2229094.0454880833</v>
      </c>
      <c r="H48" s="364">
        <f t="shared" si="27"/>
        <v>2229094.0454880833</v>
      </c>
      <c r="I48" s="52">
        <f t="shared" si="0"/>
        <v>0</v>
      </c>
      <c r="J48" s="52"/>
      <c r="K48" s="129"/>
      <c r="L48" s="54">
        <f t="shared" si="1"/>
        <v>0</v>
      </c>
      <c r="M48" s="129"/>
      <c r="N48" s="54">
        <f t="shared" si="2"/>
        <v>0</v>
      </c>
      <c r="O48" s="54">
        <f t="shared" si="3"/>
        <v>0</v>
      </c>
      <c r="P48" s="1"/>
    </row>
    <row r="49" spans="2:17" ht="12.5">
      <c r="B49" s="7" t="str">
        <f t="shared" si="6"/>
        <v/>
      </c>
      <c r="C49" s="50">
        <f>IF(D11="","-",+C48+1)</f>
        <v>2041</v>
      </c>
      <c r="D49" s="55">
        <f>IF(F48+SUM(E$17:E48)=D$10,F48,D$10-SUM(E$17:E48))</f>
        <v>11187750.946657846</v>
      </c>
      <c r="E49" s="378">
        <f>IF(+I14&lt;F48,I14,D49)</f>
        <v>841559.65909090906</v>
      </c>
      <c r="F49" s="55">
        <f t="shared" ref="F49:F72" si="28">+D49-E49</f>
        <v>10346191.287566938</v>
      </c>
      <c r="G49" s="379">
        <f t="shared" si="26"/>
        <v>2128504.8333211988</v>
      </c>
      <c r="H49" s="364">
        <f t="shared" si="27"/>
        <v>2128504.8333211988</v>
      </c>
      <c r="I49" s="52">
        <f t="shared" ref="I49:I72" si="29">H49-G49</f>
        <v>0</v>
      </c>
      <c r="J49" s="52"/>
      <c r="K49" s="129"/>
      <c r="L49" s="54">
        <f t="shared" ref="L49:L72" si="30">IF(K49&lt;&gt;0,+G49-K49,0)</f>
        <v>0</v>
      </c>
      <c r="M49" s="129"/>
      <c r="N49" s="54">
        <f t="shared" ref="N49:N72" si="31">IF(M49&lt;&gt;0,+H49-M49,0)</f>
        <v>0</v>
      </c>
      <c r="O49" s="54">
        <f t="shared" ref="O49:O72" si="32">+N49-L49</f>
        <v>0</v>
      </c>
      <c r="P49" s="1"/>
    </row>
    <row r="50" spans="2:17" ht="12.5">
      <c r="B50" s="7" t="str">
        <f t="shared" si="6"/>
        <v/>
      </c>
      <c r="C50" s="50">
        <f>IF(D11="","-",+C49+1)</f>
        <v>2042</v>
      </c>
      <c r="D50" s="55">
        <f>IF(F49+SUM(E$17:E49)=D$10,F49,D$10-SUM(E$17:E49))</f>
        <v>10346191.287566938</v>
      </c>
      <c r="E50" s="378">
        <f>IF(+I14&lt;F49,I14,D50)</f>
        <v>841559.65909090906</v>
      </c>
      <c r="F50" s="55">
        <f t="shared" si="28"/>
        <v>9504631.6284760293</v>
      </c>
      <c r="G50" s="379">
        <f t="shared" si="26"/>
        <v>2027915.6211543148</v>
      </c>
      <c r="H50" s="364">
        <f t="shared" si="27"/>
        <v>2027915.6211543148</v>
      </c>
      <c r="I50" s="52">
        <f t="shared" si="29"/>
        <v>0</v>
      </c>
      <c r="J50" s="52"/>
      <c r="K50" s="129"/>
      <c r="L50" s="54">
        <f t="shared" si="30"/>
        <v>0</v>
      </c>
      <c r="M50" s="129"/>
      <c r="N50" s="54">
        <f t="shared" si="31"/>
        <v>0</v>
      </c>
      <c r="O50" s="54">
        <f t="shared" si="32"/>
        <v>0</v>
      </c>
      <c r="P50" s="1"/>
    </row>
    <row r="51" spans="2:17" ht="12.5">
      <c r="B51" s="7" t="str">
        <f t="shared" si="6"/>
        <v/>
      </c>
      <c r="C51" s="50">
        <f>IF(D11="","-",+C50+1)</f>
        <v>2043</v>
      </c>
      <c r="D51" s="55">
        <f>IF(F50+SUM(E$17:E50)=D$10,F50,D$10-SUM(E$17:E50))</f>
        <v>9504631.6284760293</v>
      </c>
      <c r="E51" s="378">
        <f>IF(+I14&lt;F50,I14,D51)</f>
        <v>841559.65909090906</v>
      </c>
      <c r="F51" s="55">
        <f t="shared" si="28"/>
        <v>8663071.969385121</v>
      </c>
      <c r="G51" s="379">
        <f t="shared" si="26"/>
        <v>1927326.4089874304</v>
      </c>
      <c r="H51" s="364">
        <f t="shared" si="27"/>
        <v>1927326.4089874304</v>
      </c>
      <c r="I51" s="52">
        <f t="shared" si="29"/>
        <v>0</v>
      </c>
      <c r="J51" s="52"/>
      <c r="K51" s="129"/>
      <c r="L51" s="54">
        <f t="shared" si="30"/>
        <v>0</v>
      </c>
      <c r="M51" s="129"/>
      <c r="N51" s="54">
        <f t="shared" si="31"/>
        <v>0</v>
      </c>
      <c r="O51" s="54">
        <f t="shared" si="32"/>
        <v>0</v>
      </c>
      <c r="P51" s="1"/>
    </row>
    <row r="52" spans="2:17" ht="12.5">
      <c r="B52" s="7" t="str">
        <f t="shared" si="6"/>
        <v/>
      </c>
      <c r="C52" s="50">
        <f>IF(D11="","-",+C51+1)</f>
        <v>2044</v>
      </c>
      <c r="D52" s="55">
        <f>IF(F51+SUM(E$17:E51)=D$10,F51,D$10-SUM(E$17:E51))</f>
        <v>8663071.969385121</v>
      </c>
      <c r="E52" s="378">
        <f>IF(+I14&lt;F51,I14,D52)</f>
        <v>841559.65909090906</v>
      </c>
      <c r="F52" s="55">
        <f t="shared" si="28"/>
        <v>7821512.3102942118</v>
      </c>
      <c r="G52" s="379">
        <f t="shared" si="26"/>
        <v>1826737.1968205464</v>
      </c>
      <c r="H52" s="364">
        <f t="shared" si="27"/>
        <v>1826737.1968205464</v>
      </c>
      <c r="I52" s="52">
        <f t="shared" si="29"/>
        <v>0</v>
      </c>
      <c r="J52" s="52"/>
      <c r="K52" s="129"/>
      <c r="L52" s="54">
        <f t="shared" si="30"/>
        <v>0</v>
      </c>
      <c r="M52" s="129"/>
      <c r="N52" s="54">
        <f t="shared" si="31"/>
        <v>0</v>
      </c>
      <c r="O52" s="54">
        <f t="shared" si="32"/>
        <v>0</v>
      </c>
      <c r="P52" s="1"/>
    </row>
    <row r="53" spans="2:17" ht="12.5">
      <c r="B53" s="7" t="str">
        <f t="shared" si="6"/>
        <v/>
      </c>
      <c r="C53" s="50">
        <f>IF(D11="","-",+C52+1)</f>
        <v>2045</v>
      </c>
      <c r="D53" s="55">
        <f>IF(F52+SUM(E$17:E52)=D$10,F52,D$10-SUM(E$17:E52))</f>
        <v>7821512.3102942118</v>
      </c>
      <c r="E53" s="378">
        <f>IF(+I14&lt;F52,I14,D53)</f>
        <v>841559.65909090906</v>
      </c>
      <c r="F53" s="55">
        <f t="shared" si="28"/>
        <v>6979952.6512033027</v>
      </c>
      <c r="G53" s="379">
        <f t="shared" si="26"/>
        <v>1726147.9846536622</v>
      </c>
      <c r="H53" s="364">
        <f t="shared" si="27"/>
        <v>1726147.9846536622</v>
      </c>
      <c r="I53" s="52">
        <f t="shared" si="29"/>
        <v>0</v>
      </c>
      <c r="J53" s="52"/>
      <c r="K53" s="129"/>
      <c r="L53" s="54">
        <f t="shared" si="30"/>
        <v>0</v>
      </c>
      <c r="M53" s="129"/>
      <c r="N53" s="54">
        <f t="shared" si="31"/>
        <v>0</v>
      </c>
      <c r="O53" s="54">
        <f t="shared" si="32"/>
        <v>0</v>
      </c>
      <c r="P53" s="1"/>
    </row>
    <row r="54" spans="2:17" ht="12.5">
      <c r="B54" s="7" t="str">
        <f t="shared" si="6"/>
        <v/>
      </c>
      <c r="C54" s="50">
        <f>IF(D11="","-",+C53+1)</f>
        <v>2046</v>
      </c>
      <c r="D54" s="55">
        <f>IF(F53+SUM(E$17:E53)=D$10,F53,D$10-SUM(E$17:E53))</f>
        <v>6979952.6512033027</v>
      </c>
      <c r="E54" s="378">
        <f>IF(+I14&lt;F53,I14,D54)</f>
        <v>841559.65909090906</v>
      </c>
      <c r="F54" s="55">
        <f t="shared" si="28"/>
        <v>6138392.9921123935</v>
      </c>
      <c r="G54" s="379">
        <f t="shared" si="26"/>
        <v>1625558.7724867777</v>
      </c>
      <c r="H54" s="364">
        <f t="shared" si="27"/>
        <v>1625558.7724867777</v>
      </c>
      <c r="I54" s="52">
        <f t="shared" si="29"/>
        <v>0</v>
      </c>
      <c r="J54" s="52"/>
      <c r="K54" s="129"/>
      <c r="L54" s="54">
        <f t="shared" si="30"/>
        <v>0</v>
      </c>
      <c r="M54" s="129"/>
      <c r="N54" s="54">
        <f t="shared" si="31"/>
        <v>0</v>
      </c>
      <c r="O54" s="54">
        <f t="shared" si="32"/>
        <v>0</v>
      </c>
      <c r="P54" s="1"/>
    </row>
    <row r="55" spans="2:17" ht="12.5">
      <c r="B55" s="7" t="str">
        <f t="shared" si="6"/>
        <v/>
      </c>
      <c r="C55" s="50">
        <f>IF(D11="","-",+C54+1)</f>
        <v>2047</v>
      </c>
      <c r="D55" s="55">
        <f>IF(F54+SUM(E$17:E54)=D$10,F54,D$10-SUM(E$17:E54))</f>
        <v>6138392.9921123935</v>
      </c>
      <c r="E55" s="378">
        <f>IF(+I14&lt;F54,I14,D55)</f>
        <v>841559.65909090906</v>
      </c>
      <c r="F55" s="55">
        <f t="shared" si="28"/>
        <v>5296833.3330214843</v>
      </c>
      <c r="G55" s="379">
        <f t="shared" si="26"/>
        <v>1524969.5603198935</v>
      </c>
      <c r="H55" s="364">
        <f t="shared" si="27"/>
        <v>1524969.5603198935</v>
      </c>
      <c r="I55" s="52">
        <f t="shared" si="29"/>
        <v>0</v>
      </c>
      <c r="J55" s="52"/>
      <c r="K55" s="129"/>
      <c r="L55" s="54">
        <f t="shared" si="30"/>
        <v>0</v>
      </c>
      <c r="M55" s="129"/>
      <c r="N55" s="54">
        <f t="shared" si="31"/>
        <v>0</v>
      </c>
      <c r="O55" s="54">
        <f t="shared" si="32"/>
        <v>0</v>
      </c>
      <c r="P55" s="1"/>
    </row>
    <row r="56" spans="2:17" ht="12.5">
      <c r="B56" s="7" t="str">
        <f t="shared" si="6"/>
        <v/>
      </c>
      <c r="C56" s="50">
        <f>IF(D11="","-",+C55+1)</f>
        <v>2048</v>
      </c>
      <c r="D56" s="55">
        <f>IF(F55+SUM(E$17:E55)=D$10,F55,D$10-SUM(E$17:E55))</f>
        <v>5296833.3330214843</v>
      </c>
      <c r="E56" s="378">
        <f>IF(+I14&lt;F55,I14,D56)</f>
        <v>841559.65909090906</v>
      </c>
      <c r="F56" s="55">
        <f t="shared" si="28"/>
        <v>4455273.6739305751</v>
      </c>
      <c r="G56" s="379">
        <f t="shared" si="26"/>
        <v>1424380.3481530091</v>
      </c>
      <c r="H56" s="364">
        <f t="shared" si="27"/>
        <v>1424380.3481530091</v>
      </c>
      <c r="I56" s="52">
        <f t="shared" si="29"/>
        <v>0</v>
      </c>
      <c r="J56" s="52"/>
      <c r="K56" s="129"/>
      <c r="L56" s="54">
        <f t="shared" si="30"/>
        <v>0</v>
      </c>
      <c r="M56" s="129"/>
      <c r="N56" s="54">
        <f t="shared" si="31"/>
        <v>0</v>
      </c>
      <c r="O56" s="54">
        <f t="shared" si="32"/>
        <v>0</v>
      </c>
      <c r="P56" s="1"/>
    </row>
    <row r="57" spans="2:17" ht="12.5">
      <c r="B57" s="7" t="str">
        <f t="shared" si="6"/>
        <v/>
      </c>
      <c r="C57" s="50">
        <f>IF(D11="","-",+C56+1)</f>
        <v>2049</v>
      </c>
      <c r="D57" s="55">
        <f>IF(F56+SUM(E$17:E56)=D$10,F56,D$10-SUM(E$17:E56))</f>
        <v>4455273.6739305751</v>
      </c>
      <c r="E57" s="378">
        <f>IF(+I14&lt;F56,I14,D57)</f>
        <v>841559.65909090906</v>
      </c>
      <c r="F57" s="55">
        <f t="shared" si="28"/>
        <v>3613714.014839666</v>
      </c>
      <c r="G57" s="379">
        <f t="shared" si="26"/>
        <v>1323791.1359861251</v>
      </c>
      <c r="H57" s="364">
        <f t="shared" si="27"/>
        <v>1323791.1359861251</v>
      </c>
      <c r="I57" s="52">
        <f t="shared" si="29"/>
        <v>0</v>
      </c>
      <c r="J57" s="52"/>
      <c r="K57" s="129"/>
      <c r="L57" s="54">
        <f t="shared" si="30"/>
        <v>0</v>
      </c>
      <c r="M57" s="129"/>
      <c r="N57" s="54">
        <f t="shared" si="31"/>
        <v>0</v>
      </c>
      <c r="O57" s="54">
        <f t="shared" si="32"/>
        <v>0</v>
      </c>
      <c r="P57" s="1"/>
    </row>
    <row r="58" spans="2:17" ht="12.5">
      <c r="B58" s="7" t="str">
        <f t="shared" si="6"/>
        <v/>
      </c>
      <c r="C58" s="50">
        <f>IF(D11="","-",+C57+1)</f>
        <v>2050</v>
      </c>
      <c r="D58" s="55">
        <f>IF(F57+SUM(E$17:E57)=D$10,F57,D$10-SUM(E$17:E57))</f>
        <v>3613714.014839666</v>
      </c>
      <c r="E58" s="378">
        <f>IF(+I14&lt;F57,I14,D58)</f>
        <v>841559.65909090906</v>
      </c>
      <c r="F58" s="55">
        <f t="shared" si="28"/>
        <v>2772154.3557487568</v>
      </c>
      <c r="G58" s="379">
        <f t="shared" si="26"/>
        <v>1223201.9238192406</v>
      </c>
      <c r="H58" s="364">
        <f t="shared" si="27"/>
        <v>1223201.9238192406</v>
      </c>
      <c r="I58" s="52">
        <f t="shared" si="29"/>
        <v>0</v>
      </c>
      <c r="J58" s="52"/>
      <c r="K58" s="129"/>
      <c r="L58" s="54">
        <f t="shared" si="30"/>
        <v>0</v>
      </c>
      <c r="M58" s="129"/>
      <c r="N58" s="54">
        <f t="shared" si="31"/>
        <v>0</v>
      </c>
      <c r="O58" s="54">
        <f t="shared" si="32"/>
        <v>0</v>
      </c>
      <c r="P58" s="1"/>
      <c r="Q58" t="str">
        <f>IF(ROUND(Q57,0)=ROUND(SUM(Q18:Q56),0),"","Error -- check allocations above).")</f>
        <v/>
      </c>
    </row>
    <row r="59" spans="2:17" ht="12.5">
      <c r="B59" s="7" t="str">
        <f t="shared" si="6"/>
        <v/>
      </c>
      <c r="C59" s="50">
        <f>IF(D11="","-",+C58+1)</f>
        <v>2051</v>
      </c>
      <c r="D59" s="55">
        <f>IF(F58+SUM(E$17:E58)=D$10,F58,D$10-SUM(E$17:E58))</f>
        <v>2772154.3557487568</v>
      </c>
      <c r="E59" s="378">
        <f>IF(+I14&lt;F58,I14,D59)</f>
        <v>841559.65909090906</v>
      </c>
      <c r="F59" s="55">
        <f t="shared" si="28"/>
        <v>1930594.6966578476</v>
      </c>
      <c r="G59" s="379">
        <f t="shared" si="26"/>
        <v>1122612.7116523564</v>
      </c>
      <c r="H59" s="364">
        <f t="shared" si="27"/>
        <v>1122612.7116523564</v>
      </c>
      <c r="I59" s="52">
        <f t="shared" si="29"/>
        <v>0</v>
      </c>
      <c r="J59" s="52"/>
      <c r="K59" s="129"/>
      <c r="L59" s="54">
        <f t="shared" si="30"/>
        <v>0</v>
      </c>
      <c r="M59" s="129"/>
      <c r="N59" s="54">
        <f t="shared" si="31"/>
        <v>0</v>
      </c>
      <c r="O59" s="54">
        <f t="shared" si="32"/>
        <v>0</v>
      </c>
      <c r="P59" s="1"/>
    </row>
    <row r="60" spans="2:17" ht="12.5">
      <c r="B60" s="7" t="str">
        <f t="shared" si="6"/>
        <v/>
      </c>
      <c r="C60" s="50">
        <f>IF(D11="","-",+C59+1)</f>
        <v>2052</v>
      </c>
      <c r="D60" s="55">
        <f>IF(F59+SUM(E$17:E59)=D$10,F59,D$10-SUM(E$17:E59))</f>
        <v>1930594.6966578476</v>
      </c>
      <c r="E60" s="378">
        <f>IF(+I14&lt;F59,I14,D60)</f>
        <v>841559.65909090906</v>
      </c>
      <c r="F60" s="55">
        <f t="shared" si="28"/>
        <v>1089035.0375669384</v>
      </c>
      <c r="G60" s="379">
        <f t="shared" si="26"/>
        <v>1022023.4994854721</v>
      </c>
      <c r="H60" s="364">
        <f t="shared" si="27"/>
        <v>1022023.4994854721</v>
      </c>
      <c r="I60" s="52">
        <f t="shared" si="29"/>
        <v>0</v>
      </c>
      <c r="J60" s="52"/>
      <c r="K60" s="129"/>
      <c r="L60" s="54">
        <f t="shared" si="30"/>
        <v>0</v>
      </c>
      <c r="M60" s="129"/>
      <c r="N60" s="54">
        <f t="shared" si="31"/>
        <v>0</v>
      </c>
      <c r="O60" s="54">
        <f t="shared" si="32"/>
        <v>0</v>
      </c>
      <c r="P60" s="1"/>
    </row>
    <row r="61" spans="2:17" ht="12.5">
      <c r="B61" s="7" t="str">
        <f t="shared" si="6"/>
        <v/>
      </c>
      <c r="C61" s="50">
        <f>IF(D11="","-",+C60+1)</f>
        <v>2053</v>
      </c>
      <c r="D61" s="55">
        <f>IF(F60+SUM(E$17:E60)=D$10,F60,D$10-SUM(E$17:E60))</f>
        <v>1089035.0375669384</v>
      </c>
      <c r="E61" s="378">
        <f>IF(+I14&lt;F60,I14,D61)</f>
        <v>841559.65909090906</v>
      </c>
      <c r="F61" s="55">
        <f t="shared" si="28"/>
        <v>247475.37847602938</v>
      </c>
      <c r="G61" s="380">
        <f t="shared" si="26"/>
        <v>921434.28731858777</v>
      </c>
      <c r="H61" s="364">
        <f t="shared" si="27"/>
        <v>921434.28731858777</v>
      </c>
      <c r="I61" s="52">
        <f t="shared" si="29"/>
        <v>0</v>
      </c>
      <c r="J61" s="52"/>
      <c r="K61" s="129"/>
      <c r="L61" s="54">
        <f t="shared" si="30"/>
        <v>0</v>
      </c>
      <c r="M61" s="129"/>
      <c r="N61" s="54">
        <f t="shared" si="31"/>
        <v>0</v>
      </c>
      <c r="O61" s="54">
        <f t="shared" si="32"/>
        <v>0</v>
      </c>
      <c r="P61" s="1"/>
    </row>
    <row r="62" spans="2:17" ht="12.5">
      <c r="B62" s="7" t="str">
        <f t="shared" si="6"/>
        <v/>
      </c>
      <c r="C62" s="50">
        <f>IF(D11="","-",+C61+1)</f>
        <v>2054</v>
      </c>
      <c r="D62" s="55">
        <f>IF(F61+SUM(E$17:E61)=D$10,F61,D$10-SUM(E$17:E61))</f>
        <v>247475.37847602938</v>
      </c>
      <c r="E62" s="378">
        <f>IF(+I14&lt;F61,I14,D62)</f>
        <v>247475.37847602938</v>
      </c>
      <c r="F62" s="55">
        <f t="shared" si="28"/>
        <v>0</v>
      </c>
      <c r="G62" s="380">
        <f t="shared" si="26"/>
        <v>262265.38954814768</v>
      </c>
      <c r="H62" s="364">
        <f t="shared" si="27"/>
        <v>262265.38954814768</v>
      </c>
      <c r="I62" s="52">
        <f t="shared" si="29"/>
        <v>0</v>
      </c>
      <c r="J62" s="52"/>
      <c r="K62" s="129"/>
      <c r="L62" s="54">
        <f t="shared" si="30"/>
        <v>0</v>
      </c>
      <c r="M62" s="129"/>
      <c r="N62" s="54">
        <f t="shared" si="31"/>
        <v>0</v>
      </c>
      <c r="O62" s="54">
        <f t="shared" si="32"/>
        <v>0</v>
      </c>
      <c r="P62" s="1"/>
    </row>
    <row r="63" spans="2:17" ht="12.5">
      <c r="B63" s="7" t="str">
        <f t="shared" si="6"/>
        <v/>
      </c>
      <c r="C63" s="50">
        <f>IF(D11="","-",+C62+1)</f>
        <v>2055</v>
      </c>
      <c r="D63" s="55">
        <f>IF(F62+SUM(E$17:E62)=D$10,F62,D$10-SUM(E$17:E62))</f>
        <v>0</v>
      </c>
      <c r="E63" s="378">
        <f>IF(+I14&lt;F62,I14,D63)</f>
        <v>0</v>
      </c>
      <c r="F63" s="55">
        <f t="shared" si="28"/>
        <v>0</v>
      </c>
      <c r="G63" s="380">
        <f t="shared" si="26"/>
        <v>0</v>
      </c>
      <c r="H63" s="364">
        <f t="shared" si="27"/>
        <v>0</v>
      </c>
      <c r="I63" s="52">
        <f t="shared" si="29"/>
        <v>0</v>
      </c>
      <c r="J63" s="52"/>
      <c r="K63" s="129"/>
      <c r="L63" s="54">
        <f t="shared" si="30"/>
        <v>0</v>
      </c>
      <c r="M63" s="129"/>
      <c r="N63" s="54">
        <f t="shared" si="31"/>
        <v>0</v>
      </c>
      <c r="O63" s="54">
        <f t="shared" si="32"/>
        <v>0</v>
      </c>
      <c r="P63" s="1"/>
    </row>
    <row r="64" spans="2:17" ht="12.5">
      <c r="B64" s="7" t="str">
        <f t="shared" si="6"/>
        <v/>
      </c>
      <c r="C64" s="50">
        <f>IF(D11="","-",+C63+1)</f>
        <v>2056</v>
      </c>
      <c r="D64" s="55">
        <f>IF(F63+SUM(E$17:E63)=D$10,F63,D$10-SUM(E$17:E63))</f>
        <v>0</v>
      </c>
      <c r="E64" s="378">
        <f>IF(+I14&lt;F63,I14,D64)</f>
        <v>0</v>
      </c>
      <c r="F64" s="55">
        <f t="shared" si="28"/>
        <v>0</v>
      </c>
      <c r="G64" s="380">
        <f t="shared" si="26"/>
        <v>0</v>
      </c>
      <c r="H64" s="364">
        <f t="shared" si="27"/>
        <v>0</v>
      </c>
      <c r="I64" s="52">
        <f t="shared" si="29"/>
        <v>0</v>
      </c>
      <c r="J64" s="52"/>
      <c r="K64" s="129"/>
      <c r="L64" s="54">
        <f t="shared" si="30"/>
        <v>0</v>
      </c>
      <c r="M64" s="129"/>
      <c r="N64" s="54">
        <f t="shared" si="31"/>
        <v>0</v>
      </c>
      <c r="O64" s="54">
        <f t="shared" si="32"/>
        <v>0</v>
      </c>
      <c r="P64" s="1"/>
    </row>
    <row r="65" spans="1:16" ht="12.5">
      <c r="B65" s="7" t="str">
        <f t="shared" si="6"/>
        <v/>
      </c>
      <c r="C65" s="50">
        <f>IF(D11="","-",+C64+1)</f>
        <v>2057</v>
      </c>
      <c r="D65" s="55">
        <f>IF(F64+SUM(E$17:E64)=D$10,F64,D$10-SUM(E$17:E64))</f>
        <v>0</v>
      </c>
      <c r="E65" s="378">
        <f>IF(+I14&lt;F64,I14,D65)</f>
        <v>0</v>
      </c>
      <c r="F65" s="55">
        <f t="shared" si="28"/>
        <v>0</v>
      </c>
      <c r="G65" s="380">
        <f t="shared" si="26"/>
        <v>0</v>
      </c>
      <c r="H65" s="364">
        <f t="shared" si="27"/>
        <v>0</v>
      </c>
      <c r="I65" s="52">
        <f t="shared" si="29"/>
        <v>0</v>
      </c>
      <c r="J65" s="52"/>
      <c r="K65" s="129"/>
      <c r="L65" s="54">
        <f t="shared" si="30"/>
        <v>0</v>
      </c>
      <c r="M65" s="129"/>
      <c r="N65" s="54">
        <f t="shared" si="31"/>
        <v>0</v>
      </c>
      <c r="O65" s="54">
        <f t="shared" si="32"/>
        <v>0</v>
      </c>
      <c r="P65" s="1"/>
    </row>
    <row r="66" spans="1:16" ht="12.5">
      <c r="B66" s="7" t="str">
        <f t="shared" si="6"/>
        <v/>
      </c>
      <c r="C66" s="50">
        <f>IF(D11="","-",+C65+1)</f>
        <v>2058</v>
      </c>
      <c r="D66" s="55">
        <f>IF(F65+SUM(E$17:E65)=D$10,F65,D$10-SUM(E$17:E65))</f>
        <v>0</v>
      </c>
      <c r="E66" s="378">
        <f>IF(+I14&lt;F65,I14,D66)</f>
        <v>0</v>
      </c>
      <c r="F66" s="55">
        <f t="shared" si="28"/>
        <v>0</v>
      </c>
      <c r="G66" s="380">
        <f t="shared" si="26"/>
        <v>0</v>
      </c>
      <c r="H66" s="364">
        <f t="shared" si="27"/>
        <v>0</v>
      </c>
      <c r="I66" s="52">
        <f t="shared" si="29"/>
        <v>0</v>
      </c>
      <c r="J66" s="52"/>
      <c r="K66" s="129"/>
      <c r="L66" s="54">
        <f t="shared" si="30"/>
        <v>0</v>
      </c>
      <c r="M66" s="129"/>
      <c r="N66" s="54">
        <f t="shared" si="31"/>
        <v>0</v>
      </c>
      <c r="O66" s="54">
        <f t="shared" si="32"/>
        <v>0</v>
      </c>
      <c r="P66" s="1"/>
    </row>
    <row r="67" spans="1:16" ht="12.5">
      <c r="B67" s="7" t="str">
        <f t="shared" si="6"/>
        <v/>
      </c>
      <c r="C67" s="50">
        <f>IF(D11="","-",+C66+1)</f>
        <v>2059</v>
      </c>
      <c r="D67" s="55">
        <f>IF(F66+SUM(E$17:E66)=D$10,F66,D$10-SUM(E$17:E66))</f>
        <v>0</v>
      </c>
      <c r="E67" s="378">
        <f>IF(+I14&lt;F66,I14,D67)</f>
        <v>0</v>
      </c>
      <c r="F67" s="55">
        <f t="shared" si="28"/>
        <v>0</v>
      </c>
      <c r="G67" s="380">
        <f t="shared" si="26"/>
        <v>0</v>
      </c>
      <c r="H67" s="364">
        <f t="shared" si="27"/>
        <v>0</v>
      </c>
      <c r="I67" s="52">
        <f t="shared" si="29"/>
        <v>0</v>
      </c>
      <c r="J67" s="52"/>
      <c r="K67" s="129"/>
      <c r="L67" s="54">
        <f t="shared" si="30"/>
        <v>0</v>
      </c>
      <c r="M67" s="129"/>
      <c r="N67" s="54">
        <f t="shared" si="31"/>
        <v>0</v>
      </c>
      <c r="O67" s="54">
        <f t="shared" si="32"/>
        <v>0</v>
      </c>
      <c r="P67" s="1"/>
    </row>
    <row r="68" spans="1:16" ht="12.5">
      <c r="B68" s="7" t="str">
        <f t="shared" si="6"/>
        <v/>
      </c>
      <c r="C68" s="50">
        <f>IF(D11="","-",+C67+1)</f>
        <v>2060</v>
      </c>
      <c r="D68" s="55">
        <f>IF(F67+SUM(E$17:E67)=D$10,F67,D$10-SUM(E$17:E67))</f>
        <v>0</v>
      </c>
      <c r="E68" s="378">
        <f>IF(+I14&lt;F67,I14,D68)</f>
        <v>0</v>
      </c>
      <c r="F68" s="55">
        <f t="shared" si="28"/>
        <v>0</v>
      </c>
      <c r="G68" s="380">
        <f t="shared" si="26"/>
        <v>0</v>
      </c>
      <c r="H68" s="364">
        <f t="shared" si="27"/>
        <v>0</v>
      </c>
      <c r="I68" s="52">
        <f t="shared" si="29"/>
        <v>0</v>
      </c>
      <c r="J68" s="52"/>
      <c r="K68" s="129"/>
      <c r="L68" s="54">
        <f t="shared" si="30"/>
        <v>0</v>
      </c>
      <c r="M68" s="129"/>
      <c r="N68" s="54">
        <f t="shared" si="31"/>
        <v>0</v>
      </c>
      <c r="O68" s="54">
        <f t="shared" si="32"/>
        <v>0</v>
      </c>
      <c r="P68" s="1"/>
    </row>
    <row r="69" spans="1:16" ht="12.5">
      <c r="B69" s="7" t="str">
        <f t="shared" si="6"/>
        <v/>
      </c>
      <c r="C69" s="50">
        <f>IF(D11="","-",+C68+1)</f>
        <v>2061</v>
      </c>
      <c r="D69" s="55">
        <f>IF(F68+SUM(E$17:E68)=D$10,F68,D$10-SUM(E$17:E68))</f>
        <v>0</v>
      </c>
      <c r="E69" s="378">
        <f>IF(+I14&lt;F68,I14,D69)</f>
        <v>0</v>
      </c>
      <c r="F69" s="55">
        <f t="shared" si="28"/>
        <v>0</v>
      </c>
      <c r="G69" s="380">
        <f t="shared" si="26"/>
        <v>0</v>
      </c>
      <c r="H69" s="364">
        <f t="shared" si="27"/>
        <v>0</v>
      </c>
      <c r="I69" s="52">
        <f t="shared" si="29"/>
        <v>0</v>
      </c>
      <c r="J69" s="52"/>
      <c r="K69" s="129"/>
      <c r="L69" s="54">
        <f t="shared" si="30"/>
        <v>0</v>
      </c>
      <c r="M69" s="129"/>
      <c r="N69" s="54">
        <f t="shared" si="31"/>
        <v>0</v>
      </c>
      <c r="O69" s="54">
        <f t="shared" si="32"/>
        <v>0</v>
      </c>
      <c r="P69" s="1"/>
    </row>
    <row r="70" spans="1:16" ht="12.5">
      <c r="B70" s="7" t="str">
        <f t="shared" si="6"/>
        <v/>
      </c>
      <c r="C70" s="50">
        <f>IF(D11="","-",+C69+1)</f>
        <v>2062</v>
      </c>
      <c r="D70" s="55">
        <f>IF(F69+SUM(E$17:E69)=D$10,F69,D$10-SUM(E$17:E69))</f>
        <v>0</v>
      </c>
      <c r="E70" s="378">
        <f>IF(+I14&lt;F69,I14,D70)</f>
        <v>0</v>
      </c>
      <c r="F70" s="55">
        <f t="shared" si="28"/>
        <v>0</v>
      </c>
      <c r="G70" s="380">
        <f t="shared" si="26"/>
        <v>0</v>
      </c>
      <c r="H70" s="364">
        <f t="shared" si="27"/>
        <v>0</v>
      </c>
      <c r="I70" s="52">
        <f t="shared" si="29"/>
        <v>0</v>
      </c>
      <c r="J70" s="52"/>
      <c r="K70" s="129"/>
      <c r="L70" s="54">
        <f t="shared" si="30"/>
        <v>0</v>
      </c>
      <c r="M70" s="129"/>
      <c r="N70" s="54">
        <f t="shared" si="31"/>
        <v>0</v>
      </c>
      <c r="O70" s="54">
        <f t="shared" si="32"/>
        <v>0</v>
      </c>
      <c r="P70" s="1"/>
    </row>
    <row r="71" spans="1:16" ht="12.5">
      <c r="B71" s="7" t="str">
        <f t="shared" si="6"/>
        <v/>
      </c>
      <c r="C71" s="50">
        <f>IF(D11="","-",+C70+1)</f>
        <v>2063</v>
      </c>
      <c r="D71" s="55">
        <f>IF(F70+SUM(E$17:E70)=D$10,F70,D$10-SUM(E$17:E70))</f>
        <v>0</v>
      </c>
      <c r="E71" s="378">
        <f>IF(+I14&lt;F70,I14,D71)</f>
        <v>0</v>
      </c>
      <c r="F71" s="55">
        <f t="shared" si="28"/>
        <v>0</v>
      </c>
      <c r="G71" s="380">
        <f t="shared" si="26"/>
        <v>0</v>
      </c>
      <c r="H71" s="364">
        <f t="shared" si="27"/>
        <v>0</v>
      </c>
      <c r="I71" s="52">
        <f t="shared" si="29"/>
        <v>0</v>
      </c>
      <c r="J71" s="52"/>
      <c r="K71" s="129"/>
      <c r="L71" s="54">
        <f t="shared" si="30"/>
        <v>0</v>
      </c>
      <c r="M71" s="129"/>
      <c r="N71" s="54">
        <f t="shared" si="31"/>
        <v>0</v>
      </c>
      <c r="O71" s="54">
        <f t="shared" si="32"/>
        <v>0</v>
      </c>
      <c r="P71" s="1"/>
    </row>
    <row r="72" spans="1:16" ht="13" thickBot="1">
      <c r="B72" s="7" t="str">
        <f t="shared" si="6"/>
        <v/>
      </c>
      <c r="C72" s="59">
        <f>IF(D11="","-",+C71+1)</f>
        <v>2064</v>
      </c>
      <c r="D72" s="60">
        <f>IF(F71+SUM(E$17:E71)=D$10,F71,D$10-SUM(E$17:E71))</f>
        <v>0</v>
      </c>
      <c r="E72" s="381">
        <f>IF(+I14&lt;F71,I14,D72)</f>
        <v>0</v>
      </c>
      <c r="F72" s="60">
        <f t="shared" si="28"/>
        <v>0</v>
      </c>
      <c r="G72" s="382">
        <f t="shared" si="26"/>
        <v>0</v>
      </c>
      <c r="H72" s="362">
        <f t="shared" si="27"/>
        <v>0</v>
      </c>
      <c r="I72" s="63">
        <f t="shared" si="29"/>
        <v>0</v>
      </c>
      <c r="J72" s="52"/>
      <c r="K72" s="130"/>
      <c r="L72" s="64">
        <f t="shared" si="30"/>
        <v>0</v>
      </c>
      <c r="M72" s="130"/>
      <c r="N72" s="64">
        <f t="shared" si="31"/>
        <v>0</v>
      </c>
      <c r="O72" s="64">
        <f t="shared" si="32"/>
        <v>0</v>
      </c>
      <c r="P72" s="1"/>
    </row>
    <row r="73" spans="1:16" ht="12.5">
      <c r="C73" s="12" t="s">
        <v>78</v>
      </c>
      <c r="D73" s="293"/>
      <c r="E73" s="293">
        <f>SUM(E17:E72)</f>
        <v>37028625.000000007</v>
      </c>
      <c r="F73" s="293"/>
      <c r="G73" s="293">
        <f>SUM(G17:G72)</f>
        <v>135334227.20656395</v>
      </c>
      <c r="H73" s="293">
        <f>SUM(H17:H72)</f>
        <v>135334227.20656395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 ht="12.5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 ht="1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 ht="1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7.5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 ht="1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.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7.5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 ht="12.5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 ht="12.5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6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7.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6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2024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.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394</v>
      </c>
      <c r="M87" s="387">
        <f>IF(J92&lt;D11,0,VLOOKUP(J92,C17:O72,9))</f>
        <v>3838521.4401582326</v>
      </c>
      <c r="N87" s="387">
        <f>IF(J92&lt;D11,0,VLOOKUP(J92,C17:O72,11))</f>
        <v>3838521.4401582326</v>
      </c>
      <c r="O87" s="69">
        <f>+N87-M87</f>
        <v>0</v>
      </c>
      <c r="P87" s="1"/>
      <c r="Q87" s="1"/>
    </row>
    <row r="88" spans="1:17" ht="15.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395</v>
      </c>
      <c r="M88" s="390">
        <f>IF(J92&lt;D11,0,VLOOKUP(J92,C99:P154,6))</f>
        <v>4023693.8648753264</v>
      </c>
      <c r="N88" s="390">
        <f>IF(J92&lt;D11,0,VLOOKUP(J92,C99:P154,7))</f>
        <v>4023693.8648753264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Port Robson-Caplis Line (SW 138 kV Loop -- 2009)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185172.42471709382</v>
      </c>
      <c r="N89" s="392">
        <f>+N88-N87</f>
        <v>185172.42471709382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TP2007165</v>
      </c>
      <c r="E91" s="76" t="s">
        <v>494</v>
      </c>
      <c r="F91" s="463">
        <f>F9</f>
        <v>113</v>
      </c>
      <c r="G91" s="76"/>
      <c r="H91" s="76"/>
      <c r="I91" s="76"/>
      <c r="J91" s="95"/>
      <c r="Q91" s="1"/>
    </row>
    <row r="92" spans="1:17" ht="13">
      <c r="C92" s="34" t="s">
        <v>51</v>
      </c>
      <c r="D92" s="363">
        <f>D10</f>
        <v>37028625</v>
      </c>
      <c r="E92" s="1" t="s">
        <v>86</v>
      </c>
      <c r="H92" s="2"/>
      <c r="I92" s="2"/>
      <c r="J92" s="36">
        <f>+'SWE.WS.G.BPU.ATRR.True-up'!M16</f>
        <v>2024</v>
      </c>
      <c r="K92" s="33"/>
      <c r="L92" s="293" t="s">
        <v>87</v>
      </c>
      <c r="P92" s="1"/>
      <c r="Q92" s="1"/>
    </row>
    <row r="93" spans="1:17" ht="12.5">
      <c r="C93" s="34" t="s">
        <v>54</v>
      </c>
      <c r="D93" s="88">
        <f>IF(D11=I10,"",D11)</f>
        <v>2009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 ht="12.5">
      <c r="C94" s="34" t="s">
        <v>56</v>
      </c>
      <c r="D94" s="394">
        <f>IF(D11=I10,"",D12)</f>
        <v>6</v>
      </c>
      <c r="E94" s="34" t="s">
        <v>57</v>
      </c>
      <c r="F94" s="2"/>
      <c r="G94" s="2"/>
      <c r="J94" s="40">
        <f>'SWE.WS.G.BPU.ATRR.True-up'!$F$81</f>
        <v>0.1245263399019997</v>
      </c>
      <c r="K94" s="8"/>
      <c r="L94" t="s">
        <v>88</v>
      </c>
      <c r="P94" s="1"/>
      <c r="Q94" s="1"/>
    </row>
    <row r="95" spans="1:17" ht="12.5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0.1245263399019997</v>
      </c>
      <c r="K95" s="8"/>
      <c r="L95" s="293" t="s">
        <v>61</v>
      </c>
      <c r="M95" s="8"/>
      <c r="N95" s="8"/>
      <c r="O95" s="8"/>
      <c r="P95" s="1"/>
      <c r="Q95" s="1"/>
    </row>
    <row r="96" spans="1:17" ht="13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841559.65909090906</v>
      </c>
      <c r="K96" s="293"/>
      <c r="L96" s="293"/>
      <c r="M96" s="293"/>
      <c r="N96" s="293"/>
      <c r="O96" s="293"/>
      <c r="P96" s="1"/>
      <c r="Q96" s="1"/>
    </row>
    <row r="97" spans="1:17" ht="39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391</v>
      </c>
      <c r="I97" s="367" t="s">
        <v>392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 ht="12.5">
      <c r="C99" s="50">
        <f>IF(D93= "","-",D93)</f>
        <v>2009</v>
      </c>
      <c r="D99" s="133">
        <v>0</v>
      </c>
      <c r="E99" s="376">
        <v>70250</v>
      </c>
      <c r="F99" s="137">
        <v>5268768</v>
      </c>
      <c r="G99" s="140">
        <v>2634384</v>
      </c>
      <c r="H99" s="397">
        <v>451544</v>
      </c>
      <c r="I99" s="398">
        <v>451544</v>
      </c>
      <c r="J99" s="54">
        <f t="shared" ref="J99:J130" si="33">+I99-H99</f>
        <v>0</v>
      </c>
      <c r="K99" s="54"/>
      <c r="L99" s="112">
        <f t="shared" ref="L99:L104" si="34">H99</f>
        <v>451544</v>
      </c>
      <c r="M99" s="53">
        <f t="shared" ref="M99:M130" si="35">IF(L99&lt;&gt;0,+H99-L99,0)</f>
        <v>0</v>
      </c>
      <c r="N99" s="112">
        <f t="shared" ref="N99:N104" si="36">I99</f>
        <v>451544</v>
      </c>
      <c r="O99" s="53">
        <f t="shared" ref="O99:O130" si="37">IF(N99&lt;&gt;0,+I99-N99,0)</f>
        <v>0</v>
      </c>
      <c r="P99" s="53">
        <f t="shared" ref="P99:P130" si="38">+O99-M99</f>
        <v>0</v>
      </c>
      <c r="Q99" s="1"/>
    </row>
    <row r="100" spans="1:17" ht="12.5">
      <c r="B100" s="7" t="str">
        <f>IF(D100=F99,"","IU")</f>
        <v>IU</v>
      </c>
      <c r="C100" s="50">
        <f>IF(D93="","-",+C99+1)</f>
        <v>2010</v>
      </c>
      <c r="D100" s="133">
        <v>5927359</v>
      </c>
      <c r="E100" s="376">
        <v>146283.14634146341</v>
      </c>
      <c r="F100" s="137">
        <v>5781075.8536585364</v>
      </c>
      <c r="G100" s="137">
        <v>5854217.4268292682</v>
      </c>
      <c r="H100" s="376">
        <v>1112732.9651723914</v>
      </c>
      <c r="I100" s="375">
        <v>1112732.9651723914</v>
      </c>
      <c r="J100" s="54">
        <f t="shared" si="33"/>
        <v>0</v>
      </c>
      <c r="K100" s="54"/>
      <c r="L100" s="113">
        <f t="shared" si="34"/>
        <v>1112732.9651723914</v>
      </c>
      <c r="M100" s="54">
        <f t="shared" si="35"/>
        <v>0</v>
      </c>
      <c r="N100" s="113">
        <f t="shared" si="36"/>
        <v>1112732.9651723914</v>
      </c>
      <c r="O100" s="54">
        <f t="shared" si="37"/>
        <v>0</v>
      </c>
      <c r="P100" s="54">
        <f t="shared" si="38"/>
        <v>0</v>
      </c>
      <c r="Q100" s="1"/>
    </row>
    <row r="101" spans="1:17" ht="12.5">
      <c r="B101" s="7" t="str">
        <f t="shared" ref="B101:B154" si="39">IF(D101=F100,"","IU")</f>
        <v>IU</v>
      </c>
      <c r="C101" s="50">
        <f>IF(D93="","-",+C100+1)</f>
        <v>2011</v>
      </c>
      <c r="D101" s="133">
        <v>20674238.853658538</v>
      </c>
      <c r="E101" s="376">
        <v>497399.33333333331</v>
      </c>
      <c r="F101" s="137">
        <v>20176839.520325206</v>
      </c>
      <c r="G101" s="137">
        <v>20425539.18699187</v>
      </c>
      <c r="H101" s="376">
        <v>3568989.8996136081</v>
      </c>
      <c r="I101" s="375">
        <v>3568989.8996136081</v>
      </c>
      <c r="J101" s="54">
        <f t="shared" si="33"/>
        <v>0</v>
      </c>
      <c r="K101" s="54"/>
      <c r="L101" s="113">
        <f t="shared" si="34"/>
        <v>3568989.8996136081</v>
      </c>
      <c r="M101" s="54">
        <f t="shared" si="35"/>
        <v>0</v>
      </c>
      <c r="N101" s="113">
        <f t="shared" si="36"/>
        <v>3568989.8996136081</v>
      </c>
      <c r="O101" s="54">
        <f t="shared" si="37"/>
        <v>0</v>
      </c>
      <c r="P101" s="54">
        <f t="shared" si="38"/>
        <v>0</v>
      </c>
      <c r="Q101" s="1"/>
    </row>
    <row r="102" spans="1:17" ht="12.5">
      <c r="B102" s="7" t="str">
        <f t="shared" si="39"/>
        <v>IU</v>
      </c>
      <c r="C102" s="50">
        <f>IF(D93="","-",+C101+1)</f>
        <v>2012</v>
      </c>
      <c r="D102" s="133">
        <v>28853944.520325202</v>
      </c>
      <c r="E102" s="376">
        <v>703997.07142857148</v>
      </c>
      <c r="F102" s="137">
        <v>28149947.448896632</v>
      </c>
      <c r="G102" s="137">
        <v>28501945.984610915</v>
      </c>
      <c r="H102" s="376">
        <v>4898170.4869055999</v>
      </c>
      <c r="I102" s="375">
        <v>4898170.4869055999</v>
      </c>
      <c r="J102" s="54">
        <f t="shared" si="33"/>
        <v>0</v>
      </c>
      <c r="K102" s="54"/>
      <c r="L102" s="113">
        <f t="shared" si="34"/>
        <v>4898170.4869055999</v>
      </c>
      <c r="M102" s="54">
        <f t="shared" si="35"/>
        <v>0</v>
      </c>
      <c r="N102" s="113">
        <f t="shared" si="36"/>
        <v>4898170.4869055999</v>
      </c>
      <c r="O102" s="54">
        <f t="shared" si="37"/>
        <v>0</v>
      </c>
      <c r="P102" s="54">
        <f t="shared" si="38"/>
        <v>0</v>
      </c>
      <c r="Q102" s="1"/>
    </row>
    <row r="103" spans="1:17" ht="12.5">
      <c r="B103" s="7" t="str">
        <f t="shared" si="39"/>
        <v>IU</v>
      </c>
      <c r="C103" s="50">
        <f>IF(D93="","-",+C102+1)</f>
        <v>2013</v>
      </c>
      <c r="D103" s="133">
        <v>35510528.448896632</v>
      </c>
      <c r="E103" s="376">
        <v>879249</v>
      </c>
      <c r="F103" s="137">
        <v>34631279.448896632</v>
      </c>
      <c r="G103" s="137">
        <v>35070903.948896632</v>
      </c>
      <c r="H103" s="376">
        <v>5624051.2967773527</v>
      </c>
      <c r="I103" s="375">
        <v>5624051.2967773527</v>
      </c>
      <c r="J103" s="54">
        <v>0</v>
      </c>
      <c r="K103" s="54"/>
      <c r="L103" s="113">
        <f t="shared" si="34"/>
        <v>5624051.2967773527</v>
      </c>
      <c r="M103" s="54">
        <f t="shared" ref="M103:M108" si="40">IF(L103&lt;&gt;0,+H103-L103,0)</f>
        <v>0</v>
      </c>
      <c r="N103" s="113">
        <f t="shared" si="36"/>
        <v>5624051.2967773527</v>
      </c>
      <c r="O103" s="54">
        <f t="shared" ref="O103:O108" si="41">IF(N103&lt;&gt;0,+I103-N103,0)</f>
        <v>0</v>
      </c>
      <c r="P103" s="54">
        <f>+O103-M103</f>
        <v>0</v>
      </c>
      <c r="Q103" s="1"/>
    </row>
    <row r="104" spans="1:17" ht="12.5">
      <c r="B104" s="7" t="str">
        <f t="shared" si="39"/>
        <v>IU</v>
      </c>
      <c r="C104" s="50">
        <f>IF(D93="","-",+C103+1)</f>
        <v>2014</v>
      </c>
      <c r="D104" s="133">
        <v>34731446.448896632</v>
      </c>
      <c r="E104" s="376">
        <v>881633.92857142852</v>
      </c>
      <c r="F104" s="137">
        <v>33849812.520325206</v>
      </c>
      <c r="G104" s="137">
        <v>34290629.484610915</v>
      </c>
      <c r="H104" s="376">
        <v>5542534.9256215226</v>
      </c>
      <c r="I104" s="375">
        <v>5542534.9256215226</v>
      </c>
      <c r="J104" s="54">
        <v>0</v>
      </c>
      <c r="K104" s="54"/>
      <c r="L104" s="113">
        <f t="shared" si="34"/>
        <v>5542534.9256215226</v>
      </c>
      <c r="M104" s="54">
        <f t="shared" si="40"/>
        <v>0</v>
      </c>
      <c r="N104" s="113">
        <f t="shared" si="36"/>
        <v>5542534.9256215226</v>
      </c>
      <c r="O104" s="54">
        <f t="shared" si="41"/>
        <v>0</v>
      </c>
      <c r="P104" s="54">
        <f>+O104-M104</f>
        <v>0</v>
      </c>
      <c r="Q104" s="1"/>
    </row>
    <row r="105" spans="1:17" ht="12.5">
      <c r="B105" s="7" t="str">
        <f t="shared" si="39"/>
        <v/>
      </c>
      <c r="C105" s="50">
        <f>IF(D93="","-",+C104+1)</f>
        <v>2015</v>
      </c>
      <c r="D105" s="133">
        <v>33849812.520325206</v>
      </c>
      <c r="E105" s="376">
        <v>881633.92857142852</v>
      </c>
      <c r="F105" s="137">
        <v>32968178.591753777</v>
      </c>
      <c r="G105" s="137">
        <v>33408995.55603949</v>
      </c>
      <c r="H105" s="376">
        <v>5283899.7839213237</v>
      </c>
      <c r="I105" s="375">
        <v>5283899.7839213237</v>
      </c>
      <c r="J105" s="54">
        <f t="shared" si="33"/>
        <v>0</v>
      </c>
      <c r="K105" s="54"/>
      <c r="L105" s="113">
        <f t="shared" ref="L105:L110" si="42">H105</f>
        <v>5283899.7839213237</v>
      </c>
      <c r="M105" s="54">
        <f t="shared" si="40"/>
        <v>0</v>
      </c>
      <c r="N105" s="113">
        <f t="shared" ref="N105:N110" si="43">I105</f>
        <v>5283899.7839213237</v>
      </c>
      <c r="O105" s="54">
        <f t="shared" si="41"/>
        <v>0</v>
      </c>
      <c r="P105" s="54">
        <f>+O105-M105</f>
        <v>0</v>
      </c>
      <c r="Q105" s="1"/>
    </row>
    <row r="106" spans="1:17" ht="12.5">
      <c r="B106" s="7" t="str">
        <f t="shared" si="39"/>
        <v/>
      </c>
      <c r="C106" s="50">
        <f>IF(D93="","-",+C105+1)</f>
        <v>2016</v>
      </c>
      <c r="D106" s="133">
        <v>32968178.591753777</v>
      </c>
      <c r="E106" s="376">
        <v>861130.81395348837</v>
      </c>
      <c r="F106" s="137">
        <v>32107047.777800288</v>
      </c>
      <c r="G106" s="137">
        <v>32537613.184777033</v>
      </c>
      <c r="H106" s="376">
        <v>4991780.4266921831</v>
      </c>
      <c r="I106" s="375">
        <v>4991780.4266921831</v>
      </c>
      <c r="J106" s="54">
        <f t="shared" si="33"/>
        <v>0</v>
      </c>
      <c r="K106" s="54"/>
      <c r="L106" s="113">
        <f t="shared" si="42"/>
        <v>4991780.4266921831</v>
      </c>
      <c r="M106" s="54">
        <f t="shared" si="40"/>
        <v>0</v>
      </c>
      <c r="N106" s="113">
        <f t="shared" si="43"/>
        <v>4991780.4266921831</v>
      </c>
      <c r="O106" s="54">
        <f t="shared" si="41"/>
        <v>0</v>
      </c>
      <c r="P106" s="54">
        <f>+O106-M106</f>
        <v>0</v>
      </c>
      <c r="Q106" s="1"/>
    </row>
    <row r="107" spans="1:17" ht="12.5">
      <c r="B107" s="7" t="str">
        <f t="shared" si="39"/>
        <v/>
      </c>
      <c r="C107" s="50">
        <f>IF(D93="","-",+C106+1)</f>
        <v>2017</v>
      </c>
      <c r="D107" s="133">
        <v>32107047.777800288</v>
      </c>
      <c r="E107" s="376">
        <v>881633.92857142852</v>
      </c>
      <c r="F107" s="137">
        <v>31225413.849228859</v>
      </c>
      <c r="G107" s="137">
        <v>31666230.813514575</v>
      </c>
      <c r="H107" s="376">
        <v>4728177.1448464729</v>
      </c>
      <c r="I107" s="375">
        <v>4728177.1448464729</v>
      </c>
      <c r="J107" s="54">
        <f t="shared" si="33"/>
        <v>0</v>
      </c>
      <c r="K107" s="54"/>
      <c r="L107" s="113">
        <f t="shared" si="42"/>
        <v>4728177.1448464729</v>
      </c>
      <c r="M107" s="54">
        <f t="shared" si="40"/>
        <v>0</v>
      </c>
      <c r="N107" s="113">
        <f t="shared" si="43"/>
        <v>4728177.1448464729</v>
      </c>
      <c r="O107" s="54">
        <f t="shared" si="41"/>
        <v>0</v>
      </c>
      <c r="P107" s="54">
        <f>+O107-M107</f>
        <v>0</v>
      </c>
      <c r="Q107" s="1"/>
    </row>
    <row r="108" spans="1:17" ht="12.5">
      <c r="B108" s="7" t="str">
        <f t="shared" si="39"/>
        <v/>
      </c>
      <c r="C108" s="50">
        <f>IF(D93="","-",+C107+1)</f>
        <v>2018</v>
      </c>
      <c r="D108" s="133">
        <v>31225413.849228859</v>
      </c>
      <c r="E108" s="376">
        <v>881633.92857142852</v>
      </c>
      <c r="F108" s="137">
        <v>30343779.92065743</v>
      </c>
      <c r="G108" s="137">
        <v>30784596.884943143</v>
      </c>
      <c r="H108" s="376">
        <v>4132628.5322350259</v>
      </c>
      <c r="I108" s="375">
        <v>4132628.5322350259</v>
      </c>
      <c r="J108" s="54">
        <f t="shared" si="33"/>
        <v>0</v>
      </c>
      <c r="K108" s="54"/>
      <c r="L108" s="113">
        <f t="shared" si="42"/>
        <v>4132628.5322350259</v>
      </c>
      <c r="M108" s="54">
        <f t="shared" si="40"/>
        <v>0</v>
      </c>
      <c r="N108" s="113">
        <f t="shared" si="43"/>
        <v>4132628.5322350259</v>
      </c>
      <c r="O108" s="54">
        <f t="shared" si="41"/>
        <v>0</v>
      </c>
      <c r="P108" s="54">
        <f t="shared" si="38"/>
        <v>0</v>
      </c>
      <c r="Q108" s="1"/>
    </row>
    <row r="109" spans="1:17" ht="12.5">
      <c r="B109" s="7" t="str">
        <f t="shared" si="39"/>
        <v/>
      </c>
      <c r="C109" s="50">
        <f>IF(D93="","-",+C108+1)</f>
        <v>2019</v>
      </c>
      <c r="D109" s="133">
        <v>30343779.92065743</v>
      </c>
      <c r="E109" s="376">
        <v>861130.81395348837</v>
      </c>
      <c r="F109" s="137">
        <v>29482649.106703941</v>
      </c>
      <c r="G109" s="137">
        <v>29913214.513680685</v>
      </c>
      <c r="H109" s="376">
        <v>4063057.6443278007</v>
      </c>
      <c r="I109" s="375">
        <v>4063057.6443278007</v>
      </c>
      <c r="J109" s="54">
        <f t="shared" si="33"/>
        <v>0</v>
      </c>
      <c r="K109" s="54"/>
      <c r="L109" s="113">
        <f t="shared" si="42"/>
        <v>4063057.6443278007</v>
      </c>
      <c r="M109" s="54">
        <f t="shared" ref="M109" si="44">IF(L109&lt;&gt;0,+H109-L109,0)</f>
        <v>0</v>
      </c>
      <c r="N109" s="113">
        <f t="shared" si="43"/>
        <v>4063057.6443278007</v>
      </c>
      <c r="O109" s="54">
        <f t="shared" si="37"/>
        <v>0</v>
      </c>
      <c r="P109" s="54">
        <f t="shared" si="38"/>
        <v>0</v>
      </c>
      <c r="Q109" s="1"/>
    </row>
    <row r="110" spans="1:17" ht="12.5">
      <c r="B110" s="7" t="str">
        <f t="shared" si="39"/>
        <v/>
      </c>
      <c r="C110" s="50">
        <f>IF(D93="","-",+C109+1)</f>
        <v>2020</v>
      </c>
      <c r="D110" s="133">
        <v>29482649.106703941</v>
      </c>
      <c r="E110" s="376">
        <v>881633.92857142852</v>
      </c>
      <c r="F110" s="137">
        <v>28601015.178132512</v>
      </c>
      <c r="G110" s="137">
        <v>29041832.142418228</v>
      </c>
      <c r="H110" s="376">
        <v>4005775.1149744629</v>
      </c>
      <c r="I110" s="375">
        <v>4005775.1149744629</v>
      </c>
      <c r="J110" s="54">
        <f t="shared" si="33"/>
        <v>0</v>
      </c>
      <c r="K110" s="54"/>
      <c r="L110" s="113">
        <f t="shared" si="42"/>
        <v>4005775.1149744629</v>
      </c>
      <c r="M110" s="54">
        <f t="shared" ref="M110" si="45">IF(L110&lt;&gt;0,+H110-L110,0)</f>
        <v>0</v>
      </c>
      <c r="N110" s="113">
        <f t="shared" si="43"/>
        <v>4005775.1149744629</v>
      </c>
      <c r="O110" s="54">
        <f t="shared" si="37"/>
        <v>0</v>
      </c>
      <c r="P110" s="54">
        <f t="shared" si="38"/>
        <v>0</v>
      </c>
      <c r="Q110" s="1"/>
    </row>
    <row r="111" spans="1:17" ht="12.5">
      <c r="B111" s="7" t="str">
        <f t="shared" si="39"/>
        <v/>
      </c>
      <c r="C111" s="50">
        <f>IF(D93="","-",+C110+1)</f>
        <v>2021</v>
      </c>
      <c r="D111" s="133">
        <v>28601015.178132512</v>
      </c>
      <c r="E111" s="376">
        <v>903137.19512195117</v>
      </c>
      <c r="F111" s="137">
        <v>27697877.98301056</v>
      </c>
      <c r="G111" s="137">
        <v>28149446.580571536</v>
      </c>
      <c r="H111" s="376">
        <v>4098499.8465098133</v>
      </c>
      <c r="I111" s="375">
        <v>4098499.8465098133</v>
      </c>
      <c r="J111" s="54">
        <f t="shared" si="33"/>
        <v>0</v>
      </c>
      <c r="K111" s="54"/>
      <c r="L111" s="113">
        <f t="shared" ref="L111" si="46">H111</f>
        <v>4098499.8465098133</v>
      </c>
      <c r="M111" s="54">
        <f t="shared" ref="M111" si="47">IF(L111&lt;&gt;0,+H111-L111,0)</f>
        <v>0</v>
      </c>
      <c r="N111" s="113">
        <f t="shared" ref="N111" si="48">I111</f>
        <v>4098499.8465098133</v>
      </c>
      <c r="O111" s="54">
        <f t="shared" si="37"/>
        <v>0</v>
      </c>
      <c r="P111" s="54">
        <f t="shared" si="38"/>
        <v>0</v>
      </c>
      <c r="Q111" s="1"/>
    </row>
    <row r="112" spans="1:17" ht="12.5">
      <c r="B112" s="7" t="str">
        <f t="shared" si="39"/>
        <v/>
      </c>
      <c r="C112" s="50">
        <f>IF(D93="","-",+C111+1)</f>
        <v>2022</v>
      </c>
      <c r="D112" s="133">
        <v>27697877.98301056</v>
      </c>
      <c r="E112" s="376">
        <v>881633.92857142852</v>
      </c>
      <c r="F112" s="137">
        <v>26816244.054439131</v>
      </c>
      <c r="G112" s="137">
        <v>27257061.018724844</v>
      </c>
      <c r="H112" s="376">
        <v>4083189.5235062321</v>
      </c>
      <c r="I112" s="375">
        <v>4083189.5235062321</v>
      </c>
      <c r="J112" s="54">
        <f t="shared" si="33"/>
        <v>0</v>
      </c>
      <c r="K112" s="54"/>
      <c r="L112" s="113">
        <f t="shared" ref="L112" si="49">H112</f>
        <v>4083189.5235062321</v>
      </c>
      <c r="M112" s="54">
        <f t="shared" ref="M112" si="50">IF(L112&lt;&gt;0,+H112-L112,0)</f>
        <v>0</v>
      </c>
      <c r="N112" s="113">
        <f t="shared" ref="N112" si="51">I112</f>
        <v>4083189.5235062321</v>
      </c>
      <c r="O112" s="54">
        <f t="shared" ref="O112" si="52">IF(N112&lt;&gt;0,+I112-N112,0)</f>
        <v>0</v>
      </c>
      <c r="P112" s="54">
        <f t="shared" ref="P112" si="53">+O112-M112</f>
        <v>0</v>
      </c>
      <c r="Q112" s="1"/>
    </row>
    <row r="113" spans="2:17" ht="12.5">
      <c r="B113" s="7" t="str">
        <f t="shared" si="39"/>
        <v/>
      </c>
      <c r="C113" s="50">
        <f>IF(D93="","-",+C112+1)</f>
        <v>2023</v>
      </c>
      <c r="D113" s="133">
        <v>26816244.054439131</v>
      </c>
      <c r="E113" s="376">
        <v>841559.65909090906</v>
      </c>
      <c r="F113" s="137">
        <v>25974684.395348221</v>
      </c>
      <c r="G113" s="137">
        <v>26395464.224893674</v>
      </c>
      <c r="H113" s="376">
        <v>4097837.58701821</v>
      </c>
      <c r="I113" s="375">
        <v>4097837.58701821</v>
      </c>
      <c r="J113" s="54">
        <f t="shared" si="33"/>
        <v>0</v>
      </c>
      <c r="K113" s="54"/>
      <c r="L113" s="113">
        <f t="shared" ref="L113" si="54">H113</f>
        <v>4097837.58701821</v>
      </c>
      <c r="M113" s="54">
        <f t="shared" ref="M113" si="55">IF(L113&lt;&gt;0,+H113-L113,0)</f>
        <v>0</v>
      </c>
      <c r="N113" s="113">
        <f t="shared" ref="N113" si="56">I113</f>
        <v>4097837.58701821</v>
      </c>
      <c r="O113" s="54">
        <f t="shared" ref="O113" si="57">IF(N113&lt;&gt;0,+I113-N113,0)</f>
        <v>0</v>
      </c>
      <c r="P113" s="54">
        <f t="shared" ref="P113" si="58">+O113-M113</f>
        <v>0</v>
      </c>
      <c r="Q113" s="1"/>
    </row>
    <row r="114" spans="2:17" ht="12.5">
      <c r="B114" s="7" t="str">
        <f t="shared" si="39"/>
        <v/>
      </c>
      <c r="C114" s="50">
        <f>IF(D93="","-",+C113+1)</f>
        <v>2024</v>
      </c>
      <c r="D114" s="12">
        <f>IF(F113+SUM(E$99:E113)=D$92,F113,D$92-SUM(E$99:E113))</f>
        <v>25974684.395348221</v>
      </c>
      <c r="E114" s="378">
        <f>IF(+J96&lt;F113,J96,D114)</f>
        <v>841559.65909090906</v>
      </c>
      <c r="F114" s="55">
        <f t="shared" ref="F114:F130" si="59">+D114-E114</f>
        <v>25133124.736257311</v>
      </c>
      <c r="G114" s="55">
        <f t="shared" ref="G114:G130" si="60">+(F114+D114)/2</f>
        <v>25553904.565802768</v>
      </c>
      <c r="H114" s="380">
        <f t="shared" ref="H114:H154" si="61">+J$94*G114+E114</f>
        <v>4023693.8648753264</v>
      </c>
      <c r="I114" s="399">
        <f t="shared" ref="I114:I154" si="62">+J$95*G114+E114</f>
        <v>4023693.8648753264</v>
      </c>
      <c r="J114" s="54">
        <f t="shared" si="33"/>
        <v>0</v>
      </c>
      <c r="K114" s="54"/>
      <c r="L114" s="129"/>
      <c r="M114" s="54">
        <f t="shared" si="35"/>
        <v>0</v>
      </c>
      <c r="N114" s="129"/>
      <c r="O114" s="54">
        <f t="shared" si="37"/>
        <v>0</v>
      </c>
      <c r="P114" s="54">
        <f t="shared" si="38"/>
        <v>0</v>
      </c>
      <c r="Q114" s="1"/>
    </row>
    <row r="115" spans="2:17" ht="12.5">
      <c r="B115" s="7" t="str">
        <f t="shared" si="39"/>
        <v/>
      </c>
      <c r="C115" s="50">
        <f>IF(D93="","-",+C114+1)</f>
        <v>2025</v>
      </c>
      <c r="D115" s="12">
        <f>IF(F114+SUM(E$99:E114)=D$92,F114,D$92-SUM(E$99:E114))</f>
        <v>25133124.736257311</v>
      </c>
      <c r="E115" s="378">
        <f>IF(+J96&lt;F114,J96,D115)</f>
        <v>841559.65909090906</v>
      </c>
      <c r="F115" s="55">
        <f t="shared" si="59"/>
        <v>24291565.077166401</v>
      </c>
      <c r="G115" s="55">
        <f t="shared" si="60"/>
        <v>24712344.906711854</v>
      </c>
      <c r="H115" s="380">
        <f t="shared" si="61"/>
        <v>3918897.5207195603</v>
      </c>
      <c r="I115" s="399">
        <f t="shared" si="62"/>
        <v>3918897.5207195603</v>
      </c>
      <c r="J115" s="54">
        <f t="shared" si="33"/>
        <v>0</v>
      </c>
      <c r="K115" s="54"/>
      <c r="L115" s="129"/>
      <c r="M115" s="54">
        <f t="shared" si="35"/>
        <v>0</v>
      </c>
      <c r="N115" s="129"/>
      <c r="O115" s="54">
        <f t="shared" si="37"/>
        <v>0</v>
      </c>
      <c r="P115" s="54">
        <f t="shared" si="38"/>
        <v>0</v>
      </c>
      <c r="Q115" s="1"/>
    </row>
    <row r="116" spans="2:17" ht="12.5">
      <c r="B116" s="7" t="str">
        <f t="shared" si="39"/>
        <v/>
      </c>
      <c r="C116" s="50">
        <f>IF(D93="","-",+C115+1)</f>
        <v>2026</v>
      </c>
      <c r="D116" s="12">
        <f>IF(F115+SUM(E$99:E115)=D$92,F115,D$92-SUM(E$99:E115))</f>
        <v>24291565.077166401</v>
      </c>
      <c r="E116" s="378">
        <f>IF(+J96&lt;F115,J96,D116)</f>
        <v>841559.65909090906</v>
      </c>
      <c r="F116" s="55">
        <f t="shared" si="59"/>
        <v>23450005.418075491</v>
      </c>
      <c r="G116" s="55">
        <f t="shared" si="60"/>
        <v>23870785.247620948</v>
      </c>
      <c r="H116" s="380">
        <f t="shared" si="61"/>
        <v>3814101.1765637952</v>
      </c>
      <c r="I116" s="399">
        <f t="shared" si="62"/>
        <v>3814101.1765637952</v>
      </c>
      <c r="J116" s="54">
        <f t="shared" si="33"/>
        <v>0</v>
      </c>
      <c r="K116" s="54"/>
      <c r="L116" s="129"/>
      <c r="M116" s="54">
        <f t="shared" si="35"/>
        <v>0</v>
      </c>
      <c r="N116" s="129"/>
      <c r="O116" s="54">
        <f t="shared" si="37"/>
        <v>0</v>
      </c>
      <c r="P116" s="54">
        <f t="shared" si="38"/>
        <v>0</v>
      </c>
      <c r="Q116" s="1"/>
    </row>
    <row r="117" spans="2:17" ht="12.5">
      <c r="B117" s="7" t="str">
        <f t="shared" si="39"/>
        <v/>
      </c>
      <c r="C117" s="50">
        <f>IF(D93="","-",+C116+1)</f>
        <v>2027</v>
      </c>
      <c r="D117" s="12">
        <f>IF(F116+SUM(E$99:E116)=D$92,F116,D$92-SUM(E$99:E116))</f>
        <v>23450005.418075491</v>
      </c>
      <c r="E117" s="378">
        <f>IF(+J96&lt;F116,J96,D117)</f>
        <v>841559.65909090906</v>
      </c>
      <c r="F117" s="55">
        <f t="shared" si="59"/>
        <v>22608445.758984581</v>
      </c>
      <c r="G117" s="55">
        <f t="shared" si="60"/>
        <v>23029225.588530034</v>
      </c>
      <c r="H117" s="380">
        <f t="shared" si="61"/>
        <v>3709304.8324080291</v>
      </c>
      <c r="I117" s="399">
        <f t="shared" si="62"/>
        <v>3709304.8324080291</v>
      </c>
      <c r="J117" s="54">
        <f t="shared" si="33"/>
        <v>0</v>
      </c>
      <c r="K117" s="54"/>
      <c r="L117" s="129"/>
      <c r="M117" s="54">
        <f t="shared" si="35"/>
        <v>0</v>
      </c>
      <c r="N117" s="129"/>
      <c r="O117" s="54">
        <f t="shared" si="37"/>
        <v>0</v>
      </c>
      <c r="P117" s="54">
        <f t="shared" si="38"/>
        <v>0</v>
      </c>
      <c r="Q117" s="1"/>
    </row>
    <row r="118" spans="2:17" ht="12.5">
      <c r="B118" s="7" t="str">
        <f t="shared" si="39"/>
        <v/>
      </c>
      <c r="C118" s="50">
        <f>IF(D93="","-",+C117+1)</f>
        <v>2028</v>
      </c>
      <c r="D118" s="12">
        <f>IF(F117+SUM(E$99:E117)=D$92,F117,D$92-SUM(E$99:E117))</f>
        <v>22608445.758984581</v>
      </c>
      <c r="E118" s="378">
        <f>IF(+J96&lt;F117,J96,D118)</f>
        <v>841559.65909090906</v>
      </c>
      <c r="F118" s="55">
        <f t="shared" si="59"/>
        <v>21766886.099893671</v>
      </c>
      <c r="G118" s="55">
        <f t="shared" si="60"/>
        <v>22187665.929439127</v>
      </c>
      <c r="H118" s="380">
        <f t="shared" si="61"/>
        <v>3604508.488252264</v>
      </c>
      <c r="I118" s="399">
        <f t="shared" si="62"/>
        <v>3604508.488252264</v>
      </c>
      <c r="J118" s="54">
        <f t="shared" si="33"/>
        <v>0</v>
      </c>
      <c r="K118" s="54"/>
      <c r="L118" s="129"/>
      <c r="M118" s="54">
        <f t="shared" si="35"/>
        <v>0</v>
      </c>
      <c r="N118" s="129"/>
      <c r="O118" s="54">
        <f t="shared" si="37"/>
        <v>0</v>
      </c>
      <c r="P118" s="54">
        <f t="shared" si="38"/>
        <v>0</v>
      </c>
      <c r="Q118" s="1"/>
    </row>
    <row r="119" spans="2:17" ht="12.5">
      <c r="B119" s="7" t="str">
        <f t="shared" si="39"/>
        <v/>
      </c>
      <c r="C119" s="50">
        <f>IF(D93="","-",+C118+1)</f>
        <v>2029</v>
      </c>
      <c r="D119" s="12">
        <f>IF(F118+SUM(E$99:E118)=D$92,F118,D$92-SUM(E$99:E118))</f>
        <v>21766886.099893671</v>
      </c>
      <c r="E119" s="378">
        <f>IF(+J96&lt;F118,J96,D119)</f>
        <v>841559.65909090906</v>
      </c>
      <c r="F119" s="55">
        <f t="shared" si="59"/>
        <v>20925326.44080276</v>
      </c>
      <c r="G119" s="55">
        <f t="shared" si="60"/>
        <v>21346106.270348214</v>
      </c>
      <c r="H119" s="380">
        <f t="shared" si="61"/>
        <v>3499712.1440964979</v>
      </c>
      <c r="I119" s="399">
        <f t="shared" si="62"/>
        <v>3499712.1440964979</v>
      </c>
      <c r="J119" s="54">
        <f t="shared" si="33"/>
        <v>0</v>
      </c>
      <c r="K119" s="54"/>
      <c r="L119" s="129"/>
      <c r="M119" s="54">
        <f t="shared" si="35"/>
        <v>0</v>
      </c>
      <c r="N119" s="129"/>
      <c r="O119" s="54">
        <f t="shared" si="37"/>
        <v>0</v>
      </c>
      <c r="P119" s="54">
        <f t="shared" si="38"/>
        <v>0</v>
      </c>
      <c r="Q119" s="1"/>
    </row>
    <row r="120" spans="2:17" ht="12.5">
      <c r="B120" s="7" t="str">
        <f t="shared" si="39"/>
        <v/>
      </c>
      <c r="C120" s="50">
        <f>IF(D93="","-",+C119+1)</f>
        <v>2030</v>
      </c>
      <c r="D120" s="12">
        <f>IF(F119+SUM(E$99:E119)=D$92,F119,D$92-SUM(E$99:E119))</f>
        <v>20925326.44080276</v>
      </c>
      <c r="E120" s="378">
        <f>IF(+J96&lt;F119,J96,D120)</f>
        <v>841559.65909090906</v>
      </c>
      <c r="F120" s="55">
        <f t="shared" si="59"/>
        <v>20083766.78171185</v>
      </c>
      <c r="G120" s="55">
        <f t="shared" si="60"/>
        <v>20504546.611257307</v>
      </c>
      <c r="H120" s="380">
        <f t="shared" si="61"/>
        <v>3394915.7999407328</v>
      </c>
      <c r="I120" s="399">
        <f t="shared" si="62"/>
        <v>3394915.7999407328</v>
      </c>
      <c r="J120" s="54">
        <f t="shared" si="33"/>
        <v>0</v>
      </c>
      <c r="K120" s="54"/>
      <c r="L120" s="129"/>
      <c r="M120" s="54">
        <f t="shared" si="35"/>
        <v>0</v>
      </c>
      <c r="N120" s="129"/>
      <c r="O120" s="54">
        <f t="shared" si="37"/>
        <v>0</v>
      </c>
      <c r="P120" s="54">
        <f t="shared" si="38"/>
        <v>0</v>
      </c>
      <c r="Q120" s="1"/>
    </row>
    <row r="121" spans="2:17" ht="12.5">
      <c r="B121" s="7" t="str">
        <f t="shared" si="39"/>
        <v/>
      </c>
      <c r="C121" s="50">
        <f>IF(D93="","-",+C120+1)</f>
        <v>2031</v>
      </c>
      <c r="D121" s="12">
        <f>IF(F120+SUM(E$99:E120)=D$92,F120,D$92-SUM(E$99:E120))</f>
        <v>20083766.78171185</v>
      </c>
      <c r="E121" s="378">
        <f>IF(+J96&lt;F120,J96,D121)</f>
        <v>841559.65909090906</v>
      </c>
      <c r="F121" s="55">
        <f t="shared" si="59"/>
        <v>19242207.12262094</v>
      </c>
      <c r="G121" s="55">
        <f t="shared" si="60"/>
        <v>19662986.952166393</v>
      </c>
      <c r="H121" s="380">
        <f t="shared" si="61"/>
        <v>3290119.4557849667</v>
      </c>
      <c r="I121" s="399">
        <f t="shared" si="62"/>
        <v>3290119.4557849667</v>
      </c>
      <c r="J121" s="54">
        <f t="shared" si="33"/>
        <v>0</v>
      </c>
      <c r="K121" s="54"/>
      <c r="L121" s="129"/>
      <c r="M121" s="54">
        <f t="shared" si="35"/>
        <v>0</v>
      </c>
      <c r="N121" s="129"/>
      <c r="O121" s="54">
        <f t="shared" si="37"/>
        <v>0</v>
      </c>
      <c r="P121" s="54">
        <f t="shared" si="38"/>
        <v>0</v>
      </c>
      <c r="Q121" s="1"/>
    </row>
    <row r="122" spans="2:17" ht="12.5">
      <c r="B122" s="7" t="str">
        <f t="shared" si="39"/>
        <v/>
      </c>
      <c r="C122" s="50">
        <f>IF(D93="","-",+C121+1)</f>
        <v>2032</v>
      </c>
      <c r="D122" s="12">
        <f>IF(F121+SUM(E$99:E121)=D$92,F121,D$92-SUM(E$99:E121))</f>
        <v>19242207.12262094</v>
      </c>
      <c r="E122" s="378">
        <f>IF(+J96&lt;F121,J96,D122)</f>
        <v>841559.65909090906</v>
      </c>
      <c r="F122" s="55">
        <f t="shared" si="59"/>
        <v>18400647.46353003</v>
      </c>
      <c r="G122" s="55">
        <f t="shared" si="60"/>
        <v>18821427.293075487</v>
      </c>
      <c r="H122" s="380">
        <f t="shared" si="61"/>
        <v>3185323.1116292016</v>
      </c>
      <c r="I122" s="399">
        <f t="shared" si="62"/>
        <v>3185323.1116292016</v>
      </c>
      <c r="J122" s="54">
        <f t="shared" si="33"/>
        <v>0</v>
      </c>
      <c r="K122" s="54"/>
      <c r="L122" s="129"/>
      <c r="M122" s="54">
        <f t="shared" si="35"/>
        <v>0</v>
      </c>
      <c r="N122" s="129"/>
      <c r="O122" s="54">
        <f t="shared" si="37"/>
        <v>0</v>
      </c>
      <c r="P122" s="54">
        <f t="shared" si="38"/>
        <v>0</v>
      </c>
      <c r="Q122" s="1"/>
    </row>
    <row r="123" spans="2:17" ht="12.5">
      <c r="B123" s="7" t="str">
        <f t="shared" si="39"/>
        <v/>
      </c>
      <c r="C123" s="50">
        <f>IF(D93="","-",+C122+1)</f>
        <v>2033</v>
      </c>
      <c r="D123" s="12">
        <f>IF(F122+SUM(E$99:E122)=D$92,F122,D$92-SUM(E$99:E122))</f>
        <v>18400647.46353003</v>
      </c>
      <c r="E123" s="378">
        <f>IF(+J96&lt;F122,J96,D123)</f>
        <v>841559.65909090906</v>
      </c>
      <c r="F123" s="55">
        <f t="shared" si="59"/>
        <v>17559087.80443912</v>
      </c>
      <c r="G123" s="55">
        <f t="shared" si="60"/>
        <v>17979867.633984573</v>
      </c>
      <c r="H123" s="380">
        <f t="shared" si="61"/>
        <v>3080526.767473435</v>
      </c>
      <c r="I123" s="399">
        <f t="shared" si="62"/>
        <v>3080526.767473435</v>
      </c>
      <c r="J123" s="54">
        <f t="shared" si="33"/>
        <v>0</v>
      </c>
      <c r="K123" s="54"/>
      <c r="L123" s="129"/>
      <c r="M123" s="54">
        <f t="shared" si="35"/>
        <v>0</v>
      </c>
      <c r="N123" s="129"/>
      <c r="O123" s="54">
        <f t="shared" si="37"/>
        <v>0</v>
      </c>
      <c r="P123" s="54">
        <f t="shared" si="38"/>
        <v>0</v>
      </c>
      <c r="Q123" s="1"/>
    </row>
    <row r="124" spans="2:17" ht="12.5">
      <c r="B124" s="7" t="str">
        <f t="shared" si="39"/>
        <v/>
      </c>
      <c r="C124" s="50">
        <f>IF(D93="","-",+C123+1)</f>
        <v>2034</v>
      </c>
      <c r="D124" s="12">
        <f>IF(F123+SUM(E$99:E123)=D$92,F123,D$92-SUM(E$99:E123))</f>
        <v>17559087.80443912</v>
      </c>
      <c r="E124" s="378">
        <f>IF(+J96&lt;F123,J96,D124)</f>
        <v>841559.65909090906</v>
      </c>
      <c r="F124" s="55">
        <f t="shared" si="59"/>
        <v>16717528.145348212</v>
      </c>
      <c r="G124" s="55">
        <f t="shared" si="60"/>
        <v>17138307.974893667</v>
      </c>
      <c r="H124" s="380">
        <f t="shared" si="61"/>
        <v>2975730.4233176699</v>
      </c>
      <c r="I124" s="399">
        <f t="shared" si="62"/>
        <v>2975730.4233176699</v>
      </c>
      <c r="J124" s="54">
        <f t="shared" si="33"/>
        <v>0</v>
      </c>
      <c r="K124" s="54"/>
      <c r="L124" s="129"/>
      <c r="M124" s="54">
        <f t="shared" si="35"/>
        <v>0</v>
      </c>
      <c r="N124" s="129"/>
      <c r="O124" s="54">
        <f t="shared" si="37"/>
        <v>0</v>
      </c>
      <c r="P124" s="54">
        <f t="shared" si="38"/>
        <v>0</v>
      </c>
      <c r="Q124" s="1"/>
    </row>
    <row r="125" spans="2:17" ht="12.5">
      <c r="B125" s="7" t="str">
        <f t="shared" si="39"/>
        <v/>
      </c>
      <c r="C125" s="50">
        <f>IF(D93="","-",+C124+1)</f>
        <v>2035</v>
      </c>
      <c r="D125" s="12">
        <f>IF(F124+SUM(E$99:E124)=D$92,F124,D$92-SUM(E$99:E124))</f>
        <v>16717528.145348212</v>
      </c>
      <c r="E125" s="378">
        <f>IF(+J96&lt;F124,J96,D125)</f>
        <v>841559.65909090906</v>
      </c>
      <c r="F125" s="55">
        <f t="shared" si="59"/>
        <v>15875968.486257304</v>
      </c>
      <c r="G125" s="55">
        <f t="shared" si="60"/>
        <v>16296748.315802757</v>
      </c>
      <c r="H125" s="380">
        <f t="shared" si="61"/>
        <v>2870934.0791619043</v>
      </c>
      <c r="I125" s="399">
        <f t="shared" si="62"/>
        <v>2870934.0791619043</v>
      </c>
      <c r="J125" s="54">
        <f t="shared" si="33"/>
        <v>0</v>
      </c>
      <c r="K125" s="54"/>
      <c r="L125" s="129"/>
      <c r="M125" s="54">
        <f t="shared" si="35"/>
        <v>0</v>
      </c>
      <c r="N125" s="129"/>
      <c r="O125" s="54">
        <f t="shared" si="37"/>
        <v>0</v>
      </c>
      <c r="P125" s="54">
        <f t="shared" si="38"/>
        <v>0</v>
      </c>
      <c r="Q125" s="1"/>
    </row>
    <row r="126" spans="2:17" ht="12.5">
      <c r="B126" s="7" t="str">
        <f t="shared" si="39"/>
        <v/>
      </c>
      <c r="C126" s="50">
        <f>IF(D93="","-",+C125+1)</f>
        <v>2036</v>
      </c>
      <c r="D126" s="12">
        <f>IF(F125+SUM(E$99:E125)=D$92,F125,D$92-SUM(E$99:E125))</f>
        <v>15875968.486257304</v>
      </c>
      <c r="E126" s="378">
        <f>IF(+J96&lt;F125,J96,D126)</f>
        <v>841559.65909090906</v>
      </c>
      <c r="F126" s="55">
        <f t="shared" si="59"/>
        <v>15034408.827166395</v>
      </c>
      <c r="G126" s="55">
        <f t="shared" si="60"/>
        <v>15455188.65671185</v>
      </c>
      <c r="H126" s="380">
        <f t="shared" si="61"/>
        <v>2766137.7350061391</v>
      </c>
      <c r="I126" s="399">
        <f t="shared" si="62"/>
        <v>2766137.7350061391</v>
      </c>
      <c r="J126" s="54">
        <f t="shared" si="33"/>
        <v>0</v>
      </c>
      <c r="K126" s="54"/>
      <c r="L126" s="129"/>
      <c r="M126" s="54">
        <f t="shared" si="35"/>
        <v>0</v>
      </c>
      <c r="N126" s="129"/>
      <c r="O126" s="54">
        <f t="shared" si="37"/>
        <v>0</v>
      </c>
      <c r="P126" s="54">
        <f t="shared" si="38"/>
        <v>0</v>
      </c>
      <c r="Q126" s="1"/>
    </row>
    <row r="127" spans="2:17" ht="12.5">
      <c r="B127" s="7" t="str">
        <f t="shared" si="39"/>
        <v/>
      </c>
      <c r="C127" s="50">
        <f>IF(D93="","-",+C126+1)</f>
        <v>2037</v>
      </c>
      <c r="D127" s="12">
        <f>IF(F126+SUM(E$99:E126)=D$92,F126,D$92-SUM(E$99:E126))</f>
        <v>15034408.827166395</v>
      </c>
      <c r="E127" s="378">
        <f>IF(+J96&lt;F126,J96,D127)</f>
        <v>841559.65909090906</v>
      </c>
      <c r="F127" s="55">
        <f t="shared" si="59"/>
        <v>14192849.168075487</v>
      </c>
      <c r="G127" s="55">
        <f t="shared" si="60"/>
        <v>14613628.99762094</v>
      </c>
      <c r="H127" s="380">
        <f t="shared" si="61"/>
        <v>2661341.3908503735</v>
      </c>
      <c r="I127" s="399">
        <f t="shared" si="62"/>
        <v>2661341.3908503735</v>
      </c>
      <c r="J127" s="54">
        <f t="shared" si="33"/>
        <v>0</v>
      </c>
      <c r="K127" s="54"/>
      <c r="L127" s="129"/>
      <c r="M127" s="54">
        <f t="shared" si="35"/>
        <v>0</v>
      </c>
      <c r="N127" s="129"/>
      <c r="O127" s="54">
        <f t="shared" si="37"/>
        <v>0</v>
      </c>
      <c r="P127" s="54">
        <f t="shared" si="38"/>
        <v>0</v>
      </c>
      <c r="Q127" s="1"/>
    </row>
    <row r="128" spans="2:17" ht="12.5">
      <c r="B128" s="7" t="str">
        <f t="shared" si="39"/>
        <v/>
      </c>
      <c r="C128" s="50">
        <f>IF(D93="","-",+C127+1)</f>
        <v>2038</v>
      </c>
      <c r="D128" s="12">
        <f>IF(F127+SUM(E$99:E127)=D$92,F127,D$92-SUM(E$99:E127))</f>
        <v>14192849.168075487</v>
      </c>
      <c r="E128" s="378">
        <f>IF(+J96&lt;F127,J96,D128)</f>
        <v>841559.65909090906</v>
      </c>
      <c r="F128" s="55">
        <f t="shared" si="59"/>
        <v>13351289.508984579</v>
      </c>
      <c r="G128" s="55">
        <f t="shared" si="60"/>
        <v>13772069.338530034</v>
      </c>
      <c r="H128" s="380">
        <f t="shared" si="61"/>
        <v>2556545.0466946084</v>
      </c>
      <c r="I128" s="399">
        <f t="shared" si="62"/>
        <v>2556545.0466946084</v>
      </c>
      <c r="J128" s="54">
        <f t="shared" si="33"/>
        <v>0</v>
      </c>
      <c r="K128" s="54"/>
      <c r="L128" s="129"/>
      <c r="M128" s="54">
        <f t="shared" si="35"/>
        <v>0</v>
      </c>
      <c r="N128" s="129"/>
      <c r="O128" s="54">
        <f t="shared" si="37"/>
        <v>0</v>
      </c>
      <c r="P128" s="54">
        <f t="shared" si="38"/>
        <v>0</v>
      </c>
      <c r="Q128" s="1"/>
    </row>
    <row r="129" spans="2:17" ht="12.5">
      <c r="B129" s="7" t="str">
        <f t="shared" si="39"/>
        <v/>
      </c>
      <c r="C129" s="50">
        <f>IF(D93="","-",+C128+1)</f>
        <v>2039</v>
      </c>
      <c r="D129" s="12">
        <f>IF(F128+SUM(E$99:E128)=D$92,F128,D$92-SUM(E$99:E128))</f>
        <v>13351289.508984579</v>
      </c>
      <c r="E129" s="378">
        <f>IF(+J96&lt;F128,J96,D129)</f>
        <v>841559.65909090906</v>
      </c>
      <c r="F129" s="55">
        <f t="shared" si="59"/>
        <v>12509729.849893671</v>
      </c>
      <c r="G129" s="55">
        <f t="shared" si="60"/>
        <v>12930509.679439124</v>
      </c>
      <c r="H129" s="380">
        <f t="shared" si="61"/>
        <v>2451748.7025388423</v>
      </c>
      <c r="I129" s="399">
        <f t="shared" si="62"/>
        <v>2451748.7025388423</v>
      </c>
      <c r="J129" s="54">
        <f t="shared" si="33"/>
        <v>0</v>
      </c>
      <c r="K129" s="54"/>
      <c r="L129" s="129"/>
      <c r="M129" s="54">
        <f t="shared" si="35"/>
        <v>0</v>
      </c>
      <c r="N129" s="129"/>
      <c r="O129" s="54">
        <f t="shared" si="37"/>
        <v>0</v>
      </c>
      <c r="P129" s="54">
        <f t="shared" si="38"/>
        <v>0</v>
      </c>
      <c r="Q129" s="1"/>
    </row>
    <row r="130" spans="2:17" ht="12.5">
      <c r="B130" s="7" t="str">
        <f t="shared" si="39"/>
        <v/>
      </c>
      <c r="C130" s="50">
        <f>IF(D93="","-",+C129+1)</f>
        <v>2040</v>
      </c>
      <c r="D130" s="12">
        <f>IF(F129+SUM(E$99:E129)=D$92,F129,D$92-SUM(E$99:E129))</f>
        <v>12509729.849893671</v>
      </c>
      <c r="E130" s="378">
        <f>IF(+J96&lt;F129,J96,D130)</f>
        <v>841559.65909090906</v>
      </c>
      <c r="F130" s="55">
        <f t="shared" si="59"/>
        <v>11668170.190802762</v>
      </c>
      <c r="G130" s="55">
        <f t="shared" si="60"/>
        <v>12088950.020348217</v>
      </c>
      <c r="H130" s="380">
        <f t="shared" si="61"/>
        <v>2346952.3583830772</v>
      </c>
      <c r="I130" s="399">
        <f t="shared" si="62"/>
        <v>2346952.3583830772</v>
      </c>
      <c r="J130" s="54">
        <f t="shared" si="33"/>
        <v>0</v>
      </c>
      <c r="K130" s="54"/>
      <c r="L130" s="129"/>
      <c r="M130" s="54">
        <f t="shared" si="35"/>
        <v>0</v>
      </c>
      <c r="N130" s="129"/>
      <c r="O130" s="54">
        <f t="shared" si="37"/>
        <v>0</v>
      </c>
      <c r="P130" s="54">
        <f t="shared" si="38"/>
        <v>0</v>
      </c>
      <c r="Q130" s="1"/>
    </row>
    <row r="131" spans="2:17" ht="12.5">
      <c r="B131" s="7" t="str">
        <f t="shared" si="39"/>
        <v/>
      </c>
      <c r="C131" s="50">
        <f>IF(D93="","-",+C130+1)</f>
        <v>2041</v>
      </c>
      <c r="D131" s="12">
        <f>IF(F130+SUM(E$99:E130)=D$92,F130,D$92-SUM(E$99:E130))</f>
        <v>11668170.190802762</v>
      </c>
      <c r="E131" s="378">
        <f>IF(+J96&lt;F130,J96,D131)</f>
        <v>841559.65909090906</v>
      </c>
      <c r="F131" s="55">
        <f t="shared" ref="F131:F154" si="63">+D131-E131</f>
        <v>10826610.531711854</v>
      </c>
      <c r="G131" s="55">
        <f t="shared" ref="G131:G154" si="64">+(F131+D131)/2</f>
        <v>11247390.361257307</v>
      </c>
      <c r="H131" s="380">
        <f t="shared" si="61"/>
        <v>2242156.0142273116</v>
      </c>
      <c r="I131" s="399">
        <f t="shared" si="62"/>
        <v>2242156.0142273116</v>
      </c>
      <c r="J131" s="54">
        <f t="shared" ref="J131:J154" si="65">+I131-H131</f>
        <v>0</v>
      </c>
      <c r="K131" s="54"/>
      <c r="L131" s="129"/>
      <c r="M131" s="54">
        <f t="shared" ref="M131:M154" si="66">IF(L131&lt;&gt;0,+H131-L131,0)</f>
        <v>0</v>
      </c>
      <c r="N131" s="129"/>
      <c r="O131" s="54">
        <f t="shared" ref="O131:O154" si="67">IF(N131&lt;&gt;0,+I131-N131,0)</f>
        <v>0</v>
      </c>
      <c r="P131" s="54">
        <f t="shared" ref="P131:P154" si="68">+O131-M131</f>
        <v>0</v>
      </c>
      <c r="Q131" s="1"/>
    </row>
    <row r="132" spans="2:17" ht="12.5">
      <c r="B132" s="7" t="str">
        <f t="shared" si="39"/>
        <v/>
      </c>
      <c r="C132" s="50">
        <f>IF(D93="","-",+C131+1)</f>
        <v>2042</v>
      </c>
      <c r="D132" s="12">
        <f>IF(F131+SUM(E$99:E131)=D$92,F131,D$92-SUM(E$99:E131))</f>
        <v>10826610.531711854</v>
      </c>
      <c r="E132" s="378">
        <f>IF(+J96&lt;F131,J96,D132)</f>
        <v>841559.65909090906</v>
      </c>
      <c r="F132" s="55">
        <f t="shared" si="63"/>
        <v>9985050.8726209458</v>
      </c>
      <c r="G132" s="55">
        <f t="shared" si="64"/>
        <v>10405830.702166401</v>
      </c>
      <c r="H132" s="380">
        <f t="shared" si="61"/>
        <v>2137359.6700715465</v>
      </c>
      <c r="I132" s="399">
        <f t="shared" si="62"/>
        <v>2137359.6700715465</v>
      </c>
      <c r="J132" s="54">
        <f t="shared" si="65"/>
        <v>0</v>
      </c>
      <c r="K132" s="54"/>
      <c r="L132" s="129"/>
      <c r="M132" s="54">
        <f t="shared" si="66"/>
        <v>0</v>
      </c>
      <c r="N132" s="129"/>
      <c r="O132" s="54">
        <f t="shared" si="67"/>
        <v>0</v>
      </c>
      <c r="P132" s="54">
        <f t="shared" si="68"/>
        <v>0</v>
      </c>
      <c r="Q132" s="1"/>
    </row>
    <row r="133" spans="2:17" ht="12.5">
      <c r="B133" s="7" t="str">
        <f t="shared" si="39"/>
        <v/>
      </c>
      <c r="C133" s="50">
        <f>IF(D93="","-",+C132+1)</f>
        <v>2043</v>
      </c>
      <c r="D133" s="12">
        <f>IF(F132+SUM(E$99:E132)=D$92,F132,D$92-SUM(E$99:E132))</f>
        <v>9985050.8726209458</v>
      </c>
      <c r="E133" s="378">
        <f>IF(+J96&lt;F132,J96,D133)</f>
        <v>841559.65909090906</v>
      </c>
      <c r="F133" s="55">
        <f t="shared" si="63"/>
        <v>9143491.2135300376</v>
      </c>
      <c r="G133" s="55">
        <f t="shared" si="64"/>
        <v>9564271.0430754907</v>
      </c>
      <c r="H133" s="380">
        <f t="shared" si="61"/>
        <v>2032563.3259157808</v>
      </c>
      <c r="I133" s="399">
        <f t="shared" si="62"/>
        <v>2032563.3259157808</v>
      </c>
      <c r="J133" s="54">
        <f t="shared" si="65"/>
        <v>0</v>
      </c>
      <c r="K133" s="54"/>
      <c r="L133" s="129"/>
      <c r="M133" s="54">
        <f t="shared" si="66"/>
        <v>0</v>
      </c>
      <c r="N133" s="129"/>
      <c r="O133" s="54">
        <f t="shared" si="67"/>
        <v>0</v>
      </c>
      <c r="P133" s="54">
        <f t="shared" si="68"/>
        <v>0</v>
      </c>
      <c r="Q133" s="1"/>
    </row>
    <row r="134" spans="2:17" ht="12.5">
      <c r="B134" s="7" t="str">
        <f t="shared" si="39"/>
        <v/>
      </c>
      <c r="C134" s="50">
        <f>IF(D93="","-",+C133+1)</f>
        <v>2044</v>
      </c>
      <c r="D134" s="12">
        <f>IF(F133+SUM(E$99:E133)=D$92,F133,D$92-SUM(E$99:E133))</f>
        <v>9143491.2135300376</v>
      </c>
      <c r="E134" s="378">
        <f>IF(+J96&lt;F133,J96,D134)</f>
        <v>841559.65909090906</v>
      </c>
      <c r="F134" s="55">
        <f t="shared" si="63"/>
        <v>8301931.5544391284</v>
      </c>
      <c r="G134" s="55">
        <f t="shared" si="64"/>
        <v>8722711.3839845825</v>
      </c>
      <c r="H134" s="380">
        <f t="shared" si="61"/>
        <v>1927766.9817600152</v>
      </c>
      <c r="I134" s="399">
        <f t="shared" si="62"/>
        <v>1927766.9817600152</v>
      </c>
      <c r="J134" s="54">
        <f t="shared" si="65"/>
        <v>0</v>
      </c>
      <c r="K134" s="54"/>
      <c r="L134" s="129"/>
      <c r="M134" s="54">
        <f t="shared" si="66"/>
        <v>0</v>
      </c>
      <c r="N134" s="129"/>
      <c r="O134" s="54">
        <f t="shared" si="67"/>
        <v>0</v>
      </c>
      <c r="P134" s="54">
        <f t="shared" si="68"/>
        <v>0</v>
      </c>
      <c r="Q134" s="1"/>
    </row>
    <row r="135" spans="2:17" ht="12.5">
      <c r="B135" s="7" t="str">
        <f t="shared" si="39"/>
        <v/>
      </c>
      <c r="C135" s="50">
        <f>IF(D93="","-",+C134+1)</f>
        <v>2045</v>
      </c>
      <c r="D135" s="12">
        <f>IF(F134+SUM(E$99:E134)=D$92,F134,D$92-SUM(E$99:E134))</f>
        <v>8301931.5544391284</v>
      </c>
      <c r="E135" s="378">
        <f>IF(+J96&lt;F134,J96,D135)</f>
        <v>841559.65909090906</v>
      </c>
      <c r="F135" s="55">
        <f t="shared" si="63"/>
        <v>7460371.8953482192</v>
      </c>
      <c r="G135" s="55">
        <f t="shared" si="64"/>
        <v>7881151.7248936743</v>
      </c>
      <c r="H135" s="380">
        <f t="shared" si="61"/>
        <v>1822970.6376042501</v>
      </c>
      <c r="I135" s="399">
        <f t="shared" si="62"/>
        <v>1822970.6376042501</v>
      </c>
      <c r="J135" s="54">
        <f t="shared" si="65"/>
        <v>0</v>
      </c>
      <c r="K135" s="54"/>
      <c r="L135" s="129"/>
      <c r="M135" s="54">
        <f t="shared" si="66"/>
        <v>0</v>
      </c>
      <c r="N135" s="129"/>
      <c r="O135" s="54">
        <f t="shared" si="67"/>
        <v>0</v>
      </c>
      <c r="P135" s="54">
        <f t="shared" si="68"/>
        <v>0</v>
      </c>
      <c r="Q135" s="1"/>
    </row>
    <row r="136" spans="2:17" ht="12.5">
      <c r="B136" s="7" t="str">
        <f t="shared" si="39"/>
        <v/>
      </c>
      <c r="C136" s="50">
        <f>IF(D93="","-",+C135+1)</f>
        <v>2046</v>
      </c>
      <c r="D136" s="12">
        <f>IF(F135+SUM(E$99:E135)=D$92,F135,D$92-SUM(E$99:E135))</f>
        <v>7460371.8953482192</v>
      </c>
      <c r="E136" s="378">
        <f>IF(+J96&lt;F135,J96,D136)</f>
        <v>841559.65909090906</v>
      </c>
      <c r="F136" s="55">
        <f t="shared" si="63"/>
        <v>6618812.23625731</v>
      </c>
      <c r="G136" s="55">
        <f t="shared" si="64"/>
        <v>7039592.0658027641</v>
      </c>
      <c r="H136" s="380">
        <f t="shared" si="61"/>
        <v>1718174.2934484843</v>
      </c>
      <c r="I136" s="399">
        <f t="shared" si="62"/>
        <v>1718174.2934484843</v>
      </c>
      <c r="J136" s="54">
        <f t="shared" si="65"/>
        <v>0</v>
      </c>
      <c r="K136" s="54"/>
      <c r="L136" s="129"/>
      <c r="M136" s="54">
        <f t="shared" si="66"/>
        <v>0</v>
      </c>
      <c r="N136" s="129"/>
      <c r="O136" s="54">
        <f t="shared" si="67"/>
        <v>0</v>
      </c>
      <c r="P136" s="54">
        <f t="shared" si="68"/>
        <v>0</v>
      </c>
      <c r="Q136" s="1"/>
    </row>
    <row r="137" spans="2:17" ht="12.5">
      <c r="B137" s="7" t="str">
        <f t="shared" si="39"/>
        <v/>
      </c>
      <c r="C137" s="50">
        <f>IF(D93="","-",+C136+1)</f>
        <v>2047</v>
      </c>
      <c r="D137" s="12">
        <f>IF(F136+SUM(E$99:E136)=D$92,F136,D$92-SUM(E$99:E136))</f>
        <v>6618812.23625731</v>
      </c>
      <c r="E137" s="378">
        <f>IF(+J96&lt;F136,J96,D137)</f>
        <v>841559.65909090906</v>
      </c>
      <c r="F137" s="55">
        <f t="shared" si="63"/>
        <v>5777252.5771664008</v>
      </c>
      <c r="G137" s="55">
        <f t="shared" si="64"/>
        <v>6198032.4067118559</v>
      </c>
      <c r="H137" s="380">
        <f t="shared" si="61"/>
        <v>1613377.9492927189</v>
      </c>
      <c r="I137" s="399">
        <f t="shared" si="62"/>
        <v>1613377.9492927189</v>
      </c>
      <c r="J137" s="54">
        <f t="shared" si="65"/>
        <v>0</v>
      </c>
      <c r="K137" s="54"/>
      <c r="L137" s="129"/>
      <c r="M137" s="54">
        <f t="shared" si="66"/>
        <v>0</v>
      </c>
      <c r="N137" s="129"/>
      <c r="O137" s="54">
        <f t="shared" si="67"/>
        <v>0</v>
      </c>
      <c r="P137" s="54">
        <f t="shared" si="68"/>
        <v>0</v>
      </c>
      <c r="Q137" s="1"/>
    </row>
    <row r="138" spans="2:17" ht="12.5">
      <c r="B138" s="7" t="str">
        <f t="shared" si="39"/>
        <v/>
      </c>
      <c r="C138" s="50">
        <f>IF(D93="","-",+C137+1)</f>
        <v>2048</v>
      </c>
      <c r="D138" s="12">
        <f>IF(F137+SUM(E$99:E137)=D$92,F137,D$92-SUM(E$99:E137))</f>
        <v>5777252.5771664008</v>
      </c>
      <c r="E138" s="378">
        <f>IF(+J96&lt;F137,J96,D138)</f>
        <v>841559.65909090906</v>
      </c>
      <c r="F138" s="55">
        <f t="shared" si="63"/>
        <v>4935692.9180754917</v>
      </c>
      <c r="G138" s="55">
        <f t="shared" si="64"/>
        <v>5356472.7476209458</v>
      </c>
      <c r="H138" s="380">
        <f t="shared" si="61"/>
        <v>1508581.6051369533</v>
      </c>
      <c r="I138" s="399">
        <f t="shared" si="62"/>
        <v>1508581.6051369533</v>
      </c>
      <c r="J138" s="54">
        <f t="shared" si="65"/>
        <v>0</v>
      </c>
      <c r="K138" s="54"/>
      <c r="L138" s="129"/>
      <c r="M138" s="54">
        <f t="shared" si="66"/>
        <v>0</v>
      </c>
      <c r="N138" s="129"/>
      <c r="O138" s="54">
        <f t="shared" si="67"/>
        <v>0</v>
      </c>
      <c r="P138" s="54">
        <f t="shared" si="68"/>
        <v>0</v>
      </c>
      <c r="Q138" s="1"/>
    </row>
    <row r="139" spans="2:17" ht="12.5">
      <c r="B139" s="7" t="str">
        <f t="shared" si="39"/>
        <v/>
      </c>
      <c r="C139" s="50">
        <f>IF(D93="","-",+C138+1)</f>
        <v>2049</v>
      </c>
      <c r="D139" s="12">
        <f>IF(F138+SUM(E$99:E138)=D$92,F138,D$92-SUM(E$99:E138))</f>
        <v>4935692.9180754917</v>
      </c>
      <c r="E139" s="378">
        <f>IF(+J96&lt;F138,J96,D139)</f>
        <v>841559.65909090906</v>
      </c>
      <c r="F139" s="55">
        <f t="shared" si="63"/>
        <v>4094133.2589845825</v>
      </c>
      <c r="G139" s="55">
        <f t="shared" si="64"/>
        <v>4514913.0885300376</v>
      </c>
      <c r="H139" s="380">
        <f t="shared" si="61"/>
        <v>1403785.2609811877</v>
      </c>
      <c r="I139" s="399">
        <f t="shared" si="62"/>
        <v>1403785.2609811877</v>
      </c>
      <c r="J139" s="54">
        <f t="shared" si="65"/>
        <v>0</v>
      </c>
      <c r="K139" s="54"/>
      <c r="L139" s="129"/>
      <c r="M139" s="54">
        <f t="shared" si="66"/>
        <v>0</v>
      </c>
      <c r="N139" s="129"/>
      <c r="O139" s="54">
        <f t="shared" si="67"/>
        <v>0</v>
      </c>
      <c r="P139" s="54">
        <f t="shared" si="68"/>
        <v>0</v>
      </c>
      <c r="Q139" s="1"/>
    </row>
    <row r="140" spans="2:17" ht="12.5">
      <c r="B140" s="7" t="str">
        <f t="shared" si="39"/>
        <v/>
      </c>
      <c r="C140" s="50">
        <f>IF(D93="","-",+C139+1)</f>
        <v>2050</v>
      </c>
      <c r="D140" s="12">
        <f>IF(F139+SUM(E$99:E139)=D$92,F139,D$92-SUM(E$99:E139))</f>
        <v>4094133.2589845825</v>
      </c>
      <c r="E140" s="378">
        <f>IF(+J96&lt;F139,J96,D140)</f>
        <v>841559.65909090906</v>
      </c>
      <c r="F140" s="55">
        <f t="shared" si="63"/>
        <v>3252573.5998936733</v>
      </c>
      <c r="G140" s="55">
        <f t="shared" si="64"/>
        <v>3673353.4294391279</v>
      </c>
      <c r="H140" s="380">
        <f t="shared" si="61"/>
        <v>1298988.9168254221</v>
      </c>
      <c r="I140" s="399">
        <f t="shared" si="62"/>
        <v>1298988.9168254221</v>
      </c>
      <c r="J140" s="54">
        <f t="shared" si="65"/>
        <v>0</v>
      </c>
      <c r="K140" s="54"/>
      <c r="L140" s="129"/>
      <c r="M140" s="54">
        <f t="shared" si="66"/>
        <v>0</v>
      </c>
      <c r="N140" s="129"/>
      <c r="O140" s="54">
        <f t="shared" si="67"/>
        <v>0</v>
      </c>
      <c r="P140" s="54">
        <f t="shared" si="68"/>
        <v>0</v>
      </c>
      <c r="Q140" s="1"/>
    </row>
    <row r="141" spans="2:17" ht="12.5">
      <c r="B141" s="7" t="str">
        <f t="shared" si="39"/>
        <v/>
      </c>
      <c r="C141" s="50">
        <f>IF(D93="","-",+C140+1)</f>
        <v>2051</v>
      </c>
      <c r="D141" s="12">
        <f>IF(F140+SUM(E$99:E140)=D$92,F140,D$92-SUM(E$99:E140))</f>
        <v>3252573.5998936733</v>
      </c>
      <c r="E141" s="378">
        <f>IF(+J96&lt;F140,J96,D141)</f>
        <v>841559.65909090906</v>
      </c>
      <c r="F141" s="55">
        <f t="shared" si="63"/>
        <v>2411013.9408027641</v>
      </c>
      <c r="G141" s="55">
        <f t="shared" si="64"/>
        <v>2831793.7703482187</v>
      </c>
      <c r="H141" s="380">
        <f t="shared" si="61"/>
        <v>1194192.5726696565</v>
      </c>
      <c r="I141" s="399">
        <f t="shared" si="62"/>
        <v>1194192.5726696565</v>
      </c>
      <c r="J141" s="54">
        <f t="shared" si="65"/>
        <v>0</v>
      </c>
      <c r="K141" s="54"/>
      <c r="L141" s="129"/>
      <c r="M141" s="54">
        <f t="shared" si="66"/>
        <v>0</v>
      </c>
      <c r="N141" s="129"/>
      <c r="O141" s="54">
        <f t="shared" si="67"/>
        <v>0</v>
      </c>
      <c r="P141" s="54">
        <f t="shared" si="68"/>
        <v>0</v>
      </c>
      <c r="Q141" s="1"/>
    </row>
    <row r="142" spans="2:17" ht="12.5">
      <c r="B142" s="7" t="str">
        <f t="shared" si="39"/>
        <v/>
      </c>
      <c r="C142" s="50">
        <f>IF(D93="","-",+C141+1)</f>
        <v>2052</v>
      </c>
      <c r="D142" s="12">
        <f>IF(F141+SUM(E$99:E141)=D$92,F141,D$92-SUM(E$99:E141))</f>
        <v>2411013.9408027641</v>
      </c>
      <c r="E142" s="378">
        <f>IF(+J96&lt;F141,J96,D142)</f>
        <v>841559.65909090906</v>
      </c>
      <c r="F142" s="55">
        <f t="shared" si="63"/>
        <v>1569454.281711855</v>
      </c>
      <c r="G142" s="55">
        <f t="shared" si="64"/>
        <v>1990234.1112573096</v>
      </c>
      <c r="H142" s="380">
        <f t="shared" si="61"/>
        <v>1089396.2285138911</v>
      </c>
      <c r="I142" s="399">
        <f t="shared" si="62"/>
        <v>1089396.2285138911</v>
      </c>
      <c r="J142" s="54">
        <f t="shared" si="65"/>
        <v>0</v>
      </c>
      <c r="K142" s="54"/>
      <c r="L142" s="129"/>
      <c r="M142" s="54">
        <f t="shared" si="66"/>
        <v>0</v>
      </c>
      <c r="N142" s="129"/>
      <c r="O142" s="54">
        <f t="shared" si="67"/>
        <v>0</v>
      </c>
      <c r="P142" s="54">
        <f t="shared" si="68"/>
        <v>0</v>
      </c>
      <c r="Q142" s="1"/>
    </row>
    <row r="143" spans="2:17" ht="12.5">
      <c r="B143" s="7" t="str">
        <f t="shared" si="39"/>
        <v/>
      </c>
      <c r="C143" s="50">
        <f>IF(D93="","-",+C142+1)</f>
        <v>2053</v>
      </c>
      <c r="D143" s="12">
        <f>IF(F142+SUM(E$99:E142)=D$92,F142,D$92-SUM(E$99:E142))</f>
        <v>1569454.281711855</v>
      </c>
      <c r="E143" s="378">
        <f>IF(+J96&lt;F142,J96,D143)</f>
        <v>841559.65909090906</v>
      </c>
      <c r="F143" s="55">
        <f t="shared" si="63"/>
        <v>727894.62262094591</v>
      </c>
      <c r="G143" s="55">
        <f t="shared" si="64"/>
        <v>1148674.4521664004</v>
      </c>
      <c r="H143" s="380">
        <f t="shared" si="61"/>
        <v>984599.88435812551</v>
      </c>
      <c r="I143" s="399">
        <f t="shared" si="62"/>
        <v>984599.88435812551</v>
      </c>
      <c r="J143" s="54">
        <f t="shared" si="65"/>
        <v>0</v>
      </c>
      <c r="K143" s="54"/>
      <c r="L143" s="129"/>
      <c r="M143" s="54">
        <f t="shared" si="66"/>
        <v>0</v>
      </c>
      <c r="N143" s="129"/>
      <c r="O143" s="54">
        <f t="shared" si="67"/>
        <v>0</v>
      </c>
      <c r="P143" s="54">
        <f t="shared" si="68"/>
        <v>0</v>
      </c>
      <c r="Q143" s="1"/>
    </row>
    <row r="144" spans="2:17" ht="12.5">
      <c r="B144" s="7" t="str">
        <f t="shared" si="39"/>
        <v/>
      </c>
      <c r="C144" s="50">
        <f>IF(D93="","-",+C143+1)</f>
        <v>2054</v>
      </c>
      <c r="D144" s="12">
        <f>IF(F143+SUM(E$99:E143)=D$92,F143,D$92-SUM(E$99:E143))</f>
        <v>727894.62262094591</v>
      </c>
      <c r="E144" s="378">
        <f>IF(+J96&lt;F143,J96,D144)</f>
        <v>727894.62262094591</v>
      </c>
      <c r="F144" s="55">
        <f t="shared" si="63"/>
        <v>0</v>
      </c>
      <c r="G144" s="55">
        <f t="shared" si="64"/>
        <v>363947.31131047296</v>
      </c>
      <c r="H144" s="380">
        <f t="shared" si="61"/>
        <v>773215.64921561279</v>
      </c>
      <c r="I144" s="399">
        <f t="shared" si="62"/>
        <v>773215.64921561279</v>
      </c>
      <c r="J144" s="54">
        <f t="shared" si="65"/>
        <v>0</v>
      </c>
      <c r="K144" s="54"/>
      <c r="L144" s="129"/>
      <c r="M144" s="54">
        <f t="shared" si="66"/>
        <v>0</v>
      </c>
      <c r="N144" s="129"/>
      <c r="O144" s="54">
        <f t="shared" si="67"/>
        <v>0</v>
      </c>
      <c r="P144" s="54">
        <f t="shared" si="68"/>
        <v>0</v>
      </c>
      <c r="Q144" s="1"/>
    </row>
    <row r="145" spans="2:17" ht="12.5">
      <c r="B145" s="7" t="str">
        <f t="shared" si="39"/>
        <v/>
      </c>
      <c r="C145" s="50">
        <f>IF(D93="","-",+C144+1)</f>
        <v>2055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63"/>
        <v>0</v>
      </c>
      <c r="G145" s="55">
        <f t="shared" si="64"/>
        <v>0</v>
      </c>
      <c r="H145" s="380">
        <f t="shared" si="61"/>
        <v>0</v>
      </c>
      <c r="I145" s="399">
        <f t="shared" si="62"/>
        <v>0</v>
      </c>
      <c r="J145" s="54">
        <f t="shared" si="65"/>
        <v>0</v>
      </c>
      <c r="K145" s="54"/>
      <c r="L145" s="129"/>
      <c r="M145" s="54">
        <f t="shared" si="66"/>
        <v>0</v>
      </c>
      <c r="N145" s="129"/>
      <c r="O145" s="54">
        <f t="shared" si="67"/>
        <v>0</v>
      </c>
      <c r="P145" s="54">
        <f t="shared" si="68"/>
        <v>0</v>
      </c>
      <c r="Q145" s="1"/>
    </row>
    <row r="146" spans="2:17" ht="12.5">
      <c r="B146" s="7" t="str">
        <f t="shared" si="39"/>
        <v/>
      </c>
      <c r="C146" s="50">
        <f>IF(D93="","-",+C145+1)</f>
        <v>2056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63"/>
        <v>0</v>
      </c>
      <c r="G146" s="55">
        <f t="shared" si="64"/>
        <v>0</v>
      </c>
      <c r="H146" s="380">
        <f t="shared" si="61"/>
        <v>0</v>
      </c>
      <c r="I146" s="399">
        <f t="shared" si="62"/>
        <v>0</v>
      </c>
      <c r="J146" s="54">
        <f t="shared" si="65"/>
        <v>0</v>
      </c>
      <c r="K146" s="54"/>
      <c r="L146" s="129"/>
      <c r="M146" s="54">
        <f t="shared" si="66"/>
        <v>0</v>
      </c>
      <c r="N146" s="129"/>
      <c r="O146" s="54">
        <f t="shared" si="67"/>
        <v>0</v>
      </c>
      <c r="P146" s="54">
        <f t="shared" si="68"/>
        <v>0</v>
      </c>
      <c r="Q146" s="1"/>
    </row>
    <row r="147" spans="2:17" ht="12.5">
      <c r="B147" s="7" t="str">
        <f t="shared" si="39"/>
        <v/>
      </c>
      <c r="C147" s="50">
        <f>IF(D93="","-",+C146+1)</f>
        <v>2057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63"/>
        <v>0</v>
      </c>
      <c r="G147" s="55">
        <f t="shared" si="64"/>
        <v>0</v>
      </c>
      <c r="H147" s="380">
        <f t="shared" si="61"/>
        <v>0</v>
      </c>
      <c r="I147" s="399">
        <f t="shared" si="62"/>
        <v>0</v>
      </c>
      <c r="J147" s="54">
        <f t="shared" si="65"/>
        <v>0</v>
      </c>
      <c r="K147" s="54"/>
      <c r="L147" s="129"/>
      <c r="M147" s="54">
        <f t="shared" si="66"/>
        <v>0</v>
      </c>
      <c r="N147" s="129"/>
      <c r="O147" s="54">
        <f t="shared" si="67"/>
        <v>0</v>
      </c>
      <c r="P147" s="54">
        <f t="shared" si="68"/>
        <v>0</v>
      </c>
      <c r="Q147" s="1"/>
    </row>
    <row r="148" spans="2:17" ht="12.5">
      <c r="B148" s="7" t="str">
        <f t="shared" si="39"/>
        <v/>
      </c>
      <c r="C148" s="50">
        <f>IF(D93="","-",+C147+1)</f>
        <v>2058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63"/>
        <v>0</v>
      </c>
      <c r="G148" s="55">
        <f t="shared" si="64"/>
        <v>0</v>
      </c>
      <c r="H148" s="380">
        <f t="shared" si="61"/>
        <v>0</v>
      </c>
      <c r="I148" s="399">
        <f t="shared" si="62"/>
        <v>0</v>
      </c>
      <c r="J148" s="54">
        <f t="shared" si="65"/>
        <v>0</v>
      </c>
      <c r="K148" s="54"/>
      <c r="L148" s="129"/>
      <c r="M148" s="54">
        <f t="shared" si="66"/>
        <v>0</v>
      </c>
      <c r="N148" s="129"/>
      <c r="O148" s="54">
        <f t="shared" si="67"/>
        <v>0</v>
      </c>
      <c r="P148" s="54">
        <f t="shared" si="68"/>
        <v>0</v>
      </c>
      <c r="Q148" s="1"/>
    </row>
    <row r="149" spans="2:17" ht="12.5">
      <c r="B149" s="7" t="str">
        <f t="shared" si="39"/>
        <v/>
      </c>
      <c r="C149" s="50">
        <f>IF(D93="","-",+C148+1)</f>
        <v>2059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63"/>
        <v>0</v>
      </c>
      <c r="G149" s="55">
        <f t="shared" si="64"/>
        <v>0</v>
      </c>
      <c r="H149" s="380">
        <f t="shared" si="61"/>
        <v>0</v>
      </c>
      <c r="I149" s="399">
        <f t="shared" si="62"/>
        <v>0</v>
      </c>
      <c r="J149" s="54">
        <f t="shared" si="65"/>
        <v>0</v>
      </c>
      <c r="K149" s="54"/>
      <c r="L149" s="129"/>
      <c r="M149" s="54">
        <f t="shared" si="66"/>
        <v>0</v>
      </c>
      <c r="N149" s="129"/>
      <c r="O149" s="54">
        <f t="shared" si="67"/>
        <v>0</v>
      </c>
      <c r="P149" s="54">
        <f t="shared" si="68"/>
        <v>0</v>
      </c>
      <c r="Q149" s="1"/>
    </row>
    <row r="150" spans="2:17" ht="12.5">
      <c r="B150" s="7" t="str">
        <f t="shared" si="39"/>
        <v/>
      </c>
      <c r="C150" s="50">
        <f>IF(D93="","-",+C149+1)</f>
        <v>2060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63"/>
        <v>0</v>
      </c>
      <c r="G150" s="55">
        <f t="shared" si="64"/>
        <v>0</v>
      </c>
      <c r="H150" s="380">
        <f t="shared" si="61"/>
        <v>0</v>
      </c>
      <c r="I150" s="399">
        <f t="shared" si="62"/>
        <v>0</v>
      </c>
      <c r="J150" s="54">
        <f t="shared" si="65"/>
        <v>0</v>
      </c>
      <c r="K150" s="54"/>
      <c r="L150" s="129"/>
      <c r="M150" s="54">
        <f t="shared" si="66"/>
        <v>0</v>
      </c>
      <c r="N150" s="129"/>
      <c r="O150" s="54">
        <f t="shared" si="67"/>
        <v>0</v>
      </c>
      <c r="P150" s="54">
        <f t="shared" si="68"/>
        <v>0</v>
      </c>
      <c r="Q150" s="1"/>
    </row>
    <row r="151" spans="2:17" ht="12.5">
      <c r="B151" s="7" t="str">
        <f t="shared" si="39"/>
        <v/>
      </c>
      <c r="C151" s="50">
        <f>IF(D93="","-",+C150+1)</f>
        <v>2061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63"/>
        <v>0</v>
      </c>
      <c r="G151" s="55">
        <f t="shared" si="64"/>
        <v>0</v>
      </c>
      <c r="H151" s="380">
        <f t="shared" si="61"/>
        <v>0</v>
      </c>
      <c r="I151" s="399">
        <f t="shared" si="62"/>
        <v>0</v>
      </c>
      <c r="J151" s="54">
        <f t="shared" si="65"/>
        <v>0</v>
      </c>
      <c r="K151" s="54"/>
      <c r="L151" s="129"/>
      <c r="M151" s="54">
        <f t="shared" si="66"/>
        <v>0</v>
      </c>
      <c r="N151" s="129"/>
      <c r="O151" s="54">
        <f t="shared" si="67"/>
        <v>0</v>
      </c>
      <c r="P151" s="54">
        <f t="shared" si="68"/>
        <v>0</v>
      </c>
      <c r="Q151" s="1"/>
    </row>
    <row r="152" spans="2:17" ht="12.5">
      <c r="B152" s="7" t="str">
        <f t="shared" si="39"/>
        <v/>
      </c>
      <c r="C152" s="50">
        <f>IF(D93="","-",+C151+1)</f>
        <v>2062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63"/>
        <v>0</v>
      </c>
      <c r="G152" s="55">
        <f t="shared" si="64"/>
        <v>0</v>
      </c>
      <c r="H152" s="380">
        <f t="shared" si="61"/>
        <v>0</v>
      </c>
      <c r="I152" s="399">
        <f t="shared" si="62"/>
        <v>0</v>
      </c>
      <c r="J152" s="54">
        <f t="shared" si="65"/>
        <v>0</v>
      </c>
      <c r="K152" s="54"/>
      <c r="L152" s="129"/>
      <c r="M152" s="54">
        <f t="shared" si="66"/>
        <v>0</v>
      </c>
      <c r="N152" s="129"/>
      <c r="O152" s="54">
        <f t="shared" si="67"/>
        <v>0</v>
      </c>
      <c r="P152" s="54">
        <f t="shared" si="68"/>
        <v>0</v>
      </c>
      <c r="Q152" s="1"/>
    </row>
    <row r="153" spans="2:17" ht="12.5">
      <c r="B153" s="7" t="str">
        <f t="shared" si="39"/>
        <v/>
      </c>
      <c r="C153" s="50">
        <f>IF(D93="","-",+C152+1)</f>
        <v>2063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63"/>
        <v>0</v>
      </c>
      <c r="G153" s="55">
        <f t="shared" si="64"/>
        <v>0</v>
      </c>
      <c r="H153" s="380">
        <f t="shared" si="61"/>
        <v>0</v>
      </c>
      <c r="I153" s="399">
        <f t="shared" si="62"/>
        <v>0</v>
      </c>
      <c r="J153" s="54">
        <f t="shared" si="65"/>
        <v>0</v>
      </c>
      <c r="K153" s="54"/>
      <c r="L153" s="129"/>
      <c r="M153" s="54">
        <f t="shared" si="66"/>
        <v>0</v>
      </c>
      <c r="N153" s="129"/>
      <c r="O153" s="54">
        <f t="shared" si="67"/>
        <v>0</v>
      </c>
      <c r="P153" s="54">
        <f t="shared" si="68"/>
        <v>0</v>
      </c>
      <c r="Q153" s="1"/>
    </row>
    <row r="154" spans="2:17" ht="13" thickBot="1">
      <c r="B154" s="7" t="str">
        <f t="shared" si="39"/>
        <v/>
      </c>
      <c r="C154" s="59">
        <f>IF(D93="","-",+C153+1)</f>
        <v>2064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63"/>
        <v>0</v>
      </c>
      <c r="G154" s="60">
        <f t="shared" si="64"/>
        <v>0</v>
      </c>
      <c r="H154" s="382">
        <f t="shared" si="61"/>
        <v>0</v>
      </c>
      <c r="I154" s="400">
        <f t="shared" si="62"/>
        <v>0</v>
      </c>
      <c r="J154" s="64">
        <f t="shared" si="65"/>
        <v>0</v>
      </c>
      <c r="K154" s="54"/>
      <c r="L154" s="130"/>
      <c r="M154" s="64">
        <f t="shared" si="66"/>
        <v>0</v>
      </c>
      <c r="N154" s="130"/>
      <c r="O154" s="64">
        <f t="shared" si="67"/>
        <v>0</v>
      </c>
      <c r="P154" s="64">
        <f t="shared" si="68"/>
        <v>0</v>
      </c>
      <c r="Q154" s="1"/>
    </row>
    <row r="155" spans="2:17" ht="12.5">
      <c r="C155" s="12" t="s">
        <v>78</v>
      </c>
      <c r="D155" s="293"/>
      <c r="E155" s="293">
        <f>SUM(E99:E154)</f>
        <v>37028625</v>
      </c>
      <c r="F155" s="293"/>
      <c r="G155" s="293"/>
      <c r="H155" s="293">
        <f>SUM(H99:H154)</f>
        <v>136580491.06583938</v>
      </c>
      <c r="I155" s="293">
        <f>SUM(I99:I154)</f>
        <v>136580491.06583938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 ht="12.5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 ht="12.5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 ht="12.5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 ht="13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 ht="13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 ht="13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7.5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45" priority="1" stopIfTrue="1" operator="equal">
      <formula>$I$10</formula>
    </cfRule>
  </conditionalFormatting>
  <conditionalFormatting sqref="C99:C154">
    <cfRule type="cellIs" dxfId="14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a06342d-ce85-4729-8251-347f0ba4f840">
      <Terms xmlns="http://schemas.microsoft.com/office/infopath/2007/PartnerControls"/>
    </lcf76f155ced4ddcb4097134ff3c332f>
    <TaxCatchAll xmlns="b6888f76-1100-40b0-929b-1efe9044426d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49C77599AAFD4B8FFD850D55630F3C" ma:contentTypeVersion="11" ma:contentTypeDescription="Create a new document." ma:contentTypeScope="" ma:versionID="92219f9aa835c367bdfd1148dd32e3df">
  <xsd:schema xmlns:xsd="http://www.w3.org/2001/XMLSchema" xmlns:xs="http://www.w3.org/2001/XMLSchema" xmlns:p="http://schemas.microsoft.com/office/2006/metadata/properties" xmlns:ns2="6a06342d-ce85-4729-8251-347f0ba4f840" xmlns:ns3="b6888f76-1100-40b0-929b-1efe9044426d" targetNamespace="http://schemas.microsoft.com/office/2006/metadata/properties" ma:root="true" ma:fieldsID="fa81949b18d78c9c4e29a9e6a63cfcc4" ns2:_="" ns3:_="">
    <xsd:import namespace="6a06342d-ce85-4729-8251-347f0ba4f840"/>
    <xsd:import namespace="b6888f76-1100-40b0-929b-1efe9044426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06342d-ce85-4729-8251-347f0ba4f84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fefa54f2-5b03-49c6-9483-51c08a9736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888f76-1100-40b0-929b-1efe9044426d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6b0cac33-65cc-488e-b290-aff2b08f7242}" ma:internalName="TaxCatchAll" ma:showField="CatchAllData" ma:web="b6888f76-1100-40b0-929b-1efe9044426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WrappedLabelHistory xmlns:xsi="http://www.w3.org/2001/XMLSchema-instance" xmlns:xsd="http://www.w3.org/2001/XMLSchema" xmlns="http://www.boldonjames.com/2016/02/Classifier/internal/wrappedLabelHistory">
  <Value>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lOWMwYjhkNy1iZGI0LTRmZDMtYjYyYS1mNTAzMjdhYWVmY2UiIG9yaWdpbj0iYXV0b1NlbGVjdGVkU3VnZ2VzdGlvbiI+PGVsZW1lbnQgdWlkPSI1MGMzMTgyNC0wNzgwLTQ5MTAtODdkMS1lYWFmZmQxODJkNDIiIHZhbHVlPSIiIHhtbG5zPSJodHRwOi8vd3d3LmJvbGRvbmphbWVzLmNvbS8yMDA4LzAxL3NpZS9pbnRlcm5hbC9sYWJlbCIgLz48ZWxlbWVudCB1aWQ9ImM2NDIxOGFiLWI4ZDEtNDBiNi1hNDc4LWNiOGJlMWUxMGVjYyIgdmFsdWU9IiIgeG1sbnM9Imh0dHA6Ly93d3cuYm9sZG9uamFtZXMuY29tLzIwMDgvMDEvc2llL2ludGVybmFsL2xhYmVsIiAvPjwvc2lzbD48VXNlck5hbWU+Q09SUFxTMTc3MDQwPC9Vc2VyTmFtZT48RGF0ZVRpbWU+My8yMi8yMDIyIDQ6NTI6NTUgUE08L0RhdGVUaW1lPjxMYWJlbFN0cmluZz5BRVAgSW50ZXJuYWw8L0xhYmVsU3RyaW5nPjwvaXRlbT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wvc2lzbD48VXNlck5hbWU+Q09SUFxzMTc3MDQwPC9Vc2VyTmFtZT48RGF0ZVRpbWU+NS8yNC8yMDIyIDM6NTQ6MDUgUE08L0RhdGVUaW1lPjxMYWJlbFN0cmluZz5BRVAgSW50ZXJuYWw8L0xhYmVsU3RyaW5nPjwvaXRlbT48L2xhYmVsSGlzdG9yeT4=</Value>
</WrappedLabelHistory>
</file>

<file path=customXml/item5.xml><?xml version="1.0" encoding="utf-8"?>
<sisl xmlns:xsd="http://www.w3.org/2001/XMLSchema" xmlns:xsi="http://www.w3.org/2001/XMLSchema-instance" xmlns="http://www.boldonjames.com/2008/01/sie/internal/label" sislVersion="0" policy="e9c0b8d7-bdb4-4fd3-b62a-f50327aaefce" origin="userSelected">
  <element uid="50c31824-0780-4910-87d1-eaaffd182d42" value=""/>
</sisl>
</file>

<file path=customXml/itemProps1.xml><?xml version="1.0" encoding="utf-8"?>
<ds:datastoreItem xmlns:ds="http://schemas.openxmlformats.org/officeDocument/2006/customXml" ds:itemID="{1E000E42-AAEB-416A-9F19-0A730A4A9BF9}">
  <ds:schemaRefs>
    <ds:schemaRef ds:uri="http://schemas.microsoft.com/office/2006/metadata/properties"/>
    <ds:schemaRef ds:uri="http://www.w3.org/XML/1998/namespace"/>
    <ds:schemaRef ds:uri="b6888f76-1100-40b0-929b-1efe9044426d"/>
    <ds:schemaRef ds:uri="http://purl.org/dc/dcmitype/"/>
    <ds:schemaRef ds:uri="http://schemas.microsoft.com/office/infopath/2007/PartnerControls"/>
    <ds:schemaRef ds:uri="6a06342d-ce85-4729-8251-347f0ba4f840"/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8844D65F-269F-412E-AE96-54D7386DFCF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FB5ECDB-D922-422F-9CC9-9619B56F64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a06342d-ce85-4729-8251-347f0ba4f840"/>
    <ds:schemaRef ds:uri="b6888f76-1100-40b0-929b-1efe9044426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9AADA218-62E2-4534-8868-6155D4068EE0}">
  <ds:schemaRefs>
    <ds:schemaRef ds:uri="http://www.w3.org/2001/XMLSchema"/>
    <ds:schemaRef ds:uri="http://www.boldonjames.com/2016/02/Classifier/internal/wrappedLabelHistory"/>
  </ds:schemaRefs>
</ds:datastoreItem>
</file>

<file path=customXml/itemProps5.xml><?xml version="1.0" encoding="utf-8"?>
<ds:datastoreItem xmlns:ds="http://schemas.openxmlformats.org/officeDocument/2006/customXml" ds:itemID="{C67DDCFE-AFED-44F0-97E1-54A0CC3A4DD4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81</vt:i4>
      </vt:variant>
      <vt:variant>
        <vt:lpstr>Named Ranges</vt:lpstr>
      </vt:variant>
      <vt:variant>
        <vt:i4>77</vt:i4>
      </vt:variant>
    </vt:vector>
  </HeadingPairs>
  <TitlesOfParts>
    <vt:vector size="158" baseType="lpstr">
      <vt:lpstr>SWE.Sch.11.Rates</vt:lpstr>
      <vt:lpstr>SWE.WS.F.BPU.ATRR.Projected</vt:lpstr>
      <vt:lpstr>SWE.WS.G.BPU.ATRR.True-up</vt:lpstr>
      <vt:lpstr>S.001</vt:lpstr>
      <vt:lpstr>S.002</vt:lpstr>
      <vt:lpstr>S.003</vt:lpstr>
      <vt:lpstr>S.004</vt:lpstr>
      <vt:lpstr>S.005</vt:lpstr>
      <vt:lpstr>S.006</vt:lpstr>
      <vt:lpstr>S.007</vt:lpstr>
      <vt:lpstr>S.008</vt:lpstr>
      <vt:lpstr>S.009</vt:lpstr>
      <vt:lpstr>S.010</vt:lpstr>
      <vt:lpstr>S.011</vt:lpstr>
      <vt:lpstr>S.012</vt:lpstr>
      <vt:lpstr>S.013</vt:lpstr>
      <vt:lpstr>S.014</vt:lpstr>
      <vt:lpstr>S.015</vt:lpstr>
      <vt:lpstr>S.016</vt:lpstr>
      <vt:lpstr>S.017</vt:lpstr>
      <vt:lpstr>S.018</vt:lpstr>
      <vt:lpstr>S.019</vt:lpstr>
      <vt:lpstr>S.020</vt:lpstr>
      <vt:lpstr>S.021</vt:lpstr>
      <vt:lpstr>S.022</vt:lpstr>
      <vt:lpstr>S.023</vt:lpstr>
      <vt:lpstr>S.024</vt:lpstr>
      <vt:lpstr>S.025</vt:lpstr>
      <vt:lpstr>S.026</vt:lpstr>
      <vt:lpstr>S.027</vt:lpstr>
      <vt:lpstr>S.028</vt:lpstr>
      <vt:lpstr>S.029</vt:lpstr>
      <vt:lpstr>S.030</vt:lpstr>
      <vt:lpstr>S.031</vt:lpstr>
      <vt:lpstr>S.032</vt:lpstr>
      <vt:lpstr>S.033</vt:lpstr>
      <vt:lpstr>S.034</vt:lpstr>
      <vt:lpstr>S.035</vt:lpstr>
      <vt:lpstr>S.036</vt:lpstr>
      <vt:lpstr>S.037</vt:lpstr>
      <vt:lpstr>S.038</vt:lpstr>
      <vt:lpstr>S.039</vt:lpstr>
      <vt:lpstr>S.040</vt:lpstr>
      <vt:lpstr>S.041</vt:lpstr>
      <vt:lpstr>S.042</vt:lpstr>
      <vt:lpstr>S.043</vt:lpstr>
      <vt:lpstr>S.044</vt:lpstr>
      <vt:lpstr>S.045</vt:lpstr>
      <vt:lpstr>S.046</vt:lpstr>
      <vt:lpstr>S.047</vt:lpstr>
      <vt:lpstr>S.048</vt:lpstr>
      <vt:lpstr>S.049</vt:lpstr>
      <vt:lpstr>S.050</vt:lpstr>
      <vt:lpstr>S.051</vt:lpstr>
      <vt:lpstr>S.052</vt:lpstr>
      <vt:lpstr>S.053</vt:lpstr>
      <vt:lpstr>S.054</vt:lpstr>
      <vt:lpstr>S.055</vt:lpstr>
      <vt:lpstr>S.056</vt:lpstr>
      <vt:lpstr>S.057</vt:lpstr>
      <vt:lpstr>S.058</vt:lpstr>
      <vt:lpstr>S.059</vt:lpstr>
      <vt:lpstr>S.060</vt:lpstr>
      <vt:lpstr>S.061</vt:lpstr>
      <vt:lpstr>S.062</vt:lpstr>
      <vt:lpstr>S.063</vt:lpstr>
      <vt:lpstr>S.064</vt:lpstr>
      <vt:lpstr>S.065</vt:lpstr>
      <vt:lpstr>S.066</vt:lpstr>
      <vt:lpstr>S.067</vt:lpstr>
      <vt:lpstr>S.068</vt:lpstr>
      <vt:lpstr>S.069</vt:lpstr>
      <vt:lpstr>S.070</vt:lpstr>
      <vt:lpstr>S.071</vt:lpstr>
      <vt:lpstr>S.072</vt:lpstr>
      <vt:lpstr>S.073</vt:lpstr>
      <vt:lpstr>S.074</vt:lpstr>
      <vt:lpstr>S.075</vt:lpstr>
      <vt:lpstr>S.076</vt:lpstr>
      <vt:lpstr>S.077</vt:lpstr>
      <vt:lpstr>S.xyz - blank</vt:lpstr>
      <vt:lpstr>S.001!Print_Area</vt:lpstr>
      <vt:lpstr>S.002!Print_Area</vt:lpstr>
      <vt:lpstr>S.003!Print_Area</vt:lpstr>
      <vt:lpstr>S.004!Print_Area</vt:lpstr>
      <vt:lpstr>S.005!Print_Area</vt:lpstr>
      <vt:lpstr>S.006!Print_Area</vt:lpstr>
      <vt:lpstr>S.007!Print_Area</vt:lpstr>
      <vt:lpstr>S.008!Print_Area</vt:lpstr>
      <vt:lpstr>S.009!Print_Area</vt:lpstr>
      <vt:lpstr>S.010!Print_Area</vt:lpstr>
      <vt:lpstr>S.011!Print_Area</vt:lpstr>
      <vt:lpstr>S.012!Print_Area</vt:lpstr>
      <vt:lpstr>S.013!Print_Area</vt:lpstr>
      <vt:lpstr>S.014!Print_Area</vt:lpstr>
      <vt:lpstr>S.015!Print_Area</vt:lpstr>
      <vt:lpstr>S.016!Print_Area</vt:lpstr>
      <vt:lpstr>S.017!Print_Area</vt:lpstr>
      <vt:lpstr>S.018!Print_Area</vt:lpstr>
      <vt:lpstr>S.019!Print_Area</vt:lpstr>
      <vt:lpstr>S.020!Print_Area</vt:lpstr>
      <vt:lpstr>S.021!Print_Area</vt:lpstr>
      <vt:lpstr>S.022!Print_Area</vt:lpstr>
      <vt:lpstr>S.023!Print_Area</vt:lpstr>
      <vt:lpstr>S.024!Print_Area</vt:lpstr>
      <vt:lpstr>S.025!Print_Area</vt:lpstr>
      <vt:lpstr>S.026!Print_Area</vt:lpstr>
      <vt:lpstr>S.027!Print_Area</vt:lpstr>
      <vt:lpstr>S.028!Print_Area</vt:lpstr>
      <vt:lpstr>S.029!Print_Area</vt:lpstr>
      <vt:lpstr>S.030!Print_Area</vt:lpstr>
      <vt:lpstr>S.031!Print_Area</vt:lpstr>
      <vt:lpstr>S.032!Print_Area</vt:lpstr>
      <vt:lpstr>S.033!Print_Area</vt:lpstr>
      <vt:lpstr>S.034!Print_Area</vt:lpstr>
      <vt:lpstr>S.035!Print_Area</vt:lpstr>
      <vt:lpstr>S.036!Print_Area</vt:lpstr>
      <vt:lpstr>S.037!Print_Area</vt:lpstr>
      <vt:lpstr>S.038!Print_Area</vt:lpstr>
      <vt:lpstr>S.039!Print_Area</vt:lpstr>
      <vt:lpstr>S.040!Print_Area</vt:lpstr>
      <vt:lpstr>S.041!Print_Area</vt:lpstr>
      <vt:lpstr>S.042!Print_Area</vt:lpstr>
      <vt:lpstr>S.043!Print_Area</vt:lpstr>
      <vt:lpstr>S.044!Print_Area</vt:lpstr>
      <vt:lpstr>S.045!Print_Area</vt:lpstr>
      <vt:lpstr>S.046!Print_Area</vt:lpstr>
      <vt:lpstr>S.047!Print_Area</vt:lpstr>
      <vt:lpstr>S.048!Print_Area</vt:lpstr>
      <vt:lpstr>S.049!Print_Area</vt:lpstr>
      <vt:lpstr>S.050!Print_Area</vt:lpstr>
      <vt:lpstr>S.051!Print_Area</vt:lpstr>
      <vt:lpstr>S.052!Print_Area</vt:lpstr>
      <vt:lpstr>S.053!Print_Area</vt:lpstr>
      <vt:lpstr>S.054!Print_Area</vt:lpstr>
      <vt:lpstr>S.055!Print_Area</vt:lpstr>
      <vt:lpstr>S.056!Print_Area</vt:lpstr>
      <vt:lpstr>S.057!Print_Area</vt:lpstr>
      <vt:lpstr>S.058!Print_Area</vt:lpstr>
      <vt:lpstr>S.059!Print_Area</vt:lpstr>
      <vt:lpstr>S.060!Print_Area</vt:lpstr>
      <vt:lpstr>S.061!Print_Area</vt:lpstr>
      <vt:lpstr>S.062!Print_Area</vt:lpstr>
      <vt:lpstr>S.063!Print_Area</vt:lpstr>
      <vt:lpstr>S.064!Print_Area</vt:lpstr>
      <vt:lpstr>S.065!Print_Area</vt:lpstr>
      <vt:lpstr>S.066!Print_Area</vt:lpstr>
      <vt:lpstr>S.067!Print_Area</vt:lpstr>
      <vt:lpstr>S.075!Print_Area</vt:lpstr>
      <vt:lpstr>S.076!Print_Area</vt:lpstr>
      <vt:lpstr>S.077!Print_Area</vt:lpstr>
      <vt:lpstr>'S.xyz - blank'!Print_Area</vt:lpstr>
      <vt:lpstr>SWE.Sch.11.Rates!Print_Area</vt:lpstr>
      <vt:lpstr>SWE.WS.F.BPU.ATRR.Projected!Print_Area</vt:lpstr>
      <vt:lpstr>'SWE.WS.G.BPU.ATRR.True-up'!Print_Area</vt:lpstr>
      <vt:lpstr>SWE.Sch.11.Rates!Print_Titles</vt:lpstr>
      <vt:lpstr>SWE.WS.F.BPU.ATRR.Projected!Print_Titles</vt:lpstr>
      <vt:lpstr>'SWE.WS.G.BPU.ATRR.True-up'!Print_Titles</vt:lpstr>
    </vt:vector>
  </TitlesOfParts>
  <Company>AEP-IT-CPS 4/30/3-(8-835-3050)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R.Pennybaker</dc:creator>
  <cp:keywords/>
  <cp:lastModifiedBy>Allyson L Keaton</cp:lastModifiedBy>
  <cp:lastPrinted>2020-04-20T20:30:04Z</cp:lastPrinted>
  <dcterms:created xsi:type="dcterms:W3CDTF">2009-05-11T14:02:48Z</dcterms:created>
  <dcterms:modified xsi:type="dcterms:W3CDTF">2025-10-30T18:35:19Z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577f5fa4-1b1e-4ff5-bc03-519c190cb90b</vt:lpwstr>
  </property>
  <property fmtid="{D5CDD505-2E9C-101B-9397-08002B2CF9AE}" pid="3" name="bjSaver">
    <vt:lpwstr>clRxCTTKA7z930TtRLwKph96GxWYXtbn</vt:lpwstr>
  </property>
  <property fmtid="{D5CDD505-2E9C-101B-9397-08002B2CF9AE}" pid="4" name="bjDocumentSecurityLabel">
    <vt:lpwstr>AEP Internal</vt:lpwstr>
  </property>
  <property fmtid="{D5CDD505-2E9C-101B-9397-08002B2CF9AE}" pid="5" name="Visual Markings Removed">
    <vt:lpwstr>No</vt:lpwstr>
  </property>
  <property fmtid="{D5CDD505-2E9C-101B-9397-08002B2CF9AE}" pid="6" name="bjClsUserRVM">
    <vt:lpwstr>[]</vt:lpwstr>
  </property>
  <property fmtid="{D5CDD505-2E9C-101B-9397-08002B2CF9AE}" pid="7" name="MSIP_Label_69f43042-6bda-44b2-91eb-eca3d3d484f4_SiteId">
    <vt:lpwstr>15f3c881-6b03-4ff6-8559-77bf5177818f</vt:lpwstr>
  </property>
  <property fmtid="{D5CDD505-2E9C-101B-9397-08002B2CF9AE}" pid="8" name="MSIP_Label_69f43042-6bda-44b2-91eb-eca3d3d484f4_Name">
    <vt:lpwstr>AEP Internal</vt:lpwstr>
  </property>
  <property fmtid="{D5CDD505-2E9C-101B-9397-08002B2CF9AE}" pid="9" name="MSIP_Label_69f43042-6bda-44b2-91eb-eca3d3d484f4_Enabled">
    <vt:lpwstr>true</vt:lpwstr>
  </property>
  <property fmtid="{D5CDD505-2E9C-101B-9397-08002B2CF9AE}" pid="10" name="bjLabelHistoryID">
    <vt:lpwstr>{9AADA218-62E2-4534-8868-6155D4068EE0}</vt:lpwstr>
  </property>
  <property fmtid="{D5CDD505-2E9C-101B-9397-08002B2CF9AE}" pid="11" name="bjDocumentLabelXML">
    <vt:lpwstr>&lt;?xml version="1.0" encoding="us-ascii"?&gt;&lt;sisl xmlns:xsd="http://www.w3.org/2001/XMLSchema" xmlns:xsi="http://www.w3.org/2001/XMLSchema-instance" sislVersion="0" policy="e9c0b8d7-bdb4-4fd3-b62a-f50327aaefce" origin="userSelected" xmlns="http://www.boldonj</vt:lpwstr>
  </property>
  <property fmtid="{D5CDD505-2E9C-101B-9397-08002B2CF9AE}" pid="12" name="bjDocumentLabelXML-0">
    <vt:lpwstr>ames.com/2008/01/sie/internal/label"&gt;&lt;element uid="50c31824-0780-4910-87d1-eaaffd182d42" value="" /&gt;&lt;/sisl&gt;</vt:lpwstr>
  </property>
  <property fmtid="{D5CDD505-2E9C-101B-9397-08002B2CF9AE}" pid="13" name="ContentTypeId">
    <vt:lpwstr>0x0101002649C77599AAFD4B8FFD850D55630F3C</vt:lpwstr>
  </property>
  <property fmtid="{D5CDD505-2E9C-101B-9397-08002B2CF9AE}" pid="14" name="MediaServiceImageTags">
    <vt:lpwstr/>
  </property>
</Properties>
</file>